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433717E0-B899-4113-8523-6FED4A4455F2}" xr6:coauthVersionLast="47" xr6:coauthVersionMax="47" xr10:uidLastSave="{00000000-0000-0000-0000-000000000000}"/>
  <bookViews>
    <workbookView xWindow="-120" yWindow="-120" windowWidth="20730" windowHeight="11040"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F377" i="2" l="1"/>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11546" i="1"/>
  <c r="J11545" i="1"/>
  <c r="J11544" i="1"/>
  <c r="J11543" i="1"/>
  <c r="J11542" i="1"/>
  <c r="J11541" i="1"/>
  <c r="J11540" i="1"/>
  <c r="J11539" i="1"/>
  <c r="J11538" i="1"/>
  <c r="J11537" i="1"/>
  <c r="J11536" i="1"/>
  <c r="J11535" i="1"/>
  <c r="J11534" i="1"/>
  <c r="J11533" i="1"/>
  <c r="J11532" i="1"/>
  <c r="J11531" i="1"/>
  <c r="J11530" i="1"/>
  <c r="J11529" i="1"/>
  <c r="J11528" i="1"/>
  <c r="J11527" i="1"/>
  <c r="J11526" i="1"/>
  <c r="J11525" i="1"/>
  <c r="J11524" i="1"/>
  <c r="J11523" i="1"/>
  <c r="J11522" i="1"/>
  <c r="J11521" i="1"/>
  <c r="J11520" i="1"/>
  <c r="J11519" i="1"/>
  <c r="J11518" i="1"/>
  <c r="J11517" i="1"/>
  <c r="J11516" i="1"/>
  <c r="J11515" i="1"/>
  <c r="J11514" i="1"/>
  <c r="J11513" i="1"/>
  <c r="J11512" i="1"/>
  <c r="J11511" i="1"/>
  <c r="J11510" i="1"/>
  <c r="J11509" i="1"/>
  <c r="J11508" i="1"/>
  <c r="J11507" i="1"/>
  <c r="J11506" i="1"/>
  <c r="J11505" i="1"/>
  <c r="J11504" i="1"/>
  <c r="J11503" i="1"/>
  <c r="J11502" i="1"/>
  <c r="J11501" i="1"/>
  <c r="J11500" i="1"/>
  <c r="J11499" i="1"/>
  <c r="J11498" i="1"/>
  <c r="J11497" i="1"/>
  <c r="J11496" i="1"/>
  <c r="J11495" i="1"/>
  <c r="J11494" i="1"/>
  <c r="J11493" i="1"/>
  <c r="J11492" i="1"/>
  <c r="J11491" i="1"/>
  <c r="J11490" i="1"/>
  <c r="J11489" i="1"/>
  <c r="J11488" i="1"/>
  <c r="J11487" i="1"/>
  <c r="J11486" i="1"/>
  <c r="J11485" i="1"/>
  <c r="J11484" i="1"/>
  <c r="J11483" i="1"/>
  <c r="J11482" i="1"/>
  <c r="J11481" i="1"/>
  <c r="J11480" i="1"/>
  <c r="J11479" i="1"/>
  <c r="J11478" i="1"/>
  <c r="J11477" i="1"/>
  <c r="J11476" i="1"/>
  <c r="J11475" i="1"/>
  <c r="J11474" i="1"/>
  <c r="J11473" i="1"/>
  <c r="J11472" i="1"/>
  <c r="J11471" i="1"/>
  <c r="J11470" i="1"/>
  <c r="J11469" i="1"/>
  <c r="J11468" i="1"/>
  <c r="J11467" i="1"/>
  <c r="J11466" i="1"/>
  <c r="J11465" i="1"/>
  <c r="J11464" i="1"/>
  <c r="J11463" i="1"/>
  <c r="J11462" i="1"/>
  <c r="J11461" i="1"/>
  <c r="J11460" i="1"/>
  <c r="J11459" i="1"/>
  <c r="J11458" i="1"/>
  <c r="J11457" i="1"/>
  <c r="J11456" i="1"/>
  <c r="J11455" i="1"/>
  <c r="J11454" i="1"/>
  <c r="J11453" i="1"/>
  <c r="J11452" i="1"/>
  <c r="J11451" i="1"/>
  <c r="J11450" i="1"/>
  <c r="J11449" i="1"/>
  <c r="J11448" i="1"/>
  <c r="J11447" i="1"/>
  <c r="J11446" i="1"/>
  <c r="J11445" i="1"/>
  <c r="J11444" i="1"/>
  <c r="J11443" i="1"/>
  <c r="J11442" i="1"/>
  <c r="J11441" i="1"/>
  <c r="J11440" i="1"/>
  <c r="J11439" i="1"/>
  <c r="J11438" i="1"/>
  <c r="J11437" i="1"/>
  <c r="J11436" i="1"/>
  <c r="J11435" i="1"/>
  <c r="J11434" i="1"/>
  <c r="J11433" i="1"/>
  <c r="J11432" i="1"/>
  <c r="J11431" i="1"/>
  <c r="J11430" i="1"/>
  <c r="J11429" i="1"/>
  <c r="J11428" i="1"/>
  <c r="J11427" i="1"/>
  <c r="J11426" i="1"/>
  <c r="J11425" i="1"/>
  <c r="J11424" i="1"/>
  <c r="J11423" i="1"/>
  <c r="J11422" i="1"/>
  <c r="J11421" i="1"/>
  <c r="J11420" i="1"/>
  <c r="J11419" i="1"/>
  <c r="J11418" i="1"/>
  <c r="J11417" i="1"/>
  <c r="J11416" i="1"/>
  <c r="J11415" i="1"/>
  <c r="J11414" i="1"/>
  <c r="J11413" i="1"/>
  <c r="J11412" i="1"/>
  <c r="J11411" i="1"/>
  <c r="J11410" i="1"/>
  <c r="J11409" i="1"/>
  <c r="J11408" i="1"/>
  <c r="J11407" i="1"/>
  <c r="J11406" i="1"/>
  <c r="J11405" i="1"/>
  <c r="J11404" i="1"/>
  <c r="J11403" i="1"/>
  <c r="J11402" i="1"/>
  <c r="J11401" i="1"/>
  <c r="J11400" i="1"/>
  <c r="J11399" i="1"/>
  <c r="J11398" i="1"/>
  <c r="J11397" i="1"/>
  <c r="J11396" i="1"/>
  <c r="J11395" i="1"/>
  <c r="J11394" i="1"/>
  <c r="J11393" i="1"/>
  <c r="J11392" i="1"/>
  <c r="J11391" i="1"/>
  <c r="J11390" i="1"/>
  <c r="J11389" i="1"/>
  <c r="J11388" i="1"/>
  <c r="J11387" i="1"/>
  <c r="J11386" i="1"/>
  <c r="J11385" i="1"/>
  <c r="J11384" i="1"/>
  <c r="J11383" i="1"/>
  <c r="J11382" i="1"/>
  <c r="J11381" i="1"/>
  <c r="J11380" i="1"/>
  <c r="J11379" i="1"/>
  <c r="J11378" i="1"/>
  <c r="J11377" i="1"/>
  <c r="J11376" i="1"/>
  <c r="J11375" i="1"/>
  <c r="J11374" i="1"/>
  <c r="J11373" i="1"/>
  <c r="J11372" i="1"/>
  <c r="J11371" i="1"/>
  <c r="J11370" i="1"/>
  <c r="J11369" i="1"/>
  <c r="J11368" i="1"/>
  <c r="J11367" i="1"/>
  <c r="J11366" i="1"/>
  <c r="J11365" i="1"/>
  <c r="J11364" i="1"/>
  <c r="J11363" i="1"/>
  <c r="J11362" i="1"/>
  <c r="J11361" i="1"/>
  <c r="J11360" i="1"/>
  <c r="J11359" i="1"/>
  <c r="J11358" i="1"/>
  <c r="J11357" i="1"/>
  <c r="J11356" i="1"/>
  <c r="J11355" i="1"/>
  <c r="J11354" i="1"/>
  <c r="J11353" i="1"/>
  <c r="J11352" i="1"/>
  <c r="J11351" i="1"/>
  <c r="J11350" i="1"/>
  <c r="J11349" i="1"/>
  <c r="J11348" i="1"/>
  <c r="J11347" i="1"/>
  <c r="J11346" i="1"/>
  <c r="J11345" i="1"/>
  <c r="J11344" i="1"/>
  <c r="J11343" i="1"/>
  <c r="J11342" i="1"/>
  <c r="J11341" i="1"/>
  <c r="J11340" i="1"/>
  <c r="J11339" i="1"/>
  <c r="J11338" i="1"/>
  <c r="J11337" i="1"/>
  <c r="J11336" i="1"/>
  <c r="J11335" i="1"/>
  <c r="J11334" i="1"/>
  <c r="J11333" i="1"/>
  <c r="J11332" i="1"/>
  <c r="J11331" i="1"/>
  <c r="J11330" i="1"/>
  <c r="J11329" i="1"/>
  <c r="J11328" i="1"/>
  <c r="J11327" i="1"/>
  <c r="J11326" i="1"/>
  <c r="J11325" i="1"/>
  <c r="J11324" i="1"/>
  <c r="J11323" i="1"/>
  <c r="J11322" i="1"/>
  <c r="J11321" i="1"/>
  <c r="J11320" i="1"/>
  <c r="J11319" i="1"/>
  <c r="J11318" i="1"/>
  <c r="J11317" i="1"/>
  <c r="J11316" i="1"/>
  <c r="J11315" i="1"/>
  <c r="J11314" i="1"/>
  <c r="J11313" i="1"/>
  <c r="J11312" i="1"/>
  <c r="J11311" i="1"/>
  <c r="J11310" i="1"/>
  <c r="J11309" i="1"/>
  <c r="J11308" i="1"/>
  <c r="J11307" i="1"/>
  <c r="J11306" i="1"/>
  <c r="J11305" i="1"/>
  <c r="J11304" i="1"/>
  <c r="J11303" i="1"/>
  <c r="J11302" i="1"/>
  <c r="J11301" i="1"/>
  <c r="J11300" i="1"/>
  <c r="J11299" i="1"/>
  <c r="J11298" i="1"/>
  <c r="J11297" i="1"/>
  <c r="J11296" i="1"/>
  <c r="J11295" i="1"/>
  <c r="J11294" i="1"/>
  <c r="J11293" i="1"/>
  <c r="J11292" i="1"/>
  <c r="J11291" i="1"/>
  <c r="J11290" i="1"/>
  <c r="J11289" i="1"/>
  <c r="J11288" i="1"/>
  <c r="J11287" i="1"/>
  <c r="J11286" i="1"/>
  <c r="J11285" i="1"/>
  <c r="J11284" i="1"/>
  <c r="J11283" i="1"/>
  <c r="J11282" i="1"/>
  <c r="J11281" i="1"/>
  <c r="J11280" i="1"/>
  <c r="J11279" i="1"/>
  <c r="J11278" i="1"/>
  <c r="J11277" i="1"/>
  <c r="J11276" i="1"/>
  <c r="J11275" i="1"/>
  <c r="J11274" i="1"/>
  <c r="J11273" i="1"/>
  <c r="J11272" i="1"/>
  <c r="J11271" i="1"/>
  <c r="J11270" i="1"/>
  <c r="J11269" i="1"/>
  <c r="J11268" i="1"/>
  <c r="J11267" i="1"/>
  <c r="J11266" i="1"/>
  <c r="J11265" i="1"/>
  <c r="J11264" i="1"/>
  <c r="J11263" i="1"/>
  <c r="J11262" i="1"/>
  <c r="J11261" i="1"/>
  <c r="J11260" i="1"/>
  <c r="J11259" i="1"/>
  <c r="J11258" i="1"/>
  <c r="J11257" i="1"/>
  <c r="J11256" i="1"/>
  <c r="J11255" i="1"/>
  <c r="J11254" i="1"/>
  <c r="J11253" i="1"/>
  <c r="J11252" i="1"/>
  <c r="J11251" i="1"/>
  <c r="J11250" i="1"/>
  <c r="J11249" i="1"/>
  <c r="J11248" i="1"/>
  <c r="J11247" i="1"/>
  <c r="J11246" i="1"/>
  <c r="J11245" i="1"/>
  <c r="J11244" i="1"/>
  <c r="J11243" i="1"/>
  <c r="J11242" i="1"/>
  <c r="J11241" i="1"/>
  <c r="J11240" i="1"/>
  <c r="J11239" i="1"/>
  <c r="J11238" i="1"/>
  <c r="J11237" i="1"/>
  <c r="J11236" i="1"/>
  <c r="J11235" i="1"/>
  <c r="J11234" i="1"/>
  <c r="J11233" i="1"/>
  <c r="J11232" i="1"/>
  <c r="J11231" i="1"/>
  <c r="J11230" i="1"/>
  <c r="J11229" i="1"/>
  <c r="J11228" i="1"/>
  <c r="J11227" i="1"/>
  <c r="J11226" i="1"/>
  <c r="J11225" i="1"/>
  <c r="J11224" i="1"/>
  <c r="J11223" i="1"/>
  <c r="J11222" i="1"/>
  <c r="J11221" i="1"/>
  <c r="J11220" i="1"/>
  <c r="J11219" i="1"/>
  <c r="J11218" i="1"/>
  <c r="J11217" i="1"/>
  <c r="J11216" i="1"/>
  <c r="J11215" i="1"/>
  <c r="J11214" i="1"/>
  <c r="J11213" i="1"/>
  <c r="J11212" i="1"/>
  <c r="J11211" i="1"/>
  <c r="J11210" i="1"/>
  <c r="J11209" i="1"/>
  <c r="J11208" i="1"/>
  <c r="J11207" i="1"/>
  <c r="J11206" i="1"/>
  <c r="J11205" i="1"/>
  <c r="J11204" i="1"/>
  <c r="J11203" i="1"/>
  <c r="J11202" i="1"/>
  <c r="J11201" i="1"/>
  <c r="J11200" i="1"/>
  <c r="J11199" i="1"/>
  <c r="J11198" i="1"/>
  <c r="J11197" i="1"/>
  <c r="J11196" i="1"/>
  <c r="J11195" i="1"/>
  <c r="J11194" i="1"/>
  <c r="J11193" i="1"/>
  <c r="J11192" i="1"/>
  <c r="J11191" i="1"/>
  <c r="J11190" i="1"/>
  <c r="J11189" i="1"/>
  <c r="J11188" i="1"/>
  <c r="J11187" i="1"/>
  <c r="J11186" i="1"/>
  <c r="J11185" i="1"/>
  <c r="J11184" i="1"/>
  <c r="J11183" i="1"/>
  <c r="J11182" i="1"/>
  <c r="J11181" i="1"/>
  <c r="J11180" i="1"/>
  <c r="J11179" i="1"/>
  <c r="J11178" i="1"/>
  <c r="J11177" i="1"/>
  <c r="J11176" i="1"/>
  <c r="J11175" i="1"/>
  <c r="J11174" i="1"/>
  <c r="J11173" i="1"/>
  <c r="J11172" i="1"/>
  <c r="J11171" i="1"/>
  <c r="J11170" i="1"/>
  <c r="J11169" i="1"/>
  <c r="J11168" i="1"/>
  <c r="J11167" i="1"/>
  <c r="J11166" i="1"/>
  <c r="J11165" i="1"/>
  <c r="J11164" i="1"/>
  <c r="J11163" i="1"/>
  <c r="J11162" i="1"/>
  <c r="J11161" i="1"/>
  <c r="J11160" i="1"/>
  <c r="J11159" i="1"/>
  <c r="J11158" i="1"/>
  <c r="J11157" i="1"/>
  <c r="J11156" i="1"/>
  <c r="J11155" i="1"/>
  <c r="J11154" i="1"/>
  <c r="J11153" i="1"/>
  <c r="J11152" i="1"/>
  <c r="J11151" i="1"/>
  <c r="J11150" i="1"/>
  <c r="J11149" i="1"/>
  <c r="J11148" i="1"/>
  <c r="J11147" i="1"/>
  <c r="J11146" i="1"/>
  <c r="J11145" i="1"/>
  <c r="J11144" i="1"/>
  <c r="J11143" i="1"/>
  <c r="J11142" i="1"/>
  <c r="J11141" i="1"/>
  <c r="J11140" i="1"/>
  <c r="J11139" i="1"/>
  <c r="J11138" i="1"/>
  <c r="J11137" i="1"/>
  <c r="J11136" i="1"/>
  <c r="J11135" i="1"/>
  <c r="J11134" i="1"/>
  <c r="J11133" i="1"/>
  <c r="J11132" i="1"/>
  <c r="J11131" i="1"/>
  <c r="J11130" i="1"/>
  <c r="J11129" i="1"/>
  <c r="J11128" i="1"/>
  <c r="J11127" i="1"/>
  <c r="J11126" i="1"/>
  <c r="J11125" i="1"/>
  <c r="J11124" i="1"/>
  <c r="J11123" i="1"/>
  <c r="J11122" i="1"/>
  <c r="J11121" i="1"/>
  <c r="J11120" i="1"/>
  <c r="J11119" i="1"/>
  <c r="J11118" i="1"/>
  <c r="J11117" i="1"/>
  <c r="J11116" i="1"/>
  <c r="J11115" i="1"/>
  <c r="J11114" i="1"/>
  <c r="J11113" i="1"/>
  <c r="J11112" i="1"/>
  <c r="J11111" i="1"/>
  <c r="J11110" i="1"/>
  <c r="J11109" i="1"/>
  <c r="J11108" i="1"/>
  <c r="J11107" i="1"/>
  <c r="J11106" i="1"/>
  <c r="J11105" i="1"/>
  <c r="J11104" i="1"/>
  <c r="J11103" i="1"/>
  <c r="J11102" i="1"/>
  <c r="J11101" i="1"/>
  <c r="J11100" i="1"/>
  <c r="J11099" i="1"/>
  <c r="J11098" i="1"/>
  <c r="J11097" i="1"/>
  <c r="J11096" i="1"/>
  <c r="J11095" i="1"/>
  <c r="J11094" i="1"/>
  <c r="J11093" i="1"/>
  <c r="J11092" i="1"/>
  <c r="J11091" i="1"/>
  <c r="J11090" i="1"/>
  <c r="J11089" i="1"/>
  <c r="J11088" i="1"/>
  <c r="J11087" i="1"/>
  <c r="J11086" i="1"/>
  <c r="J11085" i="1"/>
  <c r="J11084" i="1"/>
  <c r="J11083" i="1"/>
  <c r="J11082" i="1"/>
  <c r="J11081" i="1"/>
  <c r="J11080" i="1"/>
  <c r="J11079" i="1"/>
  <c r="J11078" i="1"/>
  <c r="J11077" i="1"/>
  <c r="J11076" i="1"/>
  <c r="J11075" i="1"/>
  <c r="J11074" i="1"/>
  <c r="J11073" i="1"/>
  <c r="J11072" i="1"/>
  <c r="J11071" i="1"/>
  <c r="J11070" i="1"/>
  <c r="J11069" i="1"/>
  <c r="J11068" i="1"/>
  <c r="J11067" i="1"/>
  <c r="J11066" i="1"/>
  <c r="J11065" i="1"/>
  <c r="J11064" i="1"/>
  <c r="J11063" i="1"/>
  <c r="J11062" i="1"/>
  <c r="J11061" i="1"/>
  <c r="J11060" i="1"/>
  <c r="J11059" i="1"/>
  <c r="J11058" i="1"/>
  <c r="J11057" i="1"/>
  <c r="J11056" i="1"/>
  <c r="J11055" i="1"/>
  <c r="J11054" i="1"/>
  <c r="J11053" i="1"/>
  <c r="J11052" i="1"/>
  <c r="J11051" i="1"/>
  <c r="J11050" i="1"/>
  <c r="J11049" i="1"/>
  <c r="J11048" i="1"/>
  <c r="J11047" i="1"/>
  <c r="J11046" i="1"/>
  <c r="J11045" i="1"/>
  <c r="J11044" i="1"/>
  <c r="J11043" i="1"/>
  <c r="J11042" i="1"/>
  <c r="J11041" i="1"/>
  <c r="J11040" i="1"/>
  <c r="J11039" i="1"/>
  <c r="J11038" i="1"/>
  <c r="J11037" i="1"/>
  <c r="J11036" i="1"/>
  <c r="J11035" i="1"/>
  <c r="J11034" i="1"/>
  <c r="J11033" i="1"/>
  <c r="J11032" i="1"/>
  <c r="J11031" i="1"/>
  <c r="J11030" i="1"/>
  <c r="J11029" i="1"/>
  <c r="J11028" i="1"/>
  <c r="J11027" i="1"/>
  <c r="J11026" i="1"/>
  <c r="J11025" i="1"/>
  <c r="J11024" i="1"/>
  <c r="J11023" i="1"/>
  <c r="J11022" i="1"/>
  <c r="J11021" i="1"/>
  <c r="J11020" i="1"/>
  <c r="J11019" i="1"/>
  <c r="J11018" i="1"/>
  <c r="J11017" i="1"/>
  <c r="J11016" i="1"/>
  <c r="J11015" i="1"/>
  <c r="J11014" i="1"/>
  <c r="J11013" i="1"/>
  <c r="J11012" i="1"/>
  <c r="J11011" i="1"/>
  <c r="J11010" i="1"/>
  <c r="J11009" i="1"/>
  <c r="J11008" i="1"/>
  <c r="J11007" i="1"/>
  <c r="J11006" i="1"/>
  <c r="J11005" i="1"/>
  <c r="J11004" i="1"/>
  <c r="J11003" i="1"/>
  <c r="J11002" i="1"/>
  <c r="J11001" i="1"/>
  <c r="J11000" i="1"/>
  <c r="J10999" i="1"/>
  <c r="J10998" i="1"/>
  <c r="J10997" i="1"/>
  <c r="J10996" i="1"/>
  <c r="J10995" i="1"/>
  <c r="J10994" i="1"/>
  <c r="J10993" i="1"/>
  <c r="J10992" i="1"/>
  <c r="J10991" i="1"/>
  <c r="J10990" i="1"/>
  <c r="J10989" i="1"/>
  <c r="J10988" i="1"/>
  <c r="J10987" i="1"/>
  <c r="J10986" i="1"/>
  <c r="J10985" i="1"/>
  <c r="J10984" i="1"/>
  <c r="J10983" i="1"/>
  <c r="J10982" i="1"/>
  <c r="J10981" i="1"/>
  <c r="J10980" i="1"/>
  <c r="J10979" i="1"/>
  <c r="J10978" i="1"/>
  <c r="J10977" i="1"/>
  <c r="J10976" i="1"/>
  <c r="J10975" i="1"/>
  <c r="J10974" i="1"/>
  <c r="J10973" i="1"/>
  <c r="J10972" i="1"/>
  <c r="J10971" i="1"/>
  <c r="J10970" i="1"/>
  <c r="J10969" i="1"/>
  <c r="J10968" i="1"/>
  <c r="J10967" i="1"/>
  <c r="J10966" i="1"/>
  <c r="J10965" i="1"/>
  <c r="J10964" i="1"/>
  <c r="J10963" i="1"/>
  <c r="J10962" i="1"/>
  <c r="J10961" i="1"/>
  <c r="J10960" i="1"/>
  <c r="J10959" i="1"/>
  <c r="J10958" i="1"/>
  <c r="J10957" i="1"/>
  <c r="J10956" i="1"/>
  <c r="J10955" i="1"/>
  <c r="J10954" i="1"/>
  <c r="J10953" i="1"/>
  <c r="J10952" i="1"/>
  <c r="J10951" i="1"/>
  <c r="J10950" i="1"/>
  <c r="J10949" i="1"/>
  <c r="J10948" i="1"/>
  <c r="J10947" i="1"/>
  <c r="J10946" i="1"/>
  <c r="J10945" i="1"/>
  <c r="J10944" i="1"/>
  <c r="J10943" i="1"/>
  <c r="J10942" i="1"/>
  <c r="J10941" i="1"/>
  <c r="J10940" i="1"/>
  <c r="J10939" i="1"/>
  <c r="J10938" i="1"/>
  <c r="J10937" i="1"/>
  <c r="J10936" i="1"/>
  <c r="J10935" i="1"/>
  <c r="J10934" i="1"/>
  <c r="J10933" i="1"/>
  <c r="J10932" i="1"/>
  <c r="J10931" i="1"/>
  <c r="J10930" i="1"/>
  <c r="J10929" i="1"/>
  <c r="J10928" i="1"/>
  <c r="J10927" i="1"/>
  <c r="J10926" i="1"/>
  <c r="J10925" i="1"/>
  <c r="J10924" i="1"/>
  <c r="J10923" i="1"/>
  <c r="J10922" i="1"/>
  <c r="J10921" i="1"/>
  <c r="J10920" i="1"/>
  <c r="J10919" i="1"/>
  <c r="J10918" i="1"/>
  <c r="J10917" i="1"/>
  <c r="J10916" i="1"/>
  <c r="J10915" i="1"/>
  <c r="J10914" i="1"/>
  <c r="J10913" i="1"/>
  <c r="J10912" i="1"/>
  <c r="J10911" i="1"/>
  <c r="J10910" i="1"/>
  <c r="J10909" i="1"/>
  <c r="J10908" i="1"/>
  <c r="J10907" i="1"/>
  <c r="J10906" i="1"/>
  <c r="J10905" i="1"/>
  <c r="J10904" i="1"/>
  <c r="J10903" i="1"/>
  <c r="J10902" i="1"/>
  <c r="J10901" i="1"/>
  <c r="J10900" i="1"/>
  <c r="J10899" i="1"/>
  <c r="J10898" i="1"/>
  <c r="J10897" i="1"/>
  <c r="J10896" i="1"/>
  <c r="J10895" i="1"/>
  <c r="J10894" i="1"/>
  <c r="J10893" i="1"/>
  <c r="J10892" i="1"/>
  <c r="J10891" i="1"/>
  <c r="J10890" i="1"/>
  <c r="J10889" i="1"/>
  <c r="J10888" i="1"/>
  <c r="J10887" i="1"/>
  <c r="J10886" i="1"/>
  <c r="J10885" i="1"/>
  <c r="J10884" i="1"/>
  <c r="J10883" i="1"/>
  <c r="J10882" i="1"/>
  <c r="J10881" i="1"/>
  <c r="J10880" i="1"/>
  <c r="J10879" i="1"/>
  <c r="J10878" i="1"/>
  <c r="J10877" i="1"/>
  <c r="J10876" i="1"/>
  <c r="J10875" i="1"/>
  <c r="J10874" i="1"/>
  <c r="J10873" i="1"/>
  <c r="J10872" i="1"/>
  <c r="J10871" i="1"/>
  <c r="J10870" i="1"/>
  <c r="J10869" i="1"/>
  <c r="J10868" i="1"/>
  <c r="J10867" i="1"/>
  <c r="J10866" i="1"/>
  <c r="J10865" i="1"/>
  <c r="J10864" i="1"/>
  <c r="J10863" i="1"/>
  <c r="J10862" i="1"/>
  <c r="J10861" i="1"/>
  <c r="J10860" i="1"/>
  <c r="J10859" i="1"/>
  <c r="J10858" i="1"/>
  <c r="J10857" i="1"/>
  <c r="J10856" i="1"/>
  <c r="J10855" i="1"/>
  <c r="J10854" i="1"/>
  <c r="J10853" i="1"/>
  <c r="J10852" i="1"/>
  <c r="J10851" i="1"/>
  <c r="J10850" i="1"/>
  <c r="J10849" i="1"/>
  <c r="J10848" i="1"/>
  <c r="J10847" i="1"/>
  <c r="J10846" i="1"/>
  <c r="J10845" i="1"/>
  <c r="J10844" i="1"/>
  <c r="J10843" i="1"/>
  <c r="J10842" i="1"/>
  <c r="J10841" i="1"/>
  <c r="J10840" i="1"/>
  <c r="J10839" i="1"/>
  <c r="J10838" i="1"/>
  <c r="J10837" i="1"/>
  <c r="J10836" i="1"/>
  <c r="J10835" i="1"/>
  <c r="J10834" i="1"/>
  <c r="J10833" i="1"/>
  <c r="J10832" i="1"/>
  <c r="J10831" i="1"/>
  <c r="J10830" i="1"/>
  <c r="J10829" i="1"/>
  <c r="J10828" i="1"/>
  <c r="J10827" i="1"/>
  <c r="J10826" i="1"/>
  <c r="J10825" i="1"/>
  <c r="J10824" i="1"/>
  <c r="J10823" i="1"/>
  <c r="J10822" i="1"/>
  <c r="J10821" i="1"/>
  <c r="J10820" i="1"/>
  <c r="J10819" i="1"/>
  <c r="J10818" i="1"/>
  <c r="J10817" i="1"/>
  <c r="J10816" i="1"/>
  <c r="J10815" i="1"/>
  <c r="J10814" i="1"/>
  <c r="J10813" i="1"/>
  <c r="J10812" i="1"/>
  <c r="J10811" i="1"/>
  <c r="J10810" i="1"/>
  <c r="J10809" i="1"/>
  <c r="J10808" i="1"/>
  <c r="J10807" i="1"/>
  <c r="J10806" i="1"/>
  <c r="J10805" i="1"/>
  <c r="J10804" i="1"/>
  <c r="J10803" i="1"/>
  <c r="J10802" i="1"/>
  <c r="J10801" i="1"/>
  <c r="J10800" i="1"/>
  <c r="J10799" i="1"/>
  <c r="J10798" i="1"/>
  <c r="J10797" i="1"/>
  <c r="J10796" i="1"/>
  <c r="J10795" i="1"/>
  <c r="J10794" i="1"/>
  <c r="J10793" i="1"/>
  <c r="J10792" i="1"/>
  <c r="J10791" i="1"/>
  <c r="J10790" i="1"/>
  <c r="J10789" i="1"/>
  <c r="J10788" i="1"/>
  <c r="J10787" i="1"/>
  <c r="J10786" i="1"/>
  <c r="J10785" i="1"/>
  <c r="J10784" i="1"/>
  <c r="J10783" i="1"/>
  <c r="J10782" i="1"/>
  <c r="J10781" i="1"/>
  <c r="J10780" i="1"/>
  <c r="J10779" i="1"/>
  <c r="J10778" i="1"/>
  <c r="J10777" i="1"/>
  <c r="J10776" i="1"/>
  <c r="J10775" i="1"/>
  <c r="J10774" i="1"/>
  <c r="J10773" i="1"/>
  <c r="J10772" i="1"/>
  <c r="J10771" i="1"/>
  <c r="J10770" i="1"/>
  <c r="J10769" i="1"/>
  <c r="J10768" i="1"/>
  <c r="J10767" i="1"/>
  <c r="J10766" i="1"/>
  <c r="J10765" i="1"/>
  <c r="J10764" i="1"/>
  <c r="J10763" i="1"/>
  <c r="J10762" i="1"/>
  <c r="J10761" i="1"/>
  <c r="J10760" i="1"/>
  <c r="J10759" i="1"/>
  <c r="J10758" i="1"/>
  <c r="J10757" i="1"/>
  <c r="J10756" i="1"/>
  <c r="J10755" i="1"/>
  <c r="J10754" i="1"/>
  <c r="J10753" i="1"/>
  <c r="J10752" i="1"/>
  <c r="J10751" i="1"/>
  <c r="J10750" i="1"/>
  <c r="J10749" i="1"/>
  <c r="J10748" i="1"/>
  <c r="J10747" i="1"/>
  <c r="J10746" i="1"/>
  <c r="J10745" i="1"/>
  <c r="J10744" i="1"/>
  <c r="J10743" i="1"/>
  <c r="J10742" i="1"/>
  <c r="J10741" i="1"/>
  <c r="J10740" i="1"/>
  <c r="J10739" i="1"/>
  <c r="J10738" i="1"/>
  <c r="J10737" i="1"/>
  <c r="J10736" i="1"/>
  <c r="J10735" i="1"/>
  <c r="J10734" i="1"/>
  <c r="J10733" i="1"/>
  <c r="J10732" i="1"/>
  <c r="J10731" i="1"/>
  <c r="J10730" i="1"/>
  <c r="J10729" i="1"/>
  <c r="J10728" i="1"/>
  <c r="J10727" i="1"/>
  <c r="J10726" i="1"/>
  <c r="J10725" i="1"/>
  <c r="J10724" i="1"/>
  <c r="J10723" i="1"/>
  <c r="J10722" i="1"/>
  <c r="J10721" i="1"/>
  <c r="J10720" i="1"/>
  <c r="J10719" i="1"/>
  <c r="J10718" i="1"/>
  <c r="J10717" i="1"/>
  <c r="J10716" i="1"/>
  <c r="J10715" i="1"/>
  <c r="J10714" i="1"/>
  <c r="J10713" i="1"/>
  <c r="J10712" i="1"/>
  <c r="J10711" i="1"/>
  <c r="J10710" i="1"/>
  <c r="J10709" i="1"/>
  <c r="J10708" i="1"/>
  <c r="J10707" i="1"/>
  <c r="J10706" i="1"/>
  <c r="J10705" i="1"/>
  <c r="J10704" i="1"/>
  <c r="J10703" i="1"/>
  <c r="J10702" i="1"/>
  <c r="J10701" i="1"/>
  <c r="J10700" i="1"/>
  <c r="J10699" i="1"/>
  <c r="J10698" i="1"/>
  <c r="J10697" i="1"/>
  <c r="J10696" i="1"/>
  <c r="J10695" i="1"/>
  <c r="J10694" i="1"/>
  <c r="J10693" i="1"/>
  <c r="J10692" i="1"/>
  <c r="J10691" i="1"/>
  <c r="J10690" i="1"/>
  <c r="J10689" i="1"/>
  <c r="J10688" i="1"/>
  <c r="J10687" i="1"/>
  <c r="J10686" i="1"/>
  <c r="J10685" i="1"/>
  <c r="J10684" i="1"/>
  <c r="J10683" i="1"/>
  <c r="J10682" i="1"/>
  <c r="J10681" i="1"/>
  <c r="J10680" i="1"/>
  <c r="J10679" i="1"/>
  <c r="J10678" i="1"/>
  <c r="J10677" i="1"/>
  <c r="J10676" i="1"/>
  <c r="J10675" i="1"/>
  <c r="J10674" i="1"/>
  <c r="J10673" i="1"/>
  <c r="J10672" i="1"/>
  <c r="J10671" i="1"/>
  <c r="J10670" i="1"/>
  <c r="J10669" i="1"/>
  <c r="J10668" i="1"/>
  <c r="J10667" i="1"/>
  <c r="J10666" i="1"/>
  <c r="J10665" i="1"/>
  <c r="J10664" i="1"/>
  <c r="J10663" i="1"/>
  <c r="J10662" i="1"/>
  <c r="J10661" i="1"/>
  <c r="J10660" i="1"/>
  <c r="J10659" i="1"/>
  <c r="J10658" i="1"/>
  <c r="J10657" i="1"/>
  <c r="J10656" i="1"/>
  <c r="J10655" i="1"/>
  <c r="J10654" i="1"/>
  <c r="J10653" i="1"/>
  <c r="J10652" i="1"/>
  <c r="J10651" i="1"/>
  <c r="J10650" i="1"/>
  <c r="J10649" i="1"/>
  <c r="J10648" i="1"/>
  <c r="J10647" i="1"/>
  <c r="J10646" i="1"/>
  <c r="J10645" i="1"/>
  <c r="J10644" i="1"/>
  <c r="J10643" i="1"/>
  <c r="J10642" i="1"/>
  <c r="J10641" i="1"/>
  <c r="J10640" i="1"/>
  <c r="J10639" i="1"/>
  <c r="J10638" i="1"/>
  <c r="J10637" i="1"/>
  <c r="J10636" i="1"/>
  <c r="J10635" i="1"/>
  <c r="J10634" i="1"/>
  <c r="J10633" i="1"/>
  <c r="J10632" i="1"/>
  <c r="J10631" i="1"/>
  <c r="J10630" i="1"/>
  <c r="J10629" i="1"/>
  <c r="J10628" i="1"/>
  <c r="J10627" i="1"/>
  <c r="J10626" i="1"/>
  <c r="J10625" i="1"/>
  <c r="J10624" i="1"/>
  <c r="J10623" i="1"/>
  <c r="J10622" i="1"/>
  <c r="J10621" i="1"/>
  <c r="J10620" i="1"/>
  <c r="J10619" i="1"/>
  <c r="J10618" i="1"/>
  <c r="J10617" i="1"/>
  <c r="J10616" i="1"/>
  <c r="J10615" i="1"/>
  <c r="J10614" i="1"/>
  <c r="J10613" i="1"/>
  <c r="J10612" i="1"/>
  <c r="J10611" i="1"/>
  <c r="J10610" i="1"/>
  <c r="J10609" i="1"/>
  <c r="J10608" i="1"/>
  <c r="J10607" i="1"/>
  <c r="J10606" i="1"/>
  <c r="J10605" i="1"/>
  <c r="J10604" i="1"/>
  <c r="J10603" i="1"/>
  <c r="J10602" i="1"/>
  <c r="J10601" i="1"/>
  <c r="J10600" i="1"/>
  <c r="J10599" i="1"/>
  <c r="J10598" i="1"/>
  <c r="J10597" i="1"/>
  <c r="J10596" i="1"/>
  <c r="J10595" i="1"/>
  <c r="J10594" i="1"/>
  <c r="J10593" i="1"/>
  <c r="J10592" i="1"/>
  <c r="J10591" i="1"/>
  <c r="J10590" i="1"/>
  <c r="J10589" i="1"/>
  <c r="J10588" i="1"/>
  <c r="J10587" i="1"/>
  <c r="J10586" i="1"/>
  <c r="J10585" i="1"/>
  <c r="J10584" i="1"/>
  <c r="J10583" i="1"/>
  <c r="J10582" i="1"/>
  <c r="J10581" i="1"/>
  <c r="J10580" i="1"/>
  <c r="J10579" i="1"/>
  <c r="J10578" i="1"/>
  <c r="J10577" i="1"/>
  <c r="J10576" i="1"/>
  <c r="J10575" i="1"/>
  <c r="J10574" i="1"/>
  <c r="J10573" i="1"/>
  <c r="J10572" i="1"/>
  <c r="J10571" i="1"/>
  <c r="J10570" i="1"/>
  <c r="J10569" i="1"/>
  <c r="J10568" i="1"/>
  <c r="J10567" i="1"/>
  <c r="J10566" i="1"/>
  <c r="J10565" i="1"/>
  <c r="J10564" i="1"/>
  <c r="J10563" i="1"/>
  <c r="J10562" i="1"/>
  <c r="J10561" i="1"/>
  <c r="J10560" i="1"/>
  <c r="J10559" i="1"/>
  <c r="J10558" i="1"/>
  <c r="J10557" i="1"/>
  <c r="J10556" i="1"/>
  <c r="J10555" i="1"/>
  <c r="J10554" i="1"/>
  <c r="J10553" i="1"/>
  <c r="J10552" i="1"/>
  <c r="J10551" i="1"/>
  <c r="J10550" i="1"/>
  <c r="J10549" i="1"/>
  <c r="J10548" i="1"/>
  <c r="J10547" i="1"/>
  <c r="J10546" i="1"/>
  <c r="J10545" i="1"/>
  <c r="J10544" i="1"/>
  <c r="J10543" i="1"/>
  <c r="J10542" i="1"/>
  <c r="J10541" i="1"/>
  <c r="J10540" i="1"/>
  <c r="J10539" i="1"/>
  <c r="J10538" i="1"/>
  <c r="J10537" i="1"/>
  <c r="J10536" i="1"/>
  <c r="J10535" i="1"/>
  <c r="J10534" i="1"/>
  <c r="J10533" i="1"/>
  <c r="J10532" i="1"/>
  <c r="J10531" i="1"/>
  <c r="J10530" i="1"/>
  <c r="J10529" i="1"/>
  <c r="J10528" i="1"/>
  <c r="J10527" i="1"/>
  <c r="J10526" i="1"/>
  <c r="J10525" i="1"/>
  <c r="J10524" i="1"/>
  <c r="J10523" i="1"/>
  <c r="J10522" i="1"/>
  <c r="J10521" i="1"/>
  <c r="J10520" i="1"/>
  <c r="J10519" i="1"/>
  <c r="J10518" i="1"/>
  <c r="J10517" i="1"/>
  <c r="J10516" i="1"/>
  <c r="J10515" i="1"/>
  <c r="J10514" i="1"/>
  <c r="J10513" i="1"/>
  <c r="J10512" i="1"/>
  <c r="J10511" i="1"/>
  <c r="J10510" i="1"/>
  <c r="J10509" i="1"/>
  <c r="J10508" i="1"/>
  <c r="J10507" i="1"/>
  <c r="J10506" i="1"/>
  <c r="J10505" i="1"/>
  <c r="J10504" i="1"/>
  <c r="J10503" i="1"/>
  <c r="J10502" i="1"/>
  <c r="J10501" i="1"/>
  <c r="J10500" i="1"/>
  <c r="J10499" i="1"/>
  <c r="J10498" i="1"/>
  <c r="J10497" i="1"/>
  <c r="J10496" i="1"/>
  <c r="J10495" i="1"/>
  <c r="J10494" i="1"/>
  <c r="J10493" i="1"/>
  <c r="J10492" i="1"/>
  <c r="J10491" i="1"/>
  <c r="J10490" i="1"/>
  <c r="J10489" i="1"/>
  <c r="J10488" i="1"/>
  <c r="J10487" i="1"/>
  <c r="J10486" i="1"/>
  <c r="J10485" i="1"/>
  <c r="J10484" i="1"/>
  <c r="J10483" i="1"/>
  <c r="J10482" i="1"/>
  <c r="J10481" i="1"/>
  <c r="J10480" i="1"/>
  <c r="J10479" i="1"/>
  <c r="J10478" i="1"/>
  <c r="J10477" i="1"/>
  <c r="J10476" i="1"/>
  <c r="J10475" i="1"/>
  <c r="J10474" i="1"/>
  <c r="J10473" i="1"/>
  <c r="J10472" i="1"/>
  <c r="J10471" i="1"/>
  <c r="J10470" i="1"/>
  <c r="J10469" i="1"/>
  <c r="J10468" i="1"/>
  <c r="J10467" i="1"/>
  <c r="J10466" i="1"/>
  <c r="J10465" i="1"/>
  <c r="J10464" i="1"/>
  <c r="J10463" i="1"/>
  <c r="J10462" i="1"/>
  <c r="J10461" i="1"/>
  <c r="J10460" i="1"/>
  <c r="J10459" i="1"/>
  <c r="J10458" i="1"/>
  <c r="J10457" i="1"/>
  <c r="J10456" i="1"/>
  <c r="J10455" i="1"/>
  <c r="J10454" i="1"/>
  <c r="J10453" i="1"/>
  <c r="J10452" i="1"/>
  <c r="J10451" i="1"/>
  <c r="J10450" i="1"/>
  <c r="J10449" i="1"/>
  <c r="J10448" i="1"/>
  <c r="J10447" i="1"/>
  <c r="J10446" i="1"/>
  <c r="J10445" i="1"/>
  <c r="J10444" i="1"/>
  <c r="J10443" i="1"/>
  <c r="J10442" i="1"/>
  <c r="J10441" i="1"/>
  <c r="J10440" i="1"/>
  <c r="J10439" i="1"/>
  <c r="J10438" i="1"/>
  <c r="J10437" i="1"/>
  <c r="J10436" i="1"/>
  <c r="J10435" i="1"/>
  <c r="J10434" i="1"/>
  <c r="J10433" i="1"/>
  <c r="J10432" i="1"/>
  <c r="J10431" i="1"/>
  <c r="J10430" i="1"/>
  <c r="J10429" i="1"/>
  <c r="J10428" i="1"/>
  <c r="J10427" i="1"/>
  <c r="J10426" i="1"/>
  <c r="J10425" i="1"/>
  <c r="J10424" i="1"/>
  <c r="J10423" i="1"/>
  <c r="J10422" i="1"/>
  <c r="J10421" i="1"/>
  <c r="J10420" i="1"/>
  <c r="J10419" i="1"/>
  <c r="J10418" i="1"/>
  <c r="J10417" i="1"/>
  <c r="J10416" i="1"/>
  <c r="J10415" i="1"/>
  <c r="J10414" i="1"/>
  <c r="J10413" i="1"/>
  <c r="J10412" i="1"/>
  <c r="J10411" i="1"/>
  <c r="J10410" i="1"/>
  <c r="J10409" i="1"/>
  <c r="J10408" i="1"/>
  <c r="J10407" i="1"/>
  <c r="J10406" i="1"/>
  <c r="J10405" i="1"/>
  <c r="J10404" i="1"/>
  <c r="J10403" i="1"/>
  <c r="J10402" i="1"/>
  <c r="J10401" i="1"/>
  <c r="J10400" i="1"/>
  <c r="J10399" i="1"/>
  <c r="J10398" i="1"/>
  <c r="J10397" i="1"/>
  <c r="J10396" i="1"/>
  <c r="J10395" i="1"/>
  <c r="J10394" i="1"/>
  <c r="J10393" i="1"/>
  <c r="J10392" i="1"/>
  <c r="J10391" i="1"/>
  <c r="J10390" i="1"/>
  <c r="J10389" i="1"/>
  <c r="J10388" i="1"/>
  <c r="J10387" i="1"/>
  <c r="J10386" i="1"/>
  <c r="J10385" i="1"/>
  <c r="J10384" i="1"/>
  <c r="J10383" i="1"/>
  <c r="J10382" i="1"/>
  <c r="J10381" i="1"/>
  <c r="J10380" i="1"/>
  <c r="J10379" i="1"/>
  <c r="J10378" i="1"/>
  <c r="J10377" i="1"/>
  <c r="J10376" i="1"/>
  <c r="J10375" i="1"/>
  <c r="J10374" i="1"/>
  <c r="J10373" i="1"/>
  <c r="J10372" i="1"/>
  <c r="J10371" i="1"/>
  <c r="J10370" i="1"/>
  <c r="J10369" i="1"/>
  <c r="J10368" i="1"/>
  <c r="J10367" i="1"/>
  <c r="J10366" i="1"/>
  <c r="J10365" i="1"/>
  <c r="J10364" i="1"/>
  <c r="J10363" i="1"/>
  <c r="J10362" i="1"/>
  <c r="J10361" i="1"/>
  <c r="J10360" i="1"/>
  <c r="J10359" i="1"/>
  <c r="J10358" i="1"/>
  <c r="J10357" i="1"/>
  <c r="J10356" i="1"/>
  <c r="J10355" i="1"/>
  <c r="J10354" i="1"/>
  <c r="J10353" i="1"/>
  <c r="J10352" i="1"/>
  <c r="J10351" i="1"/>
  <c r="J10350" i="1"/>
  <c r="J10349" i="1"/>
  <c r="J10348" i="1"/>
  <c r="J10347" i="1"/>
  <c r="J10346" i="1"/>
  <c r="J10345" i="1"/>
  <c r="J10344" i="1"/>
  <c r="J10343" i="1"/>
  <c r="J10342" i="1"/>
  <c r="J10341" i="1"/>
  <c r="J10340" i="1"/>
  <c r="J10339" i="1"/>
  <c r="J10338" i="1"/>
  <c r="J10337" i="1"/>
  <c r="J10336" i="1"/>
  <c r="J10335" i="1"/>
  <c r="J10334" i="1"/>
  <c r="J10333" i="1"/>
  <c r="J10332" i="1"/>
  <c r="J10331" i="1"/>
  <c r="J10330" i="1"/>
  <c r="J10329" i="1"/>
  <c r="J10328" i="1"/>
  <c r="J10327" i="1"/>
  <c r="J10326" i="1"/>
  <c r="J10325" i="1"/>
  <c r="J10324" i="1"/>
  <c r="J10323" i="1"/>
  <c r="J10322" i="1"/>
  <c r="J10321" i="1"/>
  <c r="J10320" i="1"/>
  <c r="J10319" i="1"/>
  <c r="J10318" i="1"/>
  <c r="J10317" i="1"/>
  <c r="J10316" i="1"/>
  <c r="J10315" i="1"/>
  <c r="J10314" i="1"/>
  <c r="J10313" i="1"/>
  <c r="J10312" i="1"/>
  <c r="J10311" i="1"/>
  <c r="J10310" i="1"/>
  <c r="J10309" i="1"/>
  <c r="J10308" i="1"/>
  <c r="J10307" i="1"/>
  <c r="J10306" i="1"/>
  <c r="J10305" i="1"/>
  <c r="J10304" i="1"/>
  <c r="J10303" i="1"/>
  <c r="J10302" i="1"/>
  <c r="J10301" i="1"/>
  <c r="J10300" i="1"/>
  <c r="J10299" i="1"/>
  <c r="J10298" i="1"/>
  <c r="J10297" i="1"/>
  <c r="J10296" i="1"/>
  <c r="J10295" i="1"/>
  <c r="J10294" i="1"/>
  <c r="J10293" i="1"/>
  <c r="J10292" i="1"/>
  <c r="J10291" i="1"/>
  <c r="J10290" i="1"/>
  <c r="J10289" i="1"/>
  <c r="J10288" i="1"/>
  <c r="J10287" i="1"/>
  <c r="J10286" i="1"/>
  <c r="J10285" i="1"/>
  <c r="J10284" i="1"/>
  <c r="J10283" i="1"/>
  <c r="J10282" i="1"/>
  <c r="J10281" i="1"/>
  <c r="J10280" i="1"/>
  <c r="J10279" i="1"/>
  <c r="J10278" i="1"/>
  <c r="J10277" i="1"/>
  <c r="J10276" i="1"/>
  <c r="J10275" i="1"/>
  <c r="J10274" i="1"/>
  <c r="J10273" i="1"/>
  <c r="J10272" i="1"/>
  <c r="J10271" i="1"/>
  <c r="J10270" i="1"/>
  <c r="J10269" i="1"/>
  <c r="J10268" i="1"/>
  <c r="J10267" i="1"/>
  <c r="J10266" i="1"/>
  <c r="J10265" i="1"/>
  <c r="J10264" i="1"/>
  <c r="J10263" i="1"/>
  <c r="J10262" i="1"/>
  <c r="J10261" i="1"/>
  <c r="J10260" i="1"/>
  <c r="J10259" i="1"/>
  <c r="J10258" i="1"/>
  <c r="J10257" i="1"/>
  <c r="J10256" i="1"/>
  <c r="J10255" i="1"/>
  <c r="J10254" i="1"/>
  <c r="J10253" i="1"/>
  <c r="J10252" i="1"/>
  <c r="J10251" i="1"/>
  <c r="J10250" i="1"/>
  <c r="J10249" i="1"/>
  <c r="J10248" i="1"/>
  <c r="J10247" i="1"/>
  <c r="J10246" i="1"/>
  <c r="J10245" i="1"/>
  <c r="J10244" i="1"/>
  <c r="J10243" i="1"/>
  <c r="J10242" i="1"/>
  <c r="J10241" i="1"/>
  <c r="J10240" i="1"/>
  <c r="J10239" i="1"/>
  <c r="J10238" i="1"/>
  <c r="J10237" i="1"/>
  <c r="J10236" i="1"/>
  <c r="J10235" i="1"/>
  <c r="J10234" i="1"/>
  <c r="J10233" i="1"/>
  <c r="J10232" i="1"/>
  <c r="J10231" i="1"/>
  <c r="J10230" i="1"/>
  <c r="J10229" i="1"/>
  <c r="J10228" i="1"/>
  <c r="J10227" i="1"/>
  <c r="J10226" i="1"/>
  <c r="J10225" i="1"/>
  <c r="J10224" i="1"/>
  <c r="J10223" i="1"/>
  <c r="J10222" i="1"/>
  <c r="J10221" i="1"/>
  <c r="J10220" i="1"/>
  <c r="J10219" i="1"/>
  <c r="J10218" i="1"/>
  <c r="J10217" i="1"/>
  <c r="J10216" i="1"/>
  <c r="J10215" i="1"/>
  <c r="J10214" i="1"/>
  <c r="J10213" i="1"/>
  <c r="J10212" i="1"/>
  <c r="J10211" i="1"/>
  <c r="J10210" i="1"/>
  <c r="J10209" i="1"/>
  <c r="J10208" i="1"/>
  <c r="J10207" i="1"/>
  <c r="J10206" i="1"/>
  <c r="J10205" i="1"/>
  <c r="J10204" i="1"/>
  <c r="J10203" i="1"/>
  <c r="J10202" i="1"/>
  <c r="J10201" i="1"/>
  <c r="J10200" i="1"/>
  <c r="J10199" i="1"/>
  <c r="J10198" i="1"/>
  <c r="J10197" i="1"/>
  <c r="J10196" i="1"/>
  <c r="J10195" i="1"/>
  <c r="J10194" i="1"/>
  <c r="J10193" i="1"/>
  <c r="J10192" i="1"/>
  <c r="J10191" i="1"/>
  <c r="J10190" i="1"/>
  <c r="J10189" i="1"/>
  <c r="J10188" i="1"/>
  <c r="J10187" i="1"/>
  <c r="J10186" i="1"/>
  <c r="J10185" i="1"/>
  <c r="J10184" i="1"/>
  <c r="J10183" i="1"/>
  <c r="J10182" i="1"/>
  <c r="J10181" i="1"/>
  <c r="J10180" i="1"/>
  <c r="J10179" i="1"/>
  <c r="J10178" i="1"/>
  <c r="J10177" i="1"/>
  <c r="J10176" i="1"/>
  <c r="J10175" i="1"/>
  <c r="J10174" i="1"/>
  <c r="J10173" i="1"/>
  <c r="J10172" i="1"/>
  <c r="J10171" i="1"/>
  <c r="J10170" i="1"/>
  <c r="J10169" i="1"/>
  <c r="J10168" i="1"/>
  <c r="J10167" i="1"/>
  <c r="J10166" i="1"/>
  <c r="J10165" i="1"/>
  <c r="J10164" i="1"/>
  <c r="J10163" i="1"/>
  <c r="J10162" i="1"/>
  <c r="J10161" i="1"/>
  <c r="J10160" i="1"/>
  <c r="J10159" i="1"/>
  <c r="J10158" i="1"/>
  <c r="J10157" i="1"/>
  <c r="J10156" i="1"/>
  <c r="J10155" i="1"/>
  <c r="J10154" i="1"/>
  <c r="J10153" i="1"/>
  <c r="J10152" i="1"/>
  <c r="J10151" i="1"/>
  <c r="J10150" i="1"/>
  <c r="J10149" i="1"/>
  <c r="J10148" i="1"/>
  <c r="J10147" i="1"/>
  <c r="J10146" i="1"/>
  <c r="J10145" i="1"/>
  <c r="J10144" i="1"/>
  <c r="J10143" i="1"/>
  <c r="J10142" i="1"/>
  <c r="J10141" i="1"/>
  <c r="J10140" i="1"/>
  <c r="J10139" i="1"/>
  <c r="J10138" i="1"/>
  <c r="J10137" i="1"/>
  <c r="J10136" i="1"/>
  <c r="J10135" i="1"/>
  <c r="J10134" i="1"/>
  <c r="J10133" i="1"/>
  <c r="J10132" i="1"/>
  <c r="J10131" i="1"/>
  <c r="J10130" i="1"/>
  <c r="J10129" i="1"/>
  <c r="J10128" i="1"/>
  <c r="J10127" i="1"/>
  <c r="J10126" i="1"/>
  <c r="J10125" i="1"/>
  <c r="J10124" i="1"/>
  <c r="J10123" i="1"/>
  <c r="J10122" i="1"/>
  <c r="J10121" i="1"/>
  <c r="J10120" i="1"/>
  <c r="J10119" i="1"/>
  <c r="J10118" i="1"/>
  <c r="J10117" i="1"/>
  <c r="J10116" i="1"/>
  <c r="J10115" i="1"/>
  <c r="J10114" i="1"/>
  <c r="J10113" i="1"/>
  <c r="J10112" i="1"/>
  <c r="J10111" i="1"/>
  <c r="J10110" i="1"/>
  <c r="J10109" i="1"/>
  <c r="J10108" i="1"/>
  <c r="J10107" i="1"/>
  <c r="J10106" i="1"/>
  <c r="J10105" i="1"/>
  <c r="J10104" i="1"/>
  <c r="J10103" i="1"/>
  <c r="J10102" i="1"/>
  <c r="J10101" i="1"/>
  <c r="J10100" i="1"/>
  <c r="J10099" i="1"/>
  <c r="J10098" i="1"/>
  <c r="J10097" i="1"/>
  <c r="J10096" i="1"/>
  <c r="J10095" i="1"/>
  <c r="J10094" i="1"/>
  <c r="J10093" i="1"/>
  <c r="J10092" i="1"/>
  <c r="J10091" i="1"/>
  <c r="J10090" i="1"/>
  <c r="J10089" i="1"/>
  <c r="J10088" i="1"/>
  <c r="J10087" i="1"/>
  <c r="J10086" i="1"/>
  <c r="J10085" i="1"/>
  <c r="J10084" i="1"/>
  <c r="J10083" i="1"/>
  <c r="J10082" i="1"/>
  <c r="J10081" i="1"/>
  <c r="J10080" i="1"/>
  <c r="J10079" i="1"/>
  <c r="J10078" i="1"/>
  <c r="J10077" i="1"/>
  <c r="J10076" i="1"/>
  <c r="J10075" i="1"/>
  <c r="J10074" i="1"/>
  <c r="J10073" i="1"/>
  <c r="J10072" i="1"/>
  <c r="J10071" i="1"/>
  <c r="J10070" i="1"/>
  <c r="J10069" i="1"/>
  <c r="J10068" i="1"/>
  <c r="J10067" i="1"/>
  <c r="J10066" i="1"/>
  <c r="J10065" i="1"/>
  <c r="J10064" i="1"/>
  <c r="J10063" i="1"/>
  <c r="J10062" i="1"/>
  <c r="J10061" i="1"/>
  <c r="J10060" i="1"/>
  <c r="J10059" i="1"/>
  <c r="J10058" i="1"/>
  <c r="J10057" i="1"/>
  <c r="J10056" i="1"/>
  <c r="J10055" i="1"/>
  <c r="J10054" i="1"/>
  <c r="J10053" i="1"/>
  <c r="J10052" i="1"/>
  <c r="J10051" i="1"/>
  <c r="J10050" i="1"/>
  <c r="J10049" i="1"/>
  <c r="J10048" i="1"/>
  <c r="J10047" i="1"/>
  <c r="J10046" i="1"/>
  <c r="J10045" i="1"/>
  <c r="J10044" i="1"/>
  <c r="J10043" i="1"/>
  <c r="J10042" i="1"/>
  <c r="J10041" i="1"/>
  <c r="J10040" i="1"/>
  <c r="J10039" i="1"/>
  <c r="J10038" i="1"/>
  <c r="J10037" i="1"/>
  <c r="J10036" i="1"/>
  <c r="J10035" i="1"/>
  <c r="J10034" i="1"/>
  <c r="J10033" i="1"/>
  <c r="J10032" i="1"/>
  <c r="J10031" i="1"/>
  <c r="J10030" i="1"/>
  <c r="J10029" i="1"/>
  <c r="J10028" i="1"/>
  <c r="J10027" i="1"/>
  <c r="J10026" i="1"/>
  <c r="J10025" i="1"/>
  <c r="J10024" i="1"/>
  <c r="J10023" i="1"/>
  <c r="J10022" i="1"/>
  <c r="J10021" i="1"/>
  <c r="J10020" i="1"/>
  <c r="J10019" i="1"/>
  <c r="J10018" i="1"/>
  <c r="J10017" i="1"/>
  <c r="J10016" i="1"/>
  <c r="J10015" i="1"/>
  <c r="J10014" i="1"/>
  <c r="J10013" i="1"/>
  <c r="J10012" i="1"/>
  <c r="J10011" i="1"/>
  <c r="J10010" i="1"/>
  <c r="J10009" i="1"/>
  <c r="J10008" i="1"/>
  <c r="J10007" i="1"/>
  <c r="J10006" i="1"/>
  <c r="J10005" i="1"/>
  <c r="J10004" i="1"/>
  <c r="J10003" i="1"/>
  <c r="J10002" i="1"/>
  <c r="J10001" i="1"/>
  <c r="J10000" i="1"/>
  <c r="J9999" i="1"/>
  <c r="J9998" i="1"/>
  <c r="J9997" i="1"/>
  <c r="J9996" i="1"/>
  <c r="J9995" i="1"/>
  <c r="J9994" i="1"/>
  <c r="J9993" i="1"/>
  <c r="J9992" i="1"/>
  <c r="J9991" i="1"/>
  <c r="J9990" i="1"/>
  <c r="J9989" i="1"/>
  <c r="J9988" i="1"/>
  <c r="J9987" i="1"/>
  <c r="J9986" i="1"/>
  <c r="J9985" i="1"/>
  <c r="J9984" i="1"/>
  <c r="J9983" i="1"/>
  <c r="J9982" i="1"/>
  <c r="J9981" i="1"/>
  <c r="J9980" i="1"/>
  <c r="J9979" i="1"/>
  <c r="J9978" i="1"/>
  <c r="J9977" i="1"/>
  <c r="J9976" i="1"/>
  <c r="J9975" i="1"/>
  <c r="J9974" i="1"/>
  <c r="J9973" i="1"/>
  <c r="J9972" i="1"/>
  <c r="J9971" i="1"/>
  <c r="J9970" i="1"/>
  <c r="J9969" i="1"/>
  <c r="J9968" i="1"/>
  <c r="J9967" i="1"/>
  <c r="J9966" i="1"/>
  <c r="J9965" i="1"/>
  <c r="J9964" i="1"/>
  <c r="J9963" i="1"/>
  <c r="J9962" i="1"/>
  <c r="J9961" i="1"/>
  <c r="J9960" i="1"/>
  <c r="J9959" i="1"/>
  <c r="J9958" i="1"/>
  <c r="J9957" i="1"/>
  <c r="J9956" i="1"/>
  <c r="J9955" i="1"/>
  <c r="J9954" i="1"/>
  <c r="J9953" i="1"/>
  <c r="J9952" i="1"/>
  <c r="J9951" i="1"/>
  <c r="J9950" i="1"/>
  <c r="J9949" i="1"/>
  <c r="J9948" i="1"/>
  <c r="J9947" i="1"/>
  <c r="J9946" i="1"/>
  <c r="J9945" i="1"/>
  <c r="J9944" i="1"/>
  <c r="J9943" i="1"/>
  <c r="J9942" i="1"/>
  <c r="J9941" i="1"/>
  <c r="J9940" i="1"/>
  <c r="J9939" i="1"/>
  <c r="J9938" i="1"/>
  <c r="J9937" i="1"/>
  <c r="J9936" i="1"/>
  <c r="J9935" i="1"/>
  <c r="J9934" i="1"/>
  <c r="J9933" i="1"/>
  <c r="J9932" i="1"/>
  <c r="J9931" i="1"/>
  <c r="J9930" i="1"/>
  <c r="J9929" i="1"/>
  <c r="J9928" i="1"/>
  <c r="J9927" i="1"/>
  <c r="J9926" i="1"/>
  <c r="J9925" i="1"/>
  <c r="J9924" i="1"/>
  <c r="J9923" i="1"/>
  <c r="J9922" i="1"/>
  <c r="J9921" i="1"/>
  <c r="J9920" i="1"/>
  <c r="J9919" i="1"/>
  <c r="J9918" i="1"/>
  <c r="J9917" i="1"/>
  <c r="J9916" i="1"/>
  <c r="J9915" i="1"/>
  <c r="J9914" i="1"/>
  <c r="J9913" i="1"/>
  <c r="J9912" i="1"/>
  <c r="J9911" i="1"/>
  <c r="J9910" i="1"/>
  <c r="J9909" i="1"/>
  <c r="J9908" i="1"/>
  <c r="J9907" i="1"/>
  <c r="J9906" i="1"/>
  <c r="J9905" i="1"/>
  <c r="J9904" i="1"/>
  <c r="J9903" i="1"/>
  <c r="J9902" i="1"/>
  <c r="J9901" i="1"/>
  <c r="J9900" i="1"/>
  <c r="J9899" i="1"/>
  <c r="J9898" i="1"/>
  <c r="J9897" i="1"/>
  <c r="J9896" i="1"/>
  <c r="J9895" i="1"/>
  <c r="J9894" i="1"/>
  <c r="J9893" i="1"/>
  <c r="J9892" i="1"/>
  <c r="J9891" i="1"/>
  <c r="J9890" i="1"/>
  <c r="J9889" i="1"/>
  <c r="J9888" i="1"/>
  <c r="J9887" i="1"/>
  <c r="J9886" i="1"/>
  <c r="J9885" i="1"/>
  <c r="J9884" i="1"/>
  <c r="J9883" i="1"/>
  <c r="J9882" i="1"/>
  <c r="J9881" i="1"/>
  <c r="J9880" i="1"/>
  <c r="J9879" i="1"/>
  <c r="J9878" i="1"/>
  <c r="J9877" i="1"/>
  <c r="J9876" i="1"/>
  <c r="J9875" i="1"/>
  <c r="J9874" i="1"/>
  <c r="J9873" i="1"/>
  <c r="J9872" i="1"/>
  <c r="J9871" i="1"/>
  <c r="J9870" i="1"/>
  <c r="J9869" i="1"/>
  <c r="J9868" i="1"/>
  <c r="J9867" i="1"/>
  <c r="J9866" i="1"/>
  <c r="J9865" i="1"/>
  <c r="J9864" i="1"/>
  <c r="J9863" i="1"/>
  <c r="J9862" i="1"/>
  <c r="J9861" i="1"/>
  <c r="J9860" i="1"/>
  <c r="J9859" i="1"/>
  <c r="J9858" i="1"/>
  <c r="J9857" i="1"/>
  <c r="J9856" i="1"/>
  <c r="J9855" i="1"/>
  <c r="J9854" i="1"/>
  <c r="J9853" i="1"/>
  <c r="J9852" i="1"/>
  <c r="J9851" i="1"/>
  <c r="J9850" i="1"/>
  <c r="J9849" i="1"/>
  <c r="J9848" i="1"/>
  <c r="J9847" i="1"/>
  <c r="J9846" i="1"/>
  <c r="J9845" i="1"/>
  <c r="J9844" i="1"/>
  <c r="J9843" i="1"/>
  <c r="J9842" i="1"/>
  <c r="J9841" i="1"/>
  <c r="J9840" i="1"/>
  <c r="J9839" i="1"/>
  <c r="J9838" i="1"/>
  <c r="J9837" i="1"/>
  <c r="J9836" i="1"/>
  <c r="J9835" i="1"/>
  <c r="J9834" i="1"/>
  <c r="J9833" i="1"/>
  <c r="J9832" i="1"/>
  <c r="J9831" i="1"/>
  <c r="J9830" i="1"/>
  <c r="J9829" i="1"/>
  <c r="J9828" i="1"/>
  <c r="J9827" i="1"/>
  <c r="J9826" i="1"/>
  <c r="J9825" i="1"/>
  <c r="J9824" i="1"/>
  <c r="J9823" i="1"/>
  <c r="J9822" i="1"/>
  <c r="J9821" i="1"/>
  <c r="J9820" i="1"/>
  <c r="J9819" i="1"/>
  <c r="J9818" i="1"/>
  <c r="J9817" i="1"/>
  <c r="J9816" i="1"/>
  <c r="J9815" i="1"/>
  <c r="J9814" i="1"/>
  <c r="J9813" i="1"/>
  <c r="J9812" i="1"/>
  <c r="J9811" i="1"/>
  <c r="J9810" i="1"/>
  <c r="J9809" i="1"/>
  <c r="J9808" i="1"/>
  <c r="J9807" i="1"/>
  <c r="J9806" i="1"/>
  <c r="J9805" i="1"/>
  <c r="J9804" i="1"/>
  <c r="J9803" i="1"/>
  <c r="J9802" i="1"/>
  <c r="J9801" i="1"/>
  <c r="J9800" i="1"/>
  <c r="J9799" i="1"/>
  <c r="J9798" i="1"/>
  <c r="J9797" i="1"/>
  <c r="J9796" i="1"/>
  <c r="J9795" i="1"/>
  <c r="J9794" i="1"/>
  <c r="J9793" i="1"/>
  <c r="J9792" i="1"/>
  <c r="J9791" i="1"/>
  <c r="J9790" i="1"/>
  <c r="J9789" i="1"/>
  <c r="J9788" i="1"/>
  <c r="J9787" i="1"/>
  <c r="J9786" i="1"/>
  <c r="J9785" i="1"/>
  <c r="J9784" i="1"/>
  <c r="J9783" i="1"/>
  <c r="J9782" i="1"/>
  <c r="J9781" i="1"/>
  <c r="J9780" i="1"/>
  <c r="J9779" i="1"/>
  <c r="J9778" i="1"/>
  <c r="J9777" i="1"/>
  <c r="J9776" i="1"/>
  <c r="J9775" i="1"/>
  <c r="J9774" i="1"/>
  <c r="J9773" i="1"/>
  <c r="J9772" i="1"/>
  <c r="J9771" i="1"/>
  <c r="J9770" i="1"/>
  <c r="J9769" i="1"/>
  <c r="J9768" i="1"/>
  <c r="J9767" i="1"/>
  <c r="J9766" i="1"/>
  <c r="J9765" i="1"/>
  <c r="J9764" i="1"/>
  <c r="J9763" i="1"/>
  <c r="J9762" i="1"/>
  <c r="J9761" i="1"/>
  <c r="J9760" i="1"/>
  <c r="J9759" i="1"/>
  <c r="J9758" i="1"/>
  <c r="J9757" i="1"/>
  <c r="J9756" i="1"/>
  <c r="J9755" i="1"/>
  <c r="J9754" i="1"/>
  <c r="J9753" i="1"/>
  <c r="J9752" i="1"/>
  <c r="J9751" i="1"/>
  <c r="J9750" i="1"/>
  <c r="J9749" i="1"/>
  <c r="J9748" i="1"/>
  <c r="J9747" i="1"/>
  <c r="J9746" i="1"/>
  <c r="J9745" i="1"/>
  <c r="J9744" i="1"/>
  <c r="J9743" i="1"/>
  <c r="J9742" i="1"/>
  <c r="J9741" i="1"/>
  <c r="J9740" i="1"/>
  <c r="J9739" i="1"/>
  <c r="J9738" i="1"/>
  <c r="J9737" i="1"/>
  <c r="J9736" i="1"/>
  <c r="J9735" i="1"/>
  <c r="J9734" i="1"/>
  <c r="J9733" i="1"/>
  <c r="J9732" i="1"/>
  <c r="J9731" i="1"/>
  <c r="J9730" i="1"/>
  <c r="J9729" i="1"/>
  <c r="J9728" i="1"/>
  <c r="J9727" i="1"/>
  <c r="J9726" i="1"/>
  <c r="J9725" i="1"/>
  <c r="J9724" i="1"/>
  <c r="J9723" i="1"/>
  <c r="J9722" i="1"/>
  <c r="J9721" i="1"/>
  <c r="J9720" i="1"/>
  <c r="J9719" i="1"/>
  <c r="J9718" i="1"/>
  <c r="J9717" i="1"/>
  <c r="J9716" i="1"/>
  <c r="J9715" i="1"/>
  <c r="J9714" i="1"/>
  <c r="J9713" i="1"/>
  <c r="J9712" i="1"/>
  <c r="J9711" i="1"/>
  <c r="J9710" i="1"/>
  <c r="J9709" i="1"/>
  <c r="J9708" i="1"/>
  <c r="J9707" i="1"/>
  <c r="J9706" i="1"/>
  <c r="J9705" i="1"/>
  <c r="J9704" i="1"/>
  <c r="J9703" i="1"/>
  <c r="J9702" i="1"/>
  <c r="J9701" i="1"/>
  <c r="J9700" i="1"/>
  <c r="J9699" i="1"/>
  <c r="J9698" i="1"/>
  <c r="J9697" i="1"/>
  <c r="J9696" i="1"/>
  <c r="J9695" i="1"/>
  <c r="J9694" i="1"/>
  <c r="J9693" i="1"/>
  <c r="J9692" i="1"/>
  <c r="J9691" i="1"/>
  <c r="J9690" i="1"/>
  <c r="J9689" i="1"/>
  <c r="J9688" i="1"/>
  <c r="J9687" i="1"/>
  <c r="J9686" i="1"/>
  <c r="J9685" i="1"/>
  <c r="J9684" i="1"/>
  <c r="J9683" i="1"/>
  <c r="J9682" i="1"/>
  <c r="J9681" i="1"/>
  <c r="J9680" i="1"/>
  <c r="J9679" i="1"/>
  <c r="J9678" i="1"/>
  <c r="J9677" i="1"/>
  <c r="J9676" i="1"/>
  <c r="J9675" i="1"/>
  <c r="J9674" i="1"/>
  <c r="J9673" i="1"/>
  <c r="J9672" i="1"/>
  <c r="J9671" i="1"/>
  <c r="J9670" i="1"/>
  <c r="J9669" i="1"/>
  <c r="J9668" i="1"/>
  <c r="J9667" i="1"/>
  <c r="J9666" i="1"/>
  <c r="J9665" i="1"/>
  <c r="J9664" i="1"/>
  <c r="J9663" i="1"/>
  <c r="J9662" i="1"/>
  <c r="J9661" i="1"/>
  <c r="J9660" i="1"/>
  <c r="J9659" i="1"/>
  <c r="J9658" i="1"/>
  <c r="J9657" i="1"/>
  <c r="J9656" i="1"/>
  <c r="J9655" i="1"/>
  <c r="J9654" i="1"/>
  <c r="J9653" i="1"/>
  <c r="J9652" i="1"/>
  <c r="J9651" i="1"/>
  <c r="J9650" i="1"/>
  <c r="J9649" i="1"/>
  <c r="J9648" i="1"/>
  <c r="J9647" i="1"/>
  <c r="J9646" i="1"/>
  <c r="J9645" i="1"/>
  <c r="J9644" i="1"/>
  <c r="J9643" i="1"/>
  <c r="J9642" i="1"/>
  <c r="J9641" i="1"/>
  <c r="J9640" i="1"/>
  <c r="J9639" i="1"/>
  <c r="J9638" i="1"/>
  <c r="J9637" i="1"/>
  <c r="J9636" i="1"/>
  <c r="J9635" i="1"/>
  <c r="J9634" i="1"/>
  <c r="J9633" i="1"/>
  <c r="J9632" i="1"/>
  <c r="J9631" i="1"/>
  <c r="J9630" i="1"/>
  <c r="J9629" i="1"/>
  <c r="J9628" i="1"/>
  <c r="J9627" i="1"/>
  <c r="J9626" i="1"/>
  <c r="J9625" i="1"/>
  <c r="J9624" i="1"/>
  <c r="J9623" i="1"/>
  <c r="J9622" i="1"/>
  <c r="J9621" i="1"/>
  <c r="J9620" i="1"/>
  <c r="J9619" i="1"/>
  <c r="J9618" i="1"/>
  <c r="J9617" i="1"/>
  <c r="J9616" i="1"/>
  <c r="J9615" i="1"/>
  <c r="J9614" i="1"/>
  <c r="J9613" i="1"/>
  <c r="J9612" i="1"/>
  <c r="J9611" i="1"/>
  <c r="J9610" i="1"/>
  <c r="J9609" i="1"/>
  <c r="J9608" i="1"/>
  <c r="J9607" i="1"/>
  <c r="J9606" i="1"/>
  <c r="J9605" i="1"/>
  <c r="J9604" i="1"/>
  <c r="J9603" i="1"/>
  <c r="J9602" i="1"/>
  <c r="J9601" i="1"/>
  <c r="J9600" i="1"/>
  <c r="J9599" i="1"/>
  <c r="J9598" i="1"/>
  <c r="J9597" i="1"/>
  <c r="J9596" i="1"/>
  <c r="J9595" i="1"/>
  <c r="J9594" i="1"/>
  <c r="J9593" i="1"/>
  <c r="J9592" i="1"/>
  <c r="J9591" i="1"/>
  <c r="J9590" i="1"/>
  <c r="J9589" i="1"/>
  <c r="J9588" i="1"/>
  <c r="J9587" i="1"/>
  <c r="J9586" i="1"/>
  <c r="J9585" i="1"/>
  <c r="J9584" i="1"/>
  <c r="J9583" i="1"/>
  <c r="J9582" i="1"/>
  <c r="J9581" i="1"/>
  <c r="J9580" i="1"/>
  <c r="J9579" i="1"/>
  <c r="J9578" i="1"/>
  <c r="J9577" i="1"/>
  <c r="J9576" i="1"/>
  <c r="J9575" i="1"/>
  <c r="J9574" i="1"/>
  <c r="J9573" i="1"/>
  <c r="J9572" i="1"/>
  <c r="J9571" i="1"/>
  <c r="J9570" i="1"/>
  <c r="J9569" i="1"/>
  <c r="J9568" i="1"/>
  <c r="J9567" i="1"/>
  <c r="J9566" i="1"/>
  <c r="J9565" i="1"/>
  <c r="J9564" i="1"/>
  <c r="J9563" i="1"/>
  <c r="J9562" i="1"/>
  <c r="J9561" i="1"/>
  <c r="J9560" i="1"/>
  <c r="J9559" i="1"/>
  <c r="J9558" i="1"/>
  <c r="J9557" i="1"/>
  <c r="J9556" i="1"/>
  <c r="J9555" i="1"/>
  <c r="J9554" i="1"/>
  <c r="J9553" i="1"/>
  <c r="J9552" i="1"/>
  <c r="J9551" i="1"/>
  <c r="J9550" i="1"/>
  <c r="J9549" i="1"/>
  <c r="J9548" i="1"/>
  <c r="J9547" i="1"/>
  <c r="J9546" i="1"/>
  <c r="J9545" i="1"/>
  <c r="J9544" i="1"/>
  <c r="J9543" i="1"/>
  <c r="J9542" i="1"/>
  <c r="J9541" i="1"/>
  <c r="J9540" i="1"/>
  <c r="J9539" i="1"/>
  <c r="J9538" i="1"/>
  <c r="J9537" i="1"/>
  <c r="J9536" i="1"/>
  <c r="J9535" i="1"/>
  <c r="J9534" i="1"/>
  <c r="J9533" i="1"/>
  <c r="J9532" i="1"/>
  <c r="J9531" i="1"/>
  <c r="J9530" i="1"/>
  <c r="J9529" i="1"/>
  <c r="J9528" i="1"/>
  <c r="J9527" i="1"/>
  <c r="J9526" i="1"/>
  <c r="J9525" i="1"/>
  <c r="J9524" i="1"/>
  <c r="J9523" i="1"/>
  <c r="J9522" i="1"/>
  <c r="J9521" i="1"/>
  <c r="J9520" i="1"/>
  <c r="J9519" i="1"/>
  <c r="J9518" i="1"/>
  <c r="J9517" i="1"/>
  <c r="J9516" i="1"/>
  <c r="J9515" i="1"/>
  <c r="J9514" i="1"/>
  <c r="J9513" i="1"/>
  <c r="J9512" i="1"/>
  <c r="J9511" i="1"/>
  <c r="J9510" i="1"/>
  <c r="J9509" i="1"/>
  <c r="J9508" i="1"/>
  <c r="J9507" i="1"/>
  <c r="J9506" i="1"/>
  <c r="J9505" i="1"/>
  <c r="J9504" i="1"/>
  <c r="J9503" i="1"/>
  <c r="J9502" i="1"/>
  <c r="J9501" i="1"/>
  <c r="J9500" i="1"/>
  <c r="J9499" i="1"/>
  <c r="J9498" i="1"/>
  <c r="J9497" i="1"/>
  <c r="J9496" i="1"/>
  <c r="J9495" i="1"/>
  <c r="J9494" i="1"/>
  <c r="J9493" i="1"/>
  <c r="J9492" i="1"/>
  <c r="J9491" i="1"/>
  <c r="J9490" i="1"/>
  <c r="J9489" i="1"/>
  <c r="J9488" i="1"/>
  <c r="J9487" i="1"/>
  <c r="J9486" i="1"/>
  <c r="J9485" i="1"/>
  <c r="J9484" i="1"/>
  <c r="J9483" i="1"/>
  <c r="J9482" i="1"/>
  <c r="J9481" i="1"/>
  <c r="J9480" i="1"/>
  <c r="J9479" i="1"/>
  <c r="J9478" i="1"/>
  <c r="J9477" i="1"/>
  <c r="J9476" i="1"/>
  <c r="J9475" i="1"/>
  <c r="J9474" i="1"/>
  <c r="J9473" i="1"/>
  <c r="J9472" i="1"/>
  <c r="J9471" i="1"/>
  <c r="J9470" i="1"/>
  <c r="J9469" i="1"/>
  <c r="J9468" i="1"/>
  <c r="J9467" i="1"/>
  <c r="J9466" i="1"/>
  <c r="J9465" i="1"/>
  <c r="J9464" i="1"/>
  <c r="J9463" i="1"/>
  <c r="J9462" i="1"/>
  <c r="J9461" i="1"/>
  <c r="J9460" i="1"/>
  <c r="J9459" i="1"/>
  <c r="J9458" i="1"/>
  <c r="J9457" i="1"/>
  <c r="J9456" i="1"/>
  <c r="J9455" i="1"/>
  <c r="J9454" i="1"/>
  <c r="J9453" i="1"/>
  <c r="J9452" i="1"/>
  <c r="J9451" i="1"/>
  <c r="J9450" i="1"/>
  <c r="J9449" i="1"/>
  <c r="J9448" i="1"/>
  <c r="J9447" i="1"/>
  <c r="J9446" i="1"/>
  <c r="J9445" i="1"/>
  <c r="J9444" i="1"/>
  <c r="J9443" i="1"/>
  <c r="J9442" i="1"/>
  <c r="J9441" i="1"/>
  <c r="J9440" i="1"/>
  <c r="J9439" i="1"/>
  <c r="J9438" i="1"/>
  <c r="J9437" i="1"/>
  <c r="J9436" i="1"/>
  <c r="J9435" i="1"/>
  <c r="J9434" i="1"/>
  <c r="J9433" i="1"/>
  <c r="J9432" i="1"/>
  <c r="J9431" i="1"/>
  <c r="J9430" i="1"/>
  <c r="J9429" i="1"/>
  <c r="J9428" i="1"/>
  <c r="J9427" i="1"/>
  <c r="J9426" i="1"/>
  <c r="J9425" i="1"/>
  <c r="J9424" i="1"/>
  <c r="J9423" i="1"/>
  <c r="J9422" i="1"/>
  <c r="J9421" i="1"/>
  <c r="J9420" i="1"/>
  <c r="J9419" i="1"/>
  <c r="J9418" i="1"/>
  <c r="J9417" i="1"/>
  <c r="J9416" i="1"/>
  <c r="J9415" i="1"/>
  <c r="J9414" i="1"/>
  <c r="J9413" i="1"/>
  <c r="J9412" i="1"/>
  <c r="J9411" i="1"/>
  <c r="J9410" i="1"/>
  <c r="J9409" i="1"/>
  <c r="J9408" i="1"/>
  <c r="J9407" i="1"/>
  <c r="J9406" i="1"/>
  <c r="J9405" i="1"/>
  <c r="J9404" i="1"/>
  <c r="J9403" i="1"/>
  <c r="J9402" i="1"/>
  <c r="J9401" i="1"/>
  <c r="J9400" i="1"/>
  <c r="J9399" i="1"/>
  <c r="J9398" i="1"/>
  <c r="J9397" i="1"/>
  <c r="J9396" i="1"/>
  <c r="J9395" i="1"/>
  <c r="J9394" i="1"/>
  <c r="J9393" i="1"/>
  <c r="J9392" i="1"/>
  <c r="J9391" i="1"/>
  <c r="J9390" i="1"/>
  <c r="J9389" i="1"/>
  <c r="J9388" i="1"/>
  <c r="J9387" i="1"/>
  <c r="J9386" i="1"/>
  <c r="J9385" i="1"/>
  <c r="J9384" i="1"/>
  <c r="J9383" i="1"/>
  <c r="J9382" i="1"/>
  <c r="J9381" i="1"/>
  <c r="J9380" i="1"/>
  <c r="J9379" i="1"/>
  <c r="J9378" i="1"/>
  <c r="J9377" i="1"/>
  <c r="J9376" i="1"/>
  <c r="J9375" i="1"/>
  <c r="J9374" i="1"/>
  <c r="J9373" i="1"/>
  <c r="J9372" i="1"/>
  <c r="J9371" i="1"/>
  <c r="J9370" i="1"/>
  <c r="J9369" i="1"/>
  <c r="J9368" i="1"/>
  <c r="J9367" i="1"/>
  <c r="J9366" i="1"/>
  <c r="J9365" i="1"/>
  <c r="J9364" i="1"/>
  <c r="J9363" i="1"/>
  <c r="J9362" i="1"/>
  <c r="J9361" i="1"/>
  <c r="J9360" i="1"/>
  <c r="J9359" i="1"/>
  <c r="J9358" i="1"/>
  <c r="J9357" i="1"/>
  <c r="J9356" i="1"/>
  <c r="J9355" i="1"/>
  <c r="J9354" i="1"/>
  <c r="J9353" i="1"/>
  <c r="J9352" i="1"/>
  <c r="J9351" i="1"/>
  <c r="J9350" i="1"/>
  <c r="J9349" i="1"/>
  <c r="J9348" i="1"/>
  <c r="J9347" i="1"/>
  <c r="J9346" i="1"/>
  <c r="J9345" i="1"/>
  <c r="J9344" i="1"/>
  <c r="J9343" i="1"/>
  <c r="J9342" i="1"/>
  <c r="J9341" i="1"/>
  <c r="J9340" i="1"/>
  <c r="J9339" i="1"/>
  <c r="J9338" i="1"/>
  <c r="J9337" i="1"/>
  <c r="J9336" i="1"/>
  <c r="J9335" i="1"/>
  <c r="J9334" i="1"/>
  <c r="J9333" i="1"/>
  <c r="J9332" i="1"/>
  <c r="J9331" i="1"/>
  <c r="J9330" i="1"/>
  <c r="J9329" i="1"/>
  <c r="J9328" i="1"/>
  <c r="J9327" i="1"/>
  <c r="J9326" i="1"/>
  <c r="J9325" i="1"/>
  <c r="J9324" i="1"/>
  <c r="J9323" i="1"/>
  <c r="J9322" i="1"/>
  <c r="J9321" i="1"/>
  <c r="J9320" i="1"/>
  <c r="J9319" i="1"/>
  <c r="J9318" i="1"/>
  <c r="J9317" i="1"/>
  <c r="J9316" i="1"/>
  <c r="J9315" i="1"/>
  <c r="J9314" i="1"/>
  <c r="J9313" i="1"/>
  <c r="J9312" i="1"/>
  <c r="J9311" i="1"/>
  <c r="J9310" i="1"/>
  <c r="J9309" i="1"/>
  <c r="J9308" i="1"/>
  <c r="J9307" i="1"/>
  <c r="J9306" i="1"/>
  <c r="J9305" i="1"/>
  <c r="J9304" i="1"/>
  <c r="J9303" i="1"/>
  <c r="J9302" i="1"/>
  <c r="J9301" i="1"/>
  <c r="J9300" i="1"/>
  <c r="J9299" i="1"/>
  <c r="J9298" i="1"/>
  <c r="J9297" i="1"/>
  <c r="J9296" i="1"/>
  <c r="J9295" i="1"/>
  <c r="J9294" i="1"/>
  <c r="J9293" i="1"/>
  <c r="J9292" i="1"/>
  <c r="J9291" i="1"/>
  <c r="J9290" i="1"/>
  <c r="J9289" i="1"/>
  <c r="J9288" i="1"/>
  <c r="J9287" i="1"/>
  <c r="J9286" i="1"/>
  <c r="J9285" i="1"/>
  <c r="J9284" i="1"/>
  <c r="J9283" i="1"/>
  <c r="J9282" i="1"/>
  <c r="J9281" i="1"/>
  <c r="J9280" i="1"/>
  <c r="J9279" i="1"/>
  <c r="J9278" i="1"/>
  <c r="J9277" i="1"/>
  <c r="J9276" i="1"/>
  <c r="J9275" i="1"/>
  <c r="J9274" i="1"/>
  <c r="J9273" i="1"/>
  <c r="J9272" i="1"/>
  <c r="J9271" i="1"/>
  <c r="J9270" i="1"/>
  <c r="J9269" i="1"/>
  <c r="J9268" i="1"/>
  <c r="J9267" i="1"/>
  <c r="J9266" i="1"/>
  <c r="J9265" i="1"/>
  <c r="J9264" i="1"/>
  <c r="J9263" i="1"/>
  <c r="J9262" i="1"/>
  <c r="J9261" i="1"/>
  <c r="J9260" i="1"/>
  <c r="J9259" i="1"/>
  <c r="J9258" i="1"/>
  <c r="J9257" i="1"/>
  <c r="J9256" i="1"/>
  <c r="J9255" i="1"/>
  <c r="J9254" i="1"/>
  <c r="J9253" i="1"/>
  <c r="J9252" i="1"/>
  <c r="J9251" i="1"/>
  <c r="J9250" i="1"/>
  <c r="J9249" i="1"/>
  <c r="J9248" i="1"/>
  <c r="J9247" i="1"/>
  <c r="J9246" i="1"/>
  <c r="J9245" i="1"/>
  <c r="J9244" i="1"/>
  <c r="J9243" i="1"/>
  <c r="J9242" i="1"/>
  <c r="J9241" i="1"/>
  <c r="J9240" i="1"/>
  <c r="J9239" i="1"/>
  <c r="J9238" i="1"/>
  <c r="J9237" i="1"/>
  <c r="J9236" i="1"/>
  <c r="J9235" i="1"/>
  <c r="J9234" i="1"/>
  <c r="J9233" i="1"/>
  <c r="J9232" i="1"/>
  <c r="J9231" i="1"/>
  <c r="J9230" i="1"/>
  <c r="J9229" i="1"/>
  <c r="J9228" i="1"/>
  <c r="J9227" i="1"/>
  <c r="J9226" i="1"/>
  <c r="J9225" i="1"/>
  <c r="J9224" i="1"/>
  <c r="J9223" i="1"/>
  <c r="J9222" i="1"/>
  <c r="J9221" i="1"/>
  <c r="J9220" i="1"/>
  <c r="J9219" i="1"/>
  <c r="J9218" i="1"/>
  <c r="J9217" i="1"/>
  <c r="J9216" i="1"/>
  <c r="J9215" i="1"/>
  <c r="J9214" i="1"/>
  <c r="J9213" i="1"/>
  <c r="J9212" i="1"/>
  <c r="J9211" i="1"/>
  <c r="J9210" i="1"/>
  <c r="J9209" i="1"/>
  <c r="J9208" i="1"/>
  <c r="J9207" i="1"/>
  <c r="J9206" i="1"/>
  <c r="J9205" i="1"/>
  <c r="J9204" i="1"/>
  <c r="J9203" i="1"/>
  <c r="J9202" i="1"/>
  <c r="J9201" i="1"/>
  <c r="J9200" i="1"/>
  <c r="J9199" i="1"/>
  <c r="J9198" i="1"/>
  <c r="J9197" i="1"/>
  <c r="J9196" i="1"/>
  <c r="J9195" i="1"/>
  <c r="J9194" i="1"/>
  <c r="J9193" i="1"/>
  <c r="J9192" i="1"/>
  <c r="J9191" i="1"/>
  <c r="J9190" i="1"/>
  <c r="J9189" i="1"/>
  <c r="J9188" i="1"/>
  <c r="J9187" i="1"/>
  <c r="J9186" i="1"/>
  <c r="J9185" i="1"/>
  <c r="J9184" i="1"/>
  <c r="J9183" i="1"/>
  <c r="J9182" i="1"/>
  <c r="J9181" i="1"/>
  <c r="J9180" i="1"/>
  <c r="J9179" i="1"/>
  <c r="J9178" i="1"/>
  <c r="J9177" i="1"/>
  <c r="J9176" i="1"/>
  <c r="J9175" i="1"/>
  <c r="J9174" i="1"/>
  <c r="J9173" i="1"/>
  <c r="J9172" i="1"/>
  <c r="J9171" i="1"/>
  <c r="J9170" i="1"/>
  <c r="J9169" i="1"/>
  <c r="J9168" i="1"/>
  <c r="J9167" i="1"/>
  <c r="J9166" i="1"/>
  <c r="J9165" i="1"/>
  <c r="J9164" i="1"/>
  <c r="J9163" i="1"/>
  <c r="J9162" i="1"/>
  <c r="J9161" i="1"/>
  <c r="J9160" i="1"/>
  <c r="J9159" i="1"/>
  <c r="J9158" i="1"/>
  <c r="J9157" i="1"/>
  <c r="J9156" i="1"/>
  <c r="J9155" i="1"/>
  <c r="J9154" i="1"/>
  <c r="J9153" i="1"/>
  <c r="J9152" i="1"/>
  <c r="J9151" i="1"/>
  <c r="J9150" i="1"/>
  <c r="J9149" i="1"/>
  <c r="J9148" i="1"/>
  <c r="J9147" i="1"/>
  <c r="J9146" i="1"/>
  <c r="J9145" i="1"/>
  <c r="J9144" i="1"/>
  <c r="J9143" i="1"/>
  <c r="J9142" i="1"/>
  <c r="J9141" i="1"/>
  <c r="J9140" i="1"/>
  <c r="J9139" i="1"/>
  <c r="J9138" i="1"/>
  <c r="J9137" i="1"/>
  <c r="J9136" i="1"/>
  <c r="J9135" i="1"/>
  <c r="J9134" i="1"/>
  <c r="J9133" i="1"/>
  <c r="J9132" i="1"/>
  <c r="J9131" i="1"/>
  <c r="J9130" i="1"/>
  <c r="J9129" i="1"/>
  <c r="J9128" i="1"/>
  <c r="J9127" i="1"/>
  <c r="J9126" i="1"/>
  <c r="J9125" i="1"/>
  <c r="J9124" i="1"/>
  <c r="J9123" i="1"/>
  <c r="J9122" i="1"/>
  <c r="J9121" i="1"/>
  <c r="J9120" i="1"/>
  <c r="J9119" i="1"/>
  <c r="J9118" i="1"/>
  <c r="J9117" i="1"/>
  <c r="J9116" i="1"/>
  <c r="J9115" i="1"/>
  <c r="J9114" i="1"/>
  <c r="J9113" i="1"/>
  <c r="J9112" i="1"/>
  <c r="J9111" i="1"/>
  <c r="J9110" i="1"/>
  <c r="J9109" i="1"/>
  <c r="J9108" i="1"/>
  <c r="J9107" i="1"/>
  <c r="J9106" i="1"/>
  <c r="J9105" i="1"/>
  <c r="J9104" i="1"/>
  <c r="J9103" i="1"/>
  <c r="J9102" i="1"/>
  <c r="J9101" i="1"/>
  <c r="J9100" i="1"/>
  <c r="J9099" i="1"/>
  <c r="J9098" i="1"/>
  <c r="J9097" i="1"/>
  <c r="J9096" i="1"/>
  <c r="J9095" i="1"/>
  <c r="J9094" i="1"/>
  <c r="J9093" i="1"/>
  <c r="J9092" i="1"/>
  <c r="J9091" i="1"/>
  <c r="J9090" i="1"/>
  <c r="J9089" i="1"/>
  <c r="J9088" i="1"/>
  <c r="J9087" i="1"/>
  <c r="J9086" i="1"/>
  <c r="J9085" i="1"/>
  <c r="J9084" i="1"/>
  <c r="J9083" i="1"/>
  <c r="J9082" i="1"/>
  <c r="J9081" i="1"/>
  <c r="J9080" i="1"/>
  <c r="J9079" i="1"/>
  <c r="J9078" i="1"/>
  <c r="J9077" i="1"/>
  <c r="J9076" i="1"/>
  <c r="J9075" i="1"/>
  <c r="J9074" i="1"/>
  <c r="J9073" i="1"/>
  <c r="J9072" i="1"/>
  <c r="J9071" i="1"/>
  <c r="J9070" i="1"/>
  <c r="J9069" i="1"/>
  <c r="J9068" i="1"/>
  <c r="J9067" i="1"/>
  <c r="J9066" i="1"/>
  <c r="J9065" i="1"/>
  <c r="J9064" i="1"/>
  <c r="J9063" i="1"/>
  <c r="J9062" i="1"/>
  <c r="J9061" i="1"/>
  <c r="J9060" i="1"/>
  <c r="J9059" i="1"/>
  <c r="J9058" i="1"/>
  <c r="J9057" i="1"/>
  <c r="J9056" i="1"/>
  <c r="J9055" i="1"/>
  <c r="J9054" i="1"/>
  <c r="J9053" i="1"/>
  <c r="J9052" i="1"/>
  <c r="J9051" i="1"/>
  <c r="J9050" i="1"/>
  <c r="J9049" i="1"/>
  <c r="J9048" i="1"/>
  <c r="J9047" i="1"/>
  <c r="J9046" i="1"/>
  <c r="J9045" i="1"/>
  <c r="J9044" i="1"/>
  <c r="J9043" i="1"/>
  <c r="J9042" i="1"/>
  <c r="J9041" i="1"/>
  <c r="J9040" i="1"/>
  <c r="J9039" i="1"/>
  <c r="J9038" i="1"/>
  <c r="J9037" i="1"/>
  <c r="J9036" i="1"/>
  <c r="J9035" i="1"/>
  <c r="J9034" i="1"/>
  <c r="J9033" i="1"/>
  <c r="J9032" i="1"/>
  <c r="J9031" i="1"/>
  <c r="J9030" i="1"/>
  <c r="J9029" i="1"/>
  <c r="J9028" i="1"/>
  <c r="J9027" i="1"/>
  <c r="J9026" i="1"/>
  <c r="J9025" i="1"/>
  <c r="J9024" i="1"/>
  <c r="J9023" i="1"/>
  <c r="J9022" i="1"/>
  <c r="J9021" i="1"/>
  <c r="J9020" i="1"/>
  <c r="J9019" i="1"/>
  <c r="J9018" i="1"/>
  <c r="J9017" i="1"/>
  <c r="J9016" i="1"/>
  <c r="J9015" i="1"/>
  <c r="J9014" i="1"/>
  <c r="J9013" i="1"/>
  <c r="J9012" i="1"/>
  <c r="J9011" i="1"/>
  <c r="J9010" i="1"/>
  <c r="J9009" i="1"/>
  <c r="J9008" i="1"/>
  <c r="J9007" i="1"/>
  <c r="J9006" i="1"/>
  <c r="J9005" i="1"/>
  <c r="J9004" i="1"/>
  <c r="J9003" i="1"/>
  <c r="J9002" i="1"/>
  <c r="J9001" i="1"/>
  <c r="J9000" i="1"/>
  <c r="J8999" i="1"/>
  <c r="J8998" i="1"/>
  <c r="J8997" i="1"/>
  <c r="J8996" i="1"/>
  <c r="J8995" i="1"/>
  <c r="J8994" i="1"/>
  <c r="J8993" i="1"/>
  <c r="J8992" i="1"/>
  <c r="J8991" i="1"/>
  <c r="J8990" i="1"/>
  <c r="J8989" i="1"/>
  <c r="J8988" i="1"/>
  <c r="J8987" i="1"/>
  <c r="J8986" i="1"/>
  <c r="J8985" i="1"/>
  <c r="J8984" i="1"/>
  <c r="J8983" i="1"/>
  <c r="J8982" i="1"/>
  <c r="J8981" i="1"/>
  <c r="J8980" i="1"/>
  <c r="J8979" i="1"/>
  <c r="J8978" i="1"/>
  <c r="J8977" i="1"/>
  <c r="J8976" i="1"/>
  <c r="J8975" i="1"/>
  <c r="J8974" i="1"/>
  <c r="J8973" i="1"/>
  <c r="J8972" i="1"/>
  <c r="J8971" i="1"/>
  <c r="J8970" i="1"/>
  <c r="J8969" i="1"/>
  <c r="J8968" i="1"/>
  <c r="J8967" i="1"/>
  <c r="J8966" i="1"/>
  <c r="J8965" i="1"/>
  <c r="J8964" i="1"/>
  <c r="J8963" i="1"/>
  <c r="J8962" i="1"/>
  <c r="J8961" i="1"/>
  <c r="J8960" i="1"/>
  <c r="J8959" i="1"/>
  <c r="J8958" i="1"/>
  <c r="J8957" i="1"/>
  <c r="J8956" i="1"/>
  <c r="J8955" i="1"/>
  <c r="J8954" i="1"/>
  <c r="J8953" i="1"/>
  <c r="J8952" i="1"/>
  <c r="J8951" i="1"/>
  <c r="J8950" i="1"/>
  <c r="J8949" i="1"/>
  <c r="J8948" i="1"/>
  <c r="J8947" i="1"/>
  <c r="J8946" i="1"/>
  <c r="J8945" i="1"/>
  <c r="J8944" i="1"/>
  <c r="J8943" i="1"/>
  <c r="J8942" i="1"/>
  <c r="J8941" i="1"/>
  <c r="J8940" i="1"/>
  <c r="J8939" i="1"/>
  <c r="J8938" i="1"/>
  <c r="J8937" i="1"/>
  <c r="J8936" i="1"/>
  <c r="J8935" i="1"/>
  <c r="J8934" i="1"/>
  <c r="J8933" i="1"/>
  <c r="J8932" i="1"/>
  <c r="J8931" i="1"/>
  <c r="J8930" i="1"/>
  <c r="J8929" i="1"/>
  <c r="J8928" i="1"/>
  <c r="J8927" i="1"/>
  <c r="J8926" i="1"/>
  <c r="J8925" i="1"/>
  <c r="J8924" i="1"/>
  <c r="J8923" i="1"/>
  <c r="J8922" i="1"/>
  <c r="J8921" i="1"/>
  <c r="J8920" i="1"/>
  <c r="J8919" i="1"/>
  <c r="J8918" i="1"/>
  <c r="J8917" i="1"/>
  <c r="J8916" i="1"/>
  <c r="J8915" i="1"/>
  <c r="J8914" i="1"/>
  <c r="J8913" i="1"/>
  <c r="J8912" i="1"/>
  <c r="J8911" i="1"/>
  <c r="J8910" i="1"/>
  <c r="J8909" i="1"/>
  <c r="J8908" i="1"/>
  <c r="J8907" i="1"/>
  <c r="J8906" i="1"/>
  <c r="J8905" i="1"/>
  <c r="J8904" i="1"/>
  <c r="J8903" i="1"/>
  <c r="J8902" i="1"/>
  <c r="J8901" i="1"/>
  <c r="J8900" i="1"/>
  <c r="J8899" i="1"/>
  <c r="J8898" i="1"/>
  <c r="J8897" i="1"/>
  <c r="J8896" i="1"/>
  <c r="J8895" i="1"/>
  <c r="J8894" i="1"/>
  <c r="J8893" i="1"/>
  <c r="J8892" i="1"/>
  <c r="J8891" i="1"/>
  <c r="J8890" i="1"/>
  <c r="J8889" i="1"/>
  <c r="J8888" i="1"/>
  <c r="J8887" i="1"/>
  <c r="J8886" i="1"/>
  <c r="J8885" i="1"/>
  <c r="J8884" i="1"/>
  <c r="J8883" i="1"/>
  <c r="J8882" i="1"/>
  <c r="J8881" i="1"/>
  <c r="J8880" i="1"/>
  <c r="J8879" i="1"/>
  <c r="J8878" i="1"/>
  <c r="J8877" i="1"/>
  <c r="J8876" i="1"/>
  <c r="J8875" i="1"/>
  <c r="J8874" i="1"/>
  <c r="J8873" i="1"/>
  <c r="J8872" i="1"/>
  <c r="J8871" i="1"/>
  <c r="J8870" i="1"/>
  <c r="J8869" i="1"/>
  <c r="J8868" i="1"/>
  <c r="J8867" i="1"/>
  <c r="J8866" i="1"/>
  <c r="J8865" i="1"/>
  <c r="J8864" i="1"/>
  <c r="J8863" i="1"/>
  <c r="J8862" i="1"/>
  <c r="J8861" i="1"/>
  <c r="J8860" i="1"/>
  <c r="J8859" i="1"/>
  <c r="J8858" i="1"/>
  <c r="J8857" i="1"/>
  <c r="J8856" i="1"/>
  <c r="J8855" i="1"/>
  <c r="J8854" i="1"/>
  <c r="J8853" i="1"/>
  <c r="J8852" i="1"/>
  <c r="J8851" i="1"/>
  <c r="J8850" i="1"/>
  <c r="J8849" i="1"/>
  <c r="J8848" i="1"/>
  <c r="J8847" i="1"/>
  <c r="J8846" i="1"/>
  <c r="J8845" i="1"/>
  <c r="J8844" i="1"/>
  <c r="J8843" i="1"/>
  <c r="J8842" i="1"/>
  <c r="J8841" i="1"/>
  <c r="J8840" i="1"/>
  <c r="J8839" i="1"/>
  <c r="J8838" i="1"/>
  <c r="J8837" i="1"/>
  <c r="J8836" i="1"/>
  <c r="J8835" i="1"/>
  <c r="J8834" i="1"/>
  <c r="J8833" i="1"/>
  <c r="J8832" i="1"/>
  <c r="J8831" i="1"/>
  <c r="J8830" i="1"/>
  <c r="J8829" i="1"/>
  <c r="J8828" i="1"/>
  <c r="J8827" i="1"/>
  <c r="J8826" i="1"/>
  <c r="J8825" i="1"/>
  <c r="J8824" i="1"/>
  <c r="J8823" i="1"/>
  <c r="J8822" i="1"/>
  <c r="J8821" i="1"/>
  <c r="J8820" i="1"/>
  <c r="J8819" i="1"/>
  <c r="J8818" i="1"/>
  <c r="J8817" i="1"/>
  <c r="J8816" i="1"/>
  <c r="J8815" i="1"/>
  <c r="J8814" i="1"/>
  <c r="J8813" i="1"/>
  <c r="J8812" i="1"/>
  <c r="J8811" i="1"/>
  <c r="J8810" i="1"/>
  <c r="J8809" i="1"/>
  <c r="J8808" i="1"/>
  <c r="J8807" i="1"/>
  <c r="J8806" i="1"/>
  <c r="J8805" i="1"/>
  <c r="J8804" i="1"/>
  <c r="J8803" i="1"/>
  <c r="J8802" i="1"/>
  <c r="J8801" i="1"/>
  <c r="J8800" i="1"/>
  <c r="J8799" i="1"/>
  <c r="J8798" i="1"/>
  <c r="J8797" i="1"/>
  <c r="J8796" i="1"/>
  <c r="J8795" i="1"/>
  <c r="J8794" i="1"/>
  <c r="J8793" i="1"/>
  <c r="J8792" i="1"/>
  <c r="J8791" i="1"/>
  <c r="J8790" i="1"/>
  <c r="J8789" i="1"/>
  <c r="J8788" i="1"/>
  <c r="J8787" i="1"/>
  <c r="J8786" i="1"/>
  <c r="J8785" i="1"/>
  <c r="J8784" i="1"/>
  <c r="J8783" i="1"/>
  <c r="J8782" i="1"/>
  <c r="J8781" i="1"/>
  <c r="J8780" i="1"/>
  <c r="J8779" i="1"/>
  <c r="J8778" i="1"/>
  <c r="J8777" i="1"/>
  <c r="J8776" i="1"/>
  <c r="J8775" i="1"/>
  <c r="J8774" i="1"/>
  <c r="J8773" i="1"/>
  <c r="J8772" i="1"/>
  <c r="J8771" i="1"/>
  <c r="J8770" i="1"/>
  <c r="J8769" i="1"/>
  <c r="J8768" i="1"/>
  <c r="J8767" i="1"/>
  <c r="J8766" i="1"/>
  <c r="J8765" i="1"/>
  <c r="J8764" i="1"/>
  <c r="J8763" i="1"/>
  <c r="J8762" i="1"/>
  <c r="J8761" i="1"/>
  <c r="J8760" i="1"/>
  <c r="J8759" i="1"/>
  <c r="J8758" i="1"/>
  <c r="J8757" i="1"/>
  <c r="J8756" i="1"/>
  <c r="J8755" i="1"/>
  <c r="J8754" i="1"/>
  <c r="J8753" i="1"/>
  <c r="J8752" i="1"/>
  <c r="J8751" i="1"/>
  <c r="J8750" i="1"/>
  <c r="J8749" i="1"/>
  <c r="J8748" i="1"/>
  <c r="J8747" i="1"/>
  <c r="J8746" i="1"/>
  <c r="J8745" i="1"/>
  <c r="J8744" i="1"/>
  <c r="J8743" i="1"/>
  <c r="J8742" i="1"/>
  <c r="J8741" i="1"/>
  <c r="J8740" i="1"/>
  <c r="J8739" i="1"/>
  <c r="J8738" i="1"/>
  <c r="J8737" i="1"/>
  <c r="J8736" i="1"/>
  <c r="J8735" i="1"/>
  <c r="J8734" i="1"/>
  <c r="J8733" i="1"/>
  <c r="J8732" i="1"/>
  <c r="J8731" i="1"/>
  <c r="J8730" i="1"/>
  <c r="J8729" i="1"/>
  <c r="J8728" i="1"/>
  <c r="J8727" i="1"/>
  <c r="J8726" i="1"/>
  <c r="J8725" i="1"/>
  <c r="J8724" i="1"/>
  <c r="J8723" i="1"/>
  <c r="J8722" i="1"/>
  <c r="J8721" i="1"/>
  <c r="J8720" i="1"/>
  <c r="J8719" i="1"/>
  <c r="J8718" i="1"/>
  <c r="J8717" i="1"/>
  <c r="J8716" i="1"/>
  <c r="J8715" i="1"/>
  <c r="J8714" i="1"/>
  <c r="J8713" i="1"/>
  <c r="J8712" i="1"/>
  <c r="J8711" i="1"/>
  <c r="J8710" i="1"/>
  <c r="J8709" i="1"/>
  <c r="J8708" i="1"/>
  <c r="J8707" i="1"/>
  <c r="J8706" i="1"/>
  <c r="J8705" i="1"/>
  <c r="J8704" i="1"/>
  <c r="J8703" i="1"/>
  <c r="J8702" i="1"/>
  <c r="J8701" i="1"/>
  <c r="J8700" i="1"/>
  <c r="J8699" i="1"/>
  <c r="J8698" i="1"/>
  <c r="J8697" i="1"/>
  <c r="J8696" i="1"/>
  <c r="J8695" i="1"/>
  <c r="J8694" i="1"/>
  <c r="J8693" i="1"/>
  <c r="J8692" i="1"/>
  <c r="J8691" i="1"/>
  <c r="J8690" i="1"/>
  <c r="J8689" i="1"/>
  <c r="J8688" i="1"/>
  <c r="J8687" i="1"/>
  <c r="J8686" i="1"/>
  <c r="J8685" i="1"/>
  <c r="J8684" i="1"/>
  <c r="J8683" i="1"/>
  <c r="J8682" i="1"/>
  <c r="J8681" i="1"/>
  <c r="J8680" i="1"/>
  <c r="J8679" i="1"/>
  <c r="J8678" i="1"/>
  <c r="J8677" i="1"/>
  <c r="J8676" i="1"/>
  <c r="J8675" i="1"/>
  <c r="J8674" i="1"/>
  <c r="J8673" i="1"/>
  <c r="J8672" i="1"/>
  <c r="J8671" i="1"/>
  <c r="J8670" i="1"/>
  <c r="J8669" i="1"/>
  <c r="J8668" i="1"/>
  <c r="J8667" i="1"/>
  <c r="J8666" i="1"/>
  <c r="J8665" i="1"/>
  <c r="J8664" i="1"/>
  <c r="J8663" i="1"/>
  <c r="J8662" i="1"/>
  <c r="J8661" i="1"/>
  <c r="J8660" i="1"/>
  <c r="J8659" i="1"/>
  <c r="J8658" i="1"/>
  <c r="J8657" i="1"/>
  <c r="J8656" i="1"/>
  <c r="J8655" i="1"/>
  <c r="J8654" i="1"/>
  <c r="J8653" i="1"/>
  <c r="J8652" i="1"/>
  <c r="J8651" i="1"/>
  <c r="J8650" i="1"/>
  <c r="J8649" i="1"/>
  <c r="J8648" i="1"/>
  <c r="J8647" i="1"/>
  <c r="J8646" i="1"/>
  <c r="J8645" i="1"/>
  <c r="J8644" i="1"/>
  <c r="J8643" i="1"/>
  <c r="J8642" i="1"/>
  <c r="J8641" i="1"/>
  <c r="J8640" i="1"/>
  <c r="J8639" i="1"/>
  <c r="J8638" i="1"/>
  <c r="J8637" i="1"/>
  <c r="J8636" i="1"/>
  <c r="J8635" i="1"/>
  <c r="J8634" i="1"/>
  <c r="J8633" i="1"/>
  <c r="J8632" i="1"/>
  <c r="J8631" i="1"/>
  <c r="J8630" i="1"/>
  <c r="J8629" i="1"/>
  <c r="J8628" i="1"/>
  <c r="J8627" i="1"/>
  <c r="J8626" i="1"/>
  <c r="J8625" i="1"/>
  <c r="J8624" i="1"/>
  <c r="J8623" i="1"/>
  <c r="J8622" i="1"/>
  <c r="J8621" i="1"/>
  <c r="J8620" i="1"/>
  <c r="J8619" i="1"/>
  <c r="J8618" i="1"/>
  <c r="J8617" i="1"/>
  <c r="J8616" i="1"/>
  <c r="J8615" i="1"/>
  <c r="J8614" i="1"/>
  <c r="J8613" i="1"/>
  <c r="J8612" i="1"/>
  <c r="J8611" i="1"/>
  <c r="J8610" i="1"/>
  <c r="J8609" i="1"/>
  <c r="J8608" i="1"/>
  <c r="J8607" i="1"/>
  <c r="J8606" i="1"/>
  <c r="J8605" i="1"/>
  <c r="J8604" i="1"/>
  <c r="J8603" i="1"/>
  <c r="J8602" i="1"/>
  <c r="J8601" i="1"/>
  <c r="J8600" i="1"/>
  <c r="J8599" i="1"/>
  <c r="J8598" i="1"/>
  <c r="J8597" i="1"/>
  <c r="J8596" i="1"/>
  <c r="J8595" i="1"/>
  <c r="J8594" i="1"/>
  <c r="J8593" i="1"/>
  <c r="J8592" i="1"/>
  <c r="J8591" i="1"/>
  <c r="J8590" i="1"/>
  <c r="J8589" i="1"/>
  <c r="J8588" i="1"/>
  <c r="J8587" i="1"/>
  <c r="J8586" i="1"/>
  <c r="J8585" i="1"/>
  <c r="J8584" i="1"/>
  <c r="J8583" i="1"/>
  <c r="J8582" i="1"/>
  <c r="J8581" i="1"/>
  <c r="J8580" i="1"/>
  <c r="J8579" i="1"/>
  <c r="J8578" i="1"/>
  <c r="J8577" i="1"/>
  <c r="J8576" i="1"/>
  <c r="J8575" i="1"/>
  <c r="J8574" i="1"/>
  <c r="J8573" i="1"/>
  <c r="J8572" i="1"/>
  <c r="J8571" i="1"/>
  <c r="J8570" i="1"/>
  <c r="J8569" i="1"/>
  <c r="J8568" i="1"/>
  <c r="J8567" i="1"/>
  <c r="J8566" i="1"/>
  <c r="J8565" i="1"/>
  <c r="J8564" i="1"/>
  <c r="J8563" i="1"/>
  <c r="J8562" i="1"/>
  <c r="J8561" i="1"/>
  <c r="J8560" i="1"/>
  <c r="J8559" i="1"/>
  <c r="J8558" i="1"/>
  <c r="J8557" i="1"/>
  <c r="J8556" i="1"/>
  <c r="J8555" i="1"/>
  <c r="J8554" i="1"/>
  <c r="J8553" i="1"/>
  <c r="J8552" i="1"/>
  <c r="J8551" i="1"/>
  <c r="J8550" i="1"/>
  <c r="J8549" i="1"/>
  <c r="J8548" i="1"/>
  <c r="J8547" i="1"/>
  <c r="J8546" i="1"/>
  <c r="J8545" i="1"/>
  <c r="J8544" i="1"/>
  <c r="J8543" i="1"/>
  <c r="J8542" i="1"/>
  <c r="J8541" i="1"/>
  <c r="J8540" i="1"/>
  <c r="J8539" i="1"/>
  <c r="J8538" i="1"/>
  <c r="J8537" i="1"/>
  <c r="J8536" i="1"/>
  <c r="J8535" i="1"/>
  <c r="J8534" i="1"/>
  <c r="J8533" i="1"/>
  <c r="J8532" i="1"/>
  <c r="J8531" i="1"/>
  <c r="J8530" i="1"/>
  <c r="J8529" i="1"/>
  <c r="J8528" i="1"/>
  <c r="J8527" i="1"/>
  <c r="J8526" i="1"/>
  <c r="J8525" i="1"/>
  <c r="J8524" i="1"/>
  <c r="J8523" i="1"/>
  <c r="J8522" i="1"/>
  <c r="J8521" i="1"/>
  <c r="J8520" i="1"/>
  <c r="J8519" i="1"/>
  <c r="J8518" i="1"/>
  <c r="J8517" i="1"/>
  <c r="J8516" i="1"/>
  <c r="J8515" i="1"/>
  <c r="J8514" i="1"/>
  <c r="J8513" i="1"/>
  <c r="J8512" i="1"/>
  <c r="J8511" i="1"/>
  <c r="J8510" i="1"/>
  <c r="J8509" i="1"/>
  <c r="J8508" i="1"/>
  <c r="J8507" i="1"/>
  <c r="J8506" i="1"/>
  <c r="J8505" i="1"/>
  <c r="J8504" i="1"/>
  <c r="J8503" i="1"/>
  <c r="J8502" i="1"/>
  <c r="J8501" i="1"/>
  <c r="J8500" i="1"/>
  <c r="J8499" i="1"/>
  <c r="J8498" i="1"/>
  <c r="J8497" i="1"/>
  <c r="J8496" i="1"/>
  <c r="J8495" i="1"/>
  <c r="J8494" i="1"/>
  <c r="J8493" i="1"/>
  <c r="J8492" i="1"/>
  <c r="J8491" i="1"/>
  <c r="J8490" i="1"/>
  <c r="J8489" i="1"/>
  <c r="J8488" i="1"/>
  <c r="J8487" i="1"/>
  <c r="J8486" i="1"/>
  <c r="J8485" i="1"/>
  <c r="J8484" i="1"/>
  <c r="J8483" i="1"/>
  <c r="J8482" i="1"/>
  <c r="J8481" i="1"/>
  <c r="J8480" i="1"/>
  <c r="J8479" i="1"/>
  <c r="J8478" i="1"/>
  <c r="J8477" i="1"/>
  <c r="J8476" i="1"/>
  <c r="J8475" i="1"/>
  <c r="J8474" i="1"/>
  <c r="J8473" i="1"/>
  <c r="J8472" i="1"/>
  <c r="J8471" i="1"/>
  <c r="J8470" i="1"/>
  <c r="J8469" i="1"/>
  <c r="J8468" i="1"/>
  <c r="J8467" i="1"/>
  <c r="J8466" i="1"/>
  <c r="J8465" i="1"/>
  <c r="J8464" i="1"/>
  <c r="J8463" i="1"/>
  <c r="J8462" i="1"/>
  <c r="J8461" i="1"/>
  <c r="J8460" i="1"/>
  <c r="J8459" i="1"/>
  <c r="J8458" i="1"/>
  <c r="J8457" i="1"/>
  <c r="J8456" i="1"/>
  <c r="J8455" i="1"/>
  <c r="J8454" i="1"/>
  <c r="J8453" i="1"/>
  <c r="J8452" i="1"/>
  <c r="J8451" i="1"/>
  <c r="J8450" i="1"/>
  <c r="J8449" i="1"/>
  <c r="J8448" i="1"/>
  <c r="J8447" i="1"/>
  <c r="J8446" i="1"/>
  <c r="J8445" i="1"/>
  <c r="J8444" i="1"/>
  <c r="J8443" i="1"/>
  <c r="J8442" i="1"/>
  <c r="J8441" i="1"/>
  <c r="J8440" i="1"/>
  <c r="J8439" i="1"/>
  <c r="J8438" i="1"/>
  <c r="J8437" i="1"/>
  <c r="J8436" i="1"/>
  <c r="J8435" i="1"/>
  <c r="J8434" i="1"/>
  <c r="J8433" i="1"/>
  <c r="J8432" i="1"/>
  <c r="J8431" i="1"/>
  <c r="J8430" i="1"/>
  <c r="J8429" i="1"/>
  <c r="J8428" i="1"/>
  <c r="J8427" i="1"/>
  <c r="J8426" i="1"/>
  <c r="J8425" i="1"/>
  <c r="J8424" i="1"/>
  <c r="J8423" i="1"/>
  <c r="J8422" i="1"/>
  <c r="J8421" i="1"/>
  <c r="J8420" i="1"/>
  <c r="J8419" i="1"/>
  <c r="J8418" i="1"/>
  <c r="J8417" i="1"/>
  <c r="J8416" i="1"/>
  <c r="J8415" i="1"/>
  <c r="J8414" i="1"/>
  <c r="J8413" i="1"/>
  <c r="J8412" i="1"/>
  <c r="J8411" i="1"/>
  <c r="J8410" i="1"/>
  <c r="J8409" i="1"/>
  <c r="J8408" i="1"/>
  <c r="J8407" i="1"/>
  <c r="J8406" i="1"/>
  <c r="J8405" i="1"/>
  <c r="J8404" i="1"/>
  <c r="J8403" i="1"/>
  <c r="J8402" i="1"/>
  <c r="J8401" i="1"/>
  <c r="J8400" i="1"/>
  <c r="J8399" i="1"/>
  <c r="J8398" i="1"/>
  <c r="J8397" i="1"/>
  <c r="J8396" i="1"/>
  <c r="J8395" i="1"/>
  <c r="J8394" i="1"/>
  <c r="J8393" i="1"/>
  <c r="J8392" i="1"/>
  <c r="J8391" i="1"/>
  <c r="J8390" i="1"/>
  <c r="J8389" i="1"/>
  <c r="J8388" i="1"/>
  <c r="J8387" i="1"/>
  <c r="J8386" i="1"/>
  <c r="J8385" i="1"/>
  <c r="J8384" i="1"/>
  <c r="J8383" i="1"/>
  <c r="J8382" i="1"/>
  <c r="J8381" i="1"/>
  <c r="J8380" i="1"/>
  <c r="J8379" i="1"/>
  <c r="J8378" i="1"/>
  <c r="J8377" i="1"/>
  <c r="J8376" i="1"/>
  <c r="J8375" i="1"/>
  <c r="J8374" i="1"/>
  <c r="J8373" i="1"/>
  <c r="J8372" i="1"/>
  <c r="J8371" i="1"/>
  <c r="J8370" i="1"/>
  <c r="J8369" i="1"/>
  <c r="J8368" i="1"/>
  <c r="J8367" i="1"/>
  <c r="J8366" i="1"/>
  <c r="J8365" i="1"/>
  <c r="J8364" i="1"/>
  <c r="J8363" i="1"/>
  <c r="J8362" i="1"/>
  <c r="J8361" i="1"/>
  <c r="J8360" i="1"/>
  <c r="J8359" i="1"/>
  <c r="J8358" i="1"/>
  <c r="J8357" i="1"/>
  <c r="J8356" i="1"/>
  <c r="J8355" i="1"/>
  <c r="J8354" i="1"/>
  <c r="J8353" i="1"/>
  <c r="J8352" i="1"/>
  <c r="J8351" i="1"/>
  <c r="J8350" i="1"/>
  <c r="J8349" i="1"/>
  <c r="J8348" i="1"/>
  <c r="J8347" i="1"/>
  <c r="J8346" i="1"/>
  <c r="J8345" i="1"/>
  <c r="J8344" i="1"/>
  <c r="J8343" i="1"/>
  <c r="J8342" i="1"/>
  <c r="J8341" i="1"/>
  <c r="J8340" i="1"/>
  <c r="J8339" i="1"/>
  <c r="J8338" i="1"/>
  <c r="J8337" i="1"/>
  <c r="J8336" i="1"/>
  <c r="J8335" i="1"/>
  <c r="J8334" i="1"/>
  <c r="J8333" i="1"/>
  <c r="J8332" i="1"/>
  <c r="J8331" i="1"/>
  <c r="J8330" i="1"/>
  <c r="J8329" i="1"/>
  <c r="J8328" i="1"/>
  <c r="J8327" i="1"/>
  <c r="J8326" i="1"/>
  <c r="J8325" i="1"/>
  <c r="J8324" i="1"/>
  <c r="J8323" i="1"/>
  <c r="J8322" i="1"/>
  <c r="J8321" i="1"/>
  <c r="J8320" i="1"/>
  <c r="J8319" i="1"/>
  <c r="J8318" i="1"/>
  <c r="J8317" i="1"/>
  <c r="J8316" i="1"/>
  <c r="J8315" i="1"/>
  <c r="J8314" i="1"/>
  <c r="J8313" i="1"/>
  <c r="J8312" i="1"/>
  <c r="J8311" i="1"/>
  <c r="J8310" i="1"/>
  <c r="J8309" i="1"/>
  <c r="J8308" i="1"/>
  <c r="J8307" i="1"/>
  <c r="J8306" i="1"/>
  <c r="J8305" i="1"/>
  <c r="J8304" i="1"/>
  <c r="J8303" i="1"/>
  <c r="J8302" i="1"/>
  <c r="J8301" i="1"/>
  <c r="J8300" i="1"/>
  <c r="J8299" i="1"/>
  <c r="J8298" i="1"/>
  <c r="J8297" i="1"/>
  <c r="J8296" i="1"/>
  <c r="J8295" i="1"/>
  <c r="J8294" i="1"/>
  <c r="J8293" i="1"/>
  <c r="J8292" i="1"/>
  <c r="J8291" i="1"/>
  <c r="J8290" i="1"/>
  <c r="J8289" i="1"/>
  <c r="J8288" i="1"/>
  <c r="J8287" i="1"/>
  <c r="J8286" i="1"/>
  <c r="J8285" i="1"/>
  <c r="J8284" i="1"/>
  <c r="J8283" i="1"/>
  <c r="J8282" i="1"/>
  <c r="J8281" i="1"/>
  <c r="J8280" i="1"/>
  <c r="J8279" i="1"/>
  <c r="J8278" i="1"/>
  <c r="J8277" i="1"/>
  <c r="J8276" i="1"/>
  <c r="J8275" i="1"/>
  <c r="J8274" i="1"/>
  <c r="J8273" i="1"/>
  <c r="J8272" i="1"/>
  <c r="J8271" i="1"/>
  <c r="J8270" i="1"/>
  <c r="J8269" i="1"/>
  <c r="J8268" i="1"/>
  <c r="J8267" i="1"/>
  <c r="J8266" i="1"/>
  <c r="J8265" i="1"/>
  <c r="J8264" i="1"/>
  <c r="J8263" i="1"/>
  <c r="J8262" i="1"/>
  <c r="J8261" i="1"/>
  <c r="J8260" i="1"/>
  <c r="J8259" i="1"/>
  <c r="J8258" i="1"/>
  <c r="J8257" i="1"/>
  <c r="J8256" i="1"/>
  <c r="J8255" i="1"/>
  <c r="J8254" i="1"/>
  <c r="J8253" i="1"/>
  <c r="J8252" i="1"/>
  <c r="J8251" i="1"/>
  <c r="J8250" i="1"/>
  <c r="J8249" i="1"/>
  <c r="J8248" i="1"/>
  <c r="J8247" i="1"/>
  <c r="J8246" i="1"/>
  <c r="J8245" i="1"/>
  <c r="J8244" i="1"/>
  <c r="J8243" i="1"/>
  <c r="J8242" i="1"/>
  <c r="J8241" i="1"/>
  <c r="J8240" i="1"/>
  <c r="J8239" i="1"/>
  <c r="J8238" i="1"/>
  <c r="J8237" i="1"/>
  <c r="J8236" i="1"/>
  <c r="J8235" i="1"/>
  <c r="J8234" i="1"/>
  <c r="J8233" i="1"/>
  <c r="J8232" i="1"/>
  <c r="J8231" i="1"/>
  <c r="J8230" i="1"/>
  <c r="J8229" i="1"/>
  <c r="J8228" i="1"/>
  <c r="J8227" i="1"/>
  <c r="J8226" i="1"/>
  <c r="J8225" i="1"/>
  <c r="J8224" i="1"/>
  <c r="J8223" i="1"/>
  <c r="J8222" i="1"/>
  <c r="J8221" i="1"/>
  <c r="J8220" i="1"/>
  <c r="J8219" i="1"/>
  <c r="J8218" i="1"/>
  <c r="J8217" i="1"/>
  <c r="J8216" i="1"/>
  <c r="J8215" i="1"/>
  <c r="J8214" i="1"/>
  <c r="J8213" i="1"/>
  <c r="J8212" i="1"/>
  <c r="J8211" i="1"/>
  <c r="J8210" i="1"/>
  <c r="J8209" i="1"/>
  <c r="J8208" i="1"/>
  <c r="J8207" i="1"/>
  <c r="J8206" i="1"/>
  <c r="J8205" i="1"/>
  <c r="J8204" i="1"/>
  <c r="J8203" i="1"/>
  <c r="J8202" i="1"/>
  <c r="J8201" i="1"/>
  <c r="J8200" i="1"/>
  <c r="J8199" i="1"/>
  <c r="J8198" i="1"/>
  <c r="J8197" i="1"/>
  <c r="J8196" i="1"/>
  <c r="J8195" i="1"/>
  <c r="J8194" i="1"/>
  <c r="J8193" i="1"/>
  <c r="J8192" i="1"/>
  <c r="J8191" i="1"/>
  <c r="J8190" i="1"/>
  <c r="J8189" i="1"/>
  <c r="J8188" i="1"/>
  <c r="J8187" i="1"/>
  <c r="J8186" i="1"/>
  <c r="J8185" i="1"/>
  <c r="J8184" i="1"/>
  <c r="J8183" i="1"/>
  <c r="J8182" i="1"/>
  <c r="J8181" i="1"/>
  <c r="J8180" i="1"/>
  <c r="J8179" i="1"/>
  <c r="J8178" i="1"/>
  <c r="J8177" i="1"/>
  <c r="J8176" i="1"/>
  <c r="J8175" i="1"/>
  <c r="J8174" i="1"/>
  <c r="J8173" i="1"/>
  <c r="J8172" i="1"/>
  <c r="J8171" i="1"/>
  <c r="J8170" i="1"/>
  <c r="J8169" i="1"/>
  <c r="J8168" i="1"/>
  <c r="J8167" i="1"/>
  <c r="J8166" i="1"/>
  <c r="J8165" i="1"/>
  <c r="J8164" i="1"/>
  <c r="J8163" i="1"/>
  <c r="J8162" i="1"/>
  <c r="J8161" i="1"/>
  <c r="J8160" i="1"/>
  <c r="J8159" i="1"/>
  <c r="J8158" i="1"/>
  <c r="J8157" i="1"/>
  <c r="J8156" i="1"/>
  <c r="J8155" i="1"/>
  <c r="J8154" i="1"/>
  <c r="J8153" i="1"/>
  <c r="J8152" i="1"/>
  <c r="J8151" i="1"/>
  <c r="J8150" i="1"/>
  <c r="J8149" i="1"/>
  <c r="J8148" i="1"/>
  <c r="J8147" i="1"/>
  <c r="J8146" i="1"/>
  <c r="J8145" i="1"/>
  <c r="J8144" i="1"/>
  <c r="J8143" i="1"/>
  <c r="J8142" i="1"/>
  <c r="J8141" i="1"/>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<sst xmlns="http://schemas.openxmlformats.org/spreadsheetml/2006/main" count="104648" uniqueCount="22715">
  <si>
    <t>Índice onomástico anual · Gacetas oficiales de 1821</t>
  </si>
  <si>
    <t>Del 1 de enero al 31 de diciembre de 1821 · Gaceta de Madrid · Gaceta del Gobierno</t>
  </si>
  <si>
    <t>Aviso: índice generado a partir del OCR de facsímiles históricos. Las grafías y lecturas dudosas deben cotejarse con la página enlazada.</t>
  </si>
  <si>
    <t>11540 menciones · 373 archivos oficiales · 1679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</si>
  <si>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</si>
  <si>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</si>
  <si>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</si>
  <si>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</si>
  <si>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</si>
  <si>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</si>
  <si>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</si>
  <si>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</si>
  <si>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</si>
  <si>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</si>
  <si>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</si>
  <si>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A'.pnente, Romero</t>
  </si>
  <si>
    <t>Romero A'.pnente</t>
  </si>
  <si>
    <t>Nombramiento o servicio público</t>
  </si>
  <si>
    <t>España</t>
  </si>
  <si>
    <t>Gaceta de Madrid n.º 286</t>
  </si>
  <si>
    <t>PDF p. 3</t>
  </si>
  <si>
    <t>Nombre detectado automáticamente; cotejar si se va a citar</t>
  </si>
  <si>
    <t>…narios públicos a! pronto establecimiento de los impuestos, allanando de la comisión en esta parte. según las respectivas atribuciones las dificultades que produce la introduc El Sr. Romero A'.pnente dijo: No encuentro ningún inconvenien ción , removiendo v corrigiendo los abusos y relajaciones que atacan los te en que se quite el nombre de Astúrias á la provincia que insta ahora productos. Necesario es no omitir diligencia ni zelo en insp.rar á todas hem…</t>
  </si>
  <si>
    <t>Lectura OCR</t>
  </si>
  <si>
    <t>A'mar'Üaismá, Vicente Andrés y</t>
  </si>
  <si>
    <t>Vicente Andrés y A'mar'Üaismá</t>
  </si>
  <si>
    <t>Mención en noticia o disposición</t>
  </si>
  <si>
    <t>Noticias y disposiciones</t>
  </si>
  <si>
    <t>Gaceta de Madrid n.º 307</t>
  </si>
  <si>
    <t>PDF p. 6</t>
  </si>
  <si>
    <t>Lectura automática dudosa; cotejar el facsímil</t>
  </si>
  <si>
    <t>…par- dé Escoiquiz. Se hallarán en la librería de la viuda de Quiroga. . ‘iido ministérial. Los periódicos que 'siguen-al uno ó al otro toman la Himno patriótico.á la libertad: por D. Vicente Andrés y A'mar'Üaismá denominación. za. Se vende á 6 cuartos en las librerías'de Orea , Paz , Dávila y Villa. I V1 En España no existe hasta ahora semejante oposición, porque el mota. En la gacela de 27 de Octubre se dijo al fin de la última cuerpo legislativo no esti dividido en…</t>
  </si>
  <si>
    <t>Revisar OCR</t>
  </si>
  <si>
    <t>A'puente, Romero</t>
  </si>
  <si>
    <t>Romero A'puente</t>
  </si>
  <si>
    <t>Noticia política o diplomática</t>
  </si>
  <si>
    <t>Gaceta del Gobierno n.º 64</t>
  </si>
  <si>
    <t>…, el Congreso no debia admitirle. era el único r sponsable de cuanto leyera. El Sr. presidente contestó diciendo que no existía mas noticia en En seguida se leyó la memoria, y el Sr. Romero A'puente indicó" las Cortes que la Real orden que S. M. habia remitido. deseaba saber con relación á lo que se acababa de lee- tres cosas: id El. Sr. encargado del ministerio de Estado dijo que cuando S: M. que se había hecho la santa alianza, y dónde existia: 2.“ qué…</t>
  </si>
  <si>
    <t>A, Antonio González</t>
  </si>
  <si>
    <t>Antonio González A</t>
  </si>
  <si>
    <t>Operaciones o servicios militares</t>
  </si>
  <si>
    <t>Noticias militares</t>
  </si>
  <si>
    <t>Gaceta de Madrid n.º 353</t>
  </si>
  <si>
    <t>PDF p. 1</t>
  </si>
  <si>
    <t>…os de reserva para reunirse al ral del impuesto de registros: D. Juan Josef Sánchez, intendente de grueso del egército i la primera sefial. Solo escasea el dinero algún tan Cádiz; D. Antonio González A cu irre, alcalde primíro de está ciudad; to para empeñarse en una larga guerra. • D. Joaquín de Fuentes y Ríos , doctoraL de la capilla Real de S- Ferr</t>
  </si>
  <si>
    <t>A, Cis-</t>
  </si>
  <si>
    <t>Cis- A</t>
  </si>
  <si>
    <t>Gaceta del Gobierno n.º 62</t>
  </si>
  <si>
    <t>…fianzas cuando estas no sean com vegar, aquel en que, cc. i tanta gloria y esplendor nacional, salían al mar petentes. las expediciones españolas: lleva á su bordo de trasporte al general Cis- A la comisión de Guerra se pasó una exposición de un oficial neros y varios individuos de aquel departamento, y se dice que en de las compañías fijas de artillería de Ciudad-Rodrigo sobre ia desigual unión con el navio Guerrero hará su derrota para Ñapóles, en…</t>
  </si>
  <si>
    <t>A, Do</t>
  </si>
  <si>
    <t>Do A</t>
  </si>
  <si>
    <t>Gaceta de Madrid n.º 112</t>
  </si>
  <si>
    <t>PDF p. 2</t>
  </si>
  <si>
    <t>…í. geografía de Europa y Asia, gramática castellana y latina, ganando ¡.o El orador: con las libertades que ofrece. premios mayores los alumnos de la clasa.de latinidad á cargo de D. Do A la derecha: sí, sí. mingo Gómez de la Peña. Los discípulos de las escuelas da primeras El orador: con los derechos que nos asegura. &lt; letras,á cargo de D. Juan Sorron ,-.D. Paulino Sah.ignn y D. Josef Ro A la derecha : sí, sí. go Embria, ganaron 31 premios de…</t>
  </si>
  <si>
    <t>A, Manuel</t>
  </si>
  <si>
    <t>Manuel A</t>
  </si>
  <si>
    <t>Gaceta de Madrid n.º 323</t>
  </si>
  <si>
    <t>…y es como sigue; sonas vestidas de un mismo modo , y todos colocados en las colinas que Extremadura. circundan aquel bellísimo.sitio formaban un cuadro difícil de descri Badajoz. D. Manuel A!varado, vecino de Badajoz. bir: abajo se hallaban las numerosas guardias destinadas á mantener el D Jossf Viilanueva y Alón, vecino de Barcarrota. orden, y en el centro una porción de pages de S. A. negros y blancos, Ciares. D. Josef García Carrasco, vecino d…</t>
  </si>
  <si>
    <t>A, Ramos</t>
  </si>
  <si>
    <t>Ramos A</t>
  </si>
  <si>
    <t>Gaceta del Gobierno n.º 55</t>
  </si>
  <si>
    <t>…usase de ella, y que lo mismo debía suceder confía liber ción hecha en la Havana. tad de comunicar las ideas, y que nada podía temer una y/. Se suscitó una discusión, en la que el Sr. Ramos A rispé religión que tenia por fundador al mi mo Dios, ni menos amplió su dictamen, explicando las razones que tenia pata se podia recelar que el veneno inficionase á los incautos, fundarle. cuando estos viesen á los que tanto preconizan la-religión ..-.Los-,Sr…</t>
  </si>
  <si>
    <t>Gaceta de Madrid n.º 81</t>
  </si>
  <si>
    <t>…curadores síndicos: los que tengan de prosperidad, y por ser conforme ai artículo 325 de la Const tucion." El 16,000 í 22,000, s alcaldes , 20 regidores y 4 procuradores síndico»! Sr. Ramos A rispe .hizo algunas, reflexiones para que se admitiese á dis y que en los que haya mas de 22,000, 6 alcaldes, 24 regidores y 5. cusión, y las. Cortes resolvieron p isase á las comisiones Unidas de Di- procuradores síndicos. Asimismo opinaba que á fin de que g…</t>
  </si>
  <si>
    <t>A, Romero</t>
  </si>
  <si>
    <t>Romero A</t>
  </si>
  <si>
    <t>Gaceta de Madrid n.º 349</t>
  </si>
  <si>
    <t>…iputación perma bres y usos en las leyes de policía verdaderamente reglamentarias. El nente, me parece qtie podia haberla también para despachar el otro argumento que ha (¡echo el Sr. Romero A!puente no tiene influencia asunto. Pero de todas maneras, sea lo que se fuere de este hecho , io alguna, porque á un nacional se le impone toda la pena porque se d^be cierto es que se tiene en expectación á todo e! mundo por ia detención presumir que la sabe;…</t>
  </si>
  <si>
    <t>A, Torres</t>
  </si>
  <si>
    <t>Torres A</t>
  </si>
  <si>
    <t>Actuación administrativa o judicial</t>
  </si>
  <si>
    <t>Gaceta de Madrid n.º 96</t>
  </si>
  <si>
    <t>…cional de la Coruíia acerca de que no se mude mero de individuos que juzgase necesarios para el culto. de alli la audiencia. El Sr. Vilianueva dijo, que lo que acababa.de decir el Sr. Torres A la de Legislación una exposición de la junta de obras encarga era una prueba de Lo que servían los malos estudios, según los cuales da por S. M. de la egecucion de las de, esta corte, manifestando las todo se tachaba de heregía; pero si.no leen (exclamó) ¡cóm…</t>
  </si>
  <si>
    <t>Abad</t>
  </si>
  <si>
    <t>Gaceta de Madrid n.º 162</t>
  </si>
  <si>
    <t>…a una protección Según eso, contestó el Sr. Annes, ¿la moral está comprendida en igual á todos los cultos, y que en él se concedia un privilegio, una el sexto mandamiento; Pero el Sr. Abad le replicó que no era esto lo protección especial al culto católico, sin acordarse de los demás. que decia, sino que, estaba persuadido de que ningún escrito diria En seguida recorriendo diversas épocas de la historia, hizo presen que era lícito matar , hurta…</t>
  </si>
  <si>
    <t>Abad, Manuel</t>
  </si>
  <si>
    <t>Manuel Abad</t>
  </si>
  <si>
    <t>Gaceta de Madrid n.º 234</t>
  </si>
  <si>
    <t>1148</t>
  </si>
  <si>
    <t>…a producido esto el efec ferido supremo tribunal , y escribanía de Cámara mas antigua del misto que se esperaba , y es de creer que haya sido por haberse arredrado mi), á cargo de D. Manuel Abad , á fin de hacerle notoria una Real Jas diputaciones con las dificultades que origina el elegir y proponer orden, expedida en 2 de Julio del referido año de 1819, yá efecto arbitrios , que han de cargar al mismo tiempo que las contribuciones ge de que exponga…</t>
  </si>
  <si>
    <t>Abad, Ramón</t>
  </si>
  <si>
    <t>Ramón Abad</t>
  </si>
  <si>
    <t>Gaceta de Madrid n.º 351</t>
  </si>
  <si>
    <t>…ínem¡gos n-VMjbs grie* Jiménez-, -intendenta hónofario de provincia. Suplentes.~D. Pablo-Sari mas numerosos que sus enemigos': a.0 Unos y otros están ta fe , magistrado de Oviedo; D. Ramón Abad , cura de’Orihuelá de -Albarracin ; P. Tomas Perez;,-del comercio de Segovia. _ n valor , cuando menos, igualt^g.^ Los griegos son dueños ÍlÉ“HlBÍjúliwfePart:¿ del 'pais1 y de algunas islas en..que los.turcos aún en ' Por la 'provincia de 'Asturias/ EÍ'Excmo.…</t>
  </si>
  <si>
    <t>Abadía, Miguel</t>
  </si>
  <si>
    <t>Miguel Abadía</t>
  </si>
  <si>
    <t>Gaceta de Madrid n.º 238</t>
  </si>
  <si>
    <t>PDF p. 4</t>
  </si>
  <si>
    <t>…, con nota de los adeudos, de quienes recoge, Vasora, en Burgos-D. Miguel Pedrorena, en.Cádiz D. Josef.de,Ma rán cartas de pago intervenidas por los contadores. ría ,&lt;¿n Calahorra D. Miguel Abadía, en Canarias D. Francisco Guer . 10. Las lincas que estuvieren arrendadas continuarán por todo el ra Betcncour, en Cartagena -D. Bruno Egea, en Ceuta D. Francesco' presente año; y para el siguiente de 1822 se sacarán á nueva subasta, Iznardi , en Ciudad-Rodri…</t>
  </si>
  <si>
    <t>Abalos, Melchor de</t>
  </si>
  <si>
    <t>Melchor de Abalos</t>
  </si>
  <si>
    <t>Gaceta de Madrid n.º 134</t>
  </si>
  <si>
    <t>…i. de Villamañan y León, de igual orden; en Valderas el de carmelitas Don Josef López é Ingles, presbítero. calzados ; en Cisneros, provincia de Palencia, el de dominicos; en Cer- Don Melchor de Abalos, soldado distinguido que fue del regimien vera.del rio Pisuerga, de la misma provincia, el.de agustinos calzados, to de infantería de Logroño. reuñiéñdolos al de Ponferrada, del propio instituto, en la diócesis de Don Francisco Trespalacios, capitán retirado…</t>
  </si>
  <si>
    <t>Abargues, Joaquin</t>
  </si>
  <si>
    <t>Joaquin Abargues</t>
  </si>
  <si>
    <t>Gaceta de Madrid n.º 325</t>
  </si>
  <si>
    <t>…Ascensión Campis, alcalde primero constitucional de Elche *, D. Josef Soler y Garrigos, id. de Gijona, y D. Pascual Juan NOTICIAS DE ESPAÑA. y Servent, vecino de Onili__En Denla: D. Joaquin Abargues, de Benisa; D. Josef Ciscar, de Gandía, y D. Pablo-Sala , de Denla. f-'u ' Earcelona 7 de Noviembre. Alcira: D. Jaime Carpí , presbítero de Alginete; D. Pedro Fuster, abogado de Albalat dePardines, y D. Calixto Gómez, farmacéutico , . - SALUD PUBLICA. ^ de Al…</t>
  </si>
  <si>
    <t>Abascal</t>
  </si>
  <si>
    <t>Gaceta de Madrid n.º 258</t>
  </si>
  <si>
    <t>…envió el virey del Perú fueron ambas sometidas. Poco después se su mas quiso dar á Lima el espectáculo do los suplicios por materias po blevó Buenos-Aires y todo su distrito, y el general Abascal con su líticas; y aunque precisado á desenvainar la espada, hizo cuanto pudo vigilancia y actividad sujetó las cuatro provincias del alto Perú, que porque no corriese mas sangre que la de les campos de batalla. *on las mas interesantes del gobierno del Rio de…</t>
  </si>
  <si>
    <t>Abella, Pedro</t>
  </si>
  <si>
    <t>Pedro Abella</t>
  </si>
  <si>
    <t>Gaceta de Madrid n.º 347</t>
  </si>
  <si>
    <t>…, Barcelona y ucmas puntos contagia Per Madr-J. D. Hilario Mendinueta, conde de Goyeneclie. dos , para que poniéndose de acuerdo con los profesores mas ilustra Par Colmenar Pleja. D. Pedro Abella, vecino de Aicobendas. dos procedan á hacer obserraciones y experimentos directos , con J’or AUa'.ú. D. Manuel de Miguel Bravo , vecino de Cobeiia. aquel tino é imparcialidad que se desea y es necesaria, para averiguar Por IM.w.nlcarnero. D. Bernardo Parras H…</t>
  </si>
  <si>
    <t>Abellan, Josef</t>
  </si>
  <si>
    <t>Josef Abellan</t>
  </si>
  <si>
    <t>Gaceta de Madrid n.º 189</t>
  </si>
  <si>
    <t>…e cisco García Aicaráz, id.: D. Josef López Pareja, id.: D. Josef Mar Orden de la Constitución para premiar á los beneméritos de la patria tínez Camacho, id.: D. Juan Megías, id.: D. Josef Abellan , id : Don por servicios constitucionales. Domingo Gijon y Vaca , id.: D. Josef Palacio, id.: D. Tomas Ibañez, El Sr. presidente dijo que estando ya casi impresa la Constitución, id. : D. Josef Guerra, id. : D. Diego Pulido, id.: D. Feliciano Manse iba á dist…</t>
  </si>
  <si>
    <t>Abísbal</t>
  </si>
  <si>
    <t>Gaceta de Madrid n.º 83</t>
  </si>
  <si>
    <t>…mero de Enero de 1819 , y contábamos con 25S) hombres y en el hecho de haber admitido los actuales:Sres. secretarios sus destinos un general de buena conducta militar, como era eí Sr. Abísbal , y á habían dado una prueba de patriotismo pór ser en la ocasión mas peli pesar de esto no tuvo efecto ; por consiguiente el plan de Vinuesa está grosa, y en que era mas difícil desempeñarlos; que no podían presen formado sin cálculo. tar al Congreso y á la…</t>
  </si>
  <si>
    <t>Ablanedo, Pedro Alonso</t>
  </si>
  <si>
    <t>Pedro Alonso Ablanedo</t>
  </si>
  <si>
    <t>Actividad económica o mercantil</t>
  </si>
  <si>
    <t>Gaceta de Madrid n.º 169</t>
  </si>
  <si>
    <t>…edió por vía de blezca eri la villa de Cacares tula universidad de segúr.d_a enseñanza} limosna en 18ry. " haciendo uso de los fondos que con arreglo al pian aprobado se pue El de D. Pedro Alonso Ablanedo y D. Josef Benito Pórtela, so dan destinar para atender á un objeto tan interesante:” licitando el primero se le perdone la tercera parné de 25,418 rs. que ■ Se leyó por primera vez una proposición del Sr. Azaola, relativa á adeuda al Crédito público por arrendamiento de prést…</t>
  </si>
  <si>
    <t>Abnv</t>
  </si>
  <si>
    <t>Gaceta de Madrid n.º 296</t>
  </si>
  <si>
    <t>…sultados de esta gloriosa acción no podían todavía enumerarse; pero dispuesta á que se haean en e¡ las variaciones que las Cortes ju..e’r.n debieron ser considerables. El valeroso comandante Abnv ¡ue herido ele oportunas; pero antes debe hacer algunas observaciones. dos balazos al principio de la acción , que fue á las io'oe la mañana, a A'güilos ores, diputados creen que por el actual proyecto ce bene pesar de lo cual continuó con el mando hasta las…</t>
  </si>
  <si>
    <t>Aboin, Santos</t>
  </si>
  <si>
    <t>Santos Aboin</t>
  </si>
  <si>
    <t>Gaceta de Madrid n.º 221</t>
  </si>
  <si>
    <t>…doba. quía &amp;c. Hago saber á mis súbditos que las Cortes han decretado lo T&gt;. Hilario Jiménez , de Zaragoza. Santa Cruz é hijos , de Logroño. siguiente: ’ D. Ignacio Perez de Soto. D. Santos Aboin, coronel de Las Cortes generales , extraordinarias y constituyentes de la nación D. Josef Sanz. Avila. portuguesa, queriendo aclarar y determinar los principios que se esta D. Josef Antonio Senosain, de D. Tomas Jiménez de Cenarbe, blecieron en los artículos…</t>
  </si>
  <si>
    <t>Aboy, Ramón</t>
  </si>
  <si>
    <t>Ramón Aboy</t>
  </si>
  <si>
    <t>…ismo coronel Pereira remite con fecha 9 de Junio el parte dado nian la del Gobierno, a dar las luces que pudiesen, y á trabajar en e»w el 8 por el comandante de la columna del Sur D. Ramón Aboy , en asunto. que manifiesta la acción que tuvieron sus tropas, compuestas de 280 La comís’on plena se dividió en secciones, entre las cuales se re infantes y 20 caballos con los enemigos en número de 400 infames y partieron ios trabajos, que eran muchos y muy…</t>
  </si>
  <si>
    <t>Abreu, Joaquín</t>
  </si>
  <si>
    <t>Joaquín Abreu</t>
  </si>
  <si>
    <t>…o se han acampado todos los Por hr provincia de Cádiz. D. Francisco Javier Isturiz; D. Pedro regimientos, y provisto de toda clase de municiones, de suerte que es Juan de Zulueta; D. Joaquín Abreu; D. Amonio Alcali Galiino» tán prontos para entrar en acción desde luego. Las fuerzas rusas reuni Suplente: D. Josef Resusta. ( Diario mercantil de Cádiz.') das actualmente en nuestras provincias fronterizas, no solo se hallan Por la provincia de Sevilla. El…</t>
  </si>
  <si>
    <t>Abriategu, Francisco</t>
  </si>
  <si>
    <t>Francisco Abriategu</t>
  </si>
  <si>
    <t>Gaceta de Madrid n.º 78</t>
  </si>
  <si>
    <t>…pueden ser individuos de Se pasó á la misma la exposición del intendente de Badajoz v es comisión alguna durante su encargo, excepto el-presidente y el secre critura otorgada por D. Francisco Abriategu i, natural de Milán/para</t>
  </si>
  <si>
    <t>Abruzzese, Loreto</t>
  </si>
  <si>
    <t>Loreto Abruzzese</t>
  </si>
  <si>
    <t>Gaceta de Madrid n.º 317</t>
  </si>
  <si>
    <t>…pinelli. El párroco D. Cayetano Giannat- cargo. Príncíp'é de Belvedere. tasió. En seguida hizo el orador varias reflexiones sobre lo ocurrrido en Príncipe_de.Supmq. . El sacerdote D. Loreto Abruzzese. la legislatura del año de 1820, en la que se trató ya de este asunto; y títiqüe' üe S. Teodoro- V E1 sacerdote D. Joséf Capocasale. manifestó que con respecto á las tarifas había muchos abusos, resultan Príncipe de’ Gcrace. D. Félix Ainati. do muy perjudicad…</t>
  </si>
  <si>
    <t>Ac.u.ti</t>
  </si>
  <si>
    <t>Gaceta de Madrid n.º 316</t>
  </si>
  <si>
    <t>…par sí sobre esta interesante cuestión. perm.tia á los insurgentes poner obstáculos á la navegación, el tenien Parece que de algunos meses á esta parte han varado mucho las opite,coronel Ac.u.ti, comandante de la fragata Leinsick, se hizo al ins motíes, y que ahora consentirán en que haya tribuna varios diputados tante á la vela, y mandó decir al capítan Gregorio Marovich que le si que se habían opuesto a ello con mucho vigor. guiese á Patr- s. A pes…</t>
  </si>
  <si>
    <t>Acebes, Alejo</t>
  </si>
  <si>
    <t>Alejo Acebes</t>
  </si>
  <si>
    <t>Gaceta de Madrid n.º 73</t>
  </si>
  <si>
    <t>…villa , pidiendo se les administrase S. Gerónimo, el comisario de guerra D. Tomas Ortega, al presbítero pronta justicia Sobre’lás ocurrencias del dia 2 , y se les- diese el valor D. Alejo Acebes, al capitán D. Joaquín Bejar, D. Antonio Gascón de lo que habían perdido , cobrándolo después la Nación de quien hu y D. Josef Mingo , dijo: que debia declarar y declara que por la re biese lugar. tractación de Josef Espelta y Sebastian Fuster, soldado.- del…</t>
  </si>
  <si>
    <t>Acedial, Pinheiro</t>
  </si>
  <si>
    <t>Pinheiro Acedial</t>
  </si>
  <si>
    <t>…ue cele-' que este era uno dijlos principios mas liberales. brado pór todos los habitantes de la. 'capitel con aquel ingenuo y cor Se pasó á tratar del art. 21 de' las bases, y el Sr. Pinheiro Acedial júbilo que se manifiesta siempre que tenemos ocasión de darle una vedo presentó en su lugar un proyecto en cinco artículos, en el cual prueba de lo? sentimientos que nos animan. El vecindario dió en el propon.a que hubiese un poder intermedio entre el legisla…</t>
  </si>
  <si>
    <t>Acevedo</t>
  </si>
  <si>
    <t>Gaceta de Madrid n.º 72</t>
  </si>
  <si>
    <t>…pos de Godoy ? La de Hacienda dió su dictamen sobre la pensión que debería seña Si dejando aparte la historia de las naciones extranjeras volvemos la larse á la viuda del teniente general Acevedo por los servicios de este; vista hacia la nuestra , preguntaremos ;qué beneficios ha obtenido el y después de una corta discusión sobre lo conveniente y justo que era Portugal con semejante cuerpo intermedio? En los pasados siglos lu el recompensar ios servic…</t>
  </si>
  <si>
    <t>Acevedo, Antonio</t>
  </si>
  <si>
    <t>Antonio Acevedo</t>
  </si>
  <si>
    <t>Gaceta de Madrid n.º 321</t>
  </si>
  <si>
    <t>….... existentes 50. Patricio Martin del Tejar, vecino de Poyales del Hoyo; D. Rafael Hospital del Seminario, existencia anterior 189: entrados ó acome Perez, vecino de Talavera ; D. Antonio Acevedo , vecino del Puen tidos 21: salidos ó curados 3: convalecientes 37: muertos 31: existen te del Arzobispo; D. Domingo Tibuicio Rubio , vecino de la Perale tes 184. da de la Mata. Hospital de la Vireina, existencia anterior...... entrados ó acome Partido de Oca…</t>
  </si>
  <si>
    <t>Acevedo, Antonio Monredon y</t>
  </si>
  <si>
    <t>Antonio Monredon y Acevedo</t>
  </si>
  <si>
    <t>Gaceta del Gobierno n.º 60</t>
  </si>
  <si>
    <t>…, viuda de D. Ramón Compani, vecino que fue Belmonie en la de D. Rufino Crespo, del comercio. En dé la ciudad de Palma, en la isla de Mallorca , para que dentro Plasencia en la de D. Antonio Monredon y Acevedo, boti del término de 40 dias precisos se presente en dicho tribunal,cario. En Barcelona en la de Doña Josefa Clauseíles, del por medio de procurador con poder bastante , d usar de su derecomercio. En Gandía en la de D. Alejo Clavier , de: idem. cho en ios aut…</t>
  </si>
  <si>
    <t>Acevedo, Francisco Nogues y</t>
  </si>
  <si>
    <t>Francisco Nogues y Acevedo</t>
  </si>
  <si>
    <t>Gaceta del Gobierno n.º 13</t>
  </si>
  <si>
    <t>PDF p. 5</t>
  </si>
  <si>
    <t>…do de las- ecuaciones seculares á Ja de Ja Hallándose vacantes en el tribunal supremo de Justicia' luna, cuya existencia fue Mr. Laplace el primero que la las plazas que obtenían D. Francisco Nogues y Acevedo, y demostró analíticamente. D. Francisco López Lisperguer, se admiten memoriales de hemos hablado mas que de la mecánica teórica , y pretendientes por término de 30 dias. sin embargo la^ mecánica práctica se ha enriquecido coa muchas invenciones útiles, que h…</t>
  </si>
  <si>
    <t>Acevedo, María</t>
  </si>
  <si>
    <t>María Acevedo</t>
  </si>
  <si>
    <t>Gaceta de Madrid n.º 158</t>
  </si>
  <si>
    <t>…ho salir de Barcelona en Abril último , pedia se exigiese la responsa abstuvo de extenderlo, según propone el Sr. preopinante, porque le bilidad á quien hubiese lugar ; y en la de Doña María Acevedo, veci pareció que se oponía á las facultades del poder egecutivo ; pero si las na de Santiago, que exponía que en 30 de Abril último había ido á Cortes creen que la indicación del Sr. Traver no se roza con esto, ía sú casa una partida de tropa á-arrestar á su…</t>
  </si>
  <si>
    <t>Acevedo, Pedro</t>
  </si>
  <si>
    <t>Pedro Acevedo</t>
  </si>
  <si>
    <t>Gaceta de Madrid n.º 95</t>
  </si>
  <si>
    <t>…. &amp;c. Se publicará á la letra dente; el Sr. intendente de aquella provincia D. Ramón Gutiérrez del este documento para que pueda compararse á su tiempo cuando lleguen Mazo; el Sr. coronel D. Pedro Acevedo, diputado por Querétaro; el las noticias directas de Ñapóles. Sr. D'r. D. Josef Angel Gazano, diputado por México; el Sr. Lie. Don Entre tanto por el artículo de Paris arriba expresado se ve que la Josef María Daza, diputado por Tiaxcala; el Sr. D. Juan Bauti…</t>
  </si>
  <si>
    <t>Acevedo, Pedro Canel</t>
  </si>
  <si>
    <t>Pedro Canel Acevedo</t>
  </si>
  <si>
    <t>Publicación o actividad intelectual</t>
  </si>
  <si>
    <t>Gaceta de Madrid n.º 279</t>
  </si>
  <si>
    <t>…sin novedad en su importante salud. Sánchez Salvador y González Allende. Milicias nacionales. Sres. Quiroga , Florez Estrada, Villa, Rome ro Alpuente , Ezpeleta y Losada. EL Lie. D. Pedro Canel Acevedo, sugeto bastante conocido por su Armada naval■ Sres. Rovira, Ciscar, Oliver , Losada, Romero, instrucción en las ciencias naturales y demas ramos de literatura, y Alonso López y Lastarria. por sus viages, en el que hizo d la América septentrional por los años…</t>
  </si>
  <si>
    <t>Achille</t>
  </si>
  <si>
    <t>Gaceta de Madrid n.º 245</t>
  </si>
  <si>
    <t>…riegos” exclama frecuentemente. Es cierto que si Voltai- blica utilidad todos los servicios hechos por el ex-gobernador de la re viviera en la actualidad no pensaria como el señor conde Achille; el Madera Xavier Botelho durante su gobierno de aquella isla, dándose cual escribió desde Laybach á la Gaceta de Francia, diciendo que ni le un público testimonio de haber cumplido con su obligación. Se de los griegos merecían ser libres, ni que nadie pensas…</t>
  </si>
  <si>
    <t>Acos, Antonio Basilio de</t>
  </si>
  <si>
    <t>Antonio Basilio de Acos</t>
  </si>
  <si>
    <t>Gaceta de Madrid n.º 306</t>
  </si>
  <si>
    <t>…rimera instancia de esta M. H. villa con un exhorto del de iguil Continúa ia lista núm. 342 de las fincas que se están subastando de las clase de la ciudad de Jerez de la Frontera D. Antonio Basilio de Acos aflicadas al Crédito público para pago de ia dezeda nacional en la ta, librado por la escribanía déla misma al cargo de D. Francisco de provincia de Burgos , cztyo primer remate se ha de verificar en la villa Paula Ardisone , se ha mandado por providencia de…</t>
  </si>
  <si>
    <t>Acosta, Manuel</t>
  </si>
  <si>
    <t>Manuel Acosta</t>
  </si>
  <si>
    <t>Gaceta de Madrid n.º 335</t>
  </si>
  <si>
    <t>…por el Gobierno de or ritorial de Sevilla á D. Pedro Santa Fe, D. Luis Huarte, D. Fran den de las Cortes en r8 de Junio de este año. Se hallará en las libre cisco García Chaves y D. Manuel Acosta; y parala segunda-fiscalía rías de Sari'z , de Novillo, de Brun y de Villa. del mismo tribunal á D. Antonio Osteret y Nario. Carta 20 del Compadre. Véndese en la librería de Castillo. nota. En la gaceta de ayer, pág. 1801, col. 2.a, donde dice: El se VARIEDAD…</t>
  </si>
  <si>
    <t>Acosta, Teresa de</t>
  </si>
  <si>
    <t>Teresa de Acosta</t>
  </si>
  <si>
    <t>Gaceta de Madrid n.º 248</t>
  </si>
  <si>
    <t>…de aquellos artículos de D. Josef Manuel de Aniz. Sres. Sánchez y Lozano. la Constitución relativos á la división de ¡os poderes políticos que crean D. Josef Joaquín Garviso , de Doña Teresa de Acosta. necesarios, y disponer lo que convenga á la salvación de la causa pú Pamplona. V.1 Hermosa , de Santander. blica.” ' ' ARTICULO DE OFICIO. Se dejó para segunda lectura. Entró y tomó asiento en el Congreso la diputación de las islas Terceras, habiendo hecho u…</t>
  </si>
  <si>
    <t>Acu, Gutiérrez</t>
  </si>
  <si>
    <t>Gutiérrez Acu</t>
  </si>
  <si>
    <t>Gaceta de Madrid n.º 166</t>
  </si>
  <si>
    <t>…e pagos con fechas posteriores, y por este medio no de gastos. se pueden pagar los corrientes, estamos pitísimos á sumergirnos en un En seguida se leyó la siguiente indicación del Sr. Gutiérrez Acu abismo, cual será el de ni pagar los atrasos ni los corrientes; y por lo ña : &gt;&gt; Que los señores secretarios del Despacho remitan á las Cortes los mismo seria de opinión que debe ser nuestra principal obligación pagar documentos que expresen los caudales que…</t>
  </si>
  <si>
    <t>Acuña, Gutiérrez</t>
  </si>
  <si>
    <t>Gutiérrez Acuña</t>
  </si>
  <si>
    <t>Gaceta del Gobierno n.º 70</t>
  </si>
  <si>
    <t>…atrióticas nombró el se El Sr. presidente contestó que tanto de este expediente como de ñor presidente á los Sres. Muñoz, conde de Toreno, Gutiérrez Acuña, otros recordados por el Sr. Gutiérrez Acuña , se trataria en una sesión Florez Esrrada y Zorraquin. . extraordinaria. Se leyó la siguiente indicación del Sr. Moreno Guerra : » Pido que El Sr. Oiiver continuó la lectura del proyecto á que dió principio la comisión de Bellas artes presente á la mayor bre…</t>
  </si>
  <si>
    <t>Gaceta de Madrid n.º 128</t>
  </si>
  <si>
    <t>…al interesante objeto de su instituto. Se suspendió esta discusión, y se mandó insertar en el acta el vo Art. 94. » En tiempo de paz podrán asistir á estas escuelas los in to del Sr. Gutiérrez Acuña , contrario á la resolución de las Cortes dividuos det egército permanente que obtengan licencia del Gobierno; sobre la aprobación del art. 69 de la ley constitutiva del egército. pero harán constar mensualmente á sus .gefes con certificación de los Las comis…</t>
  </si>
  <si>
    <t>Gaceta de Madrid n.º 154</t>
  </si>
  <si>
    <t>…argos, condenas, graduaciones de acreedores ó liquidación de Se leyeron las indicaciones siguientes: sumas y valores, y para toda trasmisión d¿ propiedad, de usufructo, de Una del Sr. Gutiérrez Acuña: bienes muebles ó inimiebles, ya entre vivos, ya por muerte. i&gt; Pido 4 las Cortes señalen un determinado dia para que concurran Art. 5.0 » Se establecerá el derecho de 4, 8, 12, 20, 40,60 y á la sesión los Sres. secretarios del Despacho, y vengan á responder…</t>
  </si>
  <si>
    <t>…física , química y mineralogía.” Se mandó agregar al acta de la última sesión extraordinaria el voto También se aprobaron los tres artículos siguientes, quedecian: particular del Sr. Gutiérrez Acuña, contrario á no haberse admitido á Art. 65. &gt;1 Después de examinados y aprobados en la escuela podiscusión la indicación que en la misma hizo el Sr. Puigblanch. licténica , podrán pasar los alumnos á las siguientes escuelas de aplica Continuó la discusión del…</t>
  </si>
  <si>
    <t>894</t>
  </si>
  <si>
    <t>…ventos, por no tener el número Se declaró este asunto suficientemente discutido, y se aprobó la in prevenido por la ley. Asimismo he hecho presente á S. M. que, según dicación del Sr. Gutiérrez Acuña. el resultado que ofrece el arreglo general de todos los de la Península é E! Sr. Zapata preguntó si se podría saber por el ministerio de la islas adyacentes, ha quedado solamente una casa dedicha religión en Ma Guerra lo que se habia pagado á los regimientos…</t>
  </si>
  <si>
    <t>…ue mientras se presenta y aprueba del Despacho, se suspendía esta,discusión para tratar de la.indicación por las Cortes el nuevo plan de Hacienda para aquellas provincias, se del .Sr. Gutiérrez Acuña, para la cual eran llamados. sirvan permitir al partido dé la Nueva Segovia, en ía provincia de Nica El Sr. secretario del Despacho de Hacienda leyó un estado de lo. ragua , la siembra de tabacos para las factorías de aquella provincia, que se habia pagado po…</t>
  </si>
  <si>
    <t>Gaceta de Madrid n.º 171</t>
  </si>
  <si>
    <t>…andaron cule.=Está rubricado déla Real mano.zuEn Palacio á 6 de Junio de 1821. pasar á la comisión. = A D. Vicente Cano Manuel. Se mandó insertar en el acta el voto particular del Sr. Gutiérrez Acuña, contrario á la aprobación de las Cortes de que el art. i.° se ANUNCIOS. votase por partes. Lo mismo se verificó con el de los Sres. González Allende, Ro nota. En la gaceta de ayer , columna 9 , líneas 53 y 61, donde di mero Alpuente, Zapata y Manescau, contr…</t>
  </si>
  <si>
    <t>Gaceta de Madrid n.º 174</t>
  </si>
  <si>
    <t>…uviere." A liN.de Marina una contestación del Sr. ministro de este ramo, á Se leyó el artículo 15 , que decía asi: » Se autoriza á las diputacio consecuencia de una indicación del Sr. Gutiérrez Acuña, dando noti nes provinciales para que puedan concedar terrenos, á mas de los cedi cia de las cantidades invertidas en los tres departamentos de Cádiz, Fer dos por esta ley á los nuevos pobladores, cuando estos dentro de los rol y Cartagena y otros punios, por…</t>
  </si>
  <si>
    <t>…íamos por medio de la Consti- la retiró su autor. .................. - • -tucion de poner trabas al Gobierno .mismo’, si tiene á su disposición Quedó aprobada una" indicación flel Sr. Gutiérrez Acuña , que de todo el poder moral del pueblo , como sucede en Francia , .en. que está cía asi. « Que la dirección de correos forme á Ja mayor brevedad posi asalariado por el Gobierno.” ble el reglamento de postas.” ' Después de haber hecho-varias reflexiones sobre…</t>
  </si>
  <si>
    <t>Gaceta de Madrid n.º 176</t>
  </si>
  <si>
    <t>…cos bie En seguida se procedió al sorteo prevenido por la Constitución, y nes de capellanías ó cofradías con que no ha contado el Crédito públi 'resultó electo para dicha plaza el Sr. Gutiérrez Acuña. co , se destina su valor á parte del pago de su deuda pública, con pre Habiéndose procedido á la elección de suplentes salió por la clase ferencia á la de intereses, subastando las fincas en aquellas cuatro pro de diputados de Europa el Sr. Losada por 66 vot…</t>
  </si>
  <si>
    <t>Gaceta de Madrid n.º 177</t>
  </si>
  <si>
    <t>…es las ordenanzas de dichos co tro de Hacienda al oficio que se le dirigió en virtud de una- indi legios. La comisión opinaba que ínterin se establecen nuevas reglas de cación del Sr. Gutiérrez Acuña, incluyendo un estado de los caudales ben observarse las deí tít. 10, lib. 9 de la Novísima Recopilación. recibidos y pagados por la contaduría general de Distribuciones; y una Se leyó el dictamen de la comisión de Instrucción pública, relati exposición del S…</t>
  </si>
  <si>
    <t>Gaceta de Madrid n.º 292</t>
  </si>
  <si>
    <t>…an preci también las dificultades que podía acarrear la concesión de la próroga samente del correo de hoy. que solicita, y muy detenidamente el gasto extráordicarioquécausaria, El Sr. Gutiérrez Acuña expuso que el Gobierno debia haber pre y el cual no podría llenarse córi el presupuesto dé la' guerra; y qué al sentado á las Cortes el estado de la Nación , y el por qué no se habian Gobierno le interesaba el que de restituyesen pronto; estos cuerpos á sus c…</t>
  </si>
  <si>
    <t>Gaceta de Madrid n.º 304</t>
  </si>
  <si>
    <t>…ro grande impulso, resultando que por ganar cuatro cuartos vamos á per vincias en que fijen su residencia.” der cuatro millones. Por estas razones me parece que no debe aprobar El Sr. Gutiérrez Acuña manifestó que quería se dijese si estas agre se el dictamen de la comisión. gaciones debían ser voluntarias ó,no, porque del. modo que hablaba el El Sr. secretario de la Guerra: Para que las Cortes puedan proceder artículo, parecía que era forzar á los oficia…</t>
  </si>
  <si>
    <t>Gaceta de Madrid n.º 318</t>
  </si>
  <si>
    <t>…Se mandó pasar á la comisión después de haberse admitido á discu cha, para que este articuló se refiriese solamente á la secretaría del al sión la siguiente adición al art. 81 del Sr. Gutiérrez Acuña, que de mirantazgo. ■ cía: n Excepto en los navios adonde los segundos comandantes sersn Kl Sr. Lasanta fue de Opinión que debia darte mas claridad á este siempre de la clase de capitán de fragata, sin aumentar por ello esta artículo, puesto que por él se ind…</t>
  </si>
  <si>
    <t>Gaceta de Madrid n.º 334</t>
  </si>
  <si>
    <t>…l Sr. Caváleri manifestó que sufrían un perjuicio los ace Llevaban 1 vaciones en apoyo de su opinión. astas gilias con respecto í los que no las llevaban, porque estos no pn~ i El Sr. Gutiérrez Acuña expuso que de ninguna manera podía apro dian-ser incomodados como no hubiese una sospecha de ellos, y 105 barse el artículo, porque la Constitución decía que no podia ser allana otros á .cada paso se les detendría para la comprobación de los cajunes da la cas…</t>
  </si>
  <si>
    <t>Gaceta de Madrid n.º 365</t>
  </si>
  <si>
    <t>…iensan los aliados ; acaso sin guen por no procederse á la liquidación de suministros.duda porque es difícil combinar el ínteres general de la Europa con la Se concedió permiso al Sr. Gutiérrez Acuña para pasar á Andalucíaexpulsión de ¡os turcos, de cuyos dominios seria muy peligroso que ss í restablecer su salud.apoderase la Rusia. . Se leveron las minutas de decreto sobre el resguardo msririmo , y Entre tanto continúa la Grecia luchando sola con un enem…</t>
  </si>
  <si>
    <t>Gaceta de Madrid n.º 367</t>
  </si>
  <si>
    <t>…l Congreso á causa de estar en en S. M. la facu'tnd de nombrar te dos los empleados, asi civiies como fermo. militares; no ia desconocen en el hecho mismo de a^ud.r á S. M para El Sr. Gutiérrez Acuña dijo: La divergencia manifiesta de los señores que nombrase un gefe político y un comandante g neral en lugar de que han dado el dictamen indica que el expediente no está instruido los nombrados , que hubiesen dado pruebas de su patr otismo y adhe suficientem…</t>
  </si>
  <si>
    <t>Acuña, Manuel</t>
  </si>
  <si>
    <t>Manuel Acuña</t>
  </si>
  <si>
    <t>Gaceta de Madrid n.º 152</t>
  </si>
  <si>
    <t>' S¿ mandó volver al Gobierno un» solicitud de D. Manuel Acuña, A la comisión de Diputaciones provinciales una exposición del Vecino de üft"pueblo"de' Santiago, en la que pide se declare no estar ayuntamiento constitucional de Reinosa para "quese le apruebe el arbi cbiñpréndiáos-en el decreto-de-p de flovietnbre varios c…</t>
  </si>
  <si>
    <t>Adalid, Marcial Francisco del</t>
  </si>
  <si>
    <t>Marcial Francisco del Adalid</t>
  </si>
  <si>
    <t>Gaceta de Madrid n.º 229</t>
  </si>
  <si>
    <t>…Todos los maestros y maestras de escuelas y amigas deberán pre Bayona. bao. sentar los alumnos y alumnos de sus clases que aspiren á estos premios D. Francisco de Lancariz, de Bil D. Marcial Francisco del Adalid, en casa de D. Manuel María del Marmol, presidente de la comisión bao. de la Coruña. de curadores de la sociedad,el dia 4 de Noviembre. En ella serán exa D. Francisco Josef de Jáuregui, id. Doña María Teresa de Michelena. minados , y se adjudicarán los premio…</t>
  </si>
  <si>
    <t>Gaceta de Madrid n.º 330</t>
  </si>
  <si>
    <t>…ignora todavía; y aunque se esperaba tiempo ha, D. Niell Campbell, de Paris. Sres. Llano y Echavarri, de Barbasta ahora la mayor parte de los políticos se han engañado en sus cál D. Marcial Francisco del Adalid é celona. . culos. Tanto es lo que cuesta tomar una resolución, cuando se trata de hijos, de Ja Coruña. Sres. Mier y Escalante, de Barceintereses, particulares sin consideración á los de la humanidad! D. Antonio Dodero gm. Franco, lona. de Barcelona. Sres. Co…</t>
  </si>
  <si>
    <t>Adaman</t>
  </si>
  <si>
    <t>Gaceta de Madrid n.º 298</t>
  </si>
  <si>
    <t>…respecto á que las Cortes han variado lo que proponía ja , J que se establezca la capital donde mas convenga. la comisión, determinen que pace este art. g.’ á ella misma, para El Sr. Adaman apoyó el dictamen de iu comisión , manifestando la que arregle los límites á que esta novedad obliga: en orden á la tota utilidad que resultaba de que las provincias fuesen pequeñas , y asimis lidad del artículo la connsion ha hablado ya en el discurso prelim…</t>
  </si>
  <si>
    <t>Adams</t>
  </si>
  <si>
    <t>Gaceta de Madrid n.º 186</t>
  </si>
  <si>
    <t>…lmi- inteligencia voto contra el artículo presentado. (Vivísima aproba rante turco ; pero es probable que á pesar de la santa cólera del maho ción á la izquierda.) metano , sea el general Adams heredero de lo que tiene en su poder, se La Cámara decretó la impresión de este discurso, no sin alguna gún aquella máxima : el que tiene guarda. Oposición. &gt;! Los armatolis, que han bajado de las montanas de Agrapha, se El ministro de Estado tomó la palabra…</t>
  </si>
  <si>
    <t>Adan, Ramón</t>
  </si>
  <si>
    <t>Ramón Adan</t>
  </si>
  <si>
    <t>Gaceta de Madrid n.º 312</t>
  </si>
  <si>
    <t>1666</t>
  </si>
  <si>
    <t>…za de sus convecinos , caminando al tem Antonio Pando, D. Francisco Izquierdo, D. Josef Brun, D. Matías plo á implorar del Altísimo que ilumine su entendimiento y separe de lavin, D. Ramón Adan y D. Ventura Rubio. él la pasión ó el error , para que desempeñando dignamente el ilustre P arroquia de S. Ildefonso , 18 electores. cargo de que están revestidos, puedan dar á la patria padres amantísi- Don Antonio Baras , D. Bartolomé Labrador, D. Benito Corta mos y virtuosos…</t>
  </si>
  <si>
    <t>Adans, Juan Zuney</t>
  </si>
  <si>
    <t>Juan Zuney Adans</t>
  </si>
  <si>
    <t>…aria no du pesos y medidas , conforme á la resolución del Senado de los Estadosdaron un momento los enemigos de la victoria, y subían t! curio con Unidos de 3 de Marzo de 1817 por D. Juan Zuney Adans, secretario el arma á discreción; pero González con ¡os pocos y excelentes solda del Despacho de los mismos. dos que tenia los esperó á boca de jarro , y logró humillar su fantasía, Después de una ligera d scusion se acordó que se contestase por el viéndolos…</t>
  </si>
  <si>
    <t>Adolphus</t>
  </si>
  <si>
    <t>Gaceta de Madrid n.º 278</t>
  </si>
  <si>
    <t>…is principian.... pleno jure ¡Idem suam libere pretenda prever nuestro verdict. frojttendt, cultumque publica n exercendi secundan: principia suae reli- Un jurado. (Mr. Broivne ) Sr. Adolphus, debiera vmd. avergon gionis fundamentalia.!.. gaudebit ; puesto que si por las palabras secun- zar* tener presente .pie ya ha silo vmd, echado de la sociedad por dum principia suae religionis fundamentalia se quiere hacer alusión á la su mala cerduda. famosa…</t>
  </si>
  <si>
    <t>Afamau</t>
  </si>
  <si>
    <t>Gaceta de Madrid n.º 337</t>
  </si>
  <si>
    <t>…ntigua grandeza de la mayoría, creó Chinchilla en lugar de ia de Cuenca, á la cual pertenecen en el dia. un espíritu perpetuo de hostilidad entre las diferentes ciases de ía po hl Sr. Afamau manifestó que con motivo de Ja resolución que había blación, y ha sido el origen de la mayor parte de los desórdmes que recaido ayer sobre algunas exposiciones, relativas á que se mudase la ca por espacio de un siglo han deshonrado á esta isla. Las ceremonias…</t>
  </si>
  <si>
    <t>Afilia</t>
  </si>
  <si>
    <t>Gaceta de Madrid n.º 346</t>
  </si>
  <si>
    <t>…itocomo autor, sino dido apurar. En él se trata á los encubridores como delincuentes ; y yo como cómplice. no convengo en que sea tan general esta disposición. Hay cierta clase El Sr. Afilia dijo qué cuando se trataba de cooperar á un delito, no de encubridores que no son delincuentes , que únicamente ocultan á habría cooperación si el delito no se egecútuse, y"por consiguiente era uno que ha cometido un delito por un acto de beneficencia y por u…</t>
  </si>
  <si>
    <t>Afpuente, Romero</t>
  </si>
  <si>
    <t>Romero Afpuente</t>
  </si>
  <si>
    <t>Gaceta de Madrid n.º 303</t>
  </si>
  <si>
    <t>…o: muertos j8: existentes j!lt. un sueldo mayor que á ios restantes, y los de estos sean iguales entre sí. Ciudad , existencia anterior 3 24: entrados ó acometidos 32 : salidos El Sr. Romero Afpuente dito: Me parece que no debe aprobarse el ó curados 4: convalecientes 22: muertos 19: existentes 333. dictamen de la comisión, y que se d.be mandar volver a elia este ar- Total dv los rres puntos: existencia anterior 488: entrados ó aco tículo para que arregle…</t>
  </si>
  <si>
    <t>Ag, Josef de</t>
  </si>
  <si>
    <t>Josef de Ag</t>
  </si>
  <si>
    <t>Gaceta del Gobierno n.º 40</t>
  </si>
  <si>
    <t>…nto los fondos en Londres. En" la claros, situado en aquellas inmediaciones. Al momento dis Cámara de los Pares hubo una discusión muy acalorada con puso el alcalde constitucional D. Josef de Ag leso que sa-. motivo de la respuesta que debia darse al discurso de! Rey; liesen en su persecución dos partidas de milicia nacional, y en ia de los Comunes ■ e hablan presentado gran número una de infantería y otra de caballería ,,compuestas arribas de de pet…</t>
  </si>
  <si>
    <t>Agar, Pedro</t>
  </si>
  <si>
    <t>Pedro Agar</t>
  </si>
  <si>
    <t>…mo los hijos predilectos de la Isusi, D. Juan de la Cruz González, D. Manuel Ovaldia , D. Manuel Virtud y de la sabiduría , descubriendo en ellos todos los defectos que Rodríguez, D. Pedro Agar , D. Ramón Utges y D. Tomas Perez. se notan en el hombre más vulgar. Parroquia de S. Gines, 8 electores. ¡Qué marcha tan augusta es la de un corto número de ciudadanos, Don Antonio Osteret, D. Francisco de Travesedo, D. Francisco depositarios ya de la confian…</t>
  </si>
  <si>
    <t>Agilitar, Manuel de Sousa y</t>
  </si>
  <si>
    <t>Manuel de Sousa y Agilitar</t>
  </si>
  <si>
    <t>Gaceta de Madrid n.º 319</t>
  </si>
  <si>
    <t>…tulo. '; En el Juzgado interino de primera instancia del Sr. D. Justo Gar cía dé la Mata, alcalde primero constitucional de la ciudad de Sevilla, ......... . TITU. O xvr. ’ y ante D. Manuel de Sousa y Agilitar, se han formado autos á'instan cia de Dona Ana María de Guerra y Torres, sobre.que se le'declaren Almirantes de escuadras y de departamento y comandantes de división- los bienes que corresponden él pátronato de lego, memoria de misas, nej y buques. - : fundad…</t>
  </si>
  <si>
    <t>Aguado, Agustín</t>
  </si>
  <si>
    <t>Agustín Aguado</t>
  </si>
  <si>
    <t>Fallecimiento, herencia o memoria</t>
  </si>
  <si>
    <t>Gaceta de Madrid n.º 156</t>
  </si>
  <si>
    <t>…faltas tales actos hubiesen devengado. sen á sus pagos El que quisiere oponerse, estando aprobado , lo hará Art. 90. &gt;! Se registrarán también sin exacción alguna las adquisi ante D. Agustín Aguado, cura párroco de las dos parroquias unidas, ciones y cambios hechos por el Estado; las particiones de bienes entre y patrono de esta memoria, en el término de un mes, contado desde este y ¡os particulares, y todos los demas actos egecutados con este mo esta p…</t>
  </si>
  <si>
    <t>Aguas, Alejo Canora de</t>
  </si>
  <si>
    <t>Alejo Canora de Aguas</t>
  </si>
  <si>
    <t>Gaceta de Madrid n.º 315</t>
  </si>
  <si>
    <t>…¡a prohibición sean ni reciben memoriales en todo el mes de Noviembre, que francos de porte ruinosos al especulador en empresas anteriores, ni mortificantes para el se remitirán á D. Alejo Canora de Aguas, expresando en ellos el pue hombre delicado, para quien el goce délo exquisito es ya una necesidad, blo de su naturaleza, su residencia actual, época en que se examinaron, ni gravosos al que hasta aquí la ha satisfecho á menos coste. Tal otra y si hubiesen se…</t>
  </si>
  <si>
    <t>Aguas, Serapio</t>
  </si>
  <si>
    <t>Serapio Aguas</t>
  </si>
  <si>
    <t>Gaceta del Gobierno n.º 6</t>
  </si>
  <si>
    <t>28</t>
  </si>
  <si>
    <t>…pio el fundamento de una doctrina nue León; y Valdivieso, D. Tadeo Aguilera y Contreras , Don va y completa, indispensable en todas las arres de construc Josef Iribarron y Ortuño, D. Serapio Aguas y-Muñera'de ción, y á la que ha dado el nombre de geometría des* Cantos, D. Juan Guerra y Golfantes , D. Tosef Cisnéros y criptiva. Lanuza , D. Bernardo Elfo y Ximenez-, D. Antonio To- La trigonometría es sin disputa una de las mas-útiles rija y Carrese, D. J…</t>
  </si>
  <si>
    <t>Aguayo, Rafael María de</t>
  </si>
  <si>
    <t>Rafael María de Aguayo</t>
  </si>
  <si>
    <t>288</t>
  </si>
  <si>
    <t>…e. egercic o de ellas cada uno puede proponerse por modelo del mejor Mantilla 14 de Febrero. soldado. Asi vuestra es la gloria que esperamos del Dios dé los egér- Habiendo acudido D. Rafael María de Aguayo, alcalde primero ciros • vuestro el triunfo que conramos con tan poderoso auxilio. Sois constitucional y comandante del batallón de la milicia nacional de la cristianos sin la fea nota de inmorales, sois instrumentos de. la divina ciudad de Montilla, al Excmo…</t>
  </si>
  <si>
    <t>Agüero, Felipe Arco</t>
  </si>
  <si>
    <t>Felipe Arco Agüero</t>
  </si>
  <si>
    <t>…ón alguna Después de una viva discusión no se aprobó este artículo. por el mismo alcalde; y sí gozare de fuero privilegiado la persona con Art. 3.0 » Que á los mariscales de campo D. Felipe Arco Agüero, tra quien deba procedeise, lo verificará del mismo modo su juez legíti D. Miguel López Baños, D. Defaetrio O-Dali y D. Carlos Espinosa mo, en vista de la certificación que se le presentará de lo resuello y se señaíe una renta anual perpetua de 40© rs.; y otr…</t>
  </si>
  <si>
    <t>Gaceta de Madrid n.º 362</t>
  </si>
  <si>
    <t>1984</t>
  </si>
  <si>
    <t>…ANUNCIOS. mente, y excitar la de las personas que estuviesen presentes; y de este modo quedaba satisfecho el público de que aquel reo era verdadera Nueva estampa de la muerte del general D. Felipe Arco Agüero, mente el que había muerto. ocurrida en una cazería en los campos de Badajoz. Se hallará en las li El Sr. Navas manifestó que había un gran inconveniente en que brerías de Brun y en la de Matute á 4 rs., y para los comerciantes de no se aprobase el artículo,…</t>
  </si>
  <si>
    <t>Agüero, Felipe de Arco</t>
  </si>
  <si>
    <t>Felipe de Arco Agüero</t>
  </si>
  <si>
    <t>Gaceta de Madrid n.º 170</t>
  </si>
  <si>
    <t>…in fijar mayorazgos; v que c»tos título de Castilla que mas bien le pareciese: que á los mariscales de bienes después los podrían distribuir los interesados entre sus descen campo D. Felipe de Arco Agüero, D. Miguel López Baños, D. De dientes. . , metrio O-Daly y D. Carlos Espinosa, y aL brigadier Vázquez, se les Después de haber hecho el Sr. Ezpeleta algunas observaciones sobre concediese una renta de 401) rs. en los mismos términos que á los an que estos bie…</t>
  </si>
  <si>
    <t>…ía. ANUNCIOS. Tanto los oficíales de artillería como los do ingenieros usarán de un sable de metal , con arreglo al modelo que presentarán los directo Por fallecimiento del Excmo. Sr. D. Felipe de Arco Agüero, es res generales , distinguiéndose tan solo en el emblema que tendrán en pitan general del egército y provincia de Extremadura , entiende en su el puño. • - . testamentaria D. Manuel Antonio Novoa , juez de primera instancia de .. Regimiento de zapadores. !a…</t>
  </si>
  <si>
    <t>Aguí-, Josef María</t>
  </si>
  <si>
    <t>Josef María Aguí-</t>
  </si>
  <si>
    <t>Gaceta del Gobierno n.º 43</t>
  </si>
  <si>
    <t>…cho después un viage con sus nio Porta y Fábregas: para la de Balaguejr á D. Ramón discípulos por lo interior de la capital y por sus alrede Carvajal y Trej’o: para la de Lérida á D. Josef María Aguí- dores (Preambulations in Ion don and its environs), en lar Oviedo: para la de Tarragona á D. Manuel de. Rada: el cual les ha hecho conocer los monumentos públicos, ¡as para la de Momblanch á D. Juan Francisco Alonso Caballe preciosidades y rarezas , el estado…</t>
  </si>
  <si>
    <t>Aguila, Josef Sánchez del</t>
  </si>
  <si>
    <t>Josef Sánchez del Aguila</t>
  </si>
  <si>
    <t>Gaceta de Madrid n.º 77</t>
  </si>
  <si>
    <t>…nos calzados , de S. Felipe el León; para el de Pozoblanco á D. Juan María de la Torre: para el da Real ; de Agustinos Recoletos, de nuestra Sefiora de Copacayana’; de La Rambla á D. Josef Sánchez del Aguila, y. para el de Priego á Don Mercenarios calzados, de S. Josef; de Mercenarios descalzos, de Santa Vicente Pereda Laso de la Vega. Bárbara; de Mínimos, dé nuestra Señora deja Vitoria: los de Esco En ia fro-vincia Je Valencia. Para las seis judicaturas de la ca…</t>
  </si>
  <si>
    <t>Aguilar, Gaspar Josef de</t>
  </si>
  <si>
    <t>Gaspar Josef de Aguilar</t>
  </si>
  <si>
    <t>Gaceta de Madrid n.º 302</t>
  </si>
  <si>
    <t>…puso que en lugar de un coronel la Península , en esta forma: para la de Granada á D. Josef Ruiz Ca it primer comandante se dijese: un primer comandante de la clase de ballero y á D. Gaspar Josef de Aguilar: para la de Aragón á D. Es coroneles ó tenientes coroneles, y en lugar de un segundo comandante teban González Varea •- para Ja de Asturias á D. Eugenio Manuel mayor se sustituyese un segundo comandante encargado del detall; cu Cuervoj y para la de Extremadur…</t>
  </si>
  <si>
    <t>Aguilar, Joaquín Josef</t>
  </si>
  <si>
    <t>Joaquín Josef Aguilar</t>
  </si>
  <si>
    <t>Gaceta del Gobierno n.º 50</t>
  </si>
  <si>
    <t>…cumplimiento. Madrid 9 de Febrero de 18.21. pués de hechas varias proposiciones, y leído algunas por secunda vez, se trató del método que deberían observar las Por providencia del Sr. D. Joaquín Josef Aguilar, juez Cortes en la discusión de los negocios ; pero nada se decidió. de primera instancia de la ciudad de Cádiz, ven virtud El Sr. Madelra Torres propuso un indulto para todos de la calificación hecha por los jurados del papel intilos presos de las cárceles d…</t>
  </si>
  <si>
    <t>Aguilar, Joaquín Josef de</t>
  </si>
  <si>
    <t>Joaquín Josef de Aguilar</t>
  </si>
  <si>
    <t>Gaceta de Madrid n.º 113</t>
  </si>
  <si>
    <t>…ncia dé un egército extrangero en el reino,. rosa responsable de dicho impreso; ,)' en su consecuencia mandó ei nos pone en la necesidad de suspenderlas, uniéndose a esto también, Sr. D. Joaquín Josef de Aguilar, juez primero de primera instancia de que á juicio de S. A. R., los últimos desastres ocurridos en el cgcrcito, Cádiz , por providencia de 6 de Abril, y refrendada por D. Josgl Va hacen imposible la traslación del Parlamento , el cuál tampoco podría lles y Me…</t>
  </si>
  <si>
    <t>Gaceta de Madrid n.º 294</t>
  </si>
  <si>
    <t>…s que no han sufrido parará el perjuicio que haya lugar sin mas citarles ni emplazarles. aquella carga, y que por lo tanto deberán ser incluidos en los pueblos Por providencia del Sr. D. Joaquín Josef de Aguilar, juez primero de su naturaleza, y no en Jos de su residencia, que es puramente even de primera instancia, y encargado en el despacho de los negocios con tual. Todo lo que comunico á V. E do Real orden, adviniendo que tenciosos de la hacienda pública de Cádiz,…</t>
  </si>
  <si>
    <t>Gaceta de Madrid n.º 333</t>
  </si>
  <si>
    <t>…jueces de primera instancia de la provincia de Cádiz á .los sugetoi casa de un ciudadano, las .de todos los ciudadanos podian ser allanadas siguientes: para la priipera de Cádiz á D. Joaquín Josef de Aguilar, .arbitrariamente por un comandante de resguardo; porque dicicndoque te para la segunda á D. Joaquín de la Escalera; para Algeciras á Pon nia sobradas sospechas, se le daba facultad para hacer esto;.y que á pe- eonardo Talens de la R'iva ; para el Puerto de S…</t>
  </si>
  <si>
    <t>Aguilar, Pedro</t>
  </si>
  <si>
    <t>Pedro Aguilar</t>
  </si>
  <si>
    <t>Gaceta de Madrid n.º 172</t>
  </si>
  <si>
    <t>PDF p. 8</t>
  </si>
  <si>
    <t>…orme, en virtud de Reales-órdenes particulares que ia Goruúa en la de Martinez Cardeza; en Santiago en la de Rey Ro se les comunicó anteriormente. mero , y en el Ferrol en casa de D. Pedro Aguilar. Suscripción al grabado de la Constitución, política de la ]\fonarqutei es Habiéndose observado los trámites prevenidos por !a„!ey, y califica pañola , dedicado á las Cortes por el grabador de Cámara D. Josef do los doce jueces de hecho con la fórmula de aSsu…</t>
  </si>
  <si>
    <t>Aguilera, Gaspar</t>
  </si>
  <si>
    <t>Gaspar Aguilera</t>
  </si>
  <si>
    <t>…e y futura zar, D. Carlos González Llanos , D. Casimiro Martin, D. Francisco felicidad! ¡Con qué placer no se persuade el ciudadano de que es im Calzada, D. Francisco Villaescusa, D. Gaspar Aguilera, Da Josef posible que se albergue en pechos tales cosa alguna despreciable y mun Castropol, D. Josef Segundo Mondejar, D; Manuel "García Herreros, dana , y qué profunda herida no se hará en su ánimo si se desvanece D. Manuel Guballer Muñoz , D. Martin de Iler…</t>
  </si>
  <si>
    <t>Aguilur, Josef</t>
  </si>
  <si>
    <t>Josef Aguilur</t>
  </si>
  <si>
    <t>Gaceta de Madrid n.º 350</t>
  </si>
  <si>
    <t>…Alix; D. Amonio Perez de Meca; D. Bonifacio Sotos; D. Ramón sus tropas insubordinadas degollaron á varios prisioneros turcos , á quie Reille. Suplentes. D. Bartolomé Cei Castiiio; D. Josef Aguilur. nes había ofrecido su protección. Con este motivo se embarcó para Hidra, Por la provincia ¡le Cuenca. D. Diego Parada, regidor de Madrid; publicando una proclama contra esta insubordinación, diciendo que To D. Nicolás Escolar y Noriega , presbítero; D. Juan…</t>
  </si>
  <si>
    <t>Aguirre, Josef Pantaleon de</t>
  </si>
  <si>
    <t>Josef Pantaleon de Aguirre</t>
  </si>
  <si>
    <t>…de Santander. ■ D. Josef María Vidarte, de Pam niente; asi se aprobó, y se levantó la sesión á las 12 del día. Aldana y Espalza , de Bilbao. plona. D. Alejandro Baile , de Lisboa. D. Josef Pantaleon de Aguirre, de NOTICIAS DE ESPAÑA. D. Andrés García del Hoyo, de Bilbao. Bilbao. D. Josef Ruet y la Torre, id. Sevilla 4 de Agosto. D. Angel Martínez, id. D. Josef Perez Marañon, de San D. Anselmo Elguizabal, id. tander. (Continua el artículo de ayer.) D. Antonio Coma,…</t>
  </si>
  <si>
    <t>Aguirre-y, Josef Ruiz</t>
  </si>
  <si>
    <t>Josef Ruiz Aguirre-y</t>
  </si>
  <si>
    <t>Gaceta de Madrid n.º 129</t>
  </si>
  <si>
    <t>…icientemente discutido, se votó, y aprobó la La comisión de Poderes, después de haber examinado los de los minu'a del mensage propuesto por la comisión. Sres diputados de Ultramar D. Josef Ruiz Aguirre-y D. Tomas Múrfi, El Sr. Golfín dijo que aunque se habia dicho que el hecho era manifestó debían aprobarse, por estar conformes á iá Constitución".Que criminal, debia tenerse presente que los que cometieron el atentado daron aprobados dichos poderes. no eran anti-constitucion…</t>
  </si>
  <si>
    <t>Agulló, Josef</t>
  </si>
  <si>
    <t>Josef Agulló</t>
  </si>
  <si>
    <t>…s que com Murcia ; D. Francisco Belda y Asensio, teniente de ingenieros. Suprometerán su existencia política, acelerando una guerra cuyos resul plentes. D. Melchor Maran, abogado; D. Josef Agulló, propietario de tados podrán ser terribles. Por otra parte no parece sino qu¿ los m s- Elche; D. Josef March ; D. Josef Cuevas, abogado. mos turcos desean entrar en campaña, fiados en el entusiasmo nacional, Por Avila. D. Leandro Ladrón de Guevara; .D. Josef…</t>
  </si>
  <si>
    <t>Agustín</t>
  </si>
  <si>
    <t>Gaceta del Gobierno n.º 21</t>
  </si>
  <si>
    <t>…cia y conocimientos técnicos. Pedro Josef de Ibabe, se ha señalado para la junta de acreedo En esta operación no se corre ningún peligro. El gasto del res á los bienes del difunto D. Agustín de, Idiaquez el domingo establecimiento primitivo se reducirá al aparato de tubos 4 de Febrero próximo venidero , á las 10 de su mañana, en la po que pareciere necesario, y á una buena máquina eléctrica. sada de dicho Sr. juez, puerta de Moros, casa de Toledo…</t>
  </si>
  <si>
    <t>…eL mas sincero amor y afecto á ella. No Sres. Sierra Pambley , González. Allende, Desprat, Fagaaea, había entre el oficial y el simple soldado otro distintivo de superiori Ugarte (D. Agustín), Zavala, Fiorez Estrada y Lagraba. dad que el de las charreteras; pues los mismos oficiales eran los que Para la de Agricultura , Industria y Artes. mas se esmeraban en servir la comida militar; pero sobre todo, lo que Sres. Alvarez Guerra, Yand¡ola, Alvarez…</t>
  </si>
  <si>
    <t>Gaceta de Madrid n.º 104</t>
  </si>
  <si>
    <t>…es en el.caso delo.que prescribí» da.. déci- Se mandó insertar en, el; acta el,voto, particular de los i Sresi.-. Zavala cimaquinta atribución del J^ey.”: .. ‘í ,c-el. ■ y Torres (D. Agustín,);, contrario á, la ."aprobación del dictamen de ía - Después de haber manifestado el Sr. .Cortés debia ¡admitirse á dis-. comisión sobre el pase de-hulas del electo arzobispo de Tarragona. .. cusion , y mirarse como de la mayor consideración lo qué-exponia e…</t>
  </si>
  <si>
    <t>…veriguar quién fuese el autor de dicho artículo, mani El de Gato de monte alto, su cabida de 320 fanegas, en 113,600 rs. festando el impresor que el original existiría en poder de D. Agustín El de Guijo de monte alto, su cabida de 415 fanegas, en 126,200 rs. Alinari, editor que fue del periódico, y este que se hallaría en la im £1 de Gamitó, de 340 fanegas, en 95,100 rs. prenta, de laque no le habia recogido; y en atención también á la El de Atoquedo con un…</t>
  </si>
  <si>
    <t>Gaceta de Madrid n.º 117</t>
  </si>
  <si>
    <t>…D. Josef Pía y Puig; y para el de sa , Montoya, Freiré, Lecumberri , Clemencin., Cañedo, Ramos Gar Ainsa á D. Buenaventura Portóla. cía, Espiga, Martel, Vallejo , Valle, Ligarte (D. Agustín), San Juan, Dolarea, Torres, Rey , Ugarte QD. Gabriel), Vitorica, Hi- Estado de la tínica causa de conspiración contra el sistema constitu nojosa , Carrasco , Losada, Ramírez Cid, Torre Marin, Cosío, Mosco- cional , pendiente en el juzgado de primera instanci…</t>
  </si>
  <si>
    <t>Gaceta de Madrid n.º 178</t>
  </si>
  <si>
    <t>…cusión la indicación referida. marques de! Apartado, Navarro (D. Felpe), Quirosa, conde da Se leyó ia siguiente adición deL Sr. F.igoaga al art. z.° aprobado Montenegro, Ligarte ( D. Agustín), Calderón , Pino, Losada, Valle por las Cortes; «De modo que basta que se llenen las necesidades de y Latlave (,D. Pablo ). Filipinas no vayan á las demas provincias de América.” Se leyó la siguiente indicación del Sr..González Allende: «Que ss Un Sr. diputa…</t>
  </si>
  <si>
    <t>Gaceta de Madrid n.º 299</t>
  </si>
  <si>
    <t>…tio designado para el expurgo.” Lo digo Se leyó otra proposición de los Sres. Ra.ra.onet, Remirez Cid y á VV. SS. de Real orden, y para que sin perder momento tenga sumas Ugarte ( D. Agustín ), relativa á los límites qué debía tener la pro^ 'puntual cumplimiento esta íésolucioh 'de S. M. Palacio 19 de Octubre vincia de Valladolid. de 1821. Los Sres. Dolarea y Díaz Morales manifestaron que estas proposié ciones de límites debian pasar á la comisió…</t>
  </si>
  <si>
    <t>Gaceta de Madrid n.º 329</t>
  </si>
  <si>
    <t>…. Narciso Sanz v de Rius. D. Ramón Saivato, abo orgánica del egército. Ei Sr. presidente dijo que quedaba sobre la mesa gado. D. Josef Elias, abogado. D. Francisco Serra y Franch. D. Agustín este expediente para la instrucción de ios Sres. diputados. Yañez. Igualada D. Josef Pascual, hacendado de Esparraguera. Maurera Entro i jurar y tomó asiento -n el Congreso ei Sr. la Bodega. D. Rimon Busar.ya, escribano de Alo y A Tarrasa D. Juan Barata, Las…</t>
  </si>
  <si>
    <t>Agustín, Antonio</t>
  </si>
  <si>
    <t>Antonio Agustín</t>
  </si>
  <si>
    <t>Gaceta del Gobierno n.º 19</t>
  </si>
  <si>
    <t>…to ingles Jeremías Bentham , y filosofía á la ciencia gramatical; un Luis Vives, ingenio ame puesto en egecucion conforme á los princip.os del autor original nísimo y profundo; un D. Antonio Agustín, fundador de por el Dr. D. Tofibio Nuñez, jurisconsulto españolees un cua la ciencia numismática, no eran seguramente para olvidados. derno en 4.' de’143 folios, que presenta el prospecto del siste Y aun cuando se omitiesen todos estos, por ser en cierto ma á…</t>
  </si>
  <si>
    <t>Gaceta del Gobierno n.º 32</t>
  </si>
  <si>
    <t>…y sirve de norte en la Enciclo la vanguardia á la ilustración europea. pedia y en los tratados mas eminentes sobre la materia. Cesaron los tormentos-; espiraron los sayones, y des D. Antonio Agustín mereció siempre un predicamento es aparecieron las tinieblas; florezca, pues y descuelle el. numen clarecido entre los primeros literatos de Italia, y en sus español con la gala, el denuedo y la primacía que esen Diálogos de medallas dió.forma y planta á la c…</t>
  </si>
  <si>
    <t>Agustin, Juan</t>
  </si>
  <si>
    <t>Juan Agustin</t>
  </si>
  <si>
    <t>Gaceta de Madrid n.º 145</t>
  </si>
  <si>
    <t>…ores de las armas, -cisco Vicente Yáñez y D.; Tomas Arizmendi. ,quienes remitirán relaciones nominales á-esta secretaría dél Despacho de Idem de Granada.. D. Josef López de Gozar, D. Juan Agustin de mi cargo al fin del expresado término, manifestando al‘ .pie dé ellas el ■ Abarrátegui y D.-Andres Subiza. ' concepto que le's merezcan las solicitudes dé los aspirantes, a.esta, distin - Idem de Navarra^ D. Martin Javier de Muzquiz y .D.- Juan Mición y bi…</t>
  </si>
  <si>
    <t>AgustinTorres</t>
  </si>
  <si>
    <t>Gaceta del Gobierno n.º 52</t>
  </si>
  <si>
    <t>…neficio del pueblo, bien seguros de verse apoyados por la putado suplente por Guadalajara; D. josef Cabeza y Mora, eficaz cooperación de V. A. R.” diputado suplente por Canarias ; D. AgustinTorres, diputado suplente por Cataluña ; D. Mariano Zorraquín , diputado NOTICIAS DEL REINO. suplente por Madrid;-D. Joaquín Manían y D. Pablo LaMadrid 20 de Febrero. llave, diputados por Veracruz; D. Lorenzo Zavala y Don , SS. MM. y AA. continúan sin novedad en su…</t>
  </si>
  <si>
    <t>Ahumada, Josef</t>
  </si>
  <si>
    <t>Josef Ahumada</t>
  </si>
  <si>
    <t>Gaceta del Gobierno n.º 48</t>
  </si>
  <si>
    <t>2 28 guel; y con to2 rs. á los herederos de D. Josef Ahumada al mismo tiempo se agitó violenta mente por largo rato. Co por S. Juan Bautista, en 105,325 rs. mo 10 minutos despees que se le bajó del patíbulo fije lieOtra suerte llamada la Isla del Monasterio, que se com vado al teatro anatómico de la universidad. El ‘se…</t>
  </si>
  <si>
    <t>AI-</t>
  </si>
  <si>
    <t>…repre sar á. la comisión especial de Hacienda. sentación para que :se ¡interesara.en.favor de los iJesgraciados.de España A la de Hacienda se mandaron pasar unas indicaciones dél Sr. AI- del año de ,14. Ademas de esto deseo -,qu¿ el!;Sr.. Torres rnie„ diga si varez Guerra, relativas á facilitar lá.venta, de las fincas aplicadas al quiere se repita en Tarragona lo que se ha visto en Barcelona. Estando Crédito público . atendiendo á los qué hub…</t>
  </si>
  <si>
    <t>Ai-, Romero</t>
  </si>
  <si>
    <t>Romero Ai-</t>
  </si>
  <si>
    <t>Gaceta de Madrid n.º 352</t>
  </si>
  <si>
    <t>…iscutan por el orden que se presentan; pero ya no me cia del asunto ;pero lejos ¿e acobardarse; con la grave pero grandiosa es indiferente dejar de hablar después de haber oido al Sr. Romero Ai- carga que las Corles tuvieran á.bien imponerla, se engrandeció, y resol puente, que ha dicho ser preciso que se oiga dicha segunda parte , por vió sacrificar, si era necesario , basta su existencia ; para no dejar de cor que se trata én ella del ministerio. Y…</t>
  </si>
  <si>
    <t>Aiamin, Juan Muñoz</t>
  </si>
  <si>
    <t>Juan Muñoz Aiamin</t>
  </si>
  <si>
    <t>Gaceta de Madrid n.º 271</t>
  </si>
  <si>
    <t>…midades y de la frecuencia con que D. Josef Eusebio Gallego, electo diputado por Vera-Paz de Goate- se repiten.á causa del modo con qae se techan los edificios rurales, un mala ,y D. Juan Muñoz Aiamin, por la provincia de Sevilla, los cua ciudadano del Pas-de-Calais se ha dedicado por espacio de dos años i les habían presentado sus poderes. buscar un modo de techarlos con solidez y economía, preservándolos En seguida se procedió á nombrar la comisión de ci…</t>
  </si>
  <si>
    <t>Aianian</t>
  </si>
  <si>
    <t>Gaceta de Madrid n.º 322</t>
  </si>
  <si>
    <t>…e obraba en el expediente , y del máximum estable delicadeza á mayor extremo , porque carecían de datos. cido en el art. 3.1’, sacaba en consecuencia que la prohibición que po- El Sr. Aianian opinó que no debía aprobarse este artículo , porqué nia la comisión era nula, porque el máximum era menor que el precio estaba en oposición con los primeros; y habiéndose declarado ei punto ordinario de estos efectos , y que aun era menor de un 25 á un 30 por…</t>
  </si>
  <si>
    <t>Aíateo</t>
  </si>
  <si>
    <t>Gaceta de Madrid n.º 216</t>
  </si>
  <si>
    <t>…os griegos; no permitieron álos'francos re D. Ignacio Jacobo y Ekano. por sí y sus hijos. fugiarse á bordo de los buques, ni á dicha fragata entrar en el puerto D- Ignacio Uranga. D. Aíateo de la Quintana. á recibir pliegos del cónsul francés D. Juan Bolado. D. Matilde Vincenti de Castro. La Rusia, Austria y Prusia parecen irsé preparando para grandes - D. Juan Ferrar. D. Aíiguel Balseira. acontecimientos: la apatía dé la Prusia se convierte en…</t>
  </si>
  <si>
    <t>Aibea, Francisco de Paula Martinez</t>
  </si>
  <si>
    <t>Francisco de Paula Martinez Aibea</t>
  </si>
  <si>
    <t>…eberán comunicarla los citados comisionados. Cuenca-D. Josef Escolar y Moriega, en Gerona D- Ramón Torra, en 11. „ Los comisionados procederán inmediatamente-á arrendar en Granada D. Francisco de Paula Martinez Aibea, en Guadix D. An púbiiéa.subasta, con intervención de los contadores, las fincas que no tonio Tuque, en Muesca D. Francisco Domenech, en Ibiza D. Ma lo estuvieren, cuyo arrendamiento no tendrá validación sinla compe riano Ramón de Arabi, en Jaca D. Gerónimo R…</t>
  </si>
  <si>
    <t>Aibugnano, Ssrra de</t>
  </si>
  <si>
    <t>Ssrra de Aibugnano</t>
  </si>
  <si>
    <t>Edición extraordinaria</t>
  </si>
  <si>
    <t>Gaceta de Madrid n.º 89 (extraordinaria)</t>
  </si>
  <si>
    <t>…casa de Sahoya. nónigo Marentini: el marques de Oncieux : marques Agusiin jót ,,Los contraventores ñ este articulo serán castigados como per relo : Piaccnza, comisario de Guerra: conde Ssrra de Aibugnano: turbadores de la tranquilidad pública. el marques Gerónimo Scrra. 3.0 ,,E1 acta de abdicación de S. M. el Rey Victor Manuel ,,Nuestro primer secretario de Estado de! Interior queda en se publicará á continuación de nuestro presente decreto. cargado de la ege…</t>
  </si>
  <si>
    <t>Aicazar, Josef</t>
  </si>
  <si>
    <t>Josef Aicazar</t>
  </si>
  <si>
    <t>Gaceta de Madrid n.º 343</t>
  </si>
  <si>
    <t>…ncia podrá tomar la autoridad con do el comandante del destacamento de dragones del Rey que hay cu respecto á un pensamiento mientras este no se pruebe; por consiguien dicha plaza D. Josef Aicazar, el cual dice: » Que á ias 10 de la ma te resulta que no hay necesidad de poner esta palabra, porque se echa ñana del dia 9 le presentó el sargento del mismo á ció, soldados .. quie de ver que el pensamiento ha de estar manifestado. Convengo en que nes trató…</t>
  </si>
  <si>
    <t>Aidazolo, Damiana de</t>
  </si>
  <si>
    <t>Damiana de Aidazolo</t>
  </si>
  <si>
    <t>Gaceta de Madrid n.º 326</t>
  </si>
  <si>
    <t>…subasta la contrata de 208 resmas mera instancia de la .villa de Bilbao, se cita y llama á los herederos de de papel , necesario para la impresión de la bula de Cruzada y sumarios Doña Damiana de Aidazolo , vecina que fue de la misma villa, á fin del indulto que se han de expender en la Península y América. Lo que de que comparezcan á usaT de su derecho en el mismo tribunal dentro se noticia para que los licitadores hagan sus proposiciones correspon de 30 días…</t>
  </si>
  <si>
    <t>Aíendinueta, Hilario</t>
  </si>
  <si>
    <t>Hilario Aíendinueta</t>
  </si>
  <si>
    <t>…ruso, "k pesar de las; representaciones hechas al diván D. Fermín Carnerero y Villa. D. Martin Gutiérrez. por. los :dema$ ministros europeos contriseméjafite procedimiento. Corís- D. Hilario Aíendinueta (O, D. Aíarcelino Casado. tantinopla seguía en una fermentación funesta. De Toion avisaban ha conde.de Goyeneche, alcalde cons D. Mariano Mas. ber entrado allí el r’8 la fragata francesa Louise Manto:se, procedente titucional de esta M. H. villa. Marques de C…</t>
  </si>
  <si>
    <t>Aiguals, Antonio</t>
  </si>
  <si>
    <t>Antonio Aiguals</t>
  </si>
  <si>
    <t>…go defensas incompa Partido de Huete D. Julián de- la Calle, D. Juan Manuel Pió Arias. tibles con la del que los nombre, se entregará á cada reo una Juta de En Valencia. Peníscola D. Antonio Aiguals, vecino y del co los defensores que respecto de él no se hallen en este caso. Sí algún reo mercio de Vinaroz. D. Rafael Querol, alcalde primero constitucional ó reos no hicieren el nombramiento en el término señalado, io ejecu de Onda. D. Francisco Gaseo, abo…</t>
  </si>
  <si>
    <t>Ailonca, Juan</t>
  </si>
  <si>
    <t>Juan Ailonca</t>
  </si>
  <si>
    <t>…ciudadanos qué en los anteriores D. Dionisio Solis, D. Felipe Bauza, D. Jcsef Marti, D. Josef Nuñez merecieron la confianza pública; pero no nos ha sido posible reunir la Arenas , D. Juan Ailonca, D. Juan Lasaña , D. Manuel Flores Calde lista completa de todos los compromisarios. Esperamos que tanto este rón , D. Mariano Lagasca, el marques de Pontejos, D. Pedro Castelló, punto como otros vayan siempre mejorándose , y que en adelante cui D. Pedro Goss…</t>
  </si>
  <si>
    <t>Aimar, Josef</t>
  </si>
  <si>
    <t>Josef Aimar</t>
  </si>
  <si>
    <t>Gaceta de Madrid n.º 243</t>
  </si>
  <si>
    <t>…del lazareto sucio para efectuar en ¿1 ia ventilación de gé laati.ssR.immk 20 de Junio de 1821.” neros sospechosos , y destinó á este efecto el que posee ea el indicado parage el Sr. D. Josef Aimar. POJtTVOAI. l-íabiéndose participado á la junta superior de salud pública que en uno de los pueblos ¡de ¡a marina había llegado un enfermo con sínto Lisboa xi de Agosto. mas sospechosos , procedente de este puerto, ofició la junta á D. An tonio l’ellicer con…</t>
  </si>
  <si>
    <t>Ainati, Félix</t>
  </si>
  <si>
    <t>Félix Ainati</t>
  </si>
  <si>
    <t>…trató ya de este asunto; y títiqüe' üe S. Teodoro- V E1 sacerdote D. Joséf Capocasale. manifestó que con respecto á las tarifas había muchos abusos, resultan Príncipe de’ Gcrace. D. Félix Ainati. do muy perjudicado nuestro comercio, en razón de que los Gobiernos El' bailío D. Josef Carra'ccioló. D. Carmen Lancellotü ' ' extrangeros habían subido sus tarifas, y los cónsules españoles habían Marques de Sta. Agata, D. Nicolás Porcinari. uniformado i est…</t>
  </si>
  <si>
    <t>Aínedo</t>
  </si>
  <si>
    <t>Gaceta de Madrid n.º 305</t>
  </si>
  <si>
    <t>…uerpos de mili El Sr. Sancho dijo: El Sr. preopinante ha dicho que le parece pue cias bien organizados. den aspirar y obtener las plazas de subtenientes en la milicia activa to El Sr. Aínedo hizo algunas reflexiones en contra de este artículo. dos aquellos sugetos que teniendo la edad necesaria reúnan los cono El Sr. Sánchez Salvador anadió á las del Sr. Sancho que jamas los cimientos que dicte un reglamento particular, y que al Gobierno le ofici…</t>
  </si>
  <si>
    <t>Ainslie</t>
  </si>
  <si>
    <t>Gaceta de Madrid n.º 241</t>
  </si>
  <si>
    <t>…n: » S. M. había enviado á buscar á Dunsboin , distante 90 millas.;de: Londres: ha muerto á las diez y veinte y cinco minutos de esta noche. B.uiiie, conferenció un momento con el doctor Ainslie, y entró’á: ver á S. M.; Ainslie, Matón, Warren , Holland. _ Braiidebonig-iiouse , y de hubo en seguida una consulta, cuyo, resultado no se supo; A la hora -Agosto.” de la siesta durmió S. Al. un poco, y esto, pareció que la había aliviado ■ ¡ Las p rsonas qu…</t>
  </si>
  <si>
    <t>AÍolinillo, Manuel</t>
  </si>
  <si>
    <t>Manuel AÍolinillo</t>
  </si>
  <si>
    <t>Gaceta de Madrid n.º 130</t>
  </si>
  <si>
    <t>…ltaren autores y gefes de la se Él dictamen de la comisión de Legislación sobre que se dispense al dición. Sé mandó pasar esta propuesta á la comisión que habia entendi presbítero D. Manuel AÍolinillo, capellán castrense del hospital de do en la ley interina de abreviación de causas. Magatagá, la residencia en la villa de Brúñete para gozar del vínculo El Sr. presidente señaló la hora de las ocho de esta noche para se que posee en ella. . sión extraordinar…</t>
  </si>
  <si>
    <t>Aíonteiro, Luis</t>
  </si>
  <si>
    <t>Luis Aíonteiro</t>
  </si>
  <si>
    <t>…ender esta parte del artículo jo, y la relación que tenia esta di Jos periódicos de Paris que anuncian ia muerte de la Rema de In visión con los jueces, con cuyo motivo explicó el Sr. Luis Aíonteiro glaterra se fundan en noticias de cartas particulares, pues los oefod:cómo hacían los jueces en Inglaterra para visitar varias provincias, juz cos de Londres alcanzan solamente á hablar del malísimo estado de sa gar las causas, y presidir á los jurados Scc. l…</t>
  </si>
  <si>
    <t>Aipuente, JKomcr-j</t>
  </si>
  <si>
    <t>JKomcr-j Aipuente</t>
  </si>
  <si>
    <t>Gaceta de Madrid n.º 364</t>
  </si>
  <si>
    <t>…a de Tin,piona, y uilcion de las penas correspondía al criminal. nilestó ias que había jdoptido la comi-icn. El Sr. Alilía opinó que este artículo pertenecía mas bien al de pro El Sr. JKomcr-j Aipuente íuc de Opinión que debía quitarse de! ar cedimientos , y que no podia convenir con el Sr. Calatrava en que la tículo ia palabra relucidente en tal crimen.-, y hsb: lodoso conformado los egecucion de las penas era parte de las mismas, porque ia egecucion no Sr…</t>
  </si>
  <si>
    <t>Aipuente, Romero</t>
  </si>
  <si>
    <t>Romero Aipuente</t>
  </si>
  <si>
    <t>Gaceta del Gobierno n.º 69</t>
  </si>
  <si>
    <t>…ión facilitan las manufacturas de lana. Aunque por aho fuese á costa de los que resultasen reos. ' ra este espantoso hecho no presenta otro carácter que el de un ataque Convino el Sr. Romero Aipuente en que debia pasar á la comisión directo á la Industria, puede no obstante tener el doble fin de que con urgencia, y notó dos cosas.: primera, que no resultaba si se habia faltando las máquinas tan costosas como interesantes, resulten perjuicios hecho algún u…</t>
  </si>
  <si>
    <t>…insertara en el Se pasó á la misma comisión la solicitud de Doña Francisca Men- Diario. , cbaca sobre que se la conceda una pensión en premio de los méritos Acto continuo pidió.el Sr. Romero Aipuente se le permitiera leer de su marido, que contribuyó á la fuga del general Renovales. una representación de varios oficiales de los regimientos la Constitución A la comisión Eclesiástica se pasó una exposición del intendente y Cantabria , y de las milicias naci…</t>
  </si>
  <si>
    <t>…bjeciones que ha hecho el Sr. Torres? de que • ..;mase á los Sres. ministros para dar cuenta Se lo que habia sucedido , di no ha leído...... jo uno de los Sres. secretarios que el Sr. Romero Aipuente habia he El Sr. presidente llamó al orden al orador; pero este contestó que cho una indicación sobre esto , que se leyó, y decía asi: Jo que quería decir era que el Sr. Torres no habia leído lo que él iba á »He sabido que en la provincia de Búrgos hay varios…</t>
  </si>
  <si>
    <t>…o de que en cuanto al bacalao se redujese su derecho al máximum de 30 por aprobar el artículo que se discute. too de 48 que se.habia impuesto antes: en su consecuencia opinaban El Sr. Romero Aipuente: Ha dicho en su discurso el Sr. Navar que nada tenían que proponer acerca de lo que se estableciese por regla rete que los defensores no podrían cumplir con su obligación aprobán general sobre ambos artículos; y que en cuanto á lo demas á que se dose lo que s…</t>
  </si>
  <si>
    <t>Gaceta de Madrid n.º 361</t>
  </si>
  <si>
    <t>1979</t>
  </si>
  <si>
    <t>…al mirar á un hombre puesto en un y D. Antonio Pacheco habian hecho observaciones acerca de este punto. patíbulo; y este triste espectáculo ¿retrae de cometer algún delito? Re- El Sr. Romero Aipuente dijo: Se me ofrece hacer ale una observa cúrrase la historia de todos los paisas, y especialmente los de la Penín ción. Esta peni causa un efecto terrible á la sociedad y a! que ia sufre, sula,/ se verá que mientras se presencia este triste espectáculo se es-…</t>
  </si>
  <si>
    <t>Air, Lushingtou y</t>
  </si>
  <si>
    <t>Lushingtou y Air</t>
  </si>
  <si>
    <t>…que hijo, el ¡everenio Mr. Wiide, lo» doctores i'aiilie, AiisJ¡e, Matón, se observó este sensible síntoma desde el primer día de la enfermedad. ■Warren y iioliand, M . Witde , tí! doctor Lushingtou y Air. Alstin. H.i»ta ayer mañana pareció que ia Reina estaba creida'de que ya no A las cuatro de la tarde se suplicó a Air. W'ilde que volviese á en se levantaría , y hablaba de su inin.idiaío fallecimiento con la mayor trar en. ei dormitorio de la Reí. a. be habí…</t>
  </si>
  <si>
    <t>AiSesión-del, Romero</t>
  </si>
  <si>
    <t>Romero AiSesión-del</t>
  </si>
  <si>
    <t>Gaceta de Madrid n.º 119</t>
  </si>
  <si>
    <t>…a misma á ios-Sres. Villanuevs, PRESIDENCIA DEL SEKOR' GUTrEXRBZ DE TERAN. García Page, Cortés, Florez Estrada y Díaz del Afora). Se hizo segunda -lectura de las proposiciones del Sr. Romero AiSesión-del:26 de Abril. • i puente, que decían : Se leyó y aprobó el acta de-la sesión anterior. .,,Declárese que para obtener algún empleo , sea civil, sea eclesiás Se dió cuenta de un oficio del Sr. secretario - de -la Gobernación de tico, es preciso que el agraciado.…</t>
  </si>
  <si>
    <t>Aizpuru, Manuel</t>
  </si>
  <si>
    <t>Manuel Aizpuru</t>
  </si>
  <si>
    <t>Gaceta de Madrid n.º 232</t>
  </si>
  <si>
    <t>…os que un Gobierno vigi gel : para el de Durango á D. Francisco Javier de Elexpuru: para el de lante debe separar de los cargos públicos , si quiere consolidar su obra; Guernica á D. Manuel Aizpuru: para el de Sopuerta á D. Mariano la cual valdría mas no haberla principiado, que permitir sufra retroce Ambrosio Morales. so. ¡Y á quién deberia atribuirse? á los hombres del sistema antiguo, Provincia de Navarra. Para el de Pamplona á D. Antonio Cha- tenazm…</t>
  </si>
  <si>
    <t>Al, Joaquín de Oses y</t>
  </si>
  <si>
    <t>Joaquín de Oses y Al</t>
  </si>
  <si>
    <t>Gaceta de Madrid n.º 98</t>
  </si>
  <si>
    <t>…o rédito ó una nueva carga, y yo La comisión de Poderes presentó su dictamen después de haber exa creo que no debe accederse á ella; y los trámites que se han segui minado los del Sr. D. Joaquín de Oses y Al zúa, arzobispo de Cuba, do, con respecto á cumplir las obligaciones, entiendo que no se oponen electo diputado por la misma provincia, y opinaba que en atención i en nada á la buena fe ; por lo que me parece no debe aprobarse el lo que mandaba el artículo 97…</t>
  </si>
  <si>
    <t>Al, Martin</t>
  </si>
  <si>
    <t>Martin Al</t>
  </si>
  <si>
    <t>…en 68o3, y la segunda en 88,992 , y rema Agudo: para la de Estepa á D. Juan Tomas Encina: para la de Fre- tada en 560,500, rebajados 4$ rs. que tienen de carga cada una de genal á D. Martin Al varezSotomayor: p3ra la deMarchena i D. Manuel farol y sereno , á.pagar en créditos contra el Estado, y con sujeción al Moraño: para la de Moran í D. LuisOrtiz de Zúñiga: para la de Osuna reglamento aprobado por las Cortes en 3 de Setiembre último; los que á…</t>
  </si>
  <si>
    <t>Al, Matías Vinuesa López de</t>
  </si>
  <si>
    <t>Matías Vinuesa López de Al</t>
  </si>
  <si>
    <t>…r tenido á bien ella, habiendo visto la causa criminal formada de oficio en el día 29 de declarar por su Real decreto de ja copia adjunta, con fecha 26 del cor Enero último contra D. Matías Vinuesa López de Al faro , presbítero, riente, que para consolidar con mas firmeza los intereses de todos sus capellán de honor de S. M. , arcediano ds Tarazona, natural de la vi vasallos de uno y otro hemisferio, se había resuelto á aprobar, como lla de Seila, de edad de 42 año…</t>
  </si>
  <si>
    <t>Al, Pedro</t>
  </si>
  <si>
    <t>Pedro Al</t>
  </si>
  <si>
    <t>Gaceta de Madrid n.º 288</t>
  </si>
  <si>
    <t>…e construyen , porque precisamente es un pueblo mas rico que Segorve. Yo hablo con toda imparcialidad, porque tanto por la divi- En consideración á lo* méritos y circunstancias de D. Pedro Al «ion que ha propuesto la comisión-, como por laque era de opinión el cántara Bruno, asesor y auditor de guerra que fue del gobierno de Gua Sr. Cortés que se hiciese, mi pueblo siempre queda en la provincia de yaquil, se ha servido S. M. concederle los honores…</t>
  </si>
  <si>
    <t>Al, Romero</t>
  </si>
  <si>
    <t>Romero Al</t>
  </si>
  <si>
    <t>Gaceta del Gobierno n.º 66</t>
  </si>
  <si>
    <t>…arse con las demas que presentasen los ¿res. secretarios del segunda los Sres. Cañara!, Hinojosa , Lórenzaaa , Valcarcel y Govan-i Despacho. tes, y para fiscal el Sr. Subrié. ' El Sr. Romero Al puente, reclamó como lo mas urgente, y pidió Se dió cuenta de un oficio que se acababa de recibir del Gobierno, .que se leyera con preferencia,una proposición que, tenia hecha sobre to en el que se trasladaba á noticia de las Cortes, que hablan prestado en ma…</t>
  </si>
  <si>
    <t>…lugar a votar. actas, que firmarán el "presidente- y secretarios. - . 2 No se admitió d discusión una-adición del Sr. Palarea al art. 74,' No se aprobó una adición ál art. 86 del Sr. Romero Al puente, qué que-decia: ,¡0 sobre el que hubiesen'tomado parte en la:discusion.” decia:» Después de la palabra Constitución” d rfr/éy. - Se aprobaron las tres adiciones que siguen : una del Sr. Subrié al- , Se aprobó otra del mismo Sr. diputado al citado artic…</t>
  </si>
  <si>
    <t>Gaceta de Madrid n.º 85</t>
  </si>
  <si>
    <t>401</t>
  </si>
  <si>
    <t>…to entre los Sres. Gon- Ñápeles han hecho desmayar en la,menor cosa el, ánimo y entusiasmo’; «tez Allende y Rovifa , quedó aprobada dicha adición. de los napolitahós. ’ ' , • * El Sr. Romero Al puente añadió esta adición á la indicación del*- ' Alostrósela nacion napolitana digna;de la resolución que.había to Sr. González Allende: « Haciendo especial mención del estado de pi- mado. Convocó extraordinariamente su Parlamento; y este, con .¿que-, »go d…</t>
  </si>
  <si>
    <t>Gaceta de Madrid n.º 135</t>
  </si>
  <si>
    <t>…ia referido el señor milicias provinciales; porque estas debian estar sujetas á todas las penas Quiroga. militares; y que á cualquier miliciano provincial que se separase de su El Sr. Romero Al puente dijo: que las Leyes que habia citado el pueblo hasta cierto punto se le debia considerar como desertor , en Sr. Moreno Guerra eran tan terminantes, que cualquiera otra no lo po razón de que si el cuerpo necesitase ponerse sobre las armas, no podría día…</t>
  </si>
  <si>
    <t>Donativo, suscripción o relación nominal</t>
  </si>
  <si>
    <t>Gaceta de Madrid n.º 148</t>
  </si>
  <si>
    <t>…que la vínica base que se puede aumentan el valor del terreno, sirven de dato para la contribución so adoptar es esta. . bre predios.” En seguida quedó aprobado dicho artículo. El Sr. Romero Al puente dijo : yo tengo las mismas dificultades que Art. g.J «De las rentas pertenecientes á los predios urbanos se el Sr. Zapata, y creo que de ninguna manera se han satisfecho. No hay rebajará una tercera parte por gastos de su conservación y administra moti…</t>
  </si>
  <si>
    <t>Gaceta de Madrid n.º 159</t>
  </si>
  <si>
    <t>…de Guerra relativo á los ayu ríiisiones de Agricultura, Comercio y Hacienda unidas. dantes de campo del Rey. ■ la comisión dé Legislación presentó su dictamen acerca de la pro El Sr. Romero Al puente dijo: aqui se proponen ocho plazas de posición del Sr. Carrasco en la sesión de 18 de Marzo' último (véase Lt ayudantes de campo del Rey con el sueldo ó dotación de 2500 rs. gaceta del ig, pag. ,j6y), relativo á los pastos de los bueyes de car mensuale…</t>
  </si>
  <si>
    <t>Gaceta de Madrid n.º 340</t>
  </si>
  <si>
    <t>…ción la proposición referida , resultó no quedar aprobada. en las casas nacionales de moneda sin preferencia alguna y por el orden Se leyó la siguiente definición piopuseta por el Sr. Romero Al rigoroso de presentación, según el registro que se llevará al efecto. Con igual puntualidad se expedirán por tesorería los billetes de aumento. fileróte. » Delito es la violación voluntaria de la ley penal.” Se mandó pa Art- 10. Los pagos se harán á medida qu…</t>
  </si>
  <si>
    <t>…ultaría lo que con mu se debe castigar sino como tentativa del primero. cha razón hab a dicho el Sr. Calatrava. Eí Sr. Rey hizo varias observaciones en apoyo de la parte del ar El Sr. Romero Al puente: No puedo comprender que se llame au-' tículo que se discutía. siliador de un delito á aquel que no tiene parte alguna en el proyecto Eí Sr. Lallave ( D. Pablo) opinó que el artículo no estaba redactado y en la egecucion , y solamente en lo que sucede…</t>
  </si>
  <si>
    <t>Gaceta de Madrid n.º 348</t>
  </si>
  <si>
    <t>…sado tiempo. ligencia; y que siendo terminantes las leyes en el asunto de que se tra Madrid 5 de Diciembre de 1821. taba , las Cortes debían aprobar el dictamen de la comisión. El Sr. Romero Al puente habló en favor del voto particular, y ANUNCIOS. opinó que no debia aprobarse el dictamen. Después de 'haber hablado el Sr. Gareli en favor del dictamen, se Si alguno se cree con derecho á los bienes de la capellanía que en fi declaró el punto por sufic…</t>
  </si>
  <si>
    <t>2006</t>
  </si>
  <si>
    <t>…ico. =rId. Josef Marin.=Id. Fausto Lapaz.=Id. Josef Ruiz—Manuel Maestre, soldado del regimiento de Leon.=Id. Francisco García. anterior aparece en la continuación del discurso del Sr. Romero Al=Id. Manuel López—Id. Pedro Trenco.=Id. Ramón Jiinenez.=Tam- puente haber dicho: « Pasando de los sucesos de Zaragoza á otras cosas, bor Josef Colombri.mld. Vicente Aguilar—Soldado de id. Juan Pa- » diré que el ministerio se aprovechó hasta de esa friolera de…</t>
  </si>
  <si>
    <t>Al-, Romero</t>
  </si>
  <si>
    <t>Romero Al-</t>
  </si>
  <si>
    <t>Gaceta de Madrid n.º 71</t>
  </si>
  <si>
    <t>…gregar al acta un voto particular del Sr. Cañedo, con leguas, g de Toledo y 9 de Talavtra. El salario es de 89 rs. anuales, y trario á la resolución tomada sobre la indicación del.Sr. Romero Al- 250 mas que se le dan pira ayuda de la renta d: la casa , cobrados por p’.irnte , relatir a al nombramiento de la comisión del Crédito público. la justicia, y pagado, puntualmente en tres tercios al año; hay dos Se Aclaro ser primera lectura la que se hizo de…</t>
  </si>
  <si>
    <t>Al-, Romeró</t>
  </si>
  <si>
    <t>Romeró Al-</t>
  </si>
  <si>
    <t>Gaceta de Madrid n.º 290</t>
  </si>
  <si>
    <t>…una huega sea la capital de la provincia de que se trati. - • • villa que se lleva poco en población con Guadalajara, tiene fábricas, El Sr. Ciemencin dijo: Acaba de manifestar el Sr. Romeró Al- edificios donde acomodar las oficinas del Gobierno, tiene conventos, puente que Guadalajara debe la capitalidad, al favor de la corte. Gua- de los cuales no sé si alguno habrá quedado suprimido, pero es regular; daiajara era una de las principales ciudades de…</t>
  </si>
  <si>
    <t>Gaceta de Madrid n.º 345</t>
  </si>
  <si>
    <t>…ión , en el que manifestaba que SS. MM. y xo se aprobó el artículo. AA. continuaban sin novedad en su importante salud. Las Cortes lo No se admitió á discusión una proposición del Sr. Romero Al- oyeron con satisfacción. puente ,que decía: » Pido que vuelva á la comisión el art. ti.” El Sr. presidente dijo que mañana se discutiría el dictamen de las Art. ia. » El español que habiendo cometido un delito en pais ex- comisiones de Hacienda y Comercio sob…</t>
  </si>
  <si>
    <t>Ala, Juan Josef Flores</t>
  </si>
  <si>
    <t>Juan Josef Flores Ala</t>
  </si>
  <si>
    <t>Gaceta de Madrid n.º 266</t>
  </si>
  <si>
    <t>…en el espacio de pocas cia de 'Gliaclaiajara de Ultramar, conforme á la. ley de 9 de Octubre de horas yá un espejo de zafir , ya un caos de espumosas olas. Las aguas irr.. 1812, á D. Juan Josef Flores Ala torre, magistrado honorario de la, pelidas reciamente hacia las'costas del Peloponeso suben muchas reces misma,.y juez interino, de primera instancia de Méjico: á D. Angel por encima demias peñas y de los árboles mas altos 5 pero estas agitaciones Pinilla y P…</t>
  </si>
  <si>
    <t>AlabSrt, Carlos</t>
  </si>
  <si>
    <t>Carlos AlabSrt</t>
  </si>
  <si>
    <t>Gaceta de Madrid n.º 141</t>
  </si>
  <si>
    <t>…des; pero que en la gaceta, y pasase á la cómisibn de lnstruccion pública, una expo se someterían muy pronto, porque se disponía a ir a aquella, ciudad sición de dos discípulos de D. Carlos AlabSrt , maestro de primeras le con una expedición S. A. IVluley Alí. .El mismo dia 12 entro. S. AI. tras de Barcelona, con la que remitían dos muestras que habian hecho Aíuley.Solimán en. Fez el .nuevo en medio. de.las salvas, y aclamacio en honor del sabio Congres…</t>
  </si>
  <si>
    <t>Alamaa</t>
  </si>
  <si>
    <t>Gaceta de Madrid n.º 331</t>
  </si>
  <si>
    <t>…s causas por ias que lucron c re r. vi os. por roo sobre el valor del tanteo , y 2 por 100 de extracción.” Se ha quitado á los capitanes generales de provincia o comandar,tes geEl Sr. Alamaa observó tpie era excesivo el derecho que se poní» aerales de distrito todo el mando político , la presidencia de las su-</t>
  </si>
  <si>
    <t>Alaman</t>
  </si>
  <si>
    <t>Gaceta de Madrid n.º 147</t>
  </si>
  <si>
    <t>…as partes.de la contribución ter iguales circunstancias. ritorial se impondrían sobre las rentas y cánones de los predios rústicos La de Legislación, en vista de la indicación del Sr. Alaman sobre ,y urbanos, y la otra sexta parte sobre las de los urbanos. las causas de la extinguida inquisición de México, opinaba debía pasar El Sr. Moreno Guerra dijo que mediante el artículo qne propone •al Gobierno. la comisión, deseaba saber cuál era la base q…</t>
  </si>
  <si>
    <t>…a renta.’? de porteros de dichas oficinas los militares mutilados en campaña.-: Se aprobó la siguiente, adición del Sr. M.irtel á dicho art. 3 21: » El Asimismo se aprobó otra del Sr. Alaman, relativa á que la di número de empleados de -la secretaría de- este ramo sera proporcional— lección genera! de Correos forme tarifas exactas de las cuotas que se mente de ambos ramos de correos y loterías.” . .. han de pagar por las postas, las cuales se fij…</t>
  </si>
  <si>
    <t>Gaceta de Madrid n.º 175</t>
  </si>
  <si>
    <t>…aproba AtC i.° « Todos los ramos de la administración militar y los em ción.” pleados en ellos estarán bajo la dependencia del secretario de Estado y En virtud de esta adición del Sr. Alaman al art. 10, se redactab* del despacho de ’.a Guerra, y.del inmediato intendente general militar. en parte de este modo: « Una de física : una de química: una de mine Art. 2.0 « Las principales atribuciones de este gefe serán: 1.“ for- ralogía y geologia: una…</t>
  </si>
  <si>
    <t>…ramos, con arreglo i Manila, Lima, Santa Fe de Bogotá, Caracas, Buenos-Aíres, Charcas, lo prevenido en el artículo anterior.” .Santiago de Chile y Guayaquil.” Aprobado. „ Otra del Sr. Alaman al art. 31 que decia después de las palabras Al art. 56 se añadirá : « México, Lima , Santa Fe de Bogotá, Ca cuando haya recursos suficientes , se añadirá y según las circunstancias racas y Buenos-Aires.” Aprobado. peculiares de la provincia.” ", El art. 57 d…</t>
  </si>
  <si>
    <t>Gaceta de Madrid n.º 179</t>
  </si>
  <si>
    <t>…e mandó volver el dic dos secciones legislativas contribuirán á la Penínsnla del modo que tamen á la comisión. después se arreglará , y conforme lo permitan sus circunstancias. El Sr. Alaman leyó una representación firmada por él y por otros 14. La Nueva-España se hace cargo de pagar toda la deuda pública Sres. diputados de Ultramar, manifestando que habían visto con el ma contraída en su territorio por medio de sus agentes á nombre suyo de yor d…</t>
  </si>
  <si>
    <t>Gaceta de Madrid n.º 181</t>
  </si>
  <si>
    <t>994</t>
  </si>
  <si>
    <t>…bre nuevas poblaciones en aquellas provincias. La comisión opinaba ' El SrV Borges Carneiro, haciendo varias observaciones, y deducien debían aprobarse la del Sr. Sandino y la del Sr. Alaman al art. 4P: que do de ellas que el edificio habia sido incendiado á propósito, dijo que en cuanto á la de los Sres. Sánchez y Medina encuentra que están com: la junta de comercio era enteramente inútil, y que en aquella misma prendidas en el art. 5.0 del decr…</t>
  </si>
  <si>
    <t>Gaceta de Madrid n.º 291</t>
  </si>
  <si>
    <t>…pruebe el dictamen de la comisión. ha tenido, y que somete muy gustosa. 4 la deliberación de las Cortes. . id Sr. ¿apata dijo que quisiera saber cuáles eran los desiertos que . El Sr. Alaman hizo varias reflexiones contra el dictamen de la co Todeaban á Moguer, y asimismo que el Sr. preopinante le dijese cuál misión, y manifestó el suyo . relativo á que se dividiesen las provin- era el comercio de Huelva, y cuál el, de Moguer; porqué, él primero…</t>
  </si>
  <si>
    <t>…consejó Admitida á discusión pidieron varios señores diputados la palabra de Estado, y este no lo ha despachado, porque ha pedido antecedentes para hablar en pro y en contra; y el Sr. Alaman manifestó que con y mas antecedentes pata dar tu dictamen; cosa muy laudable, puesto viniendo con los principios del Sr- Paut sobre ia importancia de éstas que se echa de ver que-desea el «cierto. medidas, se‘oponía á la proposición , porque no la consideiaba…</t>
  </si>
  <si>
    <t>Gaceta de Madrid n.º 308</t>
  </si>
  <si>
    <t>1643</t>
  </si>
  <si>
    <t>…nes, se cobrará una mayor vigilancia para evitar el contrabando. sola vez el derecho señalado por arancel.'’ El Sr. Banqueri hizo varias reflexiones sobre este artículo; y mani El Sr. Alaman: No me parece que una parte de este artículo guar festó que no encontraba razón para que los géneros extrangeros circu da la misma igualdad que previene ia Constitución haya de obser lasen sin guias , advirtiéndose una preferencia considerable á favor de vars…</t>
  </si>
  <si>
    <t>…con alguna córra variación , y se levantó Ja sesión. Martínez de la Rosa por 78 votos del total de t¿8 . para el segundo el Sr. Rainonet por 66 votos de 130; y para el tercero el Sr. Alaman por NOTICIAS DE ESPAÑA 72 de 1 28. En seguida ocuparon sus respectivos asientos el Sr. presi dente y secretario. Lson 13 de Octubre. Se dió cuenta de una exposición de la diputación provincial de En Agosto último el coronel D. Luis de Sosa, vecino de esta ciu…</t>
  </si>
  <si>
    <t>Gaceta de Madrid n.º 309</t>
  </si>
  <si>
    <t>…á Viena, donde han cesado ción de estilo ai Sr Tapia; para la de Salud pública al Sr. del Rio, en los preparativos para recibirle, sino á París por el mes de Noviembre,á lugar del Sr. Alaman, y para la de División de territqrjo al Sr. Clepesar del misterio con que se procura encubrir este proyecto. inencm. n Una carta de Zante, su fecha 15 de Setiembre , dice que un oficiaL Se dió cuenta de una solicitud dei ayuntamiento constitucional de napolit…</t>
  </si>
  <si>
    <t>…etos inteligentes, de Ja maledicencia ó de Ja ignorancia. En cuanto á ia cuestión pen prácticos y versadosen estos negocios, que cuiden y sean interesados en diente, opino como el Sr. Alaman que debe reunirse la parte adminis que no esté abandonado este importante ramo , que es el medio mas trativa á la facultativa , sobre todo para evitar los fraudes; no se trata seguro de que no haya falsificaciones: yo creó que esto está ahora tan por esto de…</t>
  </si>
  <si>
    <t>Aláman</t>
  </si>
  <si>
    <t>…das estas materias serán el objeto del examen y censura de arregladas, debía informar el almirantazgo, que era él que mas datos los pretendientes.” podría reunir en la materia. El Sr. Aláman dijo: Me parece que la comisión exige demasiado Se declaró) este asunto suficientemente discutido , y quedó aprobado dj los aspirantes a estas plazas, y mas si se considera que como no lúa el artículo en estos términos: « Con. previa noticia de las juntas de…</t>
  </si>
  <si>
    <t>…allón Felipe Sierra, zz El teniente del 4-° batallón Josef Lo- decido el Sr. Martel en la sesión anterior. prz.zz Manuel Garcés , miliciano del tercer batalIon.zz Alberto Ramo, El Sr. Alaman dijo: Mis dignos compañeros queme han precedido, sargento 2.0 del primer batal Ion. =z Andrés Gómez, teniente del primer asi los que han sostenido el dictamen de la mayoría de ia comisión, batallón. = Pedro Barran, cabo i.J del primer batallón, zz Pedro Jimé…</t>
  </si>
  <si>
    <t>…tener la entrada de mone Ai director general interino de la armada digo con esta fecha lo qus da extrangera. sigue.- » Habiendo dado cuenta al Rey de la exposición que V. E. ms El Sr. Alaman dijo : En esta discusión , como en todas las demas.que dirigió con su informe y oficio de 7 de Marzo dei corriente año, la se extienden mucho, no solamente se oscurece el objeto de ella, sino cual el auditor del departamento de Cartagena hizo al capitán gener…</t>
  </si>
  <si>
    <t>Gaceta de Madrid n.º 324</t>
  </si>
  <si>
    <t>…se lagar -los tenedores de buena fe se habrán despojado de dicha moneda; y si en teta del li ). - • - .el dia se halla mayor cantidad, no es por está razón, sino porque se ha L El Sr. Alaman eipuso'que le parecía algo largo, el término que la especulado mucho con ella y con la nuestra; por consiguiente esta .ley no j comisión proponía en este artículo, y que no debía decirse tampoco .debe tener por objeto el favorecer á los tenedores de mala fe q…</t>
  </si>
  <si>
    <t>…ho atizas , ó da fuerza á una especie tan infundada y tan injuriosa. He dicho que tea un marco de Castilla cuando se trató del empréstito no era yo individuo de la comisión que El Sr. Alaman presentó una proposición que dijo que no solo com entendió en este asunto. Hablé y voté como d putado; si me equ prendía el art. 3.', sino también los siguientes , y que la presentaba con voqué fue con casi todos mis compañeros; pero el resultado ha mani moti…</t>
  </si>
  <si>
    <t>…nante, porque siendo el vacío por muy poco tiem lo. cual resultaba á la Nación el mismo daño que se trataba de evitar. po, no llegaría el caso de influir como habia dicho S.'S. El Sr. Alaman manifestó qua era sumamente difícil falsificar este El Sr. Sancho dijo que era indudable el perjuicio, porque un co resello, y aun tanto como falsificar cualquiera moneda española, con merciante que necesitase 100 luises, y tuviese una cédula ó resguardo lo c…</t>
  </si>
  <si>
    <t>…sertos en la gace Bueno.=Bernardo Ferrez.esjavier Nolivoi.=c Ramón de Orgellés.=To- ta de 1 r del corriente. , ‘ mas de. Yoldi.=Barlolomé Gallego.trrjorge Martinez.=Alfonso .Mu El Sr. Alaman dijo que la.comisión había mandado el modelo qus ñoz.=Franci seo del Castillo.—Ramón de Lafiguera.=:Josef Puijol.r: tenia presentado, y habian visto algunos Sres. diputados , por ser el últ Ramón dr Rr.brts.=Francisco Paredes.”Vicente Laborda.—Pantaleon imame…</t>
  </si>
  <si>
    <t>…ptarla; y como quiera que bia mintio entre él y Gobierno. son de mucho peso, seria muy conveniente que se aumentara á 150 el ■ Sé leyó el art. 15 (14 de la expresada gaceta),)' el Sr. Alaman avalúo en lugar de 140 como se propone con el 25 por too sobre este propuso que para facilitar mas la operación podria decirse que la casa avalúo; porque aunque és verdad que la mayor parte de la seda que se de mfeneia recibirá las piezas de moneda que se pre…</t>
  </si>
  <si>
    <t>Gaceta de Madrid n.º 327</t>
  </si>
  <si>
    <t>…podemos creer que entienda de leyes y pendiesen de las de Europa , ó á lómenos de enviar grabadores de aquí. combinaciones de'metales, ni de fundición, ensayes, grabado y mecá El Sr. Alaman dijo: Que estaba de acuerdo con los Sres. de la co nica , y tantos otros puntos y casos extraordinarios como suelen ocur misión en que debia haber una ¡unta directiva de todas las casas de rir, AI contrario por medio de esta junta pueden llegar estas casas a…</t>
  </si>
  <si>
    <t>…necesidad de subirlo ó bajarlo: supuesto que se ha verificado esto en donde se hiciesen estos instrumentos. segundo, quisiera que me dijeran los Sres. de la comisión qué motivo El Sr. Alaman : No sé que haya ninguna fábrica de estos instru lo ha causado; porque las Cortes deben tener presente que cuantos me mentos en España , y por lo mismo debe bajarse ai mínimum este derecho. nos derechos tenga este algodón, tanto mas seintroduclrá , y de consi…</t>
  </si>
  <si>
    <t>…aprovechamiento de A la comisión de Guerra se mandaron pasar un oficio del Sr. se dichos géneros.” . ■ 1 cretario de la Guerra acerca de lo conveniente que seria que las Cortes El Sr. Alaman hizo algunas observaciones contra el artículo , y * decretasen que los individuos de los batallones de milicia activa de petición de los Sres. de la comisión se mandó volver á ella. Cuenca, Guadalajara, Ciudad Real y Toledo que se destinen á los Art. 11. ’&gt; N…</t>
  </si>
  <si>
    <t>Gaceta de Madrid n.º 344</t>
  </si>
  <si>
    <t>…do que no se la agregue á la provincia de Zamora, y si a uno por 100 de los productos totales de las aduanas de la Península.” la de Valladolid , ó en su defecto á. la de león. El Sr. Alaman: Por este artículo se concede á los individuos dep A la comisión de Visita del Crédito público--unida a la de Ha resguardo marítimo uno por too de los productos totales de las adua cienda se mandó pasar una exposición de la junta nacional del Cré nas, y sin d…</t>
  </si>
  <si>
    <t>…ular, y después de una corta discusión se aprobó el artículo,, supri culos 4.0*, 5.0 y 6 i de este decreto.” miendo á solicitud del Sr. Lppez D. Marcial estas palabras: y serán Ei Sr. Alaman: Mediante á que el art. 6. ° se ha retirado,y al espí atendidos y premiados según lo sea ia importancia de sus auxilios. ritu del artículo creo que se debe redactar en estos términos: &gt;1 Eí Go Se leyó en seguida el art. 17, que quedó aprobado. bierno á-la-may…</t>
  </si>
  <si>
    <t>…dia"comprenderse en principios no estaba en las facultades de la comisión el volver á pre el artículo. sentar el artículo; y si algún Sr. diputado quería que se tratase de este El Sr. Alaman dijo que la misma medida que proponían las comi punto , podia haber hecho proposición al efecto. Por estas razones la siones respecto de las máquinas no comprendidas en el arancel po- comisión debe retirar este artículo, ó declarar las Cortes no haber lu dia…</t>
  </si>
  <si>
    <t>Gaceta de Madrid n.º 357</t>
  </si>
  <si>
    <t>…ero anterior) pidieron la palabra en tengo presentada, para que á lo menos hablen seis en cada sen ti do. contra de ¿1 los Sres. Cuesta , López (D. Marcial ), Palarea , Priego, El Sr. Alaman dijo: Las Cortes están de acuerdo con el Sr. pre Muñoz Arroyo, Romero Alpuente, Ochoa , Navarret.:, Quintana, opinante en cuanto á la gravedad del negocio de que van á ocuparse, Uraga , Cepero, Dolarea, Ramonet, Lastarria, Paul , Ramírez , Mén pues ciertament…</t>
  </si>
  <si>
    <t>' -El Sr. Alaman dijo que cuando se discutió el proyecto de ley so correspondía, nosotros no podemos responder de_esto; y si el examen bre señoríos no.regia al reglamento actual; puniendo alegar tamban en - era del Gobierncr;dos' expedientes obrarán, en la secretaría. Si el G…</t>
  </si>
  <si>
    <t>Gaceta de Madrid n.º 360</t>
  </si>
  <si>
    <t>…aclarar-una materia tan importante en utilidad no solamente tado cuatro ó cinco años fuera de la Península. del Gobierno que los ha enviado , .sí que igualmente en beneficio de El Sr. Alaman dijo que no se podia negar que los españoles eran in «te benemérito pueblo que tan bien los ha recibido. dustriosos y de un talento capaz de discurrir con ia mayor solidez; p¿_ En vista de tan honrados procederes no ha podido menos la , jun ro que sin embargo…</t>
  </si>
  <si>
    <t>…ando cada uno la suya. 0 Igualmente se mandó pasar á la comisión de Beneficencia la si Los trabajos en que se ocupen estos delincuentes serán los mas duros guiente proposición del Sr. Alaman : » Pido que se declare en un artícu y penosos; y nadie podrá dispensárselos sino en el caso de enfermedad, lo adicional que aquellos establecimientos, como que son puramente de ni se les permitirá mas descanso que el preciso.” beneficencia, deben ser conside…</t>
  </si>
  <si>
    <t>Gaceta de Madrid n.º 371</t>
  </si>
  <si>
    <t>…oficina ten de que se corte este abuso, el cual no puede subsistir mas que por i impresión , y la cantidad necesaria para la dotación de.escribientcs. «1 tiempo prefijado. ... El Sr. Alaman ha manifestado también que se pueden llevar los 2.'“ Los pueblos no pagaran por las circulares de órdenes y demas providencias que se les comuniquen, bien sea por los gefes políticos ó medios luises á la casa de moneda , aunque no se recuenten, y que de alcal…</t>
  </si>
  <si>
    <t>Alaman, Lucas</t>
  </si>
  <si>
    <t>Lucas Alaman</t>
  </si>
  <si>
    <t>Gaceta de Madrid n.º 124</t>
  </si>
  <si>
    <t>…se trataba. 7. .7 ■ zar, residente-en España; Lie.. R., Manuel Sosaya Berinudez; Lie. Don Se suspendió esta discusión , y se dió cuenta de 'haber nombrado el, Juan Ignacio, Godoy; D. Lucas Alaman, y D.. Josef María Hernández Sr. presidente al. Sr. Trayér para ja comisión de Legislación en .lugar, Chicos .Suplente, Sr. D. Ventura .Obregon, residente en España. del Sr* Vallé. Sé leyó él decreto dé, 14 de Abril de 1814 de las Cortes Por Sueva Galicia los…</t>
  </si>
  <si>
    <t>Alaman, Lúeas</t>
  </si>
  <si>
    <t>Lúeas Alaman</t>
  </si>
  <si>
    <t>…libertad é inder presidente el Sr. D. Francisco Ramoaet, diputado por la de Valladolid; pendencia sobre una buena y severa disciplina, ha determinado sacrifi y para secretario el Sr. D. Lúeas Alaman, que lo es por la de Guana- car gustoso el que.posee , que es del año de 153(2, para que se reim-, juato, en Nueva-España; y que pone á continuación su firma para que prima esmeradamente en loor y beneficio de la patria y aprovecha sea reconocida. Y lo comuni…</t>
  </si>
  <si>
    <t>Alamány.relativá.á.'que</t>
  </si>
  <si>
    <t>Gaceta de Madrid n.º 137</t>
  </si>
  <si>
    <t>…órdenes oportunas, las autoridades respec ■ ,S¿ mandó-pasar á la Comisión de Legislación.otra indicación del tivas ñolas habían cumplido, resultando estas responsables de éste re Sr. Alamány.relativá.á.'que se repongan nuevamente las causas confor traso ; con este motivo llamaba la'atención del Congreso para que se dime á lo-prevenido en el decreto'de extinción, del tribunal de la In gese al Sr. secretario de Gracia y Justicia que en la sesión de mañana quisició…</t>
  </si>
  <si>
    <t>Alamin, Juan Muñoz</t>
  </si>
  <si>
    <t>Juan Muñoz Alamin</t>
  </si>
  <si>
    <t>Gaceta de Madrid n.º 272</t>
  </si>
  <si>
    <t>1431</t>
  </si>
  <si>
    <t>…mas pueden interesar á aquellos habitantes. D. Josef Ensebio Gallego , diputado por Vera-Paz de Goatemala , y Después de haber hecho varias observaciones sobre este asunto, los de D. Juan Muñoz Alamin , por la provincia de Sevilla, los ha concluyó manifestando que no podía aprobarse el dictamen de la co llaba enteramente conformes á la Constitución ; y 2.0 que habiendo di misión. cha comisión meditado con el mayor detenimiento ¡a proposición de El Sr, Gase…</t>
  </si>
  <si>
    <t>Alanian</t>
  </si>
  <si>
    <t>…a con la pro materia. Por lo mismo opinaba que .debía rebajarse parte del derecho hibición del trigo , opinó que no debía aprobarse este artículo. que se fijaba en el articulo. El Sr. Alanian apoyó el dictamen de ia comisión , y habiéndose El Sr. Novoa manifestó que en Galicia habia suficiente material declarado el punto suficientemente discutido, pidió el Sr. Díaz del para las fábricas que en ella habia , y que por Jo mismo debía imponer Moral qu…</t>
  </si>
  <si>
    <t>Alanun</t>
  </si>
  <si>
    <t>…blecimiento ás oe aprobar el dictamen. resguardos marítimos, cuyo dictamen leyó uno de los Sres. secretarios. . Eí or. Alaman dijo que las comisiones , guiadas como era regular El Sr. Alanun dijo: Hay necesidad de resguardar las costas de la del deseo de proteger todos los ramos da Industria, se habian dejado Península; pero es muy dudosa la conveniencia siendo resguardadas por enaañ.ir de su propio btivit deseo en el dictamen que presentaban : p…</t>
  </si>
  <si>
    <t>Alarbolaza, Pedro</t>
  </si>
  <si>
    <t>Pedro Alarbolaza</t>
  </si>
  <si>
    <t>…pleados en medir las bases produjeron úna exactitud hasta, la mayor comodidad deL público se hallarán en Vitoria, entonces ño conocida, los franceses solo tenían que medir casa de D. Pedro Alarbolaza, del comercio; en Badajoz án gulosel círculo repetidor que Borda acababa de inventaren Ja de D. Juan Giral; en Gibrahar en la del Dr. Don no prometía por su figura tatito como el teodolito; pero en Joaquín Robadelia; en Sevilla en la de D. Francisco su constr…</t>
  </si>
  <si>
    <t>Alarcial</t>
  </si>
  <si>
    <t>…solo allí que no que decía fulano viene por condena sucia ó por condena limpia. haya una duplicación que para nada puede servir. Después de haber apoyado esta pena el Sr. López ( D. Alarcial } El Sr. Calatrava manifestó que á los Sres. de la comisión les era quedó aprobada. indiferente que se pusiese este artículo en el código de procedimientos-, 2. '1 La inhabilitación para egercer empleo, profesión ó cargo públi sin embargo que creía debia esta…</t>
  </si>
  <si>
    <t>Alarcon, Dolores Navarro y</t>
  </si>
  <si>
    <t>Dolores Navarro y Alarcon</t>
  </si>
  <si>
    <t>Gaceta del Gobierno n.º 17</t>
  </si>
  <si>
    <t>…la Molinera, vertientes ■, que nombrán los Asperos, y otras de Josef Sánchez,44.?93 «• propias Otra casa en la plazuela del Crédito público, linda coñ en. 1685 rs* y 19 mrs, la dé Doña Dolores Navarro y Alarcon , con dicha plazue Un pedazo dé tierra inculto , bajo los mismos linderos, la , con la de los herederos de D. Bernardo Campuzano y éñ él mismo partido, plantado de olivar nuevo, con 94 de la Frenería, en 78,843 rs. pies , sil cabida dé 7 táhullas , én 560 rs.…</t>
  </si>
  <si>
    <t>Alarcon, Josef</t>
  </si>
  <si>
    <t>Josef Alarcon</t>
  </si>
  <si>
    <t>…cirujano del primer es parras, en 6674 rs. . En la misma provincia de Granada, procedentes del cuadrón de Artillería; D. Josef Faura, cirujano del re gimiento infantería de Jaén; D. Josef Alarcon, cirujano extinguido monasterio de la Cartuja, para cuyo pri del regimiento infantería de Málaga; D. Josef Vergara, mer remate, que se ha de verificar en aquella ciudad, primer ayudante de cirugía en ei hospital militar de Santa esta señalado el dia 12 del co…</t>
  </si>
  <si>
    <t>Alarcon, Josef Arronid</t>
  </si>
  <si>
    <t>Josef Arronid Alarcon</t>
  </si>
  <si>
    <t>Gaceta de Madrid n.º 93</t>
  </si>
  <si>
    <t>PDF p. 7</t>
  </si>
  <si>
    <t>…ueblos engañados despierten de su Habiéndose denunciado en la ciudad de Murcia en 28 de Febrero letargo, y suspiren por la tranquilidad y la paz que deben darles la fe últirpo por D. Josef Arronid Alarcon, clérigo subdiácono , el impre licidad que no han podido procurarles las tempestades de la dema so comprendido en el Liberto del dia anteriot, por considerarlo alta- gogia &amp;e.’'</t>
  </si>
  <si>
    <t>Alarcon, Josef Monter y</t>
  </si>
  <si>
    <t>Josef Monter y Alarcon</t>
  </si>
  <si>
    <t>Gaceta del Gobierno n.º 46</t>
  </si>
  <si>
    <t>…osotros, de la proximidad A la noche y de lo Bollo . ministro contador de aquella? cajas nacionales: para escabi oso del camino, persuadido de que por los oportu la de Zacatecas A D. Josef Monter y Alarcon , ministro nos avisos que V. había dirigido A los pueblos se halla contador de las cajas generales de México : para la de Durían cogidos todos los pasos del rio , me determiné á di rango al intendente honorario de provincia D. Matías de la rigirme al puebio d…</t>
  </si>
  <si>
    <t>Alaría</t>
  </si>
  <si>
    <t>Gaceta de Madrid n.º 228</t>
  </si>
  <si>
    <t>…son Se cita y emplaza extrajudicialmente á los que juzguen tener ínter piratas, lo cual no se debe extrañar si se consideran el modo horroror res en la herencia de la Exenta. Sra. Doña Alaría .Francisca de Sales so con que los han tratado los turcos, y sus continuos esfuerzos para sa Portocarrero, condesa que fue del Montijo y de Baños, por el título de cudir su yugo. En la Albania, en el Epiro y en los países montuosos el criados de su.casa, á fi…</t>
  </si>
  <si>
    <t>Alaría, Domingo de Santa</t>
  </si>
  <si>
    <t>Domingo de Santa Alaría</t>
  </si>
  <si>
    <t>…sta distinción Jos qué se-juzguen acreedores ¿ - esta-forma.: ■ 1 ...... . ‘ella, y esten en la península, acudirán- en- el término: de dos meses, y . .iAudiencia de Valíadalid. A D. Domingo de Santa Alaría ,X&gt;.An■ de ocho los que'permanezcan fuera de ella'; contados desde eL día de su -tonio Apéllaniz , :D; Santiago Zapata., D. Antonio Bringas, D. Franpublicación y por conducto de siis gefés; á lós-inspectores de las armas, -cisco Vicente Yáñez y D.; Tomas Ariz…</t>
  </si>
  <si>
    <t>Alartinez</t>
  </si>
  <si>
    <t>…Congreso no se debia dejar llevar’ de esa generosidad, manifestó que apoyaba en un todo lo que habia dicho. porque ataca ciertamente hasta al mismo crédito, y tratándose de una El Sr. Alartinez de la Rosa, apoyando también lo expuesto por el cantidad de 30 ó 40 millones, se debia mirar con mucha consideración; Sr. Toreno, dijo que haria una indicación para mañana sobre este por lo que creía no debia haber lugar á votar sobre el dictamen de la mismo…</t>
  </si>
  <si>
    <t>Gaceta de Madrid n.º 133</t>
  </si>
  <si>
    <t>…lez Allende dijo que el Sr. ministro habia cumplido Ayestaran. ' con dar las noticias que se le habían pedido; y que si-se quería proce Se leyó por primera vez una proposición del Sr. Alartinez de la der contra el comandante de la Pronta, ó de cualquier otro que rio hu Rosa para que la ley de 5 de Agosto último sobre introducción da gra biese cumplido con sus deberes , debia hacerse nueva indicación. nos se prorogase hasta que Jas Cortes del año de…</t>
  </si>
  <si>
    <t>Alaurocoraato, Caraza Alejandro</t>
  </si>
  <si>
    <t>Caraza Alejandro Alaurocoraato</t>
  </si>
  <si>
    <t>Gaceta de Madrid n.º 273</t>
  </si>
  <si>
    <t>…ormará con arreglo á la la embarcación griega que salió de Marsella, y que conducía á su de los Estados-Unidos. Bfco en este momento se halla el pais absoluta bordo el sobrino del príncipe Caraza Alejandro Alaurocoraato, vario* mente sin leyes. oficiales franceses y algunos jóvenes griegos, ha llegado el 13 de Agos to á Mesolongi, capital de la'Etolia, ITALIA. - ... RUSIA. Liorna f Tose ana} i.° de Setiembre. Los turcos penetraron hasta cerca de Atenas con la esperanza de Va…</t>
  </si>
  <si>
    <t>Alava, Alaría de</t>
  </si>
  <si>
    <t>Alaría de Alava</t>
  </si>
  <si>
    <t>…al mayorazgo que fundaron Bartolomé de Sarria y D ma .María Ort,&gt;: gidor.rcBaltasar Valdés Arguelles, intendente-¡de-egército-y-da Ja pro otro de 30 de Julio de 1616 en cabeza de Doña Alaría de Alava ',&gt;¡¡jr. vincia. = Santiago Pierrard. = Brigadier, Joaquín -Aitrau y 'Gallar din de 112,500 mrs. de renta en la referida de diezmos de la -.r„ir de do.—Manuel Martinez.ee Antón ¡o Basilio García-del Afeo-, -juez de Castilla , que pertenecen al mayorazgo funda…</t>
  </si>
  <si>
    <t>Alava, Miguel</t>
  </si>
  <si>
    <t>Miguel Alava</t>
  </si>
  <si>
    <t>Gaceta de Madrid n.º 107</t>
  </si>
  <si>
    <t>…o de armas. ción que de la misma batalla se publicó en ingles, y los partes da Siguióse la comida, en la que reinó la mayor cordialidad y fran dos á nuestro Gobierno por el Excmo. Sr. D. Miguel Alava. Se vende queza. » Sobre la gran mesa de la naturaleza, dice el Liberal Africano, en las librerías de Perez, en Sevilla en la de Berard, y en Cádiz en la comieron juntos todos los españoles de Africa á la vista de ¡os moros de Zaragoza. fronterizos convidados…</t>
  </si>
  <si>
    <t>Alba, Manuel Callejo de</t>
  </si>
  <si>
    <t>Manuel Callejo de Alba</t>
  </si>
  <si>
    <t>…n la dilatadísima causa depósito , ó supiere por otra parte cual ha sido sil suerte,, se sirva co sobre la conspiración de Agosto último ; y como dice un periodista in municarlo á D. Manuel Callejo de Alba, vecino de esta corte, que vi gles , es de lo mas escandaloso y vergonzoso que puede verse el que va ve en la plazuela de Matute, número 6 y 7, que lo agradecerá: rias personas', y personas de la corte, lleven su adulación , su bajeza y Se vende una botica pr…</t>
  </si>
  <si>
    <t>Albear, Tomas</t>
  </si>
  <si>
    <t>Tomas Albear</t>
  </si>
  <si>
    <t>…e no pudiese ser reelegido el pre Soberon, gefe político' de Canarias : D.Elias Alvarez, abogado de Mel sidente, pero sí el secretario, el cual también se nombraría todos io* gar: D. Tomas Albear, propietario de Colindres. Suplentes: D. Eusemeses. - L bio López Polo , capitán de artillería , empleado en la secretaría de las En seguida se aprobó el art. 99, que decía asi: Cortes: D. Lorenzo Escolar de Navas, canónigo de S. Isidro. » A la diputación le…</t>
  </si>
  <si>
    <t>Alber, Juan Bautista</t>
  </si>
  <si>
    <t>Juan Bautista Alber</t>
  </si>
  <si>
    <t>…ordinarias para desempeñar Cortes para la siguiente legislatura son D. Martin Serrano, D. Fran otras funciones, y por una petición del poder egecutivo.” cisco Ferrer , presbítero; D. Juan Bautista Alber y D. Tomas Almenír. Varios Sres. diputados hablaren en pro y. en contra de esta .adición; Orihuela 8 de Noviembre. y p'ór'último se decidió que sé suspendiese su resolución para cuando La ¡unta de partido de esta ciudad ha nombrado para electores á los se tratase de Jas atribuc…</t>
  </si>
  <si>
    <t>Alberto, Basilio</t>
  </si>
  <si>
    <t>Basilio Alberto</t>
  </si>
  <si>
    <t>Gaceta de Madrid n.º 136</t>
  </si>
  <si>
    <t>…bia estado en la comisión mismo tiempo fue nombrado por su sucesor BeisadeConstantiní Morusi, de Legislación. que entró á egercer su nuevo empleo ayer mañana. Estas importantes El Sr. Basilio Alberto manifestó que la comisión no habia presen mudanzas en los primeros cargos del Estado son actualmente d asunto tado la ley por la diversidad de opiniones de sus individuos, y el Con de las conversaciones del pueblo,y especialmente de los genízatps, que greso a…</t>
  </si>
  <si>
    <t>Albistu, Joaquin</t>
  </si>
  <si>
    <t>Joaquin Albistu</t>
  </si>
  <si>
    <t>…sido á la- tropa de su mando ; pero la comisión ignora- igualmente lo que independiente de su personé, y que solo se ha fundado en la creen después hayan hecho asi este gefe como D. Joaquin Albistu. cia de que era sospechosa su salida de Madrid en posta, y en el resen Tal es, seguni el expediente, la triste historia de los sucesos de Cá- timiento por el desaire que se préténde haber recibido¡en la falla de Hiz y Sevilla, á los cuales por ser los únicos…</t>
  </si>
  <si>
    <t>Albistu, Josef de</t>
  </si>
  <si>
    <t>Josef de Albistu</t>
  </si>
  <si>
    <t>Jpzt en D. Josef de Albistu : &lt;De qiié desairé *e quejan t i Qué sospechas pu » culpar su insubordinación , suponiendo que habían tenido que ceder dieron concebir de la ida de, ios nuevos gefes á jornadas regulares y » á demasías, en vez de obedecer solamente á Ja voz de su deber y de l…</t>
  </si>
  <si>
    <t>Albórnoz, Mariano-Carrillo de</t>
  </si>
  <si>
    <t>Mariano-Carrillo de Albórnoz</t>
  </si>
  <si>
    <t>…algunas noticias que se le habian pedido. Ala comisión donde están los antecedentes se mandó pasar una El Sr. Martínez de la Rosa manifestó que la comisión había con exposición de D. Mariano-Carrillo de Albórnoz , capitán general de la - testado'conforme al mensage; que habia procedido con mucha delica provincia dé-’Yiicatan, dando cuenta de los antecedentes que motivaron deza ; que había contestado punto por punto al mensage; qué la comilos sucesos del 3 de Octubre…</t>
  </si>
  <si>
    <t>AlbornozGon, Gil</t>
  </si>
  <si>
    <t>Gil AlbornozGon</t>
  </si>
  <si>
    <t>Gaceta del Gobierno n.º 11</t>
  </si>
  <si>
    <t>…tos prácticos del arte de construcción. Lope Félix de Vega Carpió, D. Antonio Solís y D. Nicolás i a. La enseñanza de la escuela durará tres años, divi Antonio. — 2.3 cuaderno. EL cardenal Gil AlbornozGon dida en tres clases, que comprenderán la mecánica racional zalo Fernandez de Córdoba, el gran duque de Alba, Arias de solidos y fluidos, la geometría descriptiva con sus.apli Montano, D. Francisco Quevedo y Villegas y D. Juan de caciones , la mecánica aplicad…</t>
  </si>
  <si>
    <t>Albutur, Joaquín</t>
  </si>
  <si>
    <t>Joaquín Albutur</t>
  </si>
  <si>
    <t>Gaceta del Gobierno n.º 3</t>
  </si>
  <si>
    <t>…nde introducirse éri ¡d¿rica á la fuerza armada, sin incurrir en !a necesidad de una aSuntós interiores dé otrós Gobiernos , y que sé dedica * nueva Constitución militar: su autor D. Joaquín Albutur, la reforma de sets Estados, esirieráridósé en aéelérar’áqúe capitán de caballería. lias-que croe mas converiientés á süs- iritéreses y situación; Contestación á varios problemas, por D. Antonio Le y mas bien parece observadora de los sucesos-de Europa,* tona…</t>
  </si>
  <si>
    <t>Alcaide, Agustín</t>
  </si>
  <si>
    <t>Agustín Alcaide</t>
  </si>
  <si>
    <t>…cimal se aplica Tas Cortes recibieron con aprecio varios egemplares de uña obra exclusivamente á la dotación del clero y del culto.” que seaba de dar á luz, y dedica á las Cortes, D. Agustín Alcaide, El Sr. Fraile, después de haber hecho algunas reflexiones sobre este vecino de Zaragoza. asunto, manifestó que á pesar de que el clero iba 4 experimentar una A la comisión de Poderes se mandaron pasar los presentados por rebaja en sus rentas, se veían las Co…</t>
  </si>
  <si>
    <t>Alcalde, Francisco</t>
  </si>
  <si>
    <t>Francisco Alcalde</t>
  </si>
  <si>
    <t>…s al vahoción , se destinen de aquellos por el intendente los que se consideren da , que depende inmediatamente del Gran Señor, porque en aquél necesarios á la orden del visitador D. Francisco Alcalde, para que con país no hay bajá. Preside Ja iglesia un arzobispo, que es uno de ios los demas dependientes cesantes de la visita concurran á que tenga prelados mas ricos de la Grecia. efecto lo expresado bajo las instrucciones que consideren convenientes; » La…</t>
  </si>
  <si>
    <t>Alcalde, Rafael</t>
  </si>
  <si>
    <t>Rafael Alcalde</t>
  </si>
  <si>
    <t>Gaceta de Madrid n.º 203</t>
  </si>
  <si>
    <t>…o de infantería del detes de dicho colegio, resuelve cuestiones interesantes de astronomía, Infante D. Carlos. que están reducidas al mayor estado de sencillez posible, y al alcan D. Rafael Alcalde, espitan retirado. ce de todo joven que tenga una- regular aplicación: ensena el modo de D. Valentín Josef Jiménez, sargento 2° que fue del regimiento de construir los mapas, y de sacar de ellos todas las ventajas de oue son infantería de Guadalajara, natural…</t>
  </si>
  <si>
    <t>Alcántara, Pedro</t>
  </si>
  <si>
    <t>Pedro Alcántara</t>
  </si>
  <si>
    <t>…de Sevilla, núm. 7’, en favor del mayorazgo que fundaron An imprenta se puede por algún tiempo excitar la curiosidad popular , y drés Herrera y Doña Casilda de Salazar, que posee D. Pedro Alcántara ganar,algún dinero publicando invectivas; pero al fin el amor á la ver Quirós y Herrera , se avistarán con D. Fernando" García de Labarga, dad, la. sensatez', el buen discernimiento y la razón llegan por último Caba Baja, núm. 18. á triunfar. - Las cuarenta v…</t>
  </si>
  <si>
    <t>Alcántara, Pedro de</t>
  </si>
  <si>
    <t>Pedro de Alcántara</t>
  </si>
  <si>
    <t>…e Teatro y sala donde se presentó el Sermo. Sr. Príncipe Real de; Reinoneral de recaudación , tesorero general de la Nación, por jubilación de Unido de Portugal, Brasil y Algarbes D. Pedro de Alcántara , donde D. Domingo de Torres. Asimismo se dió cuenta de otro del misino se hallaba reunida la Cámara de esta misma ciudad y actualmente corte Sr. secretario sobre el nombramiento que ha hecho S. M. de una comi del Rio-Janeiro , el mismo Sermo. Sr. Príncipe Re…</t>
  </si>
  <si>
    <t>Alcaraz, Josef</t>
  </si>
  <si>
    <t>Josef Alcaraz</t>
  </si>
  <si>
    <t>…azas, linda con la de En la misma provincia de Guadalajara procedentes D. Pedro Racho y parte de otras del Crédito público, dé también de secularizaciones, cuyo primer remate debe D. Josef Alcaraz y D. Josef Roca, en 11,171 rs. y 27 mrs. verificarse en la propia ciudad de Sigiienza el dia jo Otro trozo de tierra riego moreraL, en ei mismo partido, del presente mes de Enero. ■su cabida de una tahuila y 16 brazas, linda con tierra que Treinta y una fanegas y 2 celemines…</t>
  </si>
  <si>
    <t>Alcázar, Francisco</t>
  </si>
  <si>
    <t>Francisco Alcázar</t>
  </si>
  <si>
    <t>Gaceta de Madrid n.º 109</t>
  </si>
  <si>
    <t>…17 Otra id., núms. 69 y 70 , en 64,766 rs. . En el juzgado de primera instancia del Sr. D. Ramón de Argos, y 118 Otra id., núm. 65 , en 19,444 rs. escribanía numeraria'de cargo de D. Francisco Alcázar, se ha solicita 119 Otracallé de Matamoros en Triana , núm. 8g,-en 39,302 rs. do por parte de Juan Aguado de Aguado , vecino de Alcobéndas, que 120 Otra calle de Castilla en id., ñúm. 4, en 13,500 rs. se declaren de su pertenencia tres vales Reales de la crea…</t>
  </si>
  <si>
    <t>…nes__ Una tablada rio de la audiencia territorial, juez de primera instancia en esta corte, de heredad , en la ería del Teigo , de medio dia de bueyes, en ven por la escribanía de D. Francisco Alcázar -, y por dicho despacho se ta i2o rs. , y en renta un copin—Tres cuartos de dia de bueyes , poco manda citar y emplazar por término de 60 dias á los parientes que mes ó menos, en la tierra de la Cuenta , en venta 180 rs., y en renta existan de Gonzalo de Pina…</t>
  </si>
  <si>
    <t>Alcoa, Andrés</t>
  </si>
  <si>
    <t>Andrés Alcoa</t>
  </si>
  <si>
    <t>…tura de la cátedra de química del museo de ciencias naturales en la ta con toda confianza, para repeler con1 hechos los ataques de aquellos calle del Barco , casa núm. 19 y 20. El profesor D. Andrés Alcoa que sin reflexión y con tanta injusticia, acusan á los griegos modernos leerá un discurso inaugural, y las lecciones continuarán á la misma ho de que no sé 'muestran dignos de sus antepasados, ni en la imaginación ra lo* martes , jueves y sábados__ Los discíp…</t>
  </si>
  <si>
    <t>Alcoba, Josefa</t>
  </si>
  <si>
    <t>Josefa Alcoba</t>
  </si>
  <si>
    <t>Gaceta de Madrid n.º 143</t>
  </si>
  <si>
    <t>…último me dice Io siguiente: pectivos apoderados competentemente antorizados. . '■ Al inspector general de infantería digo’con esta fecha lo siguien Se desea saber el' paradero de Doña Josefa Alcoba y D. N. Rincón te : » He dadoCuenta al Rey de la exposición de V. S., relativa á que (quienes se cree sean vecinos ó residentes en Sevilla , ó en Jerez, ó en .en virtud de las facultades de las diputaciones provinciales para decla Cádiz, ó tal vez en esta corte), para entre…</t>
  </si>
  <si>
    <t>Alcocer, Damian</t>
  </si>
  <si>
    <t>Damian Alcocer</t>
  </si>
  <si>
    <t>…ón •Roza Ridozes: para Atienza á D. Manuel Rodrigo: para Brihuega á ■de partido se reunirá inmediatamente por el subdelegado al intendente.” D. Josef Pío Mourelo: para Cifuentes á D. Damian Alcocer: para Se aprobó el art. 56 , concebido en estos términos: Cogolludo á D. Rodrigo Castaf.on : para Pastrana á D. Francisco Fer Art. s6. &gt;» El intendente de la provincia, después de haber visado nandez Beteta : para Medinaceli, su capital Anguita, á D. Ignacio…</t>
  </si>
  <si>
    <t>Aldabuin</t>
  </si>
  <si>
    <t>Gaceta de Madrid n.º 155</t>
  </si>
  <si>
    <t>…escaparse, incorporándose al destacamento del regimiento de Se vincial de Astúrias, pidiendo "sé le aprueben varios arbitrios á fin de villa, compuesto de 25 hombres^ al mando del teniente Aldabuin, al atender á los gastos de la contaduría de propios; otra de la diputación cual atacó el faccioso Merino; y habiéndose defendido con bizarría, le províncial'de Zambra, en la que manifiesta las medidas que Ira toma hizo retirar' abandonando la empresa. Asimis…</t>
  </si>
  <si>
    <t>Aldanta, Gaspar de</t>
  </si>
  <si>
    <t>Gaspar de Aldanta</t>
  </si>
  <si>
    <t>…serranía de Ronda han di las censuras de cada uno, adjudicólos dos premios de 50 pesos ¿ Don rigido al Rey por conducto y con apoyo del gefe político de la pro Josef Vidaurreta y D. Gaspar de Aldanta, y los dos segundos de á 30 vincia de Málaga la siguiente exposición, que S, M. ha visto con agra á D. Josef Alaría Martínez y D. Alfonso Ponte. do, mandando que se publique @n la gaceta del Gobierno para satis facción délos interesados: La audiencia territor…</t>
  </si>
  <si>
    <t>Aldao, Mariano</t>
  </si>
  <si>
    <t>Mariano Aldao</t>
  </si>
  <si>
    <t>…r S. M., el cuerpo del resguardo debe com Habiendo fallecido repentinamente en la noche del 17 de Junio ponerse de individuos que hayan servido en el egército, y en tal con último D. Mariano Aldao, de estado soltero, residente en esta corte, cepto no deben ser comprendidos en el reemplazo, porque han llenado y natural de Buenos-Aires, se formaron diligencias de oficio para ya esta obligación común i todos los españoles; pero que como en el averiguar la…</t>
  </si>
  <si>
    <t>Aldasoro, Ramón</t>
  </si>
  <si>
    <t>Ramón Aldasoro</t>
  </si>
  <si>
    <t>…de su poder; cuan Art. t.° » Que se reconozca la deuda líquida, y que se liquide pot do se les ve engrandecerse con tanta maña y prudencia, hermanar tan el intendente de egército D. Ramón Aldasoro, comisionado «1 inten felizmente ia blandura con la fuerza, y completar la obra de la sobera to,que ya asciende á 146.5! á, tj;; rs. y 15 mrs. nía con tanto valor; cuando se les ve luchar sin intermisión contra ve Art. z.u « Que siendo incompatible la subsist…</t>
  </si>
  <si>
    <t>Ale</t>
  </si>
  <si>
    <t>…s periódicos de Lion, dice que el Emperador Alejan del maL, por los funestos efectos que acredita la experiencia de un pro dro ha enviado un emisario con cartas autógrafas para el príncipe Ale cedimiento semejante, y mas si recae en sugetos muy robustos, en cu jo Conmero, quien parece se halla en Novara , y es el descendiente mas yo caso será á veces muy útil debilitarlos algún tanto para calmar el directo de los Emperadores de Oriente. A resultas…</t>
  </si>
  <si>
    <t>Alegre, Julián</t>
  </si>
  <si>
    <t>Julián Alegre</t>
  </si>
  <si>
    <t>Gaceta de Madrid n.º 164</t>
  </si>
  <si>
    <t>…cabo de jurar delante/de la D. Pedro Navarro, D. Tomas Delgado, D. Pedro Ortir y Urbtna, .imágen de nuestro Señor Jesucristo. .. ».-Kt P, Pedro Gudal, P. Mariano Noucues y Secail, D. Julián Alegre,</t>
  </si>
  <si>
    <t>Alegre, Pedro</t>
  </si>
  <si>
    <t>Pedro Alegre</t>
  </si>
  <si>
    <t>Gaceta de Madrid n.º 102</t>
  </si>
  <si>
    <t>…ticias favorables á mez, vecino de Coiii, por haber inventado una máquina hidráulica pa una paz, y con este engaño consiguieron algunos dar cierto crédito á ra moler corcho: 2.0 á D. Pedro Alegre , de nación francés, y residen los fondos públicos; pero habiéndose sabido los acontecimientos del te en Cádiz, por la invención de un alambique para destilar aguardien Piamonte, semejante novedad produjo la mayor sensación en la bolsa; te: 3.“'á D. Maximilia…</t>
  </si>
  <si>
    <t>Alegría, Paulino</t>
  </si>
  <si>
    <t>Paulino Alegría</t>
  </si>
  <si>
    <t>…ñdáron los dos patronatos, mandados fundar del comercio. En Toja en la de Francisco Sargatal , id. por Doña Juana Caldera Freile, hija de la Doña Beatriz, en el En Burgos en la de D. Paulino Alegría, de id. En Santia convento que fue de Sta. Clara de esta corte; y á cuyo goce y go en la de D. Antonio Stolle, de id. En Barbastro en la obtención de dichos patronatos está reservado igualmente el ele D. Antonio Casas, de id. En Lucena en la de D- Juan. .dere…</t>
  </si>
  <si>
    <t>…erin bay ; en Oviedo en ia de D. Marcos Saraudeses; en León en la de Don Bracamente; para Andujajr á D. Francisco de Paula Molino; para Ube- Antonio Chalanzon ; en Búrgos en la de D. Paulino Alegría, del co da á D. Antonio Vicente Lobariñas; para Bezmar á D. Josef Santerías mercio, y en Avila en la de D. Antonio Salcedo, boticario; y los de-' y lerin; nara la Carolina á D. Francisco de Paula Villa-Real, y pa mas depositarios que gusten seguir en dicha ve…</t>
  </si>
  <si>
    <t>Alejan</t>
  </si>
  <si>
    <t>…ieste formaran en la historia Francfort i.° de JVoviembre. una página bien extraña , y que asombrará á todos los que están anima Creíase haber sido desterrado por el Gran Señor el príncipe Alejan dos de sentimientos de humanidad. Ni un solo griego, á qu;en 'as disen dro CilUmachi , designado para hospodar de Valaqura; pero ya se sab» siones políticas de su ¡sais obliguen a buscar asiio en los dominios aus 9u-‘ él y toda su familia han sido víctimas de…</t>
  </si>
  <si>
    <t>Alejandra</t>
  </si>
  <si>
    <t>Gaceta de Madrid n.º 254</t>
  </si>
  <si>
    <t>…o con el aldeano. La cura de la princesa de Seliwarfzemberg de nuestro culto las imposturas y los impostores, en lugar de nuestra Y del Príncipe Real son de las mas verdaderas. El príncipe Alejandra santa religión y de Jesucristo, que la estableció. Son ya muy antiguas solo curó en el patio del canónigo B. de Reinach el 29 del mes pa y bien conocidas en todos tiempos las malas artes y astucias del Angel sado una veintena de personas ciegas, cojas , sorda…</t>
  </si>
  <si>
    <t>Alejandro</t>
  </si>
  <si>
    <t>Gaceta de Madrid n.º 118</t>
  </si>
  <si>
    <t>…taluña y diputación provincial de Guipúzcoa, Esp'aña. "... opinaban que este expediente debia pasar al Gobierno para que exigiesa' A Ja de Marina se mandó pasar otra exposición de D. Alejandro la responsabilidad al oficial de la secretaria de Hacienda que habia.en Bonilla para que se le reintegre en su empleo de teniente de fragata tendido en este asunto, por no haber remitido al consejo de Estado.las ' le quitó la Regencia del reino por haber trat…</t>
  </si>
  <si>
    <t>Gaceta de Madrid n.º 215</t>
  </si>
  <si>
    <t>…n, en la cual manifestó h&gt;en ¿ las para pasarse á ios turcos. El príncipe Nicolás Ipsilanti , hermano del claras su odio profundo á los principios liberales, que él llamó peste re príncipe Alejandro, se defendió con unos 300 hombres , cuya mayor volucionaria. En seeuida habló Mr. Pevaux, y empezó su discurso pon estas ene;» parte fueron hechos prisioneros, habiéndose sjlvadoIpsilanti, según se dice, con solos 17 hombres. gicas expresiones. „ Señores: se…</t>
  </si>
  <si>
    <t>Gaceta de Madrid n.º 219</t>
  </si>
  <si>
    <t>guo. ó.° y último. Que tanto en el caso expresado en el attículo ante trioto , llamado Scanderberg ( Señor Alejandro), atajó al fin sus pro rior , como en el de no quedar mas que un suplente , se proceda al nom gresos. . . ; : bramiento de los otros dos que faltan para completar la diputación pro . E11 1445 subyugó Amurates el Peloponeso y toda la Grecia: sacri vincial.” _…</t>
  </si>
  <si>
    <t>Gaceta de Madrid n.º 233</t>
  </si>
  <si>
    <t>…nuestro juicio acerca de las singulares discusiones, que con a El corazón del cielo es todo benevolencia y amor; él avisa, él motivo de las curas milagrosas atribuidas al príncipe-obispo Alejandro censura. Cuando el que gobierna puede oir sus reconvenciones, y estas de Hohenlohe se han suscitado en Baviera. influyen bastante en él para obligarle á separar á los malos, y á pre v Dicen algunos amigos deL principe que ha curado de repente y en servar al G…</t>
  </si>
  <si>
    <t>Gaceta de Madrid n.º 251</t>
  </si>
  <si>
    <t>…son lo único que ha quedado de ia insur Todo el mundo toma ínteres en la suerte del tan valeroso como rección. Pe los heteritas que habían venido de varias partes á in desgraciado príncipe Alejandro de ipsiianti; y aunque algunas cartas corporarse con Ipsiianti, han quedado únicamente algunos indivi particulares dicen que la corte de Austria lo ha mandado encerrar en duos, entre los cuales no hay ningún valaco ni moldavo. Los capi un castillo, y que se l…</t>
  </si>
  <si>
    <t>…esperanza llegaba hasta esie punto , pero de allí no pasaba. el presidente de la diputación devolverá la denuncia al alcalde constitu El 20 de Junio por la mañana fue á su casa el príncipe Alejandro de cional para los efectos convenientes; pero si la declaración fuese que Hohenlohe, que es sacerdote , y le preguntó si tenia una fe completa ha lugar á la formación de causa, el presidente de la diputación pasara y una convicción total de que Dios podia y q…</t>
  </si>
  <si>
    <t>Gaceta de Madrid n.º 280</t>
  </si>
  <si>
    <t>…ía consentir. guerra en favor de los griegos contra los turcos; pero la adulación ha _ El artículo 5.0 de la 'declaración es respectivo á la elección é insti añadido: solamente el emperador Alejandro está por la paz , y hará tución canónica de los obispos. Al mismo tiempo que se manifiesta al ver que es Emperador. Algunos caerán en el lazo que se les arma; pe principio del artículo que se quiere conservar la antigua.. disciplina de * ro los que penetran e…</t>
  </si>
  <si>
    <t>Alemán, Lucas</t>
  </si>
  <si>
    <t>Lucas Alemán</t>
  </si>
  <si>
    <t>Gaceta de Madrid n.º 125</t>
  </si>
  <si>
    <t>…fVéase en la ¿aceta de ayerd) La comisión de Poderes presentó) su dictamen acerca de los poderes El Sr. Cepero dijo que no tenia mas ideas sobre este particular presentados por el Sr. D. Lucas Alemán , diputado por Guanajuato: y que las que le había dado el dictamen de la comisión, y algunas gene habiéndolos examinado, fue de opinión debían aprobarse. Quedó apro rales con motivo de ser hijo de aquella provincia: que le parecía era bado. equivocadísimo el…</t>
  </si>
  <si>
    <t>Alemania, Ni de</t>
  </si>
  <si>
    <t>Ni de Alemania</t>
  </si>
  <si>
    <t>Gaceta de Madrid n.º 227</t>
  </si>
  <si>
    <t>…hacer reflexiones 'de cierto género. E! -s.-r. raí Se han recibido ptriódicos extrangeros, cuyas noticias alcanzan las D. Agustín Colonna habia sido arrestado. El principe de Cuto D. Ni de Alemania hasta 26 de Julio ; las de Londres hasta el 27, y las de colás Filangieri había sido nombrado lugar-teniente en Sic.l.a. París hasta el 31 inclusive. De Berlín escribían que en las márgenes del Borístenes y de; Duna A pesar de que dicen haber apelado la Puert…</t>
  </si>
  <si>
    <t>Aleson, Ramón</t>
  </si>
  <si>
    <t>Ramón Aleson</t>
  </si>
  <si>
    <t>…estrépito de las armas? Provincia de Alava. Para el de Vitoria á D. Manuel Perez Navar- Los que desaprueban la necesidad de una reforma, no solamente réte: para el de la Guardia á D. Ramón Aleson: para el de Amurrio manifiestan la cortedad de sus conocimientos , sino que nos revelan á D. Francisco Miguel Lombardo de Tejada. ademas el secreto de que se mantienen de abusos , y que tienen interes Provincia de Vizcaya. Para el de Bilbao á D. Juan Orduña y…</t>
  </si>
  <si>
    <t>Alexis, Nord</t>
  </si>
  <si>
    <t>Nord Alexis</t>
  </si>
  <si>
    <t>Gaceta de Madrid n.º 301</t>
  </si>
  <si>
    <t>…o al de Birmingham y de Shefield; por lo cual no ha ha El 23 de Julio visitaron la escuela primaria el general de división bido quien compre de estas fabricas. Magni, el brigadier general Nord Alexis, y los individuos que com —Según cartas de Riga el espíritu púbiieo en toda la Rusia está en fa ponen la comisión de instrucción pública. El general Magni á presen vor de los griegos, y generalmente se desea la guerra. La Rusia , que cia de los alumnos dirigi…</t>
  </si>
  <si>
    <t>Alfanencia, Josef</t>
  </si>
  <si>
    <t>Josef Alfanencia</t>
  </si>
  <si>
    <t>…eva de la Serena j vindicándose de la queja dada por el vuelva á dicha villa la expresada finca, por haber sido dersu perte 1 síndico'de aquel ayuntamiento constitucional: otra de D. Josef Alfanencia. ■ - i ro , vecino de S. Peíayo , contra D. Martin Rodríguez, vecino de di A las comisiones de Hacienda y .Guerra reunidas una exposición de cha villa : otra del juez de primera instancia de Toro, vindicándose de varios oficiales 3 sargentos, cabos y soldados…</t>
  </si>
  <si>
    <t>Alfaraz, Agustín</t>
  </si>
  <si>
    <t>Agustín Alfaraz</t>
  </si>
  <si>
    <t>Gaceta del Gobierno n.º 12</t>
  </si>
  <si>
    <t>…lia la Vieja con motivo de haberle consulta PARA RECORDAR £, LA POSTERIDAD do el comandante agregado al regimiento infantería Impe EL FAUSTO DIA EN QUE SOLEMNIZARON rial Alejandro D. Agustín Alfaraz, si en virtud de la Real TAN FELIZ SUCESO EN ESTE SITIO, orden de 21 de Abril del año próximo pasado, que pre QUE CON EL MISMO OBJETO SE LLAMARX viene que las declaraciones de los militares arrestados sitan sin juramento, con arreglo al art. 291 del cap. 3.0,…</t>
  </si>
  <si>
    <t>Alfocea, Rafael de Lamas y</t>
  </si>
  <si>
    <t>Rafael de Lamas y Alfocea</t>
  </si>
  <si>
    <t>…ción de varios religiosos de distintas ór que se referia una queja indeterminada de infracciones, presentada por denes conventuales de Murcia, que se quejan de que el Nuncio de su D. Rafael de Lamas y Alfocea, vecino de Villahermosa, no debia Santidad no estima por motivo suficiente para su secularización la quie- haber lugar á deliberar. - tud y tranquilidad de sus conciencias. Se mandó pasar con urgencia a Se dió cuenta de otro dictamen de. la citada comisión ac…</t>
  </si>
  <si>
    <t>Alfonso</t>
  </si>
  <si>
    <t>Gaceta de Madrid n.º 94</t>
  </si>
  <si>
    <t>…do Asimismo dijo debia llamar la atención del Congreso acerca de los señores de Troppau residentes en Laybach: la misma pintura han una ocurrencia que hubo en aquellos tiempos con D. Alfonso de hecho del reino de las Dos Sicilias. Bravatas y amenazas echó Bona Aguilar, ascendiente de la casa del duque de Mcdinaceli, al cual se le parte á los españoles: bravatas y amenazas fulminan los de Laybach echó una excomunión por haber dado armas y caballos…</t>
  </si>
  <si>
    <t>…ausando suya, sino del ayuntamiento de Sevilla y de las villas comuneras, á no menos daño á la industria nacional que al erario público ; y queriendo quienes se la concedió el Rey D. Alfonso el Sabio, resultando que la S. M. recompensar las fatigas de cuantos se ocupen celosamente en el donación que hizo el Gobierno fue mal hecha. exterminio del fraude, ha tenido á bien mandar que los individuos de la El Sr. Azaola manifestó que aquella isla se h…</t>
  </si>
  <si>
    <t>Algaba, Antonio</t>
  </si>
  <si>
    <t>Antonio Algaba</t>
  </si>
  <si>
    <t>494</t>
  </si>
  <si>
    <t>…estas socieda da pública, y por la cual le habia mandado apremiar el intendente de des, que se gobernaban antes por sí mismas; que este reglamento no es aquella provincia: otra de D. Antonio Algaba, vecino de Aracena, en manera alguna perjudicial á Ja libertad de los pueblos; que los que pira que se le perdone la cantidad de 476a rs. que adeuda á la Hacien quieran celebrar lina reunión no tienen que hacer otra cosa sino pre da pública por razón de arrie…</t>
  </si>
  <si>
    <t>Algunos</t>
  </si>
  <si>
    <t>Gaceta de Madrid n.º 285</t>
  </si>
  <si>
    <t>…ripulación irán res, han-quedado arruinadas. Todos los dias hay ajusticiados; y en la provistos ios buques napolitanos. semana última fueron decapitados en la plaza del mercado el arzobispo Algunos políticos ven en esta providencia una ocupado» de Ja ma griego y dos comerciantes de -la misma nación, cuyos cadáveres se en rina napolitana, es decir, hallan que el Rey de Ñapóles no es mas que tregaron después para que se cebase en ellos la brutalidad de lo…</t>
  </si>
  <si>
    <t>Alí</t>
  </si>
  <si>
    <t>Gaceta de Madrid n.º 311</t>
  </si>
  <si>
    <t>…rosa batalla que dió cerca de los Cinco-Pozos, por donde queria restablecer las comu Trieste 6 He Octubre. nicaciones con Arta, que se hallaba todavía sitiada rigurosamente. El El capitán Alí monda, comandante de un buque austríaco, entró invierno se acerca, y las reliquias del egército turco que diariamente en este puerto el 1 del corriente mes: viene de Itaca, y salió de Zante se van disminuyendo , tratan'ya de restituirse á sus hogares según co…</t>
  </si>
  <si>
    <t>Ali</t>
  </si>
  <si>
    <t>Gaceta de Madrid n.º 366</t>
  </si>
  <si>
    <t>…amen fue aprobado sin discusión , y el segundo lo habian hecho, y las paternales disposiciones que la acompañaban. Esto fue igualmente después de algunas observaciones que hizo el Sr. Ali no ha bastado, pues entonces las Cortes se hallan en el caso de tomar món , y -á que eontestó-el Sr. Oliver como de la comisión. una nueva disposición.: ;y cuál seria cata 2 La de hacer efectivala- res ■ fie, mandó pasar á las referidas comisiones la siguient…</t>
  </si>
  <si>
    <t>Alia, Gaspar Gómez de</t>
  </si>
  <si>
    <t>Gaspar Gómez de Alia</t>
  </si>
  <si>
    <t>Gaceta de Madrid n.º 191</t>
  </si>
  <si>
    <t>1048</t>
  </si>
  <si>
    <t>…s de la misma Do ña María Fraga, D. Tomas Perez, D. Juan Antonio de! Cerro, seño AUDIENCIA DE CATALUÑA. res Cock, Sres.-Oterhr Windsor, D. Matías de Gandásegui, Doa Juan Augustus, D. Gaspar Gómez de Alia, D. Julián de Leis, Do* Concluye la visita general de la cárcel pública de la ciudad de Barce Manuel de la Peña Rodrigo y D. Francisco Ruiz, óá sus respectivos he lona , hecha en ay de Diciembre de 1820. rederos y representantes legítimos, á fin de que concur…</t>
  </si>
  <si>
    <t>Alicante, Tomas Moore de</t>
  </si>
  <si>
    <t>Tomas Moore de Alicante</t>
  </si>
  <si>
    <t>Gaceta del Gobierno n.º 37</t>
  </si>
  <si>
    <t>…verrian á la tripulación, que tenia un gusto ma constitucional ; presentado en 1 5 de Julio en la secretaría imponderable en distraerse con este pasatiempo. Esta fun de Cortes por D. Tomas Moore de Alicante. Se hallará en la. ción se repetía de 15 en 15 dias, y el argumento del dra librería de Sanz á 3 rs. MADRID EN LA IMPRENTA NACIONAL.</t>
  </si>
  <si>
    <t>…tito, sobre el decreto rá sujeta á las regias.-que sé establecen en la palle adminisuativa ue esté jiaüi.iuo ue libertad de imprenta, y sobre ios jurados que establece , por plan. D. Tomas Moore de Alicante. Se hallará en la librería de Sanz á 5 Se mandaron pasar á la comisión especial de Hacienda una porción reales; como igualmente un plan de Hacienda para la Monarquía es de adiciones hechas á los artículos que tratan delderécho de registro. pañola, con el supl…</t>
  </si>
  <si>
    <t>Aligue</t>
  </si>
  <si>
    <t>…Aus cilitársele las rentas de su casa para este objeto , y que lo mismo se tria , según les acomode, dando fianzas tle su buena conducta. ¡ Nos fra hiciese con respecto al Infante D. Aligue] &amp;c. &amp;c.; y por último que tría pnes, nos dulcía Vmquimus anal Parece que estos desgraciados es- no debía enviarse la expedición á Rie-Janeiro. Se resolvió que ea tan muy tristes con lá idea de tener que dejar á Ñapóles: Tengo enten otra sesión se tratarla de…</t>
  </si>
  <si>
    <t>Aligue, San</t>
  </si>
  <si>
    <t>San Aligue</t>
  </si>
  <si>
    <t>Gaceta de Madrid n.º 372</t>
  </si>
  <si>
    <t>1043</t>
  </si>
  <si>
    <t>1043 El Sr. López se conformó con el dictamen de la comisión. Se procedió a k disensión del dictamen de las comisiones de Ha El Sr. San Aligue!: La comisión propone el núincr d-.- oficiales y cienda y División del territorio, que estaba señalado para la discusión escribientes que debe tener cada ofic na de los gefes políticos: pero d:bo de este dia, sobre la supresión de las contadurías principales…</t>
  </si>
  <si>
    <t>Aliguel</t>
  </si>
  <si>
    <t>Gaceta de Madrid n.º 250</t>
  </si>
  <si>
    <t>1320</t>
  </si>
  <si>
    <t>…es. tas , en donde se apostaron hasta cosa de las ocho que llegó S. M. al pa Una correspondencia entre el teniente O-Brien, comandante de la lacio dei Roe o con los Sres. Infantes D. Aliguel y D. Sebastian para corbeta de S. M. el Slancy, apostada delante de Buenos-Aires, y el presenciar la gran parada que mandó el general D. Bernardo Correa de presidente de esta ciudad relativa á este asunto, dió motivo ctiándo Castro y Sepúlveda ; el cual después de haber pas…</t>
  </si>
  <si>
    <t>Alilía</t>
  </si>
  <si>
    <t>…elativo á la egecu artículo por ci tribunal de Ordenes y ís cud.encía de Tin,piona, y uilcion de las penas correspondía al criminal. nilestó ias que había jdoptido la comi-icn. El Sr. Alilía opinó que este artículo pertenecía mas bien al de pro El Sr. JKomcr-j Aipuente íuc de Opinión que debía quitarse de! ar cedimientos , y que no podia convenir con el Sr. Calatrava en que la tículo ia palabra relucidente en tal crimen.-, y hsb: lodoso conformad…</t>
  </si>
  <si>
    <t>Aliranda</t>
  </si>
  <si>
    <t>Gaceta de Madrid n.º 261</t>
  </si>
  <si>
    <t>…er el equili una lucha, que podría acrecentar la preponderancia de los demás Estados, brio de los demas. la Francia seria parte interesada, porque pocas veces pueden y deben de El Sr. Aliranda dijo entre otras cosas que la conducta del ministro jar de serlo los grandes Estados; pero no por eso sus intereses escarian en esta pregunta era anti-constitucional, y demostraba la mas crasa ig en oposición con sus sentimientos. norancia ; añadiendo que se…</t>
  </si>
  <si>
    <t>Allen, González</t>
  </si>
  <si>
    <t>González Allen</t>
  </si>
  <si>
    <t>…e de mas importante, y evitar un gasto que la comisión juzgaba inútil. ningún modo deben hacer directamente: se ha servido S. M. mandar Se leyó por primera vez una proposición del.Sr. González Allen prevenga á V. S. cuide muy particularmente de evitar la repetida pre de , en que manifestaba ¡o arriesgado y expuesto que es que los Gefes tensión de licencias, que ahora mas que nunca se advierte, cerciorán políticos tengan por sí solos la decisión de las Su…</t>
  </si>
  <si>
    <t>Allende</t>
  </si>
  <si>
    <t>…breve tuno , para'que las Cortes procedan con el tino correspondiente, el qué nido la epidemia en algunos puntos de la monarquía , que exige la for averigüen lo que ha indicado el Sr. Allende ; es decir, de donde se de mación de cordones, se le autorizase de nuevo para mantener en ser ben pagar los gastos que causen estos cuerpos; y que el secretario de ¡a vicio el número de 8 ó 10$) hombres por el tiempo absolutamente in Gobernación manifieste po…</t>
  </si>
  <si>
    <t>…rla entre las minerales ferruginosas, aunque con apariencias de tener observarán las reglas siguientes: en disolución un álcali libre, que por los resultados pareció ser el amo El Sr. Allende observó que este artículo podia retirarse hasta que niaco, absorvido sin duda de las sustancias vegetales y animales que se tratase de los contraregistros , á lo que contestó el ir. conde de Toviven y se pudren en la pradera que rodea el acueducto; por lo que…</t>
  </si>
  <si>
    <t>…omover la pesca de ballenas y lobos ma este medio, no solo á la industria, sino también á la agricultura. rinos , en su dcrelo de 16 de Abril dejaron obre de derechos todos los El Sr. Allende, después de haber hecho varias observaciones sobré efectos navales que se introdujesen para el servicio y armamento de los el estado de estas manufacturas y de la cosecha de lino en Galicia, buques que se empleasen en esta pesca; por lo que se ve que Jas comi…</t>
  </si>
  <si>
    <t>…Sr. Laliave opina que debe omitirse voluntario, y que se suscribe en la librería de Matute sin adelantar cantidad alguna decirse acto cometido con mala intención contra ley; y el Sr. Allende hasta la entrega del tomo i.°fque se verificará en todo este mes de, quiere que se diga que delito es el acto cometido con voluntad con Noviembre) , en cuyo acto se pagarán ambos. En la misma librería se tra ley ; de consiguiente uno á otro se impugnan , y ni…</t>
  </si>
  <si>
    <t>…s lo que re te no solo no se separarían de su obligación, sino que vigilarían coa sulta de tales documentos. mas" ahinco, como interesados por una parte en aprehender contraban El Sr. Allende manifestó que las aduanas habían producido en solo do , y por otra en que se aumentasen los ingresos de las aduanas. el mes de Octubre de este año 5.6003 y tantos rs., cuyo producto Declarado en seguida este artículo suficientemente discutido, quedó comparado…</t>
  </si>
  <si>
    <t>Allende, Gonza'ez</t>
  </si>
  <si>
    <t>Gonza'ez Allende</t>
  </si>
  <si>
    <t>…nte en que cho, en la inteligencia de que esto equivalía á una prohibición , y se se aumentase el máximum. evitaban los reparos que podrían olrecerse ; y como también podria su El Sr. Gonza'ez Allende manifestó que se vería mas el tino con ceder que hubiese una carestía de estos ramos tan interesantes, se ha que habian procedido las comisiones si se atendía á lo que exponían bian decidido á proponer que fuese libre la introducción cuando pasase ‘algunas re…</t>
  </si>
  <si>
    <t>Allende, González</t>
  </si>
  <si>
    <t>González Allende</t>
  </si>
  <si>
    <t>…en que se quejaba del Si mandó pasar á la comisión di Legislación otra proposición de juez.de primera instancia, encargado de los juicios contenciosos de Ha- 1 segunda lectura del Sr. González Allende, en que pedia que no pu cienda pública; y después de una leve discusión se aprobó el dictamen dieran por sí soló lós Gefes políticos anular las elecciones de ayunta de la comisión.,; que era el mismo,que el del consejo, de Estado , apo mientos. ( Véase la ses…</t>
  </si>
  <si>
    <t>…a comisión de Poderes pasaron los del Sr. Rodríguez Casal , di lo mismo. putado suplente por. la provincia de Galicia , y, llamado en lugar del; A Ja propia comisión pasó otra del Sr. González Allende, en que Sr. Ruiz Prado. . pide -se declare por punto general que ios comisionados de los Gelés A la de. Infracciones de Constitución ,una queja que da IX Fran políticos para las elecciones de los ayuntamientos deben limitar su en cisco V¡Aches, vecino de León…</t>
  </si>
  <si>
    <t>…dicha adición. de los napolitahós. ’ ' , • * El Sr. Romero Al puente añadió esta adición á la indicación del*- ' Alostrósela nacion napolitana digna;de la resolución que.había to Sr. González Allende: « Haciendo especial mención del estado de pi- mado. Convocó extraordinariamente su Parlamento; y este, con .¿que-, »go de la casa Real ó de la asignación hecha á S. M.que quedó, lia calma , dignidad y moderación que solo puede Inspirar la segúridád ’ aprobad…</t>
  </si>
  <si>
    <t>…gentos y En la de secretario tampoco hubo elección eñ primero y segundo todos los individuos de la milicia de caballería se suscribieron para escrutinio, quedando en el tercero el Sr. González Allende por 96 vo hacer la bandera, que se encargaron de bordar algunas damas patrio tos de 152. tas de la misma ciudad. Se señaló para la bendición el 18 del corriente, El Sr. presidente ocupó su silla. víspera del aniversario de nuestra Constitución, en cuyo día fo…</t>
  </si>
  <si>
    <t>…a riales ,y solariegos tenian obligación déupresentar los t ítalos, porque la laría din. ; : ■ . ’ j " . . mayor parte de estos .territorios se hablan aumentado considerablemen El Sr. González Allende hizo la siguiente indicación: jj Pido que te respecto de su primitiva fundación, en lo cual convenia -con lo que se diga al Gobierno que con urgencia.., y si puede ser en el dia de mi í^bia.dicho el Sr. Ciscar de que lo que - era’ íin 'canto de duro de terre…</t>
  </si>
  <si>
    <t>Gaceta de Madrid n.º 106</t>
  </si>
  <si>
    <t>…l al Sr. D„ Carlos m, y otra en ¡3 de Octubre híbe que los milicianos salgan de sus respectivos distritos. de 1638 , en la que se referían los muchos abusos que se cometían con El Sr. González Allende manifestó que la primera idea de hacer este motivo, repartiendo infinidad de propinas á diferentes personas, este aniversario habia'salido de la misma provincia de Toro , y princi incluso el embajador de España en aquella capital; y concluyó apro palmente del…</t>
  </si>
  <si>
    <t>Gaceta de Madrid n.º 111</t>
  </si>
  <si>
    <t>…Salvador Ros y Renart, que recibieron Jas Cor hombres que tenían algún valor moral; que explicarse c impugnarse tes con agrado. era el mejor medio oara conocerse v entenderse. El Sr. González Allende dijo que no podia menos de hacer presente á las Cortes el noble empeño de los castellanos en honrar las venera NOTICIAS DE ESPAÑA. bles reliquias de los inmortales defensores de la libertad española, Par dilla, Bravo y Maldonado, que murieron 300 años há sacr…</t>
  </si>
  <si>
    <t>Gaceta de Madrid n.º 120</t>
  </si>
  <si>
    <t>…ción á una obra de D. Juan co superior de Alava, Manuel de la Rivaherrera.zsEl comandante Antonio Llórente, que ha publicado un abogado en Barcelona. de armas, Miguel de Alava. El Sr. González Allende presentó una exposición de D. Juan El otro es relativo á la dispersión de los rebeldes en Campezur, con Garante, cura de Hinojosa, en la provincia de Salamanca, solicitan muerte del abogado D. Gregorio N.; añade que los milicianos de Logroño do permiso para g…</t>
  </si>
  <si>
    <t>Gaceta de Madrid n.º 126</t>
  </si>
  <si>
    <t>…provincial de Sevilla tiene e! derecho de promo padecido por-la independencia.y libertad de la patria.” ver e»ta obra; y en esto se envuelve una injusticia muy contraria ai es El Sr. González Allende dijo que no se oponía á que se concedie píritu de la Constitución , según la opinión del Sr. Romero Alpuente, sen los sueldos que se referían en est;t indicación; pero opinaba que las que dice es peculiar de cada una promover las obras de su distrito; pues .…</t>
  </si>
  <si>
    <t>Gaceta de Madrid n.º 132</t>
  </si>
  <si>
    <t>…conveniencia que resul á la comisión , porque solo se ha 1 imitado á lo que expresaba la indicación tará de adoptar estas medidas. El Sv. Moreno Guerra ha atacado las aprobada del Sr. González Allende, deduciéndose de esto que cuando providencias de las Cortes en la legislatura pasada. Yo creo que las al tesorero general se le ha preguntadomna cosa ha respondido otra, lo Corres habrán podido equivocarse: y confieso por mi parte-que sino mismo que sucedió c…</t>
  </si>
  <si>
    <t>Gaceta de Madrid n.º 139</t>
  </si>
  <si>
    <t>…slación. Pero como este Cortes en sus últimos decretos era á su entender I3 mas funesta á los decoró y esplendor del trono constitucional no deba limitarse ¿ esto, pueblos: el Sr. secretario González Allende dijo que estaba despachado' ni puedan quedar plenamente satisfechos los deseos de S. M., que tan el informe sobre puestos públicos, y se mandó unir esta exposición al francamente marcha el primero por la senda de la Constitución, hasta mismo expediente. que s…</t>
  </si>
  <si>
    <t>…habian quedado elegidos cuatro inmediata, y levantó la de este dia. diputados y un suplente para 1.a legislatura de 1822 y 1823 , remitien do copia del acta de la elección: el Sr. secretario González Allende dijo NOTICIAS DE ESPAÑA. que en esta legislatura se declaró nula la elección de diputados por la Havana , por corresponder solamente á dicha provincia el número de Barcelona 12 de Mayo. tres diputados y un suplente , en lugar de los cuatro que también habia P…</t>
  </si>
  <si>
    <t>…anada y Sevilla. Arzo La ordinaria de Hacienda presentó su dictamen acerca de lá indi bispado que tiene 24; pilas, como el de Sevilla, y arzobispado que tiene cación hfccha por el Sr. González Allende en la sesión de í de Abril 15 99 piláis, como el de Burgos..... Tenemos obispados cuyas diócesis último, y la contestación que en su consecuencia habia dado el Se pueden registrar desde sus palacios los obispos, como el de Orihúelá, ñor ministró de Hacienda;…</t>
  </si>
  <si>
    <t>Gaceta de Madrid n.º 165</t>
  </si>
  <si>
    <t>884</t>
  </si>
  <si>
    <t>…quel faccioso; á este fin hizo una lia de ser precisamente de &lt;5co© reís.” indicación, que quedó aprobada. • Hubo alguna discusión sobre este artículo, y después de aprobado se El Sr. González Allende leyó una indicación del Sr. Sánchez Sallevantó la sesión. „ yador, relativa ( según se pudo entender ) á premiar los servicios de los „ generales Quiroga y Riego. ' NOTICIAS DE ESPAÑA. El Sr. Quiroga dijo y repitió que se oponia á dicha indicación, y que en c…</t>
  </si>
  <si>
    <t>…empo determinado en ciertas provincias de de sueldos-, la. mayor parte de.ellas sin motivo,, pues que habían.co Ultramar. brado casi todos los meses del año económico. ! ; . .. El Sr. González Allende¡■leyó una lista de Ios- dictámenes que la El Sr. Gutiérrez Acuña continuó haciendo varias reflexiones sobre la comisión segunda de Legislación habia entregado en la secretaría , rela desigualdad que habia en la distribución de ios caudales públicos, pues tivo…</t>
  </si>
  <si>
    <t>…yo no puedo creer mientras no tenga pruebas para ello, no tratán quejando de que se la debe casi todo él. dose solo de faltar al decreto de las Cortes , sino al mismo tiempo de El Sr. González Allende dijo: For la lectura de los documentos falsificar fechas , y para esto es preciso contar con ¡as oficinas y con todos del Sr. secretario de Hacienda se me han ofrecido dos observaciones, los empleados por donde pasen estos pagos. Por lo que lia dicho el la un…</t>
  </si>
  <si>
    <t>Gaceta de Madrid n.º 168</t>
  </si>
  <si>
    <t>…provincia de la Mancha. En seguida se pasó á la discusión del proyecto de ley sobre minería A la especial encargada del arreglo económico político de las pro de la Península; y el Sr. González Allende leyó una exposición de vincias el expediente instruido por el ministro de la Gobernación de la D. Saturnino Peñaredondo, en la que se «quejaba del intendente de Península, con motivo de la solicitud hecha por el gefe político de Santander por exigirle ciertos…</t>
  </si>
  <si>
    <t>…ser contrario á la Constitución; y otra en bienes raices que el Gobierno comprará al Crédito público.” del Sr. López Constante, para que sea libre de todos derechos la harina El. Sr. González Allende dijo: ei artículo dice que el Gobierno que se introduzca en la provincia de Yucatán procedente de la Penín comprará bienes raices al Crédito público, capaces de producir la renta sula y cualesquier puntos de Nueva-España, fijando los únicos que de antiai de 8…</t>
  </si>
  <si>
    <t>…e los cuerpos insurgentes, todo esto puede in persuadido de que no era perjudicial el que se suspendiese esta discu fundir sospechas acerca de la neutralidad prometida. sión; y el Sr. González Allende también la apoyó. En Viena se habia esparcido á últimos de Mayo la voz de que uno Él Sr. Vitorica apoyó la primera parte de la indicación del Sr. G¡— de los secretarios de la legación rusa en Constantinopla habia tenido raido, y después de una ligera discusió…</t>
  </si>
  <si>
    <t>…te con los de ción el número de individuos prevenido por la ley, á causa de haber la audiencia de Valencia. pedido algunos de estos sus secularizaciones, se entenderán aquellos El Sr. González Allende di¡o: Yo quisiera que los deseos de los desde luego suprimidos , y como si no se hubiese determinado su per se'o -es de ¡a comisión respecto de los jueces de primera instancia se manencia. Igualmente se ha servido S. M. resolver se supriman , en hubieran cump…</t>
  </si>
  <si>
    <t>…á las Cortes se leyó la de T2o© para la escuela veterinaria, sueldo de profesores, de que S. M. se habia servido señalar la hora de la una de mañana para pendientes y gastos; y el Sr. González Allende manifestó que este es recibir la diputación del Congreso que diabla de ir á presentar á S. Aí. tablecimiento, lejos de ser gravoso al Estado, debia producir alguna un mensage. Las Cortes quedaron enteradas. utilidad , estando como debia bien administrado , pu…</t>
  </si>
  <si>
    <t>…gaba necesario el que pasase á una comisión, sino fuera á buscar leña. qtíe en el mismo momento se discutiese. « Si su familia' la llegara á ver conmigo, yo no la abandonaria á El Sr. González Allende fue de dictamen que se suspendiese la dis su desgracia. La pondría sobre mi caballo , y escaparía con ella. cusión hasta que la comisión manifestase las observaciones que tenia » Mi caballo, que tiene las orejas puntiagudas , corre como un antehechas el Gobie…</t>
  </si>
  <si>
    <t>Gaceta de Madrid n.º 282</t>
  </si>
  <si>
    <t>…ad que exigía la plantificación de una obra de tanta uti vite para la organización de esta fuerza, remitida por el Sr. ministro lidad. de la Guerra. El Sr. Díaz del Moral dijo: El Sr. González Allende acaba de ha A la de la Armada naval dos memorias sobre ingenieros y náuti cer una observación de los perjuicios que van á sufrir ¡os pueblos,"divi cos, dirigidas por el director y el comandante de ingenieros de Cádiz. diendo el territorio español en el húmero…</t>
  </si>
  <si>
    <t>…o la comisión para ción á las circunstancias, como dice el Sr. secretario del Despacho de la elegirla capital de una de las provincias dé .Galicia. Gobernación de la Península. EL Sr. González Allende (y yo también A las comisiones que entienden en la reforma de aranceles se man estoy en lo mismo) ha dicho que las Cortes, antes de decretar un nue daron pasar una exposición de D. Joaquin Cosa, vecino de Alfacír, vo gasto , deben considerar si se está en est…</t>
  </si>
  <si>
    <t>Gaceta de Madrid n.º 295</t>
  </si>
  <si>
    <t>£1 Sr. González Allende dijo: La política, la justicia y la conve diputados pata las próximas Cortes , y el Gobierno contestó que-, veri niencia pública exigen qüe exista la provincia de Zamora; pero debe ficada la división del territorio ,. en esta se señalaria donde se habian de t…</t>
  </si>
  <si>
    <t>…ables desvelos por U nos , y que por lo mismo no producirían tantos expedientes como ha- adhesión sin ig.ua'! que siempre lian manifestado al asfenu que m.s rige, fe.a indicado el Sr. González Allende; en vista de lo cual no era un las miraría bajo este aspecto ; pero como quiza el silencio seria causa motivo para que la provincia de Zamora se dividiese; que con respecto también de creerlos culpabas, no pueden meros de hacer v*r i V. M.&gt; á los caminos de c…</t>
  </si>
  <si>
    <t>…que lo que consume la Nación ioipro por cada matriculado que tengan las provincias marítimas.’; Aprobado. duce, y separando á las mugeres y niños Seo., resulta que diariamente El Sr. González Allende se opuso á este artículo, manifestando el jornal de cada hombre útil en España produce 2 i-i rs. Este cálculo que no creía conveniente en nuestro estado de marina que se rebajasen he dicho que parecerá exagerado; pero no .-o es'. Esos 40Q hombres cuatro almas…</t>
  </si>
  <si>
    <t>…n consideración se le seguirá la mala obra que podría resultarle, si v. gr. teniendo no estas observaciones. ticia una autoridad de que por un punto determinado pasaba un comer K1 Sr. González Allende dijo : Las comisiones han mirado esta ciante que llevaba géneros prohibidos, le quisiese detener, porque ense materia con la mayor detención, y crea que las Cortes estarán persuadi ñando esta certificación se le dejaría pasar inmediatamente. Por consi das de…</t>
  </si>
  <si>
    <t>…o. He dicho que en el empréstito no han entra aideracion. do itiises ni medios iuises , y es, menester añadir que Ja msyor parte de él El Sr. López (D. Marcial) se explicó asi: El Sr. González Allende ha entrado en barras, y se han acuñado en las;casas de monedas de Es acaba de decir que extrañaba el que yo hubiese dicho que este ramo se paña, como lo prueban las medias onzas acuñadas en el año 20, y hallaba abandonado, alabando con este motivo sus ordenan…</t>
  </si>
  <si>
    <t>…sión te artículo las razones en que lo apoya; es decir, desde la palabra' de la segunda parte del artículo. « procurando que dichos buques paguen &amp;c.” , porque de lo contrario/ El Sr. González Allende expuso que tal vez cuando se tratase del de la expresión « cuando menos” se podrá inferir que deban pagar ni,s, código mercantil se hablaría de este asunto, al cual se referia el artículo y porque la ley debe ser lo mas clara quesea posible. Asi que, si la co…</t>
  </si>
  <si>
    <t>…circulación de esta ahora por el valor que rengan en la tarifa, hasta que se evr nean por U moneda como pasca. fundición que proporciona mente deberá hacer la casa de moneda. y El Sr. González Allende, después de haber manifestado cuál era de constemente que no se apruebe este proyecto. la historia de la introducción de la moneda fraucesa, que se ha ver fi- V.l Sr. Y and.ola: No molestaré ai Congreso exponiendo las razón* c.ido principalmente por Cat.duúa,…</t>
  </si>
  <si>
    <t>…dar mi opinión no quiero manifestar introducción de esta moneda ¿ véase si. es cierto lo que ha indicado el sino sencillamente la verdad, porque jamas falto á ella , y el Congreso Sr. González Allende; porque verdaderamente lo que sucedió fue que se equivocaría si me fundase en datos inciertos, como los que se han «1 Gobierno autorizó esta introducción, y Jas Cortes no podian menos presentado las mas de las veces, digo que el dictamen de la comisión de pas…</t>
  </si>
  <si>
    <t>…ción, y gra nuevos métodos conocidos y que se conozcan. , vosa á los mismos establecimientos. 3-“ Llevar á debido efecto lo mandado sobre la formación d» El Sr. Azaola dijo que el Sr. González Allende hablando contra facultativos inteligentes en la química, ensayo , grabado , maqui el art. i.° había dicho que no habia necesidad de crear esta junta, y naria y elaboraciones para que se apliquen los conocimientos respectivos, que no podria reportar ninguna ut…</t>
  </si>
  <si>
    <t>…ión . porque una ley se puede revocar si se nota que expuestas que las Cortes deben aprobar este artículo. sus resultados no han correspondido á los deseos del legislador; pero El Sr. González Allende aprobó el dictamen de la comisión , ma cgecutada la sentencia con un reo, no hay ya lugar á enmendarla si aca nifestando que por él se conciliaba la pronta conclusión de esta causa so fuere ¡nocente. Hay ademas otra reflexión, y es que siendo 98 los con la pr…</t>
  </si>
  <si>
    <t>…u pidió se hiciese en este ar do que dicho D. Juan de Clavería le habia dicho que los' referidos tículo. ■pesos pertenecían á un clérigo francés paisano y amigo suyo; sé vió el El Sr. González Allende dijo qiie el contrabando era muy' perju D. Pedro Dalhaste y Clavería en la necesidad para recibir el dinero, dicial al Estado, no solamente .porque privaba de recursos á la indus como en efecto lo recibió,de hipotecar una casa, con la condición:de tria , y po…</t>
  </si>
  <si>
    <t>…in qiíé' ésto sirviese de una verdadera comprobación , por;^ por solo una sospecha de existir contrabando. realmente no se sabia lo que cada uno podía llevar dentro de los caju El Sr. González Allende dijo que la regla general que sobre esto- nes. Por éstas Tazones fue de opinión que debería aprobarse, cnprituré-. establecía la Constitución tenia algunas excepciones particulares; una -dotó-^esde la palabra mas en adelante. de estas era la conservación del…</t>
  </si>
  <si>
    <t>Gaceta de Madrid n.º 336</t>
  </si>
  <si>
    <t>1817</t>
  </si>
  <si>
    <t>…ncia , con su auxilio y cooperación se apresuraron rechos de entrada, y sobre el mismo valor un 2 por 100. ádar las debidas disposiciones para que al dia siguiente 14 del mismo El Sr. González Allende manifestó que había en España fábricas de mes de Setiembre se solemnizase el acto con el decoro que exigía su ca clavitos de esta especie, y que el permitir su entrada había sido la cau lidad, anunciándole con repique de campanas é iluminación general la sa d…</t>
  </si>
  <si>
    <t>…debía ó no preceder la definición , sobre esto solo expo renzo con fecha de ayer lo que sigue: nía sil dictamen. » SS. MM. y AA. continúan sin novedad en su importante salud.”! El Sr. González Allende manifestó que era sumamente esencial el que precediese una definición, porque, por egemplo, cuando se trate ANUNCIOS. del código de comercio será necesario decir primeramente lo que es comercio para desenvolver todas las demas ideas; pero observaba que Gmeine…</t>
  </si>
  <si>
    <t>Gaceta de Madrid n.º 341</t>
  </si>
  <si>
    <t>…que se yo sé que un hombre ensu -casa'prepara1 dos- escálelas uniéndolas'para había presentado. , . ¡ robar en uná casa, resultará que este tendrá'voluntad-de.hacerlo-,' y ésta El Sr. González Allende: la tentativa no es el designio, y sí un verdaderamente preparado á ello; pero como quiera queñósacálá es acto exterior que. da principio: 3! designio,}-y-,autique la comisión ¿dice calera: de ¿U casa , no hay tentativa, y solo preparación, la cual ño creo .q…</t>
  </si>
  <si>
    <t>Gaceta de Madrid n.º 342</t>
  </si>
  <si>
    <t>…"eñ España dé este género , y manifestando' qué' prohibición del carbón de piedra extrangero desde el dia. las minas que hay en aquellos parages no solo son suficLnt.s á suplir El Sr. González Allende manifestó que ningún perjuicio se podía las necesidades dé la Nación, sino también á nrucha parte, do ia. Euro seguir á nuestros mineros de que se aprobase el término señalado, en pa; y asimismo ¡a de D.. Antonio Nevarlo, vecino,,de Barcelona, ex razón de que…</t>
  </si>
  <si>
    <t>…los días entraban en el Crédito público; pero también ¡o es que se pri Se leyó el att. 32° - - . , • . varía al erario del producto de esta parte del derecho del registro, que El Sr. González Allende observó que se perjudicaba á unos .com aunque no tan considerable como estaba calcula to por la lentitud -le pradores para favorecer á otros;y que debiendo ser consecuentes, se ha las ventas, no podía despreciarse, por cuanto alimentaria el déficit de bía de…</t>
  </si>
  <si>
    <t>…es gusto de participar al público ea 12 del próximo Octubre la llegada á taba casi muriendo de hambre. esta capital de los cinco facultativos franceses, que enviados por su Go El Sr. González Allende contestó al Sr. preopinante, diciendo qus bierno á observar y conferenciar con nuestros beneméritos profesores ademas de ser sumamente costosa ia construcción de estos instrumento» acerca de la devastadora enfermedad, que tanto tiempo hace nos aflige, en en E…</t>
  </si>
  <si>
    <t>…delincuente la primera compañía Ramón de Linares. = Benito Aznarez , subtenienera porque había dejado de existir. te—Sargento primero Pedro Gomara.=Josef Remon , sargento segunEi Sr. González Allende: Desde luego se conoce el espíritu con do.rejuan Lozano, sargento segundo.nzAntonio Martínez, miliciano. que la comisión ha presentado este artículo; pero me parece que toda —Mariano Milagro ,miliciano.=Capitande la segunda compañía Valen esta ceremonia, lejo…</t>
  </si>
  <si>
    <t>…juicio de-las respons-ibilidadespecuniarias á que estuvieren sujetos. ■ ilipinasi- &lt;- - . . ' • ’ . ... ■ « Pasado dicho término sin testar ni disponer de sus bienes, acciones El. Sr. González Allende dijo que impugnaba este artículo*por -y deré.choj, .tadosdos que hubiereiposeido qstsarári á sus hérederosüegí• algunas dudas que le ocurrían. Se dice,( continuó ) que el reo de- -timos. como- en’.el caso.ida abinlejtato. El reo perderá todos ios derechos ; p…</t>
  </si>
  <si>
    <t>2011</t>
  </si>
  <si>
    <t>…a se prefija es te será conducido con el reo principal en pos de él y en igual cabal demasiado corto. gadura ; pero con sus propias vestiduras , descubierta la cabeza, y atadas El Sr. González Allende: Las Cortes han sido desobedecidas por las las manos. autoridades legítimas que firman la representación; y este es un ejem » Llevará también en el pecho y espalda un cartel que anuncie su plo tan trascendental , que si fuera posible ni un minuto debería dila…</t>
  </si>
  <si>
    <t>…nen la aptitud necesaria, deberán proveerse en ellos todas las con arreglo al art. 307 de la Constitución.” plazas de las dichas oficinas, y que solo tengan nombramiento del Go El Sr. González Allende opinó que por muchos motivos no po bierno los oficiales primeros , siendo todos ios demas al cargo de los ge- dían establecerse ahora los jueces de hecho, sino que debían pasar aLfes , los cuales podran ponerlos, removerlos f y todo lo demas que ten guttos añ…</t>
  </si>
  <si>
    <t>Allende, Gronzalez</t>
  </si>
  <si>
    <t>Gronzalez Allende</t>
  </si>
  <si>
    <t>…ones de Inglaterra y Austria; sospechándose que sea efecto de ha Ss leyó y aprobó el acta de la anterior. berse suscitado el asunto del pago de la deuda antigua del Austria , y El Sr. Gronzalez Allende dijo que existían en la secretaría mas de que esta potencia parece no piensa cumplir lo prometido----También 300 expedientes despachados por las comisiones, los cuales, según el se habla de que dentro de unos dias se presentará á la Cámara de los dictamen de…</t>
  </si>
  <si>
    <t>Allende, ManuelLuis González</t>
  </si>
  <si>
    <t>ManuelLuis González Allende</t>
  </si>
  <si>
    <t>…E LOTERIAS NACIONALES. vice-presidente el Sr. D. Miguel Martel, diputado por la de Salaman Noticia de los pueblos donde han cabido los premios mayores de ca , y para secretario el Sr. D. ManuelLuis González Allende, que lo Ja lotería moderna nacional en el sorteo de ayer. es por la de Toro.” Pfúmeros. ■ Premios. jidministracionés. - De’Real orden lo comunico á V. S. para s’.i inteligencia y efectos consiguientes, y para que se sirva dispouer_su publicación oficial en la…</t>
  </si>
  <si>
    <t>Alma, Domingo</t>
  </si>
  <si>
    <t>Domingo Alma</t>
  </si>
  <si>
    <t>…Muchos españoles acudieron á las Cortes en el año de 1820, las siguientes personas. manifestando los perjuicios que se originaban de que no estuviese, co ~Príncipe de Carditó./ El coronel D. Domingo Alma mo debía, arreglado este asunto. Las Cortes tuvieron á bien pasar estas Duqúrde Cassano. gro. - exposiciones á la comisión de Comercio , y en el expediente que se for Duque de Luscianó. Monseñor D. Carlos María Ro- mó no consta que el secretario del Despacho…</t>
  </si>
  <si>
    <t>Almeida</t>
  </si>
  <si>
    <t>Gaceta de Madrid n.º 281</t>
  </si>
  <si>
    <t>…, cuando lan de una batalla ganada el 20 de Mayo cerca de Santa Fe por el lo primero en que pensó como el asunto mas importante fue en hacer •89,bímador. de Buenos-Aires contra el general Almeida.” una divis:on proporcionada del territorio francés. La asamblea consti r, Ei resultado de las noticias del día es la continuación de dudds sobre tuyente pues hizo la división del territorio francés inmediatamente que Jasuerte futura de los griegos, por upa c…</t>
  </si>
  <si>
    <t>Almeirá</t>
  </si>
  <si>
    <t>Gaceta de Madrid n.º 259</t>
  </si>
  <si>
    <t>…acio Galerín, que el día 28 del pasado á las ro d.- la mañana con motivo de las elecciones había opinado que fuesen .tropas, ahora fue apresada por la goleta insurgente, Patriota, capitán Almeirá, .y era de distinto parecer., . ....... puesto en libertad el Jia 30 á las dos de la;tarde, ti leguas ai-S. de Otros Sres. diputados opinaron que debía aguardarse á la llegada de Cádiz.__ _ Esta goleta, que tiene 11, carroñadas de varios calibres ymas los dip…</t>
  </si>
  <si>
    <t>Alon, Francisco</t>
  </si>
  <si>
    <t>Francisco Alon</t>
  </si>
  <si>
    <t>Gaceta de Madrid n.º 100</t>
  </si>
  <si>
    <t>486</t>
  </si>
  <si>
    <t>…bio Cordon, y para Chiva D. Hilario Mendoza. ' esencialmente lo que se mandaba, en el artículo g.° del decreto de 6 de Agosto de t8n. Atendiendo S. M. á los méritos y servicios de D. Francisco Alon El Sr. presidente dijo que mañana después de dar cuenta del despa so de Viado, residente en la Iiavana, se ha servido concederle hono cho se discutiría el proyecto de decreto sobre sociedades, y que luego res de comisario de guerra d.e los egércitos nacionales por…</t>
  </si>
  <si>
    <t>Alon, Juan</t>
  </si>
  <si>
    <t>Juan Alon</t>
  </si>
  <si>
    <t>…ar.dó) quedar sobre la mesa ei dictamen de ia comisión ca. Su intención es hacer cuanto les sea posible- para reconocer el de salud pública relativo a las memorias presentadas por D. Juan Alon curso y la desembocadura del Niger; á cuyo fin el ministro con so de María y Mr. D»v¡ze sobre experimentos acerca de la fiebre ama de Bathurst les ha proporcionado todos [os medios de seguridad y pro rilla. tección que están á su alcance. Esta pequeña caraban…</t>
  </si>
  <si>
    <t>Alon, Manuel</t>
  </si>
  <si>
    <t>Manuel Alon</t>
  </si>
  <si>
    <t>…ente instruido á instancia de los bachilleres en leyes de la uni obligue á presentar en calidad de pobladores de cada una á lo menos versidad de Oviedo D. Manuel Alvarez Campillo, D. Manuel Alon familias, esto es , 25 matrimonios de hombres libres. La diputación so Cueilas, D. Ignacio Suarez y O. Meliron S. Juan, que solicitaban se provincial respectiva señalará al capitulante un término perentorio, declarase si en el presente año deb;an asistir á la…</t>
  </si>
  <si>
    <t>Alónente, Romero</t>
  </si>
  <si>
    <t>Romero Alónente</t>
  </si>
  <si>
    <t>Gaceta de Madrid n.º 105</t>
  </si>
  <si>
    <t>…r para el que intentara misión correspondiente. esto mismo , valiéndose de subterfugios y de medios indirectos. Se leyó una representación de los individuos ele! cuerpo de Guar El Sr. Romero Alónente dijo que consideraba muy necesaria la dias de la Persona del Rey, residentes en ei cuartel de S. Gerónimo, adición que se habia hecho, sin embargo délas penas establecidas en los fecha de hoy, en que solicitaban que formando un destacamento, se les artículos…</t>
  </si>
  <si>
    <t>Alónros, Kodrigo</t>
  </si>
  <si>
    <t>Kodrigo Alónros</t>
  </si>
  <si>
    <t>…capitulares cuando falten algunos, ó por.imposibilidad ó percibe exactísimamente de aquel Bajá , quiere apoderarse de sus teso por ausencia. Se concedió el permiso que solicitaba D. Kodrigo Alónros ; y con este objeto debe partir el Capitan-Bajá con una escuadra 1 lo Flores, juez de primera instancia de Ponferrada, para que pueda Alejandría y á las demas-plazas marítimas de Egipto. Mucha resisten-, prestar su juramento en la audiencia de esta provincia.…</t>
  </si>
  <si>
    <t>Alonso</t>
  </si>
  <si>
    <t>…l Sr. Moreno Guerra fue de dictamen de que se debía poner úni mer extracto de la de este dia á Doña .María Fernandez, hija del pa camente el; nombre de'Jíry constitucional. triota D. Alonso, muerto en el campo del honor. El Sr. López (O. Marcial) manifestó quemo se hallaba en disposi ción de votar, y pidió que volviese el dictamen a la. comisión, para que oyendo.á los que tuviesen en el asunto conocimientos facultativos, . Se han recibido periód…</t>
  </si>
  <si>
    <t>Gaceta de Madrid n.º 91</t>
  </si>
  <si>
    <t>…ular', ;; está nueva dominación , se defendió con las armas: pero' do! ¡l’odian los! españoles que entraron poner feudos y tributos por. el. temiendo al fin ia indignación del Rey D. Alonso ; dió la posesión al* derecho que se-dice de caBkuisla! Enhorabuena que ios Rcves: den lo Infante D. Henríque. Oirá vez 'sé' résistió la misma ciudad , y entró1 que es suyo; pero no demias pueblos f haciendo señores de hacien ahorcando el Duque dé Cardona , '…</t>
  </si>
  <si>
    <t>…estar: i.° El Memorias de la academia de 1a Historia: 5 tomos en 4.° marouiiia. salón de Cortes, para indicar que aquellas dictaron la sagrada ley fun __Las siete Partidas del Rey D. Alonso el Sabio, cotejadas con mu damental , en el que se ve al Rey en el acto de jurarla; y á su frente chos códices antiguos por la academia: 3 tomos en 4.'' marquilla__ se colocó la portada de la Constitución, adornada con sencillez, con Demostración histórica de…</t>
  </si>
  <si>
    <t>…o co De los Sres. Novoa-, Losada, Mar.tinez , Casal , Rodrigue! ( D. Jo-, mandante, no satisfaría los deseo, que abriga mi pecho si no os ma sef ), Fondevila , Bahamonde y López ( D. Alonso) , acerca de ios 1Í-. nifestara el singular mérito que liabais contraído en el e.pacio de ios mites de las provincias en que se ha dividido ci antiguo,reinq de, seis últimos meses, desempeñando el servicio de la milicia permanente Galicia. .... .. . en época…</t>
  </si>
  <si>
    <t>Alonso, Eugenio</t>
  </si>
  <si>
    <t>Eugenio Alonso</t>
  </si>
  <si>
    <t>Gaceta de Madrid n.º 310</t>
  </si>
  <si>
    <t>…o año se pagará 3 por 100 por la expresión » uno por 100 sobre el 2 máquinas, ó cualquiera de ellas, podrá acudir al obrador del mencio por 100 establecido en el primer año.” nado D. Eugenio Alonso, sito en la calle de la Manzana, número ao, El Sr. Oliver dijo que debía pagarse 2 por too el primer año, y cuarto principal. uno en el segundo. El Sr. Sancho dijo que el artículo estaba concebido con una am Don Juan Torrecilla de Robles , abogado de los trib…</t>
  </si>
  <si>
    <t>Alonso, Nicolás</t>
  </si>
  <si>
    <t>Nicolás Alonso</t>
  </si>
  <si>
    <t>…ri.» Torrijos, D. Juan Jacinto López , D. Juan Josef Sánchez , D. Luis de Dia ao................ ......... 7......... ......... 1....... -•••• s............ .... 49.... Ibarróla , D. Nicolás Alonso, D. Telesforo Polo y D. Ventura de 23- s- 19. 194. la Peña. Parroquia de Sta. Cruz, 8 electores. Jerez. D. Esteban Guinea, D. Josef Manuel de Aranalde, D. Juan An tonio Castejou, D. Juan Muguiro, D.Juan Manuel de Aréjula, Don Dia 17.............. —3....... ..…</t>
  </si>
  <si>
    <t>Aloy, Miguel</t>
  </si>
  <si>
    <t>Miguel Aloy</t>
  </si>
  <si>
    <t>…archa, como pira seguirla, y puede considerar tilla. natural de la villa de Laseca, provincia de Valladolid. se como la introducción de un tratado sobre reconocimientos militares: D. Miguel Aloy, teniente coronel graduado de milicias urbanas, y por lo mismo es grande su utilidad para todos los oficiales; pero par reciño de F ¡güeras. ticularmente para aquellos que piensen dedicarse al estudio de las obli Felipe Ondategui y Abades, sargento 2.0 que fu…</t>
  </si>
  <si>
    <t>Alpera, Francisco de</t>
  </si>
  <si>
    <t>Francisco de Alpera</t>
  </si>
  <si>
    <t>…irá el poder ser reelegido en lo futuro.” tarilla, propietario; D. Alfonso Melgases, de Carabaza, propietario; y Se descebó la proposición del Sr. Vascoucellos sobre .que si algún D. Francisco de Alpera, idem. diputado fuese elegido por soborno del poder egecutivo , fuese inme Játiva 9 de Noviembre. diatamente echado del Congreso. Han sido nombrados para electores de partido de esta ciudad Don Se'pasó á hacer la elección para el mes entrante , y salieron ele…</t>
  </si>
  <si>
    <t>Alpnente, Romero</t>
  </si>
  <si>
    <t>Romero Alpnente</t>
  </si>
  <si>
    <t>Gaceta de Madrid n.º 180</t>
  </si>
  <si>
    <t>…erno para contratar ' : 1 Es preciso convenir en que el Sr. secretario actual del Despacho de este empréstito. "Hacienda, á quien no se puede negar que ha sido el que mas se ha El Sr. Romero Alpnente dijo: En este asunto hay dos cuestiones;sí ^opuesto á empréstitos , habrí apurado muchos med.os , vis'o el estado saber: si hay necesidad del empréstito; y habiéndola , si ha de ser de 200 -de la-Nación, antes que viniera á proponer á las Cortes la necesidad…</t>
  </si>
  <si>
    <t>Alpu, Romero</t>
  </si>
  <si>
    <t>Romero Alpu</t>
  </si>
  <si>
    <t>Gaceta de Madrid n.º 359</t>
  </si>
  <si>
    <t>…amparó la reunión dei Congreso. Asi pues en ia primera observación procedido con demora en este asunto &amp;c. que la comisión ha hecho, creo yo que hay inexactitud, que no proctde El Sr. Romero Alpu nte dió nuevas explicaciones sobre las ob de esta, sino del ministerio que no pudo presentar los presupuestos tan servaciones que había hecho en su discurso. exactos como se debían presentar ai Congreso Este ha sido un rna’ para Ei Sr. ministro de Marina, con…</t>
  </si>
  <si>
    <t>Alpucr-.te, Romero</t>
  </si>
  <si>
    <t>Romero Alpucr-.te</t>
  </si>
  <si>
    <t>…con-.ó á' muerto civilmente, era claro que no podía obtener derechos , ' Por el ministerio dé Hacienda se ha comunicado en 6 de este mes á civiles. ' y,.’/,'". s . .. y.:',y í El Sr. Romero Alpucr-.te dijo que le parecía que esto de dejar' co la dircccion general de aditanas y resguardos' ia resolución ¡qae'sigue: mo muerto á un hombre que estaba vivo no debía aprobarse. Que la co . y w Excmo. Sr.: Con fecha de 4 del corriente me dicen los Sres. dipu misió…</t>
  </si>
  <si>
    <t>Alpuecte, Romero</t>
  </si>
  <si>
    <t>Romero Alpuecte</t>
  </si>
  <si>
    <t>Gaceta de Madrid n.º 363</t>
  </si>
  <si>
    <t>…te caso hasta que ter Art. 116. » Las casas de convalecencia ya existentes dentro de los mine su cuarentena. pueblos podrán quedar á juicio del gobierno, habiendo oído á las di El Sr. Romero Alpuecte se opuso á la aprobación de la segunda putaciones provinciales y ayuntamientos respectivos. . ' parte de este artículo tal como lo proponía la comisión, porque si al Art. 117. « Un reglamento especial dispondrá el regimen interior y testigo que habiendo decla…</t>
  </si>
  <si>
    <t>Alpueme, Romero</t>
  </si>
  <si>
    <t>Romero Alpueme</t>
  </si>
  <si>
    <t>…la caso contrario que vuelva cada una de las desaprobadas á la comisión circunstancia que habia indicado. para que la rectifique, segun el número de las divisiones que haya de El Sr. Romero Alpueme se opuso á la proposición del Sr. Sancho, terminado el Congreso , siguiendo después todas las provincias hasta su y manifestó que de aprobarse se seguía el que las Cortes declaraban ha 'conclusión.” . ber lugar á votar el art. 2.0; de minera que venia á ser n…</t>
  </si>
  <si>
    <t>Alpuen, Romero</t>
  </si>
  <si>
    <t>Romero Alpuen</t>
  </si>
  <si>
    <t>…gnar el art. id del dictamen de la comisión, el que opino de Allende sobre si deben ó no continuar los alcaldes de barrio, y qué be,aprobarse sin dar lugar á ninguna discusión. El Sr. Romero Alpuen facultades y obligaciones deben tener; y admitida que fue á discusión te debe tener presente que no estamos en el tiempo de los griegos y ro se pasó á la comisión que entiende en este asunto. manos,.en que se recompensaba el mérito con una corona de laurel, *…</t>
  </si>
  <si>
    <t>Alpuen-, Romero</t>
  </si>
  <si>
    <t>Romero Alpuen-</t>
  </si>
  <si>
    <t>Gaceta de Madrid n.º 183</t>
  </si>
  <si>
    <t>…Diar o de las mismas tículos, excepto el 6 o, que no lo fue. una noticia de Jos decretos que ha dado la comisión de Peticiones, á fin No se admitió á discusión una indicación del Sr. Romero Alpuen- de que conste á los interesados el curso de sus solicitudes.” te, que decia asi: » La elección de los dos canónigos será igualmente Su autor manifestó que muchos de los interesados tal vez &lt;»Urá:i por suerte como ia de los curas.” aguardando saber por los pap…</t>
  </si>
  <si>
    <t>Alpueníe, Romero</t>
  </si>
  <si>
    <t>Romero Alpueníe</t>
  </si>
  <si>
    <t>…que se tículo necesitaba un poco mas de explicación por las dificultades que proponía en este artículo. expresaron, refiriéndose al contenido del art. 1.72 de la Constitución. El Sr. Romero Alpueníe dijo, que ningún artículo podía presentar El Sr. Palarea dijo que se podía decir al final del artículo con ar se mas recomendable que este: que por él se lograría el valor necesario reglo á lo prevenido en el art. 172 de la Constitución. para entrar en Una ca…</t>
  </si>
  <si>
    <t>Alpuenre, Romero</t>
  </si>
  <si>
    <t>Romero Alpuenre</t>
  </si>
  <si>
    <t>…ntinúo la segunda lectura del código civil. decreto de las Cortes, relativo á la introducción del carbón de piedra Siguió la discusión pendiente en las dos sesiones anteriores. El Sr. Romero Alpuenre continuó su discurso. Ayer dije en sustan&lt;3el extrangero. Igual resolución recayó sobre otro oficio del mismo Sr. secretario, cia que el ministerio actual era un agente de los enemigos del sistema al que acompañaba 200 egemplares del decreto de las Cortes , p…</t>
  </si>
  <si>
    <t>Alpuentc, Romero</t>
  </si>
  <si>
    <t>Romero Alpuentc</t>
  </si>
  <si>
    <t>Gaceta de Madrid n.º 90</t>
  </si>
  <si>
    <t>…ntiguas reglas dé Se este ramo acerca de la compra de 63 fusiles de que trata la proposición cularización , exigiendo solo eí tener justos' motivos y causas inrernasí hecha por el Sr. Romero Alpuentc en la sesión del dia 23, que quedó sin expresarlas; pero reuniendo sus preces á las generales expuestas aprobada. por S. Al. ' ' - ' ‘ Se dió cuenta, y se mandó pasar á la comisión que entiende sobre 3.0 Que se diga al Gobierno manifieste al R; nuncio de S. ,…</t>
  </si>
  <si>
    <t>Alpuente</t>
  </si>
  <si>
    <t>…able. ; á saber , ei sueldo doble: si hubiera procedido de otro modo se habría Tengo datos pan asegurar que las obligaciones del Estado superan á excedido de ella. Descendiendo el Sr. Alpuente á hechos posteriores al los medios proporcionado® por el Congreso; y si fuese preciso lo haré mensage , ha impugnado Us órdenes reservadas que se dieron al briga ver dentro de pocos dias. Estos medios que señalaron las Cortes, no so dier Latre, autorizándole…</t>
  </si>
  <si>
    <t>Alpuente'</t>
  </si>
  <si>
    <t>…dividual; es grande su sensatez , y no puede-ser sor sión , han dado á entender que están persuadidas de que pueden tratar de prendida nj engañada: repito que la ley citada-par el Sr. Alpuente' pre este asunto; pero no será superfluo entrar en esta cuestión por princi viene que i la segunda orden se entregue el mando del castillo, y ss pios , y se debe proporcionar el que se ventile asi para satisfacción de la alega esta i ley - pata apoyar la inobe…</t>
  </si>
  <si>
    <t>Alpuente, Komero</t>
  </si>
  <si>
    <t>Komero Alpuente</t>
  </si>
  <si>
    <t>…encargo para él correo'siguiente: " ' " ' ~ "coniisiori ,'porque en érrirismb la'usában varios autores clásicos. Art. 4.0 » En el mismo correo en que el procurador deba remitir El Sr. Komero Alpuente, reproduciendo lo que hab a dicho el sesu instrucción remitirá el juez de la causa al de primera instancia del fior Gil de Linares acerca de la diferencia entre las definiciones de la pueblo donde se-hallével'reo copia" autorizada' dé la lista de testigos de'…</t>
  </si>
  <si>
    <t>Alpuente, Rentero</t>
  </si>
  <si>
    <t>Rentero Alpuente</t>
  </si>
  <si>
    <t>…lugar con arreglo á las leyes,” sin necesidad de nombrar la los diputados se presenten en las Cortes sufrirá la pena de privación Constitución. de empleos , sueldos y honores,” El Sr. Rentero Alpuente dijo que como había expresado la adi El Sr. Pillaría manifestó que en el proyecto de ley constitutiva del ción el Sr. Vitorica, tenia el mismo espíritu que como ét la habia egército se consideraba como delito de traición el emplear la fuerza ar extendido; per…</t>
  </si>
  <si>
    <t>Alpuente, Ro.mero</t>
  </si>
  <si>
    <t>Ro.mero Alpuente</t>
  </si>
  <si>
    <t>…dhesión ai sistema eri el egército que tuvo el honor de dé á este oficial un premio por los méritos que se Le suponen. Quedó mandar. aprobado. Se .leyó-Ia.siguiente indicación del Sr. Ro.mero Alpuente , que se La comision'de Hacienda, habiendo examinado Ja exposición que aprobó por unanimidad de votos, » Pido á las Cortes se sírvan mani en 13 del actual dirigió el Sr. ministro de Hacienda, relativa á otras festará las dos compañías del batallón ligero de C…</t>
  </si>
  <si>
    <t>Alpuente, Romero</t>
  </si>
  <si>
    <t>Romero Alpuente</t>
  </si>
  <si>
    <t>Gaceta del Gobierno n.º 63</t>
  </si>
  <si>
    <t>…lo y amante* Acto continuo se leyó'.y aprobó la propuesta del Sr. Calatrava , que de la Constitución. decía asi.: que se conteste al.Real ¡decreto de S. .-M.-que los principios El Sr. Romero Alpuente dijo que el golpe que se acababa de dar &gt;era sagrados de nuestra Constitución no permiten á las Cortes tomar la el mas agradable para los enemigos del sistema, para aquellos que parte que S. M, desea en .el nombra.miento-de.rciertasjpersonas ; y que quieren p…</t>
  </si>
  <si>
    <t>298</t>
  </si>
  <si>
    <t>…sobre todos Jos Convino el Sr. Priego en qué Ja imperiosa necesidad de las cir demas abonos preparados hasta el presente, quá su autor ha conseguido cunstancias había obligado al Sr. Romero Alpuente á extender su in un privilegio de invención, concedido por S. M. Cristianísima, y ex dicación; dijo que no yeia aisladas, sino enlazadas entre sí las maqui pedido por el ministro de lo Interior, el cual se ha insertado en el bo naciones y sucesos ocurridos pa…</t>
  </si>
  <si>
    <t>…e aun reflexionar sobre aquello mismo que los periodistas creían de al ra ir á.buscar el discurso de S. M. guna utilidad; y que últimamente pedia á las Cortes se les franquease El Sr. Romero Alpuente , antis de acabarse de leer la memoria del á sus taquígrafos por la secretaría las actas Juego que esten aprobadas.„ secretario de la Gobernación de la Península, d;jo que se debia sus Se leyó una indicación del Sr. Sánchez Salvador para que se decla pender a…</t>
  </si>
  <si>
    <t>Gaceta del Gobierno n.º 65</t>
  </si>
  <si>
    <t>…ie humana desde el siglo vt por el sistema feudal; des que el honor, se atrevía á recomendarlo al Congreso. pués de hacer conocer que el veto se oponía absolutamente á la liber El Sr. Romero Alpuente expuso que no por haber quedado los tad de la nación; después de pintar cuán injuriosa era á esta la palabra ministros anteriores reducidos á la clase de ciudadanos particulares, veto, que verdaderamente es decir no quiero; finalmente después de creía que pud…</t>
  </si>
  <si>
    <t>Álpuente, Romero</t>
  </si>
  <si>
    <t>Romero Álpuente</t>
  </si>
  <si>
    <t>…Francisco de Paula Escudero; de ¡o que las. to de leerlas. ... :::,! _. Cortes quedaron enteradas; y se levantó la sesión. Efectivamente. se leyeron; .tres indicaciones., una del Sr. Romero Álpuente, otra de los Sres, Martel,, Priego, Gijaldo y Moscoso , y otra del Sr. Cavaleri , en todas las cuales se proponía el nombramiento Se han recibido periódicos extrangeros, cuyas noticias alcanzan ; las de.una comisión especial .que tomase .noticias del estado d…</t>
  </si>
  <si>
    <t>…ine el gasto del correo. El mencio Cortes establezcan en su nuevo reglamento como precisa una comisión nado batallón se halla en Plasencia en Extremadura. del Crédito público.” El Sr. Romero Alpuente apoyó la indicación del Sr. Salvador, y El cónsul de S M. en Charleston en oficio de 11 de Diciembre el Sr. presidente dijo había ya nombrada una comisión de Hacienda, último da parte al Gobierno de que en el banco de la Carolina meri ia cual debia de entende…</t>
  </si>
  <si>
    <t>Gaceta de Madrid n.º 74</t>
  </si>
  <si>
    <t>…, y en el segundo por la apli nos mas patéticos, ha hecho derramar lágrimas á todos los ministros. cación mandada hacer de las prebendas eclesiáscicas al Crédito público, pidió el Sr. Romero Alpuente que se declarase no haber lugar á votar, r asi lo acordaron las Cortes. Se levó después, y no se admitió á discusión, la indicación si Continuación .le la lista Usan. 36 de las Jineás que se están subastado guiente del Sr. Sierra Pambley: ,,Que se declare no…</t>
  </si>
  <si>
    <t>Gaceta de Madrid n.º 76</t>
  </si>
  <si>
    <t>754</t>
  </si>
  <si>
    <t>…Cuenca , pregunta si las que pertenecen á verificó esto en la Isla hubo motivos para impedirles la entrada. Ja Sta. Sede están ó no comprendidas en el decreto de las Cortes ex El Sr. Romero Alpuente dijo que con arreglo á justicia debían traordinarias de i.° de Diciembre de 1810. entrar, pues que yendo con los hombres á la comedia y á la iglesia á A la de Instrucción pública se pasó una solicitud de los profeso oír la palabra de Dios, no encontraba motiv…</t>
  </si>
  <si>
    <t>…ento constitucional de Villalon, provincia de Valiadoitd , y com sion ancargada de dar cuenta del estado de la Nación , y se apro entregada por el Sr Rauurez.Gd. bó la adición del Sr. Romero Alpuente sobre que asistiesen los mi Ei Sr. Lobato hiz &gt; presente una representación-, que por su medio, nistro». , se dirigía á las Cortes , de! pueblo de Viliatiores, en la que exponia La comisión de División del territorio, español presentó su dicta que mandando la…</t>
  </si>
  <si>
    <t>…Real mano.— En Palacio á 14 de Marzo de 1821. zx A concedido el pase á las bulas , no puedo menos de decir que ha dado un D. Mateo Valdemoros.” paso muy perjudicial. ANUNCIOS. El Sr. Romero Alpuente dijo que el dictamen de la comisión en Mercurio de España. Enero de 1821. Véndese á 4 rs. en el des realidad nada decía de lo que debian hacer las Cortes: que no había pacho de la imprenta Nacional. Se suscribe en dicho despacho, y esa hecho mas que demostrar…</t>
  </si>
  <si>
    <t>Gaceta de Madrid n.º 84</t>
  </si>
  <si>
    <t>…s. El Emperador Constantino mandó que no hubiese •' mas clérigos que los necesarios para el culto divino , y fijó el número co individuos.” •; ,, Se aprobó la indicación del mismo Sr. Romero Alpuente, que de de los que debía haber en Constantinopla; en España mismo, Car cia : „Pregúntese á la secretaría de Guerra qué es lo que ha ocurrido los 11 dió ordén .al arzobispo de Valencia paro que no ordenase clé sobre la compra de 6S&gt; fusiles, cuyas muestras se…</t>
  </si>
  <si>
    <t>…ados á distintas partes, solicitando se declaren nulos y atentados aprobarían el dictamen de la comisión. todos los procesos que por opiniones políticas se formaron desde aquel El Sr. Romero Alpuente: ine parece que no debe aprobarse el dic tiempo hasta el Marzo del ano pasado; que se quemen públicamente tamen de la comisión , sino que se debe mandar que vuelva á ella, para por mano del verdugo, quedando archivadas sus sentencias; que por el que oyendo al…</t>
  </si>
  <si>
    <t>Gaceta de Madrid n.º 103</t>
  </si>
  <si>
    <t>501</t>
  </si>
  <si>
    <t>…tituyese otro asunto al que estaba señalado. gia que se considerase por segunda lectura la que se habia hecho; y el El Sr. Muñoz indicó que se había puesto este artículo porque po Sr. Romero Alpuente añadió, que no solo debi3 considerarse por segun dría haber circunstancias particulares que obligasen á los amantes del da lectura , sino por tercera. sistema, que constituian tales reuniones, á hacer recaer la discusión so El Sr. Palarea manifestó que las pr…</t>
  </si>
  <si>
    <t>…nares á dicho art. i.° sobre que ARTICULO DR OFICIO. donde dice » que quieran reunirse públicamente” se añada » en algún edificio urbano.” Circular del ministerio de la Guerra. El Sr. Romero Alpuente manifestó que cuanto mas públicas fuesen- Los Sres. diputados secretarios délas Cortes generales dijeron á mi estas reuniones, mas apreciables serian , y mas seguros frutos se sacarían antecesor en este ministeria con fecha ia de Marzo próximo pasado lo para…</t>
  </si>
  <si>
    <t>Gaceta de Madrid n.º 108</t>
  </si>
  <si>
    <t>…icias de la existencia de dichos facciosos se publicaría un ban la mayor brevedad el código de los jurados. do , no para eximirlos del castigo correspondiente, sino para que se El Sr. Romero Alpuente refutó eL parecer del Sr. preopinante; ma retirasen á sus casas , y que los que no lo verificasen, se entendía que nifestó las dificultades que se oponían al establecimiento del juicio habian contravenido á las órdenes dadas por el Gobierno, y desprecia por j…</t>
  </si>
  <si>
    <t>…ar lugar á dila- Se.apiobaron los artículos 111 x», 13.7:14 com?;lo?:proponía,{a cionesy competencias entre Ios-tribunales civiles y militares. comisión. . .-•■ i'. -y ■: : . \ El Sr. Romero Alpuente..deshizo: una equivocación que el señor - Leído el art. 15 dijo el Sr. Canabal debería decirse que los jueces" preopinante había padecidgLen la.inteligencia de dicho artículo. se podrían valer de cualquier: escribano Real ó numerario del partido , El Sr. Puig…</t>
  </si>
  <si>
    <t>…los reos juzgados por Ja jurisdic una exposición de'la diputación-provincial de-Cúenca ', haciendo varias7 ción ordinaria. ' .observaciones acerca del reemplazo del egército. • El Sr. Romero Alpuente dijo que era.precisóHar mas tiempo á los ■ A la de Milicias nacionales sé mandó pasar una exposición del que fuesen juzgados por la jurisdicción ordinaria, porque tenían que pre ayuntamiento constitucional de Móiitañaha , provincia 'dé Aragón, parar mas cosas…</t>
  </si>
  <si>
    <t>Gaceta de Madrid n.º 110</t>
  </si>
  <si>
    <t>…eo para el reemplazo del egército permanente todos los individuos gobierno de las provincias de Ultramar. de 1a milicia nacional activa qne tuviesen la edad correspondiente , y El Sr. Romero Alpuente manifestó que el articulo se debía apro que después se lijaría la edad en que se habían de admitir pira dicho bar del modo que habia dicho el Sr. Cepero; esto es, añidiendo la reemplazo , porque si no bastaban ios de 19 años, entrarían Los de 20, y modificaci…</t>
  </si>
  <si>
    <t>…los'que se halan exeeptuaio^" y á los iez Estrada y García . Page, se mandó pisar al Gobierno. " ; •• ‘ que no tengan la condición icdí'spdns'ible iódicaJa en el arriculó prece El Sr. Romero Alpuente hizo sobre ló mismo la siguiente indi dente, que ha de abrazar á tb'dól'ío'S'que'níiéVamente se inser-.biri. cación , que* quedó’aprobada: -&gt; Para -acordar las Cortes la responsabili 5.0 ' » Eli los batallones; corrtpánías i mitades y escuadras de volunta dad…</t>
  </si>
  <si>
    <t>…dea, porque aunque en el dia parecía de poco momento, en lo sucesivo podría dar ocasión í Por el ministerio de Gracia y Justicia se ha comunicado al de la grandes dificultades. El Sr. Romero Alpuente fue de la misma opinión Gobernación de la Península la Real orden siguiente . -que el Sr. Ezpeleta, y añadió que lo que había dicho el Sr. Vadillo &gt;1 Excmo. Sr.: Siendo muy frecuentes los recursos de los jueces de era objeto de una adición, la que podría veri…</t>
  </si>
  <si>
    <t>Gaceta de Madrid n.º 116</t>
  </si>
  <si>
    <t>579</t>
  </si>
  <si>
    <t>…lectura hasta el arj. 159 del título preliminar del que lo verifiquen para la mayor satisfacción pública. Código penal; y en seguida se continuó la discusión sobre el art. z.° El Sr. Romero Alpuente: á mí me seria indiferente que lo nom del dictamen sobre señoríos, y el Sr. Marte! dijo : reproduciré las mis brara el Gobierno 6 las Cortes, porque de todos modos se puede hacer; mas ideas que ya he manifestado sobre este asunto, en el que cada dia pero en e…</t>
  </si>
  <si>
    <t>…avarrete, pidiendo se le haga una rebaja en el arriendo de tutiva del egército. las encomiendas del Infante D. Antonio : otra de la junta nacional del Se aprobó una indicación del Sr. Romero Alpuente para que las Crédito público sobre la rebaja que solicita D. Josef Sola del importe Cortes preguntasen al Gobierno si habia algún prelado que se hubiese del arriendo de una encomienda en Calatayud: otra del Sr. ministro de opuesto á la ley de secularización d…</t>
  </si>
  <si>
    <t>…resolvió presente en la discusión de señoríos la representa bre ei arreglo y división de terrenos baldíos. ción de la diputación provincial de Cataluña, juntamente con otras de El Sr. Romero Alpuente dijo que sin embargo de la orden de las varias poblaciones de dicha provincia, en que solicitaban se aprobase Cortes de 19 de Octubre último, que dice » que cualquiera de los in el dictamen de la comisión sobre señoríos que se estaba discutiendo. dividuos del…</t>
  </si>
  <si>
    <t>…dicación que se acababa no haber manifestado las pruebas positivas no podían ocuparlos; de lo de leer. cual podían resultar gravísimos perjuicios, que las Cortes debían evitar; El Sr. Romero Alpuente dijo que -no.debia haber inconveniente en por lo que se oponía á las proposiciones referidas. hacer segunda lectura de dichas proposiciones, y al mismo tiempo de El Sr. Romero Alpuente dijo que no sabia cómo se podia contra otras suyas , leidas por primera ve…</t>
  </si>
  <si>
    <t>…s La comisión ordinaria de Hacienda presentó su dictamen acerca detaban persuadidas de los deseos de S. M. . la solicitud de la madre del subteniente D. Manuel Martínez, hacien El Sr. Romero Alpuente dijo que iba á hacer una indicación para do presénte las varias persecuciones ,que sufrió el referido Martínez ue las Cortes manifestasen su aprecio ¿ las dos compañías del batallón por adicto al sistema constitucional, de cuyas resultas se halla demente iger…</t>
  </si>
  <si>
    <t>…establezca ta id de Marzo, en que se abrieron las sesiones de.Ja presente legisla el arreglo general'de Hacienda, se autorize provisionalmente-á Jos in tura;” a la cual añadió) el Sr. Romero Alpuente: » Haciéndose expresa tendente. para que en materias de contribuciones y toda clase de im mencitn del estado que tenga el pago de la asignación hecha AS.M.;” puestos puedan obrar por sí, sin necesidad de ningún auxilio; que y el Sr. conde de Toreno: »&gt; Dándos…</t>
  </si>
  <si>
    <t>…en el siguiente Junio, en la oficina general de Renovación y los provincias comisiones que los examinaran. Expedición de documentos en esta corte, y en las provincias del reino El Sr. Romero Alpuente: no se puede impugnar este artículo una en las comisiones establecidas en sus capitales, poniendo dos carpetas á vez que está aprobado el 2.0 Todo cuanto se quiera exponer contra él los de una misma clase y valor, en las que sus dueños expresarán clara no pue…</t>
  </si>
  <si>
    <t>Gaceta de Madrid n.º 122</t>
  </si>
  <si>
    <t>…a me parece qué tan sus súbditos contra la observancia de la misma; da cuva responsa no se adelantará nada. bilidad podrán eximirse, haciendo constar que la han corregido y cas El Sr. Romero Alpuente apoyó la indicación del Sr. Quíroga, y tigado según los cánones y leyes del reino.” manifestó que estando vigente el decreto de las Cortes generales y ex Se leyó la 6.a, que decía: » Siendo tan notorios como funestos á la traordinarias de 11 de Agosto, no hab…</t>
  </si>
  <si>
    <t>…exposición de la viuda de D. Francisco se admitido á discusión quedó) aprobada. González Reinal, solicitando que en atención á los méritos de su No se admitió á discusión otra del Sr. Romero Alpuente, relativa difunto marido, ya su' avanzada edad, se le asigne alguna pensión con a que diesen cuenta 1 .s secretarios de! Despacho, cada uno en su ra que poder subsistir. mo , de las providencias que hubiesen tomado , y medidas que les pare El Sr. presidente n…</t>
  </si>
  <si>
    <t>…a que con la próxima llegada del presi que se presente íntegro el expediente original.” Después de haberla apo dente Boyer se'acabaría de tranquilizar todo. yado su autor, dijo el Sr. Romero Alpuente que para nada se necesita Parece ser muy probable que* el lord Liverpool será destituido de ba lo que indicaba el Sr- Cepero; que este seria-un medio para embrollar su destino de presidente del consejo, y que le reemplazará el marques el asunto que se discutí…</t>
  </si>
  <si>
    <t>…»ta obra; y en esto se envuelve una injusticia muy contraria ai es El Sr. González Allende dijo que no se oponía á que se concedie píritu de la Constitución , según la opinión del Sr. Romero Alpuente, sen los sueldos que se referían en est;t indicación; pero opinaba que las que dice es peculiar de cada una promover las obras de su distrito; pues . Cortes no podían aprobarla en este momento, pues que cuando se trata aun en este caso el artículo necesitaría…</t>
  </si>
  <si>
    <t>Gaceta de Madrid n.º 127</t>
  </si>
  <si>
    <t>…ortes. . . - Se leyó el dictamen de la comisión especiaL nombrada á consecuen La misma comisión presentó sü dictamen acerca de la indicación cia de la proposición ó indicación del Sr. Romero Alpuente en la se del Sr. Linares, sobre que se pueda comparecer al juicio de concilia sión del 23 de Abril último pecase la gaceta dél 24), relativa á que ción por medio de procurador, el cual quedará autorizado con solo habiendo examinado la causa que se formó al co…</t>
  </si>
  <si>
    <t>…lacio, y. asimismo la comisión que habia-de entender mucha trascendencia. en lo que se expresaba-en -la indicación aprobada del Sr. Golfín , y' Se leyó la siguiente indicación del Sr. Romero Alpuente, que de-; fueron nombrados los Sres.'Golfín-, Muñoz Torrero, Marte! j Cano cía asi: ,,Que se amplíe la contestación á los sentimientos de S. M. al Manuel, Manescau y Navarro (D. Felipe); y se levantó la sesión. tiempo del suceso, manifestándole la falta de ca…</t>
  </si>
  <si>
    <t>…tos de aquel capitán habian sido ley del máximum del modo que las Cortas lo tuviesen por convenien indudablemente la causa de la vuelta de un diputado de Nueva-España te: otra del Sr. Romero Alpuente relativa á la disonancia de la ley á su casa, después de haber hecho sacrificios enormes para concurrir al del máximum en algunos casos : otra del Sr. Arnedo para que los ofi Congreso. ciales de los cuerpos del egército que se hallasen fuera de él sin Ucen El…</t>
  </si>
  <si>
    <t>…se creía que este tenia in este año, la cual debia servir de base, si las Cortes tenían á bien apro convenientes , se podría adoptar otro que fuese mejor. barla , y decía así, El Sr. Romero Alpuente dijo: me parece que la parte del dicta ,,El reemplazo del egército, batallones y brigadas de marina se re men de la comisión aprobada ya es la que se refiere esencialmente á la partirá entre las provincias con proporción á su población , rebajando duda que oc…</t>
  </si>
  <si>
    <t>mi concepto' no deben tener la distinción que se les quiere dar. - &lt;3e la Península, dijo, que S. M., en virtud de lo que se expresa en el ar El Sr. Romero Alpuente dijo que en cuanto al primer repato tículo 144 de la Constitución, habia tenido á bien volver la ley de r.3 puesto por el Sr. preopinante, la comisión ha tenido presente que se de Abril sobre sociedades patrióticasá las Cortes, y que permaneciera podría conoc…</t>
  </si>
  <si>
    <t>Gaceta de Madrid n.º 138</t>
  </si>
  <si>
    <t>…es son : si se declaran los señoríos incorpoiables á ella, ó que no se terioren las fincas.” han cumplido las condiciones con que se concedieron ; y los Otros dos Se leyó otra del Sr. Romero Alpuente,qus decía asi: «Respecto favorables á ios señores, y por consiguiente la cuestión versa esencial á que toca á los Gefes políticos el gobierno y cuidado de la tranquilidad mente entre estos y la Nación. y seguridad pública , no pudiendo lograrse esta con igual…</t>
  </si>
  <si>
    <t>Gaceta de Madrid n.º 140</t>
  </si>
  <si>
    <t>…ié, y el de los la comisión , manifestando que esta debia haber propuesto el año pa Sres. Oliver y Calderón. sado que se pagaran los intereses del modo que hoy lo proponía. Que El Sr. Romero Alpuente dijo que le parecía no debían aprobarse no debia preferirse el crédito extrangero al nacional; porque si coa ve estos artículos;, pues en su concepto debían pagarse tales réditos por el nia sostener el primero, no convenía menos el segundo, y que no era Crédi…</t>
  </si>
  <si>
    <t>Gaceta de Madrid n.º 144</t>
  </si>
  <si>
    <t>…á las Cortes lo que considerase con caciones, aunque no fuera mas que por este año. . &lt; veniente. . . En seguida hizo una indicación , relativa á que la cuota del' diezmo se É,l.,1Sr. Romero Alpuente dijo que no consideraba arreglado el dic ampliase á tres cuaitas partes; esto es, que en lugar de dar de 20 uno, die tamen, de* la comisioii, porque ó se trataba del cumplimiento de una sen de 15 uno, haciéndose extensiva esta disposición á los diezmos que pe…</t>
  </si>
  <si>
    <t>Gaceta de Madrid n.º 151</t>
  </si>
  <si>
    <t>…los que están ¿n igual caso dictamen de la comisión en esta parte. ó no, sin hacer una regla de excepción. El Sr. conde de Toruno dijo.- Ei discurso del Sr. preopinante se redu El Sr. Romero Alpuente, abundando en las mismas ideas que los ce á examinar el plan en general sobre tabaco, y sai, yo me contraeré Sres. Zapata y Ezpeleta, manifestó que en el art. 5.0 del decreto de 9 á la primera parte, y en orden a ia segunda hablaré cuando se trate de de Novie…</t>
  </si>
  <si>
    <t>…la villa de Laredo, 9 leguas distante de Bilbao y 6 de Santan considere conveniente para evitar fraudes.” der, se halla vacante el magisterio segundo de primeras letras, que á El Sr. Romero Alpuente dijo: por este artículo se trata de dejar las órdenes del primero le ayuda para la enseñanza, dotado con aoo al arbitrio del Gobierno el conceder ó no las patentes, y con esto noa ducados anuales, y un real mas diario, habilitada que sea una casa de sucederá…</t>
  </si>
  <si>
    <t>…Cataluña. Los catalanes no ne del Sr. Vargas Ponce al Sr. López ( D. Marcial). cesitaron de tal impulso; y aunque es cierto que la insurrección de Se leyó la siguiente adición del Sr. Romero Alpuente á la que hi Barcelona se verificó en el día en que se supo allí la noticia de la de zo el Sr.. Lorenzana en la sesión extraordinaria de ayer sobre señoríos: Zaragoza, también lo es que ya el día antes se habia enarbolado en Za ” Pero si la renta que paga el e…</t>
  </si>
  <si>
    <t>…ue recibieren de las autoridades civiles y ciosos, que contenia los cuatro artículos que siguen : militares.” iA » Que se autorice al Gobierne* para que en los casos que estime El Sr. Romero Alpuente: Se ha enviado al.Gobierno una resolu convenientes revista á los capitanes generales y gefes militares destina ción relativa á que se informara inmediatamente acerca de las provi dos á perseguir facciosos de la plenitud de facultades que tienen dichos dencias…</t>
  </si>
  <si>
    <t>…ado el Sr. conde tanciarse en la sala tercera y. con los curiales que le están asignados.” de Toreno. . ■ ... - ; De Real orden lo traslado á V. S. para su inteligencia y cumpliEl Sr. Romero Alpuente pidió que se pásase también á dichas co piiento en esa audiencia. Madrid 25 de Mayo de 1821. misiones el expediente remitido al Congreso acerca de las contestacio cambios. Madrid 31 de Mayo de 1ÍÍ21. nes de los obispos. * Londres..............................…</t>
  </si>
  <si>
    <t>…. . conventos que deben subsistir en la Península é;is'as adyacentes; 4-° Estas visitas serán egecútadas en las oficinas principóles de la ■ Se ley» en seguida una indicación del Sr. Romero Álpuente , en la Corle por la comisión de que trata el art. i.J y en las provincia» por que pedia que todas las contestaciones dadas por los obispos y arzobis el síígvto que nombrare.la diputación .provincial respectiva, el cual no pos pasasen á la comisión encargada…</t>
  </si>
  <si>
    <t>Gaceta de Madrid n.º 161</t>
  </si>
  <si>
    <t>…una consulta del tri do que hizo del convento de agustinos calzado? de Salamanca. bunal supremo de Justicia.” Las Cortes recibieron con agrado, y mandaron pasar á la biblioteca El Sr. Romero Alpuente dijo: reproduzco las consideraciones ex una exposición del consulado de Málaga, remitiendo un cuaderno que puestas por el Sr. Puigblanch, y creo firmemente que esta mañana no contenía los egercicios públicos de Constitución y economía política se trató mas qu…</t>
  </si>
  <si>
    <t>…os efectos de paltiplan eclesiástico. 1 culares, según otra indicación que sigue á continuación. Aprobado. Art. 17. » El clero pagará por vía de subsidio 30 millones de reales Del Sr. Romero Alpuente al mismo artículo: » Que se añada al ar sobre el valor de los diezmos, repartiéndolos por esta vez la dirección tículo 9° : ,, Sin perjuicio dé que el Gobierno compre , arriende ó con de contribuciones directas entre las diócesis por el presupuesto que trate…</t>
  </si>
  <si>
    <t>…se mencionaba en dicho terior le dice haber recibido orden de la Regencia de aquel reino, pa artículo. ra repeler cualquiera tentativa que las partidas de los hombres armados, El Sr. Romero Alpuente hizo la siguiente indicación'- » La presen que vagan por el territorio español con el fin de perturbar el orden te disposición no empezará á tener efecto hasta de Noviembre del público, y servir á sus criminales intereses puedan hacer sobre las fron año 23.”…</t>
  </si>
  <si>
    <t>…El Sr. Prie tro limo, arzobispo no solo se prestó inmediatamente á todas las insi go apoyó esta misma opinión. nuaciones del Gobierno , sino que también congregó á todos los cu El Sr. Romero Alpuente dijo: El dictamen de la comisión no debe ras de esta capital; á quienes, después de leer la expresada orden, aprobarse, porque si asi como se llama catedral la que componen estos exhortó á que zelasen por su parte sobre la observancia de la Constitu canónigos…</t>
  </si>
  <si>
    <t>…Sr. ministro de ia Gober á l:i comisión para que lo presente con la dignidad propia de héroes. nación de la Península sobre supresión de pósitos. El Sr. Gaseo dijo: parece que el Sr. Romero Alpuente ha tratado Se verificó la segunda lectura de una proposición del Sr. Gunzalez de impugnar el art. id del dictamen de la comisión, el que opino de Allende sobre si deben ó no continuar los alcaldes de barrio, y qué be,aprobarse sin dar lugar á ninguna discusió…</t>
  </si>
  <si>
    <t>…bución que tiene señalada. aquel puerto , que se mandó pasar ¿ las comisiones de Ultramar y Co Nunca las naciones deben pagar los premios con dinero, como dijo mercio reunidas. el Sr. Romero Alpuente; otros premios debemos buscar que no hagan Se aprobaron los siguientes dictámenes de comisión. derramar lágrimas á los infelices y desgraciados que tienen que trabajar El de la de Guerra acerca de la solicitud de los oficiales del re dia y noche para atender…</t>
  </si>
  <si>
    <t>Gaceta de Madrid n.º 173</t>
  </si>
  <si>
    <t>…aquella provincia que salieron diarios , caso que sobreviva á dicho Rodríguez. en persecución de los facciosos, se les paguen por la Hacienda pública, Se aprobó la indicación del Sr. Romero Alpuente para que en el en atención al mal estada de los propios de los mismos pueblos. dictamen de la comisión de Diputaciones provinciales sobre concesión A la de organización de Fuerza armada, con urgencia, una expo de arbitrios que se habia aprobado en esta sesión…</t>
  </si>
  <si>
    <t>…r. Navarro (D. Andrés.) , manifes siásticos que tienen aprobación del Gobierno ” tando que el espíritu de la Constitución no era el que los eclesiásti- • Sé aprobó uná adición del Sr. Romero Alpuente, concebida en es -cos fuesen considerados como empleados públicos, habiéndose conside tos términos: « A la palabra fiscales se añadirán las siguientes: nombra rado (al discutirse el art. 192) al clero de España independiente, como dos por el Gobierno.” • •lo…</t>
  </si>
  <si>
    <t>….de la comisión (^ Diputaciones provinciales, informados favora la-deliberación de las Cortes. blemente sobre varias solicitudes de algunos pueblos, pidiendo arbitrio* Adición del Sr. Romero Alpuente: al art. ig se añadirá lo si para sus cargas municipales; cuyos dictámenes quedaron aprobados. guiente': « Salvo á los maestros ru derecho para reclamarle ante las dipu Se aprobaron los siguientes artículos relativos á la administración taciones provinciales,…</t>
  </si>
  <si>
    <t>…nia la Nación, y los sueldos que paga les debería incluir en el presupuesto general de ga-tos de este ramo. ba. Con este motivo hizo presente las indicaciones que eu 15 de Octu El Sr. Romero Alpuente notó bastantes desigualdades en los suel bre del año próximo pasado presentó á la deliberación de las Cortes dos que se señalaban en los presupuestos respectivos á los subalternos acerca de este asunto; y. concluyó manifestando que si los presupuestos de trib…</t>
  </si>
  <si>
    <t>Gaceta de Madrid n.º 182</t>
  </si>
  <si>
    <t>…industria agrí da.; del de Ciudad-Real ; del de Alcázar de S. Juan ; del de Lorca , y cola 150 millones. de la división de granaderos provinciales de Castilla la Nueva, en que El Sr. Romero Alpuente dijo : El préstamo que hemos acordado no manifestaban sus sentimientos patrióticos, y el deseo de que se les em ha sido con otro objeto que con el de atender á las obligaciones del plee en la persecución de ios facciosos. Estado mientras se cobran las contrib…</t>
  </si>
  <si>
    <t>…ivisión del territorio. xVunque yo no he estado en esta provincia, sin embargo pot las Su capital Almería. noticias que he adquirido, y por el examen que he hecho de los mapas, El Sr. Romero Alpuente dijo: La capital déla provincia de Alme me parece que en Bazít estaría mejor la capital, pues es punto mas cén ría me parece que no debe establecerse donde se propone. La comisión, trico que Almería, y de consiguiente estarían mejor atendidos sus pue después…</t>
  </si>
  <si>
    <t>Gaceta de Madrid n.º 287</t>
  </si>
  <si>
    <t>…r gastos. en estos dos partidos , que esta 11 tan atrasados en la industria y agricul Tu .sé muy bien lo que es gobernar; y si el Sr. Clemencin me saca tura como ha manifestado el Sr. Romero Alpuente. Ha dicho el Se verua,as ; respecto de los gefes po ít'cos , n&lt;^ sucederá lo mismo respec ñor López que los diputados elegidos para constituir la diputación pro to .as administraciones y demas oficinas que es indispensable poner. vincia! son labradores, que h…</t>
  </si>
  <si>
    <t>…vaciones que habia hecho el Se Requisito* para ser diputados á Cortes: discurso de D. Benito Lo,ñor Sancho. bato y Caballero, diputado á ellas en la legislatura de 1820 y 1821. El Sr. Romero Alpuente dijo :.Me parece que cuando se trata dé Se hallará en las librerías de Víllareat, en la de Mlnutria y en la dé ana provincia grande dividida.en dos ó tres seria muy del caso el Villa, y en varias capitales de provincia. que se discutiese en su totalidad, y ta…</t>
  </si>
  <si>
    <t>…re siete sierras, y en tieñlpo: de invierno no presentaciones, y aquí tengo un documento que lo acredita. "pueden hacerse mas de dos leguas-de camino al día ; yo he pasado y he hl Sr. Romero Alpuente dijo: No sé qué fundamento haya povisto como están aquellos pueblos. ' 'dido tener la comisión para ponerla capital de la Alcarria casi en Ma Ahora bien, los infelices que hayan dé venir desde alli á Guada- drid; de manera que deja á Brihuega y á Cifuentes ,…</t>
  </si>
  <si>
    <t>…á lo que ha solicitado dejicit considerable; ¡y será conveniente que descuidemos las atenciones el Gobierno. precisas para atender á otras que el Gobierno no juzga necesarias! F.1 Sr. Romero Alpuente dijo: Fijaré la cuestión en su verdadero Es verdad que este promete que no usará de esta fuerza , y que la • punto de vista , que es saber si hay necesidad; y aunque se han tratado, limitará asi en el tiempo como en el número á lómenos posible; ¡peromuchos pu…</t>
  </si>
  <si>
    <t>…bada. argumentos , y esto prueba que las respuestas no han sido satisfacto Su capital Villafranca. Aprobada. rias; el argumento sobre la economía está en.pie, pues es indudable El Sr. Romero Alpuente dijo que la capital de esta provincia de que no podemos llevar la carga que nos agovia, y.que se nos quiete bía ser Ponferrada, por concurrir allí todas las circunstancias nece añadir otra muy considerable. sarias que exigía la comisión, y pe' su mayor seguri…</t>
  </si>
  <si>
    <t>Gaceta de Madrid n.º 300</t>
  </si>
  <si>
    <t>…designadas ría 39©, sin entrar en este cálculo los sueldos de! gobierno político de en esta división. , Madrid, que opinó debían ser mayores ; cuyo cálcalo dijo que presen taha El Sr. Romero Alpuente expuso que esto era mas claro que la luz el ahorro de 518,200 rs. anuales : añadiendo que en lo que señalaba del dia, pues dividiéndose ahora de nuevo ias provincias no habia nin para gastos de oficina y oficiales (_ que podría elegir y dotar cada acíe guna d…</t>
  </si>
  <si>
    <t>…pañías bien organizadas; por cuyas ra llevarían todo el peso de la milicia nacional activa y del egército per zones creo que debe aprobarse el dictamen de la comisión. manente. El Sr. Romero Alpuente dijo: El voto particular que se ha leído El Sr. secretario de Guerra expuso que el Gobierno no pretendía antes no es mas que el mismo artículo de la comisión con una peque establecer una excepción, y solo pedia una aclaración de la ley para no ña variación. T…</t>
  </si>
  <si>
    <t>…erpos de milicias.” que la comisión al proponer este artículo habia tenido presente la ra El Sr. Ezpeleta dijo que á pesar de ser individuo de la comisión, y zón que habia dado el Sr. Romero Alpuente , que los oficiales agrega de haber firmado este dictamen, conocía que el artículo de que se tra do; á un cuerpo no servían á la Nación sino á sus compañeros, y que taba era injusto, porque se obligaba á los individuos retirados á ir á estando en las milicias…</t>
  </si>
  <si>
    <t>…ber pade el auxilio de las luces que darían de continuo la teoría y la experien cido el Sr. preopinante. cia, resolverse con todo acierto la unión ó separación tan disputada. • El Sr. Romero Alpuente dijo; Soy de parecer que debe suspenderse No creo haya nuevas noticias ni fundamentos para separarme de esta discusión; y asi no apruebo el dictamen de la mayoría de la comi este modo de pensar, y creo que el Congreso es buen testigo de esto al sión, ni ningú…</t>
  </si>
  <si>
    <t>Gaceta de Madrid n.º 339</t>
  </si>
  <si>
    <t>…hora. Ds consiguiente insisto en que se niente, se podría leer. dé esta contestación , porque es una obligación. El Sr. Sancho: Yo creo que es imposible acordar ahora la contes E: Sr. Romero Alpuente dijo que se oponia á que se diese esta con tación que se ha de dar al mensage de S. M. Yo tengo hecha una pro testación, y que se dijese solamente que el Congreso habia recibido es posición , que creo que es lo único que se puede determinar, y se redu te mens…</t>
  </si>
  <si>
    <t>…do que las iba á haber; y esta fue la razón por que se de que ha presentado nuevamente la comisión. . ^ bió dar idea de los ciudadanos españoles y de lo que son las Cortes espa El Sr. Romero Alpuente: La definición que se propone viene a ñolas; por consiguiente, no siendo extraño esto, lo seria que se defi ser lo mismo que la anterior , excepto la palabra á sabiendas. ¿Es nece niera una cosa que todo el mundo sabe. Con respecto al argumento que sario que…</t>
  </si>
  <si>
    <t>…ón del designio dp cometerle del delito y de la culpa, etá indispensable £oñer est«‘artí¿iílo.-'' "'!:á i per algún acto exterior que prepare su egecucion. ’be ha dicho, que se El Sr. Romero Alpuente manifestó que debería desaprobarse el ar queria decir: la tentativa es un acto exterior que prepara el delito &amp;c.; tículo, porque ño cstaba'déterininado lo que fuese culpa y delito , y que pero creo que la tentativa es la manifestación óeldesignio , y nunca d…</t>
  </si>
  <si>
    <t>Alpuenté, Romero</t>
  </si>
  <si>
    <t>Romero Alpuenté</t>
  </si>
  <si>
    <t>…s, concluyó aprobando el' lo prevenido en el art. 10 de la ley de 17 de Abril de este año, se re artículo. mitirán con ellos los competentes egemplares del extracto rectificado El Sr. Romero Alpuenté dijo que el Sr. Calatrava habia supuesto' para entregar uno á Cada ministro, y otro al relator, á quien se señala que la objeción del Sr. conde de . Toreno Telativa á los extrangeros, rán 20 dias para que lo coteje con los autos ; y cumplidos se dará cuen per…</t>
  </si>
  <si>
    <t>…adición para que sea libres los instru Las Cortes desaprobaron el artículo , y asimismo una proposición mentos y máquinas destinadas al estudio y experimen os de las ciencias del Sr. Romero Alpuente para que se pasase á la comisión. Bajo estes matemáticas , físicas y demas naturales , la cual podia"comprenderse en principios no estaba en las facultades de la comisión el volver á pre el artículo. sentar el artículo; y si algún Sr. diputado quería que se t…</t>
  </si>
  <si>
    <t>…cia ó Ja comisión esta proposición en los términos referidos. Las Cortes deci efecto inmediato de la orden , consejo, instrucción ó amenaza &amp;c.” dirán si se ha de aprobar ó no. El Sr. Romero Alpuente hizo varias reflexiones para manifestar El Sr. Ledesnia dijo que las Cortes debían aprobar el articulo, pues que debia imponerse mayor pena al que mandaba cometer un delito que to que la comisión io presentaba redactado en los términos que se al que lo aconse…</t>
  </si>
  <si>
    <t>…con arreglo al decreto de las Coila Diputación permanente sabe la Constitución que ha jurado, y que no tes extraordinarias de 19 del mes anterior. propone medidas al Gobierno. El Sr. Romero Alpuente: La representación que he indicado se re El Gobierno ha recibido la siguiente exposición : duce á manifestar á S. M. la necesidad de tomar medidas, y no á pro » Señor: La diputación provincial de la Mancha tiene el honor de ponerlas. presentar á V. M. los sen…</t>
  </si>
  <si>
    <t>…l que pende la santa causa de la libertad. que ocasionó algunas hablillas contra mí: mas después de haber oido Repito, que el dictamen de la comisión recayendo sobra el mensage al Sr. Romero Alpuente. calificar de heroísmo la desobediencia , me he de S. M., sea,cual fuere la conducta observada.por el ministerio ( por convencido mas y inas da Jas fundadas razones que.la comisión puede que no trata de hacer su apología), conviene á la dignidad del trono, ha…</t>
  </si>
  <si>
    <t>…e presenta la comisión, y , que se quede sobre la mesa el aUxamen de la comisión.'" : por lo tanto pido que se haga asi, y se lea. ; / ¡a. El Sr. Palarea adoptó la proposición del Sr. Romero Alpuente, El Sr. Calatrava dijo: La|cornisioh no puede n^tnos de^'extrañar a la cqaL .suscribieron los Sres. Gaseo, Arguello , Dávila, Muñoz, que se crea que tiene ¿nteresiws^que no ae discuta el dictamen que Pierola 'Camu^llerrera , Mendez , Desprat, Puigblanch , Q--…</t>
  </si>
  <si>
    <t>Gaceta de Madrid n.º 356</t>
  </si>
  <si>
    <t>…e serian disculpables » La comisión sin embargo distingue los tiempos , distingue las per del mismo modo. sonas, distingue los negocios. Ni todos los ministros han tenido igual El Sr. Romero Alpuente dijo : Esta cuestión de la embriaguez ha parte en estos sucesos, ni todos cuentan igual fecha en sus destinos; pe sido muy controvertida en los tribunales, y por lo mismo es gene ro las Cortes por otra parte no deben permitir se confunda maliciosa ralmente co…</t>
  </si>
  <si>
    <t>…al ministerio nos retiremos, res pueden verificarse los dos extremos que he puesto? Asi pues la proposi pecto de que no hemos venido aquí bajo partida de registro , y qus ción del Sr. Romero Alpuente no debí aprobarse en mi dictamen por no debemos responder sino cuando se nos exija una responsabilidad en que es contraria al reglamento; lo es á nuestras facultades, y última los términos que previenen las leyes y la Constitución. mente no es decorosa al Con…</t>
  </si>
  <si>
    <t>Gaceta de Madrid n.º 358</t>
  </si>
  <si>
    <t>…r. No da paso el Gobierno que no esté en contradicción con la producir el que no se reforme el ministerio. Opinión pública : hechos muy recientes lo comprueban; no las represen Ei Sr. Romero Alpuente dijo: No 3pru;ho el dictamen de la eotaciones , que ya sabein .s cómo se forman y lo que valen; esta misma dis inislon, poique me parece poco lo que propon; con respectoal ministe cusión , en que han hablado muchos Sres. diputados, ha demostrado la rio ; mi p…</t>
  </si>
  <si>
    <t>…,otro una grande indulgencia. Ño obra la ley, sino los El .'ir. secretario de Gracia y Justicia : Me propongo solamente rencores particulares. rectificar algunas observaciones del Sr. Romero Alpuente. lia dicho Aumentáronse de este modo los descontentos hasta el infinito, tan S. S. que se ha desatendido á los Sres. Guerrero y Serrano, jueces de to por el estado en que se encuentra el ramo de Hacienda , del que no primera instancia de Murcia y Valencia; pe…</t>
  </si>
  <si>
    <t>…de 15 millones; esto sin contar otras parti le daba una muestra de la consideración que tenia á sus méritos. das ya de 4, ya de 6 millones que no se conocían. Conozca ei Congre Ei Sr. Romero Alpuente explicó nuevamente algunas de las ideal' so que no basta decretar los presupuestos; que es preciso para que la que ant’s habia manifestado: y el Sr. ministro de Marina contesto á al Hacienda marche con la actividad y vigor que se necesita cuando se ma gunas d…</t>
  </si>
  <si>
    <t>…as de las que paga el torizada por las Cortes ni por orden del Rey , se pasó algún tiempo s:n pueblo español. que se verificara, no pudiendo al mismo tiempo hacer que ¡os demás El Sr. Romero Alpuente: El Sr. secretario del Despacho de Ha Sres. se desentendieran de los negocios que hay en sus respectivos mi cienda ha dicho que es falso el nombramiento de ese nuevo empleado nisterios. Por último se acordó que se pasase este asunto al consejo ds en la secret…</t>
  </si>
  <si>
    <t>…algunos inconvenientes fermedad. que se seguían á la administración de justicia por lo mismo que había Art. i2i. «El encierro continuo, la aspereza en el trato , los gol dicho el Sr. Romero Alpuente, dijo que este artículo era demasíidopes, grillos y cadenas jamas se usarán en estas casas. vago , y que por tanto no debía existir en el codigo penal ; por cuvo Art. 122. &gt;&gt; Se ocupará á Jos locos en los trabajos de manos mas motivo pidió que á lo menos el p…</t>
  </si>
  <si>
    <t>…as ordenanzas generales. del art. 36 del código penal;, y en el acta de la sesión anterior el voto - Art. ig. Luego que los cuerpos reciban las nuevas insignias que part ornar del Sr. Romero Alpuente, contrario á la resolución de las se prescriben en este decreto , remitirán á esta corte con la competente Cortes en el día de ayer, por la que se declaró suficientemente discuti custodia sus banderas ó estandartes, que se irán depositando en parage do el men…</t>
  </si>
  <si>
    <t>…sustituirse la palabra or *821. = A D. Angel Vallejo. dinario á la de preciso: á lo cual se opuso el Sr. Calatrava por ser la primera palabra más Vaga que la segunda. ANUNCIOS. El Sr. Romero Alpuente apoyó el artículo diciendo que según lo que se prefijaba en el artículo, se concedía á los delincuentes el descan Opúsculos sobre la filosofía médica , la pesie y la calentura amari so preciso; y si el trabajo era extraordinario, el descanso lo seria tam lla,…</t>
  </si>
  <si>
    <t>…n con manera alguna pertenecía este asunto á las Cortes, aunque tmriese alguna que se pusieron las firmas. analogía con el que S. M. habia sometido á la deliberación de las mis El Sr. Romero Alpuente dijo : La primera cuestión que debe ocu mas, y teniendo en consideración que de formarse causa á los que ac par á las Cortes es si siendo extraordinarias pueden ocuparse en esto, tualmente habían representado se tendría que hacer lo mismo respecto y si S. M.…</t>
  </si>
  <si>
    <t>…glo xm principal es la propuesta.por «1 Sr. Florez Estrada, adoptada por el Se Pr evió el sabio Rey D.. Alfonso que podía llegar el caso en que el ñor Cortés, y robustecida por el Sr. Romero Alpuente, á saber, que ínteres particular hallase pretextos.en semejantes nombramientos pira Jas Cortes actuales en su calidad de extraordinarias rro tienen faculta desobedecer las órdenes legalmente comunicadas. des para tratar de este negocio. Solo con haberse admit…</t>
  </si>
  <si>
    <t>…Diciembre di didas de contemplación y de conciliación no han surtido el efecto que se deseaba; y por lo mismo apruebo el dictamen de la comisión. 1821. = A D. Angel Vallejo. , El Sr. Romero Alpuente dijo que la ley de Partidas que habia ci Circular del mMsterio de la Gobernt,c’on "e Península. Coa fecha 4 de este mes me dice-el-Sr- secretario del Despecho de tado probaba bien que hay casos en que es preciso no prestar obedien cia al Gobierno; qutf igualm…</t>
  </si>
  <si>
    <t>Alpuente, Rometo</t>
  </si>
  <si>
    <t>Rometo Alpuente</t>
  </si>
  <si>
    <t>…. En un .sistema representativo no puede menos de sion permanente. Y '■% seguirse este camino , y lo couUario sería aprobar una cosa sin saber Se leyó la siguiente proposición del Sr. Rometo Alpuente, que en. lo que es ; bajo estos principioientiendoque no-hay inconveniente en seguida retiró su autor, y esteta .concebí da en estos términos: «yulo y que s« abra desde luego el plilgo cerrado que presenta la comisión, y , que se quede sobre la mesa el aUxame…</t>
  </si>
  <si>
    <t>Alpuente, Rtímero</t>
  </si>
  <si>
    <t>Rtímero Alpuente</t>
  </si>
  <si>
    <t>Gaceta de Madrid n.º 86</t>
  </si>
  <si>
    <t>…&gt; y que bajo estos principios presente otro íedeclaré este asuntó bastante-disentido mientras baya algún Sr. dipu proyecto mas dilatado. tado.qqe quiera hablar.” . -j y- - ■ ' El Sr. Rtímero Alpuente manifestó lo perjudiciales que eran cier -Después' dé haber apoyado está indicación los Srés. Quintana y Gis- tas clases dé señoríos; hizo-'algunas reflexiones sobre lo que se dice ■befty Tire'aprobada;. : propiedad; indicó las, diferentes clases de dominios…</t>
  </si>
  <si>
    <t>Alpuente-preguntó, Romero</t>
  </si>
  <si>
    <t>Romero Alpuente-preguntó</t>
  </si>
  <si>
    <t>…nvenir con lo el excesivo contrabando que circula con ia mayor publicidad por teda la Monarquía; y que destruyendo nuestras fábricas y lícito comercio,que quedaba indicado. ' , El Sr. Romero Alpuente-preguntó si el plan de la comisión seria disminuye los. valores de la renta de aduanas, dando asi margen á que suliciente para sacar á la Nación de los apufos-en que se halla, á lo que se aumente la contribución directa de los pueblos , á proporción que se contestó el…</t>
  </si>
  <si>
    <t>Alpuents, Romero</t>
  </si>
  <si>
    <t>Romero Alpuents</t>
  </si>
  <si>
    <t>…tió á las Cortes para que deliberasen sobre el .particular. Me parece rido decir que había republicanos, y que había hombres que trataban que he satisfecho á las observaciones del Sr. Romero Alpuents; y para de destruir el sistema? Estas voces han sido inventadas por,esos infir concluir, hablando con la franqueza que me es natural, debo mani mes serviles, los cuales han .llegado á infundir al ,ministerio:estos tes festar que ni he solicitado el ministerio…</t>
  </si>
  <si>
    <t>Alpueríte, Romero</t>
  </si>
  <si>
    <t>Romero Alpueríte</t>
  </si>
  <si>
    <t>igg6 El Sr. Romero Alpueríte indicó que si la excepción que hacia la co Art. 49. « El que condenado á trabajos "perpetuos , y habiéndosele misión en el según-? j párrafo se referia á entregar Jos cadáveres que en notificado la sentencia que cause egecutoria, se fugare antes ó despu»s ¿1…</t>
  </si>
  <si>
    <t>Alqrfi, Josef</t>
  </si>
  <si>
    <t>Josef Alqrfi</t>
  </si>
  <si>
    <t>…réstito. ^ ^ bre sioestaba prohibida-la introducción de los' tornillos de hierro extran- Lo último que se nos presenta ahora para la discusión et'^jar lb geros; y una solicitud-de D. Josef Alqrfi , comisionado por el ayunta- ■'época en que debé estar prohibida' lá circulación-de esta .moneda ;:y yo: ;miento decanta Griizde. Tenerife, presentando.otra de aquel ayunta quisiera que los Sres- de la comisión propusiesen algún medio para evfír miento , en l…</t>
  </si>
  <si>
    <t>Alteó, González</t>
  </si>
  <si>
    <t>González Alteó</t>
  </si>
  <si>
    <t>…idos de la valiente Italia, El Sr. presidente nombx&lt;&gt; al ShvCosío para la,comisión de Comer arrostrarán intrépidos toda la rabia de la añeja oligarquía septentrio cio en lugar del Sr. González Alteó,ié , y aL Sr. Verdó para la‘de di nal; y es bien seguro que no os atendréis á solo el aplauso!!!” putaciones provinciales y demas para que estaba nombrado dicho séñór diputado. .- ' ' . NOTICIAS DE ESPAÑA. Se leyó el proyecto de ley para prohibir el tráfico d…</t>
  </si>
  <si>
    <t>Altes, Martin</t>
  </si>
  <si>
    <t>Martin Altes</t>
  </si>
  <si>
    <t>…mente á ello el Dr. D. Vicente Vilá: asimismo los doctores en ci ción y para el nombramiento de nuevos ministros había* expedido en rugía y-médicos aprobados D- Francisco Juanich, D. Martin Altes y aquel día dos decretos. Exponía que su voluntad había sido siempre la D. Francisco Treserra se presentaron para ir á auxiliar en la Earcelode sostener el sistema constitucional de las Cortes cié Portugal, lo cual neta á D. Antonio Peliicer; y D.Tomas Ribera…</t>
  </si>
  <si>
    <t>Alurfi</t>
  </si>
  <si>
    <t>…á que sufra un peso tan grande como este ademas de los que tiene tanto interesaba al bien de la Nación. sobre sí? La ¡unta de reemplazos de Cádiz , que tuvo la resistencia da El .Sr. Alurfi impugnó el dictamen de la comisión,)- pidió que vol ;no querer cumplir lo que ei Gobierno la mandó, y este tuvo que viera á ella para que lo extendiera con mayor claridad. ocupar sus papeles para que sus determinaciones y el ex unen de ellos Después de una li…</t>
  </si>
  <si>
    <t>Alusaron, Romero</t>
  </si>
  <si>
    <t>Romero Alusaron</t>
  </si>
  <si>
    <t>…os de aquellas causas , pues se sabe que de consideración. la arbitrariedad contra la inocencia siempre recae sobre aquellos que la El Sr. Sancho se opuso á lo que habia. dicho el Sr. Romero Alusaron : que en cuanto á la solicitud de quemar los procesos le parecia puente, y después de una corta discusión se mandó volver el dictamen muy acertada la opinión del Sr. Teran; y en orden á la devolución de á la comisión. multas, costas y dentas gastos considera…</t>
  </si>
  <si>
    <t>Alusselim</t>
  </si>
  <si>
    <t>…lio. . .de echarse sobre los griegos , degollarlos y saquear sus casas. Gracias á Algunas cartas del comercio de Marsella anuncian que el divañ ss la firmeza de nuesteo digno vice-gobernador Alusselim, el cual nos ha Italia poco dispuesto á dar oídos á las pariciones de la Rusia, y aun libertado de tan inminente, peligro; y aun disfrutaríamos también de añaden que las ha desechado , manifestando al negarlas una especie de una completa tranquilidad á no hab…</t>
  </si>
  <si>
    <t>Alvareda, Josef</t>
  </si>
  <si>
    <t>Josef Alvareda</t>
  </si>
  <si>
    <t>…Hacienda , relativos á este ramo; varias observaciones de esta capital , que casi miran como infructuosas ó poco serias las me de D.‘Pedro Chinique sobre lánas , vía solicitud de D. Josef Alvareda didas adoptadas. No entrará éste cuenpo de salud .pública en comparar y otros vecinos del comercio de óídiz, en que pedían »e anulase la las circunstancias de uno y otro pumo para demostrarlos diferentes re parte del artículo 11 del decreto de aranceles. luja…</t>
  </si>
  <si>
    <t>Alvarez</t>
  </si>
  <si>
    <t>Gaceta de Madrid n.º 92</t>
  </si>
  <si>
    <t>…Se leyó -por primera vez un proyecto de. decreto relativo, al-Cré nuestra compañía de Filipinas que,el. 29,.de. Setiembre último se juró dito público, formado y.presentado por el-Sr. Alvarez. Guerra, . la .Constitución, en Manila; y que á principios de este riño debia.darla h El Sr. presidente dijo que continuaría mañana la discusión sobre/el yel?, de aquel puerto ¡eijuyío, Rey .Fernando ..cargado, por.ciiéntacde la dictamen acerca de.,señoríos,…</t>
  </si>
  <si>
    <t>Alvarez, Eugenio María</t>
  </si>
  <si>
    <t>Eugenio María Alvarez</t>
  </si>
  <si>
    <t>…de Almería. Diego Cimeros Valencia: para el de Oropesa á D. Julián Calleja;- y El Sr. Diaz Morales presentó la siguiente proposición: » Pido que para el de Villafranca de Avila á D. Eugenio María Alvarez. las rectificaciones de límites de las provincias se pasen directamente á En la de la Mancha: para el juzgado de Almódovar del Campo i la comisión , como se ha hecho con otros asuntas.” D. Josef Matías Eguizabal. Después de un breve debate no se admitió á dis…</t>
  </si>
  <si>
    <t>Alvarez, Jo-et María</t>
  </si>
  <si>
    <t>Jo-et María Alvarez</t>
  </si>
  <si>
    <t>…remala en la persona de investigaciones hasta los esferoides heterogéneos, que no se ' su individuo y catedrático de derecho civil el presbítero conciben formados por la rotación. D. Jo-et María Alvarez, cuyos méritos ha recomendado La misma ecuación encaminó del modo mas sencillo la misma corporación, ha venido en conceder al citado á Mr- Biot á muchos teoremas gencrait:, que aplica des Alvarez los honores de magistrado de aquella audiencia pués á los esfer…</t>
  </si>
  <si>
    <t>Alvarez, Josef Manuel</t>
  </si>
  <si>
    <t>Josef Manuel Alvarez</t>
  </si>
  <si>
    <t>…que se añada la de indirecta.” póngala pena que merezcan los falsos delatores, y se publique en la ga Habiendo manifestado el Sr. secretario de la Gobernación de Ul ceta: otra de D. Josef Manuel Alvarez y D. Josef Antonio N., estu tramar que' convendría mucho se aprobase ia octava regla que propo diantes, quejándose del juez de primera instancia de Alcántara, por nía el Sr. Calatrava en su voto particular, qué decia: » El tribunal no haber mandado ponerlos presos una noche y s…</t>
  </si>
  <si>
    <t>Alvarez, Lucia María</t>
  </si>
  <si>
    <t>Lucia María Alvarez</t>
  </si>
  <si>
    <t>Gaceta de Madrid n.º 354</t>
  </si>
  <si>
    <t>…de cierto párrafo, publicado en causa de la Nación , cupo en suerte del primer extracto de la de este el Diario de los Debates, y en artículo de Venecia fecha 14: estas dos dia á Doña Lucia María Alvarez, hija de D. Braulio, subteniente del circunstancias son dignas de notarse por las ideas favorables á los grie regimiento infantería de Iberia, muerto en el campo del honor gos que en él se insertan, y porque tampoco se hace en él mucho favor í los rusos. Han…</t>
  </si>
  <si>
    <t>Alvarez, Manuel</t>
  </si>
  <si>
    <t>Manuel Alvarez</t>
  </si>
  <si>
    <t>…recluso en las Batuecas por adicto al siste que entró á comprar cigarros, ma constitucional; opinaba que estando resuelto por el decreto de las A la misma se pasó una solicitud de D. Manuel Alvarez, vecino Corres de g de Setiembre de 1820 lo conveniente acerca de reposición de Sta. Cruz de lenerife, pidiendo se forme causa al capitán general y sueldos de los empleados, podía Pcreira acudir al Gobierno, el de aquella provincia por sus procedimientos cont…</t>
  </si>
  <si>
    <t>Alvarez, Manuel del Burgo y</t>
  </si>
  <si>
    <t>Manuel del Burgo y Alvarez</t>
  </si>
  <si>
    <t>…llovía ; de manera que apenas con mucho Villalonea , ministro tesorero de aquellas cajas nacionales: trabajo nos permitió cruzar la sierra , y llegar á la venta para la de Tarma A D. Manuel del Burgo y Alvarez , con de Campeche como á las dos de la mañana , donde mandé tador de resultas del tribunal mayor de cuentas de Lima: hacer alto. para la de Guamanga A D. Juan Antonio A Ivarado, mar «Al amanecer del día 6, tomando un guia en dicho ques de Tabalosos . émpleado…</t>
  </si>
  <si>
    <t>Alvarez, Pablo</t>
  </si>
  <si>
    <t>Pablo Alvarez</t>
  </si>
  <si>
    <t>…ovara, se plata , y denunciado en 4 del que rige por ei procurador síndico gene ha fufado, sin que se sepa adonde; según unos á Milán, según otros a ral de la ciudad de Vallado!id D. Pablo Alvarez: h» ley conden - a Módcna, y según la opinión mas probable, á Dresde , al lado de su Fernando Santaren , responsable del citado impreso, á que pague la multa equivalente al valor de ijoa ejemplares cié dicho escr to .1 i pre madre. . _, ■ Las noticias de Géno…</t>
  </si>
  <si>
    <t>Alvarez, Pedro Valgoma de</t>
  </si>
  <si>
    <t>Pedro Valgoma de Alvarez</t>
  </si>
  <si>
    <t>…onda , á fin de que se En Albarracin.D. Josef Asensio de Oeon, en Almería D...Felipe sirvan disponer que las personas á cuyo cargo hayan estado rindan Gómez de Tortosa, en Abtorga D. Pedro Valgoma de Alvarez, en cuenta con pago de todo lo que hubiesen percibido y devengado des Avila D-Francisco Sánchez de Arco j en Badajoz O. Juán Amonio de aquella fecha , entregando las existencias i los comisionados prin Gallardo, en Earbastrb D. Pedro Coma , en Barcelona D. Fr…</t>
  </si>
  <si>
    <t>Alvés</t>
  </si>
  <si>
    <t>Gaceta del Gobierno n.º 44</t>
  </si>
  <si>
    <t>…atentas expresiones que se ha dignado dirigirle por boca de , Yendo el Sr. secretario Rebello á leer una proposición su presidente, quisiera poder manifestar,con toda la clari del Sr. Alvés^del Rio sobre abolición de ciertos privilegios, dad y energía que desea los sentimientos de gratitud y reco manifestó el Sr. Suarez Franco que habla formado un pro nocimiento por el alto y dtiicil encargo que V. M. se ha ser yecto mas extenso, que leyó, y com…</t>
  </si>
  <si>
    <t>Alves</t>
  </si>
  <si>
    <t>Gaceta de Madrid n.º 153</t>
  </si>
  <si>
    <t>806</t>
  </si>
  <si>
    <t>…los mismos.se.vió condenado reala Coruña la cual quedó aprobada, y se mandó:.remitir ala mayor brevedad.r .i pena.de horca, de la cual se libró por habersé¡podido fugar; y ha ¡ Ei Sr. Alves do.Rio.propuso que se diesen por escrito las-grácias á llándose en el día imposibilitado de seguir, su carrera por. losmachaques S. A? el.Príncipe Real por el interes que habla tomado en él-estable- de que adolece , pedia que. las Cortes ie recompensasen sus…</t>
  </si>
  <si>
    <t>Gaceta de Madrid n.º 204</t>
  </si>
  <si>
    <t>…rias opiniones sobre el destino que deberla darse á - En Paris no falta que hablar con la muerte del famoso Bo na parte, dichos empleados, propuso el Sr. Serpa que el proyecto del Sr. Alves y se refieren varias anécdotas curiosas; pero para divertirse y conocer el do Rio se remitiese á la Comisión competente para que propusiese el mundo es el mejor medio asistir á las sesiones de la Cámara de los Dimedio que fuese mejor, á lo que añadió el Sr. J…</t>
  </si>
  <si>
    <t>Alzaibar, Manuel</t>
  </si>
  <si>
    <t>Manuel Alzaibar</t>
  </si>
  <si>
    <t>…res, cuya población reunida no baje de 80 casas.” Util para la enseñanza pública. El Sr. Ramírez Cid manifestó que no encontraba motivo para que Se dió cuenta de una exposición de D. Manuel Alzaibar, en la las casas que existiesen separadas entre sí no estuvieran su-etas ¿ la con que refería que habiendo tenido noticia de que las Cortes habían acce tribución lo mismo que todas las demas: que del modo en- que estaba dido á su solicitud en la sesión del 23…</t>
  </si>
  <si>
    <t>Alzamora, Ignacio Velasco y</t>
  </si>
  <si>
    <t>Ignacio Velasco y Alzamora</t>
  </si>
  <si>
    <t>…edo, boticario; y los de-' y lerin; nara la Carolina á D. Francisco de Paula Villa-Real, y pa mas depositarios que gusten seguir en dicha venta de fumigaciones podrán ra Cazorla á D. Ignacio Velasco y Alzamora. dirigirse al referido doctor Gosalbes; y á fin de que Mr. Laboríe no pueda ser perjudicado en los paquetes que dice tiene comprados de aquel á 40 Las personas que á continuación se expresan, y que tienen instan reales, está pronto este á pagárselos á onza de…</t>
  </si>
  <si>
    <t>Alzugaray, Lorenzo</t>
  </si>
  <si>
    <t>Lorenzo Alzugaray</t>
  </si>
  <si>
    <t>…l ofendido lo es en la parte de ambición, y de la ambi pañía , de Valencia. laga. ción que inspira el poder absoluto del trono. Asi habla aquel escritor. D. Francisco López Omana. D. Lorenzo Alzugaray, hermanos, ¡Feliz el que escarmienta en la desgracia agenal Corrijamos el funesto D. Francisco Labat, de Bilbao. de Pamplona. silencio de la Constitución española, y ampliemos el art. 28 que "sancio Sres. Gailo é hijo, de Santander. D. Manuel de Arambarri. na…</t>
  </si>
  <si>
    <t>Amat, Fernando</t>
  </si>
  <si>
    <t>Fernando Amat</t>
  </si>
  <si>
    <t>…varios desertores austríacos no se.pre- - - mota. En la gaceta de 30 de Marzo, col. 10, lin. 33 , donde dice ícntaban con aquella sumisión y franqueza que'es natural. Los napolita D. Fernando Amat, léase JJ. Bernardina de Amati. SUPLEMENTO</t>
  </si>
  <si>
    <t>Amat, Josef Sempere y</t>
  </si>
  <si>
    <t>Josef Sempere y Amat</t>
  </si>
  <si>
    <t>…Jas atribuciones del poder egecutivo. Sres. D. Juan Rico, presbítero; D. Josef Llopis de los Dolores, pro En seguida se suprimió el art. 83, concebido en estos términos: pietario; D. Josef Sempere y Amat, propietario de Elda; y D. Justo ó Ningún diputado podrá ser removido de sus funciones sino por Sevilla, juez de primera instancia de Callosa,.;_En Murcia han sido causa gravísima aprobada por dos terceras partes de sus concolegas. elegidos D. Rainon Romero,…</t>
  </si>
  <si>
    <t>Ambro</t>
  </si>
  <si>
    <t>…ese en aquella hasta concluirlas.” del sistema constitucional. En seguida manifestó que el abandono en que veia el pueblo esta A la de Ultramar y Hacienda unidas una exposición de D. Ambro clase de causas dependía ó de la complicación de las leyes, ó de la sio Guerra, apoderado de D. Tadeo Diez de Medina , vecino de la Paz, mala administración de (justicia; que esta clase de delitos era la que manifestando no habérsele querido liquidar en aquel…</t>
  </si>
  <si>
    <t>Ambrosio</t>
  </si>
  <si>
    <t>Gaceta del Gobierno n.º 28</t>
  </si>
  <si>
    <t>…driático, y Gaeta por el dei tión de derecho. Mediterráneo. La primera división, que guarnece el camino El Principe regente de Nápoles publicó en 15 del pa de Itri, mandada por el general Ambrosio, está ya acan sado una proclama,, en la cual habla con suma coafianza tonada convenientemente. La segunda, al mando del gene de los esfuerzos qué el Rey su padre había determinado ral Arcoviro, guarnece el paso de S. Germán; y Ja tercera, hacer en beneficio d…</t>
  </si>
  <si>
    <t>Gaceta del Gobierno n.º 47</t>
  </si>
  <si>
    <t>…s bre la mesa desmentiria absoluiamente las suposiciones , ba Uno de nuestros periódicos dice que corren voces de jo las cuales las corres de Viena, Petersburgo y Berlín hu que el caballero Ambrosio, cuyas relaciones diplomáticas biesen contado con la cooperación ó el auxilio del Gobierno con nuestra corte habían cesado desde ios acontecimientos británico.” de Ñapóles, acaba de ser nombrado ministro residente cer ----Dicen que en la corte particular del…</t>
  </si>
  <si>
    <t>…pios oficiales. cencia del diocesano. . . : _ ■; » Un momento después fueron atacados los cuarteles generales del El de la misma sobre el expediento instruido por D. Matías García general Ambrosio y el mió ; el general Ambrosio fue libertado por una Rada , vecino de Torrubia, sobre Ja emancipación de-.su hijo D. Tomas, compañía de zapadores, y yo lo fui por unos 20 gendarmas, que hicie de edad de 3!! años, y abogado; que.la comisión era de,parecer debi…</t>
  </si>
  <si>
    <t>Amengua, Jacinto</t>
  </si>
  <si>
    <t>Jacinto Amengua</t>
  </si>
  <si>
    <t>Gaceta de Madrid n.º 260</t>
  </si>
  <si>
    <t>…tomar por su parte venganza. ¡Quién po ner; S. Josef, D. Manuel Maílol; Santa Faz, D-’Antonio Scrdá; Eccedrá señalar (dice) en medio de tanto peligro y confusión el momento Homo, D. Jacinto Amengua!. preciso en que debe vengarse de los agresores! Si los soldados hubiesen Pontona para limpia del puerto una.__Gángui!es para idem dos. disparado inmediatamente después que les tiraron las pedradas, ¡cuánto (Quena terminado el expurgo.) se hubiera hablado de…</t>
  </si>
  <si>
    <t>Ameos, Pedro</t>
  </si>
  <si>
    <t>Pedro Ameos</t>
  </si>
  <si>
    <t>Gaceta de Madrid n.º 222</t>
  </si>
  <si>
    <t>…d de Baza, provincia de tan malo, que ni aun siquiera hay pan l Pero vos pagareis vuestra cul Granada, y vecina de esta ciudad, á la colación de S. Lorenzo , viuda pa ayunando. de D. Pedro Ameos, natural que fue de Zeron, en la misma provincia Alí-Agá. ' de Granada, obispado de Almer a, y á consecuencia deque por su dis ¡Mal lugar, señor, mal lugar! Si nó nos lo ocultara la oscuridad de posición testamentaria, otorgada ante D. Josef Henriquez á los 2…</t>
  </si>
  <si>
    <t>Amerongen, Taesvan</t>
  </si>
  <si>
    <t>Taesvan Amerongen</t>
  </si>
  <si>
    <t>…sfi Debemos añadir que el 7 de este mes llegó á Helvoet-Sluis el ber gurado sin cesai todas sus acciones, vituperando y poniendo en ridícu gantín le Jeune Jacques, y á su bordo el coronel Taesvan Amerongen, lo su eatícter. En otro tiempo era amigo persona! délos Whigs (demó que trajo la noticia oficial de haberse tomado á Palembang en 24 de cratas-)!; Cerolla nócion- puede alegrarse de que nuestro Soberano haya Junio último. desplegado una firmeza tal, que ha v…</t>
  </si>
  <si>
    <t>Ametller</t>
  </si>
  <si>
    <t>…Setiembre. la hecha en Madrid, imprenra de D. Mateo Repuliés año de 1821 en La insurrección griega sigue siempre en aumento. Parece que el tres tomos 4.0, con una estampa fina del Sr. Ametller al frente de lá príncipe Ipsiianti se halla ya-con 369 hombres; que con efecto Alt obra, la que ss vende solamente en Madrid en la librería de la viuda Bajá se ha hecho cristiano,}’ desea ponerse á las órdenes de aquel prín dé Quiroga. SUPLEMENTO</t>
  </si>
  <si>
    <t>Amil, Josef</t>
  </si>
  <si>
    <t>Josef Amil</t>
  </si>
  <si>
    <t>…á la cual acompañaba una nota de los propietario. Mondoñedo D- Vicente Piñeiro, cura párroco de Bacoy. empleados de este ramo, haciendo vanas observaciones para que las Ortigueira D. Josef Amil y España, Ídem de Maañon. Orense ; \ Jo Cortes las tuviesen presentes en la discusión del proyecto de bene sef Feijoo y Marquina y D. Pedro Fernandez Cid, propietarios. Rlva- ficencia. davia D. Josef Fermoso, abogado. Carv.illino D. Antonio Monroe , al El Sr. Martel p…</t>
  </si>
  <si>
    <t>Amonio</t>
  </si>
  <si>
    <t>Gaceta de Madrid n.º 79</t>
  </si>
  <si>
    <t>…del- cual, se Sr. Do la rea , contrario ¿la resolución de las'Cortes sobre la indicación gún creen algunos , se trata y se cuenta secretamente con el auxilio de del señor:García (D. Amonio)..'. . una potencia marítima europea. Se pasó ¿ la comisión de -Hacienda - un oficio de la dirección gene En Creta ha habido una sublevación , y ha sido tan seria , que se ha ral de Hacienda pública sobre:fa rresolacion de la consulta que hizo en derramado mu…</t>
  </si>
  <si>
    <t>Amonio.Pacheco</t>
  </si>
  <si>
    <t>…bían hecho acer Barcelona y la Coruña, universidades de Cei vera y .Salamanca ,,D. -Fe ca de este artículo el tribunal de Ordenes, las audiencias de Mallorca.y lipe Martin.Igual y-D. Amonio.Pacheco. . :¡ c Valladolid.y, las universidades de Valladolid y Salamanca. • Quedó aprobada ía primera paite del articulo. ; •• - - - e ¿* El Sr.-López (Don Marcial) dijo que se oponja á la última patte Art. .54. « Los reos condenados á trabajos rperpetüos,.’ deporta…</t>
  </si>
  <si>
    <t>Amor, Andrés</t>
  </si>
  <si>
    <t>Andrés Amor</t>
  </si>
  <si>
    <t>Gaceta del Gobierno n.º 29</t>
  </si>
  <si>
    <t>…e paciencia, después de 22 dias de un obstina por aquel alcalde constitucional, auxiliado de la tropa al do trabajo, tuve el gusto de encontrarme en el templo de mando del alférez D. Andrés Amor, de caballería del Rey Ibsambul, adonde ningún europeo habia entrado todavía, i.° de ligeros; habiéndole encontrado varias armas y 4® y y que presenta la mas vasta excavación que hay en Nubia y mas reales. en Egipto, si se exceptúan los sepulcros que después…</t>
  </si>
  <si>
    <t>Amor, N.</t>
  </si>
  <si>
    <t>N. Amor</t>
  </si>
  <si>
    <t>…ón de la diputación pro propietario. Pontevedra D. Fernando Saravia, coronel retirado de ar vincial de Sevilla, en la que también hace varias observaciones acerca tillería. Caldas D. N. Amor, propietario. Padrón D. Bernardo Pai- de las modificaciones que se estiman necesarias para el arancel general zal, abogado. Sar D. Jacobo Llórente, capitán de Composteia. San de aduanas, aprobado en la legislatura del año de 1820. tiago D. Manuel García Barro…</t>
  </si>
  <si>
    <t>An</t>
  </si>
  <si>
    <t>…l de por varios, profesores, en 18 cuadernos de á seis retratos cada figura como el de campiña y paisage ; ó bien posean ya co uno , qne contienen los siguientes___Primer cuaderno D. An tonio Leiya, Ambrosio Morales, el P. Juan de Mariana , Freynocimientos prácticos del arte de construcción. Lope Félix de Vega Carpió, D. Antonio Solís y D. Nicolás i a. La enseñanza de la escuela durará tres años, divi Antonio. — 2.3 cuaderno. EL cardenal Gil…</t>
  </si>
  <si>
    <t>Gaceta del Gobierno n.º 16</t>
  </si>
  <si>
    <t>…ar con Lu misma D- Juan Villa v Olier, se cita, llama y emnlaza á Don tero , se responde que por la estufa; y en verdad que no Pedro Cífuentes, D. Diego Cosío , D.-Josef Álturena, D. An habia necesidad de hacerle entrar por semejante conducto, tonio María de Cárdenas y D. JuanDagés Menor, tenedores, el cuando hay para ello una buena puerta. primero de 3 vales de 300 pesos,creación de i.° de Mayo, nú Este raro monumento se conserva y se conse…</t>
  </si>
  <si>
    <t>…y su des Doña Rosa Aren, viuda de! teniente coronel retirado Don pedida del anciano' , que son el timbre más - esclarecido de' Antonio Castañeda, que siempre que siga á sus hijos D. An sil nombrádía poética'. tonio y D. Jacinto Castañeda, que sirven en el regimiento Como quiera el artículo de Cervantes, como se deja de caballería de Numancia, el primero' de comandante dé süpónér , es uno dé los mas abultados, y ch dos ó tres escuadrón , y e…</t>
  </si>
  <si>
    <t>…podido llegar D. Francisco Recabarren , intendente que era de Guamanlos avisos con oportunidad , porque los ladrones, noticiosos ga; y para la de Cuenca, del distrito de Quito, á D. An sin duda de que los milicianos de Castejon y Egea los tonio Diaz y Cruzado, que lo era interino de la misma. perseguían, se precipitaron á salvarse pasando el rio; pero que sin embargo no habian podido evitar ser sorprendidos, No habiéndose presentado algunos…</t>
  </si>
  <si>
    <t>…están unidas inseparar diados de Abril de este próximo año pasado;, para comunicarle noticias blemente entre sí. interesantes: el que lo sepa se servirá avisarlo en la cerería de D. An «Ninguna mira hostil nos conduce á pasar las fronteras del'reino. tonio Martínez, calle de Toledo, frente á la Imperial. El egército que está bajo mi mando mirará y tratará como amigos á nota. Por una casualidad inevitable , de aquellas que suelen ocur todos…</t>
  </si>
  <si>
    <t>…en la audiencia de Castilla en lugar de la de Granada. un vecino, y que de ningún modo se atacaba la propiedad, que cuan A la comisión ordinaria de Hacienda pasó una solicitud de D. An do mas se daba alguna próroga á los 30 dias, que era el primer tér drés Ponce, regente i.° de ia imprenta Nacional de esta corte, para mino señalado cuando se presentaba alguna disculpa , y qué después que en atención á los méritos que hizo al Estado durante…</t>
  </si>
  <si>
    <t>…a los medios para sostener dicho establecimiento partido del silencio era el peor que se podía adoptar , y en el cual toda A la de Agricultura, Industria y Artes una exposición de D. An la ventaja estaría á favor del poder arbitrario: que en la proposición que tonio Rubio, en que manifestaba el miserable estado de la agricultura se estaba discutiendo le parecia ver al despotismo miedoso y mezquino en Motrii , sobre lo cual hacia algunas obse…</t>
  </si>
  <si>
    <t>…se haya verificado el cuarto ni el diezmo. Quien landa los de agustinos calzados. Asimismo se ha- servido S. M. resol quisiere hacer alguna de dichas mejoras acuda al juzgago del Sr. D. An ver que los expresados conventos, cuya subsistencia queda acordada, ha gel Fernandez de los Ríos, magistrado honorario de la audiencia de de entenderse cpn tal que en cada uno de ellos se reúna el número Castilla la Vieja, y juez letrado en primera instancia…</t>
  </si>
  <si>
    <t>…ispondréis se imprima, publique y circule. = Está do que hicieron los contribuyentes para asegurar la subsistencia futura rubricado de Ja Real mano. Palacio 28 de Mayo de 1821.= A D. An de sus familias. Asi que en este punto me parece que no debe hacerse tonio Barata. SUPLEMENTO</t>
  </si>
  <si>
    <t>885</t>
  </si>
  <si>
    <t>…nto, y dispondréis se imprima, publique y circule, =:Ru dres del género humano. Entonces no habrá lo que llaman impropia bricado de la Real mano. = Palacio á 2 de Junio de 1821» A D. An mente rebelión y fuerza, palabras que en el vocabulario de la verdad tonio Barata. solo significan justicia y razón.) VARIEDADES. No presentamos aquí mas que un breve extracto, ni tampoco in tentaremos rebatir las máximas y principios de que abundan estos doc…</t>
  </si>
  <si>
    <t>…37 del decreto de 9 de Octubre de idt-2 , y otra parece que no es una contribución muy exorbitante ia que se propone de la audiencia de Sevilla, relativa á la causa formada contra D. An de 150 millones. Es preciso también no perder de vista que una de las drés Loville. razones que ha habido para que no se haya cobrado esta contribución Las Cortes oyeron con agrado, y mandaron pasar al Gobierno y que es el descuido que ha habido en esta parte…</t>
  </si>
  <si>
    <t>…de la Vega, y de tierra prado de Doña Antonia rano las ignore; y nosotros le tendremos sitiado por todos lados para Bustillo Marcorra del otro lado—En Solobio frente á la casa de D. An que se le oculten nuestras torpezas y vuestras reclamaciones.” tonio de Calenoa, digo Escalante, un pedazo de tierra en parte empar Asi pues en medio de tantas cruces y estrellas, de tantos penachos rado de viña y en parte erial__ En Revilla el interes de uno…</t>
  </si>
  <si>
    <t>…nca-D. Josef Escolar y Moriega, en Gerona D- Ramón Torra, en 11. „ Los comisionados procederán inmediatamente-á arrendar en Granada D. Francisco de Paula Martinez Aibea, en Guadix D. An púbiiéa.subasta, con intervención de los contadores, las fincas que no tonio Tuque, en Muesca D. Francisco Domenech, en Ibiza D. Ma lo estuvieren, cuyo arrendamiento no tendrá validación sinla compe riano Ramón de Arabi, en Jaca D. Gerónimo Roca-Tallada, en J…</t>
  </si>
  <si>
    <t>…ior de salud pública que en uno de los pueblos ¡de ¡a marina había llegado un enfermo con sínto Lisboa xi de Agosto. mas sospechosos , procedente de este puerto, ofició la junta á D. An tonio l’ellicer con el objeto de que practicase las averiguaciones nece Sesión de Cortes del 10. sarias para saber el barco ó casa de donde procedió el doliente. El Sr. Borges Carneiro, como individuo de la comisión, leyó el Oficióse á los Sres. de la junta d…</t>
  </si>
  <si>
    <t>…plido con el encargo que cional desde el último aviso. las Cortes la habian encomendado; y que últimamente no veia los gran D.. Andrés Vilches , de Cádiz; D. Antonio Jabat, de id; D. An des inconvenientes que se habian indicado para que no se aprobase el tonio Gallego Valcarcel; Doña Catalina Josefa de Paul , de Cádiz: proyecto que se discutía. el duque de S. Carlos; D. Henrique Croese, de Anisterdám; D. Fran El Sr. Moscoso impugnó el dictam…</t>
  </si>
  <si>
    <t>…. Granollers D. Josef Valionesta, abogado. La Bis- del mismo fiscal y de los defensores.- y en este trabajo invertirán a io bal D. Pedro Camps. Seo de Urgel D. Mateo Estany. Tremo D. An menos ocho horas cada dia, poniendo diligencias que lo acrediten , co tonio de Monner, hacendado de Itona. Balaguer D- Ramón de Sisear mo también si faltaren alguno ó algunos en las horas señaladas, sin que y de Calderón, hacendado de Agramunt. Tortora D. Mig…</t>
  </si>
  <si>
    <t>1801</t>
  </si>
  <si>
    <t>…el acta de la ses:on anterior, se mandó agregar i Los Sres. Ban-jueri y Quintana opinaron que era necesario buscar ella los v iios particulares de los bres. Gaseo, Cortés, García (D. An algún medio para que no estuviese ta.i txpu.síc el denunciador, porque óteme , Yust-, Cainus Herrera, A laman, Guerra ,■ Laüave (¡D. Pablo.) aunque fuese cierta la denuncia, podía quedar burlado el denunciador, i y Solano!, conirartos á la apiobacion del art.…</t>
  </si>
  <si>
    <t>1980</t>
  </si>
  <si>
    <t>…de prisión y en la multa de 500 rs. vn. : y en ¿&gt;i desde la entrega de los autos al procurador hasta el correo próximo su consecuencia el Sr. juez de primera instancia de Pamplona D. An mediasen menos de 24 horas, se entenderá el encargo para el correo tonio Chamochin mandó se llevase á efecto , y que el referido Laya siguiente. Art. 4.0 En el mismo correo en que el procurador deba re pagase las costas originadas. mitir sus instrucciones dir…</t>
  </si>
  <si>
    <t>An, Casimiro</t>
  </si>
  <si>
    <t>Casimiro An</t>
  </si>
  <si>
    <t>…ncio Fernandez sobre casas plazuela de la Do término de 30 dias, que correrán desde el en que se anuncie nosa r.por idem 147 rs. 2 mrs. al público, por la escribanía del número de D. Casimiro An D. Sebastian García sobre casas calle de Arcos por tonio Gómez, que se le admitirá siendo arreglada. Instituciones de derecho político, aplicadas! la ConstituciónIdem 733 rs. nf mrs. de la monarquía española por D. Marcial Antonio López, in Bernardino Márquez sobre casas en dich…</t>
  </si>
  <si>
    <t>An, Joset</t>
  </si>
  <si>
    <t>Joset An</t>
  </si>
  <si>
    <t>…ídem , idem , en 6400 rs. Artillería; D. Pedro Montehermoso, cirujano de egército Ocho marjales en dicho término , pago del Martes, en retirado ; D. Juan de Dios Miranda , idem ; D. Joset An 5600 rs. tonio Córdoba y López ; D. Bartolomé Gallego , cirujano Siete marjales en dicho término, pago del v ternes, en del regimiento infante ría Ordenas Militare* ; los cirujanos 5250 rs.</t>
  </si>
  <si>
    <t>An, Juan</t>
  </si>
  <si>
    <t>Juan An</t>
  </si>
  <si>
    <t>Gaceta de Madrid n.º 190</t>
  </si>
  <si>
    <t>…us funciones el próximo ano económico, por no poder zar, como se hace por el presente, á todos los acreedores á la misma entrar el propietario en cesación el Sr. diputado á Cortes D. Juan An que no se hayan personado ni presentado , á fin de que en el término tonio Yandiola; y en su vista se han servido las mismas Cortes resol de 30 dias, contados desde este anuncio, lo verifiquen por sí ó por ver, conformes con el dictamen del Gobierno, que dich…</t>
  </si>
  <si>
    <t>…barróla , D. Nicolás Alonso, D. Telesforo Polo y D. Ventura de 23- s- 19. 194. la Peña. Parroquia de Sta. Cruz, 8 electores. Jerez. D. Esteban Guinea, D. Josef Manuel de Aranalde, D. Juan An tonio Castejou, D. Juan Muguiro, D.Juan Manuel de Aréjula, Don Dia 17.............. —3....... ........! 3......... ....... O............... 18... Juan Cortés, D. Martin de Goicoechea y D. Valentín Ignacio de Dia r 8.............. ••••••■ 7....... ....... I...…</t>
  </si>
  <si>
    <t>An, Juan Orduña y</t>
  </si>
  <si>
    <t>Juan Orduña y An</t>
  </si>
  <si>
    <t>…s , sino que nos revelan á D. Francisco Miguel Lombardo de Tejada. ademas el secreto de que se mantienen de abusos , y que tienen interes Provincia de Vizcaya. Para el de Bilbao á D. Juan Orduña y An en que continúen ; y he aquí precisamente los que un Gobierno vigi gel : para el de Durango á D. Francisco Javier de Elexpuru: para el de lante debe separar de los cargos públicos , si quiere consolidar su obra; Guernica á D. Manuel Aizpuru: para el de Sopuer…</t>
  </si>
  <si>
    <t>An, Vicente</t>
  </si>
  <si>
    <t>Vicente An</t>
  </si>
  <si>
    <t>…a judicatura de Torbiscon á D. Francisco El Sr. presidente nombró para la comisión de Hacienda al Sr. conde Gómez Jalón. de Toreno. En la de Vizcaya: para el partido de Guernics á D. Vicente An El Sr. presidente dijo que mañana se seguiria la discusión de fa tonio de Oquendo. nueva división del territorio, y la del proyecto de decreto sobre el es Y en la de Málaga: para el de Antequera á Don Pedro Sancho tablecimiento de la milicia.activa, si hubiese luga…</t>
  </si>
  <si>
    <t>An-</t>
  </si>
  <si>
    <t>…dia anterior, se mandaron insertar en ella los para que los diputados esten en asientos á derecha é izquierda , de ma votos particulares de los Sres. Quintana, González, Navarro (D. An- nera que puedan oirse sin incomodidad. vbes), Castañedo, Desprat , Romero Alpuente y Romero, contrarios 3.0 En la testera del salón se colocará el trono con su dosel, y una ñ la resolución de las Cortes sobre el expediente del R. obispo de Ta- silla, que esta…</t>
  </si>
  <si>
    <t>Anastasio</t>
  </si>
  <si>
    <t>Gaceta de Madrid n.º 262</t>
  </si>
  <si>
    <t>…do á Grecia muchos oficíale» franceses de los cusipo» u; ingenieros tio del convento. y artillería, especialmente de los que pertenecían á la legión de Levan Al instante reunió el capitán Anastasio su pequepo escuadrón en te , y que entienden bien el griego moderno. La» primeras casas de la iglesia , y arrancó la puerta ¡o mejor que pudo. Gran parte de los tur Liorna les han dado cuanto necesitaban para su viage. cos que estaban en el patio cayei m muer…</t>
  </si>
  <si>
    <t>Anaut.zzD, Joaquín</t>
  </si>
  <si>
    <t>Joaquín Anaut.zzD</t>
  </si>
  <si>
    <t>…n particular de este cuerpo, asi comó.parez, zz D. Mariano I’uyol.zzD. Josef Rubia. zzD. Julián Irribarren.=; ra su instrucción y régimen económico.” Después de haberlos, leido el D. Joaquín Anaut.zzD. Antonio Permisan.zzD. Eusebio Toruer. zz: Sr. secretario quedaron aprobados estos dos artículos, y retirados los D. Jicobo Sevillano.zzD. Gaspar del Sol.izzD. Joaquín Jimen. z= que había indicado el Sr. Rovira. ... D. Valero Javierre.zz D. Alejandro Lera.— D…</t>
  </si>
  <si>
    <t>Ancillon</t>
  </si>
  <si>
    <t>…cer frente á los gastos públicos. terior Sr. Schuhinan , el mayordomo mayor principe de Saga-Witt- ' El 16 se había señalado la hora de las once de la mañana para la genstein y el Sr. Ancillon, consejero de Estado, y autor de una obra sesión de la segunda Cámara de los Estados generales; pero á media muy conocida sobre el sistema constitucional. Si la Prusia da tan no- dia no hahia en el salón treinta diputados. lile egemplo, no creemos que será pe…</t>
  </si>
  <si>
    <t>Andará, Miguel</t>
  </si>
  <si>
    <t>Miguel Andará</t>
  </si>
  <si>
    <t>…licia. Para la plaza de regente á D. -Antonio MarÍ3 do ministerio ; en el concepto de que pasado el término prefijado no se -Cabañero; y para magistrados á D.. Joaquín ,'Villamil, D. Miguel Andará curso á ninguna instancia de esta naturaleza. De Real orden lo 4dnio Vigil y Quiñones, D. Josef Rojo Guillen y D. Santiago Estefanía. -comunico á "V". para su inteligencia y cumplimiento en lo que le cor responde. Madrid 2 de Mayo de 1821.” - - . ANUNCIOS. -…</t>
  </si>
  <si>
    <t>Andi</t>
  </si>
  <si>
    <t>…eemplazadas por otras de iguales méritos. La contestación El Sr. ^residente manifestó que supuesto que no eran contradicto que dan los secretarios del Despacho al nombramiento del Sr. Andi rias , se podría leer la del Sr. conde de Toren» y discutirse, yen segui lla es que la resistencia que se hace á este nombramiento no tiene nada da la dei Sr. Sancho. que ver contri las calidades del elegido, puesto que en otras circunstan Se leyó la proposic…</t>
  </si>
  <si>
    <t>Andilla</t>
  </si>
  <si>
    <t>1830</t>
  </si>
  <si>
    <t>…vancia y del batallón de España no accedió, y dijo que mandaría con estas consolidación del sistema constitucional; pero las Cortes conocen que observaciones á un oficial suyo. El general Andilla, deseoso de que se tan opuestas son á él las infracciones que pudieran cometer los ministros adoptasen medios.conciliatorios, mandó los oficios correspondientes, y contra los derechos de la Nación , como las demasías délos que atenían á su consecuencia recibi…</t>
  </si>
  <si>
    <t>…se debe observar-e» que en la representación que se hace para fun que deben adoptarse para que se cumplan los déseos del Rey, que son dar la resistencia contra el nombramiento del Sr. Andilla se dice qtie la conservación de la libertad y de la Constitución. Por lo mismo creo s-e desearía que quedasen las mismas autoridades que hay en el día , ó que no soa Contradictoria» estas dos proposiciones. que fuesen reemplazadas por otras de iguales méritos…</t>
  </si>
  <si>
    <t>Andrajaman-Asach</t>
  </si>
  <si>
    <t>…erse, han debido abandonar el pais de mediatamente proclamado su hermano Muley-Zeid , que ha hecho Sennaar , situado entre el Nilo, el golfo Arábigo y la Abisinia, para prender a¡ gobernador Andrajaman-Asach. A la salida del que trajo Jas dirigir su fuga hácut Marruecos por el gran desierto de Africa. noticias todo era desorden y confusión en aquella comarca, donde no se pensaba en otra cosa que en pillage y saqueo. PRUSIA. Posteriormente se ha sabido que Muley-S…</t>
  </si>
  <si>
    <t>Andrea, Miguel López</t>
  </si>
  <si>
    <t>Miguel López Andrea</t>
  </si>
  <si>
    <t>Gaceta de Madrid n.º 210</t>
  </si>
  <si>
    <t>…dividuo suyo. Art. i.’ Será presi para dos plazas de magistrados vacantes en el tribunal supremo de dente de la junta el primero de sus individuos en el orden de nombra Justicia á D. Miguel López Andrea y á D. Josef da Zorraquin. miento , según lo previene la misma ley. Art. 3.0 El presidente resu Asimismo ha tenido á bien nombrar S. M. para dos plazas de ma mirá y propondrá las cuestiones para su discusión y votación. Firmará gistratura, vacantes en la audi…</t>
  </si>
  <si>
    <t>Andrés</t>
  </si>
  <si>
    <t>…lo tísico como Obeso, D. Juan Ochasavia y D. Minué! Gutiérrez Dosal: en lo mora'. Los inmensos desierros de la Si be ría están to tambor D. Pedro Alejandro NÍarcotan : milicianos D. Andrés davía cubiertos de nieve cuando ya los ardores del estío han González Barona , D. Ramón At area. IJ. Manuel González, marchitado los floridos vergeles de las faldas del C meaco; D. Manuel Macho Fernandez , !\ Casimiro Zaya«, D- Ga por manera que aquel dilatad…</t>
  </si>
  <si>
    <t>…o ni músicas armoniosas, ni aquella os Sres. Valle, Gareli, Rey, Govantes, Echevarría, Manescau, Na tentación y brillantez que suele haber en las ciudades populosas-, pero varro ( D. Andrés ) , Bodega y Lorenzana. no faltaron en su lugar otras cosas mas apreciables, cuales son la ver Para la de Hacienda. dadera armonía,.que consiste en la perfecta é indisoluble unión de Jos , Sres. Caro, Ochoa, Coraminas, Cabaleri, Sánchez Toscano, corazones y v…</t>
  </si>
  <si>
    <t>…recio de 12 mrs. el pliego, o a Lo mi-mo se hizo con úna solicitud de Doña Pascuala y Doña coste y costas, según mejor resuelva el Congreso. Máxima Villar, herederas de su hermano D. Andrés, canónigo de Para fundar esta indicación dijo su autor: Creo que conviene hacer Tarragona, pidiendo se las perdonase lo que quedó á deber este en pa presi nte que el alto precio del Diario y las muchas páginas en blanco go de la media anata. hacen que su cost…</t>
  </si>
  <si>
    <t>Gaceta de Madrid n.º 75</t>
  </si>
  <si>
    <t>…as atribuciones de secano, en goo rs. del comandante, á fin de evitar gastos. Otra á la misma senda, de 2 obradas, de segunda calidad, en^oo rs. Habiendo reclamado el Sr. Navarro (D. Andrés) la discusión del Otra al charcon de la Rodada, de 8 cuartas, de segunda calidad, proyecto de instrucción pública pendiente desde la legislatura anterior, en 700 rs 1 señaló él Sr. presidente su continuación para mañana; y levantó la Otra á dicha senda de la…</t>
  </si>
  <si>
    <t>…ra ó) por escrito zahiriese la C institución en todo ó&gt; en parte, ó hicie La comisión de Guerra presentó' su dictamen acerca de la exposi se alguna invectiva contra ella.” ción de D. Andrés paula María, opinando que en atención á sus rele Se leyó el artículo Jo, que decía: » Si los delitos de que tratan los</t>
  </si>
  <si>
    <t>…rá la edad y las de Se mandó imprimir dicho proyecto de decreto. más circunstancias que han de concurrir en los jóvenes que desean ser Se leyó una indicación de los Sres. Navarro (D. Andrés) y Ar admitidos en clase de alumnos en las escuelas militares. ricia, relativa á los estudios de S. Isidro , y decía asi: ,,pedimos á las Art. 97. «Todos los alumnos estudiarán en unas mismas escuelas, - Cortes: i.° que habiendo vacado el empleo de director d…</t>
  </si>
  <si>
    <t>Gaceta de Madrid n.º 131</t>
  </si>
  <si>
    <t>…ustria y artes, y se mandó imprimir. -ga, Micheleñá,-Ramos Arisps, Paíarea., Quintana, conde ;de Maulé, La comisión especial encargada de proponer medidas para-el pronto •Navarro (D. Andrés), Solanot, Quiroga, Cortazar, Mora, Medina, castigo de los que atenten contra la seguridad del Estado, habiendo López (D.Patricio) , Ayustaran , Quio-Banquei , Pierola, Janer,Gar examinado la exposición del Gobierno acerca de la formacion .de causa cía Soza,…</t>
  </si>
  <si>
    <t>…que no debía aprobarse el dicta y le podía corresponder en lo sucesivo; y por varias razones que expo- men de la comisión. . nía, pedia se hiciese extensiva igual gracia á su hijo D. Andrés. El Sr. Moscoso dijo que su opinión era muy contraria á la que A la de Diputaciones provinciales se mandó pasar una exposición habian manifestado los Sres. Moreno Guerra y Romero Alpueme, del ayuntamiento constitucional de Jaén, remitiendo el presupuesto ds p…</t>
  </si>
  <si>
    <t>…Guerra , Argiieilo , Castoreña , Pareja, Medina , Palarea /cíe- ■ del Despacho se deduce que los 400 millones del valor de los diezmos mencin , conde de Maulé , Méndez, Navarro ( D. Andrés), Lasanta,se reducen á 270, aplicando de estos una tercera parte al erario, y que Ramos García, Espiga, González Valicjo, Castrólo , lorrens , Gar dando para el clero las otras dos terceras paites-, ¡pero estas serian equi cía ( D.i Justo), Mora, Couto, Fonde…</t>
  </si>
  <si>
    <t>Gaceta de Madrid n.º 160</t>
  </si>
  <si>
    <t>…, porque se han reunido los pila los votos particulares de los Sres. Lobato, Ramonet, González buques de Hydra, de Specia y de Psara, y la observan al tiempo de Allende, Navarro ( D. Andrés ), García Page, Palarea, Ramos Gar cía y Ramírez Cid, contrarios á la aprobación de distintos artículos pasar. Se dice que ha habido una acción cerca de Larisa, y que los grie del plan de Hacienda. gos, mandados por Gqzis, han conseguido ventajas de importanc…</t>
  </si>
  <si>
    <t>…ncia en que tuviesen su residencia: se mandó imprimir juntamente la población de las villas y lugares del distrito de la depositaría de ren con el voto particular del Sr. Navarro (D. Andrés). tas , para no exceder de uno por cada 4Í) almas. Entró á jurar y tomó asiento un diputado por las provincias de Ul Art. 247, ,, En el caso de que los portadores de apremio sean in tramar. juriados ó sufran resistencia, se retirarán á la casa de ¡os alcaldes…</t>
  </si>
  <si>
    <t>…Sr. García Page empezó su discurso oponiéndose al dictamen re de Ja comisión en qué consistía este diferencia, parque consideraba que ferido y al voto particular del Sr. Navarro £ D. Andrés ). El Sr. presi habría alguna razón para proponer este sueido. dente dijo que era llegada la hora de salir la diputación que debía en El ir. Sierra Pambley dqo: Los porteros de la oficina de pagarés tregar á S. M. varios decretos para la sanción Real; y como…</t>
  </si>
  <si>
    <t>…Sr. García Page impugnó el dictamen de la comisión , y prin del-Sr.. Arrieta-, y estaba concebida en estos términos r « Jueces ecle cipalmente el voto particular del Sr. Navarro (D. Andrés.) , manifes siásticos que tienen aprobación del Gobierno ” tando que el espíritu de la Constitución no era el que los eclesiásti- • Sé aprobó uná adición del Sr. Romero Alpuente, concebida en es -cos fuesen considerados como empleados públicos, habiéndose con…</t>
  </si>
  <si>
    <t>Gaceta de Madrid n.º 205</t>
  </si>
  <si>
    <t>1120</t>
  </si>
  <si>
    <t>…á los directores del referido Banco D. Joaquín María Fer d.-recho de sacudir el yugo de los opresores de su pais, loi cuales rar, D. Manuel de la Turre y Rauri, D. Gabriel B.iiez, D. Andrés con su conducta para con los pueblos que han vencido , se han atraído Caballero , D. Fraile sco Crespo de Tejada; y por parte de este ayunta la execración eterna del género humano.” . miento á su regidor I). Joscf Francisco Muguiro Iribarren. La verdadera rel…</t>
  </si>
  <si>
    <t>Gaceta de Madrid n.º 237</t>
  </si>
  <si>
    <t>…en el núm. 30. &amp;c. , que suena firmado por Antonio Ra- mental se ha compuesto para dar á la juventud ideas exactas de lo que noza, y fue denunciado en n del citado mes de Mayo por D. Andrés es la Constitución y el Gobierno monárquico representativo. No se re Ciudad Sánchez , inspector y visitador de la fábrica de salitres y sali duce como otras á ir repitiendo por preguntas y respuestas lo que dice nas del reino, é intendente honorario de provin…</t>
  </si>
  <si>
    <t>…2 lineas , pues la Para presidente reunieron votos los Sres. obispo de Mallorca, G¡- censura de Paris no tendría por conveniente que se supiesen ciertas raldo , Ciscar , Navarro ( D. Andrés), .Martínez de la Rosa , Allende, cosas. Sandio , Oemencin y Muñoz Torrero; y habiendo tenido el Sr. obis Hablábase de peste en Túnez y en Salónica. po de Mallorca 80 de 1;o que era el total , quedó elegido presidente. El 7 esperaban al Rey de Inglaterra en P…</t>
  </si>
  <si>
    <t>…robada el acta de la sesión anterior, se mandaron agregar de presentarse como muy probable la guerra , atendido el extr-ordina- áella los votos particulares de los Sres. Navarro ( D. Andrés), notomsrio entusiasmo que cada vez se declara mas abiertamente contra los yor, Dolaría y Lasama, contrarios á la resolución de las Cortes, por i* turcos en Rusia y en Alemania , y la dificultad casi invencible aueha- cual s-r establece la nueva provincia de…</t>
  </si>
  <si>
    <t>…ión de Marina se pasó un egemplarde la obra intitulada Se acordó contestar al ministro que manifestase al Rey que las Cor los viages de Carlos Duvink de Inglaterra, presentada por D. Andrés tes habían oido con la mayor satisfacción las lisonjeras expresiones de María Salazar , para que sirva de mayor ilustración á la comisioa de S. M. Marina en lo relativo al proyecto orgánico de la armada naval. Se pasó á discutir un proyecto de la comisión de…</t>
  </si>
  <si>
    <t>…me opongo á que sea mayor ó me nión, creo que debe aprobarse el. artículo de que se trata. nor el plazo que deba darse.; .pero sí dire que las Cortes no pueden de El Sr. Navarro.( D. Andrés ) : Mi opinión es que no se debe fijar terminarlo en este articulo en rezón de que ha de ser una consecuencia «1 mismo término para resellar una clase de moneda francesa que otra. déla determinación de la ley. Lo .primeroque se debe hacer es ver las -Convengo…</t>
  </si>
  <si>
    <t>…ados, y esta es tór^iO Tdebia bícírtttlWiSifácjérflá las Cortes , según tiapoleonerde oro-, y que en cuantoiá lo gueqhabia, manifestado -el. Sel- modo creo gue.,esta ñor Navarro ( D. Andrés), relativb.á los diferentes plazos.quese Ide-w berian señalar según da clase:de moneda7 «epodriabaoer iunaiptopo-I sicion. ■ - - &gt; . , í-■ ..r./'i ,;:•?&gt; cíéi.i - .-id eh íí2S4íi¡¡..l'í!Kt Se.acordó por último que este artículovolviesedá.li comisión para que…</t>
  </si>
  <si>
    <t>…s se harán á medida que haya moneda fabricada di sar á la comisión. cualquiera clase; pero se autoriza á la ¡unta directiva para aprovrchat Se leyó la siguiente del Sr. Navarro (_ D. Andrés), que no se admi los cospeles de ley y peso correspondientes de los medios luises , fabri cando con ellos monedas de á 10 rs. vn., conforme á los ensayos pre tió á discusión. » Que se añada á la definición propuesta por la comisión can daño i sentados con el…</t>
  </si>
  <si>
    <t>…ntro de los diez dias siguientes al en que se acabó la comisión la tomaría en consideración. la vista. 5.0 Pasada la causa con dos egemplares del extracto al coman El Sr. Navarro (D. Andrés) opinó que según los principios de la dante general, tendrán este y su auditor el término de treinta dias para buena moral y del sabio Smith , debia hacerse alguna distinción con la1 cotejar el extracto con los autos, instruirse y dar sentencia. 6° Si por ino…</t>
  </si>
  <si>
    <t>…ales, que no están entera Ay starán , Gaseo, Camus y Herrera, Diaz del Mora! , Michelena, dos de las leyes municipales, y á los cuales aun después de calificada Divida , Navarro ( D. Andrés), Muñoz, Vadilio, Quiroga, Yuste, Ja ignorancia se Íes impone toda la pena. Ademas se dice que la igno Navarro (D. Felipe), Pierda, Hermosilla , Moreno, Méndez, Solana, rancia ha de ser cierta ó verosímil: ¡y es io mismo probar una igno Romero (D. Josef) y Di…</t>
  </si>
  <si>
    <t>…rola 'Camu^llerrera , Mendez , Desprat, Puigblanch , Q--i-'::-a, presenta cerrado , y que se le califique de' «nyiiib,.f'de. poco ¡franca á García £ D. Pauicio ), López, Navarro £ D. Andrés ) y Solana, y se la comisión. Si no se ha visto lo que contijjjgjjh elÜiatamen , ¿por qué *■ extendió en los términos siguientes: &gt;» Pedimos que para la Instrucción ¡ se le llama ominoso &gt; y se le compara con la caja de Panáor|l Tendrá . de los Sres. diputado…</t>
  </si>
  <si>
    <t>…haber muchos.señores que querian toda cular de los Sres. Dolarea , Méndez, Gil de Linares, Milla y Navarro vía hablar sobre ella, quisiera evitar que' ahora sucediese tal vez lo (D. Andrés), contrario á la aprobación del párrafo segundo del artí mismo en un ásunto de tal gravedad, y á cuya discusión se ha de traer culo 27 del código penal. un número extraordinario de hechos á que la comisión manifiesta que Las Cortes quedaron enteradas de una e…</t>
  </si>
  <si>
    <t>Andrés, Josef</t>
  </si>
  <si>
    <t>Josef Andrés</t>
  </si>
  <si>
    <t>…firmó el señor juez de primera instancia, propietario de este mas escandalosos, pues ha llegado el cambio: de esta moneda á un 7 y partido, en Cañete y Agosto 21 de 1821. Doy fe ; D. Josef Andrés de 8 por 100; de modo que muchos de los que actualmente tienen me Arellano.=A nte mí = Juan Domingo Palomares García. dios luises tienen una ventaja considerable respecto de los que los tenían, Cartilla para juicios conciliatorios, escrita con objeto de evita…</t>
  </si>
  <si>
    <t>Andrés, Josef Moratilla y</t>
  </si>
  <si>
    <t>Josef Moratilla y Andrés</t>
  </si>
  <si>
    <t>…ito, y por lo mismo si hay dos distritos menos, es evidente la eco llamando á los dueños de un oficio de procurador del número de esta vi nomía. lla que en la actualidad desempeña D. Josef Moratilla y Andrés , y que Se me olvidaba hablar de la provincia de Murcia, pues parece que se anuncie en la gaceta y diario de esta capital para mayor publicidad. S. S- ba extendido también á ella sus observaciones; este distrito era En su consecuencia se previene al que lo se…</t>
  </si>
  <si>
    <t>Andrés, Manuel de</t>
  </si>
  <si>
    <t>Manuel de Andrés</t>
  </si>
  <si>
    <t>…enceslao de la ruega á la persona en cuyo poder hubieren caído se sirva entrevamos ó Cruz.—Comandante de la milicia voluntaria nacional., Josef Aparicio dar razón de su paradero á D. Manuel de Andrés , vecino de esta cor -Ruiz.=MigueI María Jalon.czPor la .clase de.capitanes del regimiento te , calle de Panaderos á ia de Hortaleza , casa núm. 14 , cuarto 2.0, apo caballería de ia Reina, segundo de ligeros, Fausto Caballero.=Coijro derado de los interesado…</t>
  </si>
  <si>
    <t>Andrés, Martin Fernandez Navarrete y D</t>
  </si>
  <si>
    <t>Martin Fernandez Navarrete y D Andrés</t>
  </si>
  <si>
    <t>Gaceta de Madrid n.º 213</t>
  </si>
  <si>
    <t>…ra del suave yugo Con que el los Eres. D. Andrés Caballero, D. Manuel de Ribacoba y Gorvea, Gran turco oprime á ios griegos, considerándolos cual'esclavos', de D. Ramón de Angulo, D. Martin Fernandez Navarrete y D Andrés seosa de que eL mahometismo salga victorioso contra el cristianismo; de la Cuesta, ademas de D. Josef Francisco Muguiro é Iribarren , nom ansiosa de que los griegos que han emprendido su emancipación no brado por el ayuntamiento, y de D. Manuel de lá Torre y…</t>
  </si>
  <si>
    <t>Andreu, Joaquín</t>
  </si>
  <si>
    <t>Joaquín Andreu</t>
  </si>
  <si>
    <t>…comprendidos en ia causa formada por las ocurren misma. Tarragona D. Josef Ixant y Pí, comerciante de Tarragona. cias de 10 de Marzo de 1820 en Cádiz , acerca del modo con que ha D. Joaquín Andreu , abogado y escribano de Vails. Gerona D. N. De- bían de instruirse del proceso ¡os defensores de ios reos , presentaron su las , barón de Vilagaya , hacendado , ex-alcalde. D. Josef Puig, hacen dictamen recadado en los artículos siguientes: dado de Ídem. Sob…</t>
  </si>
  <si>
    <t>Andró, Francisco</t>
  </si>
  <si>
    <t>Francisco Andró</t>
  </si>
  <si>
    <t>…y siguiente: como á ias cuatro de la tarde, recibo aviso por ios mili Ei: el distrito de Nueva-Espada. Para la de Veracianos arriba indicados de que los iadrones hablan per cruz á D. Francisco Andró? Cardenal, contador mayor de noctado en la casa de Manuel Murillo , y que los de Cas- cuentas de Quito : para la de Puebla de los Angeles á Don tejon iban en su alcance con dirección A Alfocea. Francisco [imenez Saavedra , ovni- tro contad» r de aquellas «A p…</t>
  </si>
  <si>
    <t>Anduaga</t>
  </si>
  <si>
    <t>…orque nó'se habían presentado sus ra causar una desunión, que debemos absolutamente evitar como el compañeros. mas funesto de los males. Yo veo que los mismos que de r 2 años á El Sr. Anduaga, encargado del despacho de la secretaría de-Estado, esta parte han conducido tantas veces el trono al precipicio siguen manifestó que no los había' visto , pero esperaba se presentarían: inme guiándole hacia él. Quisiera que los que aconsejan á S. M. tuviesen…</t>
  </si>
  <si>
    <t>Anduaga, Joaquín de</t>
  </si>
  <si>
    <t>Joaquín de Anduaga</t>
  </si>
  <si>
    <t>cía y Justicia, en que participaba que S. M. habia admitido Ja renun do , fiscal general por S. M. en la comisión de baldíos y arbitrios de Ja cia que habia hecho D. Joaquín de Anduaga del cargo de ministro ple provincia de Sevilla , de que no tiene títulos de propiedad, según ma nipotenciario cerca de S. S., á que ie habia destinado , dándole orden de nifestó el dicho llbeldo, y es la opinión general del pueblo. que se pusiese inmediatamen…</t>
  </si>
  <si>
    <t>Anel.zzD, Juan</t>
  </si>
  <si>
    <t>Juan Anel.zzD</t>
  </si>
  <si>
    <t>…as jubilaciones y reformas de que trata el título de ofi =z D. Pedro Vidal. = Di Andrés Roces. sD. Josef Benito' Chlvo.‘=: ciales.” Aprobado. D. Narciso Olivas. =D. Andrés Ester. ^D. Juan Anel.zzD. Blas- Añ Art. 108. » El Gobierno señalará el uniforme que deba'usar, em ónela. zzD. Ramón Marco.z=D. Manuel Sierra. =D. Serapio Marin.zzr pleándose en él solo géneyos nacionales.” Aprobado. D. Eugenio Lopez.zzD. Josef Percz.=D. Luis Zueco. = D.. Vicente El S…</t>
  </si>
  <si>
    <t>AnElCourier</t>
  </si>
  <si>
    <t>840</t>
  </si>
  <si>
    <t>…en el que se le culpaba de enemigo de la Consti ser coronada con el Rey, y se dice que el Gobierno no accederá á ello. tución , condenando al mismo tiempo á los individuos de este D. AnElCourier, que pocos dias há llenó xi larguísimas columnas, describien tolin Gutiérrez Carretero, Manuel Gutiérrez, Lucas García, Josef do el ceremonial y los trages de los cortesanos en la celebración del dia Sánchez y Josef Bazaco en todas las costas procesales, y en…</t>
  </si>
  <si>
    <t>Aner</t>
  </si>
  <si>
    <t>…de esta pérdida. polacra rusa, su capitán Bastanzi, y el bergantín ruso, su capitán Jor El Sr. Lasanta en su discurso dió una idea muy contraria de lo que ge Cambien. manifestó el Sr. Aner en la discusión de 23 de Julio de 1811, puesto _Parece que se piensa en un nuevo Congreso, que se celebrará dentro de que lo que realmente dijo aquel dignísimo diputado fue: » Que todo poco tiempo en Viena, y que será como un suplemento á los de Carlslo que f…</t>
  </si>
  <si>
    <t>Angel</t>
  </si>
  <si>
    <t>Gaceta del Gobierno n.º 18</t>
  </si>
  <si>
    <t>…se cita y los amantes de la literatura se complacen frecuentemente emplaza nuevamente á cuantos se consideren con derecho á la masa y concurso de acreedores á la testamentaría de D. Angel en investigar el origen de sus mas preciosas producciones, González Viüanúeva, para que acudan á formalizarlo con los y en retroceder hasta la infancia de las artes y ciencias, que documentos que lo comprueben en el término de 12 meses, zanto nos deleitan , r…</t>
  </si>
  <si>
    <t>…dictamen de la comisión de Legislación acerca de las me obligará.síempre á contribuir directamente á la felicidad de la na solicitudes de D. Mariano Nogues, D. Josef María Chaves, D. Angel ción de los héroes á que tengo la gloria de pertenecer. No quiero refe Valero y D. Ramón Serrano , en que pedían permuta de estudios; y la rir en esta, que es respuesta á la suya de 3 de Noviembre de 1820, comisión opinaba debia accederse á dichas solicitudes…</t>
  </si>
  <si>
    <t>Gaceta de Madrid n.º 193</t>
  </si>
  <si>
    <t>…uni de las dos escuelas públicas de primeras le ger la libertad individual, y la libre manifestación de las opiniones. tras de la ciudad de Medina de Rioseco al cargo del maestro D. Angel El voto general de la nación era bien sabido del Monarca; y en la no Escudero, combinado con un sistema fijo de enseñanza mutua muy su tificación para la reunión del Parlamento, hecha por el Príncipe vica perior al de Bell y al de Lancaster; y su práctica , redu…</t>
  </si>
  <si>
    <t>…ranada á D. Josef Coisa y Saro y á D. Josef López de Cozar. tre el despotismo que acaba y la regularidad que emp'eza, pueden los Para magistrados de las audiencias de Valladolid á D. Angel de. apasionados de aquel retardar la victoria de esta; pero triunfará al fin Govantes Fernandez de Angulo: para la de Granada á D. Manuel Jo la Constitución, que es la razón pública, revestida de -ana forma letal. sef de Vilches y D. Gonzalo Heredia: para la…</t>
  </si>
  <si>
    <t>…Josef Flores Ala torre, magistrado honorario de la, pelidas reciamente hacia las'costas del Peloponeso suben muchas reces misma,.y juez interino, de primera instancia de Méjico: á D. Angel por encima demias peñas y de los árboles mas altos 5 pero estas agitaciones Pinilla y Perez, teniente letrado y asesor ordinario del gobierno é in extraordinarias van comunmente acompañadas de temblores de tierra, de tendencia de la Nueva-Vizcaya: á D. Octavi…</t>
  </si>
  <si>
    <t>…Martínez Kortun, del batallón de Barinas , el de mili que se conserve independiente aquella provincia, ó que en el caso de cias D. lelesforo Gutiérrez, y el subieniente de Barinas D. Angel que se forme, una sola de las tres Vascongadas, se fije la residencia de Caula. Los enemigos dejaron en el campo 70 á 80 muertos , varios fu las autoridades en el territorio guipuzcoano. siles, una caja de guerra &amp;c. Se dió cuenta de una exposición del ayunta…</t>
  </si>
  <si>
    <t>…Manuel.Herrera Bustaínante, coronel de artillería: Don cusión se acordó que la diputación permanente eligiese su presidente; Antonio Martinez Velasco, cura de Santiago de Madrid: D. Angel que la presidencia fuese mensual , y que no pudiese ser reelegido el pre Soberon, gefe político' de Canarias : D.Elias Alvarez, abogado de Mel sidente, pero sí el secretario, el cual también se nombraría todos io* gar: D. Tomas Albear, propietario de Colindre…</t>
  </si>
  <si>
    <t>…nio hasta la de este, aunque no estén pagadas, mín Alvarez Enlate, penitenciario de Santiago de Galicia; D. Miguel tomada posesión ni otorgadas las escrituras. Escudero. Suplente. D. Angel bata&gt;eta de Jlurdoz. 4. " y por úitirno que no se satisfaga dicho derecho por ningún*</t>
  </si>
  <si>
    <t>Angel, Juan de Orduña y</t>
  </si>
  <si>
    <t>Juan de Orduña y Angel</t>
  </si>
  <si>
    <t>…un arreglar esta conforme á la estación y al concurso de los espec tadores. =» : . - ANUNCIOS. .2 En cumplimiento de lo resuelto por S. M. y acordado en el tri Por providencia del Sr. D. Juan de Orduña y Angel, juez de pri bunal de Cruzada, se saca á pública subasta la contrata de 208 resmas mera instancia de la .villa de Bilbao, se cita y llama á los herederos de de papel , necesario para la impresión de la bula de Cruzada y sumarios Doña Damiana de Aidazolo , vec…</t>
  </si>
  <si>
    <t>Angel, Ram'on</t>
  </si>
  <si>
    <t>Ram'on Angel</t>
  </si>
  <si>
    <t>…flexiones quejándose de aquel capitán general por, haber infringido el artículo sobre lo mal que habia distribuido sus caudales dicha compañía, con 353 de la Constitución: otra de D. Ram'on Angel de las Cuevas, juez cluyó diciendo debía aprobarse el dictamen de la comisión. de primera instancia del partido de "Valderas, provincia de J_eon , vin Se suspendió esta discusión para que hablase el Sr, encargado de la dicándose de la infracción de que sé.que…</t>
  </si>
  <si>
    <t>Angel, Ramón</t>
  </si>
  <si>
    <t>Ramón Angel</t>
  </si>
  <si>
    <t>…Sr. Citerne mantiene Josef García Alfonso: para el de Astorga á D. Vicente Perez Sánchez: su depósito de cardas de su fábrica de Nonancourt, como iguihnér.tu pira el de Valderas á D. Ramón Angel de las Cuevas: para el de Sa- la de cepillos de todos tamaños. M.VDR'D.EX LA IMPRENTA NACIONAL.</t>
  </si>
  <si>
    <t>Angelini</t>
  </si>
  <si>
    <t>Gaceta del Gobierno n.º 26</t>
  </si>
  <si>
    <t>…do que - el viage de S. M. se dilate á lo Bien sabemos que en todas las elecciones hay intrigas; menos popocho dias. pero nuestra probidad política no permite que á estas intri El Sr. Angelini fue de contrario parecer , pues dijo qué gas se les dé publicidad, como se permitía hace algún tiempo. creia oportuno que el Rey se pusiese cuanto antes en ca Nuestro respetable Statthalter cerca del consejo supremo mino,. con tal que el Parlamento hiciese un…</t>
  </si>
  <si>
    <t>Angui, Juan Bautista</t>
  </si>
  <si>
    <t>Juan Bautista Angui</t>
  </si>
  <si>
    <t>…n, D. ju.111 Je Saldivia y D. Manuel Morcillo , oficiales de! regi se haya tardado mas cr. formar; que mas se hava discutido: que mas miento de; Aragón, dijo que la ley absuelve á D. Juan Bautista Angui, derecho tenga a ser reconocida , si no como perfecta (pues perfección no teniente del mismo regimiento, de la responsabilidad de dicho impreso; cabe en las obras del hombre ) , á lo menos como la menos imperfecta. y que en su consecuencia mandaba se le alzas…</t>
  </si>
  <si>
    <t>Angulo, Bernardo Gqnzalez</t>
  </si>
  <si>
    <t>Bernardo Gqnzalez Angulo</t>
  </si>
  <si>
    <t>…or cura de. Sto. Romingo Izijcar; Rr- D- Josef Maris Eochét y relator dé respondientes para poder entablar su empresa" , hasta ahora no se" hábtá la audiencia de México, ylel Lic. D. Bernardo Gqnzalez Angulo. Su verificado; y después de haber hecho varias observaciones sobre este plentes , Sres. R. Rafael Mangipo , contador de laHacienvla nacional de asunto, y sobré qué lis óbjras'qué había hecho dicha" compañía'no ha Valladolíd de Mechoacan , y el Lie.¡D. Josef-…</t>
  </si>
  <si>
    <t>Angulo, Dionisio</t>
  </si>
  <si>
    <t>Dionisio Angulo</t>
  </si>
  <si>
    <t>…restauración, no pudieron contribuir á tan gloriosa obra, FORTVOAt. y deseaban dar una prueba de su amor á la Constitución. Sus nombres y apellidos son D. Ramón Quintana, capitán: D. Dionisio Angulo , te Lisboa 26 de Junio-Sesión del 20. niente: D. Ildefonso Martínez, id : D. Juan Baricher, id.: D. Fran El Sr. Maldonado propuso que se crease una orden con el título de cisco García Aicaráz, id.: D. Josef López Pareja, id.: D. Josef Mar Orden de la Constit…</t>
  </si>
  <si>
    <t>Angulo, Domingo Fernandez</t>
  </si>
  <si>
    <t>Domingo Fernandez Angulo</t>
  </si>
  <si>
    <t>…........... I.... ....... 2..... Parroquia de S. Luis , i,j electores. Dia 20............. ...... 2:..... ....... O.............. .. I...» ....... 3...... D. Berna'rdino Entillac, D. Domingo Fernandez Angulo, D. Fran cisco Orea, D. Josef Larreategui, D. Josef Perez Morales, D. Josef 7■ 5- 3- 34- Pío de Molina, D. Manuel García del Barrio, D. Marcos Cubilio, D. Mariano Valero, D. Nicolás de Puga, D. Pedro Matute, D. Ra Hay ademas cuatro sospechosos. fael Costa y D…</t>
  </si>
  <si>
    <t>Angulo, Juan de</t>
  </si>
  <si>
    <t>Juan de Angulo</t>
  </si>
  <si>
    <t>…cipe de Salerno su hermano para Baya, donde pensa fante D. Carlos, como coronel de la brigada de Carabine ban hallar al Rey; pero encontraron en el camino un correo ros Reáles, al coronel D. Juan de Angulo, capitán de la que traia la noticia de. la salida de S. M. misma; cuyo destino ha resultado vacante por retiro de La proclama del Príncipe Regente á los pueblos de las D. Manuel Moxó ; y de orden de S. M. lo comunico á V. Pos Siciiias es el objeto de las conv…</t>
  </si>
  <si>
    <t>Angulo, Ramón de</t>
  </si>
  <si>
    <t>Ramón de Angulo</t>
  </si>
  <si>
    <t>…ne'ux, digna defensora del suave yugo Con que el los Eres. D. Andrés Caballero, D. Manuel de Ribacoba y Gorvea, Gran turco oprime á ios griegos, considerándolos cual'esclavos', de D. Ramón de Angulo, D. Martin Fernandez Navarrete y D Andrés seosa de que eL mahometismo salga victorioso contra el cristianismo; de la Cuesta, ademas de D. Josef Francisco Muguiro é Iribarren , nom ansiosa de que los griegos que han emprendido su emancipación no brado por el a…</t>
  </si>
  <si>
    <t>Anido, Bernardo de</t>
  </si>
  <si>
    <t>Bernardo de Anido</t>
  </si>
  <si>
    <t>…Castilla , que pertenecen al mayorazgo fundado por la misma ; y otro primera instancia = Rafael Guerrero, contador tiel Crédito público., por de 20 de Octubre de 1Ó21 en cabeza de D. Bernardo de Anido ¿i sí y toda la dependencia de su cargo.—Comandante.de suizos,, Juan 74,800 mrsi de renta, situados en la de puertos secos d: Castilla. S: VVallespuhl.=Comandante de la milicia 'nacional., ‘Wenceslao de la ruega á la persona en cuyo poder hubieren caído se si…</t>
  </si>
  <si>
    <t>Aníiilon</t>
  </si>
  <si>
    <t>…a dotación que corresponde al que tiene uca obligación pesada y Carlos de esta capital, para que se derogase la ley 1.“, tír. 13, lib. 18, la desempeña. El dignísimo y desgraciado diputado Aníiilon en su y la r.'1 de D. Felipe ix, tít. 13 , ambas de la Novísima Recopilación.. Geografía dice , refiriéndose á las cartas de Cabarrus á Jovellanos: Se leyó por primera vez la siguiente proposición del Sr. Larriba. » Abro el censo español, hecho en 1788, y hal…</t>
  </si>
  <si>
    <t>Aniz, Josef Manuel de</t>
  </si>
  <si>
    <t>Josef Manuel de Aniz</t>
  </si>
  <si>
    <t>…as. declarado por los votos de dos terceras partes de sus diputados estar ¡a ValladoLd. D. Pedro Ricardo. patria en peligro, podrán suspender la egecucion de aquellos artículos de D. Josef Manuel de Aniz. Sres. Sánchez y Lozano. la Constitución relativos á la división de ¡os poderes políticos que crean D. Josef Joaquín Garviso , de Doña Teresa de Acosta. necesarios, y disponer lo que convenga á la salvación de la causa pú Pamplona. V.1 Hermosa , de Santander.…</t>
  </si>
  <si>
    <t>Annes</t>
  </si>
  <si>
    <t>…ién á la Nación y al egército. tiene cualquier particular, que .¡por qué se le habia de quitar este ai (Gritos; fuera1, tumulto, gran desorden ; voces, á la izquierdarespe Rey? El Sr. Annes, considerando la iniciativa de las leyes como una tad Jas canas del orador. ) Mr. Cornet d’lncourt pidió no solo que prerogatíva, y opinando que debían dársele alRey todas las que con este fuese llamado al orden , sino también que no se le permitiese tribuyes…</t>
  </si>
  <si>
    <t>…del Estado la del mayor número, la de los por las leyes : 2. ' publicando escritos obscenos y deshonestos.” empleados públicos , bien pronto vendremos á parar á esta consecuen El Sr. Annes dijo que debería hablar solamente con los que ataca cia : que es preciso proscribir á los que no la profesan; y ia Si. Par- sen la moral universal , y el Sr. Abad de Medroes manifestó que nin thelemy, la revocación del edicto de Mantés, el sitio de la Rochela…</t>
  </si>
  <si>
    <t>1630</t>
  </si>
  <si>
    <t>…o, existencia anterior 222 : entrados ó acoen el egercicio de su empleo-dentro-de dos ó tresurtieses'? : - metidos; go: salidos ó curados 4: convalecientes 16: muertos 37: exis El Sr. Annes apoyó el artícuio ; y habiendo pedido la palabra el tentes 241. Sr. Bastos para contestarle , y negándosela el Sr. presidente por haber Ciudad, existencia anterior 329: entrados ó acometidos 26: salidos hablado ya dos veces / aunquesalegaba poderlo hacer siem…</t>
  </si>
  <si>
    <t>Gaceta de Madrid n.º 328</t>
  </si>
  <si>
    <t>…y todas las posibles atenciones, no debia omitirse esta. vanecen conjuraciones; el hombre malévolo no se abandona tan fácil Otros Sres. diputados hablaron en pro y en contra, y el Sr. Annes mente á su perversa inclinación; el intrigante tiene miramientos; el deGarvalho dijo que era preciso aprobar el artículo para apartar del pue adulador se envilece menos, y todos aquellos que no se desprenden fá blo la.idea que tenia de que las Cortes miraban…</t>
  </si>
  <si>
    <t>Añquiz, Pascual</t>
  </si>
  <si>
    <t>Pascual Añquiz</t>
  </si>
  <si>
    <t>…D; Antonio Roca , en 8971 rs. con tierras de D; Andrés Vatened, rambla de la Canaleja y Otra eñ dicha calle j núm, 23» que linda con otra dé ágüas vertientés, eñ 6697 rs; y 9 mrs. D. Pascual Añquiz, dicha calle dé victorio y con la de D. Mateo Lope? , en 8795 rs. kúmero. 13. Otra en la plazuela de Cevallos, núm. 17, linda coñ otra de D. Josef Roca y de D. Gerónimo Gómez, en En la provincia de Guadalajara procedentes de secu si,869 rs. larizaciones , cuy…</t>
  </si>
  <si>
    <t>Anselmo</t>
  </si>
  <si>
    <t>Gaceta del Gobierno n.º 57</t>
  </si>
  <si>
    <t>261</t>
  </si>
  <si>
    <t>…. Estas finías, como procedentes de mostrencos, niau, Cepeda, Gutiérrez Acuña, Gareli , Perez Costa, se subastan por las dos terceras partes de su valor, que cor Gaseo, Fernandez (D. Anselmo), Castañedo, López Cons responden al Crédito público, á crédicos liquidados, y por tante, Zavala, Quintana, Arrieta, Mediano, Lagrava, So- la otra tercera á dinero metálico, que pertenece al denun lanot, Florcz Estrada, Tapia, Villa, Ramonee, Peñafiel ciador…</t>
  </si>
  <si>
    <t>…del Estado.” La comisión ha tenido (D. Felipe), Yuste , Desprat, Romero (D. Josef), Camus Herrera la docilidad de accederá las observaciones hechas por varios Sres. di Fernandez (D. Anselmo), López Constante, Muñoz Arroyo, Guerra putados, con el fin de ganar tiempo y zanjar este asunto, porque mien (D. Josef Basilio) , Lasanta, Zorraquin , Torre Marín , Ochoa Goltras las Cortes se están fatigando en la discusión de este negocio, los ver fin, Gut…</t>
  </si>
  <si>
    <t>Ansótegui, Francisco Tomas de</t>
  </si>
  <si>
    <t>Francisco Tomas de Ansótegui</t>
  </si>
  <si>
    <t>…rriba dejamos El Rey, teniendo en consideración los méritos y servicios del re publicado es su6ciente al lector reflexivo para formar el juicio conve gente de la audiencia de Lima D. Francisco Tomas de Ansótegui , y niente sobre la crítica situación en que se hallan los negocios de Rusia del magistrado de Ja misma D. Francisco Javier Moreno y Escanden, y Turquía. ha venido en concederles los honores de ministros del supremo tribunal Los servios se han declarado ya en…</t>
  </si>
  <si>
    <t>ANTIGÜEDADES.-----Egipto, HTSTORTA Y</t>
  </si>
  <si>
    <t>HTSTORTA Y ANTIGÜEDADES.-----Egipto</t>
  </si>
  <si>
    <t>Gaceta del Gobierno n.º 33</t>
  </si>
  <si>
    <t>…desde el en que se anuncie en este periódico, concurran por sí ó por medio" dé procurador conocido á dedu . '.' ' \ .. • ' cir sti: derecho en ’ los autos que ante el nominado Sr; juez HTSTORTA Y ANTIGÜEDADES.-----Egipto. y escribanía de provincia de D. Pedro Josef-de Ibabe sé-haíí La expedición á Egipto por los franceses será eterna promovido a nombre1 ¡de D. Santiago Aquiilo , administrados? 1,¿.. „. „ ti „..—i. W . Wj ¿i. w -i21.„mente memorable en los fastos de la Europa…</t>
  </si>
  <si>
    <t>Antiriega, María Josefa de</t>
  </si>
  <si>
    <t>María Josefa de Antiriega</t>
  </si>
  <si>
    <t>Gaceta de Madrid n.º 146</t>
  </si>
  <si>
    <t>700</t>
  </si>
  <si>
    <t>…namá; y habiéndolos examinado con la mayor escrupulosidad , opi naba debían aprobarse; y fueron aprobados. CORTES. La de Legislación presentó su dictamen acerca de la solicitud de Doña María Josefa de Antiriega para que se dispensasen á su hijo los PRESIDENCIA DEL SEXOR CUESTA. tres años de edad que le faltaban para poder administrar sus bienes: la comisión opinaba debia accederse á dicha solicitud , y se aprobó su , Sesión del ny. dictamen. Leida y aprobada el acta…</t>
  </si>
  <si>
    <t>Antiva, Domingo</t>
  </si>
  <si>
    <t>Domingo Antiva</t>
  </si>
  <si>
    <t>Gaceta de Madrid n.º 87</t>
  </si>
  <si>
    <t>413</t>
  </si>
  <si>
    <t>…narias, á la sanción de S. M., y¿ la razón A la de Legislación pasó una solicitud de D. Juan Antonio de la misma. Silos derechos feudales que tenia S. M., dijo, han quedado Vega r D. Domingo Antiva, en que piden se les devuelvan las can abolidos, si estos derechos pertenecientes al Rey , que son de la mis tidades de dinero' que les exigió en 1814 la comisión llamada de cau ma naturaleza, de la misma especie, del mismo origen , idénticos á los sas de Est…</t>
  </si>
  <si>
    <t>Anto</t>
  </si>
  <si>
    <t>…villa. Las Cortes los recibie blicos, sin otra distinción que la que establezcan sus talentos ó sus ron con agrado. virtudes. Ala de Infracciones de Constitución pasó una queja de D. Anto 14. « Todo ciudadano podrá presentar por escrito á las Cortes y nio Josef Escudero, escribano, vecino de S. Bartolomé, partido de al poder egecutivo sus reclamaciones, quejas ó peticiones, las cuales Talavera , sobre infracción de Constitución, cometida por e…</t>
  </si>
  <si>
    <t>…y mandaron hacer mención en disfruten este beneficio. la gaceta, de uuX exposición del cabildo de la colegial de Baza , presen A la de Hacienda se mandaron pasar una exposición de D. Anto tada por el Sr. Muñoz Arroyo. nio Rodríguez, patrón de la matrícula de Sevilla , para que se le pa Se hizo tercera lectura del proyecto de ley para prohibir el tráfico guen por la tesorería general ciertas cantidades que se le deben por la de esclavos, y se r…</t>
  </si>
  <si>
    <t>965</t>
  </si>
  <si>
    <t>….° del decreto peche.” Aprobada. de 9 de Noviembre de 1810. También se leyó la siguiente de los Sres. Navas, Govantes, Calde A la de Salud pública se mandó pasar una exposición de D. Anto rón , Yandiola y otros. nio Balselis, en la que manifiesta lo útil que será entren en las juntas » Pedimos que en el art. 36 se añada Búrgos á las capitales en que de sanidad algunos farmacéuticos. se establecen universidades de tercera enseñanza.” A la de In…</t>
  </si>
  <si>
    <t>…n modo perjuicio para Lorenzo el decreto siguiente: los que las pidan ,porque esto io puede hacer todo aquel que quiera, y &gt;&lt; Atendiendo á las r petidas instancias que me ha hecho D. Anto el que no tiene necesidad de sacarla. . nio Barata, mi secretario de Estad:» y del Despacho de Hacienda , para Por lo mismo que se trata de géneros nacionales hay una razón que le admita la dimisión de este destino, que por el estado de su sanad para que se a…</t>
  </si>
  <si>
    <t>…e de tenientes coroneles del egército , se ha tantos y tan repetidos actos de desconfianza y desunión con que parece lla vacante, á resultas de haber fallecido el coronel graduado D. Anto se intenta socabar el augusto edificio social que tan magestuosa y dig nio Mendizabal, i quien se había conferido últimamente; y de orden namente ha levantado la heróica Nación española ; Si el ministerio es del Rey lo digo á V. á fin de que circulándolo á qu…</t>
  </si>
  <si>
    <t>…o que las audiencias de Mallorca y Madrid, uni :adquir¡r cosa alguna en España por razón de sucesión ni por otro título; versidades de Zaragoza y Valladolid, el Ateneo español-, y D. Anto -pero el deportado podrá en el lugar de su deportación adquirir lo- que nio Pacheco ^hablan hecho observaciones acerca de este articulo; gane por su trabajo ó industria.” Yo preguntó si aqui queremos hacer El Sr. Doiarea dijo que encontraba que por este artic…</t>
  </si>
  <si>
    <t>Anto, Mariano</t>
  </si>
  <si>
    <t>Mariano Anto</t>
  </si>
  <si>
    <t>…tros de la audiencia de Valencia al marques de la Calzada y 11 » Completad vuestra obra , respetables legisladores, y tened siempre á D. Josef Ayuso Navarro: para la de Astúrias i D. Mariano Anto á la vista que ademas de la suerte de nuestros conciudadanos, el crédi nio Collado: para la de Extremadura i D. Alfonso Cavia y D. Ignacio to de las instituciones y la causa de la humanidad dependen en gran Marín y Sánchez; y para la de Cataluña á D. Francisc…</t>
  </si>
  <si>
    <t>Anto-</t>
  </si>
  <si>
    <t>…lación á su histo de Cervera á D. Gines María Serrano : para la de Berga á ria ; y está sembrada ademas de anécdotas biográficas inte D. Blas Damian de la Vega: para la de Urgel á D. Anto- ■- resantes. Miss Wakefield ha hecho después un viage con sus nio Porta y Fábregas: para la de Balaguejr á D. Ramón discípulos por lo interior de la capital y por sus alrede Carvajal y Trej’o: para la de Lérida á D. Josef María Aguí- dores (Preambulations in…</t>
  </si>
  <si>
    <t>…s : » Si nosotros nos abstenemos;de Electores de fartido. tomar parte en este negocio',' ¡a Rusia será dueña de ajustarle como Madrid (Véase la gaceta del ó). Almonaei/l de Zorita D. Anto-</t>
  </si>
  <si>
    <t>Antommarchi</t>
  </si>
  <si>
    <t>Gaceta de Madrid n.º 211</t>
  </si>
  <si>
    <t>…sobre la cual se declaró que no diarias del Dr. Atnott, del 20." regimiento de S. M., juntamente con competía todavía á la Dieta, y que pasase á los Soberanos respectivos. las del profesor Antommarchi. ’i Este profesor llamó á consulta en 3 de Mayo al Dr. Shortt, Stuttgardt 27 de Junio. protomédico, y al Dr. Mi te he ¡, primer médico de este apostadero, los cuales, como también los demas médicos de la isla, se habían ofre (Concluye el artículo de ayer.') c…</t>
  </si>
  <si>
    <t>Antón, Cristóbal María</t>
  </si>
  <si>
    <t>Cristóbal María Antón</t>
  </si>
  <si>
    <t>…bre solo , y por está razón la comisión la; para la de Antequera á D. Martin.de'Pineda y Lara; para propone que se forme una corporación que dirija las funciones del-egér- Ronda á D. Cristóbal María Antón; pata-la de Casares á D:,'Agus cíto, haciendo parte integrante de este cuerpo el estado mayor, y tín Medina y Lavalle;.para la de Grazaletna á' D. Pabló .Muño»'Ala-, siendo responsable de todas las determinaciones el ministro de la nís ; para la de Guadin á ü…</t>
  </si>
  <si>
    <t>Antón, Felipe</t>
  </si>
  <si>
    <t>Felipe Antón</t>
  </si>
  <si>
    <t>…e se la concedió en la última legisla A la de Infracciones de Constitución se mandó pasar una exposi tura para vender la sexta parte del vínculo que posee, sea extensiva á ción de D. Felipe Antón, juez de primera instancia de la villa de Cie- la venta de cuatro casas que tiene en la ciudad de Oviedo , fue de dic za, quejándose de aquel ayuntamiento constitucional por haberle im tamen que se accediese á la so licitud de esta interesada, arreglándose 1…</t>
  </si>
  <si>
    <t>Antonia</t>
  </si>
  <si>
    <t>…e’ de debe ir la del Sr. Diaz Morales. ■ i-J ■ dos meses, contados "desde^ lar piüblicaeióhyd'dhiste decreto'Ji para recibir ' El Sr. Calatrava presentó'dos exposiciones , una de: D. Antonia en dicha clase á los qué sé'preseritéh'cón lás’cirfcudiihncias présfcrira^; es-f Mestre y otro ciudadano de Málaga . perseguidos por .adictos al sistema ten ya ó no alistados en Ti‘nó.'vóltrntariaK' por la comisión militar'que se nombró en i 814 ;'y pedían se…</t>
  </si>
  <si>
    <t>…os y medio cuarto de tierra al sitio de las Hidalgas, tras flaquezas, todos nuestros vicios y maldades, con tal que el Sobe linda con la cerradura de la Vega, y de tierra prado de Doña Antonia rano las ignore; y nosotros le tendremos sitiado por todos lados para Bustillo Marcorra del otro lado—En Solobio frente á la casa de D. An que se le oculten nuestras torpezas y vuestras reclamaciones.” tonio de Calenoa, digo Escalante, un pedazo de tierra en…</t>
  </si>
  <si>
    <t>Antonino</t>
  </si>
  <si>
    <t>…arcediano de Tarazona, y cura que fue de Tamajon, da rs. y io mrs. á la parroquial de S. Román: sobre el 32 uno de 38 rea á la acusación fiscal, promovida contra el mismo, el Lie. D. Antonino les y 8 mrs. al hospital de S¿ Cosme : sóbse el 5 t otro de un real y 3 García de la Puente, abogado del ilustre colegio de esta corte. Se ha mrs. á S. Benito de Calatrava: sobre el-núm. 52 , 69,70 y 74 uno llará en las librerías de Sojo , Villa, Brun y Orea;…</t>
  </si>
  <si>
    <t>Antonio</t>
  </si>
  <si>
    <t>…on la regla y el compás. MasAgustin de Sesma y Landa , D. Ignacio Ve! unza y Gadea, chsroni, todavía mas severo, quiso no hacer uso de la re D. Francisco Alvarez Reyeró de Reyero, D. Antonio gla. Es de admirar el gran número de proporciones nuevas Vargas Ucles de Herrera , D. Jacobs Wals y Linch , Don y curiosas que ha sabido encontrar en una materia agotada Luis Soler y Gómez de Cárdenas, D. Juan O-DonelL y' al parecer. Sus principales teoremas…</t>
  </si>
  <si>
    <t>…menos acerta al público que la fábrica de cerbeza alemana, que estuvo en láron á dar á la composición el temple, el empuje y ia ter casa- inmediata d la Cibeles, que fue propia de D. Antonio sura que esencialmante la constituyen. Granada, en medio Martin Thym, que la mudó, y continúa en la calle Real del de su llaneza y desaliño , se expresaba á lo menos con despe Barquillo , y no es la que Luis Bogel supone que fue suya , y jo y propiedad , y Me…</t>
  </si>
  <si>
    <t>…idad doliente ; por lo que -no se tendrá confianza de no .hacerlo la parará el perjuicio que haya lugar, en dichos sino de los oaquetes que se reciban de la mano del mismo ■autos. D. Antonio de la Cuesta. . El templo de Gnido; ó sea del Amor : .escrito en francés por .Mr. de Montesquieu, y traducido al castellano por D. Cándido VARIEDADES. Amador. Este poemita en prosa, dividido .en siete cantos, és una de las composiciones mas agradables del cél…</t>
  </si>
  <si>
    <t>…dos; y si no convila Gobernación de la Península al gefe de sección D. Joaquín Baeza; mese, ¿qué ministerio podría sostenerse contra la opinión de un cuerpo el de la de Ultramar á D. Antonio de;Gilleman5 él de la de-Gracia y legislativo tan claramente manifestada? Justicia al gefe de sección D. Manuel Encina, y él de la de Hacienda Por otra pártelos que han aconsejado al Rey ;á qué le han ex al oficial mayor D. Luis Sorela. ■ puesto? A que siigam…</t>
  </si>
  <si>
    <t>…Monforte. el 28 de Marzo de 1749, y murió en Roma el 31 de Enerol Era Lord Stewart salió en posta para Viena. hermano del cardenal Josef María Doria, que murió hace cinco años. El príncipe Antonio habia sido capellán de la Cámara apostólica, y AlfiXASM. después gentilhombre del Papa; fue creado cardenal diácono, juntamente con su hermano, en la promoción de 14 de Febrero de 1785. Desde StuttgarH (Wurtembergt') 13 Hz Febrero- el año de 1800 ha sido el p…</t>
  </si>
  <si>
    <t>…sión de licencias á los empicados de la-Hacienda pública. --El prior del convento de carmel ¡tas-de .aquella ciudad psugeto, muy A-la comisión de-Ultramar se pasó una-solicitud de D. Antonio adicto á nuestra Constitución, pronunció un elocuente discurso-.que.sin Mhniiel Pacheco , comandante del regimiento de Granada, que guar duda tendremos el gusto de poder leer impreso concluida-k-funcion,- nece en el dia á Puerto-Rico, sobre que se declare qui…</t>
  </si>
  <si>
    <t>…amino de la Zapata, de 2 obradas y media, de primera ca Se dió cuenta del dictamen de la cómísion de Legislación sobre una lidad, de secano, en 3210 rs. indicación del'Sr. García (D. Antonio), en que pedia se fijase el ver Otra al camino de la Herrada, de una obrada, de segunda calidad, dadero sentido de la palabra sirvientes domésticos, que no debían tener de secano, en 800 rs. voto activo ni pasivo en las juntas electorales de parroquia. Para e…</t>
  </si>
  <si>
    <t>…ó .principio á su entrada en esta.plaza-el regimiento de Amé canciones patrióticas, otros se abrazaban con las’ mayores señales¡ de tejrica, destinado, á reemplazar al del Infante D. Antonio; y lo. que se sa- nura, y bendecían tan apreciada unión; y finalmente no habla uno que I be hasta ahora de aquel cuerpo-basta para creer que es muy .digno de no diese muestras de contento y satisfacción, y que ho quisiese exceder : sustituir ,á los bizarros,…</t>
  </si>
  <si>
    <t>…de su actual instituto, incompati suspendió hasta la sesión siguiente, para “dar cuenta de una solicitud ble con el sistema constitucional por contener principios diametralmen de D. Antonio .y D. Iñigo Ramírez vetíinós de Ja villa de Tausté, en ' te opuestos al art. y otros de. np.estra ley fundamental; pedimos se Aragón) en que se quejaban de haberles impuesto mas derechos én el nombre una comisión especial que se encargúe de informar al Congre…</t>
  </si>
  <si>
    <t>…la secularización.” este ramo estuviesen obligados á dar cuenta de los documentos que se Se tuvo por primera lectura la de la siguiente proposición del se presentasen. ñor García (D. Antonio). » Pido que las Cortes se sírvan mandar El Sr. Cepero hizo una indicación , en que decia que téniendó no que todas las audiencias remitan al Gobierno listas de todas las causas ticia de los muchos pleitos que se habian suscitado por la distinta in que se hay…</t>
  </si>
  <si>
    <t>Gaceta de Madrid n.º 88</t>
  </si>
  <si>
    <t>…y Kfi'tjivi 20 de Marzo. por haber infringido ia Constitución. En 19 de Febrero empezaron en este seminario los exámenes de me - A la comisión de Legislación pasó una solicitud de D. Antonio dio curso; siguieron todos los de la semana , y fueron presentándose por Consa, abogado y fiscal de la Hacienda.pública en Barcelona, en que su orden los seminaristas á dar pruebas desús adelantamientos en pri haciendo presente lo indotada que se halla aquell…</t>
  </si>
  <si>
    <t>428</t>
  </si>
  <si>
    <t>…e D. Diego Pignatelli y al marques de Bra- orden de Alcántara, vacante por fallecimiento del Sermo. Sr. Infan maschi. Gaeta,Capua, Pescara y Civitta-del-Tronto se hallan provis te D. Antonio, para cuyo primer remate , que debe celebrarse en la tas para mucho tiempo ; esta última está defendida por el diputado del villa de Alcántara , está señalado el dia 27 del corriente. Parlamento el coronel Pepé, y será la primera que ataquen los austría El pa…</t>
  </si>
  <si>
    <t>…ue haya servido en aquella.” ANUNCIOS Se mandó pasar á la comisión de Milicias una indicación del señor nota. En el suplemento á la gaceta de ayer , fol. 346, col. 2.a, se García (D. Antonio), que decía asi: » Pido que se-señale que se ha incluyeron en la lista núm. 84 varias fincas pertenecientes á la lista de entender este proyecto:de ley desde el tiempo que se publique en nám. 83, que empiezan en la lín. 19 donde dice: Otra en id. de id. en lo…</t>
  </si>
  <si>
    <t>…cuyas luces y religión sean conocidas. Después de haberse declarado I’RESIDKNCIA SEL SÉSÍOR GUTIERREZ DB TURAN. eran proposiciones, se reputó por primera lectura. El Sr. García ( D. Antonio ) dijo que con el mayor sentimiento Sesión del dia 23 de Abril. habia visto en los papeles públicos que la tropa que salió de Logroño en Se leyó y aprobó el acta de la sesión anterior. persecución de los malhechores, y que tanto deseo manifestaba de ba A la c…</t>
  </si>
  <si>
    <t>…alegres con estas noticias, y va á salir un ex de Opinión que-debía aprobarse los Sres. Gaseo, Ruiz Padrón , Ramo» preso para llevarlas á Lisboa. net, Capero-, ‘Vadillo., Garc a ( D. Antonio ) , Arriera , Romero Al- » Luego que entró la embarcación determiné remitir á V. un pro puente , Lastarria-, Cortés, Cana-al ,-Florez Estrada , Plaza, Echevar pio; pero no he tenido cartas, y esto lo he sabido por los que las han ría , Verdu , íVíilanueva , M…</t>
  </si>
  <si>
    <t>…, cupo en la suerte del pri los turcos. mer extracto de la de este dia á Doña María de los Dolores Jiménez, En Francia continúa la Cámara de los Diputados en sus curiosos hija de D. Antonio, capitán del regimiento de infantería de Jaén, debates. muerto en ei camoo del honor. ARTICULO DE OFICIO. So han recibido periódicos, cuyas noticias alcanzan : las de Londres Circular del ministerio de la Guerra. hasta el 20 de Abril; las de Alemania hasta el…</t>
  </si>
  <si>
    <t>…exponiendo que sobre lo mismo habia Fueron de dictamen que debia aprobarse Jos Sres. Gaseo, Vadillo, pleito pendiente en el ¡uzeado de primera instancia de Navalcaritero: García ( D. Antonio ) , Arrieta, Mascare ñas , Diaz del Moral, Ro se mandó pasar á la comisión que entendió de dicha solicitud para que mero AÍpuente, Cepera, Sierra Panibley., Paul, Canaval , Cortés, refunda su dictamen. . Zapata, Lázaro, Echevarría, Berdug , Sánchez Toscano ,…</t>
  </si>
  <si>
    <t>…, en que aprobaron los poderes del Sr. Méndez, diputado por la Se aprobó una indicación de los Sres. Cepero, Cavaleri , Vecino, provincia de Sonsonate. Zapata , Azaola y García'"? D. Antonio ) &gt; que decía asi : &gt;1 En aten Las Cortes quedaron enteradas de un oficio del Sr. ministro de la ción á lo resuelto por las Cortes sobre la compañía del Guadalquivir, Gobernación de la Península, relativo á la gracia que le ha concedido pedimos que se recomie…</t>
  </si>
  <si>
    <t>…ortes aprobaron los dictámenes de la comisión de Legislación, En- el viage que el Rey de Inglaterra hará al Hannóver le acompa relativos á.qué podía áccedérsé á las solicitudes de D. Antonio del ñarán el lord Castiereagh y el conde de Liverpool. Pando, D. Manuel’Ayala, D. Juan Becerra y García, D. Andrés Garrido y D. Manuel Nasarre sobre dispensa de edad y permuta de rOKTUGAl. estudios para recibirse de abogados. La comisión de Hacienda presentó…</t>
  </si>
  <si>
    <t>…preopinante que se trata nada menos que de 8 á 10 veniente. millones; pero los intereses de una Nación deben mirarse como son Otro de la misma para que se acceda á la solicitud de D. Antonio en sí. Bajo este supuesto resulta que la diferencia que hay de no pagar Rodríguez , presbítero, relativa á que se le reintegre de la tercera parte los dos ó tres meses es de un millón de reales poco mas ó menos.jY se de un molino harinero perteneciente á una…</t>
  </si>
  <si>
    <t>…so de nuestro cónsul en Tánger, se sabe que el dia 12 de vinciales. Abril había llegado á aquella ciudad el Príncipe Muley Alí, hijo pre A la de Guerra una.éxpósicion.del,teniente coronel D. Antonio dilecto de Muley. Solimán, á encargarse: del gobierno de la provincia, Casal, quejándose de que no se le haya comprendido en unos ascensos. y que con su. llegada se. había restablecido el orden en toda ella, exteep- Las Cortes recibieron con agrado,' y mandar…</t>
  </si>
  <si>
    <t>…es, á aquel los que poseen ñafiej , González Allende, Valle, Ramonet, Vadillo, (lépero t Laspropiedades que no están afectas á esta carga, '¿o creo que esto seria tarria, García (D. Antonio), Muñoz Torrero , Arrieta, Clemente uní injusticia, porque los tales poseedores han comprado sus bienes Gutiérrez de Teran , Díaz del Moral, Romero Alpueate , i raver. Ls~ con esta circustancia , resultando que les lia costado mas que si estas es graba, Paul,…</t>
  </si>
  <si>
    <t>…n la Tas Cortes oyeron con agrado una exposición de los sargentos del ciudad de Toledo, según lo solicitaban varias personas , y medianteá-que regimiento de infantería del Infante D. Antonio, manifestando sus no tiéneTos.datos necesarios; pedia se dijese al Gobierno que á la ma sentimientos patrióticos. yor brevedad posible remitiese á las Cortes el-expediente que existe en Se dió cuenta de una exposición del Sr. ministro de Hacienda, par. su pod…</t>
  </si>
  <si>
    <t>…ntariamense para atender de la tropa de aquella guarnición. valor que hasta ahora hayan tenido los diezmos . porque habia tierras,; Se mandaron pasar al Gobierno una exposición de D. Antonio pueblos- y provincias que pagaban mucho , otras poco, y otras nada Guillen, religioso del extinguido monasterio de S. Jorge, del orden dé ademas de que era menester advertir que hay provincias cuya agricul Montesa , quejándose de la falta de pago de la pensió…</t>
  </si>
  <si>
    <t>…el acta de la anterior., y se mandó agregar-á ella podia mandar vestir -lá-infantería de linea da uniforme azul, la lige los,votos particulares de los Sres. Ramir'ez Cid, García ( D. Antonio) ra de verde, los vivos y solapas (si el Gobierno las considerase Jr Uruela, contrarios á la aprobación de varios artículos del plan de oportunas) del color que mejor le parézca: la caballería del mismo mo Hacienda, y el del Sr. S. Juan, contrario á la resolu…</t>
  </si>
  <si>
    <t>…robada el acta dé Ja anterior , se mandó que se agregaran y Canabal; y para la que debe ir al dia siguiente á palacio á felicitar á ella losvotos particulares de Jos Sres. García (D. Antonio), Díaz - á S. M. por la celebridad de sus dias á los Sres. González Vallejo, Morales, O-Daly y Catnus Herrera, contrarios á la aprobación de dis Sierra Pambley, Navarro, Vargas, Victorica, marques del Apartado, tintos artículos del,plan de-Hacienda. _ .... .…</t>
  </si>
  <si>
    <t>…que la comisión había propuesto su dic “se proponia. Quedó aprobado el artículo. tamen. : i -: . Art. 15. ¿.Además dé lá precaución que se previene en el decreto &gt; El Sr. García (D. Antonio ) manifestó que parecía chocar con el '•citado dé 9 de Noviembre de 1820 para evitar"eL abuso que los fabrt-derecho de libertad que tiene todo ciudadano.ei querer que.un ramo ‘'cantes pueden hacer , dando por consumidas en salazones sales que aca tan abundant…</t>
  </si>
  <si>
    <t>…rior que Leidl y aprobada el acta de la anterior , se mandó agregar á ella el respeta , pero que atenta continuamente contra ellas. La contienda es voto particular del Sr. García (D. Antonio) contrario á la aprobación tan antigua como el cristianismo en-Francia. Nuestra Iglesia no ha ce de varios artículos del plan de Hacienda. sado nunca de defender lo que la Santa Sede no ha cesado de atacar, Las Cortes quedaron enteradas, y mandaron repartir v…</t>
  </si>
  <si>
    <t>…y de las conclusiones del de D. Francisco Clancel , calle de Colcheros, y en Santander en la bos ministerio fiscal. No se admitirá apelación de ellas, y sí solo el recurso tica de D. Antonio de la Cuesta y Ontañon. al supremo tribunal de Justicia. Art. 88. ’&gt; Los gastos de las diligencias, pagados por los adminis ANUNCIOS. tradores del registrot, y que no hayan podido recobrar por causa de in-, solvencia, les serán abonados en el estado que prese…</t>
  </si>
  <si>
    <t>…ucion desde luego, y to do una pensión que disfrutaba sobre una de las encomiendas que obte dos los cuerpos del egército arreglarán sus juicios á lo prívemelo en la nía el Infante D. Antonio. . ordenanza general. ' • Se aprobó la siguiente indicación del Sí. Zapata: » Pido á las Cor Art. 3.0 « Para que tenga efecto lo prevenido en art. 140 , el Go tes que se excite el zeio del Gobierno, para que á la mayor brevedad bierno procederá desde luego al…</t>
  </si>
  <si>
    <t>…evitar-el contrabando. Las t de anatomía comparada. Cortes‘lo-recibieron con agrado. ........... : 1 de fisiología comparada, -J; A-iaJde Hacienda se mandó pasar una exposición de D. Antonio a de botánica. Sigues, apoderado de Di Juan Josef Artiga ,'en la que pide se le acaben Z de agricultura experimental, dé satisfacer las cantidades que-se le detuvieron en la tesorería de Cádiz. a de mineralogía en sus dos ramos. . A la de Diputaciones provinc…</t>
  </si>
  <si>
    <t>Gaceta de Madrid n.º 167</t>
  </si>
  <si>
    <t>…del ayunta secuencia de algunas adiciones de los Sres. Martínez de la Ron , Gas miento constitucional de Luque , en la provincia de Córdoba , para, eo, Arrieta, Ezpelcta , García (D. Antonio) y Marte!; y después de que se le permita construir la nueva casa del ayuntamiento y cárcel una ligera discusión fueron aprobados los siguientes: de los fondos de propios: la comisión apoyaba la petición. Art. 1» Todos los diezmos y primicias se reducirán á l…</t>
  </si>
  <si>
    <t>…pia al art. 13:» Que la disposición de dicho artículo no previene la ordenanza de farmacia. se entienda en cuanto á viudedades con las actuales viudas, ó las mu- Los Sres. García (D. Antonio) y Quintana se opusieron á la se geres de los actuales empleados, siempre que estos continúen pagando gunda parte de este dictamen, por ser contrarió á las bases que ya tie el descuento correspondiente á sus respectivas sueldos." La comisión nen adoptadas las…</t>
  </si>
  <si>
    <t>910</t>
  </si>
  <si>
    <t>…va El Sr. Traver pidió que se leyera el informe de la junta nacional que era para la Nación ; pero al fin esta se verificó , y yo creo que de del Crédito público,}' el Sr. García (D. Antonio) el acta de la se be cumplirse. Asi que , las Cortes deben determinar si se aprueba el sión de Cortes del dia 26 de Junio de 1820. Verificada la lectura, el primer articulo que propone la comisión, porque en el caso de no apro Sr. Traver dijo : este gravísimo…</t>
  </si>
  <si>
    <t>…pensándoles de las pruebas prescritas en sus esta mayor que el que se proponía, para evitar las continuas reclamaciones tutos: que las Cortes declarasen que los mariscales decampo D. Antonio que habria por parte de otros muchos héroes que habian cooperado al Quiroga, D. -Rafael del Riego, D. Demetrio O-Daly, D. Felipe de restablecimiento de ¡a Constitución, se suspendió la discusión de esteArco Agüero, D. Miguel López Baños y D. Miguel Espinosa,…</t>
  </si>
  <si>
    <t>…á egército de S. Fernando, se leyó el art. i.°, que decía: una aclaración del art. 3.0 del decreto de las Cortes de 29 de Mayo de » Se señala á cada uno de los mariscales de campo D. Antonio i8i2; sobre establecimiento de las diputaciones provinciales; otra del Quiroga y D. Rafael del Riego la renta anual perpetua y en plena y Sr. conde de Maulé, para que se suspenda en Cádiz la contribución del libre propiedad para ellos y sus sucesores de 8o3 r…</t>
  </si>
  <si>
    <t>…s gratificaciones de la gran ma Se mandó insertar en el acta el voto particular de los Sres. Zapata sa que vayan devengando los cuerpos de aqui en adelante, y no de los. y García (D. Antonio) , contrario á lo resuelto por las Cortes de no gastos imprevistos. haber lugar á la renuncia hecha por el Sr. Quiroga. El Sr. Sancho apoyó en un todo el dictamen de la comisión , ma-‘ El Sr. presidente señaló la hora de las nueve de esta noche para se infest…</t>
  </si>
  <si>
    <t>…se después á las reglas granos , harinas ó; instrumentos de labbr. establecidas en la materia.” El de la especial de Hacienda acerca de la solicitud de Doña María . El Sr. García (D. Antonio) hizo varias reflexiones acerca de l* del Carmen Elias, en la que pedia que en virtud de los distinguidos ser circunstancia de que fuesen examinados los que tratasen de establéese vicios de su marido á favor de la causa de la libertad, se la concediese una en…</t>
  </si>
  <si>
    <t>…pués del art. 10 el siguiente adicional: palabra religión las de y ambos derechos, en lo que convino. » Cualquiera persona de ambos sexos de las comprendidas en las El Sr. García (D. Antonio) dijo que no debia haber lugar á votar nuevas poblaciones de América , que se casare con indio ó&gt; india , ten acerca de dicha indicación, porque era contraria á la base cuarta del drá no solo la parte de terreno que se concede en los artículos prece plan apro…</t>
  </si>
  <si>
    <t>…los votos particulares de los Sres. Solanot, Traver, Marín Tauste, de adiciones hechas por varios Sres. diputados, y que las Cortes de Zubia, Ovalen, López (D. Marcial) y García (D. Antonio), con terminaran si se habian de discutir ó pasar á la comisión, se acordó trarios á la aprobación de vanas partidas de contribuciones. por Jas mismas que no se leyeran. Las Cortes quedaron enteradas, y mandaron se repartiesen los La comisión Eclesiástica hab…</t>
  </si>
  <si>
    <t>…la; y en su vista se han servido las mismas Cortes resol de 30 dias, contados desde este anuncio, lo verifiquen por sí ó por ver, conformes con el dictamen del Gobierno, que dicho D. Antonio medio de personas competentemente autorizadas con poder bastante Martinez continúe en egercicio por todo el tiempo en que su compañe á legitimar y clasificar en forma sus respectivos créditos ; apercibidos ro el expresado Sr. Yandiola se halle inhabilitado co…</t>
  </si>
  <si>
    <t>…réis se imprima, publique y circule. = Está rubricado de la como deseaba, en atención í tener que concurrir á dos comisiones in Real mano.cz En Palacio á 10 de Julio de 18 21. = A D. Antonio teresantes , cuales eran las de Marina y Comercio. Barata. El Sr. presidente levantó la sesión i la hora acostumbrada. Por la secretaría del Despacho de Gracia y Justicia se ha comu NOTICIAS DE ESPAÑA. nicado al gobernador del arzobispado de Valencia la Real…</t>
  </si>
  <si>
    <t>…rancisco Claucel; en Audújar en ia de D. Josef Daniel, del ra los juzgados de primera instancia de la provincia de Jaén á los su- comercio de aquella ciudad; en Santander en la de D. Antonio de ia getos siguientes: para Jaén á D. Josef Serrano Soto para Mirtos á Cuesta y Hontañon, boticario; en Pontevedra en la de D. Juan ArgiD. Francisco Martínez Rey ; para Alcalá la Real á D. Miguel Lerin bay ; en Oviedo en ia de D. Marcos Saraudeses; en León e…</t>
  </si>
  <si>
    <t>Gaceta de Madrid n.º 206</t>
  </si>
  <si>
    <t>…pasado, pongo en noticia del público que por el ministe den hermosear con vistosas cascadas artificiales, y aprovecharse sus rio de la Gobernación de la Península se ha expedido á D. Antonio aguas para el riego. Brusi, vecino de Barcelona, el correspondiente certificado de introduc . Las alamedas de las grandes ciudades de España se regarían con mu ción de la nueva prensa biográfica perfeccionada por Mr. G. Enaelman, cha facilidad y economía, y a…</t>
  </si>
  <si>
    <t>Gaceta de Madrid n.º 209</t>
  </si>
  <si>
    <t>1140</t>
  </si>
  <si>
    <t>…ue no.puede ya sufrir tantos disparates. Lo_ mismo hizo Mr... cera, hurto de alfalfe, y conducta sospechosa, y otra á querella de en la sesión del g de Julio, y por iá misma razon'D. Antonio en el Lorenza Savariego sobre imputársele la muerte de una hija de cinco Cafe detenia á D. Pedro; varios diputados detenían al que quería irse años. Estado de su causa. Conclusa para definitiva. Providencia de visi por no eir los disparates de Mr. B.; pero el…</t>
  </si>
  <si>
    <t>…o; otros 10 para rera: para la de Vil briba del Alcor á D. Félix Antonio Ramos Arre el diezmo, aun cuando no haya tenido efecto la primera, y otros ió dondo; y para la de Utrera á D. Antonio de la Sierra y Arce. para el medio diezmo, aun cuando no se- haya verificado una ni otra, admitiendo en ellos,si se realiza cualesquiera, las que se hagan á ¡alla El Rey, enterado de la solicitud del ayuntamiento de (a villa de na; en su vista ha acordado el…</t>
  </si>
  <si>
    <t>…anada en el año de 1804. y en 1811 fue prisionero pa samente la construcción y mejora de los caminos provinciales , de los ra Francia en Tarragona Se servirán dar razón en casa de D. Antonio canales del riego ó de navegación, la construcción de puertos terrestres Redondo, cirujano de Ja familia de S. M., para comunicarle asuntos y marítimos, ia disecación de lagunas y pantanos , y otras obras de es que le interesan, calle de la Cabeza, casa sin n…</t>
  </si>
  <si>
    <t>…D. Joaquín Lorenzo Mozo, D. Manuel Andrés y Einbite, Don ciadas en el suplemento de i.° del presente mes de Setiembre, bajo la Manuel Martin Berna!, D. Salvador Fernandez Torres, D. Antonio relación número 284 , debe verificarse en ia villa de Olmedo. EN LA IMPRENTA. NACIONAL.</t>
  </si>
  <si>
    <t>Gaceta de Madrid n.º 256</t>
  </si>
  <si>
    <t>…el catedrático Jnterino de clínica D. Vicente ¡suriano, quien explicará dmante el curso las enfermedades crónicas, quedando ARTICULO DE OFICIO. las lecciones de agudas á cargo del profesor D. Antonio jríeimndez. El Sr. secretario del Despacho de Estado con fecha de ayer di es El que teniendo el grado de bachiller en medicina, ó él de doctor en. lo que sigue : cirueía médica, quisiere matricularse , y ganar certificación de curso, acu» No ocurre novedad pa…</t>
  </si>
  <si>
    <t>…to no podrá menos de producir excelentes efectos.” particular á Lima , con el objeto de informarse del estado del Perú y ___ Un periódico de esta capital ha publicado un oficio de D. Antonio esército invasor: ha 'legado á esta de vuelta el 19, y la pintura que García Perez al gefe político de Aragón, en el que presenta como pre hace es la mas lisonjera respecto de la que antes nos hacían. Dice que servativo para la fiebre amarilla el uso del ácid…</t>
  </si>
  <si>
    <t>Gaceta de Madrid n.º 293</t>
  </si>
  <si>
    <t>…llenando disponer de 8 ó io3 hombres de milicias provinciales &amp;c.: uno de los las respectivas casillas en que está dividido,y reduciéndose en'la parte .Sres. Gaseo, Cosío, García (D. Antonio), Paul, Navarro (D. Feli— 6 casilla de observaciones á unas netas sumarí.imas sobre la aptitud y • pe), Romero (D. Josef), García (D. Justo), Romero Alpuente, Za servicios de cada uno.” pata, Solana y Vadillo: otro del Sr. Solanot: otro del Sr. Díaz Mo- DeRea…</t>
  </si>
  <si>
    <t>…s. diputados de la comisión de Salud pública son los señores íoo rs., y en renta un celemin y dos cuartillos de pan----Otra en SoJaner, Azaola, Loizaga, Vadillo, Pierola, García ( D. Antonio) y lahojada, demedio celemin, de tercera id., en venta 34 rs. , yen renta dos cuartillos de pan.—Otra en el Ohorro , de 4 celemines-, de Alaman. Continuó la lectura del código civil hasta las tres de la tarde, en se tí linda id- , en venta 200 rs., y en renta…</t>
  </si>
  <si>
    <t>…para la salida de las gentes de la población á las casas y Art. 34. « Se procederá luego á sortear todos los individuos alis campos designados. Esparraguera 13 de Octubre de t82t.=D. Antonio tados, verificándolo por numeración, según el método prescrito en el •Remon Zarco del Valle, presidente.^: Joaquín Escriche, secretario. decreto del reemplazo del egército de 14 dé Mayo último.” Aprobado. Art. -25. «Luego que por haber cumplido su tiempo, por…</t>
  </si>
  <si>
    <t>…las compusieran; y con este motivo mas acierto en virtud de ias razones que dejo expuestas. se dijo que en vez de pagar 18 sugcíos, que serian los que se necesita El fir. García (D. Antonio) leyó&gt; un elocuente discurso , en el qua rían para las dos, se pagasen 9 ó 1 2, y que se reuniesen resultando de : hacia la separación correspondiente entre las atribuciones de las juntas este modo una economía. Yo pienso de una manera distinta. Si los em de…</t>
  </si>
  <si>
    <t>…con arreglo á las condiciones que se manifestarán , en contados desde la publicación, y con apercibimiento de lo que en su la escribanía de Cámara del cargo del secretario del Rey D. Antonio defecto haya lugar. de los Ríos, sita en la plazuela deZelenque, en el término de 20 dias, Cuentos ¿ mi hija escritos en francés por J. N. Boulli, y traducidos desde el en que se anuncie en la gaceta; y pasados se señalará dia para al castellano por P. F. y C…</t>
  </si>
  <si>
    <t>…que le sigue en el Hacienda y Comercio. orden de sucesión en caso de que renuncie. Uno relativo á una consulta del administrador de la aduana de Barcelona sobre haber introducido D. Antonio íviitjana tres barras de Madrid Lunes 1g de Noviembre. oro, procedentes de Marsella, dando fianzas por lo que pudiese resul El Gobierno ha recibido un parte del comandante general de Gra tar. Las comisiones opinaban que debían cancelarse dichas fianzas, ha na…</t>
  </si>
  <si>
    <t>…el establecimiento de las casas y presidios de corrección á los Sres. Rey, Ei Sr. Sancho opinó que podia omitirse el art. 3,0, porque las Cor ViiUnueva, Manescau, Losada , García (D. Antonio), Traver, Vitotes habían ya decretado lo que en ¿i se proponía ; y en su cons cuencia rica y López (D. Marcial). *e retiro dicho artículo , y se aprobaron el i.“ y t.° como los presen Se leyó el aviso del Gobierno de que SS. MM.y AA. continuaban taba la comis…</t>
  </si>
  <si>
    <t>…lla aprobado. los votos particulares de los Sres. Moreno, Mora, Ligarte y Alegría, Art. 1 o. » Las aprehensiones que se hagan de estos géneros ó efec Lallave ( D. Pablo), García ( D. Antonio) y Solana, contrarios 4 la tos de contrabando se adjudicarán íntegra y brevemente í los apre aprobación del art, 4.0 del dictamen de las comisiones de Hacienda y hensores, auxiliadores y denunciadores, observando las reglas estableci Comercio contra el contra…</t>
  </si>
  <si>
    <t>…s, asi civiles como militares y eclesiásti 23 de Julio de iótío: otro de 307,450 mrs. de i^ual renta , á favor de cas, de cualquiera ciase y dignidad, que guarden y hagan guardar* D. Antonio de la Mora, su fecha 30 de Diciembre de 1652 , los dos cumplir y egecutar el presente decreto; en todas sus partes. Tendreislo sobre el servicio Ordinario y extraordinario de Patencia; y el tercero de entendido para su cumplimiento, y dispondréis se imprima,…</t>
  </si>
  <si>
    <t>…constituyén-el delito ;«nel acMas acciones perfectas y -peras i y no haberlo egecütado.” consumadas hechas en ciertas circunstancia» que. constituyen, iá ¿hipa, - , El Sr. García (D. Antonio), después de.haber manifestado la necesi:y.^fcel art&amp;ulmsmdiceique » la tentativa ¡del delito esi el designio de ,dad absoluta de que en el código penal subsistiesen ciertas definiciones, •cometerlo, minifestadoporalgunactoexterior que prepare la, egecu- ¡djj…</t>
  </si>
  <si>
    <t>…r Nuevos apuntes del diputado Vilianuei'a sobre las cartas del Sr. Al tículo debe aprobarse. calá Galiano: níun. 4° Se hallará con las anteriores en la librería da El Sr. García ( D. Antonio ) insistió en que era necesario se seña Hurtado. lase ei máximo ..supuesto que la ley señala los diversos grados en el Discurso sobre aumentar la población, la riqueza pública, la mari dciíto- na y las virtudes civiles: por J. B. y L. Sí hallará en la librerí…</t>
  </si>
  <si>
    <t>…el artículo en los términos que he indicado, no creo Se declaró este asunto por suficientemente discutido , y quedó apro qué d-.be desaprobarse. bado el artículo. El Sr. García f D. Antonio ): A dos clases se pueden reducir los . Art. 13 . Son delincuentes ó culpables, sujetos, á la responsabili delitos que cometa un español en países extrangeros, ó delitos contra dad que les imponga la ley, no solamente los autores del delito ó de.la los princi…</t>
  </si>
  <si>
    <t>…ento del Sr. Linares respecto al artículo qué El Sr. Calatrava hizo presentes los informes, que habia recibido Ih se discute. comisión acerca de este ártícúfo. ' ■” El Sr. García (D. Antonio} manifestó que podrian suprimirse al ■ • El Sr. Casaseca dijo que enia parte cuarta de este artículo se decía gunos nombres de ¡os que se ponían en este artículo, y puesto que se que era cómplice de delito ó culpa: » El que espontáneamente y á sa les había de…</t>
  </si>
  <si>
    <t>…Lallave; (D. Pabló) obtúvo la palabra para hablar contra el - de esta parte del art. 17. párrafo 4.0 dei -art; 17; hizo algunai? observaciones acerca.del lenguage El Sr., García (D. Antonio): Unicamente, tengo que hacer usx ob del artículo,- y.opinó que debía volver á‘ la comisión, porque podría dar servación-/ y es que mas- bien se deben considerar, entre lp£ cómpliceslugar á muchas dudas. ios i que-guardan-las espaldas: que entre:-Jos,auxiliad…</t>
  </si>
  <si>
    <t>…e. D. Francisco Henriquez, y Lie. D. Josef Rafael Fernandez S.° Los actuales cuerpos de milicias conservarán su antigüedad, yCid- Suplentes. Lie. D. Josef Moure, teniente coronel; D. Antonio los de nueva creación sortearán la suya en la junta de inspectores, de Jusef Acevedo , comerciante-, D. Jacobo Llórente, capitán del provin biendo seguir al último de aquellos aquel á quien le toque en suerte el cial de Compostela; D. Josef Martínez Moscoso,…</t>
  </si>
  <si>
    <t>…l que persigue con la guno pudiera fingirse en este estado pira eludir la pena deWfcielito. vara de la ley al delincuente, sino al que adu • y se prosterna ante el El Sr. García ( D. Antonio) dijo que se conformaba con esta pri poder. mera parte del artículo por ser indudable que los somnámbulos egecutaban « F.I espíritu público , agitado de rezelos y temores , se manifestó muchas acciones que'podían ser muy perjudiciales, sin embargo de no bien…</t>
  </si>
  <si>
    <t>…gor y energía necesaria para atajar sus ma de Linares , Alamin, Cabrero, Lobato, Banqueri, Cepero, Lastarria quinaciones , y salvar á la patria del peligro que la amenaza. García (D. Antonio), Muñoz Alamin, Cantero, Ezpeleta,.Cásaseos* La comisión,movida de estas consideraciones, manifiesta que si la Moya, Gallegos, Vecino, Gareli, Cuesta, Queipo, Tapia, Maniau* variación que ha propuesto ha de sujetarse á una nueva discusión, la re Echevarría, M…</t>
  </si>
  <si>
    <t>1994</t>
  </si>
  <si>
    <t>…n van i corresponder de nuevo á la augusta Y á consecuencia de algunas observaciones hechas por el Sr. Gar confianza de V. M., manifestándole con la franqueza que deben el re cía (D. Antonio ) , y después de una corta discusión , se aprobó el ar sultado de sus observaciones , para que el paternal amor de V. M. se tículo en estos términos: sirva proveer á las' necesidades de la patria. » Todos los establecimientos destinados á objetos públicos de…</t>
  </si>
  <si>
    <t>…...................... 21. Los Sres. que no aprobaron el dictamen fueron los siguientes: Ro 9* en 5 de Agosto................................. 2 8. mero Alpuente , Cortés, García (D. Antonio), Zapata , Florez Es 10.® en 26 del mismo............................... 2 1. trada , Priego, Díaz del Moral, Lastarria, Subrié, Gallegos, Púig- ir.® en 23 de Setiembre............................ 2 8. , blanch , O-Daly, Quintana, Freire, Solanot, Mora, Micbe…</t>
  </si>
  <si>
    <t>Gaceta de Madrid n.º 370</t>
  </si>
  <si>
    <t>…arcel, del segundo batallón del del Príncipe: á D. Josef María pa y espada, las de santos, las tragedias, los autos sacramentales, los Jo.nís, del segundo batallón del del Infante D. Antonio: á D. Hipó del nacimiento, misterios y alegorías santas, las zarzuelas, óperas, lito Angulo, del primer batallón del de la Corona: á D. Fernando Ru serenatas, loas, follas, entremeses, bailes y sainetes &amp;c. Scc. : un to bín , del segundo batallón del de Zamor…</t>
  </si>
  <si>
    <t>Antonio'Baza</t>
  </si>
  <si>
    <t>Gaceta de Madrid n.º 121</t>
  </si>
  <si>
    <t>…dere como empleado Cataluña, en que acompañaba un plano de una carretera en la misma público todo el tiempo que no ha estado en egercicio, y se le satisfaga provincia, formado por D. Antonio'Baza. por la tesorería general el sueldo de i3í)rs. que le corresponde por Real A la de Instrucción pública una exposición del ayuntamiento orden del año de 1816. La comisión opinó que debia considerarse co constitucional de Zaragoza, remitida por el Gafe político…</t>
  </si>
  <si>
    <t>Antonio, D</t>
  </si>
  <si>
    <t>D Antonio</t>
  </si>
  <si>
    <t>…. Publicados los apuntes sobre el arresto de los vocales. infundados, ó de entorpecer con ociosas precauciones un comercio ne de Cortes, imprimió contra ellos un tomo de cartas el Sr. D Antonio cesario de todos los dias y de lodas las horas. Alcali Galiano. Son tantos y tales los defectos de esta impugnación, A) lado de la urgente necesidad de alimentarse se presenta otraque y queda por ella tan comprometida la causa de la libertad nacional, la se r…</t>
  </si>
  <si>
    <t>Antonio, Fernando</t>
  </si>
  <si>
    <t>Fernando Antonio</t>
  </si>
  <si>
    <t>…as de un encuentro con el rebelde Merino; El de la de Poderes, relativo al expediente formado á solicitud de en cuya consecuencia pedia se les concediese una pensión : el Gobierno D. Fernando Antonio. Dávilu, diputado electo por la provincia de proponía fuese la de tres reales diarios; y asi lo aprobaron las Cortes. Chiapa, en Goatemala; resultando, como resulta dei mismo, que ver A la comisión especial de Hacienda se mandaron pasar una expo daderamente e…</t>
  </si>
  <si>
    <t>Antonio, Francisco</t>
  </si>
  <si>
    <t>Francisco Antonio</t>
  </si>
  <si>
    <t>Gaceta de Madrid n.º 374</t>
  </si>
  <si>
    <t>…Jo dice , . t, ¡ .1 . , 11afranca .del administrador .de sus rentas en la corte de Ñapóles ha . ■ Dovc sia nessun lo sa. -_-7 : ., , si venido una carta cerrada, cuyo sobre dice A D. Francisco Antonio Del flamante pájaro de tres cabezas canta el Espectador, aunque no Martínez en la'corte dé Madrid. No se ha podido encontrar al suzeto es vste( si no es que cuenta entre sus calidades ocultas la del estro-poé- por mas diligencias que para ello se han practicado;…</t>
  </si>
  <si>
    <t>Antonio, Josef</t>
  </si>
  <si>
    <t>Josef Antonio</t>
  </si>
  <si>
    <t>…tado; conde deíS.Mateo Valparaisoylicenciadó D; Lu • ga mas ventajosas. Si no se.to'iriá está providencia / es lo mismo que de ciano Castoreña., cura de Gacalótenango; licenciado ¡D. Josef Antonio cir á la: Andalucía que perezca cohio hasta aquí en su misma abun del Cristo y Conde; teniente coronel. D. Manué.l Gómez PedrazarDon dancia; que no tenga por donde ’extraer sus granos; que no tenga capi Tomas: MmE; Y. P* Josef Jpaqnin: Ayestarán, residenteen…</t>
  </si>
  <si>
    <t>…articipando la llegada a aquella provincia en la fragata Hor El de la de Guerra acerca de la solicitud del capitán de infantería tensia de los diputados por la provincia de Mágico D. Josef Antonio y ex-ayudante de campo del general Porlier D. Juan Flores, en la del Cristo y Conde y D. N. Hernández. que pedia que á consecuencia de sus méritos y distinguidos servicios se Se dió cuenta de una exposición del ayuntamiento constitucional le recomendase al Go…</t>
  </si>
  <si>
    <t>Gaceta de Madrid n.º 214</t>
  </si>
  <si>
    <t>…ios turcos , desde don pera que no conferenciaran sobre las dudas-que-tuviesen. En este medio de anuncian las horas de oración ) para indicar la esclavitud ; que un tiempo levó el Sr. D. Josef Antonio :Bravo de Púbero, abogado de ' rebaño de cabras ó de carneros pazca sobre una -lengua' de tierra entre los tribunales nacionales, oficial de la secretaría de Estado y del Des -columnas y ruinas ; que el turbante de-un viagero turco haga huir á los pacho de la…</t>
  </si>
  <si>
    <t>…su preocupa El Rey se ha servido nombrar comandante general de la provin ción, pus* creen que el delincuente señala en sus agonías hasta los de cia de Murcia al mariscal de campo D. Josef Antonio de la Torre, en litos ocultos. Si cierra un puño, es prueba de que ha muerto á cinco atención á sus muchos méritos y servicios, y á su adhesión al sistema hombres, y si cierra los dos, indica que ha sido doblado el númeio. constitucional. • En estos anales se…</t>
  </si>
  <si>
    <t>Antonio, Juan</t>
  </si>
  <si>
    <t>Juan Antonio</t>
  </si>
  <si>
    <t>…, pues en el caso contrarióse haría una se la señale una pensión. ofensa i tas Cortes extraordinarias, á la sanción de S. M., y¿ la razón A la de Legislación pasó una solicitud de D. Juan Antonio de la misma. Silos derechos feudales que tenia S. M., dijo, han quedado Vega r D. Domingo Antiva, en que piden se les devuelvan las can abolidos, si estos derechos pertenecientes al Rey , que son de la mis tidades de dinero' que les exigió en 1814 la comisión…</t>
  </si>
  <si>
    <t>…ue se ./trataba; á lo que contestó el La de. Legislación presentó el, suyo acerca de las. representaciones Sr. conde de Toreno que se habia propuesto con el objeto de que el Go de D. Juan Antonio de, la Vega, delxomercio de la Coruña, y de Don bierno no interviniese en&gt; ello ; y para, no , tener, que gravar al Estado Manuel Alzaibar, oficial de la secretaría del despacho de Hacienda, so con el nombramiento-de una nueva- junta ó corporación, que-a'dnvi…</t>
  </si>
  <si>
    <t>…mente ( entre otras cosas} citar por medio que no experimente el menor atraso. de ios periódicos la gaceta y diario á los acreedores de la misma Do ña María Fraga, D. Tomas Perez, D. Juan Antonio de! Cerro, seño AUDIENCIA DE CATALUÑA. res Cock, Sres.-Oterhr Windsor, D. Matías de Gandásegui, Doa Juan Augustus, D. Gaspar Gómez de Alia, D. Julián de Leis, Do* Concluye la visita general de la cárcel pública de la ciudad de Barce Manuel de la Peña Rodrigo…</t>
  </si>
  <si>
    <t>…del Rio y de la Vega, D. Francisco Acebal y Arratia, D. Fran patria adorada, tanto mas repugna á sus comitentes el haber de desnu cisco Fernandez, D. Francisco de Paula Fernandez, D. Juan Antonio darse del-prestigio que los hizo mirar como los hijos predilectos de la Isusi, D. Juan de la Cruz González, D. Manuel Ovaldia , D. Manuel Virtud y de la sabiduría , descubriendo en ellos todos los defectos que Rodríguez, D. Pedro Agar , D. Ramón Utges y D. To…</t>
  </si>
  <si>
    <t>Antonio, Manuel</t>
  </si>
  <si>
    <t>Manuel Antonio</t>
  </si>
  <si>
    <t>Gaceta del Gobierno n.º 49</t>
  </si>
  <si>
    <t>…ión del Estado es la católica apostólica romana. objeto de la cuestión, se le llamó al orden. La nación portuguesa es el conjunto de todos los habi Entonces torrando la palabra el Sr. Manuel Antonio tantes de los reinos de. Portugal, Algarbes y sus dominios. Carvalho hizo un elocuente discurso, que íue aplaudido de Xa nación es soberana á independiente, y jamas será patri todos los i-res. dipuiados, en el que demostró que la sobe monio de persona alguna.…</t>
  </si>
  <si>
    <t>…que se hacia por los agen El Sr. Barrozo quería que se añadiese la palabra con sanción Real-,tes del Gobierno de la incomunicación de los presos. Mr. Etienne á lo que se opuso el Sr. Manuel Antonio oe Carvalho, diciendo que citó otra de varios propietarios del departamento del Droma, acerca la ley era la voluntad general, y que declarada esta por los represende las maquinaciones que los mismos agentes empleaban para desacredi tantes deja, nación, no se…</t>
  </si>
  <si>
    <t>663</t>
  </si>
  <si>
    <t>…proyecto sobre esta distinguida é inte del presente mes de Mayo , al Sr. contador de dicho establecimiento resante parte del egército español. Madrid 26 de Abril de 1821 .r=Josef D. Manuel Antonio de-Campos, que vive calle del Príncipe, números María Gutiérrez deTeran, presidente.i: Vicente Tomas Traver, dipu 9 y 10, los días lunes y jueves de cada semana, no siendo festivos, tado secretario. = Manuel González Allende, diputado secretario. de 10 á 12 d…</t>
  </si>
  <si>
    <t>Antonio, Nicolás</t>
  </si>
  <si>
    <t>Nicolás Antonio</t>
  </si>
  <si>
    <t>…aduciendo y mendi empleos municipales; y se levantó la sesión á las tres menos cuarto.. gando de los extrangeros lo que llegamos á tener olvidado entre noso tros. Según el erudito D. Nicolás Antonio se imprimió sin nombre de ARTICULO DE OFICIO: autor; pero siempre se atribuyó su redacción ó compilación á di El Sr. secretario del Despacho de Marina dice al Sr. secretario de cho D. Diego de Salazar, oficial distinguidísimo, natural de Toledo, la Gobernació…</t>
  </si>
  <si>
    <t>Antonio, Pedro</t>
  </si>
  <si>
    <t>Pedro Antonio</t>
  </si>
  <si>
    <t>Gaceta de Madrid n.º 217</t>
  </si>
  <si>
    <t>…el tribunal es miento. Los aspirantes á tales plazas que quieran hacer' pretensión diri pecial de Guerra y Marina, relativo al sumario mandado formar al te girán sus memoriales á D. Pedro Antonio de la Rigada, procurador niente coronel D. Antonio Herraiz, sargento mayor del Batallón lige síndico de dicha junta, en el término de 40 dias, que se asignan a! efec ro cazadores del Genera!, y gobernador é intendente que fue de la isla to, desde Ja publicaci…</t>
  </si>
  <si>
    <t>Antonio-Bernabeu</t>
  </si>
  <si>
    <t>…por la numerosa división de pro losdela religión católica traducción del italiano , qué publica el ciu vincias se disminuirla la representación nacional, y que la división dadano D. Antonio-Bernabeu, presbítero.Tal es el título de la obra,' política debia servir de base para todas las demas divisiones que se ha que publicada en Italia en circunstancias algo semejantes á laa en que nos gan sucesivamente. Por último resumiendo su opinión, era de parecer ha…</t>
  </si>
  <si>
    <t>AntonioCoiomar</t>
  </si>
  <si>
    <t>…e; y tísimo s. sus observación,:s*52 confirmaron plenamente en Murcia y otros yo no dudo asegurar que vuestras opiniones han . contribuido sobre pueblo.' por O.Francisco Garceran, D. AntonioCoiomar, D. beralinGar manera á la catástrofe! que sufren- Barcelona ,. .Tortosa y Mcquinenza. cía, I), jutii -\!¡x , D Manuel Espinosa , por mi y por otros varios rné- Aguilas sé que se liberta , porque sus-‘autoridades obran el» sentido d.cos. bi vmd. leyere (1 oye…</t>
  </si>
  <si>
    <t>AntonioMe</t>
  </si>
  <si>
    <t>…El administrador dará cuenta al intendente de la adqui á las cuales contestó el Sr. Paul. sición hecha del t nteo, expresando la cantidad y calidad de los géneros. El Sr. García (D. AntonioMe parece muy justa la considera Art. 4.0 « Ei intendente anunciará desde luego al público por me ción que ha tenido la comisión respecto del amor y la amistad para dio de carteles los géneros tanteados, señalando el día que se han da hacer rebaja en la pena en…</t>
  </si>
  <si>
    <t>Antoniq</t>
  </si>
  <si>
    <t>…Aprobada el acta de la sesión anterior, se mandó agregar á ella el la Nación necesita tener i6o9 hombres para que se esté en disposición roto de los Sres. Zapata, Muñoz y García (D. Antoniq) , contrario á de poder hacer una guerra vigorosa; pero al mismo tiempo dice que se ««'haberse admitido á discusión la preposición que hizo ayer el señor ria conveniente que la milicia no fuera mas que de 669 hombres, y Prieiso, relativa al art. 21 de la divi…</t>
  </si>
  <si>
    <t>Antotar, Fernando</t>
  </si>
  <si>
    <t>Fernando Antotar</t>
  </si>
  <si>
    <t>…rtes con. fecha de ayer tículo referido. _ ■me dicen lo que sigue: . El Sr. Sancho manifestó que mediante no haba: habido lugar a ■vo - • Las Cortes enteradas de una exposición de D. Fernando Antotar sobre el referido artículo , y que el Sr. secretario de la Guerra ha-' ñio de Cos, en que manifiesta que siendo regidor quinto1 del ayunta bia hecho una modificación de un modo que no era •contrario á la miento de Santander fue nombrado alcalde segundo consti…</t>
  </si>
  <si>
    <t>Antuñana, Bernardo Díaz de</t>
  </si>
  <si>
    <t>Bernardo Díaz de Antuñana</t>
  </si>
  <si>
    <t>…; en S. Fernando el de juzgado de primera instancia del Sr.-D,. Julián de Sojo, y escribanía -observantes y el de carmelitas descalzos , trasladando al primero la co del número de D. Bernardo Díaz de Antuñana; apercibido que' de lo munidad del de Sanlúcar , del mismo instituto-, que se suprime, y al contrarióle parará el perjuicio que haya- lugar. -segundo ias del de Sanlúcar y el Valle , de la .propia orden , que tam- E¡ buen cura y un- feligrés, diálogo patrióti…</t>
  </si>
  <si>
    <t>Antuñano, Ramón Antonio</t>
  </si>
  <si>
    <t>Ramón Antonio Antuñano</t>
  </si>
  <si>
    <t>…Enero, en memoria de! primer gritó que resonó en España D. Francisco González Vildies: para el de Alcázar de Sar» en favor de la restauración del régimen constitucional. La Juan á D. Ramón Antonio Antuñano: pera el de Quinmilicia nacional paseó por las calles entre los mas sinceros tanar de la Orden á D. Pedro Nolasco Sevillano: para el aplausos de viva la Constuiui'n, viva nuestro Rey cons de Alcaráz á D. Juan Moreno de la Espada; y para el titucional. Se diri…</t>
  </si>
  <si>
    <t>ANUNCIOS, Francisco Belloc y</t>
  </si>
  <si>
    <t>Francisco Belloc y ANUNCIOS</t>
  </si>
  <si>
    <t>…os sabios religiosos poseen todas las para las plazas de jueces de primera instancia de la provincia de Sevi lenguas del Oriente,” lla en esta forma: para las ere* de la capital á D. Francisco Belloc y ANUNCIOS. Navarro, á D. Josef Barragan y Carbailar y á D. Tomas Barona: pa En 17 del corriente se verificó el primer remate de dos casas sita» ra la de Ayamonte á D. Pedro Tagle y Velarde: parí), la de Araceux en esta corte, una, calle de Cedaceros, núm. 8, manz. 2Ó7,…</t>
  </si>
  <si>
    <t>Any</t>
  </si>
  <si>
    <t>…l honor de dades que lo impidiesen. Se discutió este asunto, que impug pertenecer, este dará cuando se quiera una cuenta pública naron con razones sólidas artículo por arrículo el Sr. Any evidente, tanto de su conducta como de sus opiniones, nes y la mayor parte de los señores diputados, siendo de pues en la guerra y en la paz nunca ha malogrado una sola opinión el Sr. Castello-Branco que esto se podía conseguir ocasión de acrecentar la prospe…</t>
  </si>
  <si>
    <t>Aovira</t>
  </si>
  <si>
    <t>…ra .indudablemente la mayor renta del Estado; que lá comisión ha- ha tenido presénte la comisión , V no ha podido menos de dar una -bia,tenido presente lo que acababa de decir el "Sr. Aovira; pero que ‘ regia general, porque de lo contrarió no se lograría el qbjeto principal, tampoco había olvidado otras cosas que eran:dela mayor importancia. Es fijando al mismo tiempo un medio 'benéfico para que las pesquerías de . bien-sabidó, prosiguió¿ que la…</t>
  </si>
  <si>
    <t>Aparicio, Pedro Martínez de</t>
  </si>
  <si>
    <t>Pedro Martínez de Aparicio</t>
  </si>
  <si>
    <t>…laverde , del-comercio; en Toledo en la de D. Josef Ximéno; en Falencia en la de D. Camilo Mi guel, boticario; en Baza en la de D. Ramón Serraren _ ' - - anuncio. ■ Soria en ’n de D. Pedro Martínez de Aparicio; én Avila' Cartas sóbre los apuntes publicados por el Sr. D. Joaquin ló-en la dé D. Antonio Salcedo, boticario ; en Ciudad-Real renzo Villanueva. Véndense en la librería ‘de Tieso y de Pérez. ' MADRID EN LA IMPRENTA NACIONAL.</t>
  </si>
  <si>
    <t>ApezteEn, Joaquín de</t>
  </si>
  <si>
    <t>Joaquín de ApezteEn</t>
  </si>
  <si>
    <t>Gaceta de Madrid n.º 263</t>
  </si>
  <si>
    <t>…ucesion que hubie Para Madrid................... 328.. 164... 82. re dejado en el caso de haber fallecido, se servirá participarlo en Ma drid á D. Alejandro Dolarea; en Pamplona á D. Joaquín de ApezteEn el juzgado del alcalde segundo constitucional de la villa de guia, procurador de laaudienc:a de ella, yen Asiain á D. Miguel An Utrera y escribanía de número de D. Miguel María de Ojeda pende ex tonio de Astrain , abad de su iglesia parroquial, pues hay que p…</t>
  </si>
  <si>
    <t>Aponte, Ramón</t>
  </si>
  <si>
    <t>Ramón Aponte</t>
  </si>
  <si>
    <t>…royecto, el ¡Sr. .Marte!, como in el pecho y el hombro, igualmente que los capitanes D. Blas Rodrí dividuo de la comisión, dijo: Las Cortes nombraron en la legislatura guez Ojeda, D. Ramón Aponte , y los tenientes D. Manuel Iglesias, del año pacido una comisión para el objeto de proponer un plan de be D. Francisco Vallejos y D. Hilarión lleras, no pudo ni atacar ni nti— neficencia. La comisión empezó sus trabajos, y cuando los tenia algo •rarse. Acome…</t>
  </si>
  <si>
    <t>Apparicio, Antonio Feliciano Tellez de Castro</t>
  </si>
  <si>
    <t>Antonio Feliciano Tellez de Castro Apparicio</t>
  </si>
  <si>
    <t>…n un Gabinete ya bastante dominado por el puso que se hiciese el juramento en gran parada, bajo las órdenes del populacho, y el Gran Señor estará en adelante tan expuesto á que le brigadier Antonio Feliciano Tellez de Castro Apparicio, lo cual se egeremuevan como los beyes de Africa- Ya de hoy en adelante nó será ctitó con el mejor orden, con arreglo á esta fórmula: » Nosotros los in-, necesario incendiar á Constantinopla para que el Gobierno conceda las díviduos que formamos esta división…</t>
  </si>
  <si>
    <t>Appehus</t>
  </si>
  <si>
    <t>…oderosos amigos-enemigos se hallan guraba en fin que esta mudanza, si se verificaba, se debería al zelo del casi embrollados y desavenidos sobre el giro que deben dar á los aconte ministro Appehus. cimientos de Turquía , entonces es cuando la Prusia se presenta i la faz Pero abiertas las sesiones el 15 de Octubre, el 16 debían empezar las de la Europa, pensando seriamente en realizar y cumplir una promesa Cámaras sus tareas ordinarias; y ia legislatura…</t>
  </si>
  <si>
    <t>Aquiilo, Santiago</t>
  </si>
  <si>
    <t>Santiago Aquiilo</t>
  </si>
  <si>
    <t>…juez HTSTORTA Y ANTIGÜEDADES.-----Egipto. y escribanía de provincia de D. Pedro Josef-de Ibabe sé-haíí La expedición á Egipto por los franceses será eterna promovido a nombre1 ¡de D. Santiago Aquiilo , administrados? 1,¿.. „. „ ti „..—i. W . Wj ¿i. w -i21.„mente memorable en los fastos de la Europa . oiies las cir J, ' - .-■VVA&gt;¿ UvJ; tni.* -\iCsi, n.4.S.WU.Í....i ) vJlíqíWi.Wil—,—, cunstancias de esta famosa empresa fueron de tal naturaleza, acreditado s…</t>
  </si>
  <si>
    <t>Aquiles</t>
  </si>
  <si>
    <t>Gaceta de Madrid n.º 265</t>
  </si>
  <si>
    <t>…de los géneros ex-trangeros de algodón, asesinato y al incendio.” procedentes de c misoJ por medio de rifas en totes de 50 á 100 duros. Asi se explica con permiso de la censura el Sr. Aquiles, y de - -2.° Los géneros que existen de esta clase, y ios que se comisaren estas lindezas están atestadas sus dos columnas. No sabemos si después en adelante , se venderán por menor en las.aduanas, pieza por pieza, de tanto insulto, de tanta calumnia, de tant…</t>
  </si>
  <si>
    <t>Aquites</t>
  </si>
  <si>
    <t>…mas curioso hace nos son contrarios ninguno puede compararse ;al inserto en la gaceta «üevás preguntas , á que es necesario contestar. de Francia de 4 de Setiembre, firmado por:e! Sr. Aquites dé Jaujfroi. "■■■■i Será apócrifo, dice el Espectador, este escrito? {Habrá salido veri Este escritor violento, que estuvo en Laybach durante el Cdngreso, es daderameme de las manos del Sr. secretario de la Gobernación de la uno de esos hombres venales y desp…</t>
  </si>
  <si>
    <t>Ar-, Salvador</t>
  </si>
  <si>
    <t>Salvador Ar-</t>
  </si>
  <si>
    <t>…El Monthly Revienu re D. Francisco Javier Campa: para la de Tremp á D. Josef comienda la lectura1 de esta obra. «Sin duda, dice, ha pre Antonio Jordana : para la de Villafranca á D. Salvador Ar- sidido un buen talento á la colección de los materiales que naldo y Segarra: para la de Igualada á D. Gregorio Sancho la componen, y nosotros no conocemos libro alguno de y Granado: para la de Granollers á D. Pablo Duran de Ju este género que encierre tanta i…</t>
  </si>
  <si>
    <t>Aragón, Fernando de</t>
  </si>
  <si>
    <t>Fernando de Aragón</t>
  </si>
  <si>
    <t>…Níjera. Por el contexto de ella se ve que volviendo el ANUNCIOS. Gran-Capitan de la parce de Italia , donde tan victoriosamente habia militado como lugar-teniente general del Rey D. Fernando de Aragón, Hallándose pendientes en este juzgado de la comandancia general y habiendo llegado á la ciudad de Búrgos, fue convidado por el duque de Castilla la Nueva los autos de testamentaría del teniente general de Najera a que pasase á hospedarse á su casa, donde fue…</t>
  </si>
  <si>
    <t>Aragón, Jaime de</t>
  </si>
  <si>
    <t>Jaime de Aragón</t>
  </si>
  <si>
    <t>…tra y-de la Nación, que. ha puesto en guno mas que ai" Rey , como lo reconocían todos los demas. nuestras manos .sus intereses y su confianza , el no hacer-las * reformas; •El Rey D. Jaime de Aragón tuvo un hijo ilegítimo con la Señoril: que exigen la justicia y la prosperidad del pueblo. , ‘ Doña Teresa'Vidalita". Por favorecer á" uno y h otro mandó- que la' -En las Cortes que el Rey D. Jaime celebró en EatceEar.a antbs de ciudad de Segorve lo reconocie…</t>
  </si>
  <si>
    <t>Aragón, Josef</t>
  </si>
  <si>
    <t>Josef Aragón</t>
  </si>
  <si>
    <t>…ereses, y satisfa Domingo de la Figuera : para el de Aoiz á D. Josef Alberto de Beor- cían sus resentimientos particulares. Creemos que de ningún modo se tegui: para el de Olite á D. Josef Aragón. atribuirá á intolerancia esta exclusión que recomendamos, asi como Para la provincia de Zamora. Para el de Zamora á D. Mariano tampoco se atribuye á misantropía ei buscar un atajo para huir de ¡os Milla Fernandez : para el de Toro á D. Diego Antonio González…</t>
  </si>
  <si>
    <t>Aragón, María de</t>
  </si>
  <si>
    <t>María de Aragón</t>
  </si>
  <si>
    <t>…va del 88, tasada en 204,780 rs., y rematada en 416,500: otra casa corral ministerio de Guerra , se ha servido resolver se observen las reglas si en la calle del Relox, barrios de Doña María de Aragón, núm. 8, guientes: i.a Que mientras haya capitanes supernumerarios en el egérci manz. 554, tasada en 80,283 rs., y rematada en 165,200; y la otra to , bien los de esta clase ó efectivos, serán preferidos para las compa en la calle de S. Mateo , con accesorias…</t>
  </si>
  <si>
    <t>…güellan á su an D Josef Hernández, presbítero, catedrático que ha sido de filosociana madre de 85 años de edad, destruyen y roban cuanto encuentran, £a en el extinguido colegio de Doña María de Aragón de esta corre, y pasan 4 subyugar les pueblos circunvecinos. Entran en Algodonales, hace presente al público que autorizado por la dirección general de y saliendo los principales vecinos á recibir de paz 4 los enemigos, por estudios dió principio á la enseñan…</t>
  </si>
  <si>
    <t>…464 estadales, en venta 1150 de una casa, sita en esta corte, en la calle nombrada de Alira el Rio, rs., y en renta 105.__Otra al mismo pago, de 950 estadales, en venta barrios de Doña María de Aragón, señalada con el número 10 en la 2375 rs., y en renta 2io.__Otraal mismo pago, llamada la Grande, manz. 352, perteneciente hoy al Crédito público, y antes al convento de 4350 estadales, en venta 10,875 rs- &gt; y en renta 960__Otra al mis reformado de Mercenario…</t>
  </si>
  <si>
    <t>…la habían disfrutado Un sargento primero. •in salir de sus hogares; la dirección invitó á los PP. de S. Felipe el Tres sargentos segundoi. ' Real á que la continuasen, pues los de Doña María de Aragón que la Ocho cabos primeros. enseñaban se habían reunido i aquel convento. Condescendiendo gus Ocho cabos segundos. tosos dichos PP. á esta insinuación , y atendiendo la dirección á que Dos tambores, y en su lugar dos cornetas en los ligeros. por el reglamento…</t>
  </si>
  <si>
    <t>Aragón-, Jaime de</t>
  </si>
  <si>
    <t>Jaime de Aragón-</t>
  </si>
  <si>
    <t>…xigido. la tierra, la casa, la inuger y los Hijos todo era del señor. Para com Otra de Di Melchor Ruiz, vecino de Cornalejos, partido de-Aré- probar esto leyó la donación que.hito D. Jaime de Aragón- de la villa valo, en qiie se queja de infracción cometida por el juez de primera de Villar del Campo , la venta de la. villa de Almenara , deduciendo instancia de aquel partido. de todo,esto que lo que* habian dado y vendido eran lugares , propie Otra de D. S…</t>
  </si>
  <si>
    <t>Arahaide, Josef Manuel de</t>
  </si>
  <si>
    <t>Josef Manuel de Arahaide</t>
  </si>
  <si>
    <t>…lí Aranaide, ó si nó nombrar para dicha plaza á Uno délos individuos qué ne, á juicio de las diputaciones provinciales locales, podrán ellas mis- componen la siguiente terna - i,° D. Josef Manuel de Arahaide , tenta ñas rebajar ó suprimir los derechos que algún fruto o género, pagase á dor gehelal de reconocimiento y extinción: i.- t&gt;. Josef Señan y Ve* la salida por regla general de arancel, oyendo antes á los ayuntamien lazquez, cOhtadoí de consolidación: 3-uD.…</t>
  </si>
  <si>
    <t>Arala, Gregorio Calió y</t>
  </si>
  <si>
    <t>Gregorio Calió y Arala</t>
  </si>
  <si>
    <t>Gaceta de Madrid n.º 368</t>
  </si>
  <si>
    <t>2023</t>
  </si>
  <si>
    <t>…túria- en el primer semestre de jSio. Sres. Calatrava, S. Miguel y Gisbert, quedó aprobado. Art. 84; «El sentenciado á dar satisfacción lo hará también ver Escribanía ds Cámara de D. Gregorio Calió y Arala. balmente, reconociendo y confesando su delito ó culpa en hrber in 1.a Dos procesados por robos. Principió en 7 de Julio de 1807: juriado , ultrajado ó maltratado á la persona ofendida, y manifestando en libertad. Ultimo estado de e»ta causa. Conclusa para de…</t>
  </si>
  <si>
    <t>Arambarri, Manuel de</t>
  </si>
  <si>
    <t>Manuel de Arambarri</t>
  </si>
  <si>
    <t>…agenal Corrijamos el funesto D. Francisco Labat, de Bilbao. de Pamplona. silencio de la Constitución española, y ampliemos el art. 28 que "sancio Sres. Gailo é hijo, de Santander. D. Manuel de Arambarri. namos aver con otro que le siga, concebido en estos términos: « Lo D. J. C. Bernales, de Londres. D. Mariano H.rnandez Noeuee. dispuesto en el artículo anterior solo tendrá efecto en tiempo de paz. En D. Jenas Hayerman, de Bilbao. D. Miguel Zabaleta. tiempo…</t>
  </si>
  <si>
    <t>Aranaid, Josef Manuel</t>
  </si>
  <si>
    <t>Josef Manuel Aranaid</t>
  </si>
  <si>
    <t>…uel papel. Si en a que las Coitcs se sirviesen habilitar al contador ventral de reconoci efecto se verifica el reconocimiento , en este caso ningún efecto produ miento y extinción D. Josef Manuel Aranaid : para destmp.ñar la ter ce la guia ; y aun si se mira bien, es un perjuicio para el que la lleva, cera plaza vacante de la junta nacional del Crédito público , 11 qw- si porque tiene que satisfacer á dos cosas, á saber , que aquellos géneros los procediese a…</t>
  </si>
  <si>
    <t>Aranalde, Josef Manuel de</t>
  </si>
  <si>
    <t>Josef Manuel de Aranalde</t>
  </si>
  <si>
    <t>…usión en dividuo que falta en la junta nacional del Crédito público, hecha eti tre dicho diputado y los Sres. Gaseo, Zorraquin y Elorez Estrada, re los Sres. D. Antonio Martínez , D. Josef Manuel de Aranalde yD.Jo- tiró este la referida representación. sef Señan y Velazquez. El Sr. presidente dijo que señalaría dia. Se leyó la siguiente indicación del Sr. Villanueva: » Propóngase i A la comisión de Legislación se pasaron, una exposición de Don" las Cortes por la…</t>
  </si>
  <si>
    <t>…• s............ .... 49.... Ibarróla , D. Nicolás Alonso, D. Telesforo Polo y D. Ventura de 23- s- 19. 194. la Peña. Parroquia de Sta. Cruz, 8 electores. Jerez. D. Esteban Guinea, D. Josef Manuel de Aranalde, D. Juan An tonio Castejou, D. Juan Muguiro, D.Juan Manuel de Aréjula, Don Dia 17.............. —3....... ........! 3......... ....... O............... 18... Juan Cortés, D. Martin de Goicoechea y D. Valentín Ignacio de Dia r 8.............. ••••••■ 7.......…</t>
  </si>
  <si>
    <t>Aranda, Rodrigo</t>
  </si>
  <si>
    <t>Rodrigo Aranda</t>
  </si>
  <si>
    <t>…Sta. María. do de ésta audiencia. cretaría de Guerra. D.Ramon Truxillo , médico. D. Evaristo S. Miguel, oficial del En la población. Invadidos de ., Muertos. Curados. Existentes. D. Rodrigo Aranda, hacenda estado mayor del egército. la liebre. * Dia 21.............. ....... 12,.*... ........ 4....... ....... 12.... ......127 Dia 22............. ........ 20...... • *.*. •« . I Oh v. ...... 2 27 Se han recibido periódicos extrangeros, cuyas noticias hace…</t>
  </si>
  <si>
    <t>Arango, Francisco</t>
  </si>
  <si>
    <t>Francisco Arango</t>
  </si>
  <si>
    <t>…propios, pósitos y ción de Constitución. 1 montes 7oS&gt;. Total 1.300,300 rs. * ' El dé lá ordinaria de Hacienda, relativo á la solicitud del con Gobierno político. sejero de Estado D. Francisco Arango, para que sin otro derecho que Gobierno político, secretarías y sus gastos én las provincias de r.1, el de alcabalas se le permita vender algunas posesiones que tiene en a.a, 3.-*, 4.a clase y subalternas 6.953,400 rs. Gastos imprevistos la isla de Cuba: opin…</t>
  </si>
  <si>
    <t>Arango, Manuel</t>
  </si>
  <si>
    <t>Manuel Arango</t>
  </si>
  <si>
    <t>Gaceta del Gobierno n.º 14</t>
  </si>
  <si>
    <t>…pasado á tratar del asunto relativo á la coronel del regimiento provincial de Salamanca. conspiración del 19 del mismo mes; pero ayer lo hizo Otra sobre Constitución militar, por D. Manuel Arango, y estuvo reunida desde las 12 del dia hasta las 5 de la sargento mayor del segundo batallón de Zaragoza. tarde. El marques de Fastoret, que es uno de los comisarios Otra escrita por D. Juan Gómez Landero, ministró de encargados de formar la.causa , empezó le…</t>
  </si>
  <si>
    <t>Araos</t>
  </si>
  <si>
    <t>…les mayores, y que como tules habían prestado*liirapara la tropa; después de dejar socorrido» c ai ou i igual á ios pobres do la cárcel y del hosp.tal , todo a expensa» del misino comandante Araos:. Hi^Sr. Toreno indicó que deseaban hablar algunos Sres, encaraaAsistieron al convite el ayuntamiento constitucional, cubil lo eclesiásti dos del Despacho, y en su consecuencia el de Gracia y Justicia ib co , milicia nacional do caballería con su comandante D…</t>
  </si>
  <si>
    <t>Araujo, Luis de Mata y</t>
  </si>
  <si>
    <t>Luis de Mata y Araujo</t>
  </si>
  <si>
    <t>…lugar á deliberar. . • dé lengua latina en Lisboa’, variado y aumentado considerablemente Se dió cüenta de otro dictamen de la misma comisión de Infrac en ésta cuarta edición pór-D. Luis de Mata y Araujo, catedrático dé ciones acerca de la queja de D. Francisco Prado, receptor de cruzada latinidad y retórica de la Real casa de pages de S. .M. &amp;c. Bien conodel punido d-e Tortosa, contra el juez de primera instancia que hubie .. cido es en la república^ literar…</t>
  </si>
  <si>
    <t>Arauz, Francisco</t>
  </si>
  <si>
    <t>Francisco Arauz</t>
  </si>
  <si>
    <t>…el dictamen de la comisión especial de Hacienda acerca de 1663 en que tiene arrendados unos diezmos. la consulta que el Sr. ministro de la Guerra dirigió i las Corres en 25 El de D. Francisco Arauz sobre que se lé rebaje el arrendamiento de Mayo último; relativa al pago de varias partidas que deben algu de los pastos de invernadero en los campos de Calatrava. nos regimientos por suministros de víveres y vestuarios hechos por con El de D. Francisco Puste…</t>
  </si>
  <si>
    <t>Arbilla, Manuel</t>
  </si>
  <si>
    <t>Manuel Arbilla</t>
  </si>
  <si>
    <t>…l segundo batallón del de Zamora: al brigadier D. Esteban Llo- mo en 4.0 Se hallará en las librerías de Sancha y de Castillo á 20 rs. en bcra, Hel segundo batallón del de Soria: á D. Manuel Arbilla, del se pasta y 16 en rústica. gundo batallón del de Guadalajara: á D. Isidro Diaz, del primer ba En las librerías de Sanz y en la de Paz se vende un extracto de los tallón del de Sevilla: á II. Marcelino Oraá, del segundo batallón del trabajos que se han hec…</t>
  </si>
  <si>
    <t>Arca, Josef de</t>
  </si>
  <si>
    <t>Josef de Arca</t>
  </si>
  <si>
    <t>…tro sospechosos. fael Costa y D. Tomas Polo Catalina. Madrid l.° de Noviembre. Parroquia de S. Marcos, p electores. En el domingo próximo 4 de Noviembre se han de celebrar en toda D. Josef de Arca, D. Josef Huel, D. Juan Antonio Villarino,' la Península las elecciones de los electores de partido por los de las D. Luis Negro, D. Pedro Delgado, D. Rafael Saravia y D. Ramón parroquias, nombrados en el primer domingo de Octubre. Este se Calatrava. gundo tr…</t>
  </si>
  <si>
    <t>Arcal, Julián</t>
  </si>
  <si>
    <t>Julián Arcal</t>
  </si>
  <si>
    <t>…rá asi á dos Príncipes Regentes, .verdaderos La misma comisión presentó su dictamen.acerca de lo espuesto por amantes de su pueblo . concurrir del modo ,mas francoí:y-sincero á la D. Julián Arcal, vecino de Santiago , en solicitud de que se le...dispen felicidad de esos italianos, ludibrio hasta ahora de potencias ¿extranse la calidad de casado para poder obtener la plaza de médico titular geras; de esos italianos, que en el dia de un modo noble, y ma…</t>
  </si>
  <si>
    <t>Arcarme, Fernando</t>
  </si>
  <si>
    <t>Fernando Arcarme</t>
  </si>
  <si>
    <t>…Disertaron sobre varias proposiciones de tan útil •mártir p^p. Jesucristo 5 juroen fin por el misssrip.^de-i* Eucaristia.no acet- ciencia D. Esteban Gabarda, D. Esteban Orcariz , D. Fernando Arcarme á este santísimo sacramento aun en el ultimo .trance de ia,m.u.ei/ did,.P., .Amero Echarri:, D. Josef..Joaquín Ermo . D. Manuel Laredo, -te sj no '.ctlufiplo enteramente lodo lo que acabo de jurar delante/de la D. Pedro Navarro, D. Tomas Delgado, D. Pedro Ort…</t>
  </si>
  <si>
    <t>Arce, Manuel Díaz de</t>
  </si>
  <si>
    <t>Manuel Díaz de Arce</t>
  </si>
  <si>
    <t>…orcionado, todo en la forma que manifiesta ra el de Ürotava á D. Juan Ferrera y Machado; para el de Garachico el modelo presentado por el Gobierno. Eí león estará de pie , asegu á D. Manuel Díaz de Arce y,Revuelta; para el de Granadilla á Don rando con la garra derecha la parte superior del 1 bro de la Constitu Josef Diez Bermudo, y para el de f . Miguel á D. Domingo Román ción cerrado, y la inferior descansará en el pedestal, de modo que se y Linares: igua'…</t>
  </si>
  <si>
    <t>Arce, Ramón López y</t>
  </si>
  <si>
    <t>Ramón López y Arce</t>
  </si>
  <si>
    <t>…recer. Sus principales teoremas pasaron á Francia con Fe ris, D. Gregorio Quiroga y Frías, Di Miguel Irribar- el tratado de Campo-Formio, y ei deseo que excitaron de ren y Ortuño, D. Ramón López y Arce, D. Josef Pul conocer la obra por entero produjo muy pronto una tra gar y Molina, D. Josef Pavía y Bermingham, D. Fran ducción francesa. cisco Tuero y Badillo, D. Mariano Lobéy Rabina, Don Muchos modernos se habían ya valido con buen suceso Joaquín Vallarino…</t>
  </si>
  <si>
    <t>Arce, Toribio</t>
  </si>
  <si>
    <t>Toribio Arce</t>
  </si>
  <si>
    <t>766</t>
  </si>
  <si>
    <t>…rtes tenían alguna otra re protejen á los enemigos del mismo. flexión que hacer sobre los jurados en las causas de libertad de impren ’ Semandó pasar al Gobierno una exposición de D. Toribio Arce, ta dijo el Sr.. Sarmentó que dudaba si el escritor extrangero debería en la que manifestando sus servicios pedia se le declarase benemérito de ser juzgado por los jurados nacionales, ó si convendría , como él opi la patria-, y se le declarase alguna asignaci…</t>
  </si>
  <si>
    <t>Árchibaldo</t>
  </si>
  <si>
    <t>…neral,, y no á las bases, que era de lo Cámara bajo esta forma, para que asi pueda resolverla de un que se trataba; pero el Sr. Borges Cavneiro le contestó que modo definitivo. El lord Árchibaldo .Hamilton, que conocía su opinión era manifestar-que la Constitución no se hacia probablemente el flaco apoyo conique podia contar, mani solamente;para.los-pueblos, sino para ligar en'ciert-o modo festó su mucha - prudencia, evitanao el comprometer á su á los…</t>
  </si>
  <si>
    <t>Archiepiscopi, D</t>
  </si>
  <si>
    <t>D Archiepiscopi</t>
  </si>
  <si>
    <t>…Gobierno fue un compuesto de extra- la de Martínez, y en Málaga en la de Martinez. víos, de corrupción "y dé crímenes, si- este mismo espíritu público, Institutiones theologicae, D. D Archiepiscopi lugdunensis, ad aflojando en sú marcha heroica, consintiese que.un Gobierno constitu vsum acholar uní suae dioecesis editae: editio prima hispana testimonia cional fuese manchado con el aliento impuro de las arpías que vuel gallico edita sermone, in hispanum…</t>
  </si>
  <si>
    <t>ArchiLald</t>
  </si>
  <si>
    <t>…votar. ( Se continuará. ) pondió, excepto Mr. Wehesley Pole; y en Un se dio -----No solamente los asuntos de la Reina son los que lla principio á la discusión por lu propuesta del lord ArchiLald man la atención pública, sino también los acontecimientos Hamilton , que decía asi: del continente, que pueden exponernos á una nueva guerra, »Que la orden dada en el consejo privado en 12 de fe y tal vez á dar mala idea á la Europa dei poco influjo de brero…</t>
  </si>
  <si>
    <t>Arco, Antonio Basilio García del</t>
  </si>
  <si>
    <t>Antonio Basilio García del Arco</t>
  </si>
  <si>
    <t>…á:-Capital:, tanto por su localidad, her : En la provincia de Falencia: para el juzgado del partido de la ca mosura cuanto por su riqueza y demas circunstancias que le son pital á D. Antonio Basilio García del Arco: para el. de Paredes de peculiares. ’i : , . . Nava á D. Josef Cuenca Saez: para el de Baltanás á D. Jóséf Valen El Sri Banqueri man¡festó',qüe no podia - aprobar el que Alicante tín Rica: para el de Cárrión'á D. Julián Bringas : para el de Cer'vera fuese pro…</t>
  </si>
  <si>
    <t>Arco, Domingo</t>
  </si>
  <si>
    <t>Domingo Arco</t>
  </si>
  <si>
    <t>…n . encerraba él principio de una precisión á Claucel; en Granada -en la de la viuda de Palacios; eri lo menos igual á la de aquel ; pero mas independiente de l»s Murcia en la de -D. Domingo Arco ; en Lorca en la de habilidad y talento del artista. Los comisionados franceses EL Antonio Arjóna; boticario ; en Segovia en Ja de Don- fueron Cassini , Legendre y Mechain. \ St‘ continuará. ) Francisco Viílaverde , del-comercio; en Toledo en la de D. Josef X…</t>
  </si>
  <si>
    <t>Arco, Felipe</t>
  </si>
  <si>
    <t>Felipe Arco</t>
  </si>
  <si>
    <t>…5.0 » Las Cortes declaran que los expresados mariscales de certificación de la condena al juez respectivo' para que la exija desde campo D. Antonio Quiroga, D. Ralael del Riego , D. Felipe Arco luego, remitiendo su importe al alcalde que la impuso. En las'provin Agüero, D. Miguel López Baños, D. Demetrio O-Dali, D. Carlos cias de Ultramar la multa será de un peso fuerte á lo menos , y no po Espinosa y el brigadier D. Manuel Latre, con sus dignos com…</t>
  </si>
  <si>
    <t>Arco-A, Felipe</t>
  </si>
  <si>
    <t>Felipe Arco-A</t>
  </si>
  <si>
    <t>…omandan cantó una canción amorosa , cuyas expresiones nó pudo du te general de la provincia de Tuy al .mariscal de ■ campo dar Clemencia que se dirigían á ella‘, y .arrimándose al D. Felipe Arco-A güero-, para gobernador de -Zamora al agujero, parecía suplicarla que no huyesen Dos de sus versos mariscal de campo D. Juan Martin Diez el Empecinado; y decían* para gobernador de S.Lucar de Barratneda almqriscal de. Habéis inspirado mis. versos: • . campo D…</t>
  </si>
  <si>
    <t>Arco-Agüero, Felipe de</t>
  </si>
  <si>
    <t>Felipe de Arco-Agüero</t>
  </si>
  <si>
    <t>…, y el entusiasmo 8o3 rs. vn. para ellos, y en su defecto para sus mugeres é hijos. 2,= con que adora á su augusto Soberano, fue el que dirigió sus accio A los mariscales de campo D. Felipe de Arco-Agüero , D. Miguel nes en la heroica resolución que tomó. = Montevideo 20 de Marzo López Baños , D. Demetrio O-Daly y D. Carlos Espinosa se señal3 de x 821.” Siguen las Jimias de los gefes y oficiales de los cuerpos. otra rema anual de 408 rs., y otra de ao3 al brig…</t>
  </si>
  <si>
    <t>Arcoi’ito</t>
  </si>
  <si>
    <t>…Beganí, gobernador de Gácta, manda las fuéfzas situa das entre Estri y Fóndi. ' . ’ ' ‘ .provinciales. A ... La comisión especial nombrada para pedir informe al Gobierno y exa- El general Arcoi’ito manda una división en Terracina. .ininar los suceso? ocurridos en Alcoy, después de haber evacuado sus in El mando de la feserva está al cargóMef general Filangieri. /. formes decia ¿lo haber sido los enemigos del sistema Jo: que habían cau Antes de salir pat…</t>
  </si>
  <si>
    <t>Arcorito</t>
  </si>
  <si>
    <t>Gaceta del Gobierno n.º 9</t>
  </si>
  <si>
    <t>…as peticiones fueron atendidas por el ALEMANIA. Parlamento, y en seguida se volvió á tratar del proyecto de modificación de la Constitución española. Francfort 18 de Diciembre. El Sr. Arcorito manifestó que el ministro de la Justicia Dentro de poco se espera en la Dieta el descargo gene habla extendido un proyecto de ley para castigar á los que ral de la comisión central de Maguncia, y entre tanto se cometiesen el delito de que se trataba ; y el Sr…</t>
  </si>
  <si>
    <t>Árcorlto</t>
  </si>
  <si>
    <t>…inexplicable -el entusiasmo qué., según los periódicos de ííapoleíj presen tarontodosJós;p5rsom:fo's:que convendría .fueseen el puerto-, de excitó este- dijeurso de S. ^A.-R. El.-Sr. Árcorlto.^.mievó p’résidente, Garachico',':porgue: esrabári'mas’enel centro, -y proporcionaba .todas contestó*, con .mucha dignidad^ y:.¿ Príncipe,:sé.yóíym á su^palacio las comodidSde£*p¿rada&lt; pronta administración de-justicia: : : • - acompañado de'un inmenso pueblo…</t>
  </si>
  <si>
    <t>Arcos</t>
  </si>
  <si>
    <t>Gaceta del Gobierno n.º 31</t>
  </si>
  <si>
    <t>…e las fuerzas dél Gobierno : su numeró asciende ti8©-h®rñbrés se celebró ayer en presencia del Rey, volvió á hablar el á lo menos; los 5© Virtieron aquí con la familia-Real, y loá ministro Arcos en favor del nuevo orden de cosas en Por 3© restantes tré* años há, cuando los independientes del tugal, exponiendo su opinión con una firmeza que no pue Rio de la Plata inspiraron algunos temores. Esta disposición de menos de hacerle mucho honor á los ojos d…</t>
  </si>
  <si>
    <t>Arcovi-</t>
  </si>
  <si>
    <t>…el original de mento nacional pasó á anunciar á S. A. R. el Príncipe Re ■toáos los yerros de -pluma, he añadido las citas de los ar gente la conclusión de las sesiones de 1820. El Sr. Arcovi- tículos que tienen analogía, y de ios del reglamento que se to dirigió á S. A. ,R. las siguientes palabras: -refieren á ellos; -y_he concluido can un índice alfabético de las «Sermo. Sr.: El Parlamento ha concluido sus .sesiones materias. Si los vientos dei N…</t>
  </si>
  <si>
    <t>Arcovito</t>
  </si>
  <si>
    <t>Gaceta del Gobierno n.º 53</t>
  </si>
  <si>
    <t>…los súbdiros del Monarca, hallándose á la cabe pahlamunto naoiosal-----Sesim de 79' de Enero. za de ellos. Lo dilarada que fue esta discusión no nos per En esta &lt;esion propuso el diputado Arcovito que se de mite ahora extendernos en otras observaciones. El mun,do clarasen perpetuamente festivos los dias en que el Rey ha entero conoce no solamente la falsedad , sino lo ridículo y bía jurado el nuevo pacto político, y el dia en que sé pu alvurdo de los c…</t>
  </si>
  <si>
    <t>Gaceta de Madrid n.º 80</t>
  </si>
  <si>
    <t>…os,'calle de la Amarsura, Según noticia; de Milán del 4 ei general napolitano Füangierj so esquina á la del Jardinilio, núm. 92 y 93, que está gravada c0:1 5 hallaba en Fondi-, el general Arcovito en S. Germano y Ceprani, y el censos, sus principales unidos 31,900 rs., en 407,430 rs. y ¡y mrs. general Tépé cerca de Acquí. El 20 un cuerpo de este general de 33 Otra casa en ídem de tres cuerpos, calle de S. Rafael, núm. 8, hombres y 9 cañones tomó posici…</t>
  </si>
  <si>
    <t>Arcovtto, Gerónimo</t>
  </si>
  <si>
    <t>Gerónimo Arcovtto</t>
  </si>
  <si>
    <t>…l mismo beneficio y ventajas que dispensa á los presidente al Sr. D. Inocencio de Cesare; para vice-presi den residentes en este reino el citado decreto de las Cortes de r.° te al Sr. D. Gerónimo Arcovtto , y secretarlo ai Sr. D. Ma de Octubre último; á saber: la congrua de 10o ducados teo Intbriani. anuales , á fin de que con esta seguridad , con el atestado La gaceta de Génova del 13 de Enero anuncia, apa de cualquiera ordinario que en España se constituya s…</t>
  </si>
  <si>
    <t>Ardevol, Jaime</t>
  </si>
  <si>
    <t>Jaime Ardevol</t>
  </si>
  <si>
    <t>…ncia ha con canales de trasporte. Esta ventajosísima aplicación pertenece original cedido á nuestro egército dé Italia ventajas tan r_pidas como comple mente á nuestro compatriota D. Jaime Ardevol, contador de propios tas; 5¡n embargo continúa la conscripción militar para el presente año. de esta provincia , conocido ya en la literatura por su estadística del El número de los reclutas que se piden á los Estados hereditarios es muy partido de Reus , y m…</t>
  </si>
  <si>
    <t>…tor , cas 1 nueva sin número, cinrto principal de. la irquerd.i, el cual que firman con este título la mencionada representación : que digan en calidad de encargado del pr’p .loo D. Jaime Ardevol tratara y lodos los amigos del orden si no es un crimen el que las punieras au- les manifestará lo conveniente ai asunto.</t>
  </si>
  <si>
    <t>Ardison, Juan Bautista</t>
  </si>
  <si>
    <t>Juan Bautista Ardison</t>
  </si>
  <si>
    <t>Á las comisiones de Hacienda y Política se pasó un expediente de pueblos sobre si los terrenos de baldíos y realengos se han de dividir D. Juan Bautista Ardison , que solicita el reintegro de un secuestro he entre eiios. cho en Barcelona, y otro acerca de que se habilite á la junta de Re A la comisión de Instrucción pública se pasó una exposición del presalias para entender en este asunto. director del observatorio a…</t>
  </si>
  <si>
    <t>Arechavaleta, Joaquin Ruiz</t>
  </si>
  <si>
    <t>Joaquin Ruiz Arechavaleta</t>
  </si>
  <si>
    <t>…Caro. Liñan, Cano Manuel , Villa, Zayas, Veyan: para el de Huesca á D. Josef Moreno Remirez: para el de Benitez, Loriares, Dominguez, Huerta, Torrens, conde de Toreno, Almudevar á D. Joaquin Ruiz Arechavaleta : para el de Cinco Villas Argaiz , Loizaga, Fraile, conde de Montenegro, Martínez de la Ro á D. Pedro Luque: para el de Jaca á D. Josef Pía y Puig; y para el de sa , Montoya, Freiré, Lecumberri , Clemencin., Cañedo, Ramos Gar Ainsa á D. Buenaventura Portóla.…</t>
  </si>
  <si>
    <t>Arechedarreta, Juan Bautista</t>
  </si>
  <si>
    <t>Juan Bautista Arechedarreta</t>
  </si>
  <si>
    <t>…que sigue: » No ocurre novedad en la importante salud de SS. MM. y AA.’!¡ dad lo que se le presente! De todo esto concluyo que la junta que la comisión propone no Por promoción de D. Juan Bautista Arechedarreta , á una media ra podrá llenar los deseos de las Círtes; ni tampoco podrá proveer las ción de la santa iglesia metropoliuna de México, ha resultado vacante casas de moneda de hombres hábiles, ni evitar el curso de la moneda la canogía que obtenía en la colegia…</t>
  </si>
  <si>
    <t>Arechederreta, Juan Bautista de</t>
  </si>
  <si>
    <t>Juan Bautista de Arechederreta</t>
  </si>
  <si>
    <t>…era se podria uno figurar mejor el laberinto d« .nigo lectoral de la misma ; y una media ración de la de Méjico á montes y de valles de que se compone el Peloponeso que mirando lt D. Juan Bautista de Arechederreta, canónigo de lí colegiata de Gua- Arcadia, centro de toda la. península, como una mesa generalmente dalupe.de aquella capital. mas elevada que todo lo demas, aunque llena de escabrosidades. Este me.a, cuyo clima tenían los antiguos por frío y nebuloso, conser…</t>
  </si>
  <si>
    <t>Arelladas, Antonio Eamirez de</t>
  </si>
  <si>
    <t>Antonio Eamirez de Arelladas</t>
  </si>
  <si>
    <t>…l de caballería retirado ; D. Josef Melendez y Fernandez , canónigo continúan los desórdenes, ios asesinatos y las crueldades^, si no manda de Ja iglesia colegiata de S. Hipólito; D. Antonio Eamirez de Arelladas por el Gobierno, á lo menos egecutadas impunemente- Las tropas no , juez de primera instancia de Málaga; D. Agustin López del .Baño, asiáticas hacen sombra á los genízaros: estos amenazan con desórdenes médico de Lucena. Suplente. D. Juan María de Rojas, abog…</t>
  </si>
  <si>
    <t>Aren, Rosa</t>
  </si>
  <si>
    <t>Rosa Aren</t>
  </si>
  <si>
    <t>…de infinita superioridad sobre las del citado Villegas , ni ape Mayo del año próximo pasado ha solicitado desde TJbedá nas haga alto é'n sús divinos romances pastoriles, y su des Doña Rosa Aren, viuda de! teniente coronel retirado Don pedida del anciano' , que son el timbre más - esclarecido de' Antonio Castañeda, que siempre que siga á sus hijos D. An sil nombrádía poética'. tonio y D. Jacinto Castañeda, que sirven en el regimiento Como quiera el a…</t>
  </si>
  <si>
    <t>Areñalado, Ignacia</t>
  </si>
  <si>
    <t>Ignacia Areñalado</t>
  </si>
  <si>
    <t>…ley de 27 de Setiembre dé s 820; y quedó aprobado este dictamen. solicitando rebaja del cupo de la misma contribución que se le ha se La misma comisión en vista de la solicitud de Doña Ignacia Areñalado. llano, relativa á que la gracia que se la concedió en la última legisla A la de Infracciones de Constitución se mandó pasar una exposi tura para vender la sexta parte del vínculo que posee, sea extensiva á ción de D. Felipe Antón, juez de primera instancia d…</t>
  </si>
  <si>
    <t>Arenas, Josef Nnñez de</t>
  </si>
  <si>
    <t>Josef Nnñez de Arenas</t>
  </si>
  <si>
    <t>…r ni disolver las Cortes. A la del Gobierno interior de Cortes pasó una solicitud del capiran ■ 28'.. . Los diputados á Cortes, como representantes de la nación, son de artillería D. Josef Nnñez de Arenas, solicitando un empleo en las inviolables en sus personas , y nunca serán responsables: de sus opi mismas, en atención á sus méritos y servicios. niones. ■ : El capitán general de la provincia de Aragón D. Rafael del Rie 29.. : A: las Cortes corresponde nombr…</t>
  </si>
  <si>
    <t>Arenas, Josef Nuñez de</t>
  </si>
  <si>
    <t>Josef Nuñez de Arenas</t>
  </si>
  <si>
    <t>…él en los negocios de su atribución. villa de Madrid ; D. Rafael Casim.ro Lodares , diputado provincial. Su 3. " Que el 4 por too se pague solamente de las ventas y fincas plente. D. Josef Nuñez de Arenas, capitán del cuerpo de artillería. cuya subasta se haya empezado y concluido desde la ejecución del ci Por la provincia de háavarra. D. Josíf Luis Munarriz; D. Fer tado decreto de 29 de Junio hasta la de este, aunque no estén pagadas, mín Alvarez Enlate, peni…</t>
  </si>
  <si>
    <t>Arenas, Juan</t>
  </si>
  <si>
    <t>Juan Arenas</t>
  </si>
  <si>
    <t>…perdido de vista ioi intereses de: la orden de A la comisión de Hacienda paió una solicitud de D. Juan Leen y Malta, sirio que han tomado muchas'resoluciories á favor de esta anti D. Juan Arenas , para que se íes rebaje el precio de un arriendo : y otra gua orden, cuya existencia nos recuerdan tantas memorias honoríficas. de D. Víctor C.lleja , vecino de Montiel , para que se le perdonen Entre las varias ventajas que le asegura este Monarca,, se habl…</t>
  </si>
  <si>
    <t>Arencó, Castello</t>
  </si>
  <si>
    <t>Castello Arencó</t>
  </si>
  <si>
    <t>…algunos Sres. diputaque seguía eu sus.'tareas la extinguida cancillería de Estado. ■ • tados- las protestas mencionadas, y los nombres de los que, lás habían firmado, preguntó el Sr. Castello Arencó si la protesta id (que trata \ ' : '■ INGLATERRA............ - - ’ ba de sí debía ponerse ia palabra única antes de la de religión) se ha bia de insertar en el diario de Cortes ; y habiéndosele respondido que Londres I.~ de Febrero. sí, dijo; De cuantas .proc…</t>
  </si>
  <si>
    <t>Arenzana, Román Martínez</t>
  </si>
  <si>
    <t>Román Martínez Arenzana</t>
  </si>
  <si>
    <t>Gaceta de Madrid n.º 252</t>
  </si>
  <si>
    <t>…hallándose conformes, y para Versara á D- Josef Churruca. Y en la provincia de Navarra publicará uno de cada parte el número de diputados que aprueban ó para el partido de Arcos á D. Román Martínez Arenzana. reprueban. Hecho esto , un secretario publicará que está ó no aprobada la proposición. Art. 116. Para que en este caso se asegure el acierto Desde el día 4 del corriente continuará la enseñanza de la botánica I de la resolución, todos los diputados permanece…</t>
  </si>
  <si>
    <t>Aresanenaga, Tadeo</t>
  </si>
  <si>
    <t>Tadeo Aresanenaga</t>
  </si>
  <si>
    <t>…y debefia tomarse en consideración en silla, ¡d.: D. Antonio Peran Moya, subteniente: D. Miguel Gargallo, todrf la semana próxima, á fin de que pudiese empezarse su discusión id.: D. Tadeo Aresanenaga, id. : D. Domingo de la Rosa, id.: Don el dia 2 de Julio; y qué en este intervalo se discutirían varios asuntos Santiago Torres. id.: D. Manuel Baricher, id.' D. Juan Antonio Cres pendientes. po, id.: D. Luis Cea, id.: D. Francisco Ibañez, id.: D. Pedro Baldi…</t>
  </si>
  <si>
    <t>Areta, Josef Martinez</t>
  </si>
  <si>
    <t>Josef Martinez Areta</t>
  </si>
  <si>
    <t>…anti En la audiencia territorial de Castilla la Nueva á D. Ramón Macla gua Grecia, fecundicen noticias de su administración pública, y lleno de de Lleopart: en la de Valladolid á D. Josef Martinez Areta: en la de fuego y patriotismo en medio de las intrigas y convulsiones políticas Granada á D. Josef de la Vega Carballo, D. Antonio Fernandez del que agitaban aquel imperio: un tomo en 8.° Se hallará á 8 rs. en la Castillo y D. Francisco Verea y Cornejo: en la…</t>
  </si>
  <si>
    <t>Arevalo, Ramón Aguirre y</t>
  </si>
  <si>
    <t>Ramón Aguirre y Arevalo</t>
  </si>
  <si>
    <t>…ncebirse como los griegos pudieron egecutsr las JD. Francisco Tejada y Urbina, D. Sérapio de Pedro y operaciones indicadas en Arquimedes y Frolotneo con una Fernandez de Heredia , D. Ramón Aguirre y Arevalo , Don numeración tan imperfecta, si se compara con la nuestra. Ramón Musitu y Wostér, D. Indalecio González del Va La geometría antigua ño admitía en sus demostraciones lle y Fernandez, D. Joaquín Nuñez y Fernandez , Don sino lo que podía egecutarse con la re…</t>
  </si>
  <si>
    <t>Arévato, Antonio</t>
  </si>
  <si>
    <t>Antonio Arévato</t>
  </si>
  <si>
    <t>…monasterio de S. Prudencio, para cuyo primé'r rema Ampuero, D. Eduardo Pose, D. Ramón Hacha, D. Fran te, que se ha de verificar en la ciudad de Logroño, cisco y D. Antonio Falcó, D. Antonio Arévato, D. Josef esta señalado el dia 24 del presente. Aguilar, D. Santiago Irazabal, D. Josef Donesteve, Don Una casa en el arco de la Compañía de la ciudad de Baltasar Salomón y D. Joaquín Roca; y con la de 6 del Logroño, en 2,200 rs. mismo Febrero á D. Eusebio Sa…</t>
  </si>
  <si>
    <t>Arfvidson</t>
  </si>
  <si>
    <t>…er proyecto de ley contenia el presupuesto de gastos extra Pctersburgo 6 de Octubre. ordinarios para el año 1822, que ascienden á la siguiente cantidad de Hace algún tiempo que el profesor Arfvidson empezó i redactar florines en esta forma: un periódico en Abo, y el Emperador acaba de prohibir su publica La Casa Real................................................................ 0000 ción por una orden muy rigurosa. El consistorio académico le ha he La…</t>
  </si>
  <si>
    <t>Argfielles</t>
  </si>
  <si>
    <t>…unstancias exigía la que se hallaban en el cuarto dia, y aun no se habian leído las memo tranquilidad pública. rias; que veia el peligro que nos amenazaba, y que sostendría los El Sr. Argfielles dijo que ni él ni sus compañeros podían propor derechos de la Nación, en cuya ‘defensa tenia siempre una espada afi cionar las luces que deseaban las Cortes*, que habian sido ministros , y lada para morir matando, pues no queria se repitiesen las escenas del…</t>
  </si>
  <si>
    <t>ArgiD, Juan</t>
  </si>
  <si>
    <t>Juan ArgiD</t>
  </si>
  <si>
    <t>…io de aquella ciudad; en Santander en la de D. Antonio de ia getos siguientes: para Jaén á D. Josef Serrano Soto para Mirtos á Cuesta y Hontañon, boticario; en Pontevedra en la de D. Juan ArgiD. Francisco Martínez Rey ; para Alcalá la Real á D. Miguel Lerin bay ; en Oviedo en ia de D. Marcos Saraudeses; en León en la de Don Bracamente; para Andujajr á D. Francisco de Paula Molino; para Ube- Antonio Chalanzon ; en Búrgos en la de D. Paulino Alegría,…</t>
  </si>
  <si>
    <t>Argiielles, Joaquín</t>
  </si>
  <si>
    <t>Joaquín Argiielles</t>
  </si>
  <si>
    <t>…itución prevenia en ia vigésimatro de este ramo, en que con motivo de la solicitud del teniente de quinta de las facultades de las Cortes, que estas » podian hacer efectiva Zamora D. Joaquín Argiielles, manifiesta la necesidad de que el decre la responsabilidad de los secretarios del Despacho y demas empleados to de las Cortes sobre retiros comprenda á los individuos que sirvan públicos y que mal podría verificarse esto si antes no se examinaba la en Ultram…</t>
  </si>
  <si>
    <t>Argíielles, Josef Canga</t>
  </si>
  <si>
    <t>Josef Canga Argíielles</t>
  </si>
  <si>
    <t>…tro, Aguado y D. Esteban Cabañez, vindicándose de una queja dada contra D, Agustín Argfieiles, D. Ramón Gil de la Cuadra , D. Manuel Gar ellos por D. Tiburcio López. cía Herreros, D. Josef Canga Argíielles , D. Cayetano Valdes y Don Se dió cuenta de una exposición de D. Luis Sánchez Prieto, vecino Juan Jabaí, en atención al estado en que se hallaban, á los distinguí-</t>
  </si>
  <si>
    <t>Argomado, Francisco de Rosas y</t>
  </si>
  <si>
    <t>Francisco de Rosas y Argomado</t>
  </si>
  <si>
    <t>…raquin , Guerra (Don Josef Basilio), Paul, Vadillo, Cosío, López (D. Patricio) y Apestarán. ' ' ANUNCIOS. &lt; El Sr. presidente dijo que mañana continuaría la discusión sobre el , A D. Francisco de Rosas y Argomado pertenecen 2259 mrs. de lo* código penal, y levantó la sesión á las ocho y media. 45o® del juro, que en millones de Sevilla tenia D. Miguel Paez Ponce de íeon, con antelación de la tercera situación , cuyo privilegio original ti ARTICULO DE OFICIO. ha extravi…</t>
  </si>
  <si>
    <t>Argos</t>
  </si>
  <si>
    <t>Gaceta del Gobierno n.º 34</t>
  </si>
  <si>
    <t>…r. Braconot, químico distingiiido.de.Nañp de Enero ,• mandó llevar á efecto el citado de 30 de Noviem cy, ha de-cubierto el medio de convertir en goma ó etí ma bre proveído por el Sr. Argos, mandando devolver la causa, teria azucaro a la sustancia hgnosa, o sea la madera del como se ha verificado para su egecucion.Se halla vacante ¡a plaza dealbeitar de Villaconejos, dis cáñamo, y los trapos viejos con la acción del ácido,sulfú tante 6 leguas de…</t>
  </si>
  <si>
    <t>Argos, Ramón de</t>
  </si>
  <si>
    <t>Ramón de Argos</t>
  </si>
  <si>
    <t>…ducido las leyes de Kepler, por las cua-r años, por haber querido..robar el dinero á Antonio Coll: les prueba la de la gravedad universal. formada la correspondiente causa por- el Sr. D. Ramón de Argos, ministro togado honorario, y juez de primera ins tancia de esta muy .heroica villa, seguida por todos sus : ANUNCIOS. ' -Trámites, y oida la defensa de Pulido, le sentenció en 14 de Noviembre á dos años de presidio en el de Málaga, y Se halla vacante la. pla…</t>
  </si>
  <si>
    <t>…ueblos, que se arroga la potestad de crear ' rá lo conveniente. ; lo justo y lo injusto á- medida de su deseo? ¿Será el que despojando á los otros hombres del mas precioso don que D. Ramón de Argos, ministro honorario de la audiencia recibieron de las manos del Criador/resigna en las de un territorial , y . juez togado de primera instancia de esta M. H. vi déspota la vida, el honor, las acciones y movimientos, el lla , por el presente cito, 1 lanío y em…</t>
  </si>
  <si>
    <t>…cir y exponer sus acciones ; prevenidos que resado y demas electos correspondientes. Madrid 15 de di no hacerlo les parará el. perjuicio que haya lugar. Enero de l8zi-” • • Por ei Sr. D. Ramón de Argos, ministro honorario de 1» VARIEDADES. audiencia territorial, y juez de primera instancia de esta ?»í. H. villa, y escribanía del número de D. Pascual Seco , se ha seguí» Egipto. F.l aspecto de las inmediaciones de Alejandría do causa contra Juan Serrano., de…</t>
  </si>
  <si>
    <t>…soldados del primer batallón del do de incitador á la desobediencia en primer grado: en cuya vista el se regimiento de infantería deAstúrias, manifestados en una felicitación ñor D. Ramón de Argos, juez de primera instancia de esta muy heroi al Congreso por su instalación {que se leyó), de la que mandaron se ca villa, en providencia de 4 de este mes ha declarado que la ley con hiciese mención en el Diario de sus sesiones. dena á D. Sebastián de Miñano…</t>
  </si>
  <si>
    <t>…a. ANUNCIOS. . Es sabido que el general ingles Wilson , amante de la libertad de los pueblos, y enemigo acérrimo del despotismo, «ea la que quiéra la En virtud de. providencia del Sr. D. Ramón de Argos, ministro forma bajo la cual se presente , ha solicitado servir bajo las banderas de togado honorario de la audiencia territorial, y juez de primera instan •Ñapóles; y bueno será saber que, según cartas de Roma del n de Mar- cia de esta M. H. villa, su fecha…</t>
  </si>
  <si>
    <t>…la rebe por ordenanza. lión de ios anegos no da cuidado ni al Austria ni a la Rusia! ANUNCIOS. En Vicia se hablan sabido ya los acontecimientos de Ñapóles; pe Por providencia del Sr. D. Ramón de Argos , ministro togado ho ro antes de saberse se enviaban 150S) austríacos mas, y luego ya no norario dala audiencia territorial, y juez de primera instancia de esta eran sino que) con 80S) rusos de infantería, 1 oO caballos, 3U cosacos M. H, villa, fecha 5 del co…</t>
  </si>
  <si>
    <t>…ectos. 11 5 Otra id., núm. 19 , en 6569 rs. 116 Otra id., núm. 72, en 34,612 rs. " ANUNCIOS. . 117 Otra id., núms. 69 y 70 , en 64,766 rs. . En el juzgado de primera instancia del Sr. D. Ramón de Argos, y 118 Otra id., núm. 65 , en 19,444 rs. escribanía numeraria'de cargo de D. Francisco Alcázar, se ha solicita 119 Otracallé de Matamoros en Triana , núm. 8g,-en 39,302 rs. do por parte de Juan Aguado de Aguado , vecino de Alcobéndas, que 120 Otra calle de Ca…</t>
  </si>
  <si>
    <t>Gaceta de Madrid n.º 114</t>
  </si>
  <si>
    <t>…stitución arbitraria que habia formado, y pendientes en el juzgado de primera instancia de esta corte del cargo darles otra que le atrajo ias bendiciones de todos sus súbditos. de Don Ramón de Argos, en 16 de Abril. El Monitor y la Gaceta de Francia del dia 13 citan un correo ex-, La formada contra Teodoro Robles, D. Miguel Martínez Pita, Ma traordinario, que dicen haber llegado á París el 12 con la noticia de ría Collar y Angel Grande, presos por su ord…</t>
  </si>
  <si>
    <t>…dicho juzgado, y por la escribanía de número de D. Josef Benito estado de cosas. Canqueiro. Parecía que en virtud de una triste experiencia los gobernantes de Por providencia del Sr. D. Ramón de Argos , ministro togado, juez Francia se acomodarían á ¡as circunstancias, y que jamas chocarían con de primera instancia en esta heroica villa, se cita .y emplaza á ¡os pa la menor cosa que pudiera inspirar odio contra el feliz restablecimiento rientes y demás per…</t>
  </si>
  <si>
    <t>Gaceta de Madrid n.º 150</t>
  </si>
  <si>
    <t>…piezan á contarse desde que se haga este anuncio en la gaceta. Quien pricho ilimitado de un déspota, ó del yugo severo de un tirano, en quisiere hacer dichas mejoras acuda ante el Sr. D. Ramón de Argos, contrará en su amada patria, no ya una madrastra ceñuda.-::: sino una ministro honorario de la audiencia territorial, y juez de primera ins madre tierna, que para estrecharle íntimamente en su señóle prepa tancia de esta M. H. villa, por la escribanía del nú…</t>
  </si>
  <si>
    <t>868</t>
  </si>
  <si>
    <t>…l art. 354 se decía que no hubiese en créditos contra el Estado,, acudirá al juzgado de primera instancia aduanas interiores , lo cual estaba ya determinado por las Cortes, jr del Sr. D. Ramón de Argos, y escribanía de D. Martin Santin y seria, si se aprobaba este artículo, una declaración opuesta é incompatible Vázquez; en el concepto de que su último remate se ha de celebrar con la libertad nacional y con el decoro de la Constitución. Se suspen en una de…</t>
  </si>
  <si>
    <t>…l Epiro marchaba concurran á la junta que ha de celebrarse en el día 1 3 de este mes í sobre Tesalia; y go9 turcos, enviados á aquel país, habian sido derro las 8 en la posada del Sr. D. Ramón de Argos, juez de primera ins tados. Añaden que la escuadrilla de los griegos habia pasado los Darda- tancia en esta capital. nelos----En Smirna ha habido grandes alarmas. sota. La indicación que en la gaceta del 14, col. id del suple La Cámara de los Diputados Je Fra…</t>
  </si>
  <si>
    <t>…s mejoras acuda ante dicho señor juez y Continúa el artículo de ayer. escribanía referida.. » Los cismáticos, llenos de exaltación contra los católicos, se han Por providencia del Sr. D. Ramón de Argos, ministro togado ho unido con los turcos para perseguirlos. Los armenios que profesan el norario de la audiencia territorial, y juez de primera instancia de esta rito romano no han hallado aun entre los musulmanes enemigos mas M. H. villa, refrendada de D. Pa…</t>
  </si>
  <si>
    <t>…ro de tableció el despotismo roas insolente que jamas experimentó la especie humana? «Han olvidado que Bonaparte procuró sofocar los sentimien D. Claudio Sanz. Por providencia del Sr. D. Ramón de Argos, juez de primera instan tos que unían los ciudadanos á la patria, desterrar todas las luces de la cia de esta M. H. villa, se manda despachar citación por edictos con tér civilización, y paralizar todos los-medios de la enseñanza? «Han olvi mino de un año par…</t>
  </si>
  <si>
    <t>Argos’, Ramón de</t>
  </si>
  <si>
    <t>Ramón de Argos’</t>
  </si>
  <si>
    <t>…onarca.1 Mañana se Kara la guerra á anuncio en la gaceta. Quien quisiere hacer dichas mejoras acuda an la Constitución de España, impetrando al- iníéiito: alguna buiá romana te el Sr. D. Ramón de Argos’, ministro honorario de la audiencia ter que. dispense á Fernando vu del juramento qué ha prestado. Se hará ritorial, y juez de primera intancia de esta M. H. villa, por la escri también probablemente lá guerra á'las ihifelites' reliquias de la Carta banía del…</t>
  </si>
  <si>
    <t>Argue, Agustín</t>
  </si>
  <si>
    <t>Agustín Argue</t>
  </si>
  <si>
    <t>…n valor , cuando menos, igualt^g.^ Los griegos son dueños ÍlÉ“HlBÍjúliwfePart:¿ del 'pais1 y de algunas islas en..que los.turcos aún en ' Por la 'provincia de 'Asturias/ EÍ'Excmo. Sr. D. Agustín Argue mayor prosperidad Jamás pu'dieroñ'interhárse; estos pun- lles, consejero honorario de Estado; él generál D. Rafael del Riego, los primeros como unas plazas inexpugnables, de donde mariscal de campo de los egercitos nacionales; el Exorno. Sr. O. Josef ^HBHB(^^…</t>
  </si>
  <si>
    <t>Arguelles</t>
  </si>
  <si>
    <t>…las pre cerles algún cargo, podrían contestar, según las leyes lo previenen: guntas que se les hiciesen. que todas las dudas que tuviese el Sr. preopinante eran muy fáciles de El Sr. Arguelles dijo que estaban agradecidos, al aprecio que el satisfacer, remitiéndose á los expedientes ¿respectivos, los cuales sumi Congreso hacia de ellos; pero que no podía menos de manifestar que</t>
  </si>
  <si>
    <t>Arguelles, Agustin</t>
  </si>
  <si>
    <t>Agustin Arguelles</t>
  </si>
  <si>
    <t>…muchos, que aun no habia podido na miento. = Está rubricado de 'la Real mano. = En Palacio á die descubrir ; mas á fuerza de observaciones sobre la situa so de Enero de 1821. = A D. Agustin Arguelles.” ción de Tebas, encontré al fin ia- señal que debía encami narme. En efecto, después de varias excavaciones llegué á Los religiosos residentes en las provincias que preten descubrir seis de estos sepulcros, uno de los cuales es el de dan secularizarse, para…</t>
  </si>
  <si>
    <t>Arguelles, Antonio Agustín</t>
  </si>
  <si>
    <t>Antonio Agustín Arguelles</t>
  </si>
  <si>
    <t>Gaceta del Gobierno n.º 25</t>
  </si>
  <si>
    <t>…orden para su inteli biéndose enterado el Rey de todo con mucha satisfacción, gencia y cumplimiento. Madrid i.9 de Enero de 1821.=: se ha servido conferir desde luego al referido D. Antonio Agustín Arguelles.” Riquer la graduación de teniente de fragata en justo premio JPtiego del mes de............ de iSsz. N. s.° de tan interesante servicio, reservando la concesión ele otras Pueblo de......... ¿provincia de...... gracias á los demas para cuando se reciban notic…</t>
  </si>
  <si>
    <t>Arguelles, Josef Canga</t>
  </si>
  <si>
    <t>Josef Canga Arguelles</t>
  </si>
  <si>
    <t>Gaceta del Gobierno n.º 20</t>
  </si>
  <si>
    <t>…. no Gefe político, que acaba de ser nombrado para Aragón Rubricado de la Real mano. r= En Palacio á i j de Enero D. Francisco de Moreda. Como la opinión le habia prece de 1821= A D. Josef Canga Arguelles. De orden de S. M. lo traslado á V. para su inteli dido,.todos salieron á recibirle , y especialmente los milicia gencia, y damas efectos oportuno?, Madrid 15 de Enero nos ,de caballería, qué se adelantaron á una distancia consi derable del pueblo , en el que…</t>
  </si>
  <si>
    <t>Arguelles, Juan de Posada</t>
  </si>
  <si>
    <t>Juan de Posada Arguelles</t>
  </si>
  <si>
    <t>Gaceta de Madrid n.º 332</t>
  </si>
  <si>
    <t>…...... 12000 déla convocación del consejo.de gabinete que se celebró anteayer. ■45° 60000 rRANCIA. Continúa la lista de los electores de partido. En Asturias. Partido del Infiesto D. Juan de Posada Arguelles, Parts g de Noviembre. &lt; hacendado; D. Juan Carvajal, cura párroco deVilloria; D. Josef Jun Las cartas de Carcasona-dicen entre otras cosas lo siguiente: co Pola, hacendado. Partido de Salas D. Toribio de Mones, cura da ” A pesar de los sucesos de Smirna, y d…</t>
  </si>
  <si>
    <t>Arguelles, Juan Hevia</t>
  </si>
  <si>
    <t>Juan Hevia Arguelles</t>
  </si>
  <si>
    <t>…Martínez déla Rosa, en Suarez Cuenllas : para el de Ponferrada a D. Rodrigo Alfonso Flore,.que ademas del objeto de la anterior pedia se ocupase la misma co para eí de la Bañeza á D. Juan Hevia Arguelles: para el de Omaña á misión en examinar y proponer á las Cortes si era llegado el tiempo D. Francisco Plácido Cabrera; y para el de Toreno á D. Anselmo Diaz de establecer la diferencia entre los jueces de hecho y de derecho, con Canseeo. arreglo al artículo 3°…</t>
  </si>
  <si>
    <t>Arguello</t>
  </si>
  <si>
    <t>…sobre casas de expósitos en las provincias de Ultramar . que se á que asciende los ido9 á un 3 por too. Por otra parte estos millones mandó pasar á la de Beneficencia; y otra del Sr. Arguello, para que por gravitarían sobre el infeliz pueblo , que , como he dicho, y las Cortes io ahora, mientras no se apruebe el nuevo pian de consulados, ios derechos ven en las exposiciones que de continuo se ie dirigen, ni aun puede consulares que se pagan en Nic…</t>
  </si>
  <si>
    <t>Arguello, Tomas</t>
  </si>
  <si>
    <t>Tomas Arguello</t>
  </si>
  <si>
    <t>…table eclesiástico ñores D. Luciano Castoreña , diputado por México ; D. Francisco Ma que tanto nos honra. Grabemos su memoria con caracteres indelebles ría Ramírez por Oajaca , y D. Tomas Arguello por la de Nicaragua.para que viva eternamente.Dichoso yo si con este elogio logro estimu El de la segunda de Legislación sobre la solicitud de D. Manuel lar a aquellos eclesiásticos que con sus luces y talentos pueden hacer Careo y Garay, tasador del supremo…</t>
  </si>
  <si>
    <t>Arias</t>
  </si>
  <si>
    <t>…n medio de sus Cartas 14 y 15 de D. Roque Leal.-Disciplina/.Origen: de su divi lagunas una república, qué con' razón pudo -llamarse la- maravilla dei sión en interna y externa. El Sr. Arias .desmentido por el R. P. Velez, mundo, el milagro de la. lihertad-.. : . . ■ n . y ambos-por. españoles sabios. Dos. venenos. Intervención del. Príncipe Aun no habia dejado esta nación las armas de la mano cuando los en la disciplina externa. Efecto de la pro…</t>
  </si>
  <si>
    <t>Arias, Antonio Sandalio' de</t>
  </si>
  <si>
    <t>Antonio Sandalio' de Arias</t>
  </si>
  <si>
    <t>…y de Tailor ; la diferenciación de las ecuaciones de dos El profesor de agricultura del museo de Ciencias natu variables ; el método de les tangentes, aplicándole á las cur rales D. Antonio Sandalio' de Arias dará principio á sus vas de segundo orden , y á determinar las asímptotas de las lecciones en el jardin botánico de esta corte el dia 11 del curvas; la investigación de ¡a -máxima y mínima de fun presente mes de Enero á las cuatro en punto dé la tarde, y cion…</t>
  </si>
  <si>
    <t>Arias, Juan García</t>
  </si>
  <si>
    <t>Juan García Arias</t>
  </si>
  <si>
    <t>…ere nueva intensidad ; pero si se. llega á dilatar por medio del calor, no solo resulta mayor volu ANUNCIOS. men en las chispas, sino mas viveza en su emisión. Por providencia del Sr. D. Juan García Arias , ministro El alumbrado eléctrico. en tubos de _ cristal lleno'-, de honorario de la audiencia territorial, y juez de primera instancia gas hidrógeno enrarecido se puede por consiguiente ege- de esta M. H. villa, refrendada del escribano de provincia Don cuta…</t>
  </si>
  <si>
    <t>Gaceta del Gobierno n.º 30</t>
  </si>
  <si>
    <t>136</t>
  </si>
  <si>
    <t>…” orden del referido Excmo. Sr. secretario del Despacho de la Guerra, para que la familia del interesado pueda recla mar el citado documento. ANUNCIO. En virtud de providencia del Sr. D. Juan García Arias, Votos de un solitario, el Café de Surate y la Cabaña india magistrado togado honorario de la audiencia de Castilla la na: por Santiago Bernardino Henrique de Saint-Pierre. El au-, Nueva, juez de primera instancia en esta corte, refrendada tor de los Votos de…</t>
  </si>
  <si>
    <t>— fei Gobierno de Lisboa ha recibido de la corte de Rio-Janeiro los En la muy heroica villa y-corte-Madrid', ,á 3 de Mayo de 1821. siguientes documentos: El Sr. D. Juan García Arias, juez interino de primera instancia en 1.° » Excmos. Sres.: Habiendo el Rey nuestro Señor tenido á bien ella, habiendo visto la causa criminal formada de oficio en el día 29 de declarar por su Real decreto de ja copia adjunta, con fecha 26 del cor Enero últim…</t>
  </si>
  <si>
    <t>Arias, Juan García de</t>
  </si>
  <si>
    <t>Juan García de Arias</t>
  </si>
  <si>
    <t>…articular. gencias practicadas por el entonces gefe político marques de Ctrralbo, Sus obligaciones no tan solo se ciñen ya á esperar que el mal exista ti juez de primera instancia D. Juan García de Arias y demas emplea y que el peligro sea inminente, para reparar él uno y desvanecer el otro; dos públicos que concurrieron á ellas: que no puede perjudicar á Gon una sola palabra-encierra casi todas las obligaciones de la policía sani zález, ni le son cargos los…</t>
  </si>
  <si>
    <t>Arias, Juan Manuel Pió</t>
  </si>
  <si>
    <t>Juan Manuel Pió Arias</t>
  </si>
  <si>
    <t>…ara que no re llanueva. D, Santiago María Melgarejo. D. Diego Navarro. caiga el nombramiento en los que tengan á su cargo defensas incompa Partido de Huete D. Julián de- la Calle, D. Juan Manuel Pió Arias. tibles con la del que los nombre, se entregará á cada reo una Juta de En Valencia. Peníscola D. Antonio Aiguals, vecino y del co los defensores que respecto de él no se hallen en este caso. Sí algún reo mercio de Vinaroz. D. Rafael Querol, alcalde primero co…</t>
  </si>
  <si>
    <t>Arias, Pedro Díaz</t>
  </si>
  <si>
    <t>Pedro Díaz Arias</t>
  </si>
  <si>
    <t>Gaceta de Madrid n.º 246</t>
  </si>
  <si>
    <t>…ra solemnizar el acto del De orden de la M. I. junta municipal de san ida dr: Francico Al juramento, hubo una magnífica función de iglesia, pn laque predico tes , vice-secretario. D. Pedro Díaz Arias, cura párroco de la villa de Trebujena. Este dig ■ Parte que comprende todo el dia 18. no eclesiástico , á quien couvidó el ayuntamiento constitucional, no lazareto sucio, existencia anterior 18: entrados 4: salidos ningu solo por su notoria é ilustrada adhes…</t>
  </si>
  <si>
    <t>Arias, Vicente</t>
  </si>
  <si>
    <t>Vicente Arias</t>
  </si>
  <si>
    <t>…encomiendas, pensio Federico Vera: subtenientes D. Salvador Villagrá , D. Vicente Castro, nes y diezmos aplicados á la universidad de Cuimbra y á los estableci D- Francisco Lemes, D. Vicente Arias y D. Antonio Muiiuz. mientos de beneficencia é instrucción pública en general, los cuales con 3.1 En S. Fernando, ademas de los auxilios ofrecidos por el señor, tinuarán pagando solamente la décima. comandante general de marina del departamento, se habían presentado 8." n A las…</t>
  </si>
  <si>
    <t>Aribau, Buenaventura Cárlos</t>
  </si>
  <si>
    <t>Buenaventura Cárlos Aribau</t>
  </si>
  <si>
    <t>…gero en nuestros puertos el derecho máximo de go por roo llará en la librería de Barco. sobre el avalúo de 8 rs. quintal, y á la salida del carbón de piedra na Ensayos poéticos de D. Buenaventura Cárlos Aribau : un cuaderno cional el derecho mínimo de 1 por too sobre el avalúo de 2 rs. vn‘. por en 8.° encuadernado con cubiertas de papel pintado fino. Véndese en quintal. Madrid i.° de Diciembre de 18: t.rcDiego Clemencin, presi- la librería de Ortega á 4 rs. vn. Las…</t>
  </si>
  <si>
    <t>Aribert, Celestino</t>
  </si>
  <si>
    <t>Celestino Aribert</t>
  </si>
  <si>
    <t>Gaceta de Madrid n.º 242</t>
  </si>
  <si>
    <t>1283</t>
  </si>
  <si>
    <t>…es Armonía, capitán Tomas Uniop: salidos para el lazareto de Marsella la tartana francesa la Ma Provincias Vascongadas. ........................................... 3-°69)312 rta , capitán Celestino Aribert. Buques que se han sumergido con to Suma total.................... ... .. . .............. 100.000,000 dos sus pertrechos y equipajes: bergantín gran Turco, capitán D. Josef Ferran; fragata Esperanza, alias Paraguaya, capitán D. Tomas Colli; De la cantidad qu…</t>
  </si>
  <si>
    <t>Arimon, N.</t>
  </si>
  <si>
    <t>N. Arimon</t>
  </si>
  <si>
    <t>1115</t>
  </si>
  <si>
    <t>…l mínimo dedos años, y añadiendo se considerasen mas beneméritos de él, y salieron elegidos D. N. Mique los cuatro años se contarían desde.el dia en que saliesen los desta ralles, D. N. Arimon y D. N. Massanés. camentos hasta el en que entrasen en sus cuarteles. Examinadas por el Excmo. ayuntamiento sus hojas de servicios y Se leyó el artículo 5°, que decia asi: » No se darán nunca ascensos las certificaciones da sus maestros, y hallada su conducta irreprensible, c…</t>
  </si>
  <si>
    <t>Arispe</t>
  </si>
  <si>
    <t>…ió cuando 'Dirección de registro y papel sellado. se incorporaron á la armada.” Aprobado. Arr. 334. «El director general de registro, bulas y papel sellada Se leyó una adición del Sr. Arispe, que decia asi: «La dirección cuidará de la fábrica y surtido de éste; de que sea puntualmente ene ci de correos de Ultramar estira bajo la inspección del ministro de es tada la ley de aquel; dei beneficio y cobranza del derecho ; de la cu-eitte ruino.’.’ Si…</t>
  </si>
  <si>
    <t>Arispe, Miguel Ramos</t>
  </si>
  <si>
    <t>Miguel Ramos Arispe</t>
  </si>
  <si>
    <t>…aber lugar á votar, resultó no quedar aprobado. mas urgentes de aquella provincia. La comisión retiró los artículos 1, 3 y 4 por ser una consecuencia Las Cortes concedieron al Sr. diputado D. Miguel Ramos Arispe del i.° el permiso que solicitaba para volverse á su patria luego que tenga ar Se leyó y aprobó el siguiente: reglados en Europa sus negocios. Art. 5°. « Por medio de este (1) pedirá la junta á los colectores La comisión ordinaria de Hacienda presentó una lis…</t>
  </si>
  <si>
    <t>Gaceta de Madrid n.º 283</t>
  </si>
  <si>
    <t>…sta lo han demostrado í Quedaron enteradas las Cortes de las exposiciones que á continuación mi entender de una manera convincente; pero como quiera que se han se.expresan: una de D. Miguel Ramos Arispe ,, diputado suplente que hecho algunas objeciones que están sin contestar, es necesario aclarar habia sido por la provincia deNueva-F.spaña, en la que manifestaba &gt; que las. Los Señores que han opinado contra el artículo que se discute, uno* consecuente á la…</t>
  </si>
  <si>
    <t>Arispe, Pablo</t>
  </si>
  <si>
    <t>Pablo Arispe</t>
  </si>
  <si>
    <t>…la Constitu zada á D. Félix María Manso de Velasco: para Sedaño á D. Gabriel ción el que se enviase la orden de repartimiento á los alcaldes consti Gutiérrez; y para Villarcayo á D. Pablo Arispe. tucionales, puesto que á los ayuntamientos correspondía el conoci miento de esta orden. El Rey; á;consulta del consejo de Estado, se ha servido nombrar Los Sres. Toreno y Moscoso manifestaron que lo que se decía en para la plaza de regente de la audiencia te…</t>
  </si>
  <si>
    <t>Arispe, Ramos</t>
  </si>
  <si>
    <t>Ramos Arispe</t>
  </si>
  <si>
    <t>…EINO. denGÍal &gt; era por estar inexacto el último .censo, y de consi guiente no.creía se habja infringido la Constitución. . .1 - Cortina 2(5" de Enero. Se leyó una, indicación del Sr. Ramos Arispe, en qütt. Las cartas de Oporío, después de referir lo ocurrido en pedia se declarase si la junta preparatoria tenia facultades la Quinta de Marrocos, junto al rio Corgo, añaden’ lo si para terminar el punto que se trataba; pero habiéndose guiente: Parece que…</t>
  </si>
  <si>
    <t>…coa aiEl Sr. Sánchez Salvador dijo que si los secretarios del Despa glo á la ley debia pasar á la comisión. cho no "habian prestado el juramento que aun á los mismos diputados El Sr. Ramos Arispe opinó ser muy oportuna la razón de ios se está mandado hacer , no podian entrar en aquel santuario , por no ha ñores preopinantes; pero que antes de que aquello se verificara llamaba la ber observado esta ley fundamental. atención del Congreso para manifestar…</t>
  </si>
  <si>
    <t>Gaceta del Gobierno n.º 67</t>
  </si>
  <si>
    <t>…mpo interrumpida con motivo de tener que jurar dos señores dipu tados ; y habiéndolo verificado , continuó ia lectura. CORTES. Después de concluir la lectura de la memoria hizo el Sr. Ramos Arispe algunas observaciones, dirigidas á que el reverendo Nuncio de Sesión del dia 7 Je Marzo. S. S. delegase á los obispos de América las facultades de secularización, Leída y aprobada el acta del dia anterior, el Sr. secretario Peñafiel que por seis meses le habi…</t>
  </si>
  <si>
    <t>Gaceta del Gobierno n.º 68</t>
  </si>
  <si>
    <t>…que se dió el punto par suficientemente discutido, y quedó aprobado. mand ido en la instrucción para el gobierno ee.mómico-polit co de las Acto continuo se leyó una indicación del Sr. Ramos Arispe, que provincias.” De nianíri que exista un testimonio de responsabilidad,</t>
  </si>
  <si>
    <t>…pecido ó detenido con la mudanza de ministros; que en extrangeros , continúe esta medida. A la comisión de Diputaciones provinciales se pasaron cuatro ex cumio á las preguntas del Sr. Ramos Arispe no se i..b,a temer la vio lación de ningún tratado, conocida su circunspección en guardarlos, aun pedientes de la de Mallorca, que propone varias dudas que ia han ocur rido , como asimismo algunas mejoras que podrían hacerse en los pue en los tiempos de arbit…</t>
  </si>
  <si>
    <t>…e Legislación y Diputacio proyecto de decreto presentado por el Sr. Calatrava, con vista de una nes provinciales u a representación de la de la Mancha, en que hace proposición del Sr. Ramos Arispe, para que con arreglo al artícu presente lo reducidos que han quedado los fondos de propios; por lo lo 2py de la Constitución se determinase el tiempo que los presos po que p'dc que ¡os funcionarios públicos ([menos el juez de primera ins dían estar sin comun…</t>
  </si>
  <si>
    <t>…te objeto de una ley, ó de qtie al menos se impusiesen castigos á los con nido que intervenir;” y yo me persuado, dijo, á que el dictamen de traventores: del mismo parecer fue el Sr. Ramos Arispe, por todo lo la comisión era equivocadísimo, puesto que las Cortes lo han desecha cual quedó aprobada la indicación. • . . do, ó á lo menos han encontrado dificultades para aprobarlo como Jos Se leyó por segunda vez el proyecto ;de • ley presentado en if de d…</t>
  </si>
  <si>
    <t>…ada por el Sr Cano Manuel. Se admitió á discusión, y se mandó pasar á la comisión Eclesiásti Se mandó pasar á la comisión de Política donde estaban los ante ca, una indicación del Sr. Ramos Arispe , para que dichas medidas no cedentes una memoria, remitida por el capitán general de Cataluña comprendan á las provincias de Ultramar hasta qiw las Cortes acuer D-Pedro Villacampa ,,acerca de los pueblos que pertenecían á la Na den lo conveniente sobre el cl…</t>
  </si>
  <si>
    <t>…ey: por el 55 no pue La comisión Eclesiástica presentó su dictamen acerca de la indica den excusarse de los encargos que se les hagan; por cuva razón ¿1 dución que ilabia hecho el Sr. Ramos Arispe en la sesión del dia 3para • que de McdinaceH es alcalde de barrio; y si estiló sujetos á estas cargas, que la medida aprobada por las Cortes sobre que ínterin no se hiciera •; no deberán ser partícipes de los beneficios del Estado, de los mismos el arreglo!…</t>
  </si>
  <si>
    <t>Gaceta de Madrid n.º 101</t>
  </si>
  <si>
    <t>…los enemigos hubieran entrado en la capital , porque buen ejemplo se es la que d--bia entender en este asunto. habia dado á Napoleón en la época pasada; que aunque realmente no El Sr. Ramos Arispe presento una indicación , reducida i que las</t>
  </si>
  <si>
    <t>…a ciudad. Se mandó pasar á la comisión de División de territorio ten las pensiones que tienen señaladas. español. Se concedió el permiso que solicitaba D. Josef Manuel Sánchez, El Sr. Ramos Arispe hizo la siguiente- indicación: juez de primera instancia de la Rambla, para que pueda prestar su ju ” Que el Gobierno informe cuanto sepa relativo á la venida de los ramento en la audiencia de Castilla la Nueva, en lugar de la de Gra diputadas de Nueva España…</t>
  </si>
  <si>
    <t>…ha dirigido la junta La comisión de Legislación presentó su dictamen acerca de iá indi nacional del Crédito público, relativa á los créditos liquidados contra cación hecha por el Sr. Ramos Arispe sobre el proyecto de ley rela la extinguida junta de reemplazos , de que habió su antecesor en la me tivo á juicios de conciliación , que decía asi : „Que"en las' provincias de moria que presentó á las Cortes páginas 36 y 3/. Ultramar el .mínimum de ios derec…</t>
  </si>
  <si>
    <t>…es declararle comprendido en el decreto de 3 de Setiem se le permita concurrir á él como 'diputado por la expresada provincia. bre último. ' :' Se leyó la siguiente indicación del Sr. Ramos Arispe, que se man Se dió cuenta de una contestación del Sr. secretario de Hacienda de- dó pajar á la misma comisión de Poderes, ' Ultramar acerca de la indicación del Sr. Ramos Arispe para que el » Pido que esta exposición pase á la comisión de Poderes, para que Go…</t>
  </si>
  <si>
    <t>…taje. Admitida que gar á discusión. fue á d scusion se pasó, á-las comisiones de Ultramar y Marina á peti El br. Gollin contestó í las observaciones de los SresyRomero Al ción del Sr. Ramos Arispe. puente y Gaseo, diciendo, que habiéndose ocupado aquellos genera.es Se hizo la-segunda lectura del dictamen de la comisión especial en hacer la felicidad dé la patria, era obligación de esta .elevarlos á ia de Hacienda sobre el arreglo del ramo de tabacos en…</t>
  </si>
  <si>
    <t>…to de per blaciones déSierramorenu y Andalucía; la comisión habiendo oído al sona particular ó comunidad.” Gobierno-, y teniendo presente lo que han expuesto en su consecuencia El Sr. Ramos Arispe manifestó que la comisión retiraba todo lo el. consejo de Estado y varios gefes políticos, proponía á ia delibera demás del artículo; y en su consecuencia fue aprobado en los términos ción de las Cortes los artículos siguientes: que indicó eL Sr. JLallave (D.…</t>
  </si>
  <si>
    <t>…7.0 Que se aprueben las reglas que propone el Gobierno corro. respecto á los gefes y oficiales excedentes que resulten en los regimien Se leyó por primera vez una proposición del Sr. Ramos Arispe y tos después de verificada la organización del egército. . otros, relativa al repartimiento de terrenos en Ultramar. Art. 8.a » Que el Gobierno cuidará, para llevar esta á efecto, y que Se mandó pasar á la comisión de Legislación con urgencia una ex no resul…</t>
  </si>
  <si>
    <t>Arisps, Ramos</t>
  </si>
  <si>
    <t>Ramos Arisps</t>
  </si>
  <si>
    <t>…s franquicias concedidas en el diento provincia y gastos de su oficina: la comisión opinaba debía aprobarse. de jó de Abril de 1811 k los buques nacionales que se emplean en ia El Sr. Ramos Arisps suplicó á ios Sres. de la comisión de Guer pesca de ballena , se entiendan también con los extiangcros, exigiéndo ra despachasen á la posible brevedad una exposición de! coronel Cevaseles el derecho que se tenga por conveniente. llos, que pedia la aclaración…</t>
  </si>
  <si>
    <t>Ariz-, Dionisio Antonio de</t>
  </si>
  <si>
    <t>Dionisio Antonio de Ariz-</t>
  </si>
  <si>
    <t>…l catecismo político. de Cádiz. la Coruña. Se adjudicarán seis premios de 60 rs. vn. cada uno en la forma D. Diego Mac-Mahon, de Bilbao. T&gt;. Juan Francisco Barrie, id. siguiente : D. Dionisio Antonio de Ariz- D. Juan Tomas de Iturralde, de Uno al alumno mas instruido en gramática castellana de-todas las mendi, de S. Sebastian. Pamplona. escuelas de esta ciudad. D. Domingo Hilario de Ibaceta, Sr. Lahirigoyen , de Bayona. Otro al mas instruido en aritmética. de Bilbao. D. Manuel…</t>
  </si>
  <si>
    <t>Arizmen-, Dionisio Antonio de</t>
  </si>
  <si>
    <t>Dionisio Antonio de Arizmen-</t>
  </si>
  <si>
    <t>…uan Tomas de Iturralde , de res cívicos, y no de los deberes raligiosos. D. Antonio Benito Picolomíni. Pamplona. Por último se aprobaron las dos citadas proposiciones, y se acordó D. Dionisio Antonio de Arizmen- D. Juan de Urbina. que volviese el artículo á la comisión para que Jo redactase de nuevo. te , de S. Sebastian. La compañía de Pozuelo de Ai ar El Sr. presidente levantó la sesión á la hora acostumbrada. Die, hermanos, de Alicante. co n. _E1 decreto de las Cortes sobre la libe…</t>
  </si>
  <si>
    <t>Arjona, Francisco</t>
  </si>
  <si>
    <t>Francisco Arjona</t>
  </si>
  <si>
    <t>…Kl capitán de fragata de la armada nacional tes á ella. Ramón de Echalaz.=Por la clase de sargentos segundos de inválidos ’s Constitución pues ni mas ni menos, ó muerte es el voto general Francisco Arjona.— El teniente de Rey de la plaza Luis Carpintero.^ de este pueblo y de su ayuntamiento, cuya franca y patriótica mani =E1 mayor de la plaza Juan Vázquez Quevedo. =E1 gobernador de la festación no duda será imitada de todas las ciudades, villas y lugares, plaz…</t>
  </si>
  <si>
    <t>Armada, Ramón</t>
  </si>
  <si>
    <t>Ramón Armada</t>
  </si>
  <si>
    <t>28 en la de D. Manuel Casado , del comercio; en Sigüenza en por duplicado, juntamente con los estatutos ó reglamen lá de D. Ramón Armada , y en Truxillo en la de .D, Juan tos que rijan en cada uno de los enunciados estableci mientos. Calderón. ' 2.0 Luego que los Gefes políticos, hayan recibido los "" El Dr. Gosalbes no tendrá inconveniente, en establecer estados pertenecientes á todos los est…</t>
  </si>
  <si>
    <t>Armcni</t>
  </si>
  <si>
    <t>…do ría el A.'chip elaeo c.rn un fuerte viento notte, algunos trasportes zo al campo griego de Trippohzza. zobraron en Sainos. L-s trepa» se salvaron en ia isla; y habiendo seeuiEl coronel Armcni destacó la fragata Leirsick y la goleta Are- do (a e-ciiadiu e, rumbo que ¡levaba, pudieron ios griegos quemar ucuetusa para contener a Jos corsarios ¿riego, que se hallaban en ei golfo 1 o» tras. octe», Ir» cual dio motivo a la noticia inverosímil que divul…</t>
  </si>
  <si>
    <t>Armendariz, Ignacio</t>
  </si>
  <si>
    <t>Ignacio Armendariz</t>
  </si>
  <si>
    <t>…curador que hubiese nombrado el por D. Bartolomé Oteíza, D. Francisco i’au'a Navascues, D. Norberto reo , y no habiéndolo hecho este , al que le nombrará de oficio inme del Valle, D. Ignacio Armendariz, D. Blas Martínez y D. Basilio diatamente, con encargo de que en el correo próximo siguiente remita Torres, encargados de la cura de almas de dicha villa de Fitero; ia ley a su defendido las instrucciones convenientes, á fin de que le comuni condenó) á D. Ber…</t>
  </si>
  <si>
    <t>Armes</t>
  </si>
  <si>
    <t>…paces de comprometer ó pero si su crimen era mayor , no bastaba este castigo, sino ultrajar la mngestad de la nación. que debian ser privados del honroso título de portugueses: El Sr. Armes, haciendo algunas reflexiones sobre este lo cual fue aprobado ; y declarando bastantemente discutido asunto, sostuvo que hasta tanto que se presentasen los do el punto, se mandó pasase á la Regencia. cumentos correspondientes, y que los referidos hechos re La…</t>
  </si>
  <si>
    <t>…l honor y de la libertad de los ciudada siones á decir simplemente que se remitiesen los negocios al Gobierno. nos; pero permítaseme responJer que aunque hayamos dejado hace mu El Sr. Armes dijo que seria justa esta reflexión; pero que no debía cho tiempo los bancos de las aulas, todavía nos atrevemos á admirar olvidarse que correspondía á las Cortes fiscalizar al Gobierno. en su principio y en sus consecuencias al Gobierno representativo , at H…</t>
  </si>
  <si>
    <t>Arnedo</t>
  </si>
  <si>
    <t>…habia mandado anoche el Gobierno á ellas correos extra á las Cortes, á la mayor brevedad , la contestación que debe darse á ordinarios. S. M. con motivo del suceso de ayer.” ■ El Sr. Arnedo: yo quisiera que dijera el Sr. ministro cómo es que Se dió cuenta de un oficio del Sr. secretario de la Guerra , en que habiendo sabido lodo el mundo ayer á las dos que.se trataba de come participaba á las Cortes haber nombrado S. M. a D. Pablo Morillo ca ter…</t>
  </si>
  <si>
    <t>…te: otra del Sr. Romero Alpuente relativa á la disonancia de la ley á su casa, después de haber hecho sacrificios enormes para concurrir al del máximum en algunos casos : otra del Sr. Arnedo para que los ofi Congreso. ciales de los cuerpos del egército que se hallasen fuera de él sin Ucen El Sr. presidente dijo que sobre esta contestación no podía hacerse cia ó en comisiones particulares fuesen considerados como dados de otra cosa mas que decir q…</t>
  </si>
  <si>
    <t>Gaceta de Madrid n.º 142</t>
  </si>
  <si>
    <t>735</t>
  </si>
  <si>
    <t>…las'cosas mas precisas, y él le res nación'dé la Península, manifestase lo que se expresaba en la indica pondió con mucha gracia: » No sé por qué en mi casa no hay dinero ción déi Sr. Arnedo aprobada por las Cortes, qué decia asi: » Pido á cuando no se paga á nadie.” ■ ■ : las Cortes que el secretario de la Gobernación de Ultramar se presente Debemos tratar también de un nuevo arreglo de sueldos, por á las mismas para enterarlas de los desgraciad…</t>
  </si>
  <si>
    <t>…reos de gabinete, asi en la Península como en el extranjero.” : En seguida se declaró este asunto suficientemente discutido ; se pro También se aprobó, la siguiente indicación.del.Sr. Arnedo: «Que cedió 4 la votación por partes del dictamen de la comisión ;-y quedó en todas las administraciones de correos se pongan al punto, las tarifas aprobado todo él, excepto la parte que decia: primeras dignidades de-las de los certificados.extranjeros de car…</t>
  </si>
  <si>
    <t>…el Kstado se halla en peligro, y este y de los gefes entre los propuestos.” - ............................... i puede hacer sospechar que no asc.de a las demandas de la Rusia. El Sr. Arnedo dijo que le parecía no -debía limitarse el nombra 2.a Parece que la Rusia no se fia ya en tratados después de haber vis miento de cabos y sargentos en los individuos de la misma compañía^ to lo que últimamente ha acaecido en Bucarest; y que la Inglaterra y po…</t>
  </si>
  <si>
    <t>Arnedo, Fermín</t>
  </si>
  <si>
    <t>Fermín Arnedo</t>
  </si>
  <si>
    <t>….ó D. Francisco de Paula Maestre, .vecino de Priego, solicitando reba ja 4. * Que estas resoluciones se comunicarán á los legos católicos ro de unos arriendos de diezmos; otra de D. Fermín Arnedo y'D. Ma manos del condado de Limerick, nuel Palomeda, pira que se. les paguen por el tesoro público ciertos Es bastante probable que el segundo i/W, llamado técnicamente bilí sueldos que-acreditan :estárseles debiendo; otra de-Dofia Elena Prieto, de relacione…</t>
  </si>
  <si>
    <t>Arnedoj</t>
  </si>
  <si>
    <t>…sesionó sesiones extraordinarias que luc yor utilidad de la Nación.” El Sr. preopinante se lia equivocado en decir que estos intereses se ren precisas.” Se aprobó la siguiente del Sr. Arnedoj »P¡do á las Cortes que t el han invertido en hacernos la guerra.. &lt; Si no-se pagaron estos intereses, secretario de la Gobernación de Ultramar se presente á las mismas a cómo pudieron hacernos la guerra ccrti ellos? Ademas yo creo que todo enterarlas de los d…</t>
  </si>
  <si>
    <t>Arnés</t>
  </si>
  <si>
    <t>…uando al Congreso nacional ó al blicos. El bilí pasó ya en su primera lectura. gefe del poder egecutivo.” ._ Por las noticias recibidas de Nueva-Yorck., con fecha de a 5 de Mar El Sr. Arnés dijo que el que se impugnase el sistema constitucional zo, resulta que á causa de la decadencia del comercio de los Estados- seria ventajoso, para el mismo sistema, y que en otras naciones se per Unidos, son taotos los capitales estancados, y tan grande la ab…</t>
  </si>
  <si>
    <t>Arnim</t>
  </si>
  <si>
    <t>Gaceta del Gobierno n.º 4</t>
  </si>
  <si>
    <t>…ército de la Artibonita y del SOIZA. Norte. »¡Ciudadanos! ¡Soldados! El horrible despotismo, ba Zurich 8 de Diciembre. jo el cual habéis gemido por espacio de 14 años , y la mi El barón Arnim, encargado de Negocios de Prusia, seria que habéis sufrido,'están ya próximos á desaparecer. y Mr. de Schrant, ministro de Austria , se han trasladado S. Marcos, que acaba de ponerse bajó las banderas de la á Lucerna. Ambos diplomáticos han desempeñado cerca…</t>
  </si>
  <si>
    <t>Aroto, Cristóbal de</t>
  </si>
  <si>
    <t>Cristóbal de Aroto</t>
  </si>
  <si>
    <t>…á guardar á D. Lorenzo Viñarte, que desj| íes falleció tam salud del Estado; pero que deseábase hiciese alguna variación en cuan bién , y resistiéndose á la entrega de dicha suma D. Cristóbal de Aroto se procedía por denuncia y de oficio; y que ademas en lugar de de zarena, albacea de Viñarte', porque decía que esté le habia comunica nuncia se dijese acusación , cuya variaciou pidió se hiciese en este ar do que dicho D. Juan de Clavería le habia dicho que…</t>
  </si>
  <si>
    <t>Arozarena, Cristóbal de</t>
  </si>
  <si>
    <t>Cristóbal de Arozarena</t>
  </si>
  <si>
    <t>…esta á la comisión , la dar á D. Lorenzo Viñarte, que después falleció también, y resistién que informará si se ha de establecer ó no como se pide. dose á la entrega de dicha suma D. Cristóbal de Arozarena, albacea El Sr. Muñoz Torrero apoyó que. se pasara esta indicación á la co de Viñarte porque decia, que este le habia comunicado que dicho misión. Asi se verificó despues.de una ligera, discusiqn. D. Juan de Clavería le habia dicho que Jos referidos 5S pesos…</t>
  </si>
  <si>
    <t>…53 pesos que dicho difunto D. Juan de Clavéría tenía dados á guar VARIEDADES. dar á D. Lorenzo Viñarte , que después falleció también, y resistién dose á la entrega dé dicha suma D. Cristóbal de Arozarena, aib.icea Continua el articulo áe ayer. de Viñarte , porque decia que este le había comunicado que dicho » Sus contrarios imaginan que el atractivo de la libertad y de la D. Juan dé Clavéría le había dicho que los referidos 5S) pesos pertene independencia fom…</t>
  </si>
  <si>
    <t>…da en el caso que D. Lorenzo Viñarte que después falleció también ; y resistiéndose á la menciona el art. 29 del decreto de la creación de la orden de S. Fer entrega de dicha suma D. Cristóbal de Arozarena, albacea de Viñarte, nando hubiese merecido ó mereciere en adelante la distinción que allí ■porque decía que este le había comunicado que dicho D. Juan Clavería le se expresa, llevará la cruz fija sobre el libro de la Constitución, y los había dicho que ios r…</t>
  </si>
  <si>
    <t>Arrambide, J. B.</t>
  </si>
  <si>
    <t>J. B. Arrambide</t>
  </si>
  <si>
    <t>…io al buhonero , ni en la de adonde las cartas, paquetes y dinero deben ser remitidos , francos de fabricantes al artesano que trabaja sin cierto capital y á puro jornal. porte, á D. J. B. Arrambide , editor cajero, y en las provincias de Es No se quiera sacar de aquí la menor ofensa contra esta útilísima clase, paña y países extrangeros en las librerías principales y administracio siempre dispuesta á hacer toda especie de sacrificios, y á morir por la-…</t>
  </si>
  <si>
    <t>Arratia, Francisco Acebal y</t>
  </si>
  <si>
    <t>Francisco Acebal y Arratia</t>
  </si>
  <si>
    <t>…argo, cuanto mayores D. Andrés Moya Luzuriaga, D. Antonio Ruiz Rostriaga, Den virtudes se reconocen necesarias para ser árbitro de los destinos de una Fermín del Rio y de la Vega, D. Francisco Acebal y Arratia, D. Fran patria adorada, tanto mas repugna á sus comitentes el haber de desnu cisco Fernandez, D. Francisco de Paula Fernandez, D. Juan Antonio darse del-prestigio que los hizo mirar como los hijos predilectos de la Isusi, D. Juan de la Cruz González, D. Manu…</t>
  </si>
  <si>
    <t>Arre, Félix Antonio Ramos</t>
  </si>
  <si>
    <t>Félix Antonio Ramos Arre</t>
  </si>
  <si>
    <t>…se D. Josef Domingo Casaux: para la de Trigueros á D. Josef María Her ñalado el término de 10 dias para la mejora del cuarto; otros 10 para rera: para la de Vil briba del Alcor á D. Félix Antonio Ramos Arre el diezmo, aun cuando no haya tenido efecto la primera, y otros ió dondo; y para la de Utrera á D. Antonio de la Sierra y Arce. para el medio diezmo, aun cuando no se- haya verificado una ni otra, admitiendo en ellos,si se realiza cualesquiera, las que se hag…</t>
  </si>
  <si>
    <t>Arriata</t>
  </si>
  <si>
    <t>…teligencia y cumpli extraordinaria , y dijo que mañana se trataria del dictamen de la comi miento en la parte que le toca. Madrid 8 de Junio de 2821. sión sobre la proposición del Sr. Arriata acerca de ia elección de ecle siásticos para diputados á Cortes; del dictamen de la comisión especial El Rey, á consulta del consejo de Estado, se ha servido nombrar á de Hacienda sobre correos y loterías, y del presupuesto general de D. Ramón Satué para la p…</t>
  </si>
  <si>
    <t>….en su dictamen ; pero esto es una equi Suspendida esta, entró á jurat y tomó - asiento en' el Congreso el vocación. Las Cortes venideras, hasta que la división del territorio no Sr. Arriata. "sé haga como la Constitución previene, tendrán facultades para quitar las Cortes oyeron consagrado la felicitación que las hacia por su y potrer provincias según crean mas conveniente; tendrán facultades pa reunión la diputación provincial de Málaga. Se man…</t>
  </si>
  <si>
    <t>Arriera</t>
  </si>
  <si>
    <t>…ó exterior del Estado, ó contra la sagrada é después conforme á lo prevenido en el artículo anterior.” inviolabfé persona del Rey constitucional: que los reos de estos delitos, El Sr. Arriera fue de dictamen de que era inútil este artículo, ó por siendo aprehendidos por alguna partida de tropa, asi del egército per lo menos si se quería que subsistiese era indispensable que se explicase manente como de la milicia nacional, destinados por el Gobier…</t>
  </si>
  <si>
    <t>…ición de un Se pasó á discutir el dictamen de la comisión primera de Legisla vecino.de Cádiz sobre el pago de 142,262 reales que acredita deberle ción acerca de la proposición del Sr. Arriera sobre los diputados ecle</t>
  </si>
  <si>
    <t>Arrieta</t>
  </si>
  <si>
    <t>…genera Bíirgos, Zaragoza, Barcelona, Valencia, Granada, Sevilla y Madrid; les de la historia literaria. . y las de Ultramar en Méjico , S. luis de Potosí , Guadalajara, Mérida El Sr. Arrieta dijo, que hiendo la historia literaria la historia de de Yucatán, Saltillo, Chihuahua, Goalemala, Manila, Havana, li los progresos del entendimiento humano, era necesario entrar en el ma, Charcas, Caracas, Santiago y Santa Fe. examen particular de las ciencia…</t>
  </si>
  <si>
    <t>…es convenientes del Gobier ducción , se añada, jv de su riesgo” no y de los peritos para resolver en un asunto de tanta delicadeza, fue Se leyó por primera vez una proposición del Sr. Arrieta , que de de parecer que volviese el dictamen á la comisión. cia: „Pido á las Cortes que declaren aplicable y extensivo á rodos El Sr. Toreno dijo que el valor de la moneda española no es in-, los individuos eclesiásticos el art. 97 de la Constitución ; y que…</t>
  </si>
  <si>
    <t>…or tercera vez el proyecto de ley presentado por la comi tregaos pues en manos del Gobierno, que es justo, y no favorecerá nin sión de Legislación, en virtud de Ja proposición del Sr. Arrieta, rela guna clase en perjuicio de otra; es sabio, y no exigirá nunca mas que tiva á que ios eclesiásticos no puedan ser elegidos diputados á Cortes las contribuciones de absoluta necesidad. por la. provincia en donde egerzan su empleo. El segundo tira igualmen…</t>
  </si>
  <si>
    <t>…ijen en Jas casas de las.misinas. Se continuóla discusión del dictamen de la comisión acerca de la Se mandó pasar á la comisión de Legislación - una adición del Se proposición del Sr. Arrieta. ñor Arroyo al dictamen aprobado por las Cortes sobre la proposición El Sr. García Page impugnó el dictamen de la comisión , y prin del-Sr.. Arrieta-, y estaba concebida en estos términos r « Jueces ecle cipalmente el voto particular del Sr. Navarro (D. André…</t>
  </si>
  <si>
    <t>…es sobre tan importante ramo, pues lo PKBSIDBNCIA DBt SBÍSOR CIEMENCIN. «Jemas que proponía en ei dictamen estaba ya en las facultades del Go bierno. Sesión del 4 de Diciembre. El Sr. Arrieta contestó que la comisión no podía proponer otra co Se leyó y aprobó el acta de ia anterior. sa en su dictamen, porque las Cortes extraordinarias no podían salir de Las Cortes quedaron enteradas de la circular expedida por el minis los asuntos que les pasaba e…</t>
  </si>
  <si>
    <t>Arroyo</t>
  </si>
  <si>
    <t>…n (véase dicho dictamen en la ga Ambas adiciones se mandaron pasar á la comisión. ceta del 20). La comisión opinaba que las diputaciones provinciales , en Se leyó la siguiente del Sr. Arroyo , que no se admitió á discusión: uso de las facultades que les concede el art. gza de la Constitución, » Que ¿^reglamento acerca de tabacos sea extensivo á Nueva-España." podían consentir que los ayuntamientos usasen interinamente de los ar El Sr. conde de To…</t>
  </si>
  <si>
    <t>…continuará. ) siásticos que pueden ser nombrados diputados á Cortes: la comisión Un period'sta católico cristiano en religión, y musulmán en políti opinaba dtibia aprobarse la del Sr. Arroyo para que á las palabras jue ca, se explica del modo siguiente: ces eclesiáiticos se añadiese que tienen aprobación del Gobierno; y en su « Las noticias de Grecia son siempre oscuras y contradictorias. Los consecuencia redactaba el proyecto aprobado en los tér…</t>
  </si>
  <si>
    <t>Arroyo, Antonio Martínez</t>
  </si>
  <si>
    <t>Antonio Martínez Arroyo</t>
  </si>
  <si>
    <t>…acerca de lo que ha Villegas Cevallos; para Castellón de la Plana D. Josef Calabuig y V,ebía manifestado el Sr. San Miguel en la sesión anterior , con varias le Jlot; para Alcira D. Antonio Martínez Arroyo; para Alcora: D. Ramón yes sancionadas por los Reyes, en contrario de lo que prevenia la del Bernús; para Nules D. Atanasio Pinos y Palos; para Murviedro Don nño de 1455 , citada por dicho Sr. diputado, concluyó fijándose en Mariano Márquez; para Onda D. Pedr…</t>
  </si>
  <si>
    <t>Arroyo, Domingo</t>
  </si>
  <si>
    <t>Domingo Arroyo</t>
  </si>
  <si>
    <t>…s trabajos emprendidos por Mr. Glenk en En Ciudad-Rodrigo ha sido nombrado elector.de partido el pres Eglisan, cerca del Rhin, para encontrar manantiales salados, y han lle bítero D. Domingo Arroyo;.en Salvatierra el cura de Montejo, y en gado ya á 6%o pies de profundidad. En este punto se ha visto precisado &gt; esta ciudad D. Juan Bello, siendo de notar que cuando esperábamos Mr. Glenk á usar de un tubo de estaño de igual longitud para conti que alguno d…</t>
  </si>
  <si>
    <t>Arroyo, Josef Martínez</t>
  </si>
  <si>
    <t>Josef Martínez Arroyo</t>
  </si>
  <si>
    <t>…con respeto ante el trono de V. AI. á consagrar en él la renovación de permite la entrada de jabón extrangero. su* Larcas y de su honrenage. Se concedió la licencia que solicitaba D. Josef Martínez Arroyo , d¡&gt;• Las primeras palabras del discurso de V. M. han penetrado hasta putado_ por Guadalajara de Ultramar, para volverse á su país á resta lo íntimo de nuestros corazones. Sí, Señor, vuestros dolores han sido blecer su salud , en atención á que no la disfrut…</t>
  </si>
  <si>
    <t>Arroyo, Juan Martínez</t>
  </si>
  <si>
    <t>Juan Martínez Arroyo</t>
  </si>
  <si>
    <t>…o ha sido nombrado lugar-teniente en Sicilia. En la provincia de Murcia: para las dos judicaturas de la capital á La ¡dea que dan los periódicos de la insurrección griega debe ser D. Juan Martínez Arroyo y á D- Tomas Escamez: para la de Molina muy desagradable para los cristianos que desean la preponderancia de á D. Pedro Josef Rovira: para la de Cartagena á D. Josef Antonio Jos musulmanes en la parte de Europa sujeta al Sultán, pues tal es el Vázquez Qucvedo…</t>
  </si>
  <si>
    <t>Arroyo, Muñoz</t>
  </si>
  <si>
    <t>Muñoz Arroyo</t>
  </si>
  <si>
    <t>…rso que asistió á estos exámenes quedó contento de los maestros en el nombramiento de prelados locales. y de los adelantamientos de los discípulos, que han de ser el sosten y • El Sr. Muñoz Arroyo leyó una representación , que por su medio se ornamento- de nuestra patria. dirigía á las Cortes por un vecino de la Sierra de Gata, fecha en 10 de Marzo de 1821 , en que manifestaba los abusos de la autoridad ecle Madrid 27 de Marzo. siástica eu punto á disp…</t>
  </si>
  <si>
    <t>…ción en disfruten este beneficio. la gaceta, de uuX exposición del cabildo de la colegial de Baza , presen A la de Hacienda se mandaron pasar una exposición de D. Anto tada por el Sr. Muñoz Arroyo. nio Rodríguez, patrón de la matrícula de Sevilla , para que se le pa Se hizo tercera lectura del proyecto de ley para prohibir el tráfico guen por la tesorería general ciertas cantidades que se le deben por la de esclavos, y se resolvió) que su discusión fue…</t>
  </si>
  <si>
    <t>Art</t>
  </si>
  <si>
    <t>…n aprobación del el extremado júbilo y entusiasmo que se manifestó en este so ministerio de Hacienda en sus principales bases. lemne acto. EL discurso, pronunciado por el teniente cura Art. 7.0 Zelará que la tropa perciba puntualmente de los D. Juan Manuel Mendoza después de La misa del Espíritu fondos de la respectiva división territorial su prest, vestuario Santo, mereció los mayores elogios por la eficacia y ener y demas utensilios que le es…</t>
  </si>
  <si>
    <t>…n que el Gobierno, suspenda por ahora la tino como propietario durante el tiempo señalado en el artículo anterior. dirección de los estudios de S. Isidro, vacante por promoción de Don Art. 103. ,, Si á juicio del capitán de tu compañía y de Jos cefes Tomas González Carvajal al consejo de Estado.» del cuerpo desempeña con exactitud y zelo las funciones de estas clases Se continuó la discusión sobre la ley orgánica del egército, y se durante el…</t>
  </si>
  <si>
    <t>…e á las Cortes . cuanto juz será imposible pagarlo. gue justo para la reducción ó abolición de las citadas pensiones. El-Sr. Yandiola , contrayéndose á lo que habia manifestado el Señor Art. 13. » El fondo pió beneficia! continuará por ahora , mediante conde de Toreno de que no debia permitirse que el pago de esta con la necesidad de atender á los objetos á que se halla destinado, hasta tribución fuese en especie ,por los muchos inconvenientes q…</t>
  </si>
  <si>
    <t>…s entre ellos del modo dicho en el art. 1.°, comisión encargada de este asunto. el que saliere será individuo de la junta. Las Cortes quedaron enteradas de la contestación del Sr. ministro Art. 4° » Esta queda por este año autorizada por las Cortes para de Hacienda, relativa á unp indicación del Sr. Sancho, manifestando que reuniendo las tazmías ó notas de los frutos pertenecientes al medio el estado de pago de los ministros del tribunal especial d…</t>
  </si>
  <si>
    <t>…rte ea En seguida se aprobaron los artículos 17 y 18 concebidos en estos las cuentas de los ayuntamientos. términos: ’ Ei Sr. Clemencin dijo, que sin oponerse ú la proposición de! señor Art. 17. »Recíbidos; estos informes el Gobierno comunicará la Villa, no podia menos de hacer presente á.ias Cortes que esto no era parte correspondiente de eiios á las diputaciones provinciales, á quie un voto particular, sino un voto ó una proposición presentada…</t>
  </si>
  <si>
    <t>…dijo: Está determinado esté punto cdtt bastante:ckficientemente discutido este'asuntó, y quedó aprobado el artículo. ridad. La formación de la milicia se ha dé hacer por un sortea general Art. 3&lt;5. „ Las exenciones para el reemplazo de la milicia activa de los que tengan la edad desde 18 hasta 30 años , y cuando se haga el serán las decretadas en 14 de Mayo último para el reemplazo del egér reemplazo se excluirán de él los que hayan cumplido 30 añ…</t>
  </si>
  <si>
    <t>…, ocupándose én lo que por varios individuos del comercio de Cádiz acerca del mismo asunto. permitan sus fuerzas.” Aprobado. A las mismas comisiones pasó una consulta del director general Art. 69. » Las niügéres no podrán ser condenadas á trabajos perpe de registros, para que las Cortes fijen la verdadera inteligencia de los ar tuos, obras públicas ni presidio. Si cometieren delito áque esté impuestículos 13 y 19 del decreto de 29 de Junio último…</t>
  </si>
  <si>
    <t>Art, Francisco Fer</t>
  </si>
  <si>
    <t>Francisco Fer Art</t>
  </si>
  <si>
    <t>…intendente.” D. Josef Pío Mourelo: para Cifuentes á D. Damian Alcocer: para Se aprobó el art. 56 , concebido en estos términos: Cogolludo á D. Rodrigo Castaf.on : para Pastrana á D. Francisco Fer Art. s6. &gt;» El intendente de la provincia, después de haber visado nandez Beteta : para Medinaceli, su capital Anguita, á D. Ignacio Jo cada estado de repartición á medida que los vaya recibiendo, dirigirá sef Palomares; y para Torrelaguna á D. Baltasar Olcinolia…</t>
  </si>
  <si>
    <t>Art, Hilario</t>
  </si>
  <si>
    <t>Hilario Art</t>
  </si>
  <si>
    <t>…ectas.” María de Vivanco: para Aillon á D. Juan Angel González de Navas: Se leyó el art. 57, concebido en estos términos: para Belorado á D. Antonio Rojo y Gandía: paraBriviesca á D. Hilario Art. 57. »Inmediatamente que los subdelegados reciban el estado Armontia: para Búrgos á D. Modesto Cortazar: para Castrojeriz á Don de repartición visado por el intendente , enviarán á los alcaldes cons Josef Calleja: para Villaoz á D. Bartolomé Fernandez: para M…</t>
  </si>
  <si>
    <t>Art, Josef Reig</t>
  </si>
  <si>
    <t>Josef Reig Art</t>
  </si>
  <si>
    <t>…o en el término señalado, io ejecu de Onda. D. Francisco Gaseo, abogado de Alcora. Aleoy D. Luis Pas tará el comandante general. cual y Gisbert, vecino y del comercio de la misma. D. Josef Reig Art. g.° «Concluida la lectura’, se concederán á los defensores 10 Martí, abogado , de Concentaina. D. Genaro Bianquez, cura párroco dias precisos para formar los alegatos, y dentro del mismo termino de Benefallim. cuidará el fiscal de que se hagan las reformas y…</t>
  </si>
  <si>
    <t>Art, Juan</t>
  </si>
  <si>
    <t>Juan Art</t>
  </si>
  <si>
    <t>…entes: para Guadalajara á D. Pedro Julián Aupetit: para arbitrios aplicados á los gastas públicos y comunes del territorio. Molina á D. Francisco Antonio Vergara: para Sigíienza á D. Juan Art. 55. m El estado del repartimiento hecho con la diputación •Roza Ridozes: para Atienza á D. Manuel Rodrigo: para Brihuega á ■de partido se reunirá inmediatamente por el subdelegado al intendente.” D. Josef Pío Mourelo: para Cifuentes á D. Damian Alcocer: para…</t>
  </si>
  <si>
    <t>Art, María</t>
  </si>
  <si>
    <t>María Art</t>
  </si>
  <si>
    <t>…epartamento y comandantes de división- los bienes que corresponden él pátronato de lego, memoria de misas, nej y buques. - : fundada en la parroquia de S. Pedro de esta ciudad por'Doña María Art. añadido. « En cada departamento habrá un oficial de cual Salvatierra en nombre de su marido D. Gabriel Guerra de la Bolsa,’ quiera de las clases de almirantes, qué desempeñará las funciones que Juan de Salvatierra y Juan Peña de la Bolsa: por auto dictado en…</t>
  </si>
  <si>
    <t>Art, Mateo Seoane So</t>
  </si>
  <si>
    <t>Mateo Seoane So Art</t>
  </si>
  <si>
    <t>…d: El Exorno Sr. duque del Parque ; teniente general de les. egérci- ver á ellas, y algunas adiciones que se les mandaron pasar. • tós nacionales; el Sr. conde de A dañero; el Dr. D. Mateo Seoane So Art. 3.0 «A fin de que haya mayor comprobación , intervención y bral , médico. Suplente. D. Millan - lonso , hacendado. justificación en los despachos y aduana; se. situarán los contraregistros A ota. Estos son ios verdaderos diputados por la provincia de Va- fio…</t>
  </si>
  <si>
    <t>Art, Medi</t>
  </si>
  <si>
    <t>Medi Art</t>
  </si>
  <si>
    <t>Gaceta de Madrid n.º 157</t>
  </si>
  <si>
    <t>…r las Cortes que vol el Sr. Medina suspendiese esta indicación, porque me parece no hay viera á Ja comisión Ate artículo. motivo por ahora para hacer innovación en este asunto. El Sr. Medi Art. -12. «Todas las personas que ocupen los gefes en sus oficinas, na dijo que retiraba la indicación. y las que el Gobierno emplee en destinos que no tengan sueldo fijo.no Sigue la discusión del plan de Hacienda. se reputarán por empleados públicos con titulo á…</t>
  </si>
  <si>
    <t>Art, Pedro Tomas.zzDon</t>
  </si>
  <si>
    <t>Pedro Tomas.zzDon Art</t>
  </si>
  <si>
    <t>…e Ibañez.z^ facultativos.” Aprobado. D. Domingo Ciaveria. zz D. Severo Garces. = D. Nicolás Gutierrez.zz La comisión retiró el artículo 125. D. Mariano Lison.zzD. Manuel lisoni =: D. Pedro Tomas.zzDon Art. 126. » A los oficiales de este cuerpo no se les dará ningún Manuel Diego, zz D. Francisco Ssforcada. zz Y yo el infrascrito secre destino que no sea respectivo á él mismo.” Aprobado. tario. Asi mas largamente resulta de la acta extendida en el libro de Art.…</t>
  </si>
  <si>
    <t>Art, Puig-</t>
  </si>
  <si>
    <t>Puig- Art</t>
  </si>
  <si>
    <t>…pública, y la de muer ó como consecuencia de alguna otra pena corporal. En ei primer caso te por traición.” Aprobado. Ja considero inútil por la misma razón que ha manifestado el Sr. Puig- Art. 32. »i Al condenado á muerte se le notificará su última sen blanch, yen el segundo no creo,que tiene la utilidad que se ha que tencia 48 horas antes de la de su egecucion rido suponer, en razón de que se aplica ademas de otra pena que está « Si en un caso ex…</t>
  </si>
  <si>
    <t>Art, Vicente Nieto Pi</t>
  </si>
  <si>
    <t>Vicente Nieto Pi Art</t>
  </si>
  <si>
    <t>…14 se celebraron en esta villa exámenes públicos de los ni fatigas, asi de armas como mecánicas, de laclase que se deja. Aprobado. ños déla escuela de primeras letras, al cargo de D. Vicente Nieto Pi Art. 45. » Todos los ascensos en la milicia serán graduales desde cado, dando principio . por una oración inaugural, compuesta por este el empleo inferior al -superior inmediato. Aprobado. maestro, y pronunciada por Elias .Garrido con la mayor energía y el • Art.…</t>
  </si>
  <si>
    <t>Art, Yandiola</t>
  </si>
  <si>
    <t>Yandiola Art</t>
  </si>
  <si>
    <t>…&amp;c. con las cargas particula cuatro artículos , suprimiéndose en el segundo las palabras de ¡a direc res de cada renta. ción ¿eneral de Hacienda publica, por haber manifestado ei Sr. Yandiola Art. 4° » Y finalmente se expresen los nombres de ¡os empleados que-la planta de esta oficina estaba ya aprobada por las Cortes. cesantes y sueltos con los sueldos que tenga cada uno, y también el de Se mandó pasar á la comisión ordinaria de Hacienda la siguiente…</t>
  </si>
  <si>
    <t>Artieda, Antonio López de</t>
  </si>
  <si>
    <t>Antonio López de Artieda</t>
  </si>
  <si>
    <t>…ito y mili lA.la.comision de,Poderes sopesaron Jos1 de. D. Fermín G,«l de Li cia local se entiendan también con las milicias provinciales.55 nares, diputado por AragonlenHugar de. D. Antonio López de Artieda. No hubo lugar á votar sobre una adición del Sr. Bar.qucri á la me A.las comisiones de Bínéfieíacia, -Eclesiástica y Guerra- se pasa- dida séptima del referido dictamen, que decia: .,Sin perjuicio de que</t>
  </si>
  <si>
    <t>Artieda, López</t>
  </si>
  <si>
    <t>López Artieda</t>
  </si>
  <si>
    <t>…rdadero de la humanidad que no se Lagrava, diputados por Aragón , en-que participaban el fallecimiento llene de indignación al oir las expresiones injuriosas que contiene esta del Sr. López Artieda, di potado por la: misma prov incia, ,se acotdór lla proclama , fulminada contra los inocentes napolitanos , que 110 han co mar al suplente que correspondiese. - ■ ,rrt .- .-i,-o-ó. - r-—:■’&gt; metido mas delito que querer sustraerse del yugo del despotismo, pa…</t>
  </si>
  <si>
    <t>…inado des , especialmente de religiosas, por medio de las autoridades civiles los del Sr. linares , diputado suplente por la provincia de Aragón , lla locales, n mado en lugar del Sr. López Artieda, y habiéndolos hallado confor Tampoco se admitió á discusión la siguiente adición del Sr.Rome mes , opinaba que las Cortes debían aprobarlos. Quedó aprobado el ro Alpuente á la medida io.J del dictamen de la comisión, que decia; dictamen. _ »Cuando á los reli…</t>
  </si>
  <si>
    <t>Arusfniark, H.</t>
  </si>
  <si>
    <t>H. Arusfniark</t>
  </si>
  <si>
    <t>Gaceta del Gobierno n.º 39</t>
  </si>
  <si>
    <t>…4 mas que eti 1819*_ ___Entre los diplomáticos que han llegado aqui ete pocos cer una alianza con el objeto de sostener la libertad del co dias á esta parte' se hallan el teniente general H. Arusfniark mercio en el Báltico. .ministro de Prusia. v el conde de Saldanha, ministro de AUSTRIA. Portugal en la corte de Munich. Viena ig de Enero. Laibach J " de Enero. El Observador austríaco de hoy contiene el articulo En la madrugada del 8 salió S. M. I. y Apostól…</t>
  </si>
  <si>
    <t>Ascarate, Antonio Luis de</t>
  </si>
  <si>
    <t>Antonio Luis de Ascarate</t>
  </si>
  <si>
    <t>…lladolid; habiendo procedido el Gefe político de León á com soldado que fue del batallón Ligero de Barbastro. prenderlos en este arreglo en virtud de delegación del de Valladolid; Don Antonio Luis de Ascarate, cadete.que fue del segundo regi y se suprimirá también el convento de dominicos de Villalpando , agre miento de la provincia de Guipúzcoa, y natural de Plasencia en la gando sus individuos al de Zamora, de la misma orden; y por lo respec misma. tivo al de Po…</t>
  </si>
  <si>
    <t>Ascárate, Antonio Luis de</t>
  </si>
  <si>
    <t>Antonio Luis de Ascárate</t>
  </si>
  <si>
    <t>…uenca, y resi Tratado elemental de geografía matemática aplicada á la topogra dente que dice ser en esta corte. fía y parte militar: por D. Angel Laborde y Navarro, capitán de fra D. Antonio Luis de Ascárate, cadete que fue del 2.0 regimiento gata de la armada nacional, y primer profesor del colegio militar de de la provincia de Guipúzcoa, y natural de Plasencia en la misma. Santiago. Esta obra, compuesta para I3 enseñanza de los caballeros ca Miguel Bernal, cabo…</t>
  </si>
  <si>
    <t>Aseguran</t>
  </si>
  <si>
    <t>…, al mundo de Duca y de CoIocotTony , ha pasado el Danubio en Sistov, y que 1 o3 búlgaros y servios se le han reunido. Se cita á los legatarios y demas interesados á los bienes de Doña Aseguran que toda la Bulgaria está sublevada en favor de los griegos, María Encarnación Nestares, viuda de Francisco Herrera, para que y que estos son dueños de su capital: el ejército del Epiro marchaba concurran á la junta que ha de celebrarse en el día 1 3 de este…</t>
  </si>
  <si>
    <t>Asenjo, Francisco Javier</t>
  </si>
  <si>
    <t>Francisco Javier Asenjo</t>
  </si>
  <si>
    <t>…oficio del Sr. ministro de la aquella provincia y juez de primera instancia, por haber mandado vol Guerra con que se acompañó dicho expediente. ver al goce de su antiguo empleo á D. Francisco Javier Asenjo, uno En seguida se leyó el dictamen dado sobre este asunto por la co de ios que siguieron al Gobierno intruso. misión especial de Hacienda, que decia que en vista de todos los ante Después de una discusión entre los Sres. Quiroga, Cortés y Florez cedentes , t…</t>
  </si>
  <si>
    <t>…ad de provincia los cursos s guientes : mandaba fuese repuesto en la posesión de la prebenda que difrutaba en Dos de gramática castellana y lengua latina. aquella iglesia catedral D. Francisco Javier Asenjo. Uno de lengua griega. La comisión opinaba que no habla tal infracción de Constitución. Uno de lógica y gramática genera!. El Sr. Cepero dijo: yo he examinado esta mañana el expediente, y Dos de matemáticas. ésta reducida la queja de aquel cabildo á tres razo…</t>
  </si>
  <si>
    <t>Asensio, Francisco Belda y</t>
  </si>
  <si>
    <t>Francisco Belda y Asensio</t>
  </si>
  <si>
    <t>…d de volverse al Asía. Enmedio de n. ral castrense; D. Joaquín García Domenech , ex-gefe político da tantos apuros parece imposible que el divan evite catástrofes que com Murcia ; D. Francisco Belda y Asensio, teniente de ingenieros. Suprometerán su existencia política, acelerando una guerra cuyos resul plentes. D. Melchor Maran, abogado; D. Josef Agulló, propietario de tados podrán ser terribles. Por otra parte no parece sino qu¿ los m s- Elche; D. Josef March ;…</t>
  </si>
  <si>
    <t>Asimismo</t>
  </si>
  <si>
    <t>…cipe Regente de todo lo acaecido.esCapua i&lt;5 de Mar- también en cuanto á estos dos últimos en dicho arreglo de Madrid. 2b de 1821. =2 Carrascosa. = Concuerda con el original. = El ministro Asimismo ha tenido á bien resolver S. M. que se supriman en Toledo de la Guerra Colletta.” el de trinitarios descalzos , reuniéndose sus individuos al de Torrejon La maldad de algunos hombres llega á tal punto, que no les basta de Velasco;eLde trinitarios calzados; el…</t>
  </si>
  <si>
    <t>Asín, Francisco</t>
  </si>
  <si>
    <t>Francisco Asín</t>
  </si>
  <si>
    <t>…di nio Collado: para la de Extremadura i D. Alfonso Cavia y D. Ignacio to de las instituciones y la causa de la humanidad dependen en gran Marín y Sánchez; y para la de Cataluña á D. Francisco Asín. manera de vosotros.” Acto continúo ocupó la tribuna el Sr. Martínez de la Rosa, y le A mediados del mes de Octubre próximo.debe salir del puerto de vó el acta de la instalación de la Diputación permanente ; la de la se- Cádiz un buque correo con la correspon…</t>
  </si>
  <si>
    <t>Asís, María Francisca de</t>
  </si>
  <si>
    <t>María Francisca de Asís</t>
  </si>
  <si>
    <t>…arado vuestra adhesión al nuevo pacto social que acababa de Para gastos de Cámara de la Serma. Sia. Infanta formar. Asi es que cuando con tanto entusiasmo repetísteis el grito que Doña María Francisca de Asís, su Esposa.......... 600,000 resonó del Duero al Tajo, y cuando manifestasteis tan solemne y es Por la consignación del Sermo. Srí Infante Don pontáneamente vuestra voluntad, unisteis maravillosamente uno y otro Francisco de Paul3.............................…</t>
  </si>
  <si>
    <t>Astigarraga, Luis</t>
  </si>
  <si>
    <t>Luis Astigarraga</t>
  </si>
  <si>
    <t>…qu&amp; establecía los mismos'principios en un'artículo sa del ayuntamiento de esta, ciudad al nuevo curso y egercicíos prácti separado. cos de enseñanza mutua, bajo: la dirección de-D. Luis Astigarraga y Después de alguna discusión se pasó á votar sobre el artículo, y se Ugarre. Este zeloso ciudadano, de cuyo esmero por la propagación de decidió que se suprimiera todo el principio de él hasta la palabra deber. este importante ramo de instrucción pública hemos hecho a…</t>
  </si>
  <si>
    <t>Astorga, Isidro</t>
  </si>
  <si>
    <t>Isidro Astorga</t>
  </si>
  <si>
    <t>…-se le trasladase á la cárcel-do-!a audiencia'; pero se le negó, y lo Abril: ,,El barón de Amstedt, ministro de Rusia cerca de nuestra mismo se egecutó-con otra solicitud igual de D. Isidro Astorga : pidió corte, acaba de entregar al Gran Duque una carta del Emperador Ale el abogado dos meses de término para el despacho del proceso por ser jandro, en que S. M. I. expresa su satisfacción por el establecimiento sumamente voluminoso, y se le concedieron qu…</t>
  </si>
  <si>
    <t>Asura, Juan Ignacio</t>
  </si>
  <si>
    <t>Juan Ignacio Asura</t>
  </si>
  <si>
    <t>…Sr. Gaseo pidió que las Cortes tomasen en consideración un caso cargas. ... tan urgente como el que se presentaba; y que prescindiendo de la A la de Hacienda pasó una solicitud de D. Juan Ignacio Asura,- infracción de la ley y de la extiaccion del dinero, las Cortes debían re coronel de egército, en que pide se le paguen por la tesorería general primir esres abusos de la autoridad eclesiástica, como contrarios á ciertas cantidades que se le adeudan. la pobl…</t>
  </si>
  <si>
    <t>At, Ramón</t>
  </si>
  <si>
    <t>Ramón At</t>
  </si>
  <si>
    <t>…mensos desierros de la Si be ría están to tambor D. Pedro Alejandro NÍarcotan : milicianos D. Andrés davía cubiertos de nieve cuando ya los ardores del estío han González Barona , D. Ramón At area. IJ. Manuel González, marchitado los floridos vergeles de las faldas del C meaco; D. Manuel Macho Fernandez , !\ Casimiro Zaya«, D- Ga por manera que aquel dilatado imperio reúne ios piramos briel Fernandez , D. Bernardo Toca ,' D. Juan Fernandez, inas t…</t>
  </si>
  <si>
    <t>Atamán</t>
  </si>
  <si>
    <t>…un in Art. r.° » No habrá aduanas sino en los puertos de mar y en las forme que estaba pendiente. fronteras.” Art. 5.’ « La circulación interior del reino desde la línea de pre El Sr. Atamán dijo que el artículq de la manera que se; presentaba caución de todos frutos y géneros nacionales y extrangeros, á excep no era mas que una raiz del 354 de la Constitucióny que no creía ción de los prohibidos, será libre sin necesidad de guias." que las Corte…</t>
  </si>
  <si>
    <t>Atanasio</t>
  </si>
  <si>
    <t>Gaceta de Madrid n.º 188</t>
  </si>
  <si>
    <t>…le que la lengua francesa de Mayo el bajá turco, de quien sospechaba el Gobierno que protegía esté dedicada á estos inmundos panegíricos? Siento que en mi lengua á los griegos. El arzobispo Atanasio, seis sacerdotes y tres servios fue nativa haya podido escribirse el elogio de los azotes y de otros supli ron también ahorcados por orden del Gran Señor; y «1 cuerpo del pri cios. Estas atrocidades se encuentran cuando menos en los periódicos mero fue arrast…</t>
  </si>
  <si>
    <t>Ati</t>
  </si>
  <si>
    <t>…Guaira; lo que habiendo verificado al frente solamente Total de los tres puntos: existencia anterior 602: entrados ó aco de 6a hombres de Hostalrich y seis artilleros al cargo del teniente Ati metidos 77 : salidos ó curados 10: convalecientes 92: muertos 66c zábalo , logró desalojar al enemigo, cuya fuerza constaba de a(5o hom existentes 603. bres , poniéndole en completa dispersión, y haciendo prisioneros i un De orden de la M. I. junta municipal…</t>
  </si>
  <si>
    <t>Atienza, Miguel</t>
  </si>
  <si>
    <t>Miguel Atienza</t>
  </si>
  <si>
    <t>…99, que decía asi: Cortes: D. Lorenzo Escolar de Navas, canónigo de S. Isidro. » A la diputación le corresponde: i.° Promover la reunión de las Por la provincia de Guadal.-,jara: D. Miguel Atienza, presbítero tuntas electorales en caso de que haya alguna negligencia en ello. 2.° propietario en Jadraque: D. Francisco Mateo Marchámalo, del tribu Preparar la reunión de las Cortes en conformidad de los arts. 59 y si nal supremo de Justicia. Suplente : D. G…</t>
  </si>
  <si>
    <t>Atocha, Josef</t>
  </si>
  <si>
    <t>Josef Atocha</t>
  </si>
  <si>
    <t>…y en la de un enorme oso con varios perros . D. Juan-Antonio Donoso, vecino de Campanario. dogos ó de presa &amp;c. D. Tomas Martinez del Hortal, vecino de Cabeza del Buey,. Truj’llo. D. Josef Atocha. CORTES EXTRAORDINARIAS DEL AÑO DE iBai. . D- Juan Muñana Broncano , vecino del Campo. Mé&gt;-¡da. D. Fabián de la Barrera, de AUnendralejo. ÍRB5IDENCIA DEL SEílOR. MARTINEZ DB IA ROSA, 'D. Francisco Quintano, de la Fuente. Llerena. Se ignora. Sesión del zt de N…</t>
  </si>
  <si>
    <t>Atosa, Tomas</t>
  </si>
  <si>
    <t>Tomas Atosa</t>
  </si>
  <si>
    <t>…municaréis á quien corresponda para su cumplimiento. = Rubricado del cardenal Morozzo , el senador Garau , el duque de Valle-Ombró- de la Real mano.crPalacio 29 de Marzo de i8n'~A D. Tomas Atosa , el caballero Chevillard , el conde Caissotti de Robbione , el abó- reno y Daoiz.” ' ^ ado Spirito Migliore, de D. Selvi Nigra, banquero, y de D.'Josef . ' , La ¡unta - general de accionistas del Banco nacional de S. Carlos, f"ravega, idem.. Eos acontecimien…</t>
  </si>
  <si>
    <t>Audc, Luis Tadeo Ro</t>
  </si>
  <si>
    <t>Luis Tadeo Ro Audc</t>
  </si>
  <si>
    <t>…lla Sta. iglesia catedral. Villas del Vino D. Tomas Roguez Ga les que están en acción,, y vivifican actualmente el departamento del go , cura párroco de Argugillo. Lagares del Pan D. Luis Tadeo Ro Audc.” ... • " dríguez, cura párroco de Almaraz. Carbajales D- Juan Manuel Lla 1 Idem 10. .... mas, cura párroco del Pino.. Sayago D. Tomás Calzada , cura párroco Las cartas de Viena de 25 de Octubre dicen que todas las que. se de Róelos.:Lugares del Vino D. Pedro…</t>
  </si>
  <si>
    <t>Audrich, Miguel</t>
  </si>
  <si>
    <t>Miguel Audrich</t>
  </si>
  <si>
    <t>…aquella provincia en la cubrir sus gastos municipales, atendiendo por ahora á ellos con el pro legislatura inmediata. ■ ducto de sus propios. , A la Eclesiástica una solicitud de D. Miguel Audrich y D. Juan Y el de la misma acerca de la solicitud de. la diputación provincial Feliu, monges de la Cartuja de Scala Dei sobre que se les aumente la de Cuenca: la comisión opinaba debia concedérsele la facultad de hacer pensión que disfrutan. • • , un reparto para pagar l…</t>
  </si>
  <si>
    <t>Aumente</t>
  </si>
  <si>
    <t>…ho documento. Esta respuesta no. satisfizo á Air. Ben- tos, y no se ven sino tiendas sin gente. El «murcio se acabo entera net. Parece, según el oircio de sír.HudiOn Lowe, que e^ .profesor Aumente. t.oinmxrcm asistió i.á. la disección del -cadáver;.; por qué,pues- no se Trieste 2 de Julio. halla elmombre del.profesor Autommarch; coa los de los demás edu Acabamos de recibir cartas de Cáttaro, según las cuales las tropas jimos: Oe da el .prausxbie motivo…</t>
  </si>
  <si>
    <t>Aupetit, Pedro Julián</t>
  </si>
  <si>
    <t>Pedro Julián Aupetit</t>
  </si>
  <si>
    <t>…juzgados de primera instancia de la provincia de Guadalajara á los tingentes de las contribuciones, y recibir y examinar las cuentas de los sugetos siguientes: para Guadalajara á D. Pedro Julián Aupetit: para arbitrios aplicados á los gastas públicos y comunes del territorio. Molina á D. Francisco Antonio Vergara: para Sigíienza á D. Juan Art. 55. m El estado del repartimiento hecho con la diputación •Roza Ridozes: para Atienza á D. Manuel Rodrigo: para Brih…</t>
  </si>
  <si>
    <t>Austria, Metter-</t>
  </si>
  <si>
    <t>Metter- Austria</t>
  </si>
  <si>
    <t>…o á asistir á un congreso para arreglar los negocios de Tur que habían sido admitidas y aprobadas por S. M. el Emperador di quía; lo cual habrá sido tal vez la causa del viage del príncipe Metter- Austria. mch. Se había creído que el Emperador de Rusia tendría una conferen Por tanto la Sublime Puerta se promete que S. M. el Emperador cia con nuestro Monarca,, y tal vez con el Rey de Inglaterra: pero co de Rusia, que ha tenido ya noticia de'eílas por la memoria…</t>
  </si>
  <si>
    <t>Autetas, María del Carmen</t>
  </si>
  <si>
    <t>María del Carmen Autetas</t>
  </si>
  <si>
    <t>…paisanos y ios militares'de la guarnición; y resultaron de ella algu ta causa de la Nación-, cupo en suerte del primer extracto de lá de este nos heridos y varias prisiones. día á Doña María del Carmen Autetas, hija de D. Luis, capitán de caballería de voluntarios de Madrid , muerto en el campo del honor. Continúa la lista de los suscriptores á la empresa del empréstito nacio nal desde el ay del corriente hasta hoy. D. Andrés Cantero.' D. Josef Abajo y Manzano. ' S…</t>
  </si>
  <si>
    <t>Autommarch</t>
  </si>
  <si>
    <t>…rece, según el oircio de sír.HudiOn Lowe, que e^ .profesor Aumente. t.oinmxrcm asistió i.á. la disección del -cadáver;.; por qué,pues- no se Trieste 2 de Julio. halla elmombre del.profesor Autommarch; coa los de los demás edu Acabamos de recibir cartas de Cáttaro, según las cuales las tropas jimos: Oe da el .prausxbie motivo de &lt;ju? habiendo sido dirigida la re otomanas han abandonado enteramente las cercanías de Jarrina Los par lación oficialmente.al. Go…</t>
  </si>
  <si>
    <t>AveJiá, Pedro de</t>
  </si>
  <si>
    <t>Pedro de AveJiá</t>
  </si>
  <si>
    <t>…, no para que se siaa, El de la de Libertad de imprenta, relativo á la solicitud de Don *ino para que me satisfagan las dudas que puedo tener. Juan Antonio Llórente, quejándose de D. Pedro de AveJiá, provisor El artículo á que nos referimos trata de diezmos, y no se crea que y vicario general de Barcelona, por la calificación 3e un impreso del yo hablo por interes de la clase á que pertenezco, sino porque las cosas citado Llórente , titulado Proyecto de…</t>
  </si>
  <si>
    <t>Avila, Dionisio de</t>
  </si>
  <si>
    <t>Dionisio de Avila</t>
  </si>
  <si>
    <t>…armas en defensa de su país, por hallarse desem A laida Hacienda una exposición de Doña Josefa Turra, viuda de barazada de aquellas ocupaciones que pudieran impedírselo, y esto es D. Dionisio de Avila, vecina de Cartagena , para que se manden li una ventaja incontestable. El napolitano peleará con valor por defender quidar-los: haberes que dejó de recibir en el tiempo déla dominación s.Upropiedad, y no es fácil. calcular los infinitos medios de defensa qué…</t>
  </si>
  <si>
    <t>Aviles, Fclix</t>
  </si>
  <si>
    <t>Fclix Aviles</t>
  </si>
  <si>
    <t>…en: 2.0 por la expre guientes: para t-alamanca'á D. Prudencio Fernandez de la Pelilla; pa sión individual de sí ó no: 3.' por escrutinio. Art. 114. La votación ra Ciudad-Rodrigo a D. Fclix Aviles; para Alba de Tormes á D. Josobre los asuntos discutidos se hará por regla general por el primer »ef Catalin y Calderón; para Miranda del Castañar á D. Vicente Sanamétodo, á no ser que algún diputado pida que sea nominal, en cuyo huja y Mey: para -Piedrahita…</t>
  </si>
  <si>
    <t>Avuso, Francisco</t>
  </si>
  <si>
    <t>Francisco Avuso</t>
  </si>
  <si>
    <t>…planes que haya en planta; y Cuesta y á D. Nicolás Gómez Villaboa: en la de Extremadura á Don la.guerra se tiene por inevitable. llamón Píanella de Fiballer : en la de Cataluña á D. Francisco Avuso "Parece que 40S) austríacos se dirigen á tomar posiciones entre 1 ries- y Mena y á D; Miguel de Castells; y para una de las plazas de fiscal te y Laybach, y que otros 30S)-ocupan la Dalmacia; pero hay todavía de la de Aragón á D. Lorenzo Gotarredona. quien du…</t>
  </si>
  <si>
    <t>Ayala, Francisco Delgado y</t>
  </si>
  <si>
    <t>Francisco Delgado y Ayala</t>
  </si>
  <si>
    <t>…e levantó la sesión. diencia territorial de Castilla la Nueva, que desempeñaba interina mente. Se hace presente qué el remate de las fincas aplicadas al Crédito pu Por renuncia de D. Francisco Delgado y Ayala , electo para la ju blico para pago de la deuda nacional . comprendidas en las listas núme- dicatura de primera instancia del partido de Valencia de Alcántara , ha ros 215, 216 y 217 deL suplemento á la gaceta del dia til del’ corrien quedado vacante esta pla…</t>
  </si>
  <si>
    <t>Ayala, Joaquín López de</t>
  </si>
  <si>
    <t>Joaquín López de Ayala</t>
  </si>
  <si>
    <t>…estal, de modo que se y Linares: igua'meme para el juzgado de primera instancia del partido presente á la vista una de las snperScies planas del libro. Esta insignia de Villalon a D. Joaquín López de Ayala. se col cari en el extremo de una asta , cuya longitud será dé ocho pies Tesurería jreneral de la JSFt.ciun. de Búrgos , y su diámetro de una pulgada y cuatro líneas. En lá parte Hallándose vacante la plaza de lesorcro principal de la provincia de superior de…</t>
  </si>
  <si>
    <t>Ayala, Manuel García Gaitan de</t>
  </si>
  <si>
    <t>Manuel García Gaitan de Ayala</t>
  </si>
  <si>
    <t>…e cial preservará á sus pueblos de la desventura que Ies ame reses de la patria con los de ia religión ; y el comandante naza ; asegurará con la unión tan necesaria del poder y de D. Manuel García Gaitan de Ayala, teniente de caballe la libertad , la felicidad y prosperidad de aquellos para una ría retirado, leyó la atenga que le había pasado el Sr. Gefe larga serie de generaciones. Yo hubiera acompañado á V. M. político. Himnos patrióticos, músicas marciales, repetid…</t>
  </si>
  <si>
    <t>Ayarza</t>
  </si>
  <si>
    <t>Gaceta de Madrid n.º 249</t>
  </si>
  <si>
    <t>…a de granaderos provinciales de León ([bizarra tropa), y una de gra cuatro meses que duren las sesiones. Art. 37. El nombramiento de naderos del Imperial Alejandro, al mando de su capitán Ayarza, exce presidente y vice-presidente se pondrá en noticia del Rey por medio lente patriota; los primeros vienen de Bilbao, y los segundos de Vi del secretario del Despacho de Gracia y Justicia, y se publicará en la toria , de donde aperamos de dia en dia otras…</t>
  </si>
  <si>
    <t>Ayer</t>
  </si>
  <si>
    <t>…sugetos para habia dicho de las disposiciones poco favorables de ia Puerta: añade hacerlos comparecer como testigos. que otra goleta rusa enviada á Bouyoukdere con pliegos para el conde Ayer noche, bastante,tarde, habia algunos corrillos en el sitio en Strogonoff ha sido detenida en el Bosforo. que la tropa hizo fuvgo al pueblo. Vanos vecinos de los barrios apar La nota dirigida á los diarios de Lien sobre haber escrito una carta tados y de las c…</t>
  </si>
  <si>
    <t>Ayesa, Francisco Javier</t>
  </si>
  <si>
    <t>Francisco Javier Ayesa</t>
  </si>
  <si>
    <t>…as nobles prendas estaba reservado exclusivamente dé Estado, para dos raciones de la Sta. iglesia catedral da romper el eslabón primero de la esclavitud española. El Puerto-Rico á D. Francisco Javier Ayesa , c!tra;del par monstruo despótico que la sostenía, escudado únicamente con tido de Coamo, y.á D. Josef Antonio Torrglbo, que lo e! estéril recurso de una ciega y bárbara obediencia, se fa fue del Sagrario en la misma iglesia.. Asimismo se ha. ser tigó en van…</t>
  </si>
  <si>
    <t>Azada</t>
  </si>
  <si>
    <t>…hizo presente que las comisiones estaban tra y finalmente se presenten á las Cortes para su aprobación.” tando de este importantísimo asunto , retiró) su autor esta indicación. Ei Sr. Azada empezó á leer un discurso, en que hacia varias ob Se dió) cuenta de un oficio del Sr. ministro de Gracia y Justicia servaciones sobre la totalidad del dictamen; y habiendo manifestado acerca de lo acordado por las Cortes en 24 de Abril último, relativo alguno…</t>
  </si>
  <si>
    <t>…cirse moneda resellada, y lue El Sr. Oiiver; El haber puesto enceste articulo la causa por que ss go ro rs. propone esta medida, es únicamente para dar una satisfacción á las ~ El Sr. Azada dijo que con decir solo resellado so rs. era lo bas Cortes, porque verdaderamente en él artículo no se debe decir mas que tante i-porque era excusado poner moneda. tanto ó cuanto derecho debe pagar la seda. En seguida hizo el orador El Sr. Puigblanch insistió…</t>
  </si>
  <si>
    <t>Azaola</t>
  </si>
  <si>
    <t>…e debían estar libres Se leyó el dictamen de la comisión sobre la empresa de la compa para acudir adonde conviniese, á efecto de mantener la tranquilidad ñía de Guadalquivir; y el Sr. Azaola manifestó que antes de tratar.de pública: y fue aprobado. este asunto debería oirse á la dirección actual por el zelo que había, ma La misma presentó su dictamen acerca de das exposiciones dirigidas nifestado ; y que no obstante que deseaba y tenia Ínteres en…</t>
  </si>
  <si>
    <t>…es El de la comisión Eclesiástica en el expediente suscitado con moti ponsabilidad á quien hubiere lugar.- vo de haber provisto S. S. la dignidad vacante de tesorero de la cate E1 Sr. Azaola manifestó que en el dia la compañía tenia suspendi dral de Cuenca en D. Gabriel Josef Gil en tiempo en que se habia dos los derechos á que se referia el Sr. Oliver , desde que S. M, juró la mandado suspender la provisión de prebendas eclesiásticas; y duda Con…</t>
  </si>
  <si>
    <t>…or el obispo, capellán mayor, el económico-político de las provincias , y a otros decretos dé Jas Cortés.** libro de los santos Evangelios, puso en él su mano derecha, y asi lo El Sr. Azaola pidió que se leyera una indicación que tenia hecha juró y prometió, y firmó.crComo procurador de! Rey,mi Padre y mi sobre este asunto, la cual podría f.vilar que se alargase demasiado; y Señor, el Príncipe Real D. Pedro de Alcántara. después de una ligera dis…</t>
  </si>
  <si>
    <t>…ompensar las fatigas de cuantos se ocupen celosamente en el donación que hizo el Gobierno fue mal hecha. exterminio del fraude, ha tenido á bien mandar que los individuos de la El Sr. Azaola manifestó que aquella isla se habia concedido por un milicia nacional local que concurran á las aprehensiones participen del contrato particular del Gobierno con la compañía, y que debiéndose comiso en la misma forma que el resguardo cuando este las hiciese,…</t>
  </si>
  <si>
    <t>…los señores ex-ministros. instaló dicha compañía;” y no se aprobó la segunda parte. Se continuó la discusión del artículo 4,0 del dictamen de la comi ; Se leyó una indicación del Sr. Azaola, que la retiró por haberse sión sobre la empresa de Guadalquivir, y se leyó dicho artículo. ( Vea- . aprobado la del Sr.-Oliver, y decía: ,, Las cuentas presentadas por ¡3 te la gaceta tie ayer.) compañía al ministerio de Estado, y las demas que tenga que dar…</t>
  </si>
  <si>
    <t>…embargo creía ; qué se propusiera, que no estancando la sal^cuya operación es tan an-que este" ramo podia rendir-mayor, beneficio , y que si sé-hubiese admi • tigua en España. Él Sr. Azaola hí manifestado que debería haberse he nistrada-sin confusión,-sin gravámenes y sin privilegios odiosos," seria cho uní diferencia entre las salinas interiores y las marítimas; lo cual . ahora .indudablemente la mayor renta del Estado; que lá comisión ha- ha t…</t>
  </si>
  <si>
    <t>…ela, so dan destinar para atender á un objeto tan interesante:” licitando el primero se le perdone la tercera parné de 25,418 rs. que ■ Se leyó por primera vez una proposición del Sr. Azaola, relativa á adeuda al Crédito público por arrendamiento de préstamos de S. Vi que Se prohibiese la pesca llamada de Parejas de Bou. cente de Oviedo, y el segundo que se rebaje á 1200 rs. el precio de Se leyó el dictamen de la comisión especial de Hacienda ace…</t>
  </si>
  <si>
    <t>…da, por estar destinados para la ca; correos, caminos, canales, y formación de la carta general de Es instrucción de la juventud. paña; aprobándose asimismo el voto particular del Sr. Azaola , re:ati-vo El Sr. Vadillo dijo que llamaba la atención de las Cortes hacia un a que el Gobierno cuidase de la distribución del presupuesto de cami asunto muy desagradable y de la mayor consecuencia, cual era la es nos, oyendo á la dirección del mismo ramo, p…</t>
  </si>
  <si>
    <t>…mplimiento, cree que es necesaria una junta secretaría en esta moneda , cosa que nunca había sucedido. que inspeccione estas casas y haga que se observen las reglas prescritas: El Sr. Azaola dijo que el hablar de la moneda francesa que circu la dificultad está en que propone para esta junta á aquellos mismos su laba, no era mas que pasar de un asunto á otro, porque la discusión so getos que hasta ahora.no las han cumplido, y yo creo que esto no c…</t>
  </si>
  <si>
    <t>…que hay es el que ha propuesto. posible, con lo que se disminuirían los perjuicios que habia anunciado. - El Sr. Lasanta hizo varias reflexiones relativas á la proposición del El Sr. Azaola dijo que no sucederían los perjuicios que habia anunSr. Alaman , manifestando que tal vez seria fácil falsificar el resello , con ciado el Sr. preopinante, porque siendo el vacío por muy poco tiem lo. cual resultaba á la Nación el mismo daño que se trataba de…</t>
  </si>
  <si>
    <t>…ue un laurel, y en su centro escrito 10 rs. , y que creía que los mee CORTEo EXTRAORDINARIAS DEL AÑO DE i8at. dios luises que se resellasen debían decir medio escodo resellado. El Sr. Azaola dijo que el nuevo modelo que proponía la comisión; ÍRBSIDENCIA DEL SESOR MARTINEZ DE I.A ROSA. ; pidos los facultativos de la casa, tenia cuatro ventajas esencialísrmas para que las Cortes lo adoptasen con preferencia ai anterior, Sesión del 14 de Noviembre.…</t>
  </si>
  <si>
    <t>…ue según lo que habian expuesto de e-te decreto” en lugar ¡le acuerdo , cuya palabra debía suprimirse. los Sres. de la comisión , se pondria á votación la siguiente parte del ' El Sr. Azaola dijo que ia comuion no tendría ningún inconve- artículo : » Que se imponga el derecho de 25 por 100 á toda dase de tlieru e. seda extranjera, ya sea torcida ó en rama, sobre el avalúo de X40 rea ■ El Sr. presidente dijo que la facultad de interpretar las leye…</t>
  </si>
  <si>
    <t>…pidió que se dijese con tai que uniformándose con los de la Península, y estableciendo la otra junta tenga la instrucción competente en la mmerologia. que acababa de proponer. El Sr. Azaola dijo que no le parecían muy fundadas estas observa El Sr. López ( D. Marcial) dijo que en esta discusión no haría ciones , porque en cuanto á la primera ya habia en la junta á mas del mas quedar las explicaciones convenientes; y contestando á Ja pregunta quím…</t>
  </si>
  <si>
    <t>…junta los sugetós á quienes se les Se levantó la sesión. deben ofrecer las dudas, parecia que no debian consultarse á sí mismos; sino á otras autoridades. ' ARTICULO DE OFICIO. El Sr. Azaola dijo que esta observación era parecida á otra que sa propuso ayer al fina! del otro proyecto, porque ambas dependían de . El Sr. secretario del Despacho de Gracia y Justicia dice al Sr. secre la redacción en la cual él no había intervenido, y que de consiguie…</t>
  </si>
  <si>
    <t>1787</t>
  </si>
  <si>
    <t>…a de la junta nacional del Península. mismo, relativa a la renovación de vales. Su capital Vailadolid. Aprobado. A la comisión de División del territorio se mandó pasar una ex- El Sr. Azaola dijo que no era necesario-ser militar para conocer ’posicion del ayuntamiento y milicia nacional de Oyarzun , pidiendo que debia subsistir el distrito de Búrgos separado del de Pamplona por se eb'ja á Tolosa por capital de provincia en lugar de S. Sebastian :…</t>
  </si>
  <si>
    <t>…, para que aun se hiciesen en él dos distritos mi dictamen de la comisión. litares. Dos generales (continuó) que esten encargados de estos dos Se leyó la siguiente proposición del Sr. Azaola: &gt;j Pido que el art. 3.a distritos, si se conviniesen en abusar de la fuerza que tuviesen á su dis y 4. vuelvan á ¡a comisión para que formé de las provincias conteni posición, podrían incomodar mucha; y no se diga que Jos gefes políti das en ellos tres distr…</t>
  </si>
  <si>
    <t>…la industria en nuestra Nación. "que las CoTtes se sirviesen' acordar: í»° Que .desde r.J de Octubre de ;i8a2 ‘en'4tdelanté!'^uPde' prohibida la introducción del carbón de. pie El Sr. Azaola dijo: Yo creo que sidas Cortes acertasen á dar una ley en cuanto al carbón de piedra con el tino y madurez que se nece dra, turba ó .de cualquiera jotro com.biisiib.ns en nuestros puertos pe- sita, verían ia importancia de esta materia', y que bastaba ella so…</t>
  </si>
  <si>
    <t>…provincial.nDomingo Osorio, reimpreso en Madrid. Se vende á real en la librería de Ranz. diputado provincial.=Rafael Sánchez, diputado provincial.—Juan Ma nota. En el discurso del Sr. Azaola en la sesión de Cortes del 19 nuel Diez de Rábago, diputado provincial. te dijo que los ingleses tenían en una de sus minas de carbón de piedra F.l coronel graduado de Ztmora Juan Mediavilla. = Alejandro una bomba de vapor de la fuerza de 20/0 caballos, y ha'…</t>
  </si>
  <si>
    <t>…arios de epidemia. Se leyó el art. 107. Del Sr. Gaseo al art. 37 : « Que se comprenda en este artículo la superintendencia general de beneficencia, y los demas ramos á ella uni El Sr. Azaola fue de opinión que debería quitarse de este artículo dos con todas sus oficinas.” la palabra epidemia, y se pusiese en casos extraordiñarlos, en razón de Del Sr. Giraldo al art. 40: « Que se extienda á las cárceles.” que está probado ya que conviene mucho en…</t>
  </si>
  <si>
    <t>…comi- se en un pozo, es claro que no debería obedecer; pues bien: el Rey no sian. Se leyó. ha mandado á las autoridades de Sevilla que obed.-zcan una ley ; solo sí A p ticíon del Sr. Azaola se leyó el decreto de 11 de Noviembre ha nombrado unas autoridades, acerca de las cuales han hecho presen de 18 i r. te las existentes que no convenía tomasen posesión de sus destinos; que £' Sr. Cortés, después de hacer algunas reflexiones sobre la des el pu…</t>
  </si>
  <si>
    <t>Azaola, González</t>
  </si>
  <si>
    <t>González Azaola</t>
  </si>
  <si>
    <t>…n bajo él título de Re militaré, ó diálogo ( 1) No parece que debe haber inconveniente en que se sepa que lo que pasó entre los limos. Sres. D. Gonzálo Fernandez de Córdoba, •s el Sr. González Azaola, actual diputado á Cortes. llamado Gran-Capitan , duque de Sessa &amp;c., y D. Pedro Manrique de Tara, duque de Níjera. Por el contexto de ella se ve que volviendo el ANUNCIOS. Gran-Capitan de la parce de Italia , donde tan victoriosamente habia militado como lug…</t>
  </si>
  <si>
    <t>Azaola, Gregorio González</t>
  </si>
  <si>
    <t>Gregorio González Azaola</t>
  </si>
  <si>
    <t>…rmula de absuelto el artículo comunicado se insertase en la gaceta de Madrid. - : inserto en el periódico intitulado Constitucional núm. 71 , de fecha de Catón constitucional: por D. Gregorio González Azaola, diputa lo de Mayo próximo pasado, cuyo epígrafe es variedades, y empieza: do á Cortes por la provincia de Sevilla. Esta obrita verdaderamente ele di-, redactor : en el núm. 30. &amp;c. , que suena firmado por Antonio Ra- mental se ha compuesto para dar á la juve…</t>
  </si>
  <si>
    <t>Azaola, Juan de</t>
  </si>
  <si>
    <t>Juan de Azaola</t>
  </si>
  <si>
    <t>…jueces de primera instancia de los partidos á cargo del catedrático por S. M. D. Antonio Dámaso Torrecilla y de la provincia de Falencia, que hati aprobado las Cortes , se admiten D. Juan de Azaola, cirujano de número de dichos hospitales, su demos memoriales en la secretaría del mismo consejo de los pretendientes que trador y maestro , ofreciendo todos los años cuatro premios, dos de se consideren con Jas circunstancias necesarias para el desempeño de…</t>
  </si>
  <si>
    <t>AzaoU</t>
  </si>
  <si>
    <t>…disfrutan de estos cía Page por 82 votos de 111 ; teniendo 8 el Sr. San Miguel, 6 el se beneficios atribuírselos á aquel.i quien se los ha proporcionado , llenán ñor Priego, 4 el Sr. AzaoU,.2 el Sr. Sancho, y uno respectivamente dole de bendiciones; á V. M., Señor, y á ese genio de vuestras institu los Sres. Torre Marín, Marín Tauste, Cantero , Vusté, Martel, Mar ciones , del cual queréis que los depositarios de vuestro poder se pene tínez de l…</t>
  </si>
  <si>
    <t>Azara</t>
  </si>
  <si>
    <t>…oma. La Cámara de en pasta. =Histocia de la vida de M. T. Cicerón, porConyers Middie-los diputados continúa en su sistema de división en las discusiones, sin ton, traducida por el Sr. Azara, 4 tomos en 4.0; á 140 en papel, y que en ellas se haya tratado de asuntos de ínteres general: en la sesión 174 en pasta. = Colección de tratados de paz por la corona de Españadel 1/ se quejo fuertemente un diputado de que los ministros no hu con las extrange…</t>
  </si>
  <si>
    <t>Azcárdte, Antonio Ramón de</t>
  </si>
  <si>
    <t>Antonio Ramón de Azcárdte</t>
  </si>
  <si>
    <t>…D. Josef Joaquín de GázteluzarJ, -própsetário y- co- CORTES'EXTRAORDINARIAS DEL AÑO DB A«at. tnaridante de la'iriiHcti'hácionál de Villafrhnca. ' i ■ ■ •i'íu-r Elgoibíff.¿"fc)L §u D. Antonio Ramón de Azcárdte &gt; primer profeso» ' nnnbMcrA'íiit: sáAox MAarmsz db zA xoéM -; "..fw 'de matemáticás del seminario de Verggra; ^ ' '-P . .i.i.- I, "" i.-'.- , . Madrid Lunet latir .Noviembre., -&gt;-■ „-v-ib«ó4jEsixi.-ííd'é*'vb'íf&amp;¡mkrf.'rt'K:i b • -1 Se leyó y aprobóf-el acta…</t>
  </si>
  <si>
    <t>Aznar, Juan</t>
  </si>
  <si>
    <t>Juan Aznar</t>
  </si>
  <si>
    <t>…legada ayer 14 á aquel A la misma comisión se mandó pasar un proyecto de navegación puerto: de la fragata americana Pantera, procedente de Lima y Paita en el rio Euro, formado por D. Juan Aznar y D. Ramón Folgueras, en p;t días , cuyo capitán deciara que la expedición, de 500 hombres/. individuos de los cuerpos de artillería é ingenieros, y presentado por oue de. Guayaquil se dirigió á Quito, había sido completamente der el Sr. Serrallach. rotada ■ por las armas español…</t>
  </si>
  <si>
    <t>Aznar.ez, Pedro</t>
  </si>
  <si>
    <t>Pedro Aznar.ez</t>
  </si>
  <si>
    <t>…ciales del cuerpo de mari les. = D. Joaquín Pérez. zzD. loo Oliyer.zzD. Tomas Perez.zzDon na , creia conveniente retirar los arts. 109, 110 &amp;c. hasta el 121 in Dionisio Larrosa. = D. Pedro Aznar.ez:Di Manuel Vallen. zzD. lo clusive , y los 125 ,,129 , ,13o y 135 , poniendo en su lugar los dos mas Bailo.zz D. Manuel Fansarte. = D.‘ Vicente Gracia. = D. Manuel siguientes: 1«L-a fuerza de este cuerpo será la que se estime necesaria Pascual.zrzD. Mariano Fe…</t>
  </si>
  <si>
    <t>Aznarez, Mariano</t>
  </si>
  <si>
    <t>Mariano Aznarez</t>
  </si>
  <si>
    <t>…n los egércitos nacionales, á que igualmente se le condena: se pes de conocerlo, por lo que cedieron á las circunstancias, y recono apercibe al teniente de infantería del Príncipe D. Mariano Aznarez, cieron generosamente la justicia de los súbditos; y de aqui la forma al capitán del regimiento del Infante D. Carlos D. Juan Romero de Te ción de multitud de Gobiernos representativos, y la reforma admirable, jada y a D. Jaime Ferrer que en lo sucesivo, proc…</t>
  </si>
  <si>
    <t>Azpitoz, Miguel de</t>
  </si>
  <si>
    <t>Miguel de Azpitoz</t>
  </si>
  <si>
    <t>…a, que ha sido apreciada por todos dicha compañía á los síndicos D. Cárlos SoldeviHa, D. Francisco Mon- los mejores economistas: un tomo en 8.a Se vende en las librerías de toya y D. Miguel de Azpitoz; Jo que se avisa al público para qu« Rodríguez y de Matute á xo rs, en rústica. . SUPLEMENTO -</t>
  </si>
  <si>
    <t>B, Andrés</t>
  </si>
  <si>
    <t>Andrés B</t>
  </si>
  <si>
    <t>…olo hay que cuidar de una frontera, y Según noticias comunicadas por el maestro de la escuela náutica dé en tiempo de guerra puede’ser atacada la península por muchas paites: Lima D. Andrés B.ileato, con fecha 3 de Marzo de 1820, rasmia haber que siendo necesario que hubiese milicias en algunas provincias, era dos bajos al E. del cabo S. Juan.; en ia isla de los Estados, á la distancia indispensaltle que las hubiese en todas: que el reemplazo se de…</t>
  </si>
  <si>
    <t>B, Antonio</t>
  </si>
  <si>
    <t>Antonio B</t>
  </si>
  <si>
    <t>…ue la subdetegacion de med.cina, cule. =: Señalado dé la Real mano.eeEn Palacio á 3 de Julio de 1821.“ la academia médica, el colegio de cirugía , los médicos del lazareto sucio A D. Antonio B.rata.” de ia casa de ia Vireina del Perú, extramuros de esta ciudad, y de la Circular del ministerio de Hacienda. Barceloneta, inspeccionando los enfermos mas sospechosos , y adquirien Con esta fecha comunico al Sr. comisario general de Cruzada la do todos los…</t>
  </si>
  <si>
    <t>B, Gabriel</t>
  </si>
  <si>
    <t>Gabriel B</t>
  </si>
  <si>
    <t>…van el brado S. M. á los directores del referido Banco D. Joaquín María Fer d.-recho de sacudir el yugo de los opresores de su pais, loi cuales rar, D. Manuel de la Turre y Rauri, D. Gabriel B.iiez, D. Andrés con su conducta para con los pueblos que han vencido , se han atraído Caballero , D. Fraile sco Crespo de Tejada; y por parte de este ayunta la execración eterna del género humano.” . miento á su regidor I). Joscf Francisco Muguiro Iribarren. L…</t>
  </si>
  <si>
    <t>B, Juan</t>
  </si>
  <si>
    <t>Juan B</t>
  </si>
  <si>
    <t>…. Josef Riu, labrador, hacendado de Castellar de Riu. Villa- sala proporcionada para que todos puedan oir bien su lectura , y hr.cer franca D. Pedro Batüe, abogado de dicha villa. D. Juan B&amp;nach, co en el diario ó extracto que se habrá entregado a cada uno las reformas, merciante de Villanueva. Reus D. Pedro zXJcáutara de Aperia, co adiciones ó advertencias que estimen oportunas para fundar sus aleuamerciante. D. Juan Rincón, abogado de dicha v,…</t>
  </si>
  <si>
    <t>B, S. S. J.</t>
  </si>
  <si>
    <t>S. S. J. B</t>
  </si>
  <si>
    <t>…arcido con tanta prodigalidad. y principalmente de los eclesiásticos desde el sigio xrv: traducidos al Al partir el dia 8 para el egército el Príncipe Regente de Ña castellano por D. S. S. J. B.; distribuidos en dos tomos. Esta obra no póles publicó dos proclamas al pueblo. El 9 no.se tenia en aquella ca necesita mas recomendación que el nombre de su autor, que ocupa un pital noticia aiguna de los egércltos que fuera poco favorable: el espíritu lugar…</t>
  </si>
  <si>
    <t>B-omsro</t>
  </si>
  <si>
    <t>…ompleta tranquilidad; ha visto la solemnidad y , Provincia Je Gubuzeoa. orden con que se han celebrado las elecciones parroquiales; se lisonjeaSe leyó la siguiente proposición del Sr. B-omsro ( D._ Josef ), la de que no se harán impunemente tentativas para trastornar el orden cual no se admitió á discusión: » Pido á las-Cortes que antes.que se tra público; está en fin persuadido de la impotencia y descrédito de los te i.t parte relativa á Guipúzco…</t>
  </si>
  <si>
    <t>Ba</t>
  </si>
  <si>
    <t>…la comisión con otras dos relativas al Ea gaceta del sábado contiene las siguientes noticias oficiales remi mismo objeto. " tidas por sir Hudson Lovré, gobernador de Sta. Elena, á lord Ba— En otra sesión posterior se trató entre otras cosas de auxiliar al doc thurst, con fecha de 6 de Mayo de 1821: tor W. Siebers de Praga , por medio de una suscripción, para que pudie «Milord: es obligación mía anunciar á V. S. qne Napoleón Bonase publicar su…</t>
  </si>
  <si>
    <t>…sables para el egército mejor que otro que no las co bién la de movimiento ; por cuya razón , y no debiendo las Cortes fijar nozca. ¡Qué sucedió en España en la última campaña? El general Ba la capital en un punto únicamente porque hubiese estado allí anteriorllesteros cuando mandaba el egército era capitán general de Andalu an.nte , creia que reuniendo Alicante mas ventajas que Vafcncia, debían cía al mismo tiempo; y esto lo considero tanto mas…</t>
  </si>
  <si>
    <t>Ba, Josef</t>
  </si>
  <si>
    <t>Josef Ba</t>
  </si>
  <si>
    <t>…fectos. Con motivo da ser Cabarcas , Palarea y Gil de Linares. los principales síntomas de aquella unos vómitos ó emanaciones por Se mandaron pasar á la comisión de Poderes los de D. Josef Ba raceas de color de café tostado, por boca, narices, ojos y oidos , con la silio Guerra , diputado por Yucatán. sangre negra cuajada en las visceras, sin serosidad alguna, y cuya ter Se concedió permiso á D. Domingo Sánchez Presa y á D. Juan minación se presen…</t>
  </si>
  <si>
    <t>Ba-</t>
  </si>
  <si>
    <t>…egítimas y con un objeto Provincia de Pontevedra. conocido ; podrá haber otras que se den á quienes no tengan responsa El Sr. presidente manifestó que había unas proposiciones del Sr. Ba- bilidad alguna, ni otro encargo que el que ellos se quieren tomar. hamonde, y que se podrían letrr antes de entrar en la discusión. Se leyeron dichas proposiciones, que estaban reducidas á pedir que ARTICULO DE OFICIO. volviera esta parte del dictamen de la c…</t>
  </si>
  <si>
    <t>Ba-, Joaquín</t>
  </si>
  <si>
    <t>Joaquín Ba-</t>
  </si>
  <si>
    <t>…ellc á D. Francisco María Ortiz: para el de Carvajales á torrente del espíritu general, ei cual arrastra á los mismos hombres pa D. Alejandro Cilleruelo : para el de Viilalpando á D. Joaquín Ba- ra que se realice el deseo que toaos, tienen de un Gobierno regular y hamonde. acomodado alas circunstancias de las naciones. F.sta tendencia general Igualmente en la provincia de Jaén para el partido de Baeza á Don es la que explica la facilidad con que ¡os…</t>
  </si>
  <si>
    <t>Ba-, N.</t>
  </si>
  <si>
    <t>N. Ba-</t>
  </si>
  <si>
    <t>…ñor diputado que se contasen los señores que da ley. - habia en el salón, y no habiendo número suficiente se suspendió esta El de la especial de Hacienda acerca de la solicitud de D. N. Ba- discusión , y se levantó la sesión á las doce. hamonde, en la que pedia que eti virtud de sus servicios, nada comu Sesión ordinaria del eje nes, se le recomendase al Gobierno, i fin de que le conceda un.destino Se leyó y aprobó el acta del día anterior.</t>
  </si>
  <si>
    <t>Bacía</t>
  </si>
  <si>
    <t>…estras propiedades y vuestro honor, y Habiéndose tratado sobre la queja dada en.la sesión anterior por el cediendo á las instancias del ¡Gobierno ,,y á los deseos de los fieles ha Sr. Bacía deque se,abrían las carras, dijo el Sr, Braancamp que no bitantes de esta heroica capital, me decidí al sacrificio de mi salud, y siendo las cartas de Portugal , no podia saberse si era en este reino ó aun ai de mi existencia, permaneciendo entre vosotros par…</t>
  </si>
  <si>
    <t>Badostain, Juan</t>
  </si>
  <si>
    <t>Juan Badostain</t>
  </si>
  <si>
    <t>…al pernumerario de Toledo Blas Pola.=El sargento mayor de la cinda trono constitucional de las virtudes de todo», serán el mas firme apo dela Carlos Camón.—El capitán graduado de coronel Juan Badostain. yo en que descanse con seguridad, y formarán al mismo tiempo una —El director de ingenieros Josef de Santa Cruz.=El teniente agregado fuerza irresistible, á. cuya presencia se deshará como la cera delante del al estado mayor Pedro de Gastelu.e=El ayudante pr…</t>
  </si>
  <si>
    <t>Baera</t>
  </si>
  <si>
    <t>Gaceta del Gobierno n.º 56</t>
  </si>
  <si>
    <t>…, lo mismo debía limitarse la de escribir en mate del pueblo ingles; y por mas que hayan dicho, por mas rias de religión. que hayan hecho los radicales auxiliados por los Wihgs El Sr. Baera rebatió esta opinión, diciendo que hasta para extraviar y exasperar la opinión , declaro que no temo ahora la nación no se había ilustrado porque no habia te el juicio definitivo de la unción. nido medios para ello, y que si no se decretaba la libertad Mr. Br…</t>
  </si>
  <si>
    <t>…en cuanto á las dos Cámaras dijo que las creia necesarias, aunque no se atrevía á determinar su oreanizacion. labiemente las propiedades y las personas de sus muy amados súbdi El Sr. Baera demostró que .supuestos los tres poderes, legislativo, tos, y de todos los e.xtrangerós que gozan de la hospitalidad en sus pa egecutivo y judicial , hallaba élun ctrarto poder, que intitulaba poder cíficos Estados; y que pues.es preciso el paso de estas trop…</t>
  </si>
  <si>
    <t>Baeta</t>
  </si>
  <si>
    <t>…Capuchinos y Carmen descalzo ; pero atendiendo á que debían considerarse nuias ias sentencias pronunciadas que el primero de estos tiene 19 religiosos y el segun contra ellos. El Sr. Baeta hizo ver la antigüedad de las am do 22, y á lo que manifiestan el R. obispo de esta dióce nistías con los cgemplos de los griegos y los romanos, y sis y el Gefe político , subsistan por ahora , hasta que verifi concluyó diciendo que deseaba fuesen todos admit…</t>
  </si>
  <si>
    <t>…ertenece pri pruebas; que se probasen los crímenes, para Jo que había vativamente á las Cortes. sobradas razones en los papeles públicos de toda Europa; Concluida esta lectura, el Sr. Baeta propuso que se die en ¡os cuales se afirmaba que se habían reunido en París y ran gracias á la comisión por la prontitud con que ha bia enviado un sugeto á Laibach, en donde se trataba sin duda formado las hases de la Constitución. ' de coartar la libertad de…</t>
  </si>
  <si>
    <t>Gaceta del Gobierno n.º 58</t>
  </si>
  <si>
    <t>…etición; pero se apro los Soberanos de Italia, con el objeto de establecer un sis bó el artículo como estaba. tema uniforme de Gobierno en aquellos países , bajo la di Entonces el Sr. Baeta hizo una proposición, y la pre rección y protección de S. M. el Emperador de Austria. sentó por escrito; la cual se reducía á que todo ciudadano Asimismo escribian de Milán, con referencia á una cartz pudiese representar á las Cortes sobre los abusos que nota…</t>
  </si>
  <si>
    <t>Gaceta del Gobierno n.º 61</t>
  </si>
  <si>
    <t>284</t>
  </si>
  <si>
    <t>…mente que á su regreso, las demos puestas por el Sr. Margiochi. traciones del amor y respeto que profesa este heroico pueblo á su Real Se empezó la discusión de la proposición del Sr. Baeta como adi Persona. ción á las bases de la Constitución sobre el derecho de petición, la. CORTES. cual se acordó se discutiera por artículos; y en su consecuencia se apro bó el 1. ’ con alguna pequeña enmienda, y fueron desechados los artí Sesión del i.° de Mar…</t>
  </si>
  <si>
    <t>…e Ja tribuna. pero que no propusiese Jas leyes por sí; sino por sus ministres; en lo Gritos á la derecha: ya era tiempo de hacerlo.).El, general Demarzay ; que convino en parte el Sr. Baeta,-diciendo que podían hacerlo los ,,Si yo fuese enemigo del Gobierno, de la Constitución, del .Rey y ministros por medio de. uno dé los representantespues que estaba mas del trono, me bañaría en agua rosada al ver lo que pasa todos ios dias á sus alcances el c…</t>
  </si>
  <si>
    <t>…piadosos, manifestando su decadencia, la necesidad de el centro: sí, sí, á la izquierda, éá verdad.) Yo no digo que efectiva escuelas en todas Jas feligresías &amp;c. &amp;c.; y opinó el Sr. Baeta que sé. mente tengáis miedo, sino que no debeis dar lugar á que se crea que lo declarase que debian establecerse casas de beneficencia, dejando para teneis. (Nuevas exclamaciones á la derecha y al centro: larga interrup la Constitución su forma v cualidades;…</t>
  </si>
  <si>
    <t>…on á las estas fueron las palabras que pronunciaron. Todos los corazones se lle respectivas comisiones. naron de esperanzas; el júbilo fue universal, y la Francia fue feliz; pe El Sr. Baeta hizo una proposición dividida en tres artículos,.y re ro esta felicidad se ha desvanecido, porque nos hemos desviado de la ducida á que el Congreso nombrase una comisión para que examinase senda señalada por el pacto social; y si proseguimos descaminándonos l…</t>
  </si>
  <si>
    <t>…mi blan , de la misma manera que se procura saber en el teatro quiénes siones de Salud pública y Hacienda. son los actores que representan, y el público no viene sino cuando es El Sr. Baeta presentó un proyecto para arreglar provisionalmente pera que ha de haber tumulto y escándalo. el sistema administrativo de Portugal, y para la división de su territo Si la pintura qu:siera representar el santuario de la legislación, de rio , comprehensivo de…</t>
  </si>
  <si>
    <t>Báeta</t>
  </si>
  <si>
    <t>…dar, el pués de alguna interrupción prosiguió su discurso con el mismo calor, ministro no lo hubiera hecho. enumerando todas las extorsiones y tiranías del antiguo régimen. ’ ' El Sr. Báeta, insistiendo en que se averiguase si había en el ramo los serviles se vengaron déla generosa franqueza con qúehabló, ne “dé correos algún individuo que hubiese cometido tal atentado , convino gando ¡a impresión á su discurso, é insultándole vilmente , como 10…</t>
  </si>
  <si>
    <t>Gaceta de Madrid n.º 196</t>
  </si>
  <si>
    <t>…Lisboa 'yo de Jimio—Sesión del 28. sables de la legitimidad de estos pagos las oficinas por donde se verifi quen, y deque los recibos se han de pasar como dinero efectivo y les El Sr. Baeta hizo una.proposición dirigida á que ningún diputado pagadores de egército para que los incluyan en su cuenta. Art. ñ ° El pudiese calificar de temerario ó arriesgado cualquier proyecto de otro pagador no hará ningún pago sino en virtud de recibo formal , en q…</t>
  </si>
  <si>
    <t>Gaceta de Madrid n.º 289</t>
  </si>
  <si>
    <t>…s del Alto Garona y de los Bajos Pirineos Gobierno nombre el gobernador, y lo haga salir á la mayor brevedad. designarán cada uno en su departamento un solo camino, por el cual El Sr. Baeta expuso que sabia haberse nombrado gobernador de aque se permitirá pasar á los que procedan de España, quedando prohibidas lla provincia á un oficial general, que no habia querido admitir aquel todas las demás comunicaciones por las fronteras de tierra de esto…</t>
  </si>
  <si>
    <t>Baeza, Joaquín</t>
  </si>
  <si>
    <t>Joaquín Baeza</t>
  </si>
  <si>
    <t>…ado ál oficial primero dé-da-mistíu Di Joaquín de Anduaga; el de operaciones de ios individuos que fuesen nombrados; y si no convila Gobernación de la Península al gefe de sección D. Joaquín Baeza; mese, ¿qué ministerio podría sostenerse contra la opinión de un cuerpo el de la de Ultramar á D. Antonio de;Gilleman5 él de la de-Gracia y legislativo tan claramente manifestada? Justicia al gefe de sección D. Manuel Encina, y él de la de Hacienda Por otra p…</t>
  </si>
  <si>
    <t>Bagigas, Estanislao</t>
  </si>
  <si>
    <t>Estanislao Bagigas</t>
  </si>
  <si>
    <t>…circule. = Rubricado de la Real mano. = En el Reai sitio de S. Lo ros y g octavos labrantíos, en venta 237 rs—En id., sitio de las renzo dvl Escorial á 4 de Noviembre de 1821.= A D. Estanislao Bagigas, 2 carros y 2 octavos de prado, en venta 90 rs__ En id., ó Salvador.” cetros y 5 octavos de prado, en venta 265 rs__ En id., un carro y 7 i.° » Don Fernando vtt por la gracia de Dios y por la Constitución octavos de id., en venta 75 rs—En id., sitio de Vallad…</t>
  </si>
  <si>
    <t>Bahamond</t>
  </si>
  <si>
    <t>…putado secretario.??. Por:tanto mandamos a to iq,iíéifueseisiempre se oponía por considerarla odiosa. dos los tribunales, justicias, gefes,.-gobernadores:y demás autoridades, ■ El Sr. Bahamond; pidió que re leyeran- los arts.- 49, go y 51 del asi civiles como militares y eclesiásticas , de cualquiera clase y- digni reglamento, que tratan de- los diputados; yen seguida dijo: Yo quisiera dad, que guarden y-hagan guardar; cumplir y egecutar el présent…</t>
  </si>
  <si>
    <t>Bahamondc</t>
  </si>
  <si>
    <t>| Provincia de Galicia„ de las provincias, no pueden ofrecer esta ventaja ; y contrayéndome I TI Sr. Bahamondc dijo: Las Cortes no pueden dudar que la rivalí- i la Coruña diré, que ademas del inconveniente de ser puerto , tiene dad de opiniones y de intereses produce disgustos y desazones con mas el de plaza fuerte, en donde no es libre ¡a entrada y salida á íoda hora…</t>
  </si>
  <si>
    <t>Bahamondc, Manuel</t>
  </si>
  <si>
    <t>Manuel Bahamondc</t>
  </si>
  <si>
    <t>…el pago de 200 rs- , que se mandó pasar, al Gobierno, y hasta aho diezmaban, y que la mitad de estos diezmos se aplicaría al clero, pro ra no habia visto ningún efecto; y otra de D. Manuel Bahamondc y siguió el Sr. Cepero: resulta pues que la mirad de los diezmos laicales Sánchez, solicitando dispensa de edad para egercer la farmacia. se aplican á la dotación del clero. 10 doy gracias por mi parte por esta Tas Cortes quedaron enteradas, y mandaron repart…</t>
  </si>
  <si>
    <t>Bahamonde</t>
  </si>
  <si>
    <t>…tener en su favor todas las ventajas del terreno. La columna perjudicar á aquellos que disfrutasen prestaciones que fuesen legítimas. del centro se retiró sobre Civita-Ducale. El Sr. Bahamonde dijo que las consecuencias que resultaban de no „E1 enemigo abandonó d las 10 esta ciudad despees de haberla sa escuchar el eco de la razón, el grito de la opinión general y de la con queado. Inmediatamente entró en ella nuestra vanguardia , y nuestros venien…</t>
  </si>
  <si>
    <t>…n verdadero derecho de mos individuos emigren y vayan á buscar fortuna á paises en que se propiedad. pelee por I-a libertad. Se sabia en Viena que en la Valaquia , Moldavia Que el Sr. Bahamonde habia hecho el argumento de que las Cortes y Bulgaria se enganchaba mucha gente , y se pagaba bien el enganche. extraordinarias habian abolido el voto de Santiago; sobre lo cual de Muchos turcos se habian refugiado á los lazaretos austríacos, huyendo bia mani…</t>
  </si>
  <si>
    <t>…z á D. Bartolomé Fernandez: para Miranda titucionales la orden que fija el contingente de su pueblo ó distrito. de Ebro á D. Domingo de San. Martin: para Sto. Domingo de la Cal El Sr. Bahamonde manifestó que parecia se oponía á la Constitu zada á D. Félix María Manso de Velasco: para Sedaño á D. Gabriel ción el que se enviase la orden de repartimiento á los alcaldes consti Gutiérrez; y para Villarcayo á D. Pablo Arispe. tucionales, puesto que á los…</t>
  </si>
  <si>
    <t>…asi deja al propietario sin capital, y porque cuesta bían subsistir según la planta aprobada en el año .813. mas pagarla que la del registro, que no se conoce, y la de consumos El Sr. Bahamonde se opuso á este dictamen por el conocido ahorro que no se percibe. Sé dice que se ha hecho una rebaja del diezmo, y de sueldos que resultaría de haber cuatro partidos menos en aquellas que de este modo ya se puede pagar la contribución que se propone. provinc…</t>
  </si>
  <si>
    <t>…dad en sus comunicaciones? Muchos de los Sus habitantes la redaman con razón. pueblos de que se trata tienen que acudir á los mercados de Brihuega • En cuanto á lo que ha dicho el Sr. Bahamonde respecto de partidos, para poder ganar su subsistencia; y esta es una de las razones que fa conozco muy bien el carácter de mis paisanos; no será como supone vorecen también á esta población. Los ¡ .íeblos conocen sus intereses, S. S., y si de alguna cosa pue…</t>
  </si>
  <si>
    <t>…capital de la provincia que últimamente ha aprobado á la ciudad de cesita una capital, mientras que en Vigo (si se accediese i lo propuesto Pontevedra , se señale á Vigo.” por el Sr. Bahamonde) tendrían que recurrir á cuatro ó seis comer El Sr. presidente levantó la sesión á las tres. ciantes para que cediesen sus escritorios. Pontevedra reúne todas las ventajas de un pais meridional; allí hay __Los periódicos extranjeros habían anunciado dias há l…</t>
  </si>
  <si>
    <t>…igo de procedimientos cri vacion; Bn-a del corriente-al contestar al Exento, ayuntamiento y junta minales. ’ municipal. jil:ensanche que.pédian del cordori, manifestó latamente El Sr. Bahamonde propuso la siguiente adición al artículo adicio las razones qué la: ponían ten: la amarga situación de rió acceder á él, nal presentado por la comisioq de División del territorio en la sesión demostrando-que. ni los derechos de otros pueblos sanos, y que habí…</t>
  </si>
  <si>
    <t>…scusión se aprobó hasta las palabras 5 por Admitida á discusión , se mandó pasar á la misma la siguiente adi 100 inclusive , v la comisión retiró lo restante. ción al art. 7.0 del Sr. Bahamonde, que decía asi : - Que se permuta la Art. 3-u ” Que luego que los precios de los efectos de que tratan entrada de hilaza extranjera en Galicia libre de derechos por ahora, los dos artículos precedentes baien de los limites expresados , se de al hasta que se g…</t>
  </si>
  <si>
    <t>…, 2 carros y 2 «ienda la siguiente proposición del Sr. Alvarez Sotomayor: » Pido que octavos de prado , en venta 123 rs—En id,, un carro y 7 octavos la la adición propuesta por el Sr. Bahamonde para la introducción de hi brantíos , en venta 144 rs_En id., un carro y 7'octavos de prado, en laza extrangera sin derechos en Galicia sea general para toda la venta 1 23 rs__ En id., 4 carros de prado labrantíos, en venta 264 Península.” rs__En id., 9 carro…</t>
  </si>
  <si>
    <t>…iera despreciado tanto los manejos tan públicos como reales, pagando solo el 2 por loo de administración.” insolentes de que se han valido los promotores de tales representacio El Sr. Bahamonde dijo que la valuación establecida en el art. 7.° nes , que habrán escandalizado á la Europa civilizada', no solo por el estaba muy distante del verdadero valor del lino en la provincia dé lenguage en que están concebidas , sino también por las doctrinas qus G…</t>
  </si>
  <si>
    <t>…o me pare Se aprobó el 6.a sin discusión , y se leyó en seguida el 7“ cen necesarias , por la misma razón que ha indicado el Sr. Paul. El Sr. Novoa dijo que era muy extraño que.el Sr. Bahamonde se El Sr. Rodríguez de Ledestna: Voy á hacer una observación reshubiese opuesto á este artículo, sabiendo que era tan análogo á losinte- .pecto de este artículo sin que me oponga á él. Me parece que no esjeses de su provincia, porque la riqueza del país era s…</t>
  </si>
  <si>
    <t>Bahaterminación</t>
  </si>
  <si>
    <t>…ciudad ningún sugeto que deba pagar la contri señalado la dotación que debe gozar. En cuya consecuencia espera la de bución que acordaron las Cortes á beneficio de la milicia. EL Sr. Bahaterminación de las Cortes. monde dijo que no debía admitirse dicha representación á no venir por EL secretario del mismo Despacho remitió (a propuesta para el in conducto de la diputación provincial; y después de una discusión en dividuo que falta en la junta nacional de…</t>
  </si>
  <si>
    <t>Bahatnonde</t>
  </si>
  <si>
    <t>…tevedra. Aprobada. terponer su juicio y fallar definitivamente. Por lo mismo d.go que Su carita! Pontevedra. mientras estos trabajos no hayan pasado por el examen de la contadu El Sr. Bahatnonde se opuso i que la capital de esta provincia fuese ría mayor, no puede presentarse á las Cortes para su aprobación , y de Pontevedra, y pidió se aprobase en su lugar á Vigo por su mayor cen consiguiente opino que no estamos en el caso de votar sobre el dicta t…</t>
  </si>
  <si>
    <t>Bahi, Juan Francisco</t>
  </si>
  <si>
    <t>Juan Francisco Bahi</t>
  </si>
  <si>
    <t>…sición del juez de primera instancia de Nerja, y hoy te mes, su socio director de botánica y agricultura el cate dia á la del Excmo. Sr. espitan general de Granada, y fue. drático D. Juan Francisco Bahi, médico honorario de Cá herido en la mejilla derecha por haberse resistido al alcalde mara de S. M., leyó una memoria sobre el cultivo de va constitucional de Algarrobo, que le perseguía con su gente. rias plantas exóticas é indígenas, útiles para el fomento…</t>
  </si>
  <si>
    <t>…eto á las autoridades , paz Leída y aprobada el acta de la sesión anterior, se d¡ó cuenta de una y tranquilidad pública, tienen el honor de patentizar ante V. M., ha exposición de D. Juan Francisco Bahi, profesor de medicina en Barce ciéndole presente en cumplimiento de su deber y obsequio de su deli lona, acompañando varios egemplares de una memoria que ha publica cadeza, que directa ni indirectamente han tenido parte en las ocurren do relativa á la fiebre…</t>
  </si>
  <si>
    <t>Bahía, Arzobispo de</t>
  </si>
  <si>
    <t>Arzobispo de Bahía</t>
  </si>
  <si>
    <t>Gaceta del Gobierno n.º 35</t>
  </si>
  <si>
    <t>…nes de este empréstito ganan dia tes. Ocupaba interinamente el lugar del presidente elegido riamente. Ei omnium ha subido un ¿ por ioo en el último en el día 24 el Exento, y Rían. Sr. Arzobispo de Bahía, día de bolsa» pues desde 70 \ ha llegado á 71, y todo hace y el de secretario el señor diputado Filgueiras. Sentados creer que continuará progresivamente adquiriendo crédito todos, é impuesto silencio, el limo, y Excmo Sr. conde de un papel que presenta tant…</t>
  </si>
  <si>
    <t>Baiaron, Josef</t>
  </si>
  <si>
    <t>Josef Baiaron</t>
  </si>
  <si>
    <t>…referida comisión de Hacienda lo que expuso la Junta debían componer parte de las bases ó dejarlos para la Constitución , fue nacional del Crédito público ace ca déla solicitud de D. Josef Baiaron desechados todos menos el segundo, que trata de la dotación del pu-er y D. Jaime N. , beneficiados de herida , que piden se les rebaje el 1\ev y la familia RcaJ, pago de las anualidades de sus beneficios.</t>
  </si>
  <si>
    <t>Baile, Alejandro</t>
  </si>
  <si>
    <t>Alejandro Baile</t>
  </si>
  <si>
    <t>…el curso conve El ayuntamiento de Santander. ■ D. Josef María Vidarte, de Pam niente; asi se aprobó, y se levantó la sesión á las 12 del día. Aldana y Espalza , de Bilbao. plona. D. Alejandro Baile , de Lisboa. D. Josef Pantaleon de Aguirre, de NOTICIAS DE ESPAÑA. D. Andrés García del Hoyo, de Bilbao. Bilbao. D. Josef Ruet y la Torre, id. Sevilla 4 de Agosto. D. Angel Martínez, id. D. Josef Perez Marañon, de San D. Anselmo Elguizabal, id. tander. (Conti…</t>
  </si>
  <si>
    <t>Baillie</t>
  </si>
  <si>
    <t>…ecera tantos médicos-de una vez. Esta circuns tancia pareció una prueba segura de que ya no había un. peligro inmi JSndres 8 de Agosto. nente. A las dos y media llegó á palacio ei doctor Baillie, á quien se A las once y media se publicó anoche el siguiente boletin: » S. M. había enviado á buscar á Dunsboin , distante 90 millas.;de: Londres: ha muerto á las diez y veinte y cinco minutos de esta noche. B.uiiie, conferenció un momento con el doctor Ains…</t>
  </si>
  <si>
    <t>Baillo, Josef</t>
  </si>
  <si>
    <t>Josef Baillo</t>
  </si>
  <si>
    <t>ra alguna de dichas personas Reales * en el entre tanto se le D. Josef Baillo, D. Hilario Berso!, D. Pedro Mata y Don presentasen los artículos de la Constitución española , que Josef Chtcutnberri-cuñadería , cabo segundo ij. Pedro Gar citó, y que en todos los actos públicos y diplomas se aña cía Obeso: milicianos D. Máximo Bares. D. M…</t>
  </si>
  <si>
    <t>Balanzat, Ignacio</t>
  </si>
  <si>
    <t>Ignacio Balanzat</t>
  </si>
  <si>
    <t>…sta despacho, habia tenido á bien nombrar interinamente á D. Joaquin miento general- queden exentos del servicio personal contribuyan, con de Anduaga para la secretaría de Estado; D. Ignacio Balanzat para la los cinco reales mensuales que prescribe eL art. 73; y que se amplíe eL de Guerra, y D. Manuel Encina para la de Gracia y Justicia. art. 78, pudiendo disponer de los fondos para la compra de armas por Se pasó á la comisión de Hacienda un expediente re…</t>
  </si>
  <si>
    <t>…a calle, núm. 2, en 14,155 rs. encargados de ellos; D. Joaquín -Anduaga el de Estado ¡ D. Manuel Otra en la propia calle, núm. 3 , en 17,611 rs. Encina el de Gracia y Justicia, ;y D. Ignacio Balanzat el de la Guerra. Otra núm. 17, calle de las Lumbreras, en 9230 rs. Tendreislo entendido, y lo comunicareis á quien corresponda. = Pala Otra núm. 18, en la mismacalle, en 14,565 rs. cio 4 de Marzo de 1821.=Está rubricado de la Real mano.” Otra núm.. 13 , calle…</t>
  </si>
  <si>
    <t>…están mandados por el cientes á este ministerio; volviendo á encargarse de la inspección gene príncipe de Torella Caraciolo , el príncipe de Colonna, el duque de ral de infantería D. Ignacio Balanzat. Carignano y el caballero Caraciolo, hermano del duque de RoccaRomana, que manda la caballería del egército. Los regimientos de ca Numero 47. ballería están mandados por el príncipe de Carignano y el duque Casoli d’Aquino. Relación de Jincas que se están suba…</t>
  </si>
  <si>
    <t>Balanzat-', Ignacio</t>
  </si>
  <si>
    <t>Ignacio Balanzat-'</t>
  </si>
  <si>
    <t>…a Constitución. Ademas, seria compro nombraba quien las sirviera «impropiedad , -el despacho de la de Guer meterse el señalar personas, porque sí el Rey conviniese con la pro ra á D. Ignacio Balanzat-', inspector interino de' infantería; el de la de puesta, cargarían las Cortes con la odiosidad que pudieran producir las Estado ál oficial primero dé-da-mistíu Di Joaquín de Anduaga; el de operaciones de ios individuos que fuesen nombrados; y si no convila Gob…</t>
  </si>
  <si>
    <t>BaldiSe, Pedro</t>
  </si>
  <si>
    <t>Pedro BaldiSe</t>
  </si>
  <si>
    <t>…n este intervalo se discutirían varios asuntos Santiago Torres. id.: D. Manuel Baricher, id.' D. Juan Antonio Cres pendientes. po, id.: D. Luis Cea, id.: D. Francisco Ibañez, id.: D. Pedro BaldiSe continuó Ja discusión del art. 6° del proyecto sobre dotación vieso, ayudante: D. Antonio Valverde, id.: D. Rafael Correa, Ídem: del clero, que dice asi: » Las pensiones ó cargas impuestas sobre cual D. Eugenio Laude, sargento i.°, y D. Melchor Fernandez /sar…</t>
  </si>
  <si>
    <t>Ballano, Antonio</t>
  </si>
  <si>
    <t>Antonio Ballano</t>
  </si>
  <si>
    <t>…l debido conocimiento. glos, es la verdadera norma, y al mismo tiempo el timbre Suplemento al Diccionario de medicina y cirugía del profemas esclarecido de nuestra literatura. lor D. Antonio Ballano, por los Dres. D. Celedonio Martínez - Mas ya se sabe que en la historia literaria de toda na Caballero y D. Manuel Hurtado de Mendoza. Esta obra, cuya ne ción la poesía se aparece siempre en la cumbre, como fa cesidad absoluta y general conoció el autor mism…</t>
  </si>
  <si>
    <t>Ballester, Francisco</t>
  </si>
  <si>
    <t>Francisco Ballester</t>
  </si>
  <si>
    <t>…ado, y mandaron pasar á las comisio-, gaciones. n«s de Instrucción pública y Guerra, unos egemplares remitidos por El Sr. conde de Toreno apoyó el dictamen de la comisión , y mani D. Francisco Ballester, capitán graduado de teniente coronel, de una festó lo necesario y útil que era aprobarle, pues de lo contrario peli obrita que ha publicado con título de Estudios elementales y prácticos graban el honor y reputación de la Nación. de dibujo, y de otra de Táct…</t>
  </si>
  <si>
    <t>Ballester, Gaspar</t>
  </si>
  <si>
    <t>Gaspar Ballester</t>
  </si>
  <si>
    <t>…haber apro en la que pide se le devuelvan los libros de que se apoderó la extingui bado ya las Cortes el establecimiento de universidades de tercera ense da inquisición; y otra de D. Gaspar Ballester, director del cuerpo de ñanza en las ciudades dé Salamanca, Valladolid y Oviedo; y después miestrantes de Ronda, incluyendo una memoria, en la que hacia varias de una corta discusión se declaró no haber lugar á votar. observaciones acerca de las mejoras y ens…</t>
  </si>
  <si>
    <t>Ballesteros</t>
  </si>
  <si>
    <t>…nto tesón , que habiendo perdido los francese» 14© hombres en ia toma de aquel baluarte donde se hizo inmortal el En la circular de 22 de Agosto, inserta en la gaceta núm. 244 del Sr. Ballesteros , nunca pudieron dominarle como todos sabemos. lunes 27 del mismo , se hace relación de las acciones brillantes del al No se abatió el ánimo de la viuda de Romero con tantas desgra calde de Montellano D. Josef Romero, y de las que inseríamos aquí cias, y sabú…</t>
  </si>
  <si>
    <t>Ballesteros, Manuel</t>
  </si>
  <si>
    <t>Manuel Ballesteros</t>
  </si>
  <si>
    <t>…la músjea y de t 2 hachas de vien &gt;, Para evitar dudas y encuentros entre los empleados de la Hacienda pública y las autoridades constituidas en roda to fue á apearse á la casa de D. Manuel Ballesteros, y allí fueron á cumplimentarle varías corporaciones, inclusa la de la extensión de la E*pa &gt;a ultramarina, haciendo que aque llos-desempeñen la- funciones propias de sus destinos con el ios estudiantes gramáticos. Al siguiente diu y hora de las 10 v media de…</t>
  </si>
  <si>
    <t>Ballesteros, Pedro Josef</t>
  </si>
  <si>
    <t>Pedro Josef Ballesteros</t>
  </si>
  <si>
    <t>…y esto era propio y exclusivo de las Cortes, y A la comisión de Hacienda se pasó el expediente promovido por debía pasar á una comisión para que informase si se estaba en el caso D. Pedro Josef Ballesteros , intendente honorario de egército, y conta de aumentárseles; y la otra parte á quejarse de que se Ies habia señala dor mayor de cuentas de Buenos-A ¡res, relativo al sueldo que se le ha do el término de 48 horas para decidir sobre su suerte , cuyo paso le de…</t>
  </si>
  <si>
    <t>Ballesteros, Pedro Vázquez</t>
  </si>
  <si>
    <t>Pedro Vázquez Ballesteros</t>
  </si>
  <si>
    <t>…D. Jo librería de Hurtado. sef Rodríguez Biedma y D. Felipe Baraibar: en la de Aragón á Don - Exposición presentada á las Cortes por los diputados de Ultramar Julián de Iturralde, D. Pedro Vázquez Ballesteros y D. Santiago Bal en la sesión de 25 de Junio de 1821 sobre el estado actual de Jas pro tasar de Aguirre: en la de Valencia á D. Josef de Cartagena, D. Dal- vincias de que son representantes, y medios convenientes para su de inacio Alpuente y D. Miguel Antonio Rodrigo: en la d…</t>
  </si>
  <si>
    <t>Ballot, Josef Pablo</t>
  </si>
  <si>
    <t>Josef Pablo Ballot</t>
  </si>
  <si>
    <t>…es que la Constitución dalucía; y tres egemplares de un plan de educación pública"que ofrece' concedía á lo's Reyes l'a dé conceder el pase ó retener los decretos con á las Cortes D. Josef Pablo Ballot, y presentó el Sr. Janer , diputado ciliares y bulas pontificias, con el consentimiento de las Cortes si con por Cataluña. ----------------- ....... _ ...y-."..; ¡ tienen-disposiciones generales; Ia.dificultad_está, dijo, en si las bulas A la de Hacienda é In…</t>
  </si>
  <si>
    <t>Balseira, Aíiguel</t>
  </si>
  <si>
    <t>Aíiguel Balseira</t>
  </si>
  <si>
    <t>…la Quintana. á recibir pliegos del cónsul francés D. Juan Bolado. D. Matilde Vincenti de Castro. La Rusia, Austria y Prusia parecen irsé preparando para grandes - D. Juan Ferrar. D. Aíiguel Balseira. acontecimientos: la apatía dé la Prusia se convierte en vigilancia, y po D. Juan Luque. Dona Teresa, Doña Josefa y ne en movimiento alguiias tropas. De la Rusia ya se decía haber entra D. Justo Josef de Binqueri. Doña Tomasa Ravasa. do efectivamente sus trop…</t>
  </si>
  <si>
    <t>Balta</t>
  </si>
  <si>
    <t>…Nueva España, manifestando los medios que él mismo y nada. demas autoridades hayan tomado para facilitar la venida de dichos A la comisión ordinaria de Hacienda una exposición ¿e D. Balta diputados.” sar Carrillo, ganadero trashumante, sobre rebaja de derechos en los Su autor manifestó los motivos que le inducían á hacer esta indica ganados. ción, el modo indirecto con que se procuraba que no estuviesen en el ■ Se dió cuenta de una exposición…</t>
  </si>
  <si>
    <t>BaltanásierEi</t>
  </si>
  <si>
    <t>…ndante de la primera compañía dé milicia nacional volun ciano voluntario de la primeva cómpañía^oTeniente de León Cristóbal taria.—Silvestre Mondeli, sargento mayor de la plaza—El comandante BaltanásierEi capitán subten i rite del mismo Agustín Ramirezz^ñibteniente del mismo Francisco .acarrera."Ten¡ente de Barbastro.Miguel de artillería Hipólito del Corral—El comandante ‘supernumerario y en Lopez.rieEl subteniente de ai. íidores de Barbastro Luis María Móntés…</t>
  </si>
  <si>
    <t>Baltasar</t>
  </si>
  <si>
    <t>…e llos de ¡os de mayor aptitud , me dirigí á dicho pueblo, Arlspe á D. Máximo Parada.' adonde no fue posible avanzar en la citada, noche por la Ea el del Perú. Para la del Cuzco á D. Baltasar de mucha agua que llovía ; de manera que apenas con mucho Villalonea , ministro tesorero de aquellas cajas nacionales: trabajo nos permitió cruzar la sierra , y llegar á la venta para la de Tarma A D. Manuel del Burgo y Alvarez , con de Campeche como á las do…</t>
  </si>
  <si>
    <t>Bamba</t>
  </si>
  <si>
    <t>Gaceta del Gobierno n.º 38</t>
  </si>
  <si>
    <t>…emitan á la contaduría general de Consolidación notas las ciencias á las ciudades de Europa, donde mejor se cul razonadas y expresivas de cada una de las referidas funda tivan. El Sr. Bamba, que enseña la química, hombre de ciones , títulos y testimonios de posesión, autorizadas con mucho saber y de gran mérito , ha estado mucho tiempo la firma del gefe, para que sirvan de conocimiento en ella, y en París, asistiendo constantemente á las leccion…</t>
  </si>
  <si>
    <t>Bambas</t>
  </si>
  <si>
    <t>…ios cristianos son los mártires , y los tantes en esta última ciudad , y que tendrán por objeto los asuntos de judíos Los verdugos. la Grecia y la Turquía. Nos escribe de Hidra el profesor Bambas, con fecha de 21 de Se Las cartas particulares de Viena aseguran como de positivo que no tiembre, que las fuerzas navales de Hidra y Spezzia que volvieron 1 habrá guerra entre la Rusia y la Puerta, y que los amigos de la paz sus puertos para reparar sus averí…</t>
  </si>
  <si>
    <t>Bamber</t>
  </si>
  <si>
    <t>Gaceta de Madrid n.º 201</t>
  </si>
  <si>
    <t>…sublevaron á consecuencia de las mag __Se sabe por una carta de Smirna que tos turcos han echado de Chio níficas promesas de una potencia extrangera, que los abandonó después, al profesor Bamber , el cual habia establecido una escuela para 500 jó dejándolos á merced de los turcos, á quienes hubieron de someterse venes. También echaron de Smirna á los alumnos de Mr. W. Alian después de haber peleado con indecible valor. Puede ponerse en duda en número…</t>
  </si>
  <si>
    <t>Bambiey, Sierra</t>
  </si>
  <si>
    <t>Sierra Bambiey</t>
  </si>
  <si>
    <t>…lado, y troducción de ellos, tanto de América, como de los reinos extrangeros. no se ocasionarían tantos gastos. A Ja comisión de Poderes se mandaron pasar los presentados .por El Sr. Sierra Bambiey dijo: las Cortes han dicho que ha de haber D. Buenaventura Obvegon , diputado electo por la provincia de Guá- cinco direcciones. Esta es la base del artículo que trata 4e esto, y en el najuato. cual quedo por aprobar la quinta dirección que propuso la comisió…</t>
  </si>
  <si>
    <t>Bamma-, Genaro</t>
  </si>
  <si>
    <t>Genaro Bamma-</t>
  </si>
  <si>
    <t>…las Cortes no: debían permitir que si Candrían. El barón D. Genaro Ferrara. guieran estos abusos, sino cortarlos de raiz á la mayor brevedad; por El mariscal de campo D Edmon- El barón Don Genaro Bamma- lo cual, y no dependiendo, como se había dicho, este artículo de lo* do O’ Fanis. ' caro.' . , anteriores, debía aprobarse. El coronel D. MígueJ. Ángel Ro Secretario el abogado D. Do El Sr. López (j D. Marcial) dijo: Todos conocemos que con respec bería. ming…</t>
  </si>
  <si>
    <t>Bammacaro, Genaro</t>
  </si>
  <si>
    <t>Genaro Bammacaro</t>
  </si>
  <si>
    <t>…clamas del general en gefe de la liga sidente: el caballero D. Gregorio Letizia, presidente de la G. C. civil griega , de las cuales es la mas reciente laque sigue: de Ñapóles: el barón D. Genaro Bammacaro, juez de la G. C. civil » Valerosos griegos de la Moldavia y de la Valaquia. de Ñipólesy canciller del tribunal supremo de justicia: D. Cayetano « Después de tantos.siglos de desventuras el águila griega ha ex Tavasi, presidente del tribunal civil de Ñipóles:…</t>
  </si>
  <si>
    <t>Banet, Joséf</t>
  </si>
  <si>
    <t>Joséf Banet</t>
  </si>
  <si>
    <t>Gaceta de Madrid n.º 264</t>
  </si>
  <si>
    <t>…e h zumo de la uva, produciendo un mosto de calidad superior al que se industria; pueden procurar remediar sus desgracias ,’y venir á ser mas in. saca con las prensas ordinarias.__D. Joséf Banet, empleado en Viena, dustriosos de resultas de sus mismas calamidades. Pero el mal casi in también ha obtenido de S. M. I. un'privilegio para fabricar candelas curable es cuando la despoblación viene de antemano como efecto ds de sebo revestidas de cera, que v…</t>
  </si>
  <si>
    <t>Baños, López</t>
  </si>
  <si>
    <t>López Baños</t>
  </si>
  <si>
    <t>…s de la Nación dieron vivas con el mayor entusiasmo á la Nación, á la Constitución; portuguesa, antes dé proceder á formar su Constitución política, reco-r Rey constitucional y al general López Baños. Comieron juntps_ todos nocen y decretan como bases de ella los siguientes.principios, por ser los sargentos de milicia nacional voluntaria y de la Ley con los"d* los mas adecuados para asegurar ios derechos individuales del. .ciudada los cuerpos de la guarni…</t>
  </si>
  <si>
    <t>…de esta ciudad acometidos de calentura bi fonda inmediata á Ja Puerta de Tierra. liosa maligna, nueve de enfermedad dudosa, y cuatro convalecientes. Se hallo allí nuestro insigne general López Baños, y hasta bien en trada la noche se cantó, se arengó , se poetizó y se explayó el espíritu Barcelona 29 de Setiembre.. constitucional del numeroso concurso con el mayor orden, con la com postura mas decorosa, y con la confianza mas jovial y regocijada. Nues- S…</t>
  </si>
  <si>
    <t>Baños, Miguel López</t>
  </si>
  <si>
    <t>Miguel López Baños</t>
  </si>
  <si>
    <t>…n terrón , con su arpa al lado, y con los'ojos co Etpoz y Mina : para capitán general de Navarra al ma—1 clavados en la brecha.Tomó este inmediatamente su arpa, y riscal. de campo D. Miguel López Baños : para comandan cantó una canción amorosa , cuyas expresiones nó pudo du te general de la provincia de Tuy al .mariscal de ■ campo dar Clemencia que se dirigían á ella‘, y .arrimándose al D. Felipe Arco-A güero-, para gobernador de -Zamora al agujero, parecía…</t>
  </si>
  <si>
    <t>…en esta tribuna, desde donde hablamos á toda la i Pamplona lu de Marzo.' Francia, cuándo va á tratarse de'una materia de tanto Ínteres y grave El capitán general dé esta provincia D. Miguel López Baños hizo dad. No sé si el señor informante habrá hecho como yo estas pruden su entrada el día 9 del corriente entre cuatro y cinco de la tarde. El tes reflexiones antes de subir á este puesto; pero lo que sé es que no - regimiento de Toledo, el batallón de milici…</t>
  </si>
  <si>
    <t>…visor, y en la de legis también él capitán general de Guipúzcoa D. Gabriel de Mendizabal , y latura desde-juez de primera instancia ..todos inclusive , y antes de egeel de Navarra D. Miguel López Baños con algunas tropas, y que ademas cutar la suspensión, se dé cuenta á las Cortes para su aprobación. estaban llegando, otras de distintos-cuerpos. El segundo era relativo al ,,Los medios de averiguar estas calidades serán ¡ las diputaciones buen estado del esp…</t>
  </si>
  <si>
    <t>…c»tos título de Castilla que mas bien le pareciese: que á los mariscales de bienes después los podrían distribuir los interesados entre sus descen campo D. Felipe de Arco Agüero, D. Miguel López Baños, D. De dientes. . , metrio O-Daly y D. Carlos Espinosa, y aL brigadier Vázquez, se les Después de haber hecho el Sr. Ezpeleta algunas observaciones sobre concediese una renta de 401) rs. en los mismos términos que á los an que estos bienes no debian pasar á s…</t>
  </si>
  <si>
    <t>…gozare de fuero privilegiado la persona con Art. 3.0 » Que á los mariscales de campo D. Felipe Arco Agüero, tra quien deba procedeise, lo verificará del mismo modo su juez legíti D. Miguel López Baños, D. Defaetrio O-Dali y D. Carlos Espinosa mo, en vista de la certificación que se le presentará de lo resuello y se señaíe una renta anual perpetua de 40© rs.; y otra de 2oS) al briga convenido en el juicio de conciliación. 9.0 Toda persona demandada, dier D.…</t>
  </si>
  <si>
    <t>…a que nos llegaron ayer, demuestran cuánto se va de campo D. Antonio Quiroga , D. Rafael del Riego , D. Felipe de mejorando el espíritu público en toda la Península. Arco-Agüero , D. Miguel López Baños , D. Demetrio O-Daly y Don Los sabios decretos de las Cortes, y las disposiciones eficaces que Carlos Espinosa, y el brigadier D. Manuel Latre , con sus dignos com el Gobierno toma, producen los efectos mas favorables en todos los pañeros y demas personas que…</t>
  </si>
  <si>
    <t>…asilio Neira, hacendado. D. Sebastian Clemente blecido la tranquilidad pública. Moreno . abogado. Por Vatladolid. D. Evaristo Perez de Castro , ex-ministro de Es IRAN CIA. tado; y D. Miguel López Baños, mariscal de campo y comandante ge neral de la provincia de.......... Suplente. Parts 34 de Noviembre. Por Córdoba. D. Angel Saavedra Ramirez de Baquedano, coro Según unos reina en Constantinopla la tranquilidad, según otros nel de caballería retirado ; D. Jo…</t>
  </si>
  <si>
    <t>Banqu</t>
  </si>
  <si>
    <t>…¿as de lo» otro» ciu ¡Suer, del comercio de la Cortina , sobre el pago de ciertos derechos. dadanos , sujet -ndoles á mucha» nu» vejaciones. ¡ Se leyó la siguiente proposición del Sr. Banqu"ri,que no fue apro El Sr* Calderón dijo que como las ca»as Je Sos m. sonaros eran cases ada: » Pido á las Cortes que las exposiciones presentadas por ei Cré públicas, en donde hacían ato lo» pasar--i.ro», y -u.¡io o''ni’rütli¡n 'U dito público se impriman y r…</t>
  </si>
  <si>
    <t>Banqued</t>
  </si>
  <si>
    <t>…sepa en qué estado se halla nues- honores ó fuero militar y uso de uniforme, en virtud de Reales ta marina. ordenes particulares que les están comunicadas anteriormente. Madrid El Sr. Banqued pidió que al mismo tiempo que se enviasen los do 9 de Junio de 1821. cumentos por las secretarías del Despacho , se acompañasen los estados ANUNCIOS. de las contadurías de valores y distribución, con expresión de los pa gos que se hubiesen hecho , y de lo ing…</t>
  </si>
  <si>
    <t>Banquells, Josef</t>
  </si>
  <si>
    <t>Josef Banquells</t>
  </si>
  <si>
    <t>…uan Morel! ; para '^jl de Llumayor á Seis marjales en dicho término, pago del Lunes, en D. Antonio Josef Ochoa ; para Mahon á D. Esteban Brío- 4200 rs. nes; para el de Ciudadela á D. Josef Banquells, y para Cinco marjales en dicho término, pago del Martes, en Ibiza á D. Sebastian Terres. 3000 rs. Siete marjales en dicho término, pago del Viernes , en En atención á los méritos y servicios de D. Cristóbal 3500 rs. Izquierdo de los Santos, juez interino de…</t>
  </si>
  <si>
    <t>Banqueó</t>
  </si>
  <si>
    <t>…ó en el año anterior, porque entonces diente , no se; podrían apiohar por convencimiento, que escomo se debía. regia la ley del máximum, opinaba que deberia presentar inmediata El Sr. Banqueó nlanifestó que el año pasado se habían presentado,' mente la comisión tanto el máximum para los empicados como para los y habían sido-aprobados los presupuestos en la misma forma que este cesantes. , ■ año, y que por consiguiente era estraño que hubiese de pa…</t>
  </si>
  <si>
    <t>…. » Es de la jurisdicción de marina el conocimiento y de sules era decidir las controversias del comercio. cisión de los juicios sobre detención y apresamiento de los buques na El Sr. Banqueó dijo: Quisiera que ios Sres. de la comisión separa cionales ó extrangeros, sea por causa de guerra ó por infracción de las ran de este artículo todo lo que corresponde ai almirantazgo , porque leyes generales de la navegación; el de las causas de piratería ,…</t>
  </si>
  <si>
    <t>…aesertt-irsá»eS«‘.lat|€orw»v¡' yismoho «n*“ los que las llevasen, y los que las recibiesen. .t.:úu .,i - i nos en áin¡pai»!=ttlBmdesdIsft&lt;K*a.dféldSé®lsphv¿d¿haCí«ix*t»4iraftsi El Sr. Banqueó manifestó, que d-bia tratarse de buscar un mrdiaf x ones sobre este ashnto, oonduyó apoyando en todas sus partes 1» para hacer esta operación de modo que sufriese el mentí.gravamen.po-f ¡iptfcíjiosicrbñ rélafrida. aible la Nación ; y que habiéndose introducid…</t>
  </si>
  <si>
    <t>…e permite extraerlo en buque extrangero; y en orden al cacao no Salida: Valor 12: derechos 2 por too.-. • se hace asi, de lo que resultará que por el peligro inmenso que hav en El Sr. Banqueó: Deseo que me digan los Sres. de la comisión qué trasportar mercancías en buques nacionales no se extraerá esta produc motivo han tenido para proponer que se permita la introducción del ción de la América , si se ha de guardar esta regla. vino extrangero. K¡…</t>
  </si>
  <si>
    <t>…lla establecido, excep Sesión del de Noviembre. tuando lo deierniinmlo para los arsenales en este decreto.” Aprobada el acta de la sesión anterior, se mandó insertir en ella el El Sr. Banqueó se opuso á este titulo, manifestando que por el ar voto particular de los Sres. Losada y Xloscoso sobre no haberse nom tículo 353 de la constitución se prevenia que el manejo de la Hacien brado i Pontevedra por capital de una de las provincias de que se com d…</t>
  </si>
  <si>
    <t>…pueblo leyes que se funden en los principios de moral ur.iDespués de haber apoyado el Sr. Sánchez Salvador la opinión del versal. Sr. Rovira, manifestando que las reflexiones del Sr. Banqueó podrían Contrayéndome á hacer varias observaciones Sobre el dictamen di yqnir. bien cuando se.tratase del arreglo de la administración de mari Ja cena s on en su totalidad, digo que considero como vaga Ja mala in na, 'se declaró este asunto suficientemente di…</t>
  </si>
  <si>
    <t>…es de haber pedido que se leyera el decreto de 29 haber ninguna dificultad en ado&gt; tar dicha supresión. de i unió, relativo á los cesantes de las oficinas, demostró que ¡os que E¡ Sr. Banqueó preguntó si en esté asunto se habia oído al Gobier quedarían de las del gobierno político de las provine.as causarían niuy no , porque era muy interesante, mayormente tratándose de echa! poco perjuicio al erario, en razón de que la mayor partz'de estos em aba…</t>
  </si>
  <si>
    <t>Banqueri</t>
  </si>
  <si>
    <t>…e imprenta, en que se mandaba que en los delitos de estos, cbn bía aprobar el dictamen de la comisión. respecto á sus impresos, entendiera el tribuna! supremo de Jusricia , del El Sr. Banqueri manifestó que el aprecio que se hacia de la moneda mismo modo que pertenecen á este las causas de los magistrados; por española consistía en que era de buena ley; que se había dicho que eL. consecuencia, que considerándole bajo este punto de vista, era precis…</t>
  </si>
  <si>
    <t>…ndose solo esa-reforma pues todos deben aprontarlos los alcaldes concejales y secretario de que he indicado. ayuntamiento, sin perjuicio de que puedan repetirlo de los contribu El Sr. Banqueri: Por el art. 353 de la Constitución se dice que el yentes que hubiesen sido morosos. manejo de la Hacienda pública estará siempre independiente de toda Al mismo tiempo cree la comisión debe decirse al Gobierno exa otra autoridad que aquella á la que está enco…</t>
  </si>
  <si>
    <t>…R CUESTA. 17518, el artículo 12 de la pragmática sanción de 30 de Agosto de 1800, y cualquier otra que prescribiese dichos depósitos: se leyó el Sesión del l£. voto particular del Sr. Banqueri, contrario á la parte que trata de de Se leyó y aprobó el acta de la anterior. rogación de leyes. w A la comisión de Hacienda se mandó pasar una exposición del se Quedó aprobado én la parte que trata de la devolución de los depócretario, contador y tesorero q…</t>
  </si>
  <si>
    <t>…e puede pagar por falta de fondos; se destruyen.y de nada pagarán el i.° de Enero de cada año, conforme.se previene en ■ dicho sirven todas las teorías del mundo» decreto.” ' , El Sr. Banqueri expuso algunas reflexiones contra el dictamen de Se leyeron en seguida el voto contrario del Sr. Subrié, y el de los la comisión , manifestando que esta debia haber propuesto el año pa Sres. Oliver y Calderón. sado que se pagaran los intereses del modo que ho…</t>
  </si>
  <si>
    <t>…comisión , mirando esta medida como reglamentaria , cree que corres ponde al Gobierno. Aprobado. Circular del ministerio de la Gobernación de la Península. ■ Indicación del mismo Sr. Banqueri: «Que se suprima el privilegio Uno de los medios de que constantemente se han valido los enemi de ocho dias para la mejora del manifiesto que gozan en nuestros puer gos de ¡a Constitución ha sido imprimir y circular furtivamente pro tos las banderas inglesa,…</t>
  </si>
  <si>
    <t>…y los de Alemania has de negocios de mucha entidad, me parece que debe suspenderse esta ta el 6. discusión. . Los periódicos de Londres vuelven á desmentir la noticia de la in El Sr. Banqueri, después de haber manifestado los artículos que la surrección de México: el Parlamento habia tratado del presupuesto pa comisión retiraba en razón de haberse ya tomado providencias por el ra este año , y se hablaba del viage del Rey á Irlanda y de su corona G…</t>
  </si>
  <si>
    <t>…on ¡os arbitrios que tiene, 3.000,000 estos miserables á mendigar, pues será el único recurso que les quede. rs. Para el canal de Aragón, sin contar con los ingresos que tizne, El Sr. Banqueri apoyó el dictamen de la comisión , manifestando I. 5009. Para el canal de Manzanares, cuya obra hasta Vacia-Madrid los pocos medios que habia para atender al presupuesto general, y que graduada en 3.030,847 rs., 1.5009. aunque por su parte no solo hubiera acc…</t>
  </si>
  <si>
    <t>…con respecto á los sub que deben repetir lo mismo que en la legislatura pasada; esto es, que alternos. se reduzca todo lo posible el níunero de los ministros según lo exige la El Sr. Banqueri dijo: En virtud de las reflexiones que se hicieron necesidad. Esto todavía no se ha cumplido, y aun se observa una gran ayer convenimos que por ia noche asistiría el Sr. secretario del Despa desigualdad, porque en Lúea hay un ministro con el mismo aparato cho…</t>
  </si>
  <si>
    <t>…yan examinado , para que las Cortes vean lo que han adelantado, guientes: y las providencias que convenga tomar. Art. i.° » Se aprueba al ayuntamiento de Madrid para el próximo El Sr. Banqueri dijo que con motivo del restablecimiento de la año económico solamente para presupuesto de gastos municipales la Constitución quedó) suprimida la junta de comercio, moneda y minas, cantidad de 15.801,656 rs. para los objetos que se indican en su me y el Gobie…</t>
  </si>
  <si>
    <t>…era el fin de vuelvan las virtudes, y para esto cada uno debe trabajar constinté la carrera de todo militar. rnente de día y de noche en su destino ; de otro modo no se adelan E! Sr. Banqueri manifestó que habia una orden del Rey D. Car tará lo que se debe. los ni, por la que se señalaba á los capitanes generales el sueldo de óoQ El Sr. Zapata dijo: Yo quisiera que los señores de la comisión reales cuando estuviesen de cuartel. En seguida fue demo…</t>
  </si>
  <si>
    <t>Gaceta de Madrid n.º 284</t>
  </si>
  <si>
    <t>…todas sus partes'el dicramén déla do dice que se haga otramas conveniente; y de aquí también in comisión. fiero yo, que es necesario dividir las provincias del territorio espa El Sr. Banqueri dijo: Que las actuales circunstancias no eran favo ñol por una ley constitucional dejando estos nombres ó admitiendo rables para tratarse de la división del territorio español; pues la que otros , que creo lo mas acertado, porque aunque es cierto que los nom…</t>
  </si>
  <si>
    <t>Banquéri</t>
  </si>
  <si>
    <t>…ía de sus intereses. co Villas á D. Mariano Beaumont y Bretón; y para la del de CantaEl Sr. Clemencin dijo: La comisión há oído lo que ha dicho el vieja á D. Juan Manuel Lafuente. Sr. Banquéri sobre la aprobación de las bases, y no puede menos de En la provincia de Extremadura: para el juzgado de Valencia de poner en consideración del Congreso qüe ya tiene manifestadas en el Alcántara'á D. Josef Ramos Calderón ; y en la provincia de la Man discurso…</t>
  </si>
  <si>
    <t>1638</t>
  </si>
  <si>
    <t>…de Portugal y Gibraltar, y también lo» discutía, y que tendría lugar en aquel en qae se hablaba del asunto. que prouedan de la costa de Marruecos; pero en los casos en que sea El Sr. Banqueri hizo presente que este artículo no tenia toda U enteramente libre de derechos la entrada ó salida de los géneros de unos claridad que era de desear, respecto á que el pago de derechos se de y otros cargamentos , lo será para los extrangeros igualmente que par…</t>
  </si>
  <si>
    <t>…irúKBRO 34 j. pudiera ser muy buena para ha primera , seria tal vez perjudiciaiísima para la segunda. £n la rrovincia de Oviedo , procedentes del extinguido monasterio ile SáH El Sr. Banqueri manifestó que con respecto á la segunda parte Benito de C rnellana, cuyo primer remate se ha de celebrar en la vi* del artículo creía que era demasiado amplia , porque como quiera que lia de Grada. Jas diputaciones provinciales generalmente se componían de la…</t>
  </si>
  <si>
    <t>…e debía haber la pase de una á otra de las indicadas distintas regiones, se cobrará una mayor vigilancia para evitar el contrabando. sola vez el derecho señalado por arancel.'’ El Sr. Banqueri hizo varias reflexiones sobre este artículo; y mani El Sr. Alaman: No me parece que una parte de este artículo guar festó que no encontraba razón para que los géneros extrangeros circu da la misma igualdad que previene ia Constitución haya de obser lasen sin…</t>
  </si>
  <si>
    <t>…irán ra completarla ; y como se hallaba muy penetrado dé la política y. en los artículos siguientes.”. pericia iñilitá^. &lt;1* los antiguos, se descubre 'en .ésta .preciosa obrai El Sr. Banqueri hizo algunas,¿observaciones contra este artículo , á cuánto.tiraba él á acomodar y conciliar el orden,y disciplina de ellos, las que contestó el Sr. Yandiola,.añadiendo que no eran propias de este con el uso de las armas modernas , y aun de lá artillería, que…</t>
  </si>
  <si>
    <t>…y fre tículo 14, que se aprobaron ayer, del proyecto sobre rectificación da cuentes las conferencias entre la cancillería austríaca y Ja embajada ru .aranceles generales; y el del Sr. Banqueri, contrario á la aprobación sa, y que en general hay estos últimos dias una extraordinaria activi del art. 8.° dei mismo. dad entre los diplomáticos. El Sr. presidente nombró en su lugar para la comisión de Correc » Parece que el Rey de Inglaterra no vaya á Vi…</t>
  </si>
  <si>
    <t>…n los años anteriores ; y que por lo mismo era me sean producto del propio pais del buque conductor. ■ nester tener presente que se han dado tales sentidos á la palabra recipro El Sr. Banqueri dijo que no alcanzaba los motivos que habría teni cidad en el asunto.' de que se trata, que es muy extraño que en España do la comisión para perjudicar de este modo á los buques mercantes. subsistan fábricas y comercio.. El Sr. Oliver dijo que el Sr. preopina…</t>
  </si>
  <si>
    <t>…ción con los panos que nos vienen ríe aquellos; peso Tnt'unero, mesura, sello y demás actos del despacho.” y conociendo al mismo tiempo que este era un ramo artíst co en que po Ei Sr. Banqueri dijo: Es menester tener presente que cuando en una dían emplearse muchos operarios de varias artís, y que el numerario bahía hay buques extrangeros se convierte el-mar en una feria, como que salía de la nación podía quedarse entre sus conciudadanos, no ha de…</t>
  </si>
  <si>
    <t>…ermedio de las Cortes ordinarias últimas toitelndas y demas que puedan imponerse alas buques extrangeros. á las actuales, he visto que el resguardo no deja de tener individuos Del Sr. Banqueri el artículo 35 para que se añada cualesquiera que buenos, de conocido amor á la patria, y que solo desean cumplir con sean estos arbitrios deberán constar en el arancel general. ]a obligación en que están constituidos; pero no todos serán asi : su . Del mismo…</t>
  </si>
  <si>
    <t>…otro medio para evitar el con al traficante que la desee, sin que de ningún modo se oponga al art. 5.0. trabando que el poner resguardos en las fronteras, y que en el distrito El Sr. Banqueri: » Este artículo corrobora las mismas ideas que he de ¡a linea di precaución que está señalado, era en donde débia velarse manifestado acerca del comercio interior, pues por él se le facilita á incesantemente para impedir ia introducción de todos aquellos gén…</t>
  </si>
  <si>
    <t>…ue se han hecho. Que este artículo no tiene toda la fuerza que desearía la comisión, es indudable , porque ARTICULO DE OFICIO. para esto se necesitarla hacer lo que ha indicado el Sr. Banqueri. Por :o \ demás esta certificación es una garantía mas para el extrangero, yen El Sr. secretario del Despacho de Marina dice al Sr. secretario de la esto no cabe duda. Lo mismo sucede con los pasaportes, que son una Gobernación de la Península desde el Keal s…</t>
  </si>
  <si>
    <t>Banqúerí</t>
  </si>
  <si>
    <t>…gorosamente al Gabinete Aprobada el acta de la sesión anterior, se mandó agregar á ella el austríaco la entrega de su persona; pero el Gabinete de Viena, conse voto particular del Sr. Banqúerí y de otro Sr. diputado , contrario á la cuente en sus vivos deseos de mantenerse neutral, se negó a esta de aprobación del artículo por el que se permitió la circulación de ios manda, y Alejandro Ipsilanti sigue encerrado en una fortaleza de Hun géneros nacio…</t>
  </si>
  <si>
    <t>…enciar todos los facultativos; cuya cada uno de los artículos. opinión apoyó el Sr. Oliver en un largo discurso. El Sr. González Allende deshizo algunas equivocaciones que dijo El Sr. Banqueri apoyó el dictamen de la comisión , diciendo que con habia padecido el Sr. preopinante. venía se procurase detener la circulación de la moneda extrangera, que El Sr. Alaman dijo : Me ha precedido el Sr. González Allende en «ra tanta que no parecía sino que se…</t>
  </si>
  <si>
    <t>…, ó bien á la misma armada, de que se que consultándolo á las Cortes, deliberen estas lo nías conveniente.” hiciese alguna obra en un puerto , para lo cual se debía informar el El Sr. Banqueri juzgó inútil este artículo, porque dijo que todos los Gobierno de las personas inteligentes. años debía aprobarse por 1 s Cortes el presupuesto de Marina , en el El Sr. Gareli apoyó lo que habia expuesto el Sr. Moscoso, ma cual podian y debían comprenderse es…</t>
  </si>
  <si>
    <t>…a representación hecha por los indi Se mandó pasar á la comisión que entiende en este-proyectó una viduos de la parroquia de Sta. María- Magdalena de lá ciudad de Zara adición del Sr. Banqueri al art. 1.°, sobre qué se aumenten tres indi goza, que insertamos én ia gaceta anterior. e ; y viduos ademas de los dos del comercio marítimo, para que se forme " « Joaquín Soler , escriban» Real, notario público del colegio de una sala que tenga este nombre.…</t>
  </si>
  <si>
    <t>…0, que decía asi; « Que se conce mandó volver el artículo á Ja comisión. da el término de un año para la venta ó extracción para el extranjero be leyó la sigu'cnte proposición del Sr. Banqueri; que decía asi: ó con destino á las-provincias de Ultramar de toda clase de tejidos ex *&gt; Respecto á que una parte del empréstito de París de 300 millones se tranjeros de seda existentes en la Península é isla, adyacentes , cui ha cubierto con medios luises p…</t>
  </si>
  <si>
    <t>…ción perderían considera do el artículo del mismo modo que lo fue lo que proponía la comisión blemente. • con respecto al vino blanco y al vinagre; después de lo cual se suspen El Sr. Banqueri: A pesar de todas las razones que han expuesto los dió esta discusión. Sres. que me han precedido, no me convencen para que yo apruebe el Ei Sr. presidente manifestó que las Cortes iban á quedarse en sesión artículo que se discute. Cuando hemos prohibido la i…</t>
  </si>
  <si>
    <t>…recriminaciones por parte de los Gabinetes euro lida , 4 rs. de avalúo , y 2 por roo de derecho sobre él.” peos. No es de menos Ínteres que vuelvan á renovar el rumor de que la El Sr. Banqueri se opuso á que se pusiese este derecho al algodón</t>
  </si>
  <si>
    <t>…ber á cuánto do estragos en nuestras costas conviene que en las mismas haya gefes ascirnd la introducción. que vigilen, y no basta que sea un gefe subalterno, sino que debe ser El Sr. Banqueri: Yo creo que no se debe poner derecho alguno á un gefe principal , que observe si todas las autoridades cumplen las le la moneda extrangera en su introducción, si ha de haber consecuencia yes establecidas. con lo que se ha determinado respecto de la francesa.…</t>
  </si>
  <si>
    <t>…libertad de la persona del fuesen sospechosos. Por estas razones creo que debe aprobarse el articulo. mesonero, porque esta desigualdad es relativa á la casa.El mesonero tie- -El Sr. Banqueri hizo varias reflexiones , para manifestar que ha ,ne la misma igualdad en sus derechos personales que cualquier español; biendo aprobado las Cortes .un sistema restrictivo y prohibitivo, n pero la casa por la clase á que pertenece tiene que estar sujeta á cie…</t>
  </si>
  <si>
    <t>…ñana del 14 el ayuntamiento , clero, los debía prohibirse esta introducción, ó imponerse un derecho mayor. dos dignos y respetables párrocos y el principal vecindario con la mi Ei Sr. Banqueri apoyó la opinión del Sr. preopinante; y el Sr. Olílicia nacional, se verificó la colocación de la lápida de la Constitución ver manifestó que el Sr. González Allende había sido uno de los que en medio de la alegría y aclamaciones de un inmenso gentío; y el ju…</t>
  </si>
  <si>
    <t>…os efectos por cuenta délos partir entre ellos los géneros de cpntrabando.que aprehendieren. aprehensores.” El Sr. Oliver, después de haber hecho varias observaciones acerca de El Sr. Banqueri: Convengo con'la disposición en-general de este lo que producen las aduanas en el dia, lo cual iria en aumento según artículo ; pero no' quisiera que fuésemos tan liberales y generosos que fuese progresando el comercio, manifestó que era un estímulo de con di…</t>
  </si>
  <si>
    <t>…n , de modo que casi se puede decir que ta, pues de este modo se evitarán muchos males de consideración. son las vigías del contrabando. Por esta razón creo que seria mejor der El Sr. Banqueri: Por mi parte no tengo inconveniente en aprobar ribar las torres que hay, que no mantener á estos individuos, porque los este artículo , y mas considerando que cuando se aprobaron las bases considero de ninguna utilidad. orgánicas de la armada se acordó que s…</t>
  </si>
  <si>
    <t>…ondientes informes &lt;M que se ponga en sus manos ni un solo dia la suerte y los intereses de Ja Gobierno. patria. Casi seria de desear que esto pudiera suceder para que tuvieran El Sr. Banqueri dijo que no podía convenir en este artículo, por un desengaño, aunque es Verdad que nos seria á todos muy costoso. que siendo el lino y cáñamo de lá clase de frutos que produce nuestro ’&gt; En fin, quiera el cielo que ni las Cortes ni el Rey se hayan equi suelo…</t>
  </si>
  <si>
    <t>Banquerí</t>
  </si>
  <si>
    <t>…i£ de Diciembre. rabies á estos establecimientos, y que debía pensarse en los medios de que fuesen satisfechas. o SS. MM. y A A. continúan sin novedad en su importante salud." El Sr. Banquerí manifestó que este asunto pertenecia á Jas diputacio nes provinciales mas bien que al Gobierno, el que no se halla en esta CORTES EXTRAORDINARIAS DEL AÑO DE 1811. do de atender al socorro de estos establecimientos por la escasez de fon. dos de Ja tesorería. P…</t>
  </si>
  <si>
    <t>Banqueri-</t>
  </si>
  <si>
    <t>…geros igualmente que para bía cobrar sobre el valor que el interesado diese al género en una los españoles.” nota declaratoria. Puede suceder (continuó) que un comerciante esté El Sr. Banqueri-. La primera parte de este artículo parece estar en confabulado con otros varios,y valúe su género por 50, v. gr., en lugar contradicción con el 9.0 del decreto de 5 de Octubre de 1820 , que di de too, que es lo que vale; y aunque se ponga á subasta, los comer…</t>
  </si>
  <si>
    <t>Bánquérrpreséiitóun</t>
  </si>
  <si>
    <t>…I3 re ción en la persona de cualquiera que ha tenido el carácter'de1 diputapresentación indicada. -1' • ■dq, habiéndole dado a escoger entre los'dós extremos: que él se alegra El Sr. Bánquérrpreséiitóun plan '-dé-Hacienda; y' se' mandó pasar ba que se hubiera originado aquella discusión para hacer ver Vi lós qué á la comisión de‘este 'ramo: • • 1 J;; . ~¡-;:y •* 'difunden malas doctrinas con respecto á los dignos eclesiásticos espa El Sr. Toreho pidió sé agr…</t>
  </si>
  <si>
    <t>Bañúeias, Manuel Pascual y</t>
  </si>
  <si>
    <t>Manuel Pascual y Bañúeias</t>
  </si>
  <si>
    <t>…go Mi aplicaciones de la geometría elemental: es la base de la geor randa y Morales, D. Josef Labastida y Bustamante, y desia, de la geografía, dé la astronomía y de la navegación.D. Manuel Pascual y Bañúeias; ha tenido á bien promo El mas apreciable monumento geodésico era el mapa de verlos á subtenientes de dicho cuerpo con la antigüedad de Francia hecho por Cassini: Algunas dudas que se origina 29 dé Diciembre dirimo , aunque'con solo el sueldo qué en. ron en 1…</t>
  </si>
  <si>
    <t>Baquedano, Angel Saavedra Ramirez de</t>
  </si>
  <si>
    <t>Angel Saavedra Ramirez de Baquedano</t>
  </si>
  <si>
    <t>…tro , ex-ministro de Es IRAN CIA. tado; y D. Miguel López Baños, mariscal de campo y comandante ge neral de la provincia de.......... Suplente. Parts 34 de Noviembre. Por Córdoba. D. Angel Saavedra Ramirez de Baquedano, coro Según unos reina en Constantinopla la tranquilidad, según otros nel de caballería retirado ; D. Josef Melendez y Fernandez , canónigo continúan los desórdenes, ios asesinatos y las crueldades^, si no manda de Ja iglesia colegiata de S. Hipólito; D. Anto…</t>
  </si>
  <si>
    <t>Bar</t>
  </si>
  <si>
    <t>…que lo son actualmente), y el Sr. Ribeiro Costa; que Echando después el honorable vocal una ojeada rápida sobre las dando nombrado para suplir á cualquiera de estos secretarios el Sr. Bar relaciones de Inglaterra con los otros Estados , recordó á la Cámara la roso; con lo que se levantó la sesión. conducta del Gobierno erí Noruega, en Génova, en Saxonia y en Pur Madrid Jueves 10 de Mayo. ga; la indiferencia que posteriormente lia mostrado con…</t>
  </si>
  <si>
    <t>Bar, Manuel</t>
  </si>
  <si>
    <t>Manuel Bar</t>
  </si>
  <si>
    <t>…cia. Puente de Hume D. Juan Ignacio Pesquerías , escribano. opina que se adopte lo que proponen Jas comisiones de Hacienda y Co Tuy D. Juan Bautista Losada, abad de salcidos. Viga D. Manuel Bar men :io en esta parte. cena, alcalde i.' Cambados D. Francisco Taboada, teniente general, A la referida comisión se pasó una exposición de la diputación pro propietario. Pontevedra D. Fernando Saravia, coronel retirado de ar vincial de Sevilla, en la que tamb…</t>
  </si>
  <si>
    <t>Bar.qucri</t>
  </si>
  <si>
    <t>…Li cia local se entiendan también con las milicias provinciales.55 nares, diputado por AragonlenHugar de. D. Antonio López de Artieda. No hubo lugar á votar sobre una adición del Sr. Bar.qucri á la me A.las comisiones de Bínéfieíacia, -Eclesiástica y Guerra- se pasa- dida séptima del referido dictamen, que decia: .,Sin perjuicio de que</t>
  </si>
  <si>
    <t>Baradiu, Pedro</t>
  </si>
  <si>
    <t>Pedro Baradiu</t>
  </si>
  <si>
    <t>…segundo batallón del de Murcia: a! coronel D. Vicente Sancho, del ra las provincias á 28 rs. por trimestre, franco de porte. Este d¡3rio con secundo batallón de! de la Princesa:» D. Pedro Baradiu, del primer tiene las mismas noticias particulares de Madrid que el antiguo , ios batallón .leí de Extremadura: á D. Josef Fabre, del segundo batallón bandos y órdenes del Gobierno político y ayuntamiento, las vacantes d.l de Malaga: a U. Francisco Castañera,…</t>
  </si>
  <si>
    <t>Baraibar, Felipe</t>
  </si>
  <si>
    <t>Felipe Baraibar</t>
  </si>
  <si>
    <t>…l que agitaban aquel imperio: un tomo en 8.° Se hallará á 8 rs. en la Castillo y D. Francisco Verea y Cornejo: en la de Navarra á D. Jo librería de Hurtado. sef Rodríguez Biedma y D. Felipe Baraibar: en la de Aragón á Don - Exposición presentada á las Cortes por los diputados de Ultramar Julián de Iturralde, D. Pedro Vázquez Ballesteros y D. Santiago Bal en la sesión de 25 de Junio de 1821 sobre el estado actual de Jas pro tasar de Aguirre: en la de Vale…</t>
  </si>
  <si>
    <t>Baranda, Pedro Sainz de</t>
  </si>
  <si>
    <t>Pedro Sainz de Baranda</t>
  </si>
  <si>
    <t>…cular la gaceta de una exposición que les ha dirigido el Gefe ..político supe-, mente al exterior decoro de la dignidad Real, bajo cuyo concepto no rior interino de esta provincia D. Pedro Sainz de Baranda, manifes-, pueden menos de ser reputados, como funcionarios públicos , hice el tanda sus sentimientos patrióticos. otro dia una indicación, dirigida á que se preguntase'al Gobierno si es A la de Organización de fuerza armada otra exposición de los taba en obs…</t>
  </si>
  <si>
    <t>…lajara , muertó en el campo del honor. tísimo ayuntamiento, á las 11 'del primer dia Util siguiénte-á'los 30 arriba dichos, que deberán contarse desde aquel en que sé inserte este Don Pedro Sainz de Baranda , Gefe político superior interino de anunció en la gaceta inclusive. la provincia de Madrid, y protector de la escuela nacional de Veteri El Sr. intendente de esta provincia aprobó el remate cíe' varias casas, naria , hace saber: Que por Real resolución de 13…</t>
  </si>
  <si>
    <t>Baras, Antonio</t>
  </si>
  <si>
    <t>Antonio Baras</t>
  </si>
  <si>
    <t>…a pasión ó el error , para que desempeñando dignamente el ilustre P arroquia de S. Ildefonso , 18 electores. cargo de que están revestidos, puedan dar á la patria padres amantísi- Don Antonio Baras , D. Bartolomé Labrador, D. Benito Corta mos y virtuosos, que funden en inmutables bases su presente y futura zar, D. Carlos González Llanos , D. Casimiro Martin, D. Francisco felicidad! ¡Con qué placer no se persuade el ciudadano de que es im Calzada, D. Fra…</t>
  </si>
  <si>
    <t>Barata</t>
  </si>
  <si>
    <t>…, y Sin embargo, yo no diré que muchos de los males no provengan bajo su responsabilidad, provea de los medios indispensables para el so de algunos ministros anteriores, tal es el Sr. Barata, el cual, á pesar de las garantías que parecía ofrecernos, cometió muchos yerros , y corro de aquellos establecimientos , echando mano para este objeto de fue justa y justísima su separación. Es verdad que el mal no estaba pre los fondos de cualquier clase qu…</t>
  </si>
  <si>
    <t>…ente, como si ios males de Amé po hace en el Congreso si se podía atender á ciertas obligaciones , pa rica no estuvieran mas avanzados que lo que parece, como si no hu rece que el Sr. Barata respondió que sí, precisamente cuando estaban biera estado dispuesta la intriga de México antes que yo entrase en el desatendidas las obligaciones ordinarias. En mi concepto respondió lo ministerio. ¿Y es esto haber tenido yo descuido y abandono en esta que d…</t>
  </si>
  <si>
    <t>Barata, Antonio</t>
  </si>
  <si>
    <t>Antonio Barata</t>
  </si>
  <si>
    <t>…nación de Ultramar á D. Ramón j 840, en 58,634 rs. Feliú; para el de Gracia y Justicia á D. Vicente Cano Manuel^ para Otra núm. 4, calle Caraballo , en 16,134 rs. el de Hacienda á D. Antonio Barata; para el-de Guerra a D. a-ornas Otra núm. .5, en la misma calle de Caraballo, en 20,696 rs. Moreno, y para el de Marina á D. Francisco de Paula Escudero. Ten- Otra núm. 2 2 , callejuela de :S. Francisco de Paula, en 26,508 rs. dreislo entendido,-y lo comunica…</t>
  </si>
  <si>
    <t>…bían Jrecllo también ofras dos sobre el mis trar á servir sus respectivas secretarías los Sres. D. Ramón Feliú, mo objeto, las que.en su opinión deberían quedar aprobadas en el ac D. Antonio Barata y D. Francisco de Paula Escudero; de ¡o que las. to de leerlas. ... :::,! _. Cortes quedaron enteradas; y se levantó la sesión. Efectivamente. se leyeron; .tres indicaciones., una del Sr. Romero Álpuente, otra de los Sres, Martel,, Priego, Gijaldo y Moscoso , y otra del Sr. Cavaleri , en tod…</t>
  </si>
  <si>
    <t>…como en los demas paises lo entendido, y lo comuncareis á quienes corresponda.Rubricado adonde pudiesen llegar los egércitos aliados, con respecto á la forma de la Real mano.” = A D. Antonio Barata.” de Gobierno que se tuviese por conveniente seguir.” (Convenio hecho en Petersburgo en l8o¿ entre las cortes de Austria, Rusia é Inglaterra. VARIEDADES. Véase á Martens en su colección de los principales tratados , tom. xr.) Tr einta siglos lian vivido los q…</t>
  </si>
  <si>
    <t>…rlos á Fuenter veniente á su cumplimiento, en Está rubricado de la Real mano.=Pa- rabía á la expresada Doña María Manuela di Goicoechea , ó á Madrid lacio 30 de Abril de 1820. = A D. Antonio Barata.” á dicho D. Simon.Antonio de Éyriz, que vive calle alta de S. Vicente; número 6. A consulta del consejo de Estado se ha servido nombrar el Rey Por providencia del Sr. D. Angel Fernandez de los Ríos, magis para las judicaturas de la provincia de.Granada, incl…</t>
  </si>
  <si>
    <t>…dispon sión extraordinaria pública, y levantó la ordinaria de este dia. dréis se imprima, publique y circule. =Está rubricado de la Real mano. En palacio á 28 de Mayo de 1821. = A D. Antonio Barata. Se han recibido periódicos extrangeros, cuyas noticias alcanzan , las Por sentencia de D. Josef Maroto, juez interno de primera instan de París hasta el 27 de Alayo; las de Londres hasta el 23, y las de cia de la ciudad de Valladolid , se absolvió á Fr. Alon…</t>
  </si>
  <si>
    <t>…tes, luego que reciban los cupos, prepara Rubricado de la Real mano. — En palacio á 29 de Mayo de 1821.=; rán con los directores particulares de las provincias los datos y presu A D. Antonio Barata. puestos para ei repartimiento de ellos entre los partidos; y con inter vención v aprobación délas diputaciones provinciales lo egecutaran, Circular del ministerio de la Gobernación de la Península. y se comunicarán los cupos á los subdelegados de los partido…</t>
  </si>
  <si>
    <t>…y dispondréis se imprima , publique y circu le. == Está rubricado de la Real mano. c= Madrid 8 de Junio de 1821.= Total empleado y existente en fiu de Mayo... 10.205,802 .1'.- f A D. Antonio Barata. Circular del ministerio de Gracia y Justicia. Resumen. «En 15 del anterior me dicen los Sres. secretarios de las Cortes loCaudal recibido.............;........................................... 10.205,802..TO» £ que copio: El capitán de navio retirado D. An…</t>
  </si>
  <si>
    <t>…nto, y encerraban el ingenio y cjrcule. = Señalado de la Real mano. = En palacio á 29 de Junio en los mas estrechos límites, empiece nuestra juventud á desplegar cuan dá 1821. = A D. Antonio Barata. tos recursos la dió naturaleza! Entonces, entonces solamente, y cuando veamos nuestros campos fertilizados, nuestra industria perfeccionada, Circular del ministerio de Guerra. y nuestro comercio interior en el mayor grado de actividad, podremos Hallándose va…</t>
  </si>
  <si>
    <t>…por la Regencia, y otros que por ios Está rubricado de la Real mano.c= En Palacio á 27 de junio de iSu. electores de parroquia ; y por último se decidió que las comisiones de =: A D. Antonio Barata. Agricultura y Comercio' diesen cada una su dictamen sobre quién deba hacer dicho nombramiento. El Rey ha expedido el decreto siguiente: ' ' F.I Sr. Pessanha preguntó si le era permitido á cualquiera ciudada D. Fernando vri por la gracia de Dios y por la Cons…</t>
  </si>
  <si>
    <t>Gaceta de Madrid n.º 199</t>
  </si>
  <si>
    <t>…de precio. Art. ió. Se observaran le. = Está rubricado de la Real- mano. = En Palacio á 29 de Junio depuntualmente las Reales órdenes de. 13 de Enero de 1783, 12 de Nó-- 1821.=: A D. Antonio Barata. viembre de 1791 y 6de Diciembre de 1796, relativas á la franquicia de alcabalas que se concede á los artículos del consumo de las minas, asi' Intendencia-de Madrid. Para cumplir una orden’ superior es indis como la orden de las Cortes de 13 de Enero de 1812…</t>
  </si>
  <si>
    <t>Gaceta de Madrid n.º 202</t>
  </si>
  <si>
    <t>…, lia-: dréis se imprima, publique y circule.=Rubricado de la Real mano.ss zna y emplaza á la persona ó personas qne pretendan tener derecho .ÍL En palacio á 7 de Julio de 1821.=A D. Antonio Barata. vinculo que fundó D. Pedro Gapeani de Saboya, del que fue poseedor D. Martin de Herze, oficial de tesorería de salinas en esta corte, cu AUDIENCIA D* VALENCIA. yas fincas radican en dicha ciudad y pueblos de Villatoro, Zorita y Muñana, para que se presenten…</t>
  </si>
  <si>
    <t>…cir circule. = Está rubricado de la Real mano. —En Palacio á 4 dé Julio cule, m Está rubricado de ta Real mano,ssEn Palacio á 4 de Julio de 1821. = A D. Antonio Barita. de 1821. A D. Antonio Barata.</t>
  </si>
  <si>
    <t>Gaceta de Madrid n.º 223</t>
  </si>
  <si>
    <t>…vo, médico de Cámara hono circule. = Está, rubricado de la Real mano. = En Palacio á 4 de Julio rario de S. M.&amp;c.La presente obra es de la clase de aquellas cuya exte de 1821. = A D. Antonio Barata. rioridad no satisface; pero sus materias completan el deseo. En ella ve rán los alumnos de Esculapio novedad y ciencia práctica unidas á la VARIEDADES. sencillez y al que ve la luz pública con título de compendio juzgarán sin preocupación libro maestro, tan…</t>
  </si>
  <si>
    <t>…o, y dispondréis se imprima, pu tes, vicc-secretario. blique y circulé. = Está rubricado de la Real mano.;;En palacio á 10 Parte que comprende todo el día 15. de julio de 1821.= A D. Antonio Barata. Lazareto sucio: existentes 21, entrados 3, salidos ninguno, conva- Y en virtud de la facultad que por el anterior decreto se -concede ‘decientes 3, muertos 3 , existentes 21. al Gobierno para repartir entre las provincias Vascongadas los 3.069,3: 2 Los entra…</t>
  </si>
  <si>
    <t>Barata, D Antonio</t>
  </si>
  <si>
    <t>D Antonio Barata</t>
  </si>
  <si>
    <t>…or consiguiente en Gobernación de ia Península , en que manifestaba que S. M. habla te es*a Operación r.o hay precauciones. Ademas si este artículo recayese nido á bien admitir al Sr. D Antonio Barata, secretario del Despa sobre géneros extrangeros, no estaría en contradicción coma lo está con cho de Hacienda ,1a dimisión de su destino, nombrando para que des el art. 5.0, habí tildóse solo de nacionales. Por lo mismo creo que no empeñase interinamente dich…</t>
  </si>
  <si>
    <t>Barata, Juan</t>
  </si>
  <si>
    <t>Juan Barata</t>
  </si>
  <si>
    <t>…adolescencia. En 18 04 cera á D. Josef Esteve; y para la cuarta á D. Nicolás Ma- publicó el á Family tour througk the British empire , viage latesta y Mayor: para la de Tarrasa á D. Juan Barata: para ae una familia por la Gran Bretaña, y fue tan bien recibido la de Gerona á D. Francisco Juan Cantarella: para la de como la obra antecedente , habiéndose hecho ya 8 ediciones. Solsona á D. Domingo del Rey: para la de Olot á D.'Jo Esta obra da á conocer…</t>
  </si>
  <si>
    <t>…Yañez. Igualada D. Josef Pascual, hacendado de Esparraguera. Maurera Entro i jurar y tomó asiento -n el Congreso ei Sr. la Bodega. D. Rimon Busar.ya, escribano de Alo y A Tarrasa D. Juan Barata, Las comisiones reunidas de Guerra y del Código de procedimien juez de primera instancia de la misma. Lérida D. Ramón Hostalrich, tos, después de haber examinado el expediente promovido por ios de abogado de ia misma. Cervera D. Francisco Pastoret, hacendado…</t>
  </si>
  <si>
    <t>Barba, Juan García</t>
  </si>
  <si>
    <t>Juan García Barba</t>
  </si>
  <si>
    <t>…iase usarán Igualmente para k provincia de Valladolid: para Valladolid á d.e la fórmula siguiente: Los señores que se levántenlo aprueban, y los D. Pedro í.ezcauo; para Peúafiel á D. Juan García Barba; para Medi que queden sentados reprueban. El secretario que hubiere hecho Ja pre na deL Campo á D. Ramón Manzanares; para Olmedo á D. Esteban gunta publicará el resultado, si no tuviere duda alguna; mas si la hu Sánchez de la Iglesia; para Tordesiilas á D. Eu…</t>
  </si>
  <si>
    <t>Barbara, Ramón</t>
  </si>
  <si>
    <t>Ramón Barbara</t>
  </si>
  <si>
    <t>…desvanece D. Manuel Guballer Muñoz , D. Martin de Ileros, D. Miguel Muñoz, esta ilusión! Ah! no la destruyáis, dignísimos electores; antes bien D. Miguel Piüol, D. Ramón Carreño, D. Ramón Barbara y D. Pelasostenedla con todos vuestros esfuerzos; mostrad la estoica rigidez de yo García Zorrilla. los Licurgos y So'ones, y ya que tan felizmente desempeñaron su en Parroquia de S. Pedro, 2 electores. cargo vuestros comitentes , trasmitid vuestro careo al mas sabio y mas D. Ca…</t>
  </si>
  <si>
    <t>Barceloneta</t>
  </si>
  <si>
    <t>…nguno: convalecientes ninguno: muertos 4: exis «Señor: D. Alfonso Valderrábano, coronel de infantería y tenien^ tentes 4. te coronel de la primera división de granaderos, y actual comandante Barceloneta, existencia anterior 19: entrados 6: salidos ninguno: de ella, á V. M. con el mayor respeto, como órgano principal de lá convalecientes ninguno: muertos 6- existentes 19: totales de las tres oficialidad y tropa que tiene el honor de mandar, hace presente: Que…</t>
  </si>
  <si>
    <t>Barcena, Leoncio</t>
  </si>
  <si>
    <t>Leoncio Barcena</t>
  </si>
  <si>
    <t>…rio D. Manuel Parga , y esta por el socio á i a. Luis Perez de Rivera, de! segundo batallón del de Valencia: á consiliario^D. Antonio Tenreiro en sesión pública de x.° de Octubre: D. Leoncio Barcena, dei primer batallón del de Zaragoza: á E&gt;. Pas 'su precio 4 rs. cual Puertoias , del primer batallón del de España: á D. Josef Toma- Nuevo diario de Madrid. Se suscribe en su oficina, carrera de San s o, del primer batallón del de Toledo: á D. Francisco Manc…</t>
  </si>
  <si>
    <t>Barcia, Antonio</t>
  </si>
  <si>
    <t>Antonio Barcia</t>
  </si>
  <si>
    <t>….. -¡El.deJa' misma- sobre, quechi .Gobierno, remita todos I05; anteceden ve calle de,,1a Cruz, innvediató a!;coliseo, con la cantidad que;.tenga# tes del expediente proinovidppor D. Antonio Barcia, vecino de,Cór.r por conveniente. La suscripción estará abierta hasta el 31 inclusive del ^oba,,.sobr? la denegacion.dd-ebnsentimi.entp para contraer matrimonio presente mes, y á su tiempo se dará noticia al público de los zelosos ciu ,,su hij'ajPqña María de…</t>
  </si>
  <si>
    <t>Bardají, Eusebio</t>
  </si>
  <si>
    <t>Eusebio Bardají</t>
  </si>
  <si>
    <t>…ínterin se ponian á disposición del juez al supremo Consejo de Estado, había nombrado para secretario del de primera instancia. Las Cortes quedaron enteradas. Despacho de Estado á D. Eusebio Bardají; para el de la Goberna Se leyeron por segunda vez las seis proposiciones presentadas por ción de la Península á D. Mateo Valdemoros; para el de la de Ul el Sr. Zorraquin en la sesión del dia 2 del corriente; á saber: que se tramar á D. Ramón Fellú ; para el.…</t>
  </si>
  <si>
    <t>Bardaxí</t>
  </si>
  <si>
    <t>…orden; pero como ofrecia el Gobierno concederla otras gracias en me pados de armas y caballos, á defender la causa del Rey y de la Nación. jor tiempo, porque según la opinión del Sr. Bardaxí que firmó la or Informado el general del abandono en que quebaban su muger y los den, este heroísmo no tiene igual en la historia de la Nación, hizo demas hijos pequeños que dejaba, le aconsejó que se retirase á cuidar nueva instancia , y se remitió ai consej…</t>
  </si>
  <si>
    <t>Bardují</t>
  </si>
  <si>
    <t>…en las sesiones. vencionales. Aprobado. Se im-ndó pasar ;¡ la comisión primera de.Legislacion una solicitud Art. 3.0 » Los labradores que cultivan tabaco en las mismas tierras del cardenal Bardují cié Azara, y de los auditores de la Rota romana, de realengo , que hayan recibido del erario ú censo perpetuo , también D. Manuel Martínez del Campo y Guerra , y D. Juan Francisco Mar continuarán pagando la cantidad estipulada en sus contratos en la mis_ co y…</t>
  </si>
  <si>
    <t>Bares, Máximo</t>
  </si>
  <si>
    <t>Máximo Bares</t>
  </si>
  <si>
    <t>…tículos de la Constitución española , que Josef Chtcutnberri-cuñadería , cabo segundo ij. Pedro Gar citó, y que en todos los actos públicos y diplomas se aña cía Obeso: milicianos D. Máximo Bares. D. Migue! Cadiese á la palabra Rey la de constitucional. ma'eño, D. Juan Saíz Lastra, 1). Franeí-co Casarietto y Se procedió al nombramiento de cinco diputados para D. Mannel Gutiérrez; y ademas el ciudadano D. Francisco la comisión que debe establecer las b…</t>
  </si>
  <si>
    <t>Baricher, Juan</t>
  </si>
  <si>
    <t>Juan Baricher</t>
  </si>
  <si>
    <t>…de su amor á la Constitución. Sus nombres y apellidos son D. Ramón Quintana, capitán: D. Dionisio Angulo , te Lisboa 26 de Junio-Sesión del 20. niente: D. Ildefonso Martínez, id : D. Juan Baricher, id.: D. Fran El Sr. Maldonado propuso que se crease una orden con el título de cisco García Aicaráz, id.: D. Josef López Pareja, id.: D. Josef Mar Orden de la Constitución para premiar á los beneméritos de la patria tínez Camacho, id.: D. Juan Megías, id.: D…</t>
  </si>
  <si>
    <t>Baricher, Manuel</t>
  </si>
  <si>
    <t>Manuel Baricher</t>
  </si>
  <si>
    <t>…ezarse su discusión id.: D. Tadeo Aresanenaga, id. : D. Domingo de la Rosa, id.: Don el dia 2 de Julio; y qué en este intervalo se discutirían varios asuntos Santiago Torres. id.: D. Manuel Baricher, id.' D. Juan Antonio Cres pendientes. po, id.: D. Luis Cea, id.: D. Francisco Ibañez, id.: D. Pedro BaldiSe continuó Ja discusión del art. 6° del proyecto sobre dotación vieso, ayudante: D. Antonio Valverde, id.: D. Rafael Correa, Ídem: del clero, que dice a…</t>
  </si>
  <si>
    <t>Barita, Antonio</t>
  </si>
  <si>
    <t>Antonio Barita</t>
  </si>
  <si>
    <t>…ndréis se imprima, publique y cir circule. = Está rubricado de la Real mano. —En Palacio á 4 dé Julio cule, m Está rubricado de ta Real mano,ssEn Palacio á 4 de Julio de 1821. = A D. Antonio Barita. de 1821. A D. Antonio Barata.</t>
  </si>
  <si>
    <t>Baro, Florentino López</t>
  </si>
  <si>
    <t>Florentino López Baro</t>
  </si>
  <si>
    <t>…muy equitativos. la Nueva , y juez de primera instancia de esta heroica villa , dada Los suscriptores á las cuatro láminas del acontecimiento des por ante el escribano del número D. Florentino López Baro, y graciado ocurrido en Cádiz el dia 10 de Alarzo de 1820 acu para pago de acreedores, se ha mandado sacar á pública subasta dirán á la librería de Matute; en Sevilla á la de Berard, y una casa, sita en esta corte y su calle de Preciados, número 6, en Cádiz á…</t>
  </si>
  <si>
    <t>Gaceta de Madrid n.º 212</t>
  </si>
  <si>
    <t>…aber ob y juez de primera instancia de esta M. II. villa, dada por ante el es tenido igu.il licencia , les haga -V. intimar se restituyan inmediata cribano del número y su juzgado D. Florentino López Baro, se ha mente á la misma. "Y que para lie.var á efecto ahora y en ló sucesivo mandado sacar á pública subasta por término de 30 dias, contados eslas deposiciones emplee V. todos los medios que es.ten á su alcance desde el 20 del corriente, una casa sita en est…</t>
  </si>
  <si>
    <t>Baro, Pedro</t>
  </si>
  <si>
    <t>Pedro Baro</t>
  </si>
  <si>
    <t>…es de la Fontana , diciendo: » ¡Si un orador ignorante 6 acalo snúm. 6 y 7. rado se hace reprensible en una tribuna popular...... se ha de quitar por Se desea saber el paradero de D. Pedro Baro, natural de Besanzon, eso á los españoles el uso de la palabra! Al cabo los editores del Eco en Francia , hijo de D. Pedro Baro y Doña Ana Royan, que parece se llegarín, Dios mediante , á conocer las verdaderas causas y los efectos halla en Gibraltar ó Londre…</t>
  </si>
  <si>
    <t>Barona, Josef María</t>
  </si>
  <si>
    <t>Josef María Barona</t>
  </si>
  <si>
    <t>…habia tenido parte alguna en la invitación que se habia y el lodo, llegaron aL convento ya después de amanecido. techo al Rey de Nápoles para que fuese á Laibach , y El teniente ,D. Josef María Barona, comandante de to que tampoco se había entrometido en las resoluciones ;&gt;olída la tropa, la dividió en dos trozos, para que por medio ticas de las tres grandes potencias que habían formado el de una señal atacasen á un misino tiempo la casa hospede- Congreso…</t>
  </si>
  <si>
    <t>Barona, Tomas</t>
  </si>
  <si>
    <t>Tomas Barona</t>
  </si>
  <si>
    <t>…stancia de la provincia de Sevi lenguas del Oriente,” lla en esta forma: para las ere* de la capital á D. Francisco Belloc y ANUNCIOS. Navarro, á D. Josef Barragan y Carbailar y á D. Tomas Barona: pa En 17 del corriente se verificó el primer remate de dos casas sita» ra la de Ayamonte á D. Pedro Tagle y Velarde: parí), la de Araceux en esta corte, una, calle de Cedaceros, núm. 8, manz. 2Ó7, y otra, ca á D. Líborio Tudda: para la de Cerro á D. Antonio…</t>
  </si>
  <si>
    <t>Barraicoa, Gregorio</t>
  </si>
  <si>
    <t>Gregorio Barraicoa</t>
  </si>
  <si>
    <t>…territorio com Sta. Cruz de la Zarza á D. Jorge Ferrer y Vigcr de Pomar: para el da prendido entre la ria de Navia y el cabo de Ortega!, cuya capital fuese Talavrra dé la Reina á D. Gregorio Barraicoa ; y para ei de Puente del Mondoñedo. Arzobispo á D. Ramón Domínguez de la Torre. A la misma comisión se mandó pasar otra de los Sres. Torre Ma- En la de Avila: para el partido de la capital á D. Gines María rin , Eanqueri, Huerta, Muñoz, Solana . Martínez de…</t>
  </si>
  <si>
    <t>Barrameda, Francisco Javier Sanlúcar de</t>
  </si>
  <si>
    <t>Francisco Javier Sanlúcar de Barrameda</t>
  </si>
  <si>
    <t>…o, 20, electores. Del 13 al ao... ....... 63..... •• 3*...... ...... 46... D. Aníbnio González, D, Antonio de la Iglesia, D. Antonio Mercar, D. Antonio Sala, D.Francisco Gallinas, D. Francisco Javier Sanlúcar de Barrameda. Delgado,D. Francisco Hernández Montañer,D. Isidro Blanco, Don Dia 14............. 3" •••♦ ••••••• z. .♦»*. .... .. 0.... ....... 6..... Isidro Merino, D. Josef Sánchez, D. Juan Francisco Rodrigo, D. I ov Día 15............. ....... 1..... ....... O..........…</t>
  </si>
  <si>
    <t>Barranco, María Javiera del</t>
  </si>
  <si>
    <t>María Javiera del Barranco</t>
  </si>
  <si>
    <t>…s napolitanos, prueba Antonio Mendoza recayó en su viuda y heredera Doña Rosa Veluzque es su ánimo hacer la guerra metódicamente y con prudencia.” He quez, y por muerte de esta en Doña María Javiera del Barranco, y aqui al gran general destinado á poner cadenas á un pueblo libre (que después en los cinco hijos de esta, habidos en su matrimonio con Don llamahun débil') muy circunspecto, muy metódico, muy prudente, y con • Josef María Fourdinier, á quienes se les adjud…</t>
  </si>
  <si>
    <t>Barrancos, Juan Sánchez</t>
  </si>
  <si>
    <t>Juan Sánchez Barrancos</t>
  </si>
  <si>
    <t>Gaceta de Madrid n.º 224</t>
  </si>
  <si>
    <t>…de Cortes, en la misma forma que se seña siempre, admiró el infatigable zelo de su acreditado director. El te la para estas en la Constitución. sorero de la hermandad, pre-bítero D. Juan Sánchez Barrancos , ob Art. 27. « Ningún ciudadano podrá excusarse del cargo de juez de sequió á maestros y discípulos con un decente refresco i sus propias Jiecho ó de promotor por motivo ni pretexto alguno , excepto el de expensas. Gloria á la hermandad de los Santos, qué ta…</t>
  </si>
  <si>
    <t>Barreda, Isidro Josué de</t>
  </si>
  <si>
    <t>Isidro Josué de Barreda</t>
  </si>
  <si>
    <t>…; mejorándola considera ra el dé Liérganes a D» Josef Piñal de la Vega; y para el de Ontaneda blemente con éste tránsito , puesto que la diputación provincial que se de Toranzo á D. Isidro Josué de Barreda. estableciese én la misma , extendiendo sus miras paternales hácia aque En la provincia de Aragón: para la judicatura del partido de Cin llos pueblos , cuidaría de sus intereses. co Villas á D. Mariano Beaumont y Bretón; y para la del de CantaEl Sr. Clemencin…</t>
  </si>
  <si>
    <t>Barreda, Rosendo Joaquín</t>
  </si>
  <si>
    <t>Rosendo Joaquín Barreda</t>
  </si>
  <si>
    <t>…el decreto siguiente: ciudad para que le remita á su juzgado las cartas que lleguen á la ad Don Fernando vn por la gracia de Dios y por la Constitución de ministración á nombre de D. Rosendo Joaquín Barreda, Doña Rita la Monarquía española , Rey délas Espaftas , á tqdos los que las presen Barreda y D. Francisco Nebot, cuyos papeles se le han mandado ocu tes vieren y entendieren, sabed: Que las Cortes han decretado lo si par por un requisitorio de D. Angel Fernan…</t>
  </si>
  <si>
    <t>Barriga</t>
  </si>
  <si>
    <t>Gaceta del Gobierno n.º 41</t>
  </si>
  <si>
    <t>…l, encalló en la para llenar tan dulces y preciosos deberes. arena, y fue abandonado por la tripulación. Se apodero de Los milicianos hicieron algunas evoluciones, en que ma él el capitán Barriga; lo hizo desencallar, y echarle un' renifestaron su aire marcial; y todos en general dieron prue inolque para conducirle á Estepona, adonde llegó con todo bas de su firme resolución de sostener, por todos los me el cargamento, que consistía en 23 serones de t…</t>
  </si>
  <si>
    <t>Barriga, Esteban</t>
  </si>
  <si>
    <t>Esteban Barriga</t>
  </si>
  <si>
    <t>…ia la Chica, pago del Pino , en '2zoo rs. .. nos, según se lo permiten su situación y circunstancias. Otra haza de tres marjales de viña , con estacas de oli Noticioso el teniente coronel D. Esteban Barriga, ca vos , sin respeto á medida , en el mismo término de Gavia' pitán de la de Esrepona , que cuatro barcos cargados de gé la Chica , pago de las Viñas, en 2250 rs. neros de ilícito comercio debían desembarcarlos cerca de Una haza de 6 marjales, sin respeto á…</t>
  </si>
  <si>
    <t>Barrio, Francisco</t>
  </si>
  <si>
    <t>Francisco Barrio</t>
  </si>
  <si>
    <t>…n que se dedica á comunicar las luces, te La formada y determinada por el mismo juez contra el presbítero niendo en su obrador al joven Juan Soler , que da las mejores esperanzas. D. Francisco Barrio y consortes, que fueron presos en el lugar del En vista de todo lo expuesto acordó la sociedad conceder al expresado Rasdlo unidos y armados. Pasó á la audiencia en apelación , interpues D. Santiago Martin una medalla de plata, certificación, y que se anun ta…</t>
  </si>
  <si>
    <t>Barrio, Manuel García del</t>
  </si>
  <si>
    <t>Manuel García del Barrio</t>
  </si>
  <si>
    <t>…I...» ....... 3...... D. Berna'rdino Entillac, D. Domingo Fernandez Angulo, D. Fran cisco Orea, D. Josef Larreategui, D. Josef Perez Morales, D. Josef 7■ 5- 3- 34- Pío de Molina, D. Manuel García del Barrio, D. Marcos Cubilio, D. Mariano Valero, D. Nicolás de Puga, D. Pedro Matute, D. Ra Hay ademas cuatro sospechosos. fael Costa y D. Tomas Polo Catalina. Madrid l.° de Noviembre. Parroquia de S. Marcos, p electores. En el domingo próximo 4 de Noviembre se han de…</t>
  </si>
  <si>
    <t>Barros, Manuel García</t>
  </si>
  <si>
    <t>Manuel García Barros</t>
  </si>
  <si>
    <t>…es que se estiman necesarias para el arancel general zal, abogado. Sar D. Jacobo Llórente, capitán de Composteia. San de aduanas, aprobado en la legislatura del año de 1820. tiago D. Manuel García Barros, alcalde constitucional. Nayas Don A dicha comisión se mandaron pasar dos representaciones del in Francisco Ferron Cuaveiro, juez interino de primera instancia. Ontes tendente de Canarias , haciendo presentes los motivos que habia tenido T&gt;. Juan Orejas Canse…</t>
  </si>
  <si>
    <t>Barroso</t>
  </si>
  <si>
    <t>666</t>
  </si>
  <si>
    <t>…nteramente inútil; que era cierto que la libertad de la palabra estaba Lisboa ij de Abril._Sesión del 1 £. expuesta á graves abusos, qué era inminentemente peligrosa"; pero qué El Sr. Barroso dijo que ya estaba extendida la exposición para S. M.j todavía lo era mas el remedio que sé proponía; que el ministerio tu y pidió que se señalase dia para su lectura; por lo que se acordó que se viese firmeza, y que la mayoría desplegase su fuerza, y entonce…</t>
  </si>
  <si>
    <t>…lo deseaba con impaciencia ver el estandarte en los balcones, lo presentó. ■Lisboa 20 di Abril, — Sesión del 16, A este tiempo el mariscal Filisberto Caldeira Brant Pontea, que El Sr. Barroso lepó otra vez su proposición y proyecto para que se se hallaba en la Piedad, reunido al conde de Palma y á los dos regi prohíba la introducción de aceite extranjero emPortugal; se tuvo por mientos té y 2.0, se ofrecía á ir con cuatro compaíuas del x.° y i.u r…</t>
  </si>
  <si>
    <t>Gaceta de Madrid n.º 123</t>
  </si>
  <si>
    <t>…tes de Oporto dando esta noticia; y se acordó que pasasen á la diferentes observaciones particulares que hubiese hecho. Regencia para que los hiciese publicar en su diario. El Sr. secretario Barroso leyó por segunda vez el dictamen de la co IRANCIA. misión Eclesiástica paraqpe se tomasen providencias sobre los derechos parroquiales que exigían algunos párrocos por sufragios ócc.; y después Parts 16 de Abril. de una ligera discusión se acordó que se unies…</t>
  </si>
  <si>
    <t>…sef Conoc, en la que ma siástica, fuesen gratis, ó re practicasen ante los párrocos; y fue aprobada. nifestaba sus servicios en la marina nacional, y los contraídos, á favor 1, El Sr. Barroso leyó la-exposición qué se había de dirigir á S. M. , del nuevo sistema; que porlos mismos.se.vió condenado reala Coruña la cual quedó aprobada, y se mandó:.remitir ala mayor brevedad.r .i pena.de horca, de la cual se libró por habersé¡podido fugar; y ha ¡ Ei…</t>
  </si>
  <si>
    <t>Barrozo</t>
  </si>
  <si>
    <t>…s debia dejarse paira la Constise hubiese informado sobre la del coronel Duvergier , una de las pri tución.meras , reclamando contra el horrible abuso que se hacia por los agen El Sr. Barrozo quería que se añadiese la palabra con sanción Real-,tes del Gobierno de la incomunicación de los presos. Mr. Etienne á lo que se opuso el Sr. Manuel Antonio oe Carvalho, diciendo que citó otra de varios propietarios del departamento del Droma, acerca la ley e…</t>
  </si>
  <si>
    <t>Barto</t>
  </si>
  <si>
    <t>…lícito á un particular cuan del Rosario, D. Juan Bautista Colombino; laudes , Carmen, D. Martin do peligra su vida matar á los que le acometen , también deben tener Caner; Carmen, D. Barto!omé Font; S. Antonio, D. Cristóbal For— los soldados el privilegio de tomar por su parte venganza. ¡Quién po ner; S. Josef, D. Manuel Maílol; Santa Faz, D-’Antonio Scrdá; Eccedrá señalar (dice) en medio de tanto peligro y confusión el momento Homo, D. Jacinto…</t>
  </si>
  <si>
    <t>Bartolomé</t>
  </si>
  <si>
    <t>…alicia", provin Antonio", de la Cuesta y Torre , diputado por la provincia de Avila; cias internas de occidente y México, son las mas satisfactorias; en to para více-prestdenre el Sr. D. Bartolomé. Marin Tauste , dimiratío por das ellas-reinaba la mayor tranquilidad, según los partes remitidos por la de Jaén-, y para secretario el Sr. D. Juan de Valle, qué lo es 00r los comandantes. Se especificar, algunas acciones que habían precedido Ja de Cataluña,…</t>
  </si>
  <si>
    <t>…: de la deuda nacional; en su canonjía que obtienei ' "• consecuencia pedian tres cosas: t.J que se suspendiese la subasta pública A las de Legisracftsh-y Guerra una exposición de D. Bartolomé de dichas tierras: 2.a que esta exposición pasase ál Gobierno para que Tellez, teniente^que-fue;de caballería de Villaviciosa; quejándose del lar.instruyese según'los datos que obren en su poder; y'g:u que resul Gobierno por haberle separado de' su destino' á…</t>
  </si>
  <si>
    <t>…uerto-Rico; D. Francisco Martinez de la Rosa, por la de las delicadezas y miramientos que ha expuesto el Sr. Florez Estrada; y Granada; D¿ Felipe Fermín Paul, por la de Caracas, y D. Bartolomé es tan sagrada la obligación de un diputado, que debe sacrificar süho- Gutiérrez Acuña, por la de Cádiz; y para suplentes á los Sres. D. Ra nor, que.es mas que su vida, cuando se trata de un asunto de tanta món Losada, diputado por Galicia, y D. Josef Miguel…</t>
  </si>
  <si>
    <t>…á costa del descrédito de la Nación; y asi en mi opinión de Barco. no se puede conceder esta, y por consiguiente ni aprobarse el dictamen nota. En la gaceta del 24 se puso al Sr. diputado D. Bartolomé de la comisión, puesto que en el tiempo que queda , aunque no, haya el Marín Táuste en el número de los que votaron por la formación dt suficiente para el recuento de esta moneda, se puede llevar en sacos se causa contra las autoridades de Sevilla, y dicho Se…</t>
  </si>
  <si>
    <t>Bascos</t>
  </si>
  <si>
    <t>…en todas sus reclamaciones contra vo debían ser ó no elegidos diputados; y habiendo tomado la palabra el sotros; en seguida se extendió una carta de seguridad auténtica legaliza - Sr. Bascos, se explicó en estos términos: da en debida forma con las firmas y sellos correspondientes. &gt;»Cuando por primera vez dije en este augusto Congreso que los Sin embargo , el expresado patriarca no dejó por eso de continuar empleados públicos debían ser excluido…</t>
  </si>
  <si>
    <t>Basile</t>
  </si>
  <si>
    <t>…en, del dia del príncipe Ipsilanti desde su campamento, á los guerre á su cargo el empeño de conservar nuestra Constitución actual. Pero ros-griegos que están bajo las órdenes del coronel Basile iCarabin, en en las determinaciones formadas en aquel punto manifestó claramente la cual ies felicita por la victoria conseguida en la? inmediaciones de V. M. la penosa .situación y críticas circunstancias en que se hallaba, Galatz. _ por no haber podido intr…</t>
  </si>
  <si>
    <t>Basilio</t>
  </si>
  <si>
    <t>…comisión, fueron ambos des Art. .14. Siendo .de absoluta necesidad que se pongan en egecucion si echados. j multáneamente el plan general de Hacienda y el de la administración El Sr. Basilio leyó por tercera vez la ley de libertad de imprenta, y militar, se r.utoriza al Gobierno para que con arreglo á las basés que se mandó pasar á la comisión correspondiente para que la redactase. se establecen en el presente decreto forme Vn reglamento interino…</t>
  </si>
  <si>
    <t>…» que ha* una cosa del momento, para la cual no se necesitan autos; y que inme bia indicado. diatamente que se aprehendiese género de esta clase se repartiese entre El Sr. Guerra (D. Basilio) hizo varias reflexiones acerca de Ja in los aprehensores, y se les estimulase mas. También creo que se debe qui dependencia del registro marítimo y terrestre; á loque contestó el se tar la parte del artículo en que dice que se exceptúa el pago de los re ñor…</t>
  </si>
  <si>
    <t>…mien Se aprobó el dictamen de las comisiones de Aranceles sóbrelas tos : 5.0 recibir las cuentas de los administradores de los establecimien adiciones hechas por los Sres. Guerra (D. Basilio) y Golfín sobre las tos de beneficencia,y examinadas , pasarlas al ayuntamiento con su cen visitas d- mesones y casas públicas para impedir el contrabando , las sura: 6. ' cuidar de la buena administración de los establecimientos d« cuales opinaba la comisión…</t>
  </si>
  <si>
    <t>Basilio, Josef</t>
  </si>
  <si>
    <t>Josef Basilio</t>
  </si>
  <si>
    <t>…ia, en ia que manifesta pia , Gallegos , Uraga , García f D. Justo ) , Puígblanch , Zubia , Tor ban su sentimiento con motivo de los desagradables sucesos de Cádiz, éeos , Guerra £D. Josef Basilio]), Milla, Montenegro, Villa , Berdug, que habían motivado el mensage del Rey á las Cortes, y la contesta-: Subercase, Azaola, Janer , Novoa, Cosío, Vargas, Govantes , Chico, cion de estas. Se mandó pasar á la comisión especial que entendía de Mora,'Alaman y G…</t>
  </si>
  <si>
    <t>…de costas y alturas del ni Su autoridad dimaná de la ilación , y es indivisible é inagenable. Apro- vel del mar , ási en América como en Europa. bado. Los Sres. Golfin y Guerra C D. Josef Basilio) reclamaron dos adiArt. «04. Está autoridad contiene -en sí el poder egecutivo, el -ciónés que habían hecho á los artículos que trataban de reprimir el con cual consiste Sn hacer egecutar las leyes, expedir las órdenes, instruc- trabando ; á lo que manifestó…</t>
  </si>
  <si>
    <t>…importantes qué se han presentado dez , Gaseo, Florez Estrada, Gutiérrez Acuña, Laliave (|D. Pablo), á su consideración ; pero no creo muy oportuna {a proposición que. ss Guerra ( D. Josef Basilio), Sotomayor , Navarro ( D. Felipe), Camus discute, porque no la hallo conforme al reglamento que las Cortes y Herrera, Cortés, Quiroga, García (D, Antonio), García Page, aprobaron al fin de la legi-latura pasada) para cuya modificación - no esGallegos , Gonzá…</t>
  </si>
  <si>
    <t>…á las observaciones hechas por varios Sres. di Fernandez (D. Anselmo), López Constante, Muñoz Arroyo, Guerra putados, con el fin de ganar tiempo y zanjar este asunto, porque mien (D. Josef Basilio) , Lasanta, Zorraquin , Torre Marín , Ochoa Goltras las Cortes se están fatigando en la discusión de este negocio, los ver fin, Gutiérrez Acuña , Paul, Calatrava, Lallave (D. Vicente), 0I¡daderos enemigos del sistema están levantando la cabeza, amenazando ver…</t>
  </si>
  <si>
    <t>…lipe), Yuáte, Desprat, Romero ( D. josef), Muñoz Arroyo, Fer- 14.® en 16 de Diciembre........................... 1». ' nandez , Camus Herrera, Gutiérrez Acuña, Zorraquin , Guerra (Don Josef Basilio), Paul, Vadillo, Cosío, López (D. Patricio) y Apestarán. ' ' ANUNCIOS. &lt; El Sr. presidente dijo que mañana continuaría la discusión sobre el , A D. Francisco de Rosas y Argomado pertenecen 2259 mrs. de lo* código penal, y levantó la sesión á las ocho y media.…</t>
  </si>
  <si>
    <t>Basta</t>
  </si>
  <si>
    <t>…on ellas , se le mandó hacer alto; pero viendo que el mariscal mandapresentado por el -Sr. Miranda.- - ' ba atacar á lábayoneta, dispararon algunos tiros, que mataron á 10 per •El Sr. Basta hizo una proposición para que los Sres. diputados no sonas é hirieron á mas de 20; visto lo cual tuvo que retirarse. egerzan ningún empleo,asi civil como militar, durante su diputación, - En esto llegó el batallón núm. 1 2 al campo de la Piedad , é hizo ñi go…</t>
  </si>
  <si>
    <t>Bastanzi</t>
  </si>
  <si>
    <t>…n seguir cobrando sus prestacio tríaco, capitán Vianella; el bergantín sardo, su capitán Cevasso; la nes como hasta aquí ínterin se les indemniza de esta pérdida. polacra rusa, su capitán Bastanzi, y el bergantín ruso, su capitán Jor El Sr. Lasanta en su discurso dió una idea muy contraria de lo que ge Cambien. manifestó el Sr. Aner en la discusión de 23 de Julio de 1811, puesto _Parece que se piensa en un nuevo Congreso, que se celebrará dentro de que…</t>
  </si>
  <si>
    <t>Bastard, Pedro Juan</t>
  </si>
  <si>
    <t>Pedro Juan Bastard</t>
  </si>
  <si>
    <t>…al, aparece ser Acto continuo el Sr. secretario del Despacho de Marina pasó á D. Juan Pricer, D. Gaspar Lorent, D. Josef Plat. D. Salvador Masleer la memoria de su ramo. • tincla, D. Pedro Juan Bastard y D. Josef Puig; y se avisa para que lle El Sr. secretario del Despacho de Marina leyó la memoria de este gue á debido conocimiento de dichos interesados. ramo; concluida la cual, manifestó el Sr. presidente que las Cortes que daban enteradas, y habían oído con,agrado todos…</t>
  </si>
  <si>
    <t>Bastos</t>
  </si>
  <si>
    <t>…s , ninguna bula de Roma era y otros que deberían ser desnaturalizados , y sufrir una pen-a pecuniaria. válida en Francia hasta no estar registrada, en "el sistema actual es in El Sr. Bastos dijo que condenar á un hombre de letras á ios traba dispensable el concurso de las dos Cámaras. Aun considerando i la Cá jos públicos seria quizá dar motivo á suicidios. mara de los Diputados, como lp hace vuestra comisión, solo como El Sr. Feio dijo que en l…</t>
  </si>
  <si>
    <t>…público: 3.''Indultándola con palabras de desprecio' ó ignominiosas.” vación del culto católico lo exige, y por esto aumentamos el de los Después de alguna discusión, en la que el Sr. Bastos hizo un largo obispados.” discurso, se aprobó el artículo como estaba. Y también se aprobó el , • Uno de los oradores que hablaron contra el proyecto fue Mr. Ma artículo 15: « El que abusase de la libertad de imprenta en el primer chín , el cual concluyo su d…</t>
  </si>
  <si>
    <t>…rmasen los abusos de sia continúa sus grandes armamentos, pero todavía se ignora el ob;eio que adolecía. de tantos aprestos militares, y solo se aclarará este enigma cuando lle El Sr. Bastos habló con la energía que le caracteriza contra el de gue el Emperador á la capital. recho exclusivo de la compañía , pretendiendo que en aquella misma Se hablaba de una-victoria conseguida por el príncipe Ipsilanti con sesión se declarase abolido, porque las…</t>
  </si>
  <si>
    <t>…os sucesos amigos eran mirados como saturnales por los enemigos de los cristia de esta capital. nos! Declámese en buen hora contra la enseñanza mutua, que yo res Se decidió que el Sr. Bastos redactase la proclama, y que el Go ponderé á los detractores !o mismo que decia á los turcos: « Preciso es bierno despachase inmediatamente un buque á Rio-Janeiro, en aten que tengáis por muy mala vuestra doctrina , pues que Ja creeis incapaz ción á que para…</t>
  </si>
  <si>
    <t>…los siguientes pormenores; pero previniendo que no los ha que arreglan el egercició de los cuatro poderes políticos.” recibido directamente, y que no puede responder de ellos. El Sr. Bastos tomó la palabra y dijo: En las bases se establece que « Un personage de distinción agregado ai cuerpo diplomático de en la Constitución se hará una justa división de los tres poderes legis Rusia ha estado en Novara á buscar al príncipe Alejo Comneno, que lati…</t>
  </si>
  <si>
    <t>Gaceta de Madrid n.º 275</t>
  </si>
  <si>
    <t>…Sr. Sarmentó-dijó qué debía señalárseles un sueldo algo "i|iayor&gt; cuenta al Gobierno1 Heicuulqúiera ^.Ita /que nb'teraol en esta-pazte, j que el; designado á los regentes^ pero el Sr. Bastos se opuso á esto ,'di que: para-que no nos riimorca este casa,- sensiblt paraaosOtros;.y mtryv ciendo'queel sueldo que sé própenia era demasiado grande-' para upé* deslavoTiblo-pararios qúe lo'niotivtn.’ es indispensable:. t.° Que tersan, nación-pobre, y demas…</t>
  </si>
  <si>
    <t>…ntro-de dos ó tresurtieses'? : - metidos; go: salidos ó curados 4: convalecientes 16: muertos 37: exis El Sr. Annes apoyó el artícuio ; y habiendo pedido la palabra el tentes 241. Sr. Bastos para contestarle , y negándosela el Sr. presidente por haber Ciudad, existencia anterior 329: entrados ó acometidos 26: salidos hablado ya dos veces / aunquesalegaba poderlo hacer siempre que fuese ó curados 8.: convalecientes 25"- muértos 25: existéñles.-gí…</t>
  </si>
  <si>
    <t>…lios, y oscurecerán la Otros señores hablaron á favor de que pudiesen ser reelegidos los gloria que tiene adquirida esta capital; No, ni asi io espera el Gobierno, diputados, y el Sr. Bastos opinó que pudiesen serlo; pero no para la in ni la comisión puede persuadírselo ; nuestra preciosa Carta nos reco mediata legislatura, diciendo que no se podría esperar mucho de un mienda la beneficencia, y este es el momento en que siendo benéficos, Congreso…</t>
  </si>
  <si>
    <t>Gaceta de Madrid n.º 320</t>
  </si>
  <si>
    <t>…¡á curvatura que convenga por escala en su carrera.” para un objeto determinado i cuestión tan dificil como la primera, y Varios Sres. diputados hablaron sobre este artículo, y el Sr. Bastos mas útil para un buen calculador; pero creemos que no conseguirá pronunció un largo discurso, en el cual manifestó que no bastaba la ci su fin. tada prohibición, sino que era necesario prorogar el tiempo , pues de lo Continúa la nota de la Sublime Puerta. con…</t>
  </si>
  <si>
    <t>…nglaterra se trasmita á su sucesor; y que cuando el mase al correspondiente á las bases de la Constilucion. acopio de vinos de un ministro extrangero quede para ser vendido sin El Sr. Bastos propuso algunas adiciones á los artículos 9Ó y 97, la expresada trasmisión, se dé el aviso conveniente al echiquier (teso sacadas de la Constitución española, las cuales se tuvieron por prime rería) para que se recauden los derechos que adeude; en defecto de…</t>
  </si>
  <si>
    <t>Bastos, Josef Joaquín Rodríguez de</t>
  </si>
  <si>
    <t>Josef Joaquín Rodríguez de Bastos</t>
  </si>
  <si>
    <t>…ragge-Bathurst. Esta junta permaneció deliberando des des Tomaz; y para secretarios los Sres. D. Juan Bautista de las tres de la tarde hasta las seis y media; y en las Filgueiras, D. Josef Joaquín Rodríguez de Bastos, D. Jo circunstancias actuales no ha podido menos de excitar su sef Ferreira Borges y D. Luis Rebello. Se discutió luego si mamente la curiosidad pública, dando motivo á innume debería nombrarse al momento el poder egecutivo; pero sa rables conjeturas, entre…</t>
  </si>
  <si>
    <t>BasValencia, Manuel Antonio</t>
  </si>
  <si>
    <t>Manuel Antonio BasValencia</t>
  </si>
  <si>
    <t>…............................................ 2.849,976 Valladolid....................................................................... 2.059,687 chemarin Ntra. Sra. de Aransasú, capitán D. Manuel Antonio BasValencia........................................................................ .. 7-734,1/8 terrechia; jabeque Virgen del Carmen, capitán D. Esteban Plana. Alis Ibiza y Formentera..................................................... 9966 tándose para salir al mismo.…</t>
  </si>
  <si>
    <t>Batanero, Josef</t>
  </si>
  <si>
    <t>Josef Batanero</t>
  </si>
  <si>
    <t>…nos, de Bilbao. D. Josef y D. Francisco Bruntt, "Wásman Gower y compañía, re titulo i. de S. Sebastian. servándose dar el nombre del Sobre la extensión de la libertad de imprenta. D. Josef Batanero. empresario. Art. r.° « Sfesde el dia en que se publique esta ley podrá todo indi D. Josef de Garay. viduo imprimir, publicar, comprar y vender en los Estados portugue- - Empréstito nacional de ^41.880,000 rs. ses cualesquiera libros descritos sin previa cens…</t>
  </si>
  <si>
    <t>Bathurst</t>
  </si>
  <si>
    <t>…nunció una arenga análoga á las circunstancias el con binete, al que asistieron el lord canciller, el conde de Li de de Sampayo. Concluido este discurso, declaró dicho verpool, el conde Bathurst, el conde de Westmoreland, Sr. que quedaban instaladas las Cortes. Siguióse la elección el conde Harrowby, los vizcondes Melville, Sidmouth y de presidente, y recayó esta en el mismo M. R. arzo Castiereagh, el canciller del Echtquier, Mr. Robinson, bispo , qu…</t>
  </si>
  <si>
    <t>…ue el público no tomaría par con espada en mano.'Habia. entonces en el camino algunos millaret te en él. de personas, entre las cuales habia muchísimas mugerés; pero los sol .'"El lord Bathurst habia' escrito también al lord corregidor encar dados acuchillaban indistintamente á toda clase de personas. Habiéndo gándole tomase providencias oportunas y propias para evitar que te se presentado el scheriff Waithman en medio de los soldados armados/ alter…</t>
  </si>
  <si>
    <t>1300</t>
  </si>
  <si>
    <t>…aro despotismo del Gran Señor. El otro El sheriff (_magistrado egecutor de las leyes) Mr. Waithman ha cree sin duda que esto no merece la pena, y que vale mas un carga dirigido al lord Bathurst la carta siguiente, relativa á lo acaecido en mento de trigo que la libertad de ocho millones de individuos. Has el entierro de Francis y de Honey. ta ahora ha hecho lo posible por publicar cuanto pueda agravar a los » Milord: Creo de mi obligación el instrui…</t>
  </si>
  <si>
    <t>…regimientos que antes la guarnecían. Aña llington, el marques de Winchester, el de Cholmoñdeley y Londonden que en Finlandia no luy mas de 40 hombres de tropa de línea. derry, el conde Bathurst, el de Talbot, el de Liverpool , el vizconde •de Me'.ville, el de Sidmouth, lord Maryborough , el muy honorable BAVIERA. N. Vansittart, el muy honorable Carlos Bathurst, y el muy honorable Fred. Y. Robinson. Nuremberg 1 £ de Setiembre. óeeuh noticias de Franc…</t>
  </si>
  <si>
    <t>Batiz, Joaquin de Meñaca y</t>
  </si>
  <si>
    <t>Joaquin de Meñaca y Batiz</t>
  </si>
  <si>
    <t>…ad de atender á mil circunstan D. Gabriel Odier y compañía^ de Paris ; Doña Graciosa de Meoqui, d* cías indispensables, pues cada Sr. diputado querria que aquel pueblo á Pamplona; D. Joaquin de Meñaca y Batiz, de Bilbao; D. Joaquín Ca que tiene mas cariño fuese preferido á los demas. no; D. Joñas Hagerman, de Paris ; D.* Juan Redondo y Garzón , da En seguida hizo presente el modo con que sé habia hecho esta di Cádiz; D. Mariano Comparins, de id.; Doña María Ce-fer…</t>
  </si>
  <si>
    <t>Battie</t>
  </si>
  <si>
    <t>…En chísimo que nos entendamos, y que estemos bien persua tre estos se hallaban el príncipe Joaquín, el príncipe Real didos de que determinando con precisión el sentido de las y el barón Battie; estos dos últimos pidieron que se les per palabras, sabremos bien lo que son las cosas. _ donase la vida; pero el príncipe Joaquin declaró que mien tras tuviera un solo hombre combatiría por el Rey. Luego NOTICIAS DEL REINO. q:;e entró Boyer en Cabo-ílerniqu…</t>
  </si>
  <si>
    <t>Batüe, Pedro</t>
  </si>
  <si>
    <t>Pedro Batüe</t>
  </si>
  <si>
    <t>…os defensores de ios reos en una Berga D. Josef Riu, labrador, hacendado de Castellar de Riu. Villa- sala proporcionada para que todos puedan oir bien su lectura , y hr.cer franca D. Pedro Batüe, abogado de dicha villa. D. Juan B&amp;nach, co en el diario ó extracto que se habrá entregado a cada uno las reformas, merciante de Villanueva. Reus D. Pedro zXJcáutara de Aperia, co adiciones ó advertencias que estimen oportunas para fundar sus aleuamerciante.…</t>
  </si>
  <si>
    <t>Bauqueri</t>
  </si>
  <si>
    <t>…oficiales y cinco escribientes: habrá ademas les , cosa que no podemos hacer, creo que debe volver este artículo á dos porteros, un ordenanza y un mozo de oficio.” la comisión. El Sr. Bauqueri preguntó si la comisión para proponer esta distri El Sr. conde de Toreno dijo : todos los señores que han hablado bución de trabajos habia oido al Gobierno; á lo que contestó el Señor convienen en que deben establecerse estas juntas, y el único obstáculo Sier…</t>
  </si>
  <si>
    <t>…e esta dase, cuyo objeto es la elalsora- inconveniente en que Jas Cortes lo rarifiquen. Aprobado. cion de los frutos de las heredades en que se hallen construidos.” La Adición del Sr. Bauqueri : •&gt; Que todo «pitan de buque menor de comisión decia que no estaban comprendidos estos en ei artículo á que 80 toneladas que se hallen á 4 leguas de la costa con tabaco, sal ¿ g¿-</t>
  </si>
  <si>
    <t>Bausa, Vicente</t>
  </si>
  <si>
    <t>Vicente Bausa</t>
  </si>
  <si>
    <t>Gaceta del Gobierno n.º 36</t>
  </si>
  <si>
    <t>…ción, constituyéndose ambos Gobiernos conciliación en ei sitio en que nos dimos el primer abrazo.” responsables á su exacto y religioso cumplimiento bajo la Otra cana del tedíente coronel D. Vicente Bausa. garantía de la buena fe y el honor nacional- Carache 28 de ¡soviembre de 18¿O. ,, Mi estimado 14. El presente tratado será ratificado y cangeado den G.írnte: Acabo de llegar ahora , que son las 10 de la maña tro de 60 horas, y empezará á cumplirse desde,el m…</t>
  </si>
  <si>
    <t>Bausan</t>
  </si>
  <si>
    <t>Gaceta del Gobierno n.º 27</t>
  </si>
  <si>
    <t>121</t>
  </si>
  <si>
    <t>…ar contra la dignidad del Los individuos de la comisión extraordinaria fueron los pueblo que representáis^ y contra la fortaleza que debéis Sres. caballero Galdi, general Beyani , coronel Bausan , co mo-trar, el mendigar la intervención de una potencia ex ronel Yisconti, Bernt, di Donato, barón Poerio, presiden tranjera para comprar la paz, pagándola con la libertad. te Ricciardi, y Borrelli secretario. nRecibisteis pues con gratitud el mensaje Real,…</t>
  </si>
  <si>
    <t>Bautista, Juan</t>
  </si>
  <si>
    <t>Juan Bautista</t>
  </si>
  <si>
    <t>…el duque de Wellington y Mr. go electos para vice-presidenre el Sr. D. Manuel FernanBragge-Bathurst. Esta junta permaneció deliberando des des Tomaz; y para secretarios los Sres. D. Juan Bautista de las tres de la tarde hasta las seis y media; y en las Filgueiras, D. Josef Joaquín Rodríguez de Bastos, D. Jo circunstancias actuales no ha podido menos de excitar su sef Ferreira Borges y D. Luis Rebello. Se discutió luego si mamente la curiosidad pública…</t>
  </si>
  <si>
    <t>…ón anterior , y después TU' Viva .quedaba en Cartagenal — También, ha entrado la barca espa de alguna discusión se mandó pasase á !a:com¡sion para que lo.exten- ñola-, C/trmen, su capitán D. Juan Bautista¡Llorens, procedente de Cu diese en términos que no hubiera, lugar-á interpretaciones en la duda ba y la Havana, en 48 .dias, con azúcar, cueros y algodón. Dice el ca que se habla ofrecido si seria necesaria la canción del Rey antes de la pitán que el bergantí…</t>
  </si>
  <si>
    <t>…ráctico: la virtud del precioso mineral de toga poco cor consideran dotados de cierta infalibilidad, que fundan «jámente en su nocida, demostrada en la virtud de sus-, efectos por D. Juan Bautista amor propio 5- el Tiempo., qu,e en; nuestros últimos dias-ha, presentado al Figos, cura párroco de la villa, de Almenara , socio, de, mérito de ..la mundo egemplos tan y extraordinarios,.que han causado .admiración á Sociedad económica de Valencia: un cuadern…</t>
  </si>
  <si>
    <t>…icado este Sr. diputa naba debía aprobarse este dictamen. do; y el Sr. Solanot expuso que .por esta contribución se gravaba de El de Ja de Poderes , relativo á Jos presentados por D. Juan Bautista masiado la clase agrícola, porque ademas del diezmo que tSnia qué Valdés, diputado nombrado en Monterey en representación de las pagar se le imponía, una contribución igual á la de las otras clases, y cuatro provincias internas de Oriente de Nueva-España : la…</t>
  </si>
  <si>
    <t>Bauzá</t>
  </si>
  <si>
    <t>…mapa que se presentó á las Cortes ordinarias se puso por cabeza ds dificultad cuál de las dos jsias de la Gran Canaria ó Tenerife ha da esta provincia á Segorve; y la comisión del Sr. Bauzá lo pone alterna tener la capital de la provincia, y esta cuestión contiene principios tivamente, pues dice 6 Segara* 6 Castellón de la Plana; de manera que ya son muy conocidos; discutida esta cuestión, entra otra sobre que la comisión misma está dudosa sobre…</t>
  </si>
  <si>
    <t>Bauza, Feiipe</t>
  </si>
  <si>
    <t>Feiipe Bauza</t>
  </si>
  <si>
    <t>…cuenta de un oficio del Sr. secretario de la Gobernación de á llenar el benéfico objeto que roe he propuesto, encargo á V. S. que la Península, en que participaba á las Cortes que D. Feiipe Bauza , di por los medios que le dicte su patriotismo y amor á los defensores de rector de la comisión central, á quien se le habia señalado hasta 6o£ rs. •la patria contribuya á aumentar dicho fondo, para que se realice tan sobre el sueldo que disfruta, creyendo q…</t>
  </si>
  <si>
    <t>Bauza, Felipe</t>
  </si>
  <si>
    <t>Felipe Bauza</t>
  </si>
  <si>
    <t>…a en contradicción con lo que la comisión proponía. E-.ta (continuó) latayud está a un extremo de este territorio, que tiene á lo mas de 34 dice que el año de 1813 fue comisionado D. Felipe Bauza, v calla á 40 ieguas de.jargo sobre 12 leguas de ancho; y no tiene casi irregu que lo fueron igualmente el Sr. consejero de Estado D. Martin de Galaridad ninguna. taparte de Teruel no tiene nada de montuosa mas ray y Lastarria. Ademas cuando se hizo ¡a divisi…</t>
  </si>
  <si>
    <t>…atado de este expediente, el cual había desaparecido, y lo único que mayores ventajas sobre todas las demás poblaciones que la forman. existía era un borrador que habia conservado D. Felipe Bauza, encar El Sr. López (D. Marcial) manifestó las ventajas que tenia la ciu gado de proponer la nueva división. dad de las Palmas sobre todas las demas de las islas Canarias, por cu • El Sr.Cortés prosiguió: La provincia del'.norte de Valencia debe yo motivo deb…</t>
  </si>
  <si>
    <t>…ia y descrédito de los te i.t parte relativa á Guipúzcoa, la comisión de la nueva división.del; malvados; y no duda que al menor motivo de riesgo en que pudiera territoxio oiga al Sr. D. Felipe Bauza, que acabada llegar de aquella peligrar la existencia de nuestro sagrado Código se presentarían de una provincia, y que se atienda á las representaciones de Ja diputación pro manera irresistible todas las autoridades y corporaciones constituciona vincial y ot…</t>
  </si>
  <si>
    <t>…años pudieran tener pre D. Benito Antón Pisador, el conde de Clavito, D. Diego Parada,. sente los vecinos los nombres de sus conciudadanos qué en los anteriores D. Dionisio Solis, D. Felipe Bauza, D. Jcsef Marti, D. Josef Nuñez merecieron la confianza pública; pero no nos ha sido posible reunir la Arenas , D. Juan Ailonca, D. Juan Lasaña , D. Manuel Flores Calde lista completa de todos los compromisarios. Esperamos que tanto este rón , D. Mariano Laga…</t>
  </si>
  <si>
    <t>…e extiende por to D. Luis Landáburu , oficial de la' D. Juan de la Cruz Murguiro..... das parles; las ideas liberales van siendo conocidas hasta de las gentes secretaría Estado, " D. Felipe Bauza, director del de* del campo; los pueblos no ignoran que un Gobierno representativo es</t>
  </si>
  <si>
    <t>Bayo, Bernardo del</t>
  </si>
  <si>
    <t>Bernardo del Bayo</t>
  </si>
  <si>
    <t>…o próximo siguiente remita Torres, encargados de la cura de almas de dicha villa de Fitero; ia ley a su defendido las instrucciones convenientes, á fin de que le comuni condenó) á D. Bernardo del Bayo, responsable del referido impreso, á que los testigos y demas medios de defensa de que pretenda valerse. la pena de un mes de prisión y en la multa de 500 rs. vn. : y en ¿&gt;i desde la entrega de los autos al procurador hasta el correo próximo su consecuencia e…</t>
  </si>
  <si>
    <t>Bayon, Basilio</t>
  </si>
  <si>
    <t>Basilio Bayon</t>
  </si>
  <si>
    <t>…«iendo el Regente un Príncipe creado de nuevo, sino un Príncipe here D. Antonio Ram'rez. D. Josef Gárgolas. ditario, ningún interes tenia en conservar el sistema constitucional, y D. Basilio Bayon. D Josef Acosta y Montealegre. que ligado á él por fuerza, debia considerársele como un hombre ofen Sres. Castilla , de Pamplona. D. Josef Antonio Iñana , de Pam dido, y por consiguiente sospechoso; pues si es verdadero el proverbio D. Diego y D. Rafael del R…</t>
  </si>
  <si>
    <t>Bayona, Joaquín</t>
  </si>
  <si>
    <t>Joaquín Bayona</t>
  </si>
  <si>
    <t>…sa. Estrila el licenciado D. Felipe Martínez de Morentin; D. Joset su favor la opmion pública, y que las discusiones entre el poder legis Harina, presbítero de los Arcos. Sangüesa D. Joaquín Bayona; D. G»' lativo y el egecutivo eran siempre muy peligrosas. briel Antonio Mancho , suplente actual de Ja diputación de Navarrt. Otros Sres. d,pialados hablaron en favor y en contra del artículo, Olite D. Sebastian Rodríguez,; presbítero de Tafalla. habiendo ma…</t>
  </si>
  <si>
    <t>Bayona, Wittgens-</t>
  </si>
  <si>
    <t>Wittgens- Bayona</t>
  </si>
  <si>
    <t>…ntado considerablemente las fuerzas rusas en rXANCtA. las fronteras de la Besarabia. Hoy se desmiente la noticia de haber lle gado á esta provincia la mayor parte del egército del general Wittgens- Bayona 12 de Agosto. tein. Es verdad que se decia que llegarian algunos cuerpos; pero esto Esta ciudad ha tenido y tiene la honra de albergar en su seno á mu aun no se ha verificado. chos de aquellos señores españoles que suspiran por Constantinopla y Corría la voz…</t>
  </si>
  <si>
    <t>Bazar, Domingo</t>
  </si>
  <si>
    <t>Domingo Bazar</t>
  </si>
  <si>
    <t>…cotra de varios vecinos de Xotana eu Murcia contra el alcaide constitu guiria.á Hi Nación Je que se aprovechasen aJgunoi-edtficios de los cional da aquella villa en el ano pasado, D. Domingo Bazar: otra de terios suprimidos para la enseñanza pública;y habiendo meditado la co D. Ambrosio Domingo de Vera y otros vecinos de Montilla de la Se misión sobre este asunto , opinaba que debía dejarse á ia disposición rena contra el alcalde constitucional de dich…</t>
  </si>
  <si>
    <t>Bcfarull, Josef Borras y</t>
  </si>
  <si>
    <t>Josef Borras y Bcfarull</t>
  </si>
  <si>
    <t>…tión y todas las manto- personas que justaren hacerse con alguno de ellos podrá avistarse en tras que la precedieron. Y si no , que diga el Espectador si él cree de esta corte con D. Josef Borras y Bcfarull, que vive en la calle del Fac buena fe que puedan titularse representantes del pueblo de Sevilla los tor , cas 1 nueva sin número, cinrto principal de. la irquerd.i, el cual que firman con este título la mencionada representación : que digan en calidad de enc…</t>
  </si>
  <si>
    <t>Bcngoechea, Juan Josef</t>
  </si>
  <si>
    <t>Juan Josef Bcngoechea</t>
  </si>
  <si>
    <t>…posición del ayuntamiento constitucional de Huesca, en la que da graPortugalfte. D. Miguel Butrón. sias á las Cortes por haber sido nombrada aquella ciudad capital de la Durango. D. Juan Josef Bcngoechea , cari. provincia de su nombre. Las Cortes quedaron enteradas. D. León de Jiuregui. Se mandó pasar 4 la comisión de División territorial una represen Guernica. Aun no se sabe. tación del ayuntamiento constitucional de un pueblo de la provincia de Valencia, en…</t>
  </si>
  <si>
    <t>Bcrlrand</t>
  </si>
  <si>
    <t>…unstancias melancólicas sobre los progresos de la enfer lencias de la Sicilia. medad de Napoleón. Los demas papeles consistían en copias de las car INGLATERRA. tas escritas por el general Bcrlrand al lord Liverpool, y de ¡as esquelas de Sir Hudson-Love, en que manifestaba á este general que no podia Lár.dves ig de Agosto. remitir aquellas cartas, porque en ellas se daba el título de Magcstad Varias cartas de Constautinopia del 10 de Julio, que aqui se…</t>
  </si>
  <si>
    <t>Bcrmudez, Pedro</t>
  </si>
  <si>
    <t>Pedro Bcrmudez</t>
  </si>
  <si>
    <t>…e desea. Supongamos que se Después de habar leido el Sr. Calatrava la observación que hacia á declara que la pena de obras públicas es infamatoria; una de dos, ó nos este artículo D. Pedro Bcrmudez, fue aprobado el artículo. veríamos obligados á no imponer esta pena sino á delitos que fuesen in El Sr. Calatrava leyó las observaciones que se habían hecho sobre famatorios en la opinión , ó si lo hiciésemos, chocaría .a opinión con este artículo por varias…</t>
  </si>
  <si>
    <t>Bcrnabeu</t>
  </si>
  <si>
    <t>…iscusión, y se levantó la sesión á las 12. También se leyó y aprobó el dictamen de la comisión especial Sesión ordinaria del 30. de las causas de Estado acerca de la solicitud del Sr. Bcrnabeu, relativa Se leyó y aprobó el acta de la anterior. á Ja reparación de su honor vulnerado en la que se le habia seguido A la comisión segunda de Legislación se mandó pasar una solicitud en la curia eclesiástica de Orihuela, y después por apelación en la de del…</t>
  </si>
  <si>
    <t>Bcrriz, Justo</t>
  </si>
  <si>
    <t>Justo Bcrriz</t>
  </si>
  <si>
    <t>…t3 que sane.” D. Juan de Prats , del primero de Cataluña : al coronel ID. Ignacio ViEl Sr. Calatrava dijo que el colegio de Zaragoza y la audiencia de llasana, del de Tarragona: a D. Justo Bcrriz , del de Barcelona: á Don Pamplona habían informado acerca de este artículo. Quedó aprobado. Santos Ladrón , del segundo de Aragón: á D. Josef Moragrega, del de Art. 99. « Los jueces y tribunales procurarán en cuanto lo permi Llostalrich ; y a D. Victoriano B…</t>
  </si>
  <si>
    <t>Be-</t>
  </si>
  <si>
    <t>…igen, poro» una partida considerable de diamantes. Llegó la segunda de reclamar el socorro de un profesor instruido , y solo seguir Uto-Janeiro á Lisboa en el navio en que vino él lord Be- indistintamente el de sus camaradas, es bien claro que el resford, y debía pagarse á la orden del tesorero general, referido virus quedó por todo este tiempo inerte y sin ac listas letras sé negociaron en la bolsa de Lisboa , y se reini- ción en todo ei siste…</t>
  </si>
  <si>
    <t>Beandot, Félix Ramón</t>
  </si>
  <si>
    <t>Félix Ramón Beandot</t>
  </si>
  <si>
    <t>…el cetro de hierro de Sevilla, en providencia de 6 de Marzo de este año ha declarado que la cien tiranos.... Tales son los resultados benéficos da las numerosas pro ley absuelve á D. Félix Ramón Beandot, autor de dicha nota , y res mesas de estos pérfidos fanáticos. Un horrible desierto es la tierra pro ponsable de ella; y en su consecuencia mandó se alce la caución que metida que han anunciado á los pueblos...... Estos Nerones sin embar tiene otorgada el ci…</t>
  </si>
  <si>
    <t>Beatriz</t>
  </si>
  <si>
    <t>…D. Josef Parroldo, les sobre qué se fuñdáron los dos patronatos, mandados fundar del comercio. En Toja en la de Francisco Sargatal , id. por Doña Juana Caldera Freile, hija de la Doña Beatriz, en el En Burgos en la de D. Paulino Alegría, de id. En Santia convento que fue de Sta. Clara de esta corte; y á cuyo goce y go en la de D. Antonio Stolle, de id. En Barbastro en la obtención de dichos patronatos está reservado igualmente el ele D. Antonio Ca…</t>
  </si>
  <si>
    <t>Beauclerk, A.</t>
  </si>
  <si>
    <t>A. Beauclerk</t>
  </si>
  <si>
    <t>Gaceta de Madrid n.º 235</t>
  </si>
  <si>
    <t>125° , , Él almirante lord A. Beauclerk escribe.de JPortsmonth que se espe mucha incomodidad acudirán diariamente muchos mas á las sesiones raba que. S. M. honraría con su presencia .aquel puerto. por la localidad central de aquel edificio. ■ - La Rema lia estado gravemente enferma estos dias: ayer…</t>
  </si>
  <si>
    <t>Beaudri, Pedro</t>
  </si>
  <si>
    <t>Pedro Beaudri</t>
  </si>
  <si>
    <t>Gaceta de Madrid n.º 236</t>
  </si>
  <si>
    <t>…ancias masó menos complicadas, pub :bailes anagogos y da un p.tdedú, que bailará ia señora Celia Moilarr v el quen alguna noticia ? Si la gaceta de Francia conservara el menor aso Sr. Pedro Beaudri, y con tolo su correspondiente aparato.” (Diario mo de vorgílenza y de moralidad , se ocultaría debajo de tierra al de Madrid-de- a r d f Filero.') ver desmentida tan auténticamente su impudente calumnia, y llevaría Las circunstancias que acornó.tíían á tan a…</t>
  </si>
  <si>
    <t>Beaumanoir</t>
  </si>
  <si>
    <t>Gaceta de Madrid n.º 270</t>
  </si>
  <si>
    <t>…la his Ciencias hizo saber al Rey que la invención de los globos no atraía toria seria larga. utilidad alguna. El famoso Franklin, que se hallaba en Paris, solamente • El célebre barón Beaumanoir ofreció pues presentar el mínimum de decia que la invención era un niño recien nacido, que bien educado sa la máquina aerostática de Montgolfier; á saber: un globo de i-é pies be Dios lo que llegaría á ser; y un famoso escritor alemán, Wiland de diámetro con…</t>
  </si>
  <si>
    <t>Beaumont, Beltran de</t>
  </si>
  <si>
    <t>Beltran de Beaumont</t>
  </si>
  <si>
    <t>…20 rs., y en renta 4 ferrados Francisco de las Barreras, D. Francisco -Címbrelo Rubio, D. LLamon de cebaba. En la veiga de tita. Cruz de Arriba, 4 ferrados de labor y de la Cruz y D. Beltran de Beaumont; ha determinado la junta guber monte, en venta 720 rs., y en renta 4 ferrados de cebada.__En la vet- nativa del mismo establecimiento que para evitar todo perjuicio, y que ga de Sta. Cruz de Abajo , 2 ferrados y un cuartillo , en venta 680 rs., en lo sucesivo…</t>
  </si>
  <si>
    <t>Béceira, Josef-Matía Luciano</t>
  </si>
  <si>
    <t>Josef-Matía Luciano Béceira</t>
  </si>
  <si>
    <t>…te plentes , Sres. R. Rafael Mangipo , contador de laHacienvla nacional de asunto, y sobré qué lis óbjras'qué había hecho dicha" compañía'no ha Valladolíd de Mechoacan , y el Lie.¡D. Josef-Matía Luciano Béceira¿ bían producido utilidad ningupa, concluyó manifestando que la,comi cura de Tecal&gt;. : sión: no había podido roenos’dé. proponer á las Cortes el art. i." de que, Por la provincia de GuanajuatOc los Sres. J.ic.i R, Manuel Cortad se trataba. 7. .7 ■ zar, residen…</t>
  </si>
  <si>
    <t>Becerra, Juan García</t>
  </si>
  <si>
    <t>Juan García Becerra</t>
  </si>
  <si>
    <t>…ar , el hacendado, que María Santiago, D. Josef Mariano Vallejo, D. Juan Angel Ortiz, por su educación, su carácter ó su rango en la sociedad debieran ser D. Juan Antonio Sánchez, D. Juan García Becerra,.D. Juan Vera, el egemplo de. sus conciudadanos, asi también la envidia , la venganza, D. Manuel Josef Quintana y D. Pedro Solana. la parcialidad , la ambición, y todas las pasiones mezquinas que envile Parroquia de S. Miguel y S. Justo, j- electores. cen y d…</t>
  </si>
  <si>
    <t>Bedova, Francisco Manuel de</t>
  </si>
  <si>
    <t>Francisco Manuel de Bedova</t>
  </si>
  <si>
    <t>Gaceta de Madrid n.º 268</t>
  </si>
  <si>
    <t>…s, sorería general á favor de D. Juan Santiago Mauco, uno de • 4/5 2$ rs., de Romania , baña la dilatada y fértil, llanura, de, la,antigua Argolida, y otro de 9299 rs. , dados por D. Francisco Manuel de Bedova en 7 primer asiento de la civilización griega; y.que con motivo del hermoso de Abril y. 18 de Mayo del año de 1808 ; se suplica á la persona en puerto de Ñapóles.seria acaso aun. hoy en, dia el mejor parage para fun cuyo poder se hallen ó sepa su paradero los…</t>
  </si>
  <si>
    <t>Bedoya, Josef Moílinedo de</t>
  </si>
  <si>
    <t>Josef Moílinedo de Bedoya</t>
  </si>
  <si>
    <t>…sentados. Al tiempo que estos, acercándose nombre del último poseedor, y habia sabido íntimamente que lo fus ■ la mesa, anuncien el resultado de su recuento, publicará el primero D. Josef Moílinedo de Bedoya, por lo que pidió y se mandó que coa desde su asiento el número total de votantes; y hecha la confrontación, suspensión del remate, con el fin de evitar perjuicios y reclamaciones de se cerciorará el Congreso de ia legitimidad de la resolución. Art. 119. Si l…</t>
  </si>
  <si>
    <t>Bedrinelli</t>
  </si>
  <si>
    <t>…esa de Castelcícala •- el cuerpo de ingenieros &amp;c. le dirige el ma lebrarse en la ciudad de Andújar, está señalado el dia 26 del cor riscal de campo Escamarde , y la artillería el barón Bedrinelli. riente. S. A. R. el Príncipe Regente habia ya partido para el egército, Una hacienda de olivas , nombrada la Aragonesa, término de Mar llevando á su lado al general Parissi y al duque de Ascoli; lo mismo molero, en 899,389 rs. había verificado su augusto her…</t>
  </si>
  <si>
    <t>Begani</t>
  </si>
  <si>
    <t>…si había de ría en el último trimestre, procedentes del mismo origen, se admitirse ó no la memoria del Sr. Castagna. valúan en 7.430,000 duros: resulta por total ingreso de las El Sr. Begani dió cuenta de los asuntos de que había rentas la cantidad de 20.249,637 duros; la cual , unida á tratado el consejo de generales, presidido por S. A. 11., en los "2.676,607 duros que resultaron á favor de la tesorería su sesión del 23 , en la cual había manif…</t>
  </si>
  <si>
    <t>Beganí</t>
  </si>
  <si>
    <t>…rovisto varios empleos pertenecientes á su ramo. Las Cortes que y todas las milicias de aquella provincia. ' daron enteradas, y:se mandaron pasar a la comisión de .Diputaciones El general Beganí, gobernador de Gácta, manda las fuéfzas situa das entre Estri y Fóndi. ' . ’ ' ‘ .provinciales. A ... La comisión especial nombrada para pedir informe al Gobierno y exa- El general Arcoi’ito manda una división en Terracina. .ininar los suceso? ocurridos en Al…</t>
  </si>
  <si>
    <t>…eñalado el dia 27 del corriente. Parlamento el coronel Pepé, y será la primera que ataquen los austría El palacio Casa fuerte, sito dentro del casco de la villa de Brozas, cos. El general Begani, que defendió á Gaeta en 1815, la defiende en 987,693 rs. ' _ También ahora. El 6 reinaba la mas asombrosa tranquilidad en la capi El horno de pan cocer llamado Nuevo , sito en el cerro del Palatal de Nápoles, á pesar de que casi todas las tropas habian march…</t>
  </si>
  <si>
    <t>Begnani</t>
  </si>
  <si>
    <t>Gaceta de Madrid n.º 115</t>
  </si>
  <si>
    <t>…entonces poc ■ comandantes de; Gáeta y de Pescara; para que.entregaran inmediata ;su viveza, designarusta ley con el epíteto de ley culpable: ” ' mente estás fortalezas. Como el -general Begnani había hecho algunas Mr.'Lainé prosiguió apoyando.su opinión en egemplos sacados de -salidas de Gapua con • lanchas cañoneras contra las tropas, austríacas .la historia deL.Parlaniento de Inglaterra,■ y continuó diciendo que se hallaban en la desembocadura del…</t>
  </si>
  <si>
    <t>Behir</t>
  </si>
  <si>
    <t>2022</t>
  </si>
  <si>
    <t>…época se lian extin mentación , que al fin ha acabado por una sublevación declarada. Aquél guido 22.189,700 francos de renta de la deuda. bajá consiguió echar del monte Líbano al príncipe Behir, sustituyén dole gefes á su arbitrio; pero estos mismos gefes, á quienes se reunie IRANCTA. ron los cristianos , los niaronitas y los drusos, tomaron partido por el an-: tiguo príncipe, levantando banderas para sustraerse al dominio del nue Parts ir de Diciem…</t>
  </si>
  <si>
    <t>Beira, Príncipe de</t>
  </si>
  <si>
    <t>Príncipe de Beira</t>
  </si>
  <si>
    <t>…3o DE JUNIO DE 1821. NOTICIAS EXTRANGERAS. V RANCIA, IORTUGAI. París 18 de Junio. Ultramar__Rio-Janeiro 31 de Marzo. CAMARA de tos diputados.__Concluye la sesión del 7. El Sermo. Sr. Príncipe de Beira, augusto hijo de S. A. el Prín , Sí, señores (prosiguió Mr. Bignon), nuestras disensiones de lado cipe Real del Reino-Unido de Portugal, Brasil y Algarbes, fue bau derecho y de lado izquierdo deben ser absolutamente agenas de la cues tizado en el Real sitio d…</t>
  </si>
  <si>
    <t>Bejar, Joaquín</t>
  </si>
  <si>
    <t>Joaquín Bejar</t>
  </si>
  <si>
    <t>…les administrase S. Gerónimo, el comisario de guerra D. Tomas Ortega, al presbítero pronta justicia Sobre’lás ocurrencias del dia 2 , y se les- diese el valor D. Alejo Acebes, al capitán D. Joaquín Bejar, D. Antonio Gascón de lo que habían perdido , cobrándolo después la Nación de quien hu y D. Josef Mingo , dijo: que debia declarar y declara que por la re biese lugar. tractación de Josef Espelta y Sebastian Fuster, soldado.- del regimiento El Sr. presidente…</t>
  </si>
  <si>
    <t>Belardo, Pedro</t>
  </si>
  <si>
    <t>Pedro Belardo</t>
  </si>
  <si>
    <t>…nandez García para que el puerto de Gara- Se aprobó el dictamen de la comisión de Legislación con relación chico, en la isla de Tenerife, sea cabeza de partido. á la exposición de D. Pedro Belardo, vecino y del comercio de la CoA la de Diputaciones provinciales se pasó una instancia de D. Jo ruña, que por sí y á nombre de 18 individuos hicieron «1 Congreso, sef Parazuelos , en que manifiesta los perjuicios que se seguirían de que manifestando haber sid…</t>
  </si>
  <si>
    <t>Belíoc, Francisco</t>
  </si>
  <si>
    <t>Francisco Belíoc</t>
  </si>
  <si>
    <t>Gaceta de Madrid n.º 187</t>
  </si>
  <si>
    <t>…s vanos pasquines, en que le atacaban fuer Josef Viudel y Francisco Glajera, remitidos por ei conten -c.o ;üez temente , teniéndole por un tirano , y digno de ser compañero de Ro- D. Francisco Belíoc en 17 de Marzo de 18 jo por robos egecutsuo* bespieric en el sistema de policía. Sus satélites tuvieron buen cuidado en esta ciudad hitado de es’..» cama. Temada per el Viudel con -a ccu-</t>
  </si>
  <si>
    <t>Bello, Juan</t>
  </si>
  <si>
    <t>Juan Bello</t>
  </si>
  <si>
    <t>…nantiales salados, y han lle bítero D. Domingo Arroyo;.en Salvatierra el cura de Montejo, y en gado ya á 6%o pies de profundidad. En este punto se ha visto precisado &gt; esta ciudad D. Juan Bello, siendo de notar que cuando esperábamos Mr. Glenk á usar de un tubo de estaño de igual longitud para conti que alguno de los Sres. gobernadores de la mitra hubiese tomado á su nuar sus ensayos. Ya se empieza á sacar agua salada, y no se duda del cargo pronunc…</t>
  </si>
  <si>
    <t>…ín Morgado. Picdrahita D. Pedro Ramón y Zaldruendo , juez s’iéndose obligada á restituirse á Antequera. El fruto de esta acción ha de primera instancia de aquel partido. Salamanca D. Juan Bello, ve sido el haber herido á algunos ladrones y haberles cogido cuatro caba cino de la capital , ganadero. Salvatierra D- Pedro Diaz de Bustamanllos, varias armas de fuego , cuatro capas y otros efectos hallados en el te , cura párroco de Montejo. sino del comb…</t>
  </si>
  <si>
    <t>Belloc, Francico</t>
  </si>
  <si>
    <t>Francico Belloc</t>
  </si>
  <si>
    <t>…Corriendo los traslados con la acusación fiscal. Providencia de visita: siga rio Manzanares, perteneciente al Crédito público, tasado en 145,133 Antonia Duarte, remitida por dicho juez D. Francico Belloc en reales, y rematado en^ojQ, á pagar en plazos conforme al decreto -o de Abril de 1820 por varias raterías. Estado de esta causa. Conferido de 9 de Noviembre último, en créditos contra el Estado; y para el de traslado al-reo de la acusación fiscal. Providenc…</t>
  </si>
  <si>
    <t>Belloc, Francisco</t>
  </si>
  <si>
    <t>Francisco Belloc</t>
  </si>
  <si>
    <t>…operaciones. Hay 16 sociedades de esta clase; á saber: cia de visita: siga. en- pf.tersburgo. i.° La sociedad libre de economía rural: la mas Ramón Cabello, remitido por el mismo juez D. Francisco Belloc antigua de estas instituciones existe hace ya tío años. El presidente ac en 31 de Agosto de 1820 por sospechoso y desertor de presidio. Estado tual es Mr.ide Scrtrenzevitsch, arzobispo católico. La sociedad ha pu de esta causa. En estado de sentencia, provide…</t>
  </si>
  <si>
    <t>…uno'de los mas antiguos del impe rio, y parece que ha tomado por modelo al Monitor francés. 2.0 El videncia de visita: siga. _ _ . „ 11 ' Miguel Rufo, remitido pbr el juez segundo D. Francisco Belloc diario de Moskuiv, publicado por Ja universidad de esta ciudad, es del en 20 de Noviembre de 18*20 por robo de una escopeta a D. JosefGa- mismo género. g.? El diario de Kasan , redactado por los profesores vilanes, teniente de Farnesio. Estado dé esta causa.…</t>
  </si>
  <si>
    <t>Belmore</t>
  </si>
  <si>
    <t>…apoyado de algún modo lo que. se Llegada la hora se reunieron; y habiéndose leído de nue llama los principios monárquicos , en virtud de los cua vo el discurso del Rey, propuso el lord Belmore que se les se pretendía que en adelante no hubiese mejora alguna presentara á S. M. una respetuosa exposición en nombre de en los Gobiernos sino dimanada de los tronos; lo que era lo las Cámaras. mismo que decir que las cadenas deí despotismo habían de Apoyó…</t>
  </si>
  <si>
    <t>Belorado, Miguel de</t>
  </si>
  <si>
    <t>Miguel de Belorado</t>
  </si>
  <si>
    <t>…La repartición entre los propietarios y contribuyentes se en la audiencia de Galicia, á D. Matías Herrero Prieto, D. Diego hará en cada pueblo por repartidores.” Alcalá Gal ¡ano y D. Miguel de Belorado. El Sr. conde de Toreno manifestó que podria hacerse alguna modi ZJsta.de las alhajas robadas en la iglesia de S. Mames de la villa de ficación en este artículo . para que no se dijese que se oponía 4 1 ■&gt; Cons Cuenca de Campos la noche del 24 al amanecer el…</t>
  </si>
  <si>
    <t>Belza, Francisco</t>
  </si>
  <si>
    <t>Francisco Belza</t>
  </si>
  <si>
    <t>…mas 7, 8, 12 y 46 pu da en los medios dé produrár sú biene'stár dél triodo qué blicados en la gaceta del 23 de Mayo último , escrita por Ka creído mas conveniente á sus intereses; D. Francisco Belza, subteniente del regimiento infantería El Gabinete ruso, después de haberse ocupado éñ ef de Murcia. a rreglo de los negocios dé Polonia, cuya' representación na Memoria sobre el reemplazo del egército y sobre la re-, cional y Constitución dada por el Emperad…</t>
  </si>
  <si>
    <t>…de muchos dias. Nada se sabe de su con Otra sobre la pronta formación de ajustes de los cuer tenido ; pero es cierto que el tribunal de los Pares se jun pos del egérciro, su autor D. Francisco Belza, subteniente tará-también mañana y I?s dias siguientes. del regimiento infantería de Mu retal NOTICIAS DEL REINO. En virtud del presente aviso se cita y emplaza á Juan Matías Geltzer, natural de Stolberg,. cerca de Aquisgran, S. Sebastian 5 de Enero. departam…</t>
  </si>
  <si>
    <t>Belzunce</t>
  </si>
  <si>
    <t>…de 9 de Marzo que han sido' El coronel Paulino murió en el hospital-de resultas de.sus heridas; fusilados cuatro gefes de tos de la revolución de S. Marcos; á saber; y el teniente coronel Belzunce, ayudante de campo que habia sido de un general , un mayor y dos capitanes. El presidente Boyer tomó po Cristóbal, y que también habia tomado parte en la insurrección , fue- sesión de S. Marcos sin que. ocurriese la menor desgracia. enviado á Puerto-Príncipe,…</t>
  </si>
  <si>
    <t>Beñara, Hipólito</t>
  </si>
  <si>
    <t>Hipólito Beñara</t>
  </si>
  <si>
    <t>…proyecto que lo es en mado el ayuntamiento de N. en aquella provincia. el estado actual: A mi entender será mucho mayor, pues para que un , . - A la de Hacienda una exposición de D. Hipólito Beñara y otros orador sea llamado al orden se necesita un primer motivo , cuya publi cosecheros de vino de la villa de Briones, sobre el perjuicio que se les cidad no podréis ¡mpedir-iEl orador continúa, y i un nuevo llamamien sigue con el estancó de los cinco arbit…</t>
  </si>
  <si>
    <t>Benavides, Francisco Bernardo de Quirós y</t>
  </si>
  <si>
    <t>Francisco Bernardo de Quirós y Benavides</t>
  </si>
  <si>
    <t>…ntiende en la reforma de aranceles se mandó Oviedo Dr. D. Domingo Somoza, gobernador del obispado, canó pasar'un expediente instruido á instancia de un vecino de Alicante so nigo. D. Francisco Bernardo de Quirós y Benavides, comandante de bre que se prohíba la introducción de manufacturas de hierro del exla milicia nacional de caballería, hacendado. D. Josef Vázquez Prada, trangero , y que se fomente esta industria en la Península. teniente del regimiento provincial. G¡jan D. Ju…</t>
  </si>
  <si>
    <t>Bencomo</t>
  </si>
  <si>
    <t>…abierta y despejada. en seguida que este puebio no había sido capital hasta el ano de 1819 - Si se trata de Segorve con Tespecto á salud pública, no hay en to -por el influjo del Sr. Bencomo , confesor de S. M.: que el obispo ha da España un pueblo mas sano; de manera que la mayor parte de los bía residido constantemente en las palmas; y que aunque se decía que habitantes ds Valencia y su provincia cuando están enfermos van á te en S. Cristóbal d…</t>
  </si>
  <si>
    <t>Benedicta, María Francisca</t>
  </si>
  <si>
    <t>María Francisca Benedicta</t>
  </si>
  <si>
    <t>Gaceta de Madrid n.º 198</t>
  </si>
  <si>
    <t>…e se le de un millón de reis mensual. A cada una de las S'ras. Infantas 4008 reís mostrara que habia un solo enemigo de ¡a religión y de la monarquía mensuales. A la Sra. Princesa Doña María Francisca Benedicta su asig que no fuese amigo del nuevo método de enseñanza i estaba pronto á ren nación de 80 millones de reis anuales, cuya suma total ascendía á un dir Jas amias. millón y 700© cruzados. El barón Cuvier, comisario delRey, tomó la palabra , y rebatió El Sr. Sa…</t>
  </si>
  <si>
    <t>Beneito, Joaquín Beneito y</t>
  </si>
  <si>
    <t>Joaquín Beneito y Beneito</t>
  </si>
  <si>
    <t>…jeta al Sultán, pues tal es el Vázquez Qucvedo: para la de Cieza á D. Tadéo Rico Bononat: para giro que van tomando los acontecimientos en aquellos paises, que bien la de Hellin á D. Joaquín Beneito y Beneito: para la de Chinchilla pueden fundarse esperanzas de que su decidida resolución de sacudir á D. Benito Romero: para la de Yecla á D. Cirios de la Cruz Pujalte: el yugo turco podrá tener efecto. Se renueva como seguro el rumor de para la de Villena á D. Pablo…</t>
  </si>
  <si>
    <t>Benig-</t>
  </si>
  <si>
    <t>…iscal príncipe Barclay de Tolly; la segunda está á ios señalen el término mas breve posible y perentorio para llevar á efecto órdenes del conde de Wittgenstein, que ha sucedido ai conde Benig- este arreglo, dando cuenta á S. M. luego que se halle completamente sen. El cuartel general dei primer cuerpo está en Mohílow sobre el egecutado á fin de poderlo manifesía' á las Cortes á principios del mes Dniepper en la Rusia blanca, y las tropas que le com…</t>
  </si>
  <si>
    <t>Benitez</t>
  </si>
  <si>
    <t>…rea preguntó cómo se compensaría el derecho que antes i.®. El presupuesto de 1.609,500 rs. pagaba el tabaco. 7.a El envío de misioneros, con preferencia á' todo, á las islas Fi El Sr. Benitez dijo que el producto de los derechos del tabaco en la lipinas. jsla.de Cuba tenía un valor insignificante, pues siendo uno de ellos un 3.0 El aumento dedos escribientes con c¡ sueldo que los dein.is; 5 por roo d; extracción", se habían visto años que solo hab…</t>
  </si>
  <si>
    <t>…o su procedencia, én cuyo caso serán castigadas con la octava á mandó imprimir. la cuarta parte de ia pena prescrita contra los autores del delito. Entró á jurar y tomó asiento el Sr. Benitez, diputado por la pro » También se castigará solamente con la octava á la cuarta parte vincia de la Havana. de dicha pena en todos los casos ,á las personas receptoras ó encubrido Se ley ron las minutas de los decretos sobre introducción de linos ras de cualqu…</t>
  </si>
  <si>
    <t>…la Persia obra Aprobada el acta de la sesión anterior, se d.ó cuenta de haber nom ya hostilmente contra la Puerta. El Correo ingles confirma la mudanza brado el Sr. presidente al Sr. Benitez para la comisión de Comercio. de ministros ; solo desmiente el anuncio de que Mr. Canning va de Se mandaron repartir entre los señores d;pulados rtcio ejemplares gobernador general de la India. l-Tabiando de las cosas de Irlanda, dice de la circular de » a de…</t>
  </si>
  <si>
    <t>Benitez, Francisco</t>
  </si>
  <si>
    <t>Francisco Benitez</t>
  </si>
  <si>
    <t>…. , como si su pro Francisco Legovier, D. Josef Micolta y D. Domingo Quevedo: tenien ducto total procediese de un solo beneficio ó pensión ” tes retirados D. Juan Antonio Benitez, D. Francisco Benitez, D. Jo be leyó el art. 9. , que decía: « De las rentas de la mitra patriarca1, sef Giiarte y D. Jíián Josef Benitez : D. Pedro Sorda, ciudadano. Igual después de rebajadas la di-cuna y pensiones legítimas, se recaudará todo mente habían pedido sér empleados e…</t>
  </si>
  <si>
    <t>Benitez, Jíián Josef</t>
  </si>
  <si>
    <t>Jíián Josef Benitez</t>
  </si>
  <si>
    <t>…solo beneficio ó pensión ” tes retirados D. Juan Antonio Benitez, D. Francisco Benitez, D. Jo be leyó el art. 9. , que decía: « De las rentas de la mitra patriarca1, sef Giiarte y D. Jíián Josef Benitez : D. Pedro Sorda, ciudadano. Igual después de rebajadas la di-cuna y pensiones legítimas, se recaudará todo mente habían pedido sér empleados el segundo'gefe del benemérito ba Jo que exceda de la cantidad líquida de 10 millones de reis. De ¡as rentas tallón d…</t>
  </si>
  <si>
    <t>Benitez, Josef</t>
  </si>
  <si>
    <t>Josef Benitez</t>
  </si>
  <si>
    <t>…n la Constitución podía nom g.° Que las Cortes pueden aprobar los poderes de los Sres. ID. Jo brar jueces magistrados, podía proveer los empleos político,, militares y sef Zayas y D. Josef Benitez, por estar conformes con lo prevenido civiles; pero no los gobernadores de los obispados ni otras dignidades por la Constitución. eclesiásticas, porque lo.eran por lo» cabildos respectivos. s Se leyó un voto particular de los Sres. Cristo Condey Murfi, indi A…</t>
  </si>
  <si>
    <t>Benitez, Juan Antonio</t>
  </si>
  <si>
    <t>Juan Antonio Benitez</t>
  </si>
  <si>
    <t>…os arts. 2.“, 3. , 4. y 6. , como si su pro Francisco Legovier, D. Josef Micolta y D. Domingo Quevedo: tenien ducto total procediese de un solo beneficio ó pensión ” tes retirados D. Juan Antonio Benitez, D. Francisco Benitez, D. Jo be leyó el art. 9. , que decía: « De las rentas de la mitra patriarca1, sef Giiarte y D. Jíián Josef Benitez : D. Pedro Sorda, ciudadano. Igual después de rebajadas la di-cuna y pensiones legítimas, se recaudará todo mente habían…</t>
  </si>
  <si>
    <t>Benito, Francisco</t>
  </si>
  <si>
    <t>Francisco Benito</t>
  </si>
  <si>
    <t>…edades, decidirá de la mayor ó roquia de S. Josef de Madrid. D Ramón Luis Escovedo, gefe político menor pérdida de estas factorías. Entretanto se ve que el Gobierno de de Sevilla. D. Francisco Benito, capitán de ingenieros. D. Manuel Ma poniendo el rigor, se inclina ál partido de la clemencia, como lo de ría iaez de Buruaga, abogado y cura de Calera. D Francisco BlSs Gamuestran los firmanes que se expiden continuamente á las escalas, re roz, abogado y hac…</t>
  </si>
  <si>
    <t>Benito, Josef</t>
  </si>
  <si>
    <t>Josef Benito</t>
  </si>
  <si>
    <t>…diputado no pertenezca sirio blico sobre que se perdone la tercera parte de lo que adeudan D. Pe á una ó á dos cuando mas, si la necesidad lo exigiere, á fin de qtie dro Alonso y D. Josef Benito, por arriendo de diezmos de S. Bar sea menos incómodo y mas expedito el despacho de los negocios. Esta tolomé de Pontevedra. disposición no se entenderá con las comisiones especiales. ' '■ ■ A la referida comisión la solicitud de Josef Ramón N., labrador 90.…</t>
  </si>
  <si>
    <t>…á todos los que se consideren con derecho á los bienes los pueblos. Parecía que el Gabinete de lasTullerías jamas olvidaria las vinculares fincables que han quedado por muerte de D. Josef Benito pasadas desgracias, para que le sirviesen de modelo en su futura conduc Abraldes, para que se presenten á reclamar el que tengan en el tér ta, ni tampoco olvidaría la situación de la Francia y la civilización mino de un año, contado desde el dia 18 de Noviemb…</t>
  </si>
  <si>
    <t>Benjuen, Juan</t>
  </si>
  <si>
    <t>Juan Benjuen</t>
  </si>
  <si>
    <t>…bre la mesa para discu ra junta preparatoria. tirlo el dia 4. . . El Sr. Couro leyó una representación de la diputación permanente, Se dió cuenta de otro expediente del presbítero D. Juan Benjuen que daba parte de varios expedientes, de los cuales se habían pasado mea contTa el ayuntamiento de Marchena, por haber infringido este 1* algunos al Gobierno por no pertenecer á las Cortes, quedando 54 para Constitución en los artículos 247, 249 y 282 , y el…</t>
  </si>
  <si>
    <t>Benjumeda, Josef</t>
  </si>
  <si>
    <t>Josef Benjumeda</t>
  </si>
  <si>
    <t>…erra: entré:turcos y griegos paquin'de Frías, por S. Fernando; y D. Francisco delTÍbarren-,:D. Se^ rece-que esta se^ostierieeon vent,aja:i favor dedoa últimos. : jgismundo Moret y’D. Josef Benjumeda, por Cádiz. .- ' ! ‘ n En Sicilia continúa el espírítuode-rermiutaoron yi descOntento ge-r ;_Ha entrado en este puerto el místico S. C.tyttano, capitán Francia^ nerjrf;:TambieiVvésh 'Ipresyptindose.awn bastante .gravedad los síntomas Có Pérez, de Ayamóhté', e…</t>
  </si>
  <si>
    <t>Bentinck</t>
  </si>
  <si>
    <t>…scursos muy notables, especialmente por el marques de London-. licidad .de los pueblos estriban en esta libertad, que es la única qué derry. La discusión acerca dé la propuesta de lord Bentinck, relativa á puede asegurarles estos bienes. Aunque seiáa muy fácil demostrar estas la Constitución de la Sicilia de 1812 , garantida por la Inglaterra-, se ha verdades con raciocinios, hay todavía un argumento mas fuerte, cual fijado para el 16, aunque regula…</t>
  </si>
  <si>
    <t>…general se halla en este caso. 1 bablemente, Ó sé mudaría muy pronto. ¡En qué ha andado esta dirección tan vigilante como se dice: ¡Im - Sir J. Mackintosh apoyó la proposición del lord Bentinck , y ae~ pidió'' acaso el horrible atentado dei 13 de Febrero, no-obstante que •claró que no había podido-antes hablar en" este-sentido , porque tenia en sú mano todos los medios de evitarlo; : No estaba encargada -ahora no había sabido la garantía dada por la…</t>
  </si>
  <si>
    <t>…io Alberto; con lo' que se levantó la sesión. VARIEDADES. NOTICIAS DE ESPAÑA. Con motivo de que en eí Parlamento de la Gran Bretaña se iba á Barcelona 30 de Junio. promover por el lord Bentinck un asunto que interesa a! honor nacio El puro y sincero patriotismo de los catalanes, su adhesión al régi nal de la Inglaterra, es decir, los negocios de Sicilia, el T mes cita al men constitucional, que á pesar de los ilusos hara la prosperidad de la gunos p…</t>
  </si>
  <si>
    <t>Bentinck, W.</t>
  </si>
  <si>
    <t>W. Bentinck</t>
  </si>
  <si>
    <t>…del tormento , era vueltos, aunque inocentemente, en ei desdoro de su violación. No de también muy defectuoso. Se habian introducido en el Gobierno de bemos pues admirarnos si el lord W. Bentinck. está ansioso de desear-1 aquel país una multitud de abusos intolerables, nacidos en gran parte garsede este peso humillante, ni deberá extrañar nadie en adelante que déla venalidad délos empleados. También se necesitaba con urgen decaiga nuestro crédito en v…</t>
  </si>
  <si>
    <t>Bentink</t>
  </si>
  <si>
    <t>…tarles la entrega, de una propuesta sobre reforma parlamentaria , y quedó desaprobada por biendo exponer en este caso cualquiera defecto que noten; pero que S5 v°tos contra 43. El lord Bentink anunció que el 8 de Mayo haría después de extraído de la provisión no se oiga queja alguna sobre el una propuesta acerca de los asuntos de Sicilia. particular; mandando al mismo tiempo 5. M. que en adelante cese el No penetramos ío que significa una pequeña r…</t>
  </si>
  <si>
    <t>Bentínk, W.</t>
  </si>
  <si>
    <t>W. Bentínk</t>
  </si>
  <si>
    <t>…bitantes, y no han quedado mas de almas en la ciudad.^ TRANCIA. -; INGLATERRA» París 19 de Junio. L6ndr.cs 25 de Junio. • ■ camarA ex loa DLFurADos. Concluye la sesión del q; ¡s « lord W. Bentínk hizo ayer en la Cámara de "os Comunes su prd- El barón de Capel le, comisario del Rey impugnó á Mr. dé Bouposicion con respectó á los asuntos de Sicilia. Dijo entre otras cosás ▼lile,.y dijo que de los hechos que había Citado y de sus mismos ra que deseaba co…</t>
  </si>
  <si>
    <t>Beor-, Josef Alberto de</t>
  </si>
  <si>
    <t>Josef Alberto de Beor-</t>
  </si>
  <si>
    <t>…sus Estella á D. Hemeterio López Blanco: para el de Tudela á D. Roque arbitrariedades, por cuyo medio aumentaban sus intereses, y satisfa Domingo de la Figuera : para el de Aoiz á D. Josef Alberto de Beor- cían sus resentimientos particulares. Creemos que de ningún modo se tegui: para el de Olite á D. Josef Aragón. atribuirá á intolerancia esta exclusión que recomendamos, asi como Para la provincia de Zamora. Para el de Zamora á D. Mariano tampoco se atribuye á…</t>
  </si>
  <si>
    <t>Ber, Lorenzo</t>
  </si>
  <si>
    <t>Lorenzo Ber</t>
  </si>
  <si>
    <t>…desterrado (sin concluirse la causará dos años de presi ción el capitulante los derechos y gracias ofrecidas á favor suyo en ¡a dio en Ceuta, en virtud de una acusación hecha por D. Lorenzo Ber capitulación, y de quedar esta nula si no presentare alo menos los 25 trán ; de cuyas resultas ha sido denigrada su opinión, en términos que matrimonios expresados.” le es imposible en el dia el egercer su facultad; en cuya consecuencia Se leyó el 7? pedia á…</t>
  </si>
  <si>
    <t>Berdú</t>
  </si>
  <si>
    <t>…do con bastante escrupulosidad y detenimiento cada una parte se carga, es preciso que se rebaje en la otra. razón que la comisión exponía para apoyar su dictamen , y en seguida El Sr. Berdú apoyo lo que habia manifestado el Sr. preopinante, se declaró este asunto suficientemente discutido, y no haber lugar í y discurriendo sobre la partida de 3.502,207 rs. destinada á los gas votar sobre é!. tos de gran masa, alojamiento y utensilios para los em…</t>
  </si>
  <si>
    <t>Berdú'</t>
  </si>
  <si>
    <t>…rla á: los-Sres. diputados.” una comisión especial para los negocios qué ocurtan.” • Otra del Sr. Martei al 68: „Que se añada él dia del Corpus por la ■ También se aprobó otra del Sr. Berdú' al art. 87, y era (con respec mañana.” " : - - . • • - to á ios individuos de las comisiones) » á no ser que á juicio de las Se aprobó el art. 85, que deciar Cortes convenga agregarse algún otro diputado.” 85. Para facilitar el curso y despacho de los negocio…</t>
  </si>
  <si>
    <t>Berdú, Silvestre</t>
  </si>
  <si>
    <t>Silvestre Berdú</t>
  </si>
  <si>
    <t>…n. Juan Perez Cebrian; para Gandía D. Julián .Gardeta; para Játiva Don En seguida citó varias leyes, por las cuales se mandaba que se pre Joaquín Martínez Diez Campaya; pata Ayora D. Silvestre Berdú y sentasen los títulosy demas documentos en un término fijo, para que MirambeT, para Alberique D. Francisco Pascual Peris; para Sueca Dou los pueblos no se resistiesen á pagar los derechos de señoríos-, por cu Joaquin Angulo; para Morella D. Juan Murcia y Mon…</t>
  </si>
  <si>
    <t>Berdug</t>
  </si>
  <si>
    <t>…las' proveedores, factores y guerrilleros. Quedó aprobada. ; circunstancias lo exijan.” El.Sr. presidente dispuso que continuase.la discusión sobre abrevia Se leyó uná adición del Sr. Berdug al art. t.°, concebida en estos ción de causas álos que conspiren contra la seguridad del Estado. Se términos: » Y también las causas de robos cometidos en despoblado, y* leyó el artículo 19. ( Viait en la ¿aceta anterior.') los cometidos en población escalan…</t>
  </si>
  <si>
    <t>…cada uno de ellos. La comisión se renovará pueda exigirlo." Aprobado. cada dos años antes del tiempo en que se haga el repartimiento de la Añadiendo al art. 53 las palabras que el Sr. Berdug propuso, que contribución directa. Tendrá 30 sesiones á lo mas,y hará de sécretario daba concebido en estos términos: » Los escribanos y notarios presen uno de los mismos comisionados nombrado á pluralidad de votos.” tarán para ser registrados todos los actos…</t>
  </si>
  <si>
    <t>Berenguer, Francisco</t>
  </si>
  <si>
    <t>Francisco Berenguer</t>
  </si>
  <si>
    <t>…crean 2 de Sevilla á D. Teotuno Escúdelo, D. Josef Gírela Infante y D. Jo cuerpos con el nombre de consultores de Estado, uno para Ñapóles y sef Villanueva; y en la de Valencia a D. Francisco Berenguer y á otro para Sicilia, los cuales decidirán á la mayoría sobre los proyectos D. A nconio Saenz de Vizinanos. de ley. Se establece en la 10.a y 11.a que los individuos de estos cuerpos Asimismo se ha dignado nombrar S. M. para las plazas de jueces serán elegid…</t>
  </si>
  <si>
    <t>Beresford</t>
  </si>
  <si>
    <t>…ididos los partidos, y las pa de diverso dictamen, y dijo que para calmar semejante re siones y vicios triunfaban en el campo de batalla. Solo uri volución bastaría la llegada del lord Beresford á Portugal. sentimiento era común á todos los portugueses.... y este Te or'ovó su amigo el tesorero mayor el Sr. Targini. con era e! de su profunda desgracia. Solo un deseo unía á los fiando en que para destruir la comenzada revolución influi buenos ciudadano…</t>
  </si>
  <si>
    <t>…ero sin el consentimiento de las Cortes! ¡Ni el Rey podrá si En Andalucía continuaba disfrutándose de ia mejor salud; y con gusta devolver el mando general de las tropas ai zeloso lord Beresford motivo de la estación se tenia la mayor vigilancia para evitar males Si la llegada del Rey de Portugal ha dado tan mal rato á ciertos que otras veces han sido tan funestos. personages, : qué será cuando sepan que este excelente Príncipe, no con Los periódicos…</t>
  </si>
  <si>
    <t>Berges, Juan</t>
  </si>
  <si>
    <t>Juan Berges</t>
  </si>
  <si>
    <t>…a M. H. villa, refrendada de su escribano del Para la de Santa Fe á D. Luis Ruiz Diosayuda; para la de Izna- número D. Jacinto Gaona y Loeches, se ha señalado el dia zt del lloz á D. Juan Berges ; para la de Guadix í D. Francisco Tarrago Ri- corriente en la casa de S. S., y hora de las 12 de su mañana , para el queime; para la de Haza á D. Juan Víctor Navarro; para la de Hues remate de una casa, sita en el lugar de Fuenlabrada, y su calle que lla ear…</t>
  </si>
  <si>
    <t>Berks</t>
  </si>
  <si>
    <t>Gaceta de Madrid n.º 257</t>
  </si>
  <si>
    <t>…suministrarle las videncias tan acertadas, que solamente dejaron de producir el efecto de diferentes autoridades, y teniendo ya escrita la nota adjunta para el se seado en la del Sr. Berks, por no haberse ejecutado puntualmente lo ñor de Berks, ocurrió la llegada del Sr. barón de Sturmer; y por esta prevenido por el comandante de la patrulla apostada en aquel punto, razón convino el infrascrito con S. S. en que dicha nota no podía que creyó deb…</t>
  </si>
  <si>
    <t>Berks, Lotario de</t>
  </si>
  <si>
    <t>Lotario de Berks</t>
  </si>
  <si>
    <t>Gaceta de Madrid n.º 255</t>
  </si>
  <si>
    <t>…nstitucionano del departamento de Negocios extrangeros ha elevado á noticia de iizar los pueblos, y dar vigor á la opinión. Van ya varias sesiones pú lá misma Regencia la nota del caballero Lotario de Berks con fe blicas de la diputación con el mejor resultado. cha de hoy. El objeto de dicha nota causó á la Regencia el mas vivo Sevilla ge de Agosto. sentimiento', tanto por lo desagradable del acontecimiento en sí mismo, Teniendo noticia varios milicianos naciona…</t>
  </si>
  <si>
    <t>Bermejo, Juan</t>
  </si>
  <si>
    <t>Juan Bermejo</t>
  </si>
  <si>
    <t>…rgaz á de leer. D. Antonio Mádolell: para el de Mal de Sto. Domingo á D. Manuel Lo mismo se verificó con otra de los Sres. Moscóso, Quiroga y Lo Perez Aransolq: para el de Ocañi á D. Juan Bermejo: para el de Cor sada, relativa á que en el caso de que las Cortes aprobasen una quinta ral de Almaguer á D. Josef Antonio Martin palomino: para el de provincia en Galicia, se formase otra compuesta del territorio com Sta. Cruz de la Zarza á D. Jorge Ferrer y…</t>
  </si>
  <si>
    <t>Bermingham, Josef Pavía y</t>
  </si>
  <si>
    <t>Josef Pavía y Bermingham</t>
  </si>
  <si>
    <t>…ibar- el tratado de Campo-Formio, y ei deseo que excitaron de ren y Ortuño, D. Ramón López y Arce, D. Josef Pul conocer la obra por entero produjo muy pronto una tra gar y Molina, D. Josef Pavía y Bermingham, D. Fran ducción francesa. cisco Tuero y Badillo, D. Mariano Lobéy Rabina, Don Muchos modernos se habían ya valido con buen suceso Joaquín Vallarino y Alaminos, D. Juan Alcalá Galiano y del método que refiere- á tres coordinadas triangulares ;a Be.mudez , D.…</t>
  </si>
  <si>
    <t>Bermudez, Antonio Pacheco</t>
  </si>
  <si>
    <t>Antonio Pacheco Bermudez</t>
  </si>
  <si>
    <t>…que tenían relación , para que tenién A las comisiones de Legislación y de Guerra se pasó una instancia dolas presentes, propusiera á las Cortes lo que mejor le pareciese; pero de D. Antonio Pacheco Bermudez, primer ayudante de cirujano de habiéndose hecho presente por algunos señores que los puntos sobre que artillería, en que exponiendo todos los méritos que ha contraido, pide se iba á abrir la discusión estaban resueltos en el decreto de las Cortes se le recom…</t>
  </si>
  <si>
    <t>Bermudez, Antonio Zea y</t>
  </si>
  <si>
    <t>Antonio Zea y Bermudez</t>
  </si>
  <si>
    <t>…irtud de una reai oidenXa Sublime Puerta ha enviado ¿ cumplimentar al honora-. No hay apariencias todavía de que se piense en el esta ble lord. blecimiento de una Constitución. —--D. Antonio Zea y Bermudez , ministro de España, y a Idem ay de Enero. Monseñor el conde de Brusaco, á quienes ha dado la cor El Rey recibió el 17 en audiencia particular al vizconde té" de Turin una comisión para la Sublime Puerta, estaban de Chateaubriand (qüe reemplaza al marques de…</t>
  </si>
  <si>
    <t>Bermudez, Cea</t>
  </si>
  <si>
    <t>Cea Bermudez</t>
  </si>
  <si>
    <t>…tajas de un pais meridional; allí hay __Los periódicos extranjeros habían anunciado dias há la presenta naranjos que parece están en bosqueí, buena campiña, abundancia de ción del Sr. Cea Bermudez, ministro español residente cerca del G-tbisardinas &amp;c. &amp;c.; pero escasez de numerario, mayor centralidad, y allí bete turco , á la corte de Constantinopla; y nuestro Gobierno ha recipueden estar mas seguras las autoridades que no en Vigo, porque nido ya dire…</t>
  </si>
  <si>
    <t>Bermudez, Salvador de Cea</t>
  </si>
  <si>
    <t>Salvador de Cea Bermudez</t>
  </si>
  <si>
    <t>…etario D. Francisco provincia. Pvrez , al caballero D. Juan Mazarredo, que se halla en aquel país co El Sr. Quiroga dijo: Que apelaba á los mas imparciales para que mo viajante, á D. Salvador de Cea Bermudez, hermano del ministro</t>
  </si>
  <si>
    <t>Bermudez, Zea</t>
  </si>
  <si>
    <t>Zea Bermudez</t>
  </si>
  <si>
    <t>…de Cata uña con los pape del arzobispo , quien asegura á los griegos la protección del Gobierno. les en forma, y con certificación de no haber comunicado con paiq in El dia ao el caballero Zea Bermudez, embajador de España, tu festado, hará 20 dias de cuarentena. ro la primera audiencia solemne del Gran Señor con el ceremonial »&gt; No durará mas que 13 dias la del que viniendo de una provincia de estilo. de España sana en toda su extensión, no haya hecho mi,…</t>
  </si>
  <si>
    <t>Bernabé</t>
  </si>
  <si>
    <t>…o la ley difinitiva sobre la administración civil, ca, Martínez (D. Ramón ) por Guadalajara, Isturiz por que restituirá á todas las provincias del reino .su antigua Cádiz, García (D. Bernabé) por Canarias, Ruiz Pra prosperidad. Y por fin se ha dado entera libertad á los do por Galicia, y Vargas Ponce por Madrid ; advirtiendo dueños de montes y arbolados para que usen libremente de que no se incluía el Sr. Costa y Gilí, diputado por Cata su propie…</t>
  </si>
  <si>
    <t>Bernabeu</t>
  </si>
  <si>
    <t>…o fronterizo se ha reforzado con diez caballos mas. universidad de Salamanca, que entregó el Sr. diputado Hinojosa. X Sebastian 8 de Marzo. En seguida se aprobó una indicación del Sr. Bernabeu concebida Ayer á las cinco de la tarde entró en la villa de Tolosa el general en estos términos: » Para evitar que en lo sucesivo no produzca equi López Baños, quien ha recibido los mayores obsequios en todos los vocaciones la inteligencia en que deben tomars…</t>
  </si>
  <si>
    <t>…el ir de Abril. su fidelidad van á ser destinados á la brigada de los granaderos aus Leida y aprobada el acta de la sesión anterior, se mandó agregar tríacos. : á ella el voto del Sr. Bernabeu, contrario á la resolución de las Cor »&gt; Hoy se ha presentado el ceneral conde de Flquelmont delante de tes acerca de la solicitud del presbítero D. Juan Calvo Domínguez. Capua para intimarla la rendición. Si ei comandante no admitiere las Las Cortes quedaron…</t>
  </si>
  <si>
    <t>…. ( Se continuará.) blicado D. Agustín N. sobre ciencias naturales y agricultura, que se mandó pasar á esta comisión después de haberla recibido con agrado. NOTICIAS DE ESPAÑA. El Sr. Bernabeu dijo que era bastante conocido el influjo que tiene en la felicidad de la Nación el estado eclesiástico, lo cual exigía la aten Cádiz 16 de Abril. ción de todos los españoles: hizo algunas reflexiones acerca de los per Según cartas de "Veracruz del 9 de Febre…</t>
  </si>
  <si>
    <t>…raten de envol no a que para el nombramiento de empleos deba elegir sugetos inca vernos en -una guerra civil.” paces de desempeñarlos, al paso que tuviese conocimiento de otros El Sr. Bernabeu dijo que podia hacerse segunda lectura de unas pro hábiles para los destinos, y amantes de la Constitución , los cuales por posiciones suyas, que tenían relación con la indicación que se acababa no haber manifestado las pruebas positivas no podían ocuparlos;…</t>
  </si>
  <si>
    <t>…que sometieron á la delibe aprobados por separado del .mismo modo que los proponia la co ración de las Cortes; y-quedó aprobada..: i . misión. Se leyó una representación del, Sr. diputado Bernabeu, manifestan Se continuó la discusión dél proyecto -de ley sobre enseñanza pú do los atropellamientos qiie había recibido'del arzobispo de Valencia blica , :y se.'aprobó'.la última parte del art. 39, que decía: Fórmulas el :Fr.;yerernundo Arias y del obispo de…</t>
  </si>
  <si>
    <t>…ió que eran mayores las de quienes está encargada la observancia de las leves, no han llevado í Chinchilla. debido efecto una dictada por las Cortes, y por la cual se manda que El Sr. Bernabeu: El Sr. Clemencin ha manifestado que yo dijeque en el término de dos meses se saquen ios nuevos quintos de las respec para dar la preferencia á Albacete solo ss necesitaban ojos, imparcia tivas provincias. Bajo este principio debe resolverse antes la cuestión…</t>
  </si>
  <si>
    <t>Bernad, Tomas María</t>
  </si>
  <si>
    <t>Tomas María Bernad</t>
  </si>
  <si>
    <t>…leta organización 'deestas '.u'ríiversidádjés.* erí señal de lo gratas que eran á la sociedad sus tareas, el pr.mer di Se leyó el art. 77, y fue aprobado en estos términos: rector D. Tomas María Bernad, barón de Castlel, entregó á cada uno » Los catedráticos de todas las universidades y escuelas especiales nn egemplar de una obra de economía con cierta leyenda, que mani obtendrán sus cátedras por oposición y por rigurosa justicia.” festaba ser debida á su a…</t>
  </si>
  <si>
    <t>Bernal, Manuel Martin</t>
  </si>
  <si>
    <t>Manuel Martin Bernal</t>
  </si>
  <si>
    <t>…o comandante teban González Varea •- para Ja de Asturias á D. Eugenio Manuel mayor se sustituyese un segundo comandante encargado del detall; cu Cuervoj y para la de Extremadura á D. Manuel Martin Bernal. yas variaciones admitió la comisión, y con las mismas se aprobó el ar tículo. Dirección general de estudios. Habiendo expuesto ¿ la dirección ge Art. 16. Cada compañía constará de neral de estudios varios cursantes de teología en esta coite los graves Un cap…</t>
  </si>
  <si>
    <t>Bernales, J. C.</t>
  </si>
  <si>
    <t>J. C. Bernales</t>
  </si>
  <si>
    <t>…stitución española, y ampliemos el art. 28 que "sancio Sres. Gailo é hijo, de Santander. D. Manuel de Arambarri. namos aver con otro que le siga, concebido en estos términos: « Lo D. J. C. Bernales, de Londres. D. Mariano H.rnandez Noeuee. dispuesto en el artículo anterior solo tendrá efecto en tiempo de paz. En D. Jenas Hayerman, de Bilbao. D. Miguel Zabaleta. tiempo de guerra interior ó exterior, después que las Cortes hubieren D. Josef Sigler Bustama…</t>
  </si>
  <si>
    <t>Bernardina, Isabel María Josefa</t>
  </si>
  <si>
    <t>Isabel María Josefa Bernardina</t>
  </si>
  <si>
    <t>…R. obispo, to por las mismas en j.6 de Mayo próximo pasado, remitía la partida ó con el que represente su dignidad , y poniendo en una bolsa los nom de bautismo de ia Excma. Sra. Doña Isabel María Josefa Bernardina bres de todos los párrocos del obispado, inclusos para este efecto los &amp;c. dcc. , hija de los Sermos. Sres. Infantes de España D- Francisco de del territorio ve re nullius, comprendidos, en su demarcación, ó que Paula y Doña Luisa Carlota de Borbon y de Borbo…</t>
  </si>
  <si>
    <t>Bernardo</t>
  </si>
  <si>
    <t>…n, -que eran tres regimientos de línea ; uno • y.asi sé ¡acordó. ; de milicias , otro de caballería , y otro de artillería con 16 piezas. Go- ¡ - So dió.cuenta de una solicitud de D. Bernardo de la Vega , en que mo&gt; Jos-habitantes estaban-perfectamente acordes,.muy pronto quedó exponiendo hab:r sido nombrado para el reconocimiento de las minas todo arreglado. Las autoridades fueron depuestas, y reemplazadas por un. de plata de Guadalcanal, y habié…</t>
  </si>
  <si>
    <t>…ltó ‘ á S. M.; y la última- pidió el '-indulto ;■ ex-los mismos créditos que recibieron en satisfacción de sus capitalizacio puso el fiscal de S.M.Vyse hallan en poder del relator'D. Bernardo nes; pero se admitirá papel sin ínteres para el pago entero de Jas fincas Plá. Providencia de visita: siga. ' ' á que se haya hecho ya postura en esta fecha, conforme á los decretos ■ Joaquín Arnal y Vicente Soler, remitidos por el tribunal militar que han re…</t>
  </si>
  <si>
    <t>Bernardo, Juan</t>
  </si>
  <si>
    <t>Juan Bernardo</t>
  </si>
  <si>
    <t>…inisterio de Gracia y -Juan Albite, Pedro y Francisco Trugeo , Antonio Lillo, Josef Anto Justicia. nio Alcain y Miguel Oblancas • por robos en caminos públicos, fue ,,Exento. Sr.: D. Juan Bernardo de la Calle, vecino de Castro- condenado este último en seis años de presidid en el de Ceuta,' y los •Urdiales , provincia de.Santander, expuso á las Cortes en representación demás en diez también'de presidio en uno de los de Africa con: re documentada de 1 2…</t>
  </si>
  <si>
    <t>Berni</t>
  </si>
  <si>
    <t>…el sitio donde se iba á celebrar el nuevo Congreso. El presidente le respondió que el Parlamento lo penca Sesión del g. ría seriamente, y que con la mayor brevedad que le fuese El Sr. Berni presentó uu proyecto de ley relativo á la posible daría una respuesta digna de la nación y análoga á contribución directa, al papel sellado y al arreglo de aran las circunstancias. celes; y el Parlamento decretó que se discurriese cuanto an En efecto, apenas…</t>
  </si>
  <si>
    <t>Gaceta del Gobierno n.º 24</t>
  </si>
  <si>
    <t>…ue fue aplaudida, en extremo por &lt; El correo de.Italia no nos da noticias pacificas;; .pues todo el concurso. los preparativos militares continúan cdn.la mayor actividad. - ■ »El’;Sr. Berni ¡dijo que aprobaba aquel la respuesta; pe El Rey de las Dos-Sicilias. está en camino para Laibach; ro-que- le parecía :se debía tratar en aquel mismo.instantepero viaja á-;jornadas cortas., .y no llegará hasta,el rdia -8» de enviar; al Rey::tercer mensage par…</t>
  </si>
  <si>
    <t>Berní</t>
  </si>
  <si>
    <t>…jar creia tener que temer. Entonces el incógnito se despidió se al ministro abandonado á sus propios remordimientos. de Rothschild , y los amigos de este desaprobaron el que no El Sr. Berní pidió que se formase causa á los ministros, le hubiese hecho prender. Algún tiempo después volvió este y se les juzgase para que sirviesen de escarmiento a los de mismo sugeto á anunciarle con cierto aire de satisfacción, más '{aplausos)', los Sre?. Giofdano…</t>
  </si>
  <si>
    <t>Bernstorff</t>
  </si>
  <si>
    <t>…pas rusas.con la Art. 8.°- » En los pueblos donde el número, dé milicianos sea mer ñor actualmente que el que se le señalare en,virtud de lo dispuesto ea.misma dirección. ■ ... El conde Bernstorff, ministro deEstado de Pru.ia, había salido a to el presente decreto, no se empezará á cubrir esta diierenoa hasta que da priesa para Hannóver, donde ya el príncipe Metternich ha tenido los demás pueblos de la Península que np tienen milicias provinciales una…</t>
  </si>
  <si>
    <t>Berrio, Josef Sánchez</t>
  </si>
  <si>
    <t>Josef Sánchez Berrio</t>
  </si>
  <si>
    <t>…ta .... Total 97. cisco Blas Garoz, vecino de Yébenes de Toledo; D. Casimiro Francis De orden de la M. I. junta municipal de Sanidad. = Francisco Su- co Benayas , vecino de Noves; D. Josef Sánchez Berrio, vecino de Vibirach, habilitado para su secretario. llalueaga ; D. Miguel Martínez Villaescusa, cura párroco de Guadamur. Parte del lazareto sucio de todo el día l.° de Noviembre. Partido de Talavera de la Reina. Barceloneta, existencia anterior 50: entrados…</t>
  </si>
  <si>
    <t>Berso, Hilario</t>
  </si>
  <si>
    <t>Hilario Berso</t>
  </si>
  <si>
    <t>ra alguna de dichas personas Reales * en el entre tanto se le D. Josef Baillo, D. Hilario Berso!, D. Pedro Mata y Don presentasen los artículos de la Constitución española , que Josef Chtcutnberri-cuñadería , cabo segundo ij. Pedro Gar citó, y que en todos los actos públicos y diplomas se aña cía Obeso: milicianos D. Máximo Bares. D. Migue! Cadiese á la…</t>
  </si>
  <si>
    <t>Bertrand</t>
  </si>
  <si>
    <t>…a reunión de los Estados. 11 El profesor Antommarchi ha asistido á la disección; y también » Nuestro Gobierno interior estriba en unas bases conformes con se hallaban presentes el general Bertrand y el conde de Aíonihoion. 11 Ilahiendo sido examinada» con cuidado todas las partes interiores el sistema de monarquía constitucional. Sé ha dado a los ayuntamien del cadáver, los médicos que se hallaban presentes convinieron rela tos y á las corporaciones el…</t>
  </si>
  <si>
    <t>…hé; él mas de la dominación extrangérá? caballo dé Éoriapáíté, conducido por dos criados; el conde Montholón ¿Nó ésta permitiendo á esos mismos periódicOsínjuriar diariamente y él mariscal Bertrand llevaban las puntas dél paño; madama Bertrahd 4 la España, nuestra mas antigua aliada! La España ha sido insultada y su hija én un coche descubierto; los criados á los lados y detrás; hasta en esté recinto ; pero yo confieso por mi parte que inas quiero ha lo…</t>
  </si>
  <si>
    <t>…redujo á la esclavitud á Emperador de Austria, segun manifestaba el sobrescrito puesto por el las mugeres y los ñiños, y mandó arrasar la cjudad. mismo Bonaparte. Aseguran que el general Bertrand confió este paque Las cartas de Constantinopla del 2 de este mes dicen que durante te á un oficial ingles, habiéndole exigido palabra de honor de que los últimos dias del ramadan se babia recibido y expuesto en la puerta a nadie le entregaría sino al embajado…</t>
  </si>
  <si>
    <t>…r las mismas denomi Ipsilanti y del príncipe Cantacuceno----El trasporte Camello entró vrr naciones de provincias, partidos y- concejos en la división que iba j ha Spithead con el conde Bertrand,su familia, el conde Montholor y,-'-rascerse , ó si debería tratarse de este asunto en otra ocasión. varias personas de la servidumbre de Napoleón. El 3 aun no se les ha El Sr. Moura manifestó las razones que habia tenido la comisión bia dado permiso de desem…</t>
  </si>
  <si>
    <t>Besnasich, Domingo</t>
  </si>
  <si>
    <t>Domingo Besnasich</t>
  </si>
  <si>
    <t>…dad africana , que tanto Según noticias oficiales recibidas en Trieste el dia 7, parece que se e smeru en propagar las doctrinas liberales. los dos bergantines austríacos el Juan, capitán Domingo Besnasich, y Uno de los milagros de la libertad es el trasformar á los hombres, el Qv.dio, capitán Lúeas Florio, habian sido acometidos en las aguas y hacer que aquellos mismos que por su educación, por su ignorancia de Scio por un corsario turco. Los capitanes, para l…</t>
  </si>
  <si>
    <t>Bessieres, Josef</t>
  </si>
  <si>
    <t>Josef Bessieres</t>
  </si>
  <si>
    <t>…án general de la misma provincia la segunda sentencia pronunciada derecho al citado patronato, se presenten á deducirlo y hacerla constar por el consejo de Guerra ordinario contra D. Josef Bessieres___Se en aquel juzgado en el preciso término de 30 dias; bajo apercibimien minario de Vergara por el inspector que fue de dicho establecimiento to de que pasado sin haberlo verificado, se procederá á la práctica de D. F. C. dedicado á los maestros inspectores.…</t>
  </si>
  <si>
    <t>Betáncurt</t>
  </si>
  <si>
    <t>…dera discusión, y que no considerablemente si la aplicación de las rentas se dejaba á la junta de se oiría en Ja Cámara mas que la voz de los aprobante» de las medida» juros, y el Sr. Betáncurt manifestó que la junta no tenia la menor parte ministeriales, prosiguió diciendo: en el descrédito del papel; y por último, puesto el artículo á votación ;No es un verdadero fenómeno el ver que la mayoría busque ga quedó aprobado como estaba, y lo mismo el 9.…</t>
  </si>
  <si>
    <t>Betancurt</t>
  </si>
  <si>
    <t>…jueces de primera instancia, que ' prolongasen las sesiones por dos .ó, tres .horas mas; y asi se aprobó. han sucedido en sus funciones á los alcaldes mayores, se niegan'á con El Sr. Betancurt leyó el dictamen de la comisión de Agricultura so tribuir con ló que les corresponde; y otra de D. Bernabé Romero , ve bre el tributo llamado Voto dé ~Santiágo, presentando un proyecto de cino de Baza , manifestando los Servicios que hizo á la Nación en la ■…</t>
  </si>
  <si>
    <t>Bettancourt</t>
  </si>
  <si>
    <t>…de energía triste cuadro de nuestra situación; que no desean sino que haya gentes en el poder egecutivo. capaces de menospreciar las autoridades, y sacar de este principio con El Sr. Bettancourt, manifestando el número de ladrones que habia secuencias muy funestas para nosotros, y de utilidad para ellos. SI in la nación, dijo que habla mas de 6o cuadrillas, y que de estas se guiándonos por nuestra propia voluntad desobedecemos á las autorida habia vi…</t>
  </si>
  <si>
    <t>Bettencourt</t>
  </si>
  <si>
    <t>Gaceta de Madrid n.º 369</t>
  </si>
  <si>
    <t>…del alcalde de segundo voto á los discípulos que mas se d;«*»»guieron en perderían el derecho á la corona. sus clases. Por fin el cuerpo y todo el concurso manifestó la mas dul El Sr. Bettencourt dijo que cuando se le habían dad o al Rey facul ce complacencia al ver los adelantamientos de les discípulos y el zele tades para declarar la guerra y hacer Ja paz se admiraba de que se le del maduro*</t>
  </si>
  <si>
    <t>Bey</t>
  </si>
  <si>
    <t>…odo. Los .. . bin embargo de esto continúan los turcos ocupando los castillos estadas civilizados se avergonzarían de hablar en favor de la Puerta de Prei-esa y de Parga, donde el capitán Bey ha puesto comandantes El Emperador de Rusia puede caminar sin recelo, con tal que evi prudentes que lian impedido hasta ahora que se moleste á los cristianos, te en esta guerra toda apariencia de conquista. Se le mirará como ven los cuales gozan como anterior…</t>
  </si>
  <si>
    <t>…e conservar la buena inteligencia que felizmente sen. Cuando llegó de Malta elcapitan Weter, le'enviasteis al instan reina entre los Soberanos. te á Prevesa para que instruyese at capitán Bey, y le estimulase ¿'en ' AUSTRIA. viar socorro á los otomanos; y al instante les llegó un bergantín, una corbeta y una goleta. Luego escribisteis á los., bajaes , y en seguida el Viena 2 di Setiembre. ... bajá Jussufy .el teniente del bajá Mehemet llegaron á .…</t>
  </si>
  <si>
    <t>Beyani</t>
  </si>
  <si>
    <t>…ido que sería obrar contra la dignidad del Los individuos de la comisión extraordinaria fueron los pueblo que representáis^ y contra la fortaleza que debéis Sres. caballero Galdi, general Beyani , coronel Bausan , co mo-trar, el mendigar la intervención de una potencia ex ronel Yisconti, Bernt, di Donato, barón Poerio, presiden tranjera para comprar la paz, pagándola con la libertad. te Ricciardi, y Borrelli secretario. nRecibisteis pues con gratitud…</t>
  </si>
  <si>
    <t>Bfaam, Anselmo Josef</t>
  </si>
  <si>
    <t>Anselmo Josef Bfaam</t>
  </si>
  <si>
    <t>…mayores explicaciones ; pero podría te Coelho; para Guerra el Sr. Antonio Teixeira Rebelloj llegar tiempo en que manifestase su opinión sobre este par para Negocios extrangeros el Sr. Anselmo Josef Bfaam— ticular. carnp; y para Marina el Sr. Eramisto Maximtano de El lord Grey habla hablado en favor de una absoluta Soasa. neutralidad en todos casos (el conde Grey no, no); de es £1 Sr. Pimentel propuso que se extendiese la fórmula del te principio resultaría to…</t>
  </si>
  <si>
    <t>Bianquez, Genaro</t>
  </si>
  <si>
    <t>Genaro Bianquez</t>
  </si>
  <si>
    <t>…dante general. cual y Gisbert, vecino y del comercio de la misma. D. Josef Reig Art. g.° «Concluida la lectura’, se concederán á los defensores 10 Martí, abogado , de Concentaina. D. Genaro Bianquez, cura párroco dias precisos para formar los alegatos, y dentro del mismo termino de Benefallim. cuidará el fiscal de que se hagan las reformas y adiciones que hubieren Provincia de Burgos. Aranda D. Juan García Cavero, Adían el resultado en su extracto y en l…</t>
  </si>
  <si>
    <t>Bíblica</t>
  </si>
  <si>
    <t>…Jacinto Alvarez de Fazos, calle de la Pe cios de los sacerdotes y prelados griegos. Los misioneros de la Sociedad lota , núm. 171. D.Luis Gargollo , calle del Calvario , núm. 134. Don Bíblica, á quienes los turcos han respetado por miramientos á lord Stran- Josef Veamurguia, calle Ancha, núm. igi. D. Miguel de Robles, ford, lian auxiliado en cuanto les ha sido posible á los ' eclesiásticos calle del Sacramento, núm. 223. D. Diego Gaitía, extramuro…</t>
  </si>
  <si>
    <t>Bicigalupi, Luis</t>
  </si>
  <si>
    <t>Luis Bicigalupi</t>
  </si>
  <si>
    <t>…n Se mandó pasar á la comisión que entiende en el proyecto orgáni conferido, sino también por el particular ínteres que toma por la perso co de la milicia activa una exposición dé D. Luis Bicigalupi, sargento na del Príncipe Real,su hijo, al cual desea S. M. ver crecer en;virtu mayor.de granaderos de míiícias provinciales, manifestando la necesi des y cualidades, que lo hagan cada vez mas dignó de hacer un día la dad de que se atienda á las compañías ref…</t>
  </si>
  <si>
    <t>Biedma, Andrés</t>
  </si>
  <si>
    <t>Andrés Biedma</t>
  </si>
  <si>
    <t>…eñaló la hora de las ocho de esta noche para se que posee en ella. . sión extraordinaria, con objeto de nombrar los vocales para la junta de El de la misma sobre .que se conceda á D. Andrés Biedma , capitán libertad de imprenta, y para seguir en la discusión del plan de instruc de navio retirado, éL permiso de disponer del total de las vinculacio ción pública, y que mañana se continuaría la de la ley orgánica del nes qúe posee, mediante a no tener suce…</t>
  </si>
  <si>
    <t>Bilbao</t>
  </si>
  <si>
    <t>Gaceta de Madrid n.º 194</t>
  </si>
  <si>
    <t>…............ Idem. de Julio di-¡rüi 1.------------- Barcelona.........; 1 beneficio í pes. Zaragoza............. ■j- daño. » Formada causa en el apostadero de marina del Callao al teniente Bilbao................. Par. 1 de navio de Ja armada nacional D. Dionisio Capaz por resultas del Santander............ Par. apresamiento de la fragata Marta Isabel, que mandaba accidentalmen Goruña...............-. 1* te , hecho por el navio S. Martin , de 64 cañone…</t>
  </si>
  <si>
    <t>…de la Península; si aque NOTICIAS DE ESPAÑA. llos no pudieren refundirse en los dos batallones de estos. 4.“ La plana mayor; de cada regimiento de línea se compondrá del coronel , teniente Bilbao a6 de Julio. coronel- mayor, y tambor mayor; y en caso de separación de batallo El dia i.° de Agosto se dará principio en uua de las salas de la ca- nes estará afecta al primero. La plana mayor de cada batallón de los regimientos de línea constará de un coman…</t>
  </si>
  <si>
    <t>Binqueri, Justo Josef de</t>
  </si>
  <si>
    <t>Justo Josef de Binqueri</t>
  </si>
  <si>
    <t>…ecimientos: la apatía dé la Prusia se convierte en vigilancia, y po D. Juan Luque. Dona Teresa, Doña Josefa y ne en movimiento alguiias tropas. De la Rusia ya se decía haber entra D. Justo Josef de Binqueri. Doña Tomasa Ravasa. do efectivamente sus tropas en el territorio turco; haberse apoderado de D. Josef Martínez Moscoso. D. Teodoro de la Calle. Galatz, y que el egército ruso llevaba orden-de no detenerse hasta Constantinopla. Hablábase de la evacuación deBu…</t>
  </si>
  <si>
    <t>Bioussais</t>
  </si>
  <si>
    <t>Gaceta de Madrid n.º 276</t>
  </si>
  <si>
    <t>…estado uno de los autores algunos años al lado del ca liortensio, célebre orador, cuyos discursos no existen. Estos hechos no tedrático de patología y clínica interna de París el doctor Bioussais, causaban escándalo alguno, y las leyes solamente obligaban al presta le ha proporcionado poder hacer en varios artículos del suplemento; mista á devolver la muger antes del año,- y en'caso contrario á que como en el de calentura, crisis, doctrina, gastritis…</t>
  </si>
  <si>
    <t>Biradiu, Pedro de</t>
  </si>
  <si>
    <t>Pedro de Biradiu</t>
  </si>
  <si>
    <t>…e, sopian mas y mas la llama Toledo Antonio Carriol) =cEI cirujano del segundo batallón Alfonso benéfica de! patriotismo que arde en nuestros pechos, y hacen que la Dominguez.ccEl comandante Pedro de Biradiu.=Brigadier Francisco pasión dominante de nuestras almas sea el amor á la Constitución , de Javier M.:ndiri.=El coronel comandante de artillería Tomas Jim iiíz este símbolo de felicidad, cuya exacta observancia ha de realizar nues de Cenarbe.=Brigadier Juin Ba…</t>
  </si>
  <si>
    <t>Bistram</t>
  </si>
  <si>
    <t>…cuales se halla el del regimiento de ahora para tratar de varios objetos peculiares de aquellos guardias Probraschenski. El coronel Schwartz ha sido re Estados. . emplazado por el general Bistram. El primer batallón del Augsburgo 2g de Diciembre. regimiento de Semenow , que es el único que ha de po Según anuncian las cartas de Troppau, los ministros nerse á disposición de un consejó de guerra, está arrestado saldrán muy pronto de aquella ciudad para L…</t>
  </si>
  <si>
    <t>Bitancourt</t>
  </si>
  <si>
    <t>…se han puesto edictos en las calles para que todo el.que estableciéndose una tesorería para su producto. tenga papeles públicos de esa capital los vaya i entregar , y el que se El Sr. Bitancourt manifestó que no era este el medio que convenía pa quien los tiene los denuncie. Todas las cartas que vengan de ésa para la prosperidad de la nación, sino el impedir la entrada de frutos para estas islas serán abiertas por un escribano (vengan ó no por el ext…</t>
  </si>
  <si>
    <t>Bitancurt</t>
  </si>
  <si>
    <t>Gaceta de Madrid n.º 220</t>
  </si>
  <si>
    <t>…os llevaban su lanzay Ja misma que se había desechado por dos veces, con solo la variación escudo; y habiendo abierto paso hasta la mesa del Rey el caballero ma de palabras ; y el Sr. Bitancurt dijo :• Esta proposición es da misma que riscal, el rey de armas pubíicóen alta voz el cartel de desafio del cam fue desechada anteayer y ayer, y debe serlo hoy por ser injuriosa al peón , concebido en estos términos ■- . . Rey. Si el barón de Rio-Seco en el…</t>
  </si>
  <si>
    <t>…imaginación de ios diplomáticos, de'los políticos y de los curiosos. de las naciones civilizadas de la Europa. ¿Irá Mr. Villele hasta ToloSa! ¿Permanecerá mucho tiempo enRénnes El Sr. Bitancurt, desaprobando la proposición, dijo que á -la par Mr. Corbieres? ¡Volverá pronto Mr. de Serresí ¿Será muy larga la au de este proyecto podía presentarse otro para abolir la diversión déla sencia de Mr. Decazes í Air. Talleyrand, de quien se vuelve á hablar, ca…</t>
  </si>
  <si>
    <t>Bitíancourr</t>
  </si>
  <si>
    <t>179</t>
  </si>
  <si>
    <t>…a que rectificasen la proclama del Sr. Casteilo fender la paz y la iirrio! .biiidad de sus hogares por medio Branco. de la obediencia á !as autoridades constituidas y déla adhe El Sr. Bitíancourr propuso que se adoptase un regla sión mas fina á la Constitución polít:ca de la" monarquía: mento interino de Cortes , que presentó ; cuya propuesta i'ue selló tan noble alianza con pruebas de cariño y de indiso aprobada , admitiendo el reglamento , y decidié…</t>
  </si>
  <si>
    <t>Bizarro, Josef</t>
  </si>
  <si>
    <t>Josef Bizarro</t>
  </si>
  <si>
    <t>…e la comisión, ordinaria de Hacienda sobre, que no se bagá no sus virtudes; militares nuestras virtudes cívicas, para..que merezcamos: ser vedad eti. la clasificación y sueldo de: D. Josef Bizarro, ministro; que libres siendo justos, y ser grandes siendo reconocidos , y que elexfue de Estado, el cual reclama, el agravio que en su concepto se le ha frangero , al ■ ver' asociadas las virtudes guerreras y las civiles , diga bia irrogado en djcha clasifica…</t>
  </si>
  <si>
    <t>Blanco, Castello</t>
  </si>
  <si>
    <t>Castello Blanco</t>
  </si>
  <si>
    <t>…por Soiiman, y con ios que mandan en. Tetuan á Ja religión; otros hablaron fuertemente contra la circulación de libros nombre de Zeid. que atacasen los dogmas de la religión, y el Sr. Castello Blanco mani Madrid F7miíj i.° de Junto. festó con toda la energía que le caracteriza, que solo debería exigirse SS. MM. y AA. continúan sin novedad en su importante salud. la responsabilidad en aquellos libros que claramente atacasen la reli gión; y discurriendo sob…</t>
  </si>
  <si>
    <t>Blanco, Francisco Herrero</t>
  </si>
  <si>
    <t>Francisco Herrero Blanco</t>
  </si>
  <si>
    <t>*7^5 jijo Villegas. Valdemoro D. Francisco Herrero Blanco. Chinchón'Don lítico de Vizcaya, informada por aquella diputación provincial , solici Mariano Aranguren. Culminar Viejo D. Juan Antonio Rib.-ro. Fuen- tando que quedasen agregados á aquella provincia el pueblo de Castro earral D- Manuel Laureano Esp nel. Gita…</t>
  </si>
  <si>
    <t>Blanco, Hemcterio López</t>
  </si>
  <si>
    <t>Hemcterio López Blanco</t>
  </si>
  <si>
    <t>…egercian su autoridad, se pedia Miguel Constanti, procedente del juez de primera instancia de esta una resolución que sirviese de regla general, y que habría de circularse capital D. Hemcterio López Blanco. Preso en 2 de Julio de 1 8 23 sobre a los demas contadores de provincia y á todo* los ayuntamientos, para robo de unos pendientes. Estado de esta causa. Señalado á sentencia. hacer desaparecer de una vez los obstáculos que embarazan la rápida re Providencia…</t>
  </si>
  <si>
    <t>Blanco, Hemetcrio López</t>
  </si>
  <si>
    <t>Hemetcrio López Blanco</t>
  </si>
  <si>
    <t>1038</t>
  </si>
  <si>
    <t>…, débiles ¿ impotentes, construidas y ma Mariano Padió, procedente del juez de primera instancia de esta nejadas por las heces del género humano, se Iva de consumir en las capital D. Hemetcrio López Blanco. Preso en 3 de Noviembre de 1820 almas francesas el fuego del patriotismo y el sentimiento de su propia por sospechas de robo. Estado de esta causa. En el procurador del reo. dignidad: qué la voz del Omnipotente ha de callar en el corazón de Providencia de vi…</t>
  </si>
  <si>
    <t>Blanco, Hemeterio López</t>
  </si>
  <si>
    <t>Hemeterio López Blanco</t>
  </si>
  <si>
    <t>…emigos del nuevo, en que nióchin: para el de Santisteban á D. Josef Vicente Irazabal: para el de han sido colocados. Estos detestan un sistema que cierra la puerta á sus Estella á D. Hemeterio López Blanco: para el de Tudela á D. Roque arbitrariedades, por cuyo medio aumentaban sus intereses, y satisfa Domingo de la Figuera : para el de Aoiz á D. Josef Alberto de Beor- cían sus resentimientos particulares. Creemos que de ningún modo se tegui: para el de Olite á…</t>
  </si>
  <si>
    <t>Blanco, Isidro</t>
  </si>
  <si>
    <t>Isidro Blanco</t>
  </si>
  <si>
    <t>…io González, D, Antonio de la Iglesia, D. Antonio Mercar, D. Antonio Sala, D.Francisco Gallinas, D. Francisco Javier Sanlúcar de Barrameda. Delgado,D. Francisco Hernández Montañer,D. Isidro Blanco, Don Dia 14............. 3" •••♦ ••••••• z. .♦»*. .... .. 0.... ....... 6..... Isidro Merino, D. Josef Sánchez, D. Juan Francisco Rodrigo, D. I ov Día 15............. ....... 1..... ....... O.............. .. O.,.. ...... 7-- renzo Arias, D.'Mamerto Landaburu…</t>
  </si>
  <si>
    <t>Blanco, JosefSabau y</t>
  </si>
  <si>
    <t>JosefSabau y Blanco</t>
  </si>
  <si>
    <t>…ado notas y tablas cronológicas desde los tiempos mas remotos hasta la de que una porción tan considerable de terreno como la que hay desde muerte del Sr. D. Carlos ni, por el Dr. D. JosefSabau y Blanco, indi Castellón á Castilla , y á Aragón por el occidente y septentrión , que vidua dé la academia de la Historia, acudirán á recoger el tomo 18, f den tan separados de la capital. ; Adonde van todos estos cuando dis pagar el 19, que saldrá pronto, á la librer…</t>
  </si>
  <si>
    <t>Blanco, Juan</t>
  </si>
  <si>
    <t>Juan Blanco</t>
  </si>
  <si>
    <t>…fijado en 36 rs. vn. el quintal te,.mes de Junio, se presenten en dicho juzgado, por la escribanía del de alcohol, y 72 el de plomo, de cuyos géneros habrá un depósito en cargo de D. Juan Blanco, á hacer constar su acción, para que con ellos se Almería para los que prefieran recibirlos y cargarlos en dicho punto, entiendan las actuaciones del expediente; bajo apercibimiento que pasa abonando por razón, de porte siete rs. vn. por quintal, que es él qu…</t>
  </si>
  <si>
    <t>Blanco, Manuel</t>
  </si>
  <si>
    <t>Manuel Blanco</t>
  </si>
  <si>
    <t>…on las dos bases sobre ro, y que habia salido de Buenos-Aires hacia 65 dias. 2)' El bergantín que se afirman los imperios; pero nadie ama en virtud de un mandato, .español Carmen, capitán D. Manuel Blanco, del Carril , en cinco.dia?. ni nadie es feliz porque lo digan los periódicos censurados. (Bravos re Dice este capitán que el dia 10, dos leguas alN. del cabo deS. Vicen petidos al Jado izquierdo.) te, fue saqueado por un beigantin insurgente; el cual le llev…</t>
  </si>
  <si>
    <t>Blanquer-, Justino</t>
  </si>
  <si>
    <t>Justino Blanquer-</t>
  </si>
  <si>
    <t>…miento de .infante rio de la Gobernación de. la Península se ha expedido certificado de ría dé Burgos, contra el capitán general de Castilla la Vieja D. Ni introducción á favor de D. Justino Blanquer-,,'por. introductor de la colás Mahi, por haberle-dado pasaporte para salir de Valladolid, y con máquina hidráulica titulada bomba á doble equilibrio.=Andtes.de Moya tra el ministro de ia Guerra en caso que lo hubiese mandado: .decía Luzuriaga. . que el mismo…</t>
  </si>
  <si>
    <t>Blasco, Saturnino Lozano y</t>
  </si>
  <si>
    <t>Saturnino Lozano y Blasco</t>
  </si>
  <si>
    <t>…stos infelices por la hace en dicha sociedad la apertura de la cátedra de lengua griega, al noche sin quien los custodie y vele, dejándolo, sumergidos en medio cargo del profesor.,D. Saturnino Lozano y Blasco, oficial de la biblio de sus excrementos casi todo el dia, no hubiera impugnado estos ar- teca de S. Isidro. Los ciudadanos que quieran oir sus lecciones pasarán . tículos, y no hubiera dicho que era demasiado minuciosa esta ley or al Ateneo á recoger las pap…</t>
  </si>
  <si>
    <t>BloomSeld</t>
  </si>
  <si>
    <t>Gaceta de Madrid n.º 297</t>
  </si>
  <si>
    <t>…29 de Setiembre. El diario de la Bélgica dice: ” Los lores Londonderry (Castlereagh), El Espectador oriental de Smima, mas aficionado á los turcos Clanwilliam su secretario, y el general BloomSeld, secretario privado que á los griegos, se explica contra estos dei modo siguiente: del Rey de Inglaterra , que salieron de aquí el domingo último, llega » Si es cierto que es acreedora la desgracia á que se ¡a mire con ron el mismo dia á Aquisgran , donde han…</t>
  </si>
  <si>
    <t>Bnistinaga, Miguel de</t>
  </si>
  <si>
    <t>Miguel de Bnistinaga</t>
  </si>
  <si>
    <t>…eso eran menos oprimidos sus ha to de nlantería de Sevilla; el del castillo de'Santi Petri al teniente bitantes, ó acaso mas que cualquiera otro pueblo del imperio, y les Terrado D. Miguel de Bnistinaga; y el del fuerte de Sta. Cruz de la hubiera sido imposible soportar las exacciones de sus tiranos, sí la Guarnía al teniente D. Genaro Sanz, subteniente retirado. La tenencia portentosa fertilidad de su suelo no les hubiera suministrado los medios: de Rey de…</t>
  </si>
  <si>
    <t>Bnnqueri</t>
  </si>
  <si>
    <t>…Ultramar añádase é islas Canarias. mediante el pago de derechos en alguna aduana de primera ó segunda Del Sr. Mendez al art. 7.0, después de salida añádase y entrada. clase.” De! Sr. Bnnqueri, para que al art. 7.° se zínAn afianzando los dueños ñ El Sr. López fD. Marcial) dijo: Voy á hablar no contra el ar consignatarios de los generos, estar á las resultas de lo que se resolviere. tículo , sino contra las aduanas de tercera y cuarta clase, que so…</t>
  </si>
  <si>
    <t>Bobo, Pedro Perez</t>
  </si>
  <si>
    <t>Pedro Perez Bobo</t>
  </si>
  <si>
    <t>…cuyo primero de Villalpando. Alcañices el comisario de guerra D.-.Mamiel número se cuentan dos bajaes. Fuelles, regidor primero de Alcañices. Tabaray Mumbuey con Villar de Ciervos D. Pedro Perez Bobo, comerciante y alcalde constitucional PORTUGAL. de Villar de Ciervos. Fertnoselle D. Pedro Flores Puente, labrador hacendado, Lisboa jo de Noviembre. i Provincia de Toro. Toro D. Ezequiel Diez y D. Manuel Sanchet Arcilla. Alaejos D. Agustín Monge. Vezdemarban…</t>
  </si>
  <si>
    <t>Bocalan, Agustin</t>
  </si>
  <si>
    <t>Agustin Bocalan</t>
  </si>
  <si>
    <t>…vescencia, comprome dias,.en lastre, con un poco de grana y 30,408 pesos fuertes: la cor ter mas la seguridad pública, y tener en continua alarma á ios que se beta Cinco Hermanos, capitán D. Agustin Bocalan, de Veracruz y la Ha empeñan todavía en gobernar á los hombres por la violencia y las ba vana en 38 dias, con un poco de-grana, azúcar y 73,37$ pesos fuertes- yonetas, y no por la ley y el recíproco ariior. El periódico que hay en la corbeta de guerra AretUca…</t>
  </si>
  <si>
    <t>Bodega</t>
  </si>
  <si>
    <t>…a ser, en lo ción á que era tarde, se acordó que se continuara en la se que se había faltado ario prevenido en: la Constitución. sión siguiente, y «e levantó la de este día. y; El Sr. Bodega , indicó, no debía . ser nula la elección, pqrque-si 'se había procedido con arreglo á un calculo prü-: NOTICIAS DEL REINO. denGÍal &gt; era por estar inexacto el último .censo, y de consi guiente no.creía se habja infringido la Constitución. . .1 - Cortina 2(5"…</t>
  </si>
  <si>
    <t>…lo cual debia pasar al tribunal de reo se exima de la pena con tal excusa! ¡Si un obispo comete un ase Cortes. sinato, quedará impune porque diga que no reconoce la autoridad ciEl Sr. Bodega creyó que el Gobierno no habia manejado este ne Vil, y será consiguiente á este no reconocimiento el quedar sin casti gocio con la destreza que acostumbra. La ley de 26 de Octubre, diio, go , y inundarse solo que salga del reino; y se le ocupen las temporali…</t>
  </si>
  <si>
    <t>…daba para no ser juzgados ¿ la seguridad del Estado, reos que dijo eran de diferente clase de militarmente. los demas; que debían ser tratado* también con diferencia; y que si El Sr. Bodega puso algunas objeciones acerca de que nq¡ se expresa eran enviados al suplicio con mas celeridad, no se les enviaba adonde ba lo que habia de hacerse cuando los capitanes generales no se confor no mereciesen ir; y en fin que si no se trataba por ahora á Jos d…</t>
  </si>
  <si>
    <t>…e la fra • El Sr. presidente nombró para el examen de la memoria del .se gata Pronta, á fin de que determinase lo que hubiese lugar. ñor ministro de Gracia y Justicia en lugar cel Sr. Bodega al señor El Sr. González Allende dijo que el Sr. ministro habia cumplido Ayestaran. ' con dar las noticias que se le habían pedido; y que si-se quería proce Se leyó por primera vez una proposición del Sr. Alartinez de la der contra el comandante de la Pronta,…</t>
  </si>
  <si>
    <t>…es ó cuatro magistrados El Sr. presidente nombró para la comisión de Legislación al señor del tribunal supremo de Justicia; á saber, que se señalase un término Huerta en Jugar del Sr. Bodega; y para la comisión encargada del go fijo parala presentación de los títulos, el cual no habia tenido por bierno económico-político de las provincias al Sr. Villa en lugar del conveniente adoptarlo la comisión , porque consideraba que podía pa Sr. Loizaga. sa…</t>
  </si>
  <si>
    <t>Bolacos, Josef Nuria</t>
  </si>
  <si>
    <t>Josef Nuria Bolacos</t>
  </si>
  <si>
    <t>…nzan á insultar á los indivi para dos plazas de magistrados, vacantes en el tribuna! supremo de Jus duos. El desgraciado general IVpé es el objeto de su furia; y no tienen ticia á D. Josef Nuria Bolacos y á D. Joaquin Carrion y Moreno. reparo en decir que se viene á Espera con 200SI ducados que ha roba do. Parece que se embarcó con otros ó 1 desgraciados. ANUNCIOS. La misma Gazette publica que en Pariría han asesinado al general austríaco conde de Nieberg; n…</t>
  </si>
  <si>
    <t>Bolado, Juan</t>
  </si>
  <si>
    <t>Juan Bolado</t>
  </si>
  <si>
    <t>…Ekano. por sí y sus hijos. fugiarse á bordo de los buques, ni á dicha fragata entrar en el puerto D- Ignacio Uranga. D. Aíateo de la Quintana. á recibir pliegos del cónsul francés D. Juan Bolado. D. Matilde Vincenti de Castro. La Rusia, Austria y Prusia parecen irsé preparando para grandes - D. Juan Ferrar. D. Aíiguel Balseira. acontecimientos: la apatía dé la Prusia se convierte en vigilancia, y po D. Juan Luque. Dona Teresa, Doña Josefa y ne en mov…</t>
  </si>
  <si>
    <t>Bolaños, Josef Navia</t>
  </si>
  <si>
    <t>Josef Navia Bolaños</t>
  </si>
  <si>
    <t>…ones de 7300 y 39 rs. vincias turcas, 3 la que probablemente se seguirá la de las islas del Ar chipiélago, no dejarán á la Puerta en estado de poner en planta sus Por promoción de D. Josef Navia Bolaños á magistrado del tribu proyectos contra Álí-Bajá; y si toma consistencia la insurrección de nal supremo de Justicia , ha quedado vacante la plaza que obtenía de los griegos, la política europea tendrá bastante á que atender; y tal regente de la audiencia de C…</t>
  </si>
  <si>
    <t>Boldú, Francisco</t>
  </si>
  <si>
    <t>Francisco Boldú</t>
  </si>
  <si>
    <t>…ican en las veigas de Amieiro y Figuei- Martin de Ocio á D. Angel del Valle; y de D. Pedro Jordi, en Lé ras, en venta 1 165 rs., y en renta 2 ferrados y medio de trigo y 3 rida, á D. Francisco Boldú, en Barcelona: los citados sugétos y cua de cebada__ En 3 pedazos que lleva en arriendo Luis Sánchez, 5 fer lesquiera otras personas que se consideren con derecho á los referidos rados y med.o y 8 cuartillos de tierra de labor, én Venta 3090 rs. , y vales Rea…</t>
  </si>
  <si>
    <t>Bolet, Juan</t>
  </si>
  <si>
    <t>Juan Bolet</t>
  </si>
  <si>
    <t>…món Valguera, Don el servicio nacional.” Juan Faldón, D. Antonio María Maeso, D. Antonia García Liñan, De Real orden lo comunico á V. S. para su cumplimiento. Ma D. Josef Porta! y D. Juan Bolet, oficiales de todas armas y graduacio drid 8 de Octubre de 1821. nes, cuyos hechos particulares, dignos del mayor elogio, sentimos no Circulares del ministerio de Haden la. poder detallar. i.a Por el ministerio de Hacienda con lecha i.° deí actual se han co E…</t>
  </si>
  <si>
    <t>Bolívar</t>
  </si>
  <si>
    <t>…discusión entre los se Ultramar, participando de orden de S. M. la llegada a Cádiz de los dos ñores Tobato , Ochoa y Corominas, se mandó agregar esta solicitud á comisionados del general Bolívar, para tratar-icón el Gobierno de Ios-antecedentes. • — - - - .... S. M. del modo de transigir las pretensiones de dicho general, y asegu Tos Sres. Paul, Canabal y Zavala hicieron la siguiente indicación: rar la tranquilidad de la América septentrional; y dand…</t>
  </si>
  <si>
    <t>…Ramoo Habitantes de estas provincias. Feliu. .. » En medio de un armisticio escrupulosamente observado por voso Circular dei ministerio de la Gobernación de la Península. tros, el general Bolívar me ha intimado su suspensión. Estaban pen Habiendo las Cortes por su aelrerdo del 21 de Junio último autori dientes explicaciones que él mismo me había exigido en 19 de Febrero zado al Gobierno para que arregle interinamente ios exámenes de los sobre el acont…</t>
  </si>
  <si>
    <t>Gaceta de Madrid n.º 269</t>
  </si>
  <si>
    <t>…pasado se habían reunido ya 7200 libras es Gobierno saboyano. terlinas. El Sr. Pacchiarotti y el caballero Ceppi deBairolo , cómplices de LaPor noticias de América sabemos que el general Bolívar, presiden neri, han sido ahorcados en estatua, y han sido condenados al mismo te de Venezuela, había dirigido al Congreso una carta, en que declara tiempo á galeras 24 oficiales del citado regimiento. que su intención es la de no aceptar las funciones de pres…</t>
  </si>
  <si>
    <t>…zas, y en particular al segundo batallón de Burgos, que sostuvo con no hay necesidad de esta operación. firmeza desde el principio de ia acción la altura atacada , y al primero El general Bolívar por consideración á aquellas valientes tropas de Vaiencey en ¡a retirada que practicó , perseguido constantemente accedió en 4 de Julio á las modificaciones propuestas por el coronel durante seis leguas por ia caballería enemiga. Nuestra pérdida fue de Pereir…</t>
  </si>
  <si>
    <t>Bolívar, Morillo y</t>
  </si>
  <si>
    <t>Morillo y Bolívar</t>
  </si>
  <si>
    <t>…inas que se expidan duplicados de las acciones de la dis bajo el mismo concepto; y todo, amigo, eran abrazos misma en lugar de las originales, que fueron inutilizadas, y besos. El general Morillo y Bolívar se subieron en pie so perdidas ó extraviadas á consecuencia de las últimas guerras, bre la mesa á brindar por la paz y los valientes de ambos se previene á todos los interesados , que hayan justificado en egércitos, á lo que siguieron -vi-vas por Morillo y Bo…</t>
  </si>
  <si>
    <t>Bolívar, Simón</t>
  </si>
  <si>
    <t>Simón Bolívar</t>
  </si>
  <si>
    <t>…idad en favor de estos desgraciados que se han sacrificado entre España y Colombia con los comisionados del Exce á su partía y á su Gobierno, deberán ser tratados con do lentísimo Sr. D. Simón Bolívar, presidente de la república ble consideración y respeto que los prisioneros de guerra, de este nombre, han acordado y convenido el precedente y se les prestará por lo menos la misma asistencia, cridado Tratado de regularizacion de la guerra entre España y Co…</t>
  </si>
  <si>
    <t>…agena y D. Jdiguel-dé la Torre , gefcs del, egército de , le deduzcan dentro dél. .término de 30 dias, contados! desde .la'publi CostaTFirme, con el de los disidentes ¿¿'Venezuela D. Simón Bolívar, cación de este , ante D. Manuel Gil BuriUo, secretario, con los docudesde el restablecimiento de laConstitucion hasta ei escandaloso é inespe- • • rnentos-en que fundaren su derecho ; pues pasado sin verificarlo-!es pa rado rompimiento det armisticio por est…</t>
  </si>
  <si>
    <t>Bolós, Francisco</t>
  </si>
  <si>
    <t>Francisco Bolós</t>
  </si>
  <si>
    <t>…ba Sir Tomas Mait- peles impresos que tratan de aquellos, siendo autor de uno de ellos esre land, gobernador de Malta, y comisionado regio en las islas Jónicas. sugeto, y del otro D. Francisco Bolós, farmacéutico de Olot. De di El Blucher, que salió de Valparaiso el 14 de Mayo , con referencia cho examen resulta que hay en esta villa abundancia de puzolana tan á buque, que procedente del Callao en un mes entró en aquel puerto buena ó mejor que la del ext…</t>
  </si>
  <si>
    <t>Bonafós, Francisco</t>
  </si>
  <si>
    <t>Francisco Bonafós</t>
  </si>
  <si>
    <t>Gaceta de Madrid n.º 99</t>
  </si>
  <si>
    <t>…constitucional, pues si el lleve á efecto la obligación y contrata que tiene ajustada con-su médi Rey tuviese autoridad para deshacer lo que habia hecho , era imposible co titular D. Francisco Bonafós acerca del pago de su salario; otra del que aquel subsistiese. . ayuntamiento constitucional de Montarco, para que se le conceda ven El ministro guarda-sellos quiso refutar el discurso de Mr. Manuel; der tierras de sus propios para acudir á los gastos municip…</t>
  </si>
  <si>
    <t>…, relativas á que las Cortes celebrada el ayuntamiento constitucional de la Membrilla con su médi por medio de sus secretarios manifestasen al mariscal de campo D. Juan co titular D. Francisco Bonafós. La comisión, atendiendo á todos los Martin Diez él Empecinado, al coronel D. Manuel Peña, al secretario antecedentes, opinaba debia declararse válida dicha contrata, y que el P. Máximo Reinoso y al asesor N. cuan gratos les eran sus servicios ayuntamiento de…</t>
  </si>
  <si>
    <t>Bonaparte</t>
  </si>
  <si>
    <t>…ervado ¡a'dignidad pasado al ministro de España en Londres una nota, participándole que de tu ser , y guardado los miramientos debidos á los demas ? Pero es de: habiendo muerto el general Bonaparte, no hay ya necesidad de impedir rezclar que la corrupción y gangrena de los seres de esta especie: haya po; mas tiempo la comunicación con la isla de banra Elena á los bu llegado á penetrar hasta ¡a conciencia misma’, pues de otro modo pare ques extrangeros;…</t>
  </si>
  <si>
    <t>Bonáv'a, Bernardo</t>
  </si>
  <si>
    <t>Bernardo Bonáv'a</t>
  </si>
  <si>
    <t>…D. Manuel de Erezuma. de Alemania llegan hasta el 16; las de'Lóiiílfés hasta el 17, y las de D. Blas Lamota. D. .Manuel Luciano de la Torre. Páris hasta el 22................... ” D. Bernardo Bonáv'a. D Manuel Villano. La atención de la Europa está fija; sobre la Turquía, y no sin mo Conde de Guaqui. D. Aíanuel Ramón da Villativo; puestos acontecirhiehtos pueden ser tales, qiietodo el continente D. Diego Fiérralas.' chica. sufra nuevas desdichas,,y qué la…</t>
  </si>
  <si>
    <t>Bonaz.zzD, Mariano</t>
  </si>
  <si>
    <t>Mariano Bonaz.zzD</t>
  </si>
  <si>
    <t>…s cuales tendrán á sus órdenes el número de Laguna.zzD. Matías Cobo. = D. Mateo Romeo.zzD. Mariano Sise subalternos que sea necesario para el desempeño de sus funciones, que ra. — D. Mariano Bonaz.zzD. Diego Vicente.zzD. Lorenzo Monta dando por consiguiente suprimido aquel empleo.” Aprobado. : ñés.zzD. Cayetano Gíbete zz D. Mariano Ferrer.zz D. Pedro de Gra Art. 114. «Habrá una brigada de oficiales en cada deparlamento, cia.= D. Cosme Sánchez.zzD. Julián B…</t>
  </si>
  <si>
    <t>Bonello, Jaime</t>
  </si>
  <si>
    <t>Jaime Bonello</t>
  </si>
  <si>
    <t>Gaceta del Gobierno n.º 54</t>
  </si>
  <si>
    <t>…ies de los norman modios, y p.íg. 7, lín. 17, dice ig‘ 15 &amp;c., debe decir 1 irc. dos eran unos obstáculos eternos-á .toda- innovación Util. Se ha reimpreso el curso de anatomía de D. Jaime Bonello - No obstante, en medio de aquellos siglos tenebrosos res y de D. Ignacio Lacava, que ha merecido y merece la mayor plandecieron algunos rayos de li.z en la c pital. Abelardo y aceptación , por ser la mas-completí en su especie hasta el dia: sus discípulos se…</t>
  </si>
  <si>
    <t>Bonet, Jacinto</t>
  </si>
  <si>
    <t>Jacinto Bonet</t>
  </si>
  <si>
    <t>…¡a conspiración que se descubrió en Granada, se embarcó en la torre de Chiiches, jurisdicción de VeíezNOTICIAS DEL REINO. Málaga, del 22 al 23 de dicho Diciembre en el falucho de D. Jacinto Bonet, de Gibraltar, según contestan todas las Barcelona tc¡ de Enero. noticias : su partida queda casi enteramente disuelta , pues En la junta literaria que celebró la academia nacional D. Tomas Cebrian, que era su segundo, se hallaba preso á de ciencias naturales…</t>
  </si>
  <si>
    <t>Bononat, Tadéo Rico</t>
  </si>
  <si>
    <t>Tadéo Rico Bononat</t>
  </si>
  <si>
    <t>…ancia de á D. Pedro Josef Rovira: para la de Cartagena á D. Josef Antonio Jos musulmanes en la parte de Europa sujeta al Sultán, pues tal es el Vázquez Qucvedo: para la de Cieza á D. Tadéo Rico Bononat: para giro que van tomando los acontecimientos en aquellos paises, que bien la de Hellin á D. Joaquín Beneito y Beneito: para la de Chinchilla pueden fundarse esperanzas de que su decidida resolución de sacudir á D. Benito Romero: para la de Yecla á D. Cirios…</t>
  </si>
  <si>
    <t>Borbiere, Eugenio Hernández</t>
  </si>
  <si>
    <t>Eugenio Hernández Borbiere</t>
  </si>
  <si>
    <t>…Ja pre na deL Campo á D. Ramón Manzanares; para Olmedo á D. Esteban gunta publicará el resultado, si no tuviere duda alguna; mas si la hu Sánchez de la Iglesia; para Tordesiilas á D. Eugenio Hernández Borbiere, ó pidiere algún diputada que se cuenten los votos, aunque sea bon; paraRioteco á D. Zacarías Romero Velez; para Villalon á Don después de la publicación; acto continuo se contarán efectivamente Domingo Bacas P»oj-.: para la Puebla de Sanabria á D. Josef Maro…</t>
  </si>
  <si>
    <t>Borbon, Luisa Carlota de</t>
  </si>
  <si>
    <t>Luisa Carlota de Borbon</t>
  </si>
  <si>
    <t>…inclusos para este efecto los &amp;c. dcc. , hija de los Sermos. Sres. Infantes de España D- Francisco de del territorio ve re nullius, comprendidos, en su demarcación, ó que Paula y Doña Luisa Carlota de Borbon y de Borbon. Se leyó en segui para efecto semejante se le hayan agregado, sacarán por suerte nueve da dicha partida de bautismo, y se mandó custodiar en el archivo de curas. las Cortes. Art. i.° » Llamados estos á la capital del obispado , y reunidos Se dió c…</t>
  </si>
  <si>
    <t>Borconservación</t>
  </si>
  <si>
    <t>Gaceta de Madrid n.º 253</t>
  </si>
  <si>
    <t>…ezado la discusión sobre si no debía enviarse ya la Bad y Laybaeh , ó bien sea que haya querido únicamente asegurar la expedición á Rio Janeiro, según opinaba la comisión, dijo el Sr. Borconservación de la paz desplegando sus inmensas fuerzas militares , á lo ges Uarneiro que siempre convendria que se enviase alguna tropa , aun menos es cierto que ha continuado aumentando sus tropas regladas , y que no fuesen los 29 hombres, como se creia necesario; que s…</t>
  </si>
  <si>
    <t>Borda, Pedro</t>
  </si>
  <si>
    <t>Pedro Borda</t>
  </si>
  <si>
    <t>…y emplaza á todos y cualesquiera acreedores que se crean con derecho á que pronuncien se egecutarán en el espacio de 24 horas. La policía los bienes quedados por fallecimiento de D. Pedro Borda de las Cos Ce Murat produjo el buen efecto de limpiar de bandoleros los caminos: tas, pata que en el término de 15 dias, contados desde esta fecha, acu 3a los no puí*Hs consiífTiur otro t?.ntOy puss íísíígi’riiü cp.ic dan a deducirle ante dicho señor juez y c…</t>
  </si>
  <si>
    <t>Borejli</t>
  </si>
  <si>
    <t>Gaceta del Gobierno n.º 22</t>
  </si>
  <si>
    <t>…general, y el equilibrio con tanta felici de la Gobernación liabián ocasionado nuevos desórdenes. Por dad éstablecido en ,181 y.. Hasta la Inglaterra misma, sin Te último, leyó el Sr. Borejli la exposición que dirigía el Par ner una intervención directa, que tal vez no seria incompa lamento al Rey '{.véase \ la citada gaceta ) ; yen seguida tible con su .sistema político actual, no puede mirar con in reiteró el Sr. Castagna lá proposición de que.…</t>
  </si>
  <si>
    <t>Borelli</t>
  </si>
  <si>
    <t>…ue tanto debemos insistir, no .sola con serenidad y confianza la resolución de sus diputados. mente no suspenden, sino que continúan las medidas toma En fin, subió á la tribuna el Sr. Borelli, el cual hizo pre das para obrar con arreglo á las circunstancias, y siempre sente que el Rey estaba en plena libertad cuando prestó su de acuerdo con las demas grandes potencias. juramento en manos de la junta provisional; después hizo ua Dice la gaceta de B…</t>
  </si>
  <si>
    <t>…:.-?, --En; seguida se leyó el tercer iinensage.de S. 3Í.-. {¿víate ’ ■ sistema dé Gobierno-adoptado para lá-Servia; ur. vori. lagaceta dé iíf. de DiciembreC'l ‘ : ■ • ■ . - - Eí Sr. Borelli leyó, la respuesta del -Parlamento al se- ■ .'.Aitgsburgo g de Enero. &lt; . i ' vó gundcrmensageReaL, la que fue aplaudida, en extremo por &lt; El correo de.Italia no nos da noticias pacificas;; .pues todo el concurso. los preparativos militares continúan cdn.la m…</t>
  </si>
  <si>
    <t>…ro que si se separaba de la siones , escribe al Parlamento declarando que desiste de su queja, y línea que había determinado seguir, perdería no solamente la es " pide. per-don al Sr. Borelli. EL presidente observó que solamente el timación de su nación propia, sino también la de las potencias expatriotismo puede inspirar tan nobles sentimientos , y destruir en el trangeras. corazón de los hombres los del odio y de la venganza, que dividen Los min…</t>
  </si>
  <si>
    <t>…■ SUECIA. también permiso para marchar contra los enemigos, considerando que r.. - - • ^ éste era el peor de los contrabandos. Stockólmo 16 de Febrero. Por fin , habiendo leído el Sr. Borelli un informe., del cual resul ■ Continúa atrayéndose la atención pública el conspirador Brigges, taba que el número de ciudadanos que habían corrido á las fronteras que se halla preso, y cuya causa se sigue en la actualidad. Todo lo que Sra muy superior al que…</t>
  </si>
  <si>
    <t>Borges</t>
  </si>
  <si>
    <t>…desde New-Yorck á Liverpool; He cuya adición fue aprobado el artículo 4.0 , mos extractado .estos.-papeles , los cuales solamente traen Empezada la discusión del artículo 5.0, el Sr. Borges noticias de un'interes, local. Se calculaba que según el empa Carneóro dijo que tenia la misma duda sobre este artículo dronamiento que se ha hecho, últimamente,' ascendería la que sobre el anterior; que era indispensable, clasificar los. jmblacion de.los Est…</t>
  </si>
  <si>
    <t>…n de Cortes del 14. tan descompuestas, que el orador de la Cámara no pudo me nos de dirigirle las siguientes palabras: ¿No conoce el ho Leída y aprobada el acta de la anterior, el Sr. Borges norable Saronnet que su fogosidad lo lleva mas allá de to Carneiro presentó la exposición que se había de dirigir á dos ios límites de la decencia i S. M. con las variaciones que había hecho la comisión, y El fiscal de la corona respondió á las invectivas de…</t>
  </si>
  <si>
    <t>…so , se suspendió 'el nombramiento hasta la ----La noticia de la marcha del egército austríaco sobre sesión inmediata. Nápoles hacia esperar con ansia la propuesta que debía ha El Sr. Borges -Carneiro dijo, que convendría se divi cer ayer el lord Grey, relativa á la conducta de nuestro Go diesen los asuntos de este ministerio, porque su multitud im bierno en este asunto; pero cuándo lá curiosidad estaba mas pedia el pronto despacho, y una sola pe…</t>
  </si>
  <si>
    <t>…resado. (Bravo ¿ la derecha.) con el mayor agrado. » Es fácil á ciertos caracteres y á ciertas conciencias dar á la fidelidad El Sr. Freire leyó por segunda vez la proposición del Sr. Borges el nombre de exageración. Carneiro sobre que se enviasen tropas á América con la escuadra que « Es cierto que también exagerábamos nosotros el realismo cuan habia acompañado á S. M., y sobre que se evacuase á Montevideo, re do corríamos i la muerte por defend…</t>
  </si>
  <si>
    <t>Borges, Eerreha</t>
  </si>
  <si>
    <t>Eerreha Borges</t>
  </si>
  <si>
    <t>…ecir , que ha durado 11 meses. Su resultado para Inglaterra. Se acordó que hiciese la proposición por escrito, no hisido cual esperaban los declamadores de! Sena El tribunal de El Sr. Eerreha Borges leyó por segunda vez su proposición’, relati los Pares concluyó esta caira en dicho día , declarando reos de muer va al conde de Barbaceaa, ministro de Negocios extrangeros, hecha en te en rebeldía á tres individuos; á otros varios les ha impuesto algunos la…</t>
  </si>
  <si>
    <t>Borges, Fcrreira</t>
  </si>
  <si>
    <t>Fcrreira Borges</t>
  </si>
  <si>
    <t>…cianos á la escollera: participándole S. A. R., en atención á que pedia que se manifestase á las Cortes. haberse colocado en las puertas dos celadores para que no entrase nin - El Sr. Fcrreira Borges pidió que se mandasen presentar las instruc gún enfermo ; para que removiese los obstáculos que ponía un ingeniero ciones que debia traer ei comandante del bergantín, para en vista de á la continuación de la obra dei palenque al afecta de que pudiesen tes ell…</t>
  </si>
  <si>
    <t>Borges, Ferreira</t>
  </si>
  <si>
    <t>Ferreira Borges</t>
  </si>
  <si>
    <t>…a tanta diferencia entre hombres y mugeres , de opinaron que correspondía el nombramiento al poder ege- modo que el número de las que fallecieron no sea aun la cutivo, dijo el Sr. secretario Ferreira Borges que no. se po cuarta parte de aquellos, y entre niños y niñas se observe día resolver esta cuestión sin tener presente el decreto del también bastante discrepancia; señalar científicamente y establecimiento de la comisión, para ver si era compatible con razon…</t>
  </si>
  <si>
    <t>221</t>
  </si>
  <si>
    <t>…hasta el cargados de algunas comisiones, y que por eso proponía momento de salir el correo marítimo para Rio-Janeiro. que estas no trabajasen mientras durara la sesión. También El Sr. Ferreira Borges leyó un proyecto de decreto so propuso que se llamase al Sr. Fernandez Thomaz para oit bre abolición de dias feriados en los tribunales y demas ofi su voto en el asunto, por haber sido ministro de este ramo; cinas. - •y convino el Congreso en que se Ibasv á I…</t>
  </si>
  <si>
    <t>…futó los argumentos del preopi bases de la Constitución , y remítanse á S. M. con los de nante; y dijo al concluir su discurso que esperaba que la mas papeles correspondientes. El Sr. Ferreira Borges , opo Cámara haría ver que no quería tolerar que ni aun el sub niéndose al proyecto, añadió que en este modo de obrar dito mas alto insultase al Soberano, ni menos que se recur se imitaba á la España en la convocación de los diputados riese á la tropa, ni se…</t>
  </si>
  <si>
    <t>…e "no había oído, jamas' habiar de este asunto.' Continuó su la educación dedos Príncipes—- .ái i' E ¡ .• - , discurso Sir Robert; y habiendo acriminado con mucha vehemencia la El Sr. Ferreira Borges, después de manifestar con cuánto pulso y conducta de los Soberanos, acabó diciendo que la cruzada contra los prudencia debían hacerse las elecciones de los individuos que compu napolitanos podria ser muy bien un medio empleado por la Provi siesen el consejo…</t>
  </si>
  <si>
    <t>…ontrarias á puede.acarrear consecuencias funestas para la prancia; y el ministerio esta providencia. , r mismo no deja de proveerlo cuando se va precisado a reforzar las tropas El Sr. Ferreira Borges manifestó cuan perjudicial era este último ar que sé hallan en las fronteras derPiamonte. ' tículo ; y aunque el Sr. Girao dijo que estaba tan íntimamente unido con ” Idem 20. los anteriores que no se podía desechar sin hacerlo también con los Con fecha del 2…</t>
  </si>
  <si>
    <t>…tó la sesión. llos á quienes nadie puede acercarse sin llenarse de respeto ? Bien lejos Sesión del 12. de eso, es un teatro de escándalo y de tiñas violentas; nuestras sesiones El Sr. Ferreira Borges hizo una proposición por escrito, acompaña se cuentan en el número de las diversiones de la capital, y se solici da de un proyecto, relativo á que se den prontas y enérgicas providen ta aqui una tribuna como se pudiera pedir otro orden de palcos en cias acerc…</t>
  </si>
  <si>
    <t>…agase por la caja pasado, pongo en noticia del público que por el ministerio de la Go de amortización. bernación de la Península se han expedido las certificaciones siguientes: El Sr. Ferreira Borges dijo que deseaba presentar al Congreso un i.a A favor de D. Sixto Perez y Cayetano Peichier, "revalidando el plan , que tenia por objeto no solo vigilar sobre la integridad de los privilegio que les fue concedido en 9 de Mayo de 1819 para establecer empleados…</t>
  </si>
  <si>
    <t>…ndente de campana se nombrarán los emplea que de la marina portuguesa pendía lá prosperidad de la nación. dos de hacienda militar, que corresponda, considerándoseles este servi El Sr. Ferreira Borges, hablando sobre el art. 4.', dijo que su opi cio como un mérito particular p3ra sus ascensos. Art. 13. Se fijará una nión era que se desechase . pues que una comisión no podía desempeñar escala gradual de subordinación y dependencia entre los empleados de las…</t>
  </si>
  <si>
    <t>1099</t>
  </si>
  <si>
    <t>…biendo ocurrido la duda de si S. M. se cubriría, dijo el Sr. presidente que no sucedería, porque no ARTICULO DE OFICIO. era costumbre el cubrirse ante un cuerpo representativo. El Sr. Ferreira Borges dijo que habiendo estado sentado el pueblo Con fecha 14 de Julio desde la villa de Sacedon dice el Sr. secre en las tribunas en todas ¡as sesiones á presencia de las Cortes , en quie tario del Despacho de Estado al Sr. secretario de la Gobernación de la nes r…</t>
  </si>
  <si>
    <t>…le preguntase á qué hora podría « ¡Quién de nosotros no envidia la dulce satisfacción de que goza recibirla. un hombre rico cuando da á una familia desgraciada, y que no ha me El Sr. Ferreira Borges dijo que habiendo llegado ya el Rey, era recido serlo, la choza que le falta, los instrumentos de labor que no el momento de mandar formar causa ú ciertos diplomáticos portugue-</t>
  </si>
  <si>
    <t>Borges, Ferréira</t>
  </si>
  <si>
    <t>Ferréira Borges</t>
  </si>
  <si>
    <t>…los •«•imprimiese pará remitirla al Brasil', y-se publicaseeneste.reinoi . •Gobiernos representativos. La experiencia .de' la feliz Inglaterra habia Habiendo pedido la palabra el Sr. Ferréira Borges leyó la. siguí en demostrado su evidencia, y cuanto mas adelantéis en la carrera de la te indicación: »Que el conde de Batbacena habia arengado contra libertad,, tanto mas os convencereis de-esta verdad. Feliz la Francia el el sistema constitucional; que tard…</t>
  </si>
  <si>
    <t>…feas y ninguna solicitud en que se.pretenda-,plaza en.el resguardo, si ademas bonitas &amp;c - _ , ., . ' .de los requisitos expresados, no corresponde á la graduación'y, circuns . El Sr. Ferréira Borges exigió' que informase el ministro cómo y &amp; tancias que exige el reglamento de 1. ,de Diciembre de 1820. 1 i. Qv.e qué. ministros había dado parte, y .cuáles eran los que no. estaban au no se admitan ni dé curso á las solicitudes mientres no se diríjan por tor…</t>
  </si>
  <si>
    <t>…ngero notas' oficiales, semi-oficiales ó confidenciales, se añadiese excepto en los casos que señale lá ley. exigiendo la censura. » :Quién de nosotros, preguntó en seguida, no EL Sr. Ferreira Borges propuso que se extendiese nuevamente el ar se inmutaría, no se sentiría humillado ai oir semejante proposición? tículo en estos términos: » La casa de cualquier habitante del ReinoDigámoslo ingenuamente: el ministerio y sus honorables amigos” Unido de Portuga…</t>
  </si>
  <si>
    <t>Gaceta de Madrid n.º 231</t>
  </si>
  <si>
    <t>…n demasiada razón no habia enviado la lista de los oficiales de marina que habían terror, se estaban esperando muchas mas tropas. venido de Rio-Janeiro; é igual indicación hizo el Sr. Ferreira Borges En Constantinopla yen Smirna se disfrutaba la mejor salud; pera sobre ciertos papeles que hacia tiempo se habian pedido. en Egipto la peste hacia ya los mayores estragos, y no habian podida Ei Sr. Francini dijo: n En todos los Gobiernos representativos se evitarla el contagio…</t>
  </si>
  <si>
    <t>…erano , la cual ha contribuido poderosamente ai restablecí- ocurrido en Palermo y en Francia con igual motivo. 'miento del Arder. en él F¡amonte, y á la conservación de la tran El Sr. Ferreira Borges, después de aprobar el que se adoptase una quilidad en los departamentos de la parte oriental de Francia. Acabo nueva escarapela, fuesen cuales fuesen sus coloras, dijo que veia en to de dirigir a! Sr. barón Pasquiér, ministro de Negocios extrángeros , las do…</t>
  </si>
  <si>
    <t>…n con __Acabamos de recibir la grata noticia de que el Rey de Prusia cilio y no á un Congreso de segiares. ha manifestado también la intención de tornar parte en las medidas de El Sr. Ferreira Borges sostuvo que la autoridad pontificia era la que"esti tratando la Dieta deDarmstadt para establecer manconmna- misma que la de ios obispos, los cuales podían dar las bu.as, y qua damente una línea de aduanas. Se añade igualmente que el Gobierno estas eran verda…</t>
  </si>
  <si>
    <t>Borghese</t>
  </si>
  <si>
    <t>…sición de que sé enviase una di--' que se pidió una lista de estos por el ministro austríaco, al frente de la putacion á S. M., la cual fue apoyada, ....... cual ibá el nombre de! príncipe Borghese :'que se remitió esta á Viena,, . El Congreso pasó en cuerpo á la iglesia de las Necesidades, donde-: y.volvió con orden del Emperador para echar del pais á todos ios car se cantó nn solemne Te Deum en acción de gracias; y habiendo vuel bonarios; pero que el…</t>
  </si>
  <si>
    <t>Borgo, Pozo di</t>
  </si>
  <si>
    <t>Pozo di Borgo</t>
  </si>
  <si>
    <t>…Marcos Gu bramiento del príncipe Rutfo por el Rey Fernando r para la embaja tiérrez , en cuatro tomos. Los sermones de Trento , por sus grandes r úti da de Viena; nombramiento del Sr. Pozo di Borgo para la embajada les asuntos, por sus vivas y terribles sentencias, por la gracia de su* rusa en Nápoles, y del famoso conde de Blacas para el mismo destino diálogos, ha merecido la mayor aceptación en toda la Italia. Se hallará por parte de Francia. En Augsb…</t>
  </si>
  <si>
    <t>Borgo, Pozzo di</t>
  </si>
  <si>
    <t>Pozzo di Borgo</t>
  </si>
  <si>
    <t>Gaceta del Gobierno n.º 2</t>
  </si>
  <si>
    <t>…s de Troppau hasta fi Inspruck 3 de Diciembre. nes del mes; pero esta voz necesita confirmación. No hay turbulencia alguna en el reino de Ñapóles, y A su llegada á Troppau tuvo el conde Pozzo di Borgo han calmado ya las de Sicilia. La ciudad de Palermo ha una larga audiencia de S. M. el Emperador Alejandro. elegido diputados al Parlamento, los cuales deben llegar á El Observador austríaco del día 7 vuelve á dar malas Nápoles dentro de pocos días. También s…</t>
  </si>
  <si>
    <t>…cha ciudad en liabia sido destinado para -Cronstadt, se embarcó con di compañía del Emperador de Austria, y que el teniente rección á Sweaburg, en Finlandia ; pero los vientos con general Pozzo di Borgo , ministro de Rusia cerca de ¡acorte trarios hicieron arribar á Revel algunos de los trasportes de Francia, y Mr. Gotowkyn harán parte de su comitiva. que condudan la tropa Aunque S. M. Prusiana tiene un ministro de Estado en el Congreso, concurrirá'también e…</t>
  </si>
  <si>
    <t>Gaceta del Gobierno n.º 23</t>
  </si>
  <si>
    <t>104</t>
  </si>
  <si>
    <t>…o la humanidad, y á él debe nuestro actual Soberano la po y seguirle á : Laibach: el conde de Nesselrode, ministro de sesión de estos reinos. ■ listado del Emperador de Rusia-, el general Pozzo di Borgo, La población de Europa se puede considerar en el día ..su embajador en la.corte de Francia, y los condesde Czer. como dividida con bastante igualdad entre Estados consti nitchelf y de Ozanwsky, ayudantes de campo de S. M. tuidos y Repúblicas por una parte, y…</t>
  </si>
  <si>
    <t>394</t>
  </si>
  <si>
    <t>…ismas bases. Rusia, n Los secretarios de Estado ,' el conde de Nesselrode , y el Prescindiendo, del encargo de diputado, dijo, y de su carácter conde de Capo d’Istria; el teniente general Pozzo di Borgo , ministro mas ó menos representarivo apoyado en la Carta y en la voluntad su de Rusia en la corte de Francia. prema é irrevocable de donde dimana, rio dudo en afirmar que el di Prusia. » El canciller de Estado príncipe de Hardeniberg; el conde putado en la t…</t>
  </si>
  <si>
    <t>…s extrangeras, aunque son continuos ahora los correos extraordinarios, adelantan poco ú las que se publicaron'.ayer en ga ARTICULO DÉ OFICIO. ceta, extraordinaria. ; Parece que el Sr. Pozzo di Borgo, embajador de -Ru,s¡a;, debía .salijridecLaybjch para Ñapóles con una comisión im • Circular del ministerio dé la Gobernación de ja Península. . portante de su Soberano; luego se ha dicho que iría acompañando á Con fecha 3 de Febrero último el Sr. secretario…</t>
  </si>
  <si>
    <t>…istencia deben pues ser proporcionados á la dig restablecer este puerto tan célebre en los tiempos antiguos. nidad de su misión, porque no es menos chocante á la razón que á la El conde Pozzo di Borgo salió el 27 de Abril para Laybach , poco política el ver por una parte la opulencia y por otra la escasez. Ade después de haber llegado un correo , y el barón Vincent le siguió a! mas, si el soldado está obligado á completar el sacrificio momentáneo dia inmed…</t>
  </si>
  <si>
    <t>Borja, Francisco de</t>
  </si>
  <si>
    <t>Francisco de Borja</t>
  </si>
  <si>
    <t>…de Constitución, que opinaba debia haber lugar á la formación be que la Francia no hace causa común con ellos, sean quienes fueren. de causa'al juez de primera instancia de Murcia D. Francisco de Borja (Vivísima aprobación á la derecha y en el centro.) Sánchez, á consecuencia de la queja dada por Juan Traver; cuyo expe En cuanto al segundo punto las razones principales en que apoyó diente se mandó quedar sobre la mesa en una de las sesiones anteriores. su d…</t>
  </si>
  <si>
    <t>Borjas, Bernardo de</t>
  </si>
  <si>
    <t>Bernardo de Borjas</t>
  </si>
  <si>
    <t>…o los reemplazos correspondientes por las diputaciones pro abogado; D. Ramón Butano , escribano y hacendado. Suplentes. Don vinciales. * Bartolomé de Amat, coronel de ingenieros ; D. Bernardo de Borjas y 7.’ Las planas mayores de los cuerpos se establecerán en los pue Tarrins, director del Crédito público ; D. Josef Elias , promotor fiscal; blos que á cada uno señala el estado, debiendo considerarse esta medida p. Mateo Esta ni, hacendado. como provisional…</t>
  </si>
  <si>
    <t>Borju, Francisco</t>
  </si>
  <si>
    <t>Francisco Borju</t>
  </si>
  <si>
    <t>…aver, vecino de Murcia , quejándose de la infracción come alguna fuera de la que pudiese suscitarse entre las jurisdicciones ordi tida por el juez de primera instancia de la misma D. Francisco Borju naria y militar , según los límites que aquí se señalan. Las competen Sánchez. cias que se promovieren se decidirán por el tribunal supremo de Justi El Sr. Linares hizo dos proposiciones: la primera relativa á la for cia dentro de 48 horas, á lo mas, después…</t>
  </si>
  <si>
    <t>Bormás, Félix Jcsef de</t>
  </si>
  <si>
    <t>Félix Jcsef de Bormás</t>
  </si>
  <si>
    <t>…ce que existan otros cas fijas, comprende muchos artículos de mucho ínteres para los ofi algunos pertenecientes á dichos juzgados. Sevilla 27 de Enero de 1821.=: ciales de marina. D. Félix Jcsef de Bormás. , Almanak. Se ha propagado en Rusia el gusto de los alemanes por los almanaques de toda especie , que se publican en la época de año Variedades. nuevo ; y hace ya 10 años que el sabio astrónomo y consejero de estado Schuvart publica en Petersburgo en lengua…</t>
  </si>
  <si>
    <t>Borodowitzin</t>
  </si>
  <si>
    <t>…una generación, con portes para Londres; uno para él y demas individuos de su comitiva, y las guerras civiles, la peste y las exacciones de los bajaes; de aqui nace' otro para el Sr. Borodowitzin, su consejero de legación, y demas servi que si se recorre el Asia menor, en otro tiempo tan floreciente, no se dumbre que le acompaña. encuentra una sola ciudad que merezca citarse, á no ser Smirna, la » El xr. caballero de Bovel, consejero de Estado de S. M…</t>
  </si>
  <si>
    <t>Borraz, Gaspar</t>
  </si>
  <si>
    <t>Gaspar Borraz</t>
  </si>
  <si>
    <t>…nosotros no conocemos libro alguno de y Granado: para la de Granollers á D. Pablo Duran de Ju este género que encierre tanta instrucción en-tan-pocas -ho lia: para la de Mataró á D. Gaspar Borraz: para la de Fo jas. Al tratar de cada edificio público refiere las circuns gueras á D.' Josef Porret: para la de Santa Colonia á D. Ma tancias relativas á su fundación , y las anécdotas ó aconte nuel María Cabrera Ruiz : para la de La Bisbal á D. J uan cimien…</t>
  </si>
  <si>
    <t>Borrelii</t>
  </si>
  <si>
    <t>…con la obligación dándose algunos de ellos en lo poco versados que estaban de presentarse siempre que se le mandase. todavía los ministros en el sistema constitucional. En fin el Sr. Borrelii inclinó al Congreso hácia la indulgencia, y se FRANCÍA. suspendió este negocio por 65 votos contra 17. Parts de Enero. INGLATERRA. El boletín de las leyes del 14, núm, 427 , contiena Londres jo de Enero. la orden siguiente fecha del 13: »Vista una orden del o…</t>
  </si>
  <si>
    <t>Borrelli</t>
  </si>
  <si>
    <t>…Estado, y se interesa el triunfo del Parlamento y del espíritu público contra ios en la suerte de los extrangeros como en la de los naturales planes ministeriales. * del pais." El Sr. Borrelli leyó el dictamen de la comisión sobre SUIZA. el último me'hsage del Rey, reducido arres puntos: nri-1 mero, que np se discutiese el proyecto de viage de S. M.; Zurick ap de Diciembre. segundo, que no se hablase mas de los cuatro diputados que Ahora veremos aq…</t>
  </si>
  <si>
    <t>…ada Constitución del reino de Sus Dos Parlamento napolitano á la notificación que se le hará de Sicilia s. que se disuelva, y esta respuesta no podrá llegar antes dei Discurso del diputado Borrelli en la sesi) n de jr de 10 .de Febrero. Enera. Se habla también de la formación de un ege'rcito de re «Señores : Me encargasteis arreglar la edición de vuestro serva en lo interior del Austria, y todos los militares que -estatuto político,: es decir, del estat…</t>
  </si>
  <si>
    <t>…tir los voluntarios que se presentasen á servir por el tiempo que du- nos de la guardia de seguridad de Ñapóles para que se les permitiese .rase ¡a campaña. ir á las fronteras. EL Sr. Borrelli leyó en seguida la minuta de una proclama al egér- _El Sr. de Lúea apoyó esta solicitud, y presentó otra semejante di .cito , que fue aplaudida y aprobada en el momento. rigida al Parlamento por otros muchps ciudadanos de Ñapóles, que no En la misma sesión di…</t>
  </si>
  <si>
    <t>Borrows</t>
  </si>
  <si>
    <t>…) 20 de Noviembre. '■ -se puede negar que el espíritu de partido se ha manifestado mas ó me Nuestra gaceta incluye hoy el artículo siguiente: . nos en favor de los griegos. ,, El capitán Borrows del bergantín ingles la Ninfa, y el capitaá El número de los que condenaban su causa, no porque tuviesen Tomanovich del bergantín austríaco el Disiftganno llegaron aquí el 16 motivos de'mirarla como injusta, sino porque no concordaba con su del corriente desp…</t>
  </si>
  <si>
    <t>Bosch, Josef</t>
  </si>
  <si>
    <t>Josef Bosch</t>
  </si>
  <si>
    <t>…mo : otra dé'D. Vice'flte Picard , s-ecinó de Uinicarló , provincia - 6.° - ,¿ Los capitanes de la guardia nacional llevarán atada al brazo de Valencia-contra' D.‘; N. Mqnserrat y D. Josef Bosch , alcald^ izquierdo una faja azul con franja de oro ; los tenientes y subtenientes constitucionales el uno del año' pasado y el otro deL' présente en la re la misma faja de seda azul con franja de plata; los sargentos la misma ferida villa ; y otra'dé D. Feli…</t>
  </si>
  <si>
    <t>Botas, Juan Rodríguez</t>
  </si>
  <si>
    <t>Juan Rodríguez Botas</t>
  </si>
  <si>
    <t>…mbrar guientes: para los juzgados de primera instancia de las Islas.Canarias en esla for Art. 2° » Cada batallón de infantería de línea tendrá por insignia ma: para e¡ de Palmas a D. Juan Rodríguez Botas; para el de Tclde un león dorado de 10 pulgadas de iargo y altura correspondiente, el á D. Gregorio Joscf Gaicía Laia; para eí de Guia á D. Manuel Ro que estará colocado sobre un pedestal , sostenido por una bomba, que bledo y Aivarez; para el de Laguna á D..…</t>
  </si>
  <si>
    <t>Botera</t>
  </si>
  <si>
    <t>…los Goléenlos y de los gobernante- Air. Hiato, editor del bién una conferencia con este Monarca , quien había envia famoso periódico de Viena intitula.lo el Orserv íd.ir ins do al príncipe Botera desde Liorna á Viene. Se sabe por te ¡acó, se ha esmerado desde e! principio de nuestra revo algunas cartas de esta Grima ciudad que el príncipe de 1&gt;li lución en pintarla con ios mas negros coloridos, dando tera ¡legó c! 30 de Diciembre, y que al dia siguien…</t>
  </si>
  <si>
    <t>Botet, Ramón</t>
  </si>
  <si>
    <t>Ramón Botet</t>
  </si>
  <si>
    <t>…entras la descubrían el sarmados sin gente alguna dentro del puerto; y el tercero á la polacra fr. vicario eclesiástico y el comandante de la intantería D. Fernando Brillante, del capitán D. Ramón Botet. El otro entrado procede del Marín de La-Serna; dando repetidos vivas, que fueron contestados in- mismo puerto, del bergantín ingles Sara, del capitán Lauson , que se m idiatamente por el innumerable concurso que ocupaba la plaza. En se ha mandado saliese inm…</t>
  </si>
  <si>
    <t>Boubier, Victoriano</t>
  </si>
  <si>
    <t>Victoriano Boubier</t>
  </si>
  <si>
    <t>…te artículo. Quedó aprobado. Santos Ladrón , del segundo de Aragón: á D. Josef Moragrega, del de Art. 99. « Los jueces y tribunales procurarán en cuanto lo permi Llostalrich ; y a D. Victoriano Boubier, del de Baibastro. tan las circunstancias que los reos sufran la ejecución de sus sentencias, Asimismo se ha servido S. M. promover á comandantes supernu especialmente las de muerte y las demas corporales que sean oportunas merarios de infantería de línea al…</t>
  </si>
  <si>
    <t>Boubillon, Benito</t>
  </si>
  <si>
    <t>Benito Boubillon</t>
  </si>
  <si>
    <t>…o de los corredores de natural de Francia, coronel del regimiento.'de caballería ligera de la .cambios., en que le participaba que habian sido derrotados los napo Reina; y otra de D. Benito Boubillon, natural de Francia , solici litanos en Rieti, y que Jos austríacos habían, entrabo en los Abruzos, tando carta de ciudadanos. ir.,' hubo un gran alboroto en el Congreso; y el general Foy, levantando ... Las Cortes recibieron con agradoy mandaron;repartir a50…</t>
  </si>
  <si>
    <t>Bouinor, Mauricio</t>
  </si>
  <si>
    <t>Mauricio Bouinor</t>
  </si>
  <si>
    <t>…aprender con mas facilidad el idioma francés: tercera edición, por la Constitución, han decretado: i.ü Desde i.u de Octubre de 1822 corregida y mejorada por su autor el presbítero D. Mauricio Bouinor, en adelante queda prohibida la introducción en todos nuestros puertos «x-curapárroco francés, maestro de lengua francesa en el seminario de peninsulares del carbón de piedra, turba ó cualquiera otro combusti Nobles de b. Pablo de Valencia. Esta obra es útilí…</t>
  </si>
  <si>
    <t>Boutelou, Claudio</t>
  </si>
  <si>
    <t>Claudio Boutelou</t>
  </si>
  <si>
    <t>…ado. Lo digo á V. de Real orden para su 28 pies. ( Véase el cálculo, j inteligencia, gobierno y demas efectos correspondientes. Madrid 10 de Dicho ingeniero está autorizado por'el Sr. D. Claudio Boutelou, Julio de 1821.” profesor de agricultura de Aranjucz, para asegurar que la cantidad de Circular del ministerio de la Gobernarían de la Península. a883 libras de agua, que en 24 hoias .saca este aparato , es suficiente • » Las Cortes, enteradas de lo expuesto…</t>
  </si>
  <si>
    <t>Gaceta de Madrid n.º 207</t>
  </si>
  <si>
    <t>…Gran Señor se pondrá- «l- frente ide;8o9 mételo de Cádiz; pudiendo ademas informarse:en Sevilla del mencio hombres-para sujetar 4 los griegos. Creemos su intención, y dudamos nado Sr. D. Claudio Boutelou, calle del Puerco , núm. 28; en Arande su egecucioñ. Los Austríacos y Iás(trc)pas.clel:Papa andaban á vuel juez del Sr. D. Josef Forneils, ingeniero hidráulico, y en Málaga de tas con los malhechores ; pero eu términos de guerra , pues se trató de Jos Sres. J…</t>
  </si>
  <si>
    <t>Bra-nco, Castelio</t>
  </si>
  <si>
    <t>Castelio Bra-nco</t>
  </si>
  <si>
    <t>Gaceta de Madrid n.º 195</t>
  </si>
  <si>
    <t>…que se habia fun pobres equipages: alli está Guerrero, y por las noticias que le "han da dado para hacerla. do al alcalde constitucional de Yautepec se ha puesto Iturbide bajo El Sr. Castelio Bra-nco dijo que también apoyaba la proposición, -de sus auspicios. porque era una imprudencia el que un particular esparciese ciertos im , » Tal es , amigos y conciudadanos, el resultado y el término igno presos en el momento que se iba á discutir el asunto de que t…</t>
  </si>
  <si>
    <t>Braamcainp</t>
  </si>
  <si>
    <t>…ido el fuego allí para salir de este em de la patria , y que se recomiende á todos al Gobierno para que les barazo. confiera en recompensa los destinos que estime convenientes. El Sr. Braamcainp dijo que el fuego habia sido general en todo el El de la de Ultramar, relativo á las adiciones al proyecto de ley edificio, sin que diese lugar a poder conjeturar donde habla empezado. sobre nuevas poblaciones en aquellas provincias. La comisión opinaba ' El…</t>
  </si>
  <si>
    <t>Braamcamp</t>
  </si>
  <si>
    <t>…ente para la comisión del tesoro público, ó si debia siones. serlo él mismo. Uno de los Sres. secretarios leyó el oficio, Se recordó el proyecto del Sr. Alves do Rio sobre am y el Sr. Braamcamp dijo que este asunto era muy interesan nistía ; pero no se discutió, y se acordó que las Cortes te , y no debia tratarse sin estar presentes los diputados en diesen parte á S. M. de todo cuanto habían hecho hasta el cargados de algunas comisiones, y que por e…</t>
  </si>
  <si>
    <t>…, permitiendo á unos lo que no se aiergiienza de ñores diputados, las cuales pasaron á sus respectivas comi prohibir á otros. Es preciso repetirlo, señores; debeis apro siones. El Sr. Braamcamp hizo una , relativa al modo de re vecharos de esta feliz oCasion para sacar del camino que le cibir A los secretarios del Despacho , y al lugar que debían conduce á su propia perdición á este ministerio, al cual ha'n ocupar en el Congreso, sobre cuyo asunto d…</t>
  </si>
  <si>
    <t>…autoridad de los So meditación, se acordó que quedase para la siguiente sesión. beranos. En consecuencia de ello parece haberse decidido Se trató del artículo 12 , el cual dijo el Sr. Braamcamp que sea reintegrado en todo el lleno de su poder el Rey de que hacia honor al Congreso, y bastaba él solo para reco las Dos Sicilias; quedando sin embargo á su arbitrio dar-3 mendar su memoria á la posteridad ; pero que era preciso sus pueblos una Constitució…</t>
  </si>
  <si>
    <t>…e nombrarle sucesor, resultó elegido por mayoría de votos elSr.Joaquin ron prender todavía con la navaja ensangrentada. Al otro dia falleció Pedro Gomes de Oliveira. el herido. El Sr. Braamcamp propuso que las Cortes decretasen que sus reso Madrid i.° de Marzo. luciones no debían tener fuerza de ley hasta el dia en que los publica A las 10 de la mañana de este dia salió S. M. el Rey acompaña se la Regencia; y el Sr. Margiochi opinó que para evitar l…</t>
  </si>
  <si>
    <t>…r otros motivos. Los tesoros de Ali ha dispensable que se admitiese el veto absoluto ó un poder intermedio. bian servido al parecer para sobornar á varios gefes enviados contra El Sr. Braamcamp dijo que por las razones que habia manifestado él; y la palabra que les habia dado ademas de libertarlos de la vengan otras veces al Congreso , y por las circunstancias en que se hallaban, za de la Puerta,y de hacerlos independientes, les habia determinado á…</t>
  </si>
  <si>
    <t>…epartimiento vecinal desti En la misma se eligió para presidente al Sr. Fernandez Tomaz, pa nado, al alumbrado y demas gastos comunes de una villa de aquella ra vice-presidente al Sr. Braamcamp, y para secretarios á los Srés. Fer- provincia. reira Borges, Filgueiras, Fxeire y Rebello. A la misma se pasó una solicitud del ayuntamiento de Oviedo para que se apruebe el arbitrio de 1 y 2 por 100 impuesto sobre la NOTICIAS DEL REINO. renta de las casas c…</t>
  </si>
  <si>
    <t>…vedad un En seguida habló Mr. Canllh , y pronunció un elocuente discurso reglamento sobre este asunto. contra la propuesta. --Eyamos acasc&gt;.pon(Iejudos.^d¡jo entre otras cosas) El Sr. Braamcamp dijo qué esto era un nuevo motivo de júbilo pa á principiar de r.nevóla"Instarla de nuestras calamidades! ¡Tendremos ra celebrar la publicación de las bases de la Constitución ; y el Sr. Frei un nuevo 31 de Mayo, un 18 Fructidor, un.18 Brtnnario! No, semer ré…</t>
  </si>
  <si>
    <t>…a Cámara de los Comunes secretarios de las Cortes para el mes próximo; y salieron electos para se compran y se venden á las claras; no se habla sino de traiciones y .presidente el Sr. Braamcamp (que lo es también en el dia); para vice de rebeliones; están llenas las cárceles, y aun esto no es mas quje una presidente el Sr. Moura; para secretarios los Sres. Filgueiras, Freire, débil pintura de nuestra situación interior.” .Mendoza , Falcaofque lo son…</t>
  </si>
  <si>
    <t>…bre los di Mr. Demarqty: plomáticos residentes en las Cortes extrangeras que estaba señalado para Las instituciones forman á los hombres. Restituid á los franceses .este dia, y el Sr. Braamcamp manifestó los motivos en que se fundaba precisamente lo que les habéis quitado, la libertad individual, la liber para decir que este asunto debería tratarse en sesión secreta; y pasando tad de la imprenta, una representación libre, dadles la institución del d…</t>
  </si>
  <si>
    <t>…e los que antes eran sus amigos tan insignificante, que no merecía que el Congreso se ocupase de él; pe para que volviese al orden, depusiera las armas , y ¿onfiase en la be ro el Sr. Braamcamp manifestó que la influencia de estos papeles po nignidad de este superior Gobierno, que la hizo pública en el cartel día tener malas consecuencias , y que se debía señalar hasta qué punto del dia 8 del corriente, remitido adonde se hallaba, '.y que tantas vep…</t>
  </si>
  <si>
    <t>…ítulo de gages de su to, por sí ó por medio-.del gefe que comisione, y el comisario de guer-, empleo.” ra de que habla el artículo anterior , practicarán arqueo de las cajas de El Sr. Braamcamp manifestó que habiendo determinado el Congre-- los pagadores, comprobarán sus asientos, dg cargo y data, y comunica so que á los oficiales de las secretarías del Despacho se les continuasen rán-ios resultados.ai íutendente general , quien dará parte al secret…</t>
  </si>
  <si>
    <t>…eo, re do corríamos i la muerte por defender la causa de nuestros Reyes. Sin clamando la plaza de Olivencia. embargo ; qué testimonios ni qué recuerdos de nuestra lealtad hemos El Sr. Braamcamp manifestó con respecto á la segunda parte que conseguido! Antes bien los hombres que se han saciado de todos los por las relaciones diplomáticas que tenia este asunto con otra nación favores de la usurpación y de la legitimidad (movimiento vivísimo) no debia…</t>
  </si>
  <si>
    <t>…lema tan importante y tan difícil, no tengo reparo en decirlo &gt; se ha resuelto ya por ls creación Lisboa ey de JúUo—jao\m&gt;a¿k.Serian dtl 16. .. de los papeles periódicos. • : ; El Sr. Braamcamp hizo algunas reflexiona sobre las circunstancias » Por ellos se aproximan las distancias, y el habitante-de los Piri en qué había quedado la América por la salida de S. M; ,-y propus® neos vivé en una comunidadhabitualy de-todos los instantes con el que la co…</t>
  </si>
  <si>
    <t>Braámcamp</t>
  </si>
  <si>
    <t>…glaterra: abrid sus afiáles. ' Se continuó la discusión del proyecto de Constitución; y habiendo La contrarevolucion reinó por espacio de 28 años, y el régimen consti propuesto el Sr. Braámcamp una adición al artículo 4.“,.quedó este tucional lleva ya 130 de duración. Mirad á los ministros ingleses en pendiente pira segunda lectura, y se leyó el artículo 5.0, que decia asi: tiempo de la contrarevolucion; á Shaftesbury proscrito, á Clarendon des '» L…</t>
  </si>
  <si>
    <t>…o que ante como también el príncipe Leopoldo de Saxonia-Cobourg. S. M. habia ofendido al soberano Congreso. • ■ Antes de cubrirse segunda vez la mesa entró á caballo en la sala El Sr. Braamcamp dijo que se desechase la,proposición, porque era el campeón armado, magníficamente: dos escuderos llevaban su lanzay Ja misma que se había desechado por dos veces, con solo la variación escudo; y habiendo abierto paso hasta la mesa del Rey el caballero ma de…</t>
  </si>
  <si>
    <t>…dictamen. tan peligroso, que se teme por su vida. Se hizo segunda lectura de la proposición flel *Sr, Borges Carneiro sobre que se prohibiesen lás corridas de toros. TJtABCIA. E! Sr. Braamcamp y otros Sres. diputados se opusieron á la pro posición, diciendo que por esta diversión no se hacían los hombres bár París y ‘te Agosto. baros , y que la nación le tenia mucha afición. Aqui atraen la curiosidad pública nuestros propios asuntos ademas El Sr. B…</t>
  </si>
  <si>
    <t>…n él, y abstenerse de pres Algunos Sres. diputados dijeron que se suspendiese la discusión de tarle auxilio alguno. Este es el modo de raciocinar de Mr. Z. todo el título; pero el Sr. Braamcamp manifestó que se podía discutir A los que desean victorias á los griegos por amor á la humanidad, el artículo 34, porque no tenia conexión con el método de elecciones. les contesta Mr. Z. de este modo: » ¡ La humanidad! ; Decidme por Art. 34. « La misma elecc…</t>
  </si>
  <si>
    <t>…urcos toda clase de industria, y enviados solamente no que aprestase la expedición según lo resuelto por las Cortes. para guardar el país, lo miran como una conquista reciente. El Sr. Braamcamp leyó el dictamen de la comisión diplomática n Eii unos tiempos en que se declama continuamente en favor de sobre los sueldos que habían de tener los diplomáticos empleados en las obligaciones morales, de La fe cristiana, y del orden y legitimidad las cortes e…</t>
  </si>
  <si>
    <t>Braamcamp'pidió</t>
  </si>
  <si>
    <t>…bleciendo la mayor tropa está'por su tjo Solimán. economía en todo. Este se halla en 'Rabal con g9 hombres, y se ignora aun qué par ■ Hubo alguna discusión sobre este asunto; y el Sr. Braamcamp'pidió tido haya tornado Marruecos, y su comarca. ÁluJev Solimán , ou * pasa al Congreso que examinase con la mayor atención' la procedencia'y por sanio «ñire Jos moros, parece que no toma determinación alguna', legitimidad de las pensiones , pues asi como era justí…</t>
  </si>
  <si>
    <t>Braamcatnp</t>
  </si>
  <si>
    <t>Gaceta de Madrid n.º 218</t>
  </si>
  <si>
    <t>…mismo que con el dis sias y reparación de las antiguas, curso del Rey , es decir, pasarlo á una comisión. 3. a Que devolverá á los conventos y particulares las tierras que les El Sr. Braamcatnp, apoyando al preopinante, dijo que-era preciso fueron ocupadas es los raja ( distritos) de Brailow , de Ghoczim y de acostumbrarse á no hablar del Rey sino de los ministros , pues que solo Bender. á estos debia atacarse, porque eran los responsables, y porque…</t>
  </si>
  <si>
    <t>Braameamp</t>
  </si>
  <si>
    <t>…onveniente de discutir con orden espera cumplir el sagrado juramentó que acaba, de hacer, y las proposiciones. con los que se propone desempeñar las altas obligaciones en Pidió el Sr. Braameamp se tratase cuanto antes de la que V". M. se na dignado constituirlo. Si asi se verifica , co aprobacion.de las comisiones nombradas, y acordó el mo lo espera con el auxilio de la divina Providencia, se li Sr. presidente que se ventilaría este asunto en la ses…</t>
  </si>
  <si>
    <t>Braancam.pal</t>
  </si>
  <si>
    <t>…llegará á ser la madre patria venturosa. =: Salamanca ¡ j El Sr.'Freireunanifestó. que estaba pendiente, la adición que había de Octubre de 18 21. := Josef de Clairací” H.echo ’ed Sr. Braancam.pal art. zyrj del proyecto de Constitución, que __La muerte de nuestro obispo deja libre una vacante que deseára decia: «Los mandatos del juez deben obedecerse inmediatamente, bajo, mos’recayese en sugelo capaz y decidido-por el régimen constitucional, p.ena de c…</t>
  </si>
  <si>
    <t>Braarocamp</t>
  </si>
  <si>
    <t>…boa 6 de Julio. .que no llegan ata años. M-.yores de esta edad salen anualmente 60, CORTES. _ Sesión del £. que dejan de ser gravosos al Gobierno; y asi tenemos hoy *n Francia, El Sr. Braarocamp pidió que sé prescribiere la fórmula que había</t>
  </si>
  <si>
    <t>Braatncamp</t>
  </si>
  <si>
    <t>…iguiente»: 4 hombres: 2 mu* acordó que volviese á la comisión para que le diera mas extensión. geres: 3 niños: una niña. Total 10. Sobre la tercera parte del artículo manifestó el Sr. Braatncamp que Del 12 al 13 1 hombres: 3 mugeres: 2 niños: 3 niñas. Total toe según estaba concebida daba mucho arbitrio á los que hubiesen de man Del 13 al 14 3 hombres: una muger: 3 niños. Total 7. dar prender. Otros Sres. diputados opinaron que debían designarse los…</t>
  </si>
  <si>
    <t>Bracamente</t>
  </si>
  <si>
    <t>…on, boticario; en Pontevedra en la de D. Juan ArgiD. Francisco Martínez Rey ; para Alcalá la Real á D. Miguel Lerin bay ; en Oviedo en ia de D. Marcos Saraudeses; en León en la de Don Bracamente; para Andujajr á D. Francisco de Paula Molino; para Ube- Antonio Chalanzon ; en Búrgos en la de D. Paulino Alegría, del co da á D. Antonio Vicente Lobariñas; para Bezmar á D. Josef Santerías mercio, y en Avila en la de D. Antonio Salcedo, boticario; y los de-…</t>
  </si>
  <si>
    <t>Brancia</t>
  </si>
  <si>
    <t>…rio había quedado en una situación Parlamento: 'manifestó la correspondencia que'había tenido el ministro de Estado con el príncipe de Ganan y con el sumamente critica. ALEMANIA.' caballero Brancia , enviados extraordinarios en Parts; en la cual decía Brancia, que en una conversación que habia teni Francfort 2.G de Diciembre. do con uno de los primeros persohages de la corre de Fran Por el arríenlo 7.0 de la nueva acta ■ constitucional del cia ' habia t…</t>
  </si>
  <si>
    <t>Branco', Castelld</t>
  </si>
  <si>
    <t>Castelld Branco'</t>
  </si>
  <si>
    <t>…n de esta estribaba en su utilidad y en el entu debidas siempre á su voíor-y sus virtudes. ^ *. ‘ - ' - •• - q * siasmo de la nación.- . • ......... Cádiz, -ff He Marzo. -• • • El Sr. Castelld Branco', haciendo .varías reflexionestobre lo expues- - - Desdando la - sociedad écohómic^Már-toda la extenííótf rque es to por el Sr. Vaz Velho , probó que-las pasiones de los hombres les in compatible con éK estado-tfec sus‘fondós1 a-1¿ educación gratuita que clina…</t>
  </si>
  <si>
    <t>Branco, Castalio</t>
  </si>
  <si>
    <t>Castalio Branco</t>
  </si>
  <si>
    <t>…an número de fundándose en su antigüedad y en los concordatos hechos por los Re portugueses casi al misino estado en que viven las tribus de la India. yes de Portugal; á lo que el Sr. Castalio Branco dijo que un Congreso Aterrado el público con tan extraño proyecto, quiso atribuirlo á legislativo, que trataba de hacer una reforma general, tenia toda la auto los diputados de la provincia de Beira ; pero esto fue una verdadera in ridad para hacer aquellas l…</t>
  </si>
  <si>
    <t>…Los periódicos de Inglaterra y Alemania no hablan casi de otra Operación de que nacía aquella diversión. cosa que de noticias de Grecia. En los primeros dias de la insurrección El Sr. Castalio Branco dijo que no debían hacerse leyes como esta, las gacetas extrangeras de cieito partido sé declararon á favor de la me inútiles y contrarias á los deseos de Ja nación; y por último habién dia luna y contra la cruz; ahora han principiado á abandonar la causa dos…</t>
  </si>
  <si>
    <t>Branco, Casteilo</t>
  </si>
  <si>
    <t>Casteilo Branco</t>
  </si>
  <si>
    <t>…or de las Cortes. Habien milicias dirigir á nuestro Gefe político la siguiente felici do modificado la comisión la proclama presentada por el tación, que firmaron sus comandantes: Sr. Casteilo Branco , se decidió que se imprimiese un egem- «Sr, Gefe político de esta provincia de Guipúzcoa: Los plar para cada diputado, á fin de que diesen todos su dic milicianos de 22 pueblos, reunidos hoy en esta villa á ce tamen sobre ella. lebrar la ¡iberrad de la nació…</t>
  </si>
  <si>
    <t>…de los referidas principados, restableciéndolos en las algunas circunstancias en favor de los diplomáticos. dignidades, gerarquías y propiedades de que gozaban antes de la pre El Sr. Casteilo Branco manifestó que. S. M. no podia ser nunci sente guerra, perjuro al juramento que habia hecho tan espontáneamente, y que así а. “ Que no estorbará de ningún modo el libre egercicio de la reli todo cuanto hiciese opuesto al sistema constitucional era obra de los…</t>
  </si>
  <si>
    <t>…ue hiciese que el ministerio cami procurar conservar siempre su independencia, no aamitiendo jamas ór nase unido, y cuidase de los intereses de la Nación. denes de sus vecinos. El Sr. Casteilo Branco manifestó que la palabra humildad era im</t>
  </si>
  <si>
    <t>Branco, Castello</t>
  </si>
  <si>
    <t>Castello Branco</t>
  </si>
  <si>
    <t>…mente hemos derramado) la deliciosa gloria de encon Siguióse la presentación de un proyecto de otro dipu trar al fiel pueblo portugués verdaderamente feliz, acredi tado, y dijo el Sr. Castello Branco que todos estos y otros tándolo con la paz y armonía de que hemos gozado toda de igual naturaleza se debían remitir á sus respectivas co clase de ciudadanos en la milagrosa crisis de nuestra pre misiones; y asi se acordó. sente regeneración. Entonces habló el…</t>
  </si>
  <si>
    <t>…se consiga, completa.derrota.por nuestras armas, se entregarán sin no se admitieran protestas. excepción de cuerpos 200© pesos. 2.“ A cualquiera división, regi Con este “motivo el Sr. Castello Branco propuso un proyecto de miento, batallón ó escuadrón de caballería, que en acción general decreto en tres artículos. i.° Que todos los obispos dirijan pastorales rompa ó desordene la línea enemiga , 20© pesos. g.° Al cuerpo ó cuer á sus feligreses, exortíndolo…</t>
  </si>
  <si>
    <t>…mayor moneda, siendo este último objeto tan importante, como íntimamente de su sagrario1: á los conocimientos de la verdad y á los rasgos de elo unido al Crédito público; pero el Sr. Castello Branco manifestó que cuencia desplegados en esta oración con todos los adornos de la piedad .convenía mas alargar las sesiones, que no tenerlas los domingos, cristiana ;-correspondió la pompa de este-acto religioso , en el cual na manifestando los inconvenientes que…</t>
  </si>
  <si>
    <t>…se pasó una exposición de la diputación Constitución el tiempo y forma en que deberá establecerse el veto. provincial de Murcia para que se apruebe el presupuesto de gastos mu El Sr. Castello Branco hizo un juicioso discurso sobre el asunto, nicipales que propuso el ayuntamiento de Higueruela. demostrando la bueña división de los poderes, la necesidad de evitar A la de Hacienda, junta con la de Diputaciones provinciales , se pasó la influencia de alguno…</t>
  </si>
  <si>
    <t>…los negocios que están á cargo ya tenia dicho, y añadiendo que se habia guiado por ios reglamentos de esta comisión. de libertad de imprenta de Francia y España. . ATV.UA.NIA. El Sr. Castello Branco apoyó al Sr. arzobispo, diciendo que en el reglamento se expresaba que los impresos que se hallasen en tal caso Darmstadt s£ de Febrero. se remitirían á los obispos para que procediesen contra ellos; pero que estos no necesitaban el consentimiento civil pata…</t>
  </si>
  <si>
    <t>…bases de la patrio, y estos dirán siempre á los austríacos lo que el Cid de Comedle, Constitución, ó que lo hiciesen solamente los tribunales y autoridades. armado por Jimena: El Sr. Castello Branco apoyó el juramento general, diciendo que no ...........Vuestro poder, desprecio. debían pedirse á la nación nuevos juramentos sobre cosas futuras, cu Venid á combatir contra una mano ya utilidad podía parecer quimérica cuando ya tenia hecho otro jura . De est…</t>
  </si>
  <si>
    <t>BrancO, Castéllo</t>
  </si>
  <si>
    <t>Castéllo BrancO</t>
  </si>
  <si>
    <t>…sé hiciese mención en 1» ■ " ‘ Sesión de Cartel del 1$. gaceta , de las felicitaciones que con motivo de su nuéva instalación les . ; Asi que se-abrió lar sesión tomóla palabra el Sr. Castéllo BrancO, han sido dirigidas por el regimiento de infantería de Aragón; por el y, dijo que antes de qué se empezase á tratar de ningún/isúnto tenia comandante general del depart.imento'de artiHería de Cádiz por sí y p^*. quehacer una proposición de la mayor importanci…</t>
  </si>
  <si>
    <t>…méritos y servicios en la última campaña se le señale úna instituciones que gobernaban y habian de gobernar. dotación ó gratificación, bien del fondo de propios, ó bien del mon El Sr. Castello Branco dijo que liabia oido cuanto se había dicho te pió beneficial; otra exposición de Doña Juana Bautista Tomas, ve sobre el santo Oficio ; y que no pudiendo hablar como testigo sino de cina de Valencia, en la que manifestando sus servicios á la patria, y los hech…</t>
  </si>
  <si>
    <t>…Marzo. dicha petición al ministro Guarda-sellos. Después de haberse leído algunos dictámenes de las comisiones , el También es digna de notarse otra del Sr. Joly, cura ecónomo de Sr. Castello Branco presentó el siguiente proyecto de decreto , dividi Cour-sur-Aube, en que pedia que los ayuntamientos y las ventas de do en tres artículos: i.° Que el egército se reduzca á 2cS) hombres b enes muebles y de fincas no pudiesen celebrarse en. adelante los do en t…</t>
  </si>
  <si>
    <t>…; y discurriendo sobre si isla de S. Miguel. Se decidió que se imprimiese el dictamen de las co se debia nombrar un tribunal-que juzgase al patriarca ó no, dijo el misiones. ■ - • Sr. Castello Branco que ningún ciudadano deb:a ser considerado como Se pasó á- discutir el proyecto de decreto sobre que se prohiba la in oriminal por no admitir una ley, y mucho menos una-ley nueva ; que troducción de granos en el reino de Portugal y los Algarbes, v en la solo…</t>
  </si>
  <si>
    <t>…e ser aplicados con preferencia al pago de ia previa la fijacion -de -carteles. Lord John Russel se quejó de. que hu-, deuda pública, que tanto pesa sobre el Estado, decretan.” El Sr. Castello Branco tomó,la palabra, y manifestó que los diezbiese cuatro maestros de lengua francesa en la escuela militar ;»&gt; No entiendo, dijo, de qué utilidad puede serle á un soldado ingles el co-, mos se habían establecido para mantener á los ministros del altar, que nocim…</t>
  </si>
  <si>
    <t>…juramento acostumbrado de renunciar á la Francia para Se habló iargamente sobre este artículo, y después de haber oido siempre, y de morir antes que vivir bajo su dependencia. al Sr. Castello Branco, se acordó que quedase pendiente su discusión _Mr. Scarlett, apoyado por el marques de Londonderry, ha propues para otro día. to en una de las sesiones de Ja Cámara de los Comunes la adopción de Se leyó el art. to, que decia: un MI sumamente importante para l…</t>
  </si>
  <si>
    <t>…ución, y cuando el clero era rico, se perdió en Francia la religión. tamente á la averiguación del hecho. Vosotros mismos convenís en ello, pues no cesáis de atribuir esta revo El Sr. Castello Branco, lleno de indignación, exclamó. « ¡No hay lución á la incredulidad. Después de la revolución, y siendo el clero paciencia para oir tanto desvarío! Determínese que la Regencia proce pobre, se ha restablecido la religión; también convenís en ello, puesto da inm…</t>
  </si>
  <si>
    <t>994 bitro conx-eniente,1 dice Montesquieu; es por su naturaleza el depo El Sr. Castello Branco habló largamente sobre este desgraciada sitario de la voluntad momentánea del principe que egecuta, y no el acontecimiento, y dijo que por los.indicios y las circunstanciasdil fue_ depositario de las leyes fundamentales.” go opinaba que habían incendiado el e…</t>
  </si>
  <si>
    <t>…úmero de religiosos ¿ quienes se ha expedido por este gobierno mentar á S. M., y acompañarle a dicha hora. político superior hasta el dia de la fecha ia ceitificacion correspon El Sr. Castello Branco apoyó la proposición, y añadió que se pa diente para alcanzar su secularización, con arreglo á Ja ley sobre reforma sase inmediatamente un aviso á la Regencia para que lo pusiese en no de regulares de 25 de Octubre del año próximo pasado, asciende á ticia de…</t>
  </si>
  <si>
    <t>…ran oficiales, dé la Corona, é iban montados en caballos que habia palabras injuriosas contra dicho diputado. ricamente enjaezados. Entre los que acompañaban la comida habia 6o El Sr. Castello Branco manifestó que ningún Congreso soberano soldados, que caminaban formados para evitar la confusión con la regu-, debía dar satisfacción por las opiniones de sus diputados; y que si el laridad del movimiento. A la derecha del Rey estaba el lord de la ca citado e…</t>
  </si>
  <si>
    <t>…este artículo empezase asi, propusieron algunos señores diputados varios medios de redactarlo, SS. MM. y AA. continúan sin,novedad en su importante salud. y entre ellos propuso el Sr. Castello Branco el siguiente: » Amar á la patria , defenderla con las armas en la mano cuando Continúa la lista de los suscriptores á la empresa del empréstito nacio jeallamado-por la ley, respetar las autoridades constituidas , y contri nal desde el 30 de Julio hasta hoy. b…</t>
  </si>
  <si>
    <t>…en cio rad.cal de ia modificación. Ttinia que se me cogiese ia palabra, y provincias, partidos y concejos.” que se hiciese mayor el daño por la supresión de la frase excepto lo Él Sr. Castello Branco habló sobre si debía quedar al arbitrio del perteneciente á la fianza', pero como por una parte es imposible exigir primer magistrado de ia Nación la facultad de desmembrar una parte una fianza de los periódicos dedicados á las ciencias y ias artes, á me dei…</t>
  </si>
  <si>
    <t>Gaceta de Madrid n.º 239</t>
  </si>
  <si>
    <t>…del muelle nuevo, lazareto de observación, ciu de la comisión de Agricultura opinaba que se prohibiese la introducción. dad , hospitales y Barceloneta no ocurre novedad alguna. El Sr. Castello Branco manifestó que no debían prohibirse absoluta De orden de la M. I. junta municipal. Francisco Altes, vice-se— mente, pues si ahora las hacían mal los fabricantes del país , mucho peor cretario. las harían cuando tuviesen seguro su consumo, sin temer la concur r…</t>
  </si>
  <si>
    <t>1460</t>
  </si>
  <si>
    <t>…e una época no muy antigua; Habiendo pedido el Sr. Fernandez Thomas que se hiciese lo mis mas habiendo llegado á Schagni, en cuyo parage acampó 'el bajá, des mo con otros, dijo el Sr. Castello Branco en un largo discurso, que la cubrió 35 pirámides dispuestas por gradas, y desde 50 hasta 120 pies medida que se acababa de adoptar érala mas injusta; que no se estaba en de altura, las cuales estaban muy arruinadas. Vió ademas siete tí ocho tiempo de observar…</t>
  </si>
  <si>
    <t>…amente de las montañas, ata "secretarios de las Cortes para el mes próximo, y salieron electos, para co á los turcos con 4D hombres, los derrotó, les mató 400, cogió presidente el Sr. Castello Branco; para vice-presidente el Sr. Margiochi, muchos prisioneros, y se volvió á sus montañas. y para secretarios los Sres. Ribeiro Costa, Quiroga, Eelgueiras y Freire; —’&gt; Se han descubierto rastros de una conspiración en Transílvania; y con lo que se levantó la se…</t>
  </si>
  <si>
    <t>Branco, Castillo</t>
  </si>
  <si>
    <t>Castillo Branco</t>
  </si>
  <si>
    <t>…de su Rey cons Se pasó ¿ tratar del decreto que había de acompañar á las bases de titucional, de la Constitucion¡, y.ide.todo cuanto pueda concurrir al la Constitución, leyendo el Sr. Castillo Branco , corho individuo de la bien estar de la patria. comisión, el dictamen de esta, para que se. suspenda la egecucion de Madrid 20 de Marzo. los art. 4°, 5.0, 8.°, 9.", 10 y n, por ser indispensables los reglamen SS. MM. y A A. continúan sin novedad en su import…</t>
  </si>
  <si>
    <t>…ia igual número de una la ley de 25 de Octubre último; y que por consiguiente se los consi parte que de otra. dere del mismo modo que á los monacales , puesto que también dejan Et Sr. Castillo Branco observó que habiéndose declarado que la bienes aplicables á la Nación: las Cortes lo han aprobado." Y por compañía siga con su privilegio exclusivo , debía esta comprar el vino Panto mandamos á todos los tribunales, justicias, gefes , gobernadores que vendan…</t>
  </si>
  <si>
    <t>…asi debía extenderse el ar jueces y los jurados, desconociendo todo lo que no es rigorosamente le- tículo. val , sentenciarán á un tiempo á los editores dei periódico por haber El Sr. Castillo Branco manifestó que si el Rey no podía declarar se sustraido á la ley, y á los encargados del poder por no haberla ege- la querrá ni hacer la paz sin el consentimiento de ia Nación, tampoco culado. Ademas de esto, el procurador general Cfiscal ) estará obligado pod…</t>
  </si>
  <si>
    <t>…nceles Lo- milicianos fueron al suyo,, que nao.su adornado també.¿¿-.primo se tasasen algunos géneros. rosamente , colocando en el ceniro el retrato dei Rey. Por la rioche hu-, El Sr. Castillo Branco se opuso á que se expidiese semejante orden bo iluminación , en la que sobresalieron los expresados balcones per. el sin haberse acabado de discutir este asunto, que estaba pendiente del número de luces y vistosas decoraciones. Al dia siguiente se- corrieran,…</t>
  </si>
  <si>
    <t>Brancovan</t>
  </si>
  <si>
    <t>…que estaba este año en camino. Hay algunos señurvs que forman biblio muerto está condonado, ó que se ha convertido en vampiro*. I.a familia tecas muy bonitas á la vista’, y la del príncipe Brancovan acaba dé manda entonces hacer oraciones expiatorias, la;cuales producen mucho ser quemada por .los insurgentes. Se ha establecido una especie de gim dinero á los popas. Esto es lo que un francés recien venido de Buchanasio griego, donde, según aseguran muchos…</t>
  </si>
  <si>
    <t>Branco’les, Castéllo</t>
  </si>
  <si>
    <t>Castéllo Branco’les</t>
  </si>
  <si>
    <t>…ntes: basesy y que pór ellas quedabasobrádaniénte autorizado - el poder ege- Del ayuntamiento constitucionál dé Alcóy,.dando gracias por la cutivo para lo qüe habia hecho; pero el Sr. Castéllo Branco’les contestó .resolución é interes qué.&amp; favor de las mismas tomaron las Cortes en que las mismas bases establecían qué lás Cortes determinasen la exten la sesión dé 3 del ,corriente. ' ‘“". V.'!.. ’ • ' sión-de los poderes ’ dél Gobierno; y que no hacia la propo…</t>
  </si>
  <si>
    <t>Braticó'dijo, Castello</t>
  </si>
  <si>
    <t>Castello Braticó'dijo</t>
  </si>
  <si>
    <t>…Juan Dick, americano-, que salió de titución que hiciesen-las Cortes nunca podía ser sino condicional. Margarita, apresó en la altura de la Madera’al bergantin portueues San ' El Sr. Castello Braticó'dijo que habiendo sido él el primero que ma Luis, su capitán Lesa, que-salió del-Rio-Janeiro-con destino para' nifestó estas ideas en la sesión anterior, y habiendo sido.rebatido túvo Oporto, cargado de frutos del Brasil: dicho corsario tiene 18 cambies-' la prude…</t>
  </si>
  <si>
    <t>Bratico, Castillo</t>
  </si>
  <si>
    <t>Castillo Bratico</t>
  </si>
  <si>
    <t>…ademas de que el pueblo no estaba contentó demas puntos no ocurre novedad. con ellas desde los tí’tinios sucesos. De orden de lh M. I. junta de sanidad.— Franciséo- Altes, vice El Sr. Castillo Bratico dijo que no era político el enviar tropas á secretario. Rio-Janeiro en estas circunstancias; que la Voluntad espontánea de los Parte que comprende todo el dia 2y. pueblos era adoptar el sistema constitucional sin necesidad de fuerza Lazareto sucio, existencia…</t>
  </si>
  <si>
    <t>Braulio</t>
  </si>
  <si>
    <t>…ausa de la Nación , cupo en suerte del primer extracto de la de este el Diario de los Debates, y en artículo de Venecia fecha 14: estas dos dia á Doña Lucia María Alvarez, hija de D. Braulio, subteniente del circunstancias son dignas de notarse por las ideas favorables á los grie regimiento infantería de Iberia, muerto en el campo del honor gos que en él se insertan, y porque tampoco se hace en él mucho favor í los rusos. Han sido electos diputad…</t>
  </si>
  <si>
    <t>Braum</t>
  </si>
  <si>
    <t>…mero estaban obligadas, segun el fuerou heridos el capitán Pfield , de ios húsares del Rev de Inglaterra, art. 117 de la Constitución, á mirar por el bien y prosperidad de la y el teniente Braum , del primer batallón de cazadores. Nación; por lo que el cuerpo legislativo debia acordar medidas en ,, Mientras se peleaba en Rieti ¡legó á PrV ¡i: Lugo un cuerpo grande para separar !o que pudiese interrumpir la felicidad publica , lo de 3O hombres , que s…</t>
  </si>
  <si>
    <t>Brautncamp</t>
  </si>
  <si>
    <t>…ona pueda exigir bajo ningún dad de un Rey constitucional, cuya persona era sagrada é inviolable. pretexto otros pagos ó contribuciones;y por último que gozarán de las Entonces el Sr. Brautncamp, tomando de nuevo la palabra , dijo :» Yo mismas prerogativas que disfrutaron durante el reinado del difunto Sztl- sé que el Rey dió su Real mano á besar al barón después que este aca tan 'Mahomet ÍV.' bó su arenga en defensa de su padre; todos sabemos cuán s…</t>
  </si>
  <si>
    <t>Bravo, Antonio de Almodovar Ruiz</t>
  </si>
  <si>
    <t>Antonio de Almodovar Ruiz Bravo</t>
  </si>
  <si>
    <t>…eto en todas sus partes. Tendreislo al castellano de la última edición, corregida y aumentada por el autor, entendido para su cumplimiento, y dispondréis se imprima,publique y por D. Antonio de Almodovar Ruiz Bravo, médico de Cámara hono circule. = Está, rubricado de la Real mano. = En Palacio á 4 de Julio rario de S. M.&amp;c.La presente obra es de la clase de aquellas cuya exte de 1821. = A D. Antonio Barata. rioridad no satisface; pero sus materias completan el deseo. En…</t>
  </si>
  <si>
    <t>Bravo, Juan</t>
  </si>
  <si>
    <t>Juan Bravo</t>
  </si>
  <si>
    <t>…ue perteneciendo brada para eternizar la memoria de los héroes de la libertad de Castilla al Rey solo la facultad de dar á la administración la forma que le pa D. Juan de Padilla, D. Juan Bravo y D. Francisco Maldonado, y los reciese mejor, y por consiguiente la de arreglar el ministerio, podía de Aragón D. Diego de Heredia, D. Juan de Lanuza y D. Juan de distribuir el trabajo entre sus agentes del modo que creyese mas opor Luna. La comisión proponía 14 artícelos, que se ma…</t>
  </si>
  <si>
    <t>Bravo, Manuel</t>
  </si>
  <si>
    <t>Manuel Bravo</t>
  </si>
  <si>
    <t>…á los que incurran en determinados delitos, ro, por haber beneficiado 85 quintales de congrio. en lo que ve ía Cuotidiana un medio á propósito para restablecer la Quinientos rs, á D. Manuel Bravo, del mismo puerto, por haber tranquilidad. extraído da los hígados y entrañas del pez llamado gata 109 arrobas Ya habia dicho un poco antes que la efusión de sangre costaría ‘ de grasa de arder, ó 3ain. poca á los liberales; que la derraman en todas sus tenta…</t>
  </si>
  <si>
    <t>Bravo, Manuel de Miguel</t>
  </si>
  <si>
    <t>Manuel de Miguel Bravo</t>
  </si>
  <si>
    <t>…de acuerdo con los profesores mas ilustra Par Colmenar Pleja. D. Pedro Abella, vecino de Aicobendas. dos procedan á hacer obserraciones y experimentos directos , con J’or AUa'.ú. D. Manuel de Miguel Bravo , vecino de Cobeiia. aquel tino é imparcialidad que se desea y es necesaria, para averiguar Por IM.w.nlcarnero. D. Bernardo Parras Hermosilla , vecino de San el origen exótico ó local de la fiebre amarilla en ios pueblos en que por 'Martin de VaideiiíJesias.…</t>
  </si>
  <si>
    <t>Bremont, Josef María</t>
  </si>
  <si>
    <t>Josef María Bremont</t>
  </si>
  <si>
    <t>…as causas, se halla nes de organización de Fuerza armada y especial de Hacienda, los egein- rían complicaciones al egecntarlo; que la comisión encargada de esto plares que remitió D. Josef María Bremont, comisario de guerra de los ha creído indispensable fijar los delitos y los trámites, y que todo esto egércitos nacionales, con título de Observaciones acerca ¡ie la adminis-, requiere alguna detención en unas causas mas que en otras; que hay tracion militar…</t>
  </si>
  <si>
    <t>Bret, Bruno</t>
  </si>
  <si>
    <t>Bruno Bret</t>
  </si>
  <si>
    <t>…suspenda la lectura, y quedando responsable el que faltare Septien , hacendado de Horta. Falcet &gt;D. Jaime de Osó , hacendado de de la indefensión que puede resultar. Vinebra. Olot D. Bruno Bret, arcipreste de Ja colegiata de S. Juan de Art. 2.0 «Para el caso de enfermedad ú otro impedimento legíti las Abadesas. D. Jaime Serrat Calbo, abogado de Olot, diputado de mo de alguno ó algunos de los defensores durante el sustanciado de ¡a provincia. causa,…</t>
  </si>
  <si>
    <t>Bretón, Mariano Beaumont y</t>
  </si>
  <si>
    <t>Mariano Beaumont y Bretón</t>
  </si>
  <si>
    <t>…se én la misma , extendiendo sus miras paternales hácia aque En la provincia de Aragón: para la judicatura del partido de Cin llos pueblos , cuidaría de sus intereses. co Villas á D. Mariano Beaumont y Bretón; y para la del de CantaEl Sr. Clemencin dijo: La comisión há oído lo que ha dicho el vieja á D. Juan Manuel Lafuente. Sr. Banquéri sobre la aprobación de las bases, y no puede menos de En la provincia de Extremadura: para el juzgado de Valencia de poner en co…</t>
  </si>
  <si>
    <t>Briagas, Francisco Antonio</t>
  </si>
  <si>
    <t>Francisco Antonio Briagas</t>
  </si>
  <si>
    <t>…o que reclama lo que vecino de Bilbao. guez. todos han reclamado en diferentes épocas, y tarde ó temprano han D. Francisco Fernandez Suarez. Doña María Asunción Sexma. conseguido. D. Francisco Antonio Briagas. Dona María Mercedes Cevallos Los periódicos renuevan la noticia de hallarse preso en las Siete-Tor D.'Felipe Ronedo. y Noroña. res el embajador ruso, "k pesar de las; representaciones hechas al diván D. Fermín Carnerero y Villa. D. Martin Gutiérrez. por. los…</t>
  </si>
  <si>
    <t>Briceño, Pedro</t>
  </si>
  <si>
    <t>Pedro Briceño</t>
  </si>
  <si>
    <t>…ió electo vice-presidentc por 49. Siguió blica, de parre de ella á los señores general de brigada An se á esto una discusión sobre el número de los secretarios, tonio Josef Sucre, coronel Pedro Briceño, y teniente coro que se fijó en cuatro;.y pasándose á su elección, quedaron nel Josef Gabriel Perez ; los cuales , habiendo cangeado sus nombrados los señores diputados Juan Bautista Filoneir.n: resnecm'oc nocteres c! ?2 d.£? oresente mes v año i v b?ch?&gt; por…</t>
  </si>
  <si>
    <t>Brillante, Fernando</t>
  </si>
  <si>
    <t>Fernando Brillante</t>
  </si>
  <si>
    <t>…al Frente de la lápida, mientras la descubrían el sarmados sin gente alguna dentro del puerto; y el tercero á la polacra fr. vicario eclesiástico y el comandante de la intantería D. Fernando Brillante, del capitán D. Ramón Botet. El otro entrado procede del Marín de La-Serna; dando repetidos vivas, que fueron contestados in- mismo puerto, del bergantín ingles Sara, del capitán Lauson , que se m idiatamente por el innumerable concurso que ocupaba la plaza.…</t>
  </si>
  <si>
    <t>Bringas, Antonio</t>
  </si>
  <si>
    <t>Antonio Bringas</t>
  </si>
  <si>
    <t>…. .iAudiencia de Valíadalid. A D. Domingo de Santa Alaría ,X&gt;.An■ de ocho los que'permanezcan fuera de ella'; contados desde eL día de su -tonio Apéllaniz , :D; Santiago Zapata., D. Antonio Bringas, D. Franpublicación y por conducto de siis gefés; á lós-inspectores de las armas, -cisco Vicente Yáñez y D.; Tomas Arizmendi. ,quienes remitirán relaciones nominales á-esta secretaría dél Despacho de Idem de Granada.. D. Josef López de Gozar, D. Juan Agustin…</t>
  </si>
  <si>
    <t>Bringas, Julián</t>
  </si>
  <si>
    <t>Julián Bringas</t>
  </si>
  <si>
    <t>…ares. ’i : , . . Nava á D. Josef Cuenca Saez: para el de Baltanás á D. Jóséf Valen El Sri Banqueri man¡festó',qüe no podia - aprobar el que Alicante tín Rica: para el de Cárrión'á D. Julián Bringas : para el de Cer'vera fuese provincia ó nó lo fuese, mientras no viese que por las Cortes se de Pisuerga á D. Victoriano Escribano: para el de Saldaría á D. Luis hubiesen aprobado algunas bases, como la de extensión, población &amp;c., Antonio del Campo; y para e…</t>
  </si>
  <si>
    <t>Brío-, Esteban</t>
  </si>
  <si>
    <t>Esteban Brío-</t>
  </si>
  <si>
    <t>de Manacor á D. Pedro Juan Morel! ; para '^jl de Llumayor á Seis marjales en dicho término, pago del Lunes, en D. Antonio Josef Ochoa ; para Mahon á D. Esteban Brío- 4200 rs. nes; para el de Ciudadela á D. Josef Banquells, y para Cinco marjales en dicho término, pago del Martes, en Ibiza á D. Sebastian Terres. 3000 rs. Siete marjales en dicho término, pago del Viernes , en En atención á los méritos y servicios de D. Crist…</t>
  </si>
  <si>
    <t>Brito</t>
  </si>
  <si>
    <t>249</t>
  </si>
  <si>
    <t>…del proyecto hasta que hu Circular del ministerio de Hacienda. biese todos los datos nece;arios pára resolver sobre él. «En la instrucción formada por el extinguido tribunal de Et Sr. Brito hizo dos proposiciones, una para que se la contaduría mayor de cuentas, y aprobada por el Rey en averiguase cuáles eran las remas nacionales, y otra pava que Real orden de 14 de Diciembre de 1S1S, se prescribieron se establecieran cátedras de economía polític…</t>
  </si>
  <si>
    <t>…votación, fue desechada la tección de la ley; ha perdido los derechos de ciudadano español; toda proposición. comunicación con él es un delito, que castigarán los magistrados y El Sr. Brito propuso en seguida que ningún Sr, diputado pueda jueces conforme á las leyes; y el fiel y patriótico entusiasmo que han presentar un proyecto sin que esté firmado por- otros 5. demostrado los gefes políticos y los militares, los ayuntamientos cons Se empezó l…</t>
  </si>
  <si>
    <t>…o dejaron de ahogarse muchos habitantes: posición , fundándose para ello en poderosas razones que expuso. los turcos hicieron esclavos á todos los que perdonó el acero, y se re El Sr. Brito hizo ver que el gefe de este ramo no tenia otros em tiraron. pleos, ademas de aquel, qué el de inspector de contrabandos; y con - „ Tal fue el resultado del ataque de Aivaly y la suerte de su pobla cluyó diciendo , que era muy buen sugelo y muy honrado, y que…</t>
  </si>
  <si>
    <t>…le trasladase á otra igualmente del homicidio de Ricardo Honey, puede muy bien estar inocente de segura. este delito; porque este oficial es tan parecido á otro teniente de su El Sr. Brito pronunció un largo discurso, en que manifestó que en cuerpo, que uno de los testigos lo notó al punto, y no pudo menos de 14 años que habia permanecido en Bahía habia conocido los senti admirarse, y luego reconoció que no era el teniente Gore quien habia mien…</t>
  </si>
  <si>
    <t>Briz, Antonio</t>
  </si>
  <si>
    <t>Antonio Briz</t>
  </si>
  <si>
    <t>…que sale el domingo para París, ha escrito ra el de Roda á D. Francisco de Paula Perez Rangel: á Mr. Bolton de Liverpool, una carta (que se ha enseñado á para el de S, Clemente á D. Antonio Briz de la Cuesta • pa sus comitente0), en la que le manifiesta las circunstancias de ra el de Req&lt;¡ena á D. Alejandro María Barrachi y Ore: su retirada; en ella le dice «que había hecho su dimisión para ebde Cañete á D. Jo;ef Andrés de Arellano: para el .en el me…</t>
  </si>
  <si>
    <t>Broussais</t>
  </si>
  <si>
    <t>…cum las Décadas médico-quirúrgicas, el cual contiene: z.° La continuación plimiento de la anterior resolución. Madrid 3 de Diciembre de 1821.” del análisis crítico de la obra del doctor Broussais, donde este autor Dirección general de rentas. habla de la medicina de Alemania, de Inglaterra y da España. i.° So El Excmo. Sr. secretario de Estado y del Despacho de Hacienda bre la cuestión de si es necesario ser médico viejo para ser hábil ó en papel de 2…</t>
  </si>
  <si>
    <t>Brown</t>
  </si>
  <si>
    <t>…la escasez de dinero. La Rebeca, capitán Thompson , quedó libre, y economizando la extracción de numerario que por él y otros se efeey salió de Valparaíso-, pero el lord Sufjicld, capitán Brown, y la tú.i, á causa de no investigarse y aprovecharse los productos del sue'o Rd-zvard Bilis, capitán Heath, aun permanecían allí. español. La sociedad espera que cuantas personas deseen ó necesiten la El corsario insurgente que cruzaba en estas aguas (llamad…</t>
  </si>
  <si>
    <t>Browrte</t>
  </si>
  <si>
    <t>Gaceta del Gobierno n.º 45</t>
  </si>
  <si>
    <t>…ente á las medidas que torna cían la victoria que, mediante Dios, hemos de conseguir. el Gobierno. La expresada fragata para complemento de dicha tuvo la Hemos visto una carta del coronel Browrte , escrita á de haber hablado con un falucho que salió antes de anoche lino de sus amigos de esta capital, en la que le dice que á encontrar á las fragatas Esmeralda y Venganza ; y le van en buen estado sus heridas, y que le parecia podriá po tomó un práctico…</t>
  </si>
  <si>
    <t>Brun, Francisco de Paula</t>
  </si>
  <si>
    <t>Francisco de Paula Brun</t>
  </si>
  <si>
    <t>…rco de oro de 24 tes de los reguardos militares, remitido por el Sr. ministro de Hacien quilates ó de ley suprema 3070 rs. vn., y en igual porción el que no da : una esposicion de D. Francisco de Paula Brun, pidiendo se de llegare á esta ley. La plata adeudará por cada marco de t 2 dineros ó clare válida la compra de seis casas que hizo al monasterio de cartujos de ley suprema 182 rs. y 17 mrs., y en la misma proporción la que de Sevilla por los motivos que expr…</t>
  </si>
  <si>
    <t>Brun, Josef</t>
  </si>
  <si>
    <t>Josef Brun</t>
  </si>
  <si>
    <t>…iudadanos, Don Antonio Osteret, D. Francisco de Travesedo, D. Francisco depositarios ya de la confianza de sus convecinos , caminando al tem Antonio Pando, D. Francisco Izquierdo, D. Josef Brun, D. Matías plo á implorar del Altísimo que ilumine su entendimiento y separe de lavin, D. Ramón Adan y D. Ventura Rubio. él la pasión ó el error , para que desempeñando dignamente el ilustre P arroquia de S. Ildefonso , 18 electores. cargo de que están revest…</t>
  </si>
  <si>
    <t>Brusi, Antonio</t>
  </si>
  <si>
    <t>Antonio Brusi</t>
  </si>
  <si>
    <t>…s y medio de trigo__ Otras 2 heredades, Lázaro Sanz: de D. Apolinar Enderica á D. Simón María Rebolledo: que hacen 5 ferrados y 26 cuartillos de labor y prado, las que lleva en de D. Antonio Brusi á Dofi3 Eulalia Brusi, en Barcelona : del Dón' arriendo Benito García, y radican en las veigas de Amieiro y Figuei- Martin de Ocio á D. Angel del Valle; y de D. Pedro Jordi, en Lé ras, en venta 1 165 rs., y en renta 2 ferrados y medio de trigo y 3 rida, á D.…</t>
  </si>
  <si>
    <t>Bubna</t>
  </si>
  <si>
    <t>…iembre. cluyó de este modo sus importantes tareas sobre variacio El conde de Strassoldo, presidente del Gobierno, y .el nes. Ai saiir.de la sesión manifestó todo Ñipóles su amor y conde Bubna, comandante militar en Lombardía , han sa gratitud á los diputados del modo mas expresivo. lido esta mañana para Mantua con el objeto de ofrecer sus ■respetos al Rey de Ñapóles, á quien se esperaba luy en aque INGLATERRA. lla ciudad; pero las últimas noticias…</t>
  </si>
  <si>
    <t>…tamente para Feriara, en cuya cindadela hay una guarni y después de algunos cumplimientos se* convinieron en que Smith ¡a haría el marres 13 de Febrero.ción austríaca. £í general conde Bubna, comandante en gefe de la Habiéndose formado ¡a Cámara en junta de subsidios, Xcmbardír., ha recibido un correo extraordinario , que ha sir Warrettder (uno de los lores del almirantazgo) propu traído pliegos del consejo áulico de, guerra. so que se pusiese en…</t>
  </si>
  <si>
    <t>Bueno</t>
  </si>
  <si>
    <t>…ntonio Arneos, su los turcos.) _ hijo legítimo, ausente de mucho tiempo á esta parte sin saberse su fi ó El barots. paradero, con el objeto de averiguarlo, mandó el indicado señor juez Bueno : yo apostaré que ya os vuelven las ganas de andará palos. que por la citada escribanía se pusiese testimonio en sucinta relación Ali-Agá. con el nofnbre del heredero ausente, los de sus padres, y que se en A fe mia que no; pero sí aseguro que no se me quitar…</t>
  </si>
  <si>
    <t>Buera, Valero</t>
  </si>
  <si>
    <t>Valero Buera</t>
  </si>
  <si>
    <t>…ar las Encalados. Bergantín Esperanza, D Pablo Domerech ; polacras, puertas del templo de la justicia á las reclamaciones sagradas de todo S. Antonio, D. Lorenzo Franques; Carmen, D. Valero Buera; bom un purblo , y á la hollada magestad de las leyes! (_ Morning Cronicle.) barda Virgen del Buen tire, D. Juan 'íriay: pingüe sardo Virgen .—Parece que el Courrier cree que porque es lícito á un particular cuan del Rosario, D. Juan Bautista Colombino; laude…</t>
  </si>
  <si>
    <t>Buitrago, Sebastian</t>
  </si>
  <si>
    <t>Sebastian Buitrago</t>
  </si>
  <si>
    <t>…s pontificios, y administra reunidos todos, Ies pronunció un bello y elegante discurso el procurador dores del patrimonio de S. Pedro, parece que no son muy felices en aco síndico D. Sebastian Buitrago, teniente capitán de la segunda compañía: modar los nombres á las cosas , y en llamar a cada una con el suyo Dirigidos á la iglesia-parroquial en columna en'union del ayuntamien propio; mas esto no es extraño , porque engolfados contra su voluntad to^ el cler…</t>
  </si>
  <si>
    <t>Bulbena, Antonio</t>
  </si>
  <si>
    <t>Antonio Bulbena</t>
  </si>
  <si>
    <t>…nta es, como hemos dicho otra vez; el pa- de Pescia , de Cádiz. "de ídem. ladium de las libertades públicas, el derecho de petición es otra de las D. Josef Maria de Segura, de Va- D. Antonio Bulbena , de Barceprerogativas mas preciosas y útiles de un pueblo libre en los Gobiernos ' lencia. lona. representativos. El militar vejado por sus gefes , el ciudadano oprimi D. Lorenzo Fernandez de Cenarbe, D. Francisco Puig y Gisbert ,de do por sus gobernantes, l…</t>
  </si>
  <si>
    <t>Burdett, Francis</t>
  </si>
  <si>
    <t>Francis Burdett</t>
  </si>
  <si>
    <t>…mañana al guerra contra los napolitanos seria de suma importancia, va tribunal llamado Kings Bendi á oir la sentencia de sir á recibir una fuerte guarnición austríaca. El mariscal conde Francis Burdett, el cual á unanimidad de votos fue decla de Seceroli ha sido nombrado comandante en gefe, y ten rado reo de libelo injurioso al Gobierno del Rey- y á las drá igualmente bajo sus órdenes las tropas de la duquesa de tropas: de S. M.; pero con motivo de estar au…</t>
  </si>
  <si>
    <t>Burel</t>
  </si>
  <si>
    <t>…residente, vice-presidente y secre haber perfeccionado la fundición de planchas de plomo: 4.a En favor tarios para el mes próximo, y salieron electos, para presidente el señor del Sr. Burel, vecino de Cette, por.haber perfeccionado un aparato pa Moura, para vice-presidente el Sr. Vaz Vello, y para secretarios los ra la fermentación del vino, sin que se disminuya sú volumen, su alSrcs. Folgueiras, Ribeiro Costa, Freire y Queiroga; y para suplirle…</t>
  </si>
  <si>
    <t>Burgos, Javier de</t>
  </si>
  <si>
    <t>Javier de Burgos</t>
  </si>
  <si>
    <t>…alteración Las poesías de Horacio, traducidas en versos castellanos, con'notas .en ia fuerza de los cuerpos, cuando por el otro , es decir, expidien y observaciones críticas, por D. Javier de Burgos. Obra dedicada al do las licencias antes de la incorporacion.de los sustitutos ó propie Rey.-Tiempo hacia qué los amantes de las- letras deseaban, con ansia tarios,., se experimenta que las bajas son efectivas en el instante que esta traducción importante qus…</t>
  </si>
  <si>
    <t>BuriUo, Manuel Gil</t>
  </si>
  <si>
    <t>Manuel Gil BuriUo</t>
  </si>
  <si>
    <t>…el, egército de , le deduzcan dentro dél. .término de 30 dias, contados! desde .la'publi CostaTFirme, con el de los disidentes ¿¿'Venezuela D. Simón Bolívar, cación de este , ante D. Manuel Gil BuriUo, secretario, con los docudesde el restablecimiento de laConstitucion hasta ei escandaloso é inespe- • • rnentos-en que fundaren su derecho ; pues pasado sin verificarlo-!es pa rado rompimiento det armisticio por este último. Se hallará, de venta rará-el..perj…</t>
  </si>
  <si>
    <t>Buruaga, Manuel María Saez de</t>
  </si>
  <si>
    <t>Manuel María Saez de Buruaga</t>
  </si>
  <si>
    <t>…párroco de Guadamur. Parte del lazareto sucio de todo el día l.° de Noviembre. Partido de Talavera de la Reina. Barceloneta, existencia anterior 50: entrados ó acometidos.... sali D. Manuel María Saez de Buruaga, cura párroco de Calera; Don dos ó cGrados .... convalecientes 42: muertos .... existentes 50. Patricio Martin del Tejar, vecino de Poyales del Hoyo; D. Rafael Hospital del Seminario, existencia anterior 189: entrados ó acome Perez, vecino de Talavera ; D. An…</t>
  </si>
  <si>
    <t>Busar.ya, Rimon</t>
  </si>
  <si>
    <t>Rimon Busar.ya</t>
  </si>
  <si>
    <t>…ente para la instrucción de ios Sres. diputados. Yañez. Igualada D. Josef Pascual, hacendado de Esparraguera. Maurera Entro i jurar y tomó asiento -n el Congreso ei Sr. la Bodega. D. Rimon Busar.ya, escribano de Alo y A Tarrasa D. Juan Barata, Las comisiones reunidas de Guerra y del Código de procedimien juez de primera instancia de la misma. Lérida D. Ramón Hostalrich, tos, después de haber examinado el expediente promovido por ios de abogado de ia mis…</t>
  </si>
  <si>
    <t>Busel, Antonio Rújula y</t>
  </si>
  <si>
    <t>Antonio Rújula y Busel</t>
  </si>
  <si>
    <t>391</t>
  </si>
  <si>
    <t>…n ella funto D. Antonio López Gómez, natural de Cádiz, y vecino que fue los aliados en cuanto condujese á consolidar el sistema absoluto, con de la Havana, para que se avisten con D. Antonio Rújula y Busel, se tal que tuvieran presente que la opinión pública tenia alguna fuerza en gundo cronista , rey de armas de S. M. C. , y de los cuatro únicos de Prusia; que el Rey estaba comprometido con su nación en el estable número que hay en toda la Monarquía, para comu…</t>
  </si>
  <si>
    <t>Busquet, Jaime Carlis</t>
  </si>
  <si>
    <t>Jaime Carlis Busquet</t>
  </si>
  <si>
    <t>…de el prin sentarán en el término de un año ', contado desde esta fecha, á la testa cipio del mundo hasta nuestros dias, cualquiera que haya sido; su for mentaría extrajudicial de D. Jaime Carlis Busquet , vecino y del co ma y constitución, en el cual no puedan hallarse vicios mas ó menos mercio que fue de la ciudad de Badajoz , que corre al cargo de su sobrino trascendentales. El mejor Gobierno es aquel en que si hay abusos, pue y herederos D. Manuel Busquet…</t>
  </si>
  <si>
    <t>Busquet, Manuel</t>
  </si>
  <si>
    <t>Manuel Busquet</t>
  </si>
  <si>
    <t>…arse vicios mas ó menos mercio que fue de la ciudad de Badajoz , que corre al cargo de su sobrino trascendentales. El mejor Gobierno es aquel en que si hay abusos, pue y herederos D. Manuel Busquet, en-iá propia casa del difunto, en donde den, remediarse con prontitud, sin conmociones y srn sangre. Cuando al acreditando el derecho de herederos recibirán de contado 71774 rs. vn.,agraviado se le deja el libre uso de la imprenta y de la palabra, y al que e…</t>
  </si>
  <si>
    <t>Bustaínante, Manuel.Herrera</t>
  </si>
  <si>
    <t>Manuel.Herrera Bustaínante</t>
  </si>
  <si>
    <t>…nte de la diputación perma drid : D. Manuel Florez Calderón, secretario de la dirección general nente de Cortes que se hallaba pendiente; y después de una1 larga dis de estudios : D. Manuel.Herrera Bustaínante, coronel de artillería: Don cusión se acordó que la diputación permanente eligiese su presidente; Antonio Martinez Velasco, cura de Santiago de Madrid: D. Angel que la presidencia fuese mensual , y que no pudiese ser reelegido el pre Soberon, gefe político' d…</t>
  </si>
  <si>
    <t>Bustamante, Francisco de Herrera</t>
  </si>
  <si>
    <t>Francisco de Herrera Bustamante</t>
  </si>
  <si>
    <t>…odo que no era •contrario á la miento de Santander fue nombrado alcalde segundo constitucional, en Constitución, suplicaba se mandara volver á la comisión para que lo Reemplazo de D. Francisco de Herrera Bustamante, qué pasó á ocupar presentara según aquella idea. Asi se acordó. la plaza de diputado suplente de la diputación provincial, con cuyo El Sr. presidente señaló la hora de las siete y media de esta noche motivo solicita que se declaré su derecho á la plaza de re…</t>
  </si>
  <si>
    <t>Bustamante, Josef Labastida y</t>
  </si>
  <si>
    <t>Josef Labastida y Bustamante</t>
  </si>
  <si>
    <t>…nometría es sin disputa una de las mas-útiles rija y Carrese, D. Joaquín Salvador y Udi, D. Diego Mi aplicaciones de la geometría elemental: es la base de la geor randa y Morales, D. Josef Labastida y Bustamante, y desia, de la geografía, dé la astronomía y de la navegación.D. Manuel Pascual y Bañúeias; ha tenido á bien promo El mas apreciable monumento geodésico era el mapa de verlos á subtenientes de dicho cuerpo con la antigüedad de Francia hecho por Cassini: Algu…</t>
  </si>
  <si>
    <t>Bustamante, Josef Martínez</t>
  </si>
  <si>
    <t>Josef Martínez Bustamante</t>
  </si>
  <si>
    <t>…su marido en el año Aligue! Antonio Company; para la de Fiñana á D. Manuel Vicente de 181 2, y en el de 13 pasó á Francia en compañía de un herrador dé Morent; para la de Ugijar á D. Josef Martínez Bustamante; paro la la guardia Real del intruso. Quien supiere su paradero se servirá avi de Dalias á D. Joaquín María Márquez; para la de Torbiscon á Don sarlo a) notario mayor de la vicaría eclesiástica de esta corte D. Josef Josef Ganancias; para la. de Oriiba á D. L…</t>
  </si>
  <si>
    <t>Bustamante, Josef Sigler</t>
  </si>
  <si>
    <t>Josef Sigler Bustamante</t>
  </si>
  <si>
    <t>…l artículo anterior solo tendrá efecto en tiempo de paz. En D. Jenas Hayerman, de Bilbao. D. Miguel Zabaleta. tiempo de guerra interior ó exterior, después que las Cortes hubieren D. Josef Sigler Bustamante, de D. Pedro Elias. declarado por los votos de dos terceras partes de sus diputados estar ¡a ValladoLd. D. Pedro Ricardo. patria en peligro, podrán suspender la egecucion de aquellos artículos de D. Josef Manuel de Aniz. Sres. Sánchez y Lozano. la Constitució…</t>
  </si>
  <si>
    <t>Busto, Josef María del</t>
  </si>
  <si>
    <t>Josef María del Busto</t>
  </si>
  <si>
    <t>…justarse un tratado ofensivo y delensi- de Extremadura á D. Josef Ignacio Llorens; y para- la de Valencia á vo entre tres potencias, sin indicar cuáles son : pero debemos presumir D. Josef María del Busto. que sean las que se hallan mas cercanas á la Turquía; y es de cree» que Asimismo ha tenido á bien nombrar S. M. para plazas de magis en unión con otros Gabinetes hayan resuelto la suerte del imperio oto tratura en propiedad á los sugetos siguientes : en ia a…</t>
  </si>
  <si>
    <t>Busto, Josef Rodríguez</t>
  </si>
  <si>
    <t>Josef Rodríguez Busto</t>
  </si>
  <si>
    <t>…iegos, y andará muy mal sin ellos: 6.~‘ Losgriegos tor D. Rodrigo Valdés del Busto, canónigo de León. Suplentes. Kl son nías instruidos en estas materias que los tuTcos : 7.0 Lie. D. Josef Rodríguez Busto; D. Josef Lorenzo Salas, coronel de los por la libertad ;civil y religidsá ,'íinó tímbien por su :exi5?enciá:',sij 'des- ■ egérclíós-’ridciónales'. ~ truccion es inevitable si son vencidos , mientras que los turcos tienen el Por la provincia de Segóvia-. D.'-…</t>
  </si>
  <si>
    <t>Busto, Rodrigo Valdés del</t>
  </si>
  <si>
    <t>Rodrigo Valdés del Busto</t>
  </si>
  <si>
    <t>…Í.a"má quina derG'obretflo~Uirco '-Vega', oficial niayor deiaiecrétaríá-dél ministerio de Marina;'el doc es movida por los griegos, y andará muy mal sin ellos: 6.~‘ Losgriegos tor D. Rodrigo Valdés del Busto, canónigo de León. Suplentes. Kl son nías instruidos en estas materias que los tuTcos : 7.0 Lie. D. Josef Rodríguez Busto; D. Josef Lorenzo Salas, coronel de los por la libertad ;civil y religidsá ,'íinó tímbien por su :exi5?enciá:',sij 'des- ■ egérclíós-’rid…</t>
  </si>
  <si>
    <t>Bustos, Alejandro Fernandez</t>
  </si>
  <si>
    <t>Alejandro Fernandez Bustos</t>
  </si>
  <si>
    <t>…su propensión á la venganza y al asesina cen lo que sigue: Las Cortes han examinado una exposición en que to ; pero, á excepción de las islas de Zante y de Céfalonia," el puñal se D. Alejandro Fernandez Bustos, vecino de Zamora, pide so declare si usa menos en la Grecia que en Italia. Los griegos, generalmente ha un párroco que vive fuera de los límites de su parroquia ha de tener blando, tienen bastante semejanza con los italianos: los mas apreciables el voto acti…</t>
  </si>
  <si>
    <t>Bustos, Ventura de</t>
  </si>
  <si>
    <t>Ventura de Bustos</t>
  </si>
  <si>
    <t>…s jueces de hecho que ha tugar á la formación.de causa, no diputación. se pueda proceder á la. averiguación de la persona responsable; si el im Baños de rio, caseros y de mar: por D. Ventura de Bustos, ciru preso del diputado fuere anónimo, ó se hubiese publicado bajo un nom- jano dentista que fue en ésta corte. En este librito se ’indican brevebre supuesto, procederán.á declarar si ha ó no lugar á la formación de ■ -mente las muchas clases de baños usados…</t>
  </si>
  <si>
    <t>Busutil, Áliguel</t>
  </si>
  <si>
    <t>Áliguel Busutil</t>
  </si>
  <si>
    <t>…stos vecino de Málaga ; D. Josef Alcántara Navarro, canónigo del Sacromismos puntos una parte de la caballería, y el resto está situado con Monte de Granada, natural de Archidona; D. Áliguel Busutil, vocal la artillería volante en Witepsk y Mohilow. Se dice que van á jomar de la diputación provincial, abogado y vecino de Ronda: D. Juan aili sus cuarteles de invierno. El primer cuerpo del primer egército, que Blake , coronel de los egércitos nacionales ,…</t>
  </si>
  <si>
    <t>Butano, Ramón</t>
  </si>
  <si>
    <t>Ramón Butano</t>
  </si>
  <si>
    <t>…eñalado á cada compañía y cuerpo, se hurio de Cortas; D. Mariano Robirat, abogado; D. Josef Bages Oliva, yan dado los reemplazos correspondientes por las diputaciones pro abogado; D. Ramón Butano , escribano y hacendado. Suplentes. Don vinciales. * Bartolomé de Amat, coronel de ingenieros ; D. Bernardo de Borjas y 7.’ Las planas mayores de los cuerpos se establecerán en los pue Tarrins, director del Crédito público ; D. Josef Elias , promotor fiscal;…</t>
  </si>
  <si>
    <t>Butrón</t>
  </si>
  <si>
    <t>…eñoras de la guarnición y demas oficialidad de ella. Y no fue el Sr. secretario del despacho; de. Gracia, y justicia 200.egemplares .del esto sólo en'lo que se cifró el esmero del general Butrón, que.sabe .tam decreto sobre el nombramiento de los individuos que componen el bién lo qué debe á sus. conciudadanos y compañeros ,de armas por s.u tribunal de Cortes. ,. .. . , ... misma calidad de primer gefe dé ellos en esta plaza. ;Por estos princi A la c…</t>
  </si>
  <si>
    <t>…or al Rey constitucional, pues asi se anunciaba en el derán con todos los cesantes, reformados ó jubilados de las rentas de último número del Liberal Africano ; y su gobernador el Sr. Butrón y el correos, loterías y demas que se manejan por separado, y cuyos producayuntamiento no se descuidan cuando se trata de expresar sentimientos ’tos ingresan en la masa general de los fondos del tesoro, siempre que tan dignos de españoles verdaderos. los inte…</t>
  </si>
  <si>
    <t>1165</t>
  </si>
  <si>
    <t>…Cortes y en el Gobierno , y por el primero que estas regiones lian visto. Uno y otro se debe en gran par respeto y amor al Rey constitucional; si un Liberal Guifuzcoano, re le al general Butrón, á quien también ha de deberse, si se logran sus petimos, se porta asi á las orillas del Océano, otro Liberal Africano designios, el memorable fenómeno de domiciliar la imprenta en este á las orillas del Mediterráneo se empeña también en seguir las mis contin…</t>
  </si>
  <si>
    <t>Butrón, Antonio</t>
  </si>
  <si>
    <t>Antonio Butrón</t>
  </si>
  <si>
    <t>…rral existente en el término nombrado PeñalogroD. Antonio Garnica , D. Bedro Talens, D. Josef Varona, ño, con solo las cuatro paredes de piedra y su puerta vie D. Miguel Gardoqui, D. Antonio Butrón, D. MiguelPaa- ja , en 1,200 rs. din y D. Joaquín Rubalcava. Cinco heredades, compuestas de 29 fanegas , 11 celemi nes , en la misma jurisdicción de Logroño, en 5,696^ rs. N5M. 20. Nota. Las tres antecedentes fincas se hallan libres da Relación de fincas que…</t>
  </si>
  <si>
    <t>Butrón, Miguel</t>
  </si>
  <si>
    <t>Miguel Butrón</t>
  </si>
  <si>
    <t>…. Vizcaya. Aprobada el acta de la sesión anterior, se dió cuenta de una ex Bilbao. D. Pedro Novia. posición del ayuntamiento constitucional de Huesca, en la que da graPortugalfte. D. Miguel Butrón. sias á las Cortes por haber sido nombrada aquella ciudad capital de la Durango. D. Juan Josef Bcngoechea , cari. provincia de su nombre. Las Cortes quedaron enteradas. D. León de Jiuregui. Se mandó pasar 4 la comisión de División territorial una represen Gue…</t>
  </si>
  <si>
    <t>C'O, López</t>
  </si>
  <si>
    <t>López C'O</t>
  </si>
  <si>
    <t>…ífar. abusarían ó podrían abusar de eílá , siendo éste árticiiló iin objeto dé Continuó ia discusión pendiente del a.t. 2. del dictamen de las especulación; de cuya opinión fue el Sr. López C'O. Marcial), a adien comisiones de Comercio y Hacienda sobre prohibir la introducción de do q ue no debía aprobarse el articulo. cáñamos , lonas y lonetas mientras no lleguen ¡os de la Península á un El Sr. Yandioia dijo que las comisiones habian procurado qué…</t>
  </si>
  <si>
    <t>C, B. V.</t>
  </si>
  <si>
    <t>B. V. C</t>
  </si>
  <si>
    <t>…r, en ello se Defensa de la cirugía y de sus profesores contra las opiniones de interesan el Estado, la moral y la religión. un señor consultor de medicina: segunda impresión: por D. B. V. C. «Convencido de esto, me determino á exponer rápidamente á las fie vende á 4 rs. en la librería de la viuda de Quiroga. Consta de seis Cortes en esta Memoria algunas nociones acerca del presidio de Meli pliegos. lla , y que son el resultado de exactas investig…</t>
  </si>
  <si>
    <t>C, F.</t>
  </si>
  <si>
    <t>F. C</t>
  </si>
  <si>
    <t>…o término de 30 dias; bajo apercibimien minario de Vergara por el inspector que fue de dicho establecimiento to de que pasado sin haberlo verificado, se procederá á la práctica de D. F. C. dedicado á los maestros inspectores. Se venden en la librería las diligencias que están decretadas, y les parará el perjuicio que haya de Brun. lugar. Vista del salón de Cortes en sesión de dia, según la variación y Don Juan de Oleaga falleció en la ciudad de…</t>
  </si>
  <si>
    <t>C, López</t>
  </si>
  <si>
    <t>López C</t>
  </si>
  <si>
    <t>…como parte de las rentas de la Nación, deben servir á cubrir las eran dichas autoridades. ............ urgentes necesidades del Estado; y decayendo sus valores, causarían ua ,, El Sr. López C D. Marcial) contestó que las que señalaban las leyes. 'déficit en las obligaciones á que se destinan. El Sr. (Salagrava insistió nuevamente en la aclaración, manifestando » Enterado el Rey del inserto que antecede, en consideración á los no existía ley alguna que declar…</t>
  </si>
  <si>
    <t>C, Víctor</t>
  </si>
  <si>
    <t>Víctor C</t>
  </si>
  <si>
    <t>…soluciories á favor de esta anti D. Juan Arenas , para que se íes rebaje el precio de un arriendo : y otra gua orden, cuya existencia nos recuerdan tantas memorias honoríficas. de D. Víctor C.lleja , vecino de Montiel , para que se le perdonen Entre las varias ventajas que le asegura este Monarca,, se habla de la 'Itíi'rs. que está debiendo á la Hacienda pública. restitución dél palacio que habitaba el prior en Véncela, y la de la La, Cortes quedar…</t>
  </si>
  <si>
    <t>C-alatriva</t>
  </si>
  <si>
    <t>larió el batallón á la llanura del Angel, en cuya vasti extensión se ha E! Sr. C-alatriva opinó que no había lugar í la discusión, puesto bía figurado un hermov., campamento bajo ja Uncc-ion el.-! c:pitan re que los Sres. encargados del Despacho- eran ministros interinó,, v en** tirado D. Diego Cusáis , y aiii e-abi preparada una abundante comida…</t>
  </si>
  <si>
    <t>C-ifatrava-</t>
  </si>
  <si>
    <t>…ndencia. Habiendo pedtdo-.y. cxa- con el rc-jimlento del Príncipe (de.este regimiento di,o lo mismo el anitjidailcK'jdócumentos corre-'-pondientéi, presentó:-gl Congrésst- los di -Sr. C-ifatrava- que del batallón d.- Guard a,). Luego que se venfiqu: la ferente? planes que -hasta chaira-habia habido, para que ¡las .Cortes .entrada en .el Retiro,.se. enviarán dos ó tres personas á dar ari-o al ipúdéeseq tomar -las imedidas-'éóm-eniemes , á fin ¡ de evit…</t>
  </si>
  <si>
    <t>Ca</t>
  </si>
  <si>
    <t>…cibido por ■ acordado de 5 de Abril de 1770; é ignorándose á quien pertenece, la vía de Santander el oficio siguiente: pues desde -el-añó de 1671, que percibió los últimos réditos-Doña Ca » Exento.’Señor: Ayer entró en este puerto, procedente de Puerto- talina Gordo y Galino, viuda de D. Rodrigo de la Vega Acuña y Cabello, la goleta española Ntra. Sra. del Carmen-, su capitán Don Mendoza j nadie ha comparecido &gt; se ha mandado por el expresado…</t>
  </si>
  <si>
    <t>Ca, Agustín</t>
  </si>
  <si>
    <t>Agustín Ca</t>
  </si>
  <si>
    <t>…os regidores de la misma, según el orden de su antigüedad. caciones de los administradores de esta última renta haber remitido, El de la de Legislación relativo á la exposición de D. Agustín Ca dichos billetes. Lo primero estas certificaciones nó pueden justificar lo?, minero, vecino de Zamora, en la que remitía un plan sobre aumento extravíos de los billetes , porque van cerrados , y se ignora 10» qve iun; ’ de gefes políticos, organización de ofic…</t>
  </si>
  <si>
    <t>Ca, Buenaventura</t>
  </si>
  <si>
    <t>Buenaventura Ca</t>
  </si>
  <si>
    <t>…la villa de sión ; y levantó el Sr. presidente la de este día, diciendo que la si Cabra un establecimiento_.literarío. . guiente seria el dia 7. A la de Hacienda una solicitud del profesor D. Buenaventura Ca sal para que se Je conceda una pensión por sus servicios, de lós cuales NOTICIAS DEL REINO. fue uño haber pasado voluntariamente- á la , isla de Mallorca cuando sus habitantes estaban atacados del bubón. Ceuta l.° de Marzo. A la de Legislación se' pasó una ex…</t>
  </si>
  <si>
    <t>Ca, Joaquín</t>
  </si>
  <si>
    <t>Joaquín Ca</t>
  </si>
  <si>
    <t>…Odier y compañía^ de Paris ; Doña Graciosa de Meoqui, d* cías indispensables, pues cada Sr. diputado querria que aquel pueblo á Pamplona; D. Joaquin de Meñaca y Batiz, de Bilbao; D. Joaquín Ca que tiene mas cariño fuese preferido á los demas. no; D. Joñas Hagerman, de Paris ; D.* Juan Redondo y Garzón , da En seguida hizo presente el modo con que sé habia hecho esta di Cádiz; D. Mariano Comparins, de id.; Doña María Ce-ferina, de Corvisión en Franc…</t>
  </si>
  <si>
    <t>Ca, Josef Ruiz</t>
  </si>
  <si>
    <t>Josef Ruiz Ca</t>
  </si>
  <si>
    <t>…d para plazas de magistratura de las audiencias territoriales de El Sr. ministro de la Guerra propuso que en lugar de un coronel la Península , en esta forma: para la de Granada á D. Josef Ruiz Ca it primer comandante se dijese: un primer comandante de la clase de ballero y á D. Gaspar Josef de Aguilar: para la de Aragón á D. Es coroneles ó tenientes coroneles, y en lugar de un segundo comandante teban González Varea •- para Ja de Asturias á D. Eugenio…</t>
  </si>
  <si>
    <t>Ca, Juan Antonio Ruiz</t>
  </si>
  <si>
    <t>Juan Antonio Ruiz Ca</t>
  </si>
  <si>
    <t>…a instancia de los partidos siguientes: para el de agua. de Soria á D. Eustasio Martínez de Toro: para el de Berlanga á D. Jo. ANUNCIOS. sef Puerta-Benito: para el de Villoslada á D. Juan Antonio Ruiz Ca Por providencia del Sr. D. Joaquin de la Escalera , ministro ho raba n te : para el de Logroño á D. Francisco del Castillo: para el de Ca norario de la audiencia territorial, y juez interino de primera instan lahorra á D. Francisco Fabian: para el de A a reda á D…</t>
  </si>
  <si>
    <t>Ca, Juan de Dios</t>
  </si>
  <si>
    <t>Juan de Dios Ca</t>
  </si>
  <si>
    <t>…e Guadalajara ■; Dr D. Toribio González, racionero de la mis gas, como ya lo es tiempo ha de la Moldavia y Valaquia; que harán que ma ¿anta iglesia; D. Juan Manuel Caballero; Lie. D. Juan de Dios Ca cesen las hostilidades, y que se forme un arreglo enire priegos y turcos. ñedo; Dr. D. Francisco Severo Maidonado, cura p.írroco de Xalosto- También creen otros que &gt;e exigirá ia cesión de dichas dos provincias titlam; D. Josef García Monasterio, cura párroco…</t>
  </si>
  <si>
    <t>Ca, Manuel Alonso del</t>
  </si>
  <si>
    <t>Manuel Alonso del Ca</t>
  </si>
  <si>
    <t>…. rio cerca del punto de su confluencia con las del Bernesga; cuyas Se acordó que no pasase á la misma comisión la representación de aguas , analizadas por el profesor de farmacia D. Manuel Alonso del Ca D. Manuel Prado, procurador de la villa de Mira GeniI ( provincia mino, resultaba •» contener en disolución un carbonate de hierro (sin de Sevilla), en que reproducía lo expuesto sobre la división territo « otra mezcla), que habia correspondido á un cuarto de grano por onza,…</t>
  </si>
  <si>
    <t>Ca-, Juan</t>
  </si>
  <si>
    <t>Juan Ca-</t>
  </si>
  <si>
    <t>…agrado, y mandaron se hiciese mención en el diario. dei año 99. La comisión de Bellas Artes presentó su dictamen sobre el modelo -A ia de Hacienda se mandó pasar una exposición de D. Juan Ca- que debe regir en la moneda, opinando fuese conforme con el que pre lixtogde. Ojeda, para que se le admita un crédito que tiene contra la sentó el director de la casa de moneda de esta corte , y añadiendo que Hacienda nacional. debería fabricarse lo mismo en…</t>
  </si>
  <si>
    <t>Ca-atiiva</t>
  </si>
  <si>
    <t>…u z ¡ acto r- pr: ns.hlc del r.o.añad ér* o»e ra pago de ai insertos ó. 1 reo y s-itdac. r las stac.” $ue Ii.r faltado &amp; su obligación, y qu¿ sj c»k?¿ra su enmienda/* Aprobado. El Sr. Ca-atiiva dijo que debía añadirse ai primero: &gt;• Psia que s.~</t>
  </si>
  <si>
    <t>Caamaño</t>
  </si>
  <si>
    <t>…que inmediatamente se pasaron por la secretaría de Marina a to paz á Nápoles; y g.! cuáles son los que se han dado con respecto á das las demas la Real orden de haber nombrado al Sr. Caamaño, ofi Portugal acerca de su situación política, y la manera con que era tra cial mayor de la secretaría de Hacienda, para el desempeño de este mi tado, tanto por su Rey como por Inglaterra; para cuya respuesta insis nisterio en ausencia- del' Sr. Sorela. A lo…</t>
  </si>
  <si>
    <t>Caamaño, Juan Angel</t>
  </si>
  <si>
    <t>Juan Angel Caamaño</t>
  </si>
  <si>
    <t>…agrega .. Corma , ó Italia: novela escrita en francés por madama Stacl-Holsción determinada, á los.de la misma orden en la provincia; y en caso tein, y traducida al castellano por D. Juan Angel Caamaño: cuatro de no haberlos en ella, á los de la antigua provincia de su orden, ó á tomos en 12.0 á 46'rs. en rústica y 58 en pasta. Esta novela, á cuya los que estimen mas proporcionados, poniéndose de acuerdo con las autora tanto honor debe el bello sexo , es ha…</t>
  </si>
  <si>
    <t>Caamañó, Juan Miguel</t>
  </si>
  <si>
    <t>Juan Miguel Caamañó</t>
  </si>
  <si>
    <t>…solo se hallan Por la provincia de Sevilla. El teniente general de la armada na a en estado de batirse con egércitos numerosos, sino que en el interior cional D. Cayetano Valdés ; D. Juan Miguel Caamañó, director gene? de Rusia están ademas formando cuerpos de reserva para reunirse al ral del impuesto de registros: D. Juan Josef Sánchez, intendente de grueso del egército i la primera sefial. Solo escasea el dinero algún tan Cádiz; D. Antonio González A cu ir…</t>
  </si>
  <si>
    <t>Caballe, Juan Francisco Alonso</t>
  </si>
  <si>
    <t>Juan Francisco Alonso Caballe</t>
  </si>
  <si>
    <t>…mbulations in Ion don and its environs), en lar Oviedo: para la de Tarragona á D. Manuel de. Rada: el cual les ha hecho conocer los monumentos públicos, ¡as para la de Momblanch á D. Juan Francisco Alonso Caballe preciosidades y rarezas , el estado primitivo y engrandeci ro : para la de Falces á D. Josef Ramos Calderón: para la miento progresivo de esta ciudad inmensa , como también de Reus á p. Paulino de los Arcos: para la de Tortosa á los hombres que la han ilustra…</t>
  </si>
  <si>
    <t>Caballero, Andrés</t>
  </si>
  <si>
    <t>Andrés Caballero</t>
  </si>
  <si>
    <t>…sideracion.,! ( de continuará, j bierno por la gen irabdad de empresarios y de una lista de 15 sugetos __La Gaceta de Frane'ux, digna defensora del suave yugo Con que el los Eres. D. Andrés Caballero, D. Manuel de Ribacoba y Gorvea, Gran turco oprime á ios griegos, considerándolos cual'esclavos', de D. Ramón de Angulo, D. Martin Fernandez Navarrete y D Andrés seosa de que eL mahometismo salga victorioso contra el cristianismo; de la Cuesta, ademas de D. J…</t>
  </si>
  <si>
    <t>Caballero, Celedonio Martinez</t>
  </si>
  <si>
    <t>Celedonio Martinez Caballero</t>
  </si>
  <si>
    <t>…hace el judío todas las mañanas ? La disertación de Antonio Vailano: por los Dres. D. Manuel Hurtado de Mendoza y Mr. Gregoire lo indica. El judío da gracias á Dios, no de haberle D. Celedonio Martinez Caballero: tomo »-.° Este,suplemento; ademas hecho judío, lo que podría merecer alguna gratitud , sino de no de los muchos artículos que faltan al Diccionario , contiene princi haberle hecho muger; y todos sabemos lo que en esto se aventaja. La palmente Jas adiciones á…</t>
  </si>
  <si>
    <t>Caballero, Diego</t>
  </si>
  <si>
    <t>Diego Caballero</t>
  </si>
  <si>
    <t>…de este mes. siciones de D. Juan^Ruiz, D- Joaquín Blanco, D. Josef Ramírez, Dicha división se compone del navio le Jean-Bart, de 74 cañones; de D. Gerónimo Josef María Samaniego, D. Diego Caballero, D. Josef la fragata la Duchrsse de Berry, y di la corbeta la Aigrette. Parece Puche! , D. Antonio Nieto, D. Francisco Domingo González y Don que estaba tomando disposiciones para volver á hacerse á la vela. Manuel Ibañez, solicitando los unos dispensa de eda…</t>
  </si>
  <si>
    <t>Caballero, Francisco Alonso</t>
  </si>
  <si>
    <t>Francisco Alonso Caballero</t>
  </si>
  <si>
    <t>…D. Francisco de Herrera y Dávi- También se aprobó otro de la comisión de Legislación , en que pro la, por haber infringido la Constitución. ponía se accediese 4 las solicitudes de D. Francisco Alonso Caballero,</t>
  </si>
  <si>
    <t>Caballero, Josef Antonio</t>
  </si>
  <si>
    <t>Josef Antonio Caballero</t>
  </si>
  <si>
    <t>…venta sus fondos, y percibido las cantidades que les correspondían, excepta 360 rs., y en renta 2 ferrados dé cebada—En id., 4 ferrados y 19 las viudas é hijos de E&gt;. Juan Merino, D. Josef Antonio Caballero, cuartillos de tierra de labor y campo, en venta 1720 rs., y en renta L&gt;. Sebastian del Conde Vallejo, D. Domingo Posadillo, D. Norberto 4 terrados de trigo y 4 de cebada.__En la chousa del Pedron, 3 ferra Beleña, D. Pedro Otamendi, D. Juan Francisco Leston y…</t>
  </si>
  <si>
    <t>Caballero, Josef María</t>
  </si>
  <si>
    <t>Josef María Caballero</t>
  </si>
  <si>
    <t>…Aprobado. que puedan pasar á varios lugares asi que se hayan cerrado las sesiones. Art. 8.° 33 Con el ahorro de estas economías, un millón destinado También se concedió) permiso á D. Josef María Caballero, electo y demás sobrantes cuidará el ayuntamiento de amortizar la deuda que regente de la audiencia territorial de Galicia, para que pueda prestar su pueda con la menor cantidad efectiva posible. Aprobado. juramento en la de Castilla la Nueva. Art. 9.0 33 Se…</t>
  </si>
  <si>
    <t>Caballero, Josef Ruiz</t>
  </si>
  <si>
    <t>Josef Ruiz Caballero</t>
  </si>
  <si>
    <t>Capítulo vm. T&gt;t las proposiciones y discusiones. Art. 98. Debien Martínez del Pozo y D. Josef Ruiz Caballero, habiéndose oído en do hacerse las proposiciones relativas á proyectos de ley por el método elia al Sr. fiscal, y vista con arreglo á la ley de 27 de Abril último, prescrito en el capítulo 8.°,'título 3/ de la Constitución , todas las de fallamos: que debemos…</t>
  </si>
  <si>
    <t>Caballero, Juan Manuel</t>
  </si>
  <si>
    <t>Juan Manuel Caballero</t>
  </si>
  <si>
    <t>…as las provincias grie obispo de Guadalajara ■; Dr D. Toribio González, racionero de la mis gas, como ya lo es tiempo ha de la Moldavia y Valaquia; que harán que ma ¿anta iglesia; D. Juan Manuel Caballero; Lie. D. Juan de Dios Ca cesen las hostilidades, y que se forme un arreglo enire priegos y turcos. ñedo; Dr. D. Francisco Severo Maidonado, cura p.írroco de Xalosto- También creen otros que &gt;e exigirá ia cesión de dichas dos provincias titlam; D. Josef García…</t>
  </si>
  <si>
    <t>Caballero, Pablo Blanco</t>
  </si>
  <si>
    <t>Pablo Blanco Caballero</t>
  </si>
  <si>
    <t>…esolución de sacudir á D. Benito Romero: para la de Yecla á D. Cirios de la Cruz Pujalte: el yugo turco podrá tener efecto. Se renueva como seguro el rumor de para la de Villena á D. Pablo Blanco Caballero : para la de Totana á Ja sublevación de los servios y búlgaros contra el Sultán; se afirmaba D. Francisco Rivas: para la de Lorca á D. Josef Joaquín de Eraso: ya la entera decisión de Teodoro , por haberse negado el divan á las para la de Segura de la Sierra…</t>
  </si>
  <si>
    <t>Cabañas, Isidoro Francés y</t>
  </si>
  <si>
    <t>Isidoro Francés y Cabañas</t>
  </si>
  <si>
    <t>2034</t>
  </si>
  <si>
    <t>…e y la fiebre amarilla del Sr. Llacayo. Oración fúnebre que en las honras militares dijo en este año de Extracto de la lista de causas criminales pendientes en esta audiencia 1821 D. Isidoro Francés y Cabañas, canónigo en la iglesia de S. Isidro en el primer semestre de 1800. de esta corte. Se vende en la librería de Hurtado á 4 rs. nota. En la gaceta de ayer, col. 6.&gt;', líns. 75 y 76, donde dice y Causas pendientes. Por robos jg ; por quimeras, heridas y muertes…</t>
  </si>
  <si>
    <t>Cabanes, Josef Mariano de</t>
  </si>
  <si>
    <t>Josef Mariano de Cabanes</t>
  </si>
  <si>
    <t>…re. ser atacadas. Presumen que la entrada de los rusos en las provincias turcas será la señal segura del levantamiento de los servios, de los bosnia- Los alcaldes constitucionales D. Josef Mariano de Cabanes y Don cos &amp;c., y que la población de la "Valaquia y de la Moldavia se Francisco de Sales Babot. declarará enemiga de los turcos. Saben en fin que la inmensa mole de El Excmo. ayuntamiento y la M. I. junta municipal de sanidad los egércitos rusos agoviará á las prov…</t>
  </si>
  <si>
    <t>Cabanes, Josef Marrano de</t>
  </si>
  <si>
    <t>Josef Marrano de Cabanes</t>
  </si>
  <si>
    <t>Gaceta de Madrid n.º 267</t>
  </si>
  <si>
    <t>…. rrFrancisco Al las consecuencias de la miseria á par de las dei mal: la junta muni tes , v.ice-secretario. cipal le ayuda: la superior, la diputación y yo hemos cargado con el __Don Josef Marrano de Cabanes , alcalde primero constitucir.nr.l, y peso de graves responsabilidades por acudir a ambos objetos. presidente déla junta municipal de sanidad de esia ciudad de Barca ona. » Si el mal existe, y vosotras mismos lo veis, ;ú que dais oidos á Teniéndose presente q…</t>
  </si>
  <si>
    <t>Cabañez, Esteban</t>
  </si>
  <si>
    <t>Esteban Cabañez</t>
  </si>
  <si>
    <t>…cada uno de los ex-secretarios del Des dada contra él por D. Manuel Suarez; y otra de D. Juan Francisco pacho consejeros honorarios de Estado D. Evaristo Perez de Castro, Aguado y D. Esteban Cabañez, vindicándose de una queja dada contra D, Agustín Argfieiles, D. Ramón Gil de la Cuadra , D. Manuel Gar ellos por D. Tiburcio López. cía Herreros, D. Josef Canga Argíielles , D. Cayetano Valdes y Don Se dió cuenta de una exposición de D. Luis Sánchez Prieto,…</t>
  </si>
  <si>
    <t>Cabarcas</t>
  </si>
  <si>
    <t>…nglaterra. Hágase pues una en su salud en el dia de ayer en el Escorial. Las'Cortes lo oyeron con definición; pero no en términos tan obscuros é indefinidos. particular agrado. El Sr. Cabarcas dijo que la definición del delito y de la culpa eran El Sr. presidente dijo que mañana se discutiría el título del de cosas sumamente importantes en un código penal, ya para que no lo creto orgánico de la armada, que había presentado de nuevo la co ignorasen…</t>
  </si>
  <si>
    <t>…es comunes; pero sin necesidad de entrar en las cuestiones académicas prohíbe algún acto con cierta pena. de lo que es delito y qué es culpa, en lp que ya hemos visto que no » Del Sr. Cabarcas: Pido que subsista en la definición del primer ar hemos podido convenirnos ni en la primera definición que ha presen tículo la palabra omitido. tado ia comisión , n; en la segunda, por cuyo motivo creo que con difi » Del Sr. Cantero: Delito es el mal producid…</t>
  </si>
  <si>
    <t>Cabaries, Gregorio Marau y</t>
  </si>
  <si>
    <t>Gregorio Marau y Cabaries</t>
  </si>
  <si>
    <t>…os señores debian llosa de Segura D. Justo Sevilla; para Elche' D, Josef Ferrandiz Sán presentar sus títulos, para que los señoríos territoriales y solariegos se chez; paraNovelda D. Gregorio Marau y Cabaries; para Alicante Don considerasen como .propiedad particular : que habia leyes que declaraban Fermín. Sánchez y Ferriz; para Gijona D. Alonso Vil lasante; para Ca ser inagenables los.bienes de la Nación, y que la mayor parte de los llosa de Ensarna D. Vicente C…</t>
  </si>
  <si>
    <t>Cabezas</t>
  </si>
  <si>
    <t>…bjeto de seguir la discusión sobre la veniente extender su dictamen en los términos que quedaba expresado. ley orgánica del egército, y advirtió que mañana se continuaría la de El Sr. Cabezas apoyó el dictamen del Sr. Echevarría, manifestando señoríos; y levantó ia sesión pública á las dos menos cuarto para que no sabia qué circunstancias políticas podria haber para que se dieran continuar ias Cortes en secreta , con objeto de rectificar ia propue…</t>
  </si>
  <si>
    <t>…blos limítrofes; ¡cómo se desentiende la comisión de esta circunstan Su capital J'. Cristóbal de la Laguna. cia respecto de la Gran Canaria? Esta reflexión tiene mas peso si se El Sr. Cabezas: Aunque 'al 'pedir la palabra he dicho que era para advierte que la misma comisión reconoce al fol. 26 de su discurso hablar contra el dictamen de la comisión, no es porque yo discorde en que no es tan sensible dejar de adquirir como perder lo que ya se tie l…</t>
  </si>
  <si>
    <t>…ban con la mayor facilidad los que estaban anclados; opinaba que fuese Sta. Cruz de Tenerife la capital. &gt; 71ue una de Jas razones, y á su entender la mas principal, era la que El Sr. Cabezas pidió que se leyera este expediente; y verificada la habla tenido presente el Gobierno, esto es, la mayor centralidad; y lectura, se declaró este asunto suficientemente discutido, y no se aprobó después de haber manifestado los motivos que tuvo el Gobierno y…</t>
  </si>
  <si>
    <t>…a se decida.” Cortes hacen mérito para fijar la capitalidad de esta provincia de los El Sr. Echevarría manifestó los motivos que habia tenido para opi principios que ha sentado el Sr. Cabezas, esto es, de que sea en el pun nar que la capital de las Canarias fuese San Cristóbal de la Laguna, to donde han residido las autoridades , tanto políticas como militares, y los que tenia ahora para oponerse á que fuese la capital Sta. Cruz; desde luego debe…</t>
  </si>
  <si>
    <t>…s Canarias la ciudad de geres del país, y por consiguiente no se les puede denominar como ex Jas Palmas.” trangeros. Se ha dicho que no hay agua. Para contestar á esta objeción Ei Sr. Cabezas hizo la siguiente proposición , que fue aprobada: solo basta contestar que los buques que van á aquellas islas hacen to » Que pase á la comisión el expediente de división de territorio respec dos aeuada en ella. Que su clima es malísimo. Es muy raro que en es…</t>
  </si>
  <si>
    <t>…a en nada se provincias, que se presentaría muy en breve al Congreso. parecía á las otras dos provincias; y hablando de la capital observé que Se leyó la siguiente proposición del Sr. Cabezas: no había tenido punto fijo, sino que habia alternado entre Tolosa, San v Pido á las Cortes que para evitar la rivalidad que hay entre al Sebastian &amp;c. Esta costumbre se seguia con arreglo al rég.men particu gunas islas de las Canarias, y dar impulso al fomen…</t>
  </si>
  <si>
    <t>…ltase pueblo por pueblo, todos estarían por la negativa ; en fin si tes Ja comisión al exponer su dictamen. se aprobase el dictamen sufrirían los canarios los inconvenientes de El Sr. Cabezas expuso varias razones á favor de la ciudad de las este decreto; pero hago presente á las Cortes que lo recibirían con vio Palmas; y después de haber reproducido lo que se había dicho en las lencia , y que este seria el verdadero medio de encender la tea de la…</t>
  </si>
  <si>
    <t>…d de esta provin epidémica que se ha manifestado en varios pueblos de Andalucía, se ha cia en Sta. Cruz. servido él Rey resolver, á propuesta de la junta suprema de sanidad del El Sr. Cabezas deshizo algunas equivocaciones que dijo haber pade reinó, que de cuenta del ramo de correos se establezca hacia el Visó cido el Sr. preopinante. ' b en la primera parada de postas sobre Carmona una Oficina de expur Se declaró en seguida este asunto suficiente…</t>
  </si>
  <si>
    <t>Cabo, Casimiro</t>
  </si>
  <si>
    <t>Casimiro Cabo</t>
  </si>
  <si>
    <t>…Cortes recibieron con aprecio , y mandaron pasar á la comisión Después de haber contestado los Sres. Toreno y Yandiola, indivi de Instrucción píiblica, una memoria presentada por D. Casimiro Cabo duos de la comisión, á los extremos propuestos por los señores preopi Montero, vecino de Córdoba ,'sobre la reforma, dirección y gobier- nantes, y de haberse declarado el punto suficientemente discutido por ,no económico de las compañías cómicas, y establecim…</t>
  </si>
  <si>
    <t>Cabrera, Francisco Plácido</t>
  </si>
  <si>
    <t>Francisco Plácido Cabrera</t>
  </si>
  <si>
    <t>…de la anterior pedia se ocupase la misma co para eí de la Bañeza á D. Juan Hevia Arguelles: para el de Omaña á misión en examinar y proponer á las Cortes si era llegado el tiempo D. Francisco Plácido Cabrera; y para el de Toreno á D. Anselmo Diaz de establecer la diferencia entre los jueces de hecho y de derecho, con Canseeo. arreglo al artículo 3°7 de la Constitución. Se leyeron por primera vez seis proposiciones del Sr. Zorraqutn; En el diario de 14 de este mes…</t>
  </si>
  <si>
    <t>Cabrera, Joaquin</t>
  </si>
  <si>
    <t>Joaquin Cabrera</t>
  </si>
  <si>
    <t>…» rctlexionsi Xa misma presentó su dictamen acerca de la solicitud de Doña Jo -hechas'por'el Sr. García Paga; pero que estas no tenían ninguna resefa -Trabar , viuda -díl teniente coronel D. Joaquin Cabrera , uno de .lacion con el artículo primero. los comprendidos en ios sucesos dei general Porlier, en la que mani .Después de haber manifestado que la asignación que se hacia al festaba ios méritos que contrajo en aquel egército (por los cuales mere? clero era su…</t>
  </si>
  <si>
    <t>Cabrera, Joaquín</t>
  </si>
  <si>
    <t>Joaquín Cabrera</t>
  </si>
  <si>
    <t>…en el art. 4.0 del decreto de las Cor ' SS. MM. y AA. continúan sin novedad en su importante salud. tes de 25 de Setiembre último. Lá comisión opinaba, que siendo la reclusión de D. Joaquín Cabrera un verdadero encierro, se podia con ; ’ CORTES. siderar .'comprendido en el decreto referido, concediendo á la exponen te el sueldo correspondiente al empleo qué por Real despacho tenia su PRESIDSNCIA SBI S*SO*. HOSCOSO. . marido cuando murió, y declarando qu…</t>
  </si>
  <si>
    <t>…beneméritos campeones , F.l de la de Guerra acerca de la nueva solicitud de Doña María Jo yo soy de opinión de que antes de acabar 1a legislatura que ha sido sefa Traver, viuda de D. Joaquín Cabrera, sobre la cual opinaba la y es prodigiosísimo producto del pronunciamiento de libertad de esto* comisión que no habiendo precedido la aprobación del empleo de co individuos, se verifique la recompensa que propone la comisión. ronel, que según dice la viuda fu…</t>
  </si>
  <si>
    <t>Cabrera, Jouf Matías</t>
  </si>
  <si>
    <t>Jouf Matías Cabrera</t>
  </si>
  <si>
    <t>…rostro con se otxa. En la gaceta del día 25 de Abril, col. 8 ", líri. 46 , donde guridad , y ser respetados á lo menos como Jos últimos entre los pue dice D. Martin Cabrera, léase D. Jouf Matías Cabrera___En la blos europeos? En la lista de las naciones esclavas, ocupamos el segun del '15 de Mayo, col. 7.a, lin. 79, donde dice D. Manuel Vicente do lugar después de los griegos desventurados. Condenados al despre Morent, léase I). Manuel Vicente Moreno; y en l…</t>
  </si>
  <si>
    <t>Cabrera, María del Carmen</t>
  </si>
  <si>
    <t>María del Carmen Cabrera</t>
  </si>
  <si>
    <t>…etado todos los cuerpos. A las'de Guerra y-Haci'endaotrá-HdélSrl-ministro de la Guerra, No parece que la Prusia toma parLe en estas diferencias. Después informando una petición de Doña María del Carmen Cabrera, en que de la salida del conde de^líernstorfF para Berlín no se fra piesentado solicitaba 1111a pensión.. en el Congreso de Layba¿h ningún mimstro(, plenipotenciario de Pru Las Cortes quedaron'enteradas de'.unadelicitación que les ha dirigi sia. J-a expedició…</t>
  </si>
  <si>
    <t>Cabrera, Martin</t>
  </si>
  <si>
    <t>Martin Cabrera</t>
  </si>
  <si>
    <t>…que podamos levantar el rostro con se otxa. En la gaceta del día 25 de Abril, col. 8 ", líri. 46 , donde guridad , y ser respetados á lo menos como Jos últimos entre los pue dice D. Martin Cabrera, léase D. Jouf Matías Cabrera___En la blos europeos? En la lista de las naciones esclavas, ocupamos el segun del '15 de Mayo, col. 7.a, lin. 79, donde dice D. Manuel Vicente do lugar después de los griegos desventurados. Condenados al despre Morent, léase I).…</t>
  </si>
  <si>
    <t>Cabrera, Pedro</t>
  </si>
  <si>
    <t>Pedro Cabrera</t>
  </si>
  <si>
    <t>….doble. - :• 1 -Se aprobó el dictamen de la comisión .'ordinaria: de: Hacienda, acer ' . Se leyó el art. 6.p, que decía: « El autor ó editor de' escritos im- ca dé la solicitud de D. Pedro Cabrera y Doña Josefa Martínez;,' duéP£Úsos._ en Portugal, ó el impresor de ellos, cuando no corjsté quién- üos de la fábrica de: platería de Martínez de-esta corteiílamomision, es-su. autor ó editor, y lo mismo e! que:venda escritos- impresos en conformándose con esta solicitud , opinaba…</t>
  </si>
  <si>
    <t>Cabrero</t>
  </si>
  <si>
    <t>…lus y Justicia D. Vicente Cano Manuel. tración, aunque no se multiplicasen tanto los establecimientos públicos. Se mandó pasar á la comisión en que existen los antecedentes una El Sr. Cabrero pidió se conservase la universidad de'Huesca, fun exposición de £&gt;. Manuel Beltran de Lis, en que. hacía presente haber dado en lo útil que es á los naturales del país, en el ningún gravamen visto anunciado en los papeles públicos que se había dado cuenta de…</t>
  </si>
  <si>
    <t>…l plan de Instrucción públi ij° 33/ O. de Lóndres. ca , y se leyeron las siguientes: del Sr. Ramos: &gt;1 Que al art. 56 se aña Madrid Sábado 0.3 de Junio. da Manila.'” Aprobada. Del Sr. Cabrero al art. 36-. » Que se añada á las universidades de SS. MM. y AA. continiian sin novedad en su importante salud. tercera enseñanza la de Huesca.” El Sr. Tapia dijo que esta adición no debía admitirse, porque lac CORTES. Cortes ya habían aprobado el número de u…</t>
  </si>
  <si>
    <t>1948</t>
  </si>
  <si>
    <t>…iones sobre este artículo en los informes; pero que no eran de tal fuerza que PRESIDENCIA DEL SBflOR CLEMENCIN. obligasen á hacer ninguna variación. Sesión del 12 de Diciembre. El Sr. Cabrero dijo que si al menor no se le imponía ninguna pena, Se abrió á las 11 y cuarto, y leída el acta de la anterior, quedó se debía á lo menos obligar al padre á resarcir los daños y perjuicios aprobada. que resultasen de la acción de aquel; y citó un caso atroz p…</t>
  </si>
  <si>
    <t>Cabrero, Joaquín</t>
  </si>
  <si>
    <t>Joaquín Cabrero</t>
  </si>
  <si>
    <t>…e pensar ds las Cortes; A la de Guerra pasó una solicitud di DoñaMariana Josefa Tra- pero que estando en el dia los taquígrafos de los periodistas en un pa ver, viuda del teniente coronel D. Joaquín Cabrero, acerca de que' en rage tan desproporcionado para oir, era imposible que siguiesen la atención á los notorios servicios de su difunto marido en la empresa.del palabra de los señores que hablaban en el Congreso; de lo que se ori general Porüer; á lo mucho que…</t>
  </si>
  <si>
    <t>Cabrero, Pablo</t>
  </si>
  <si>
    <t>Pablo Cabrero</t>
  </si>
  <si>
    <t>…ago libradas á favor del hospital de Vitoria y de varios par absolutamente necesario que 2 los taquígrafos se proporcione un sitio ticulares, de resultas-de suministros; y otra dé D. Pablo Cabrero, te mejor. Con este motivo someto al juicio de las Cortes un pensamien niente coronel retirado, y Doña Josefa Martinez, duenos de la fábrica to que me ha ocurrido concerniente a! Diario, y es que este se supri dé platería de esta corte con título de Martinez,…</t>
  </si>
  <si>
    <t>Cáceres, Francisco de Paula</t>
  </si>
  <si>
    <t>Francisco de Paula Cáceres</t>
  </si>
  <si>
    <t>…mayor primera instancia de la ciudad de Sevilla, acordada en 31 de Julio del atención á objeto de tanta trascendencia á la prosperidad de la nación, presente año , refrendada por D. Francisco de Paula Cáceres, escribano proponga cuanto convenga y sea consiguiente á esta Real orden. público del número de dicha ciudad y del mismo juzgado, en lo civil, Madrid 3 de Agosto de i8ax. y * instancia de D. Manuel Andrés Ramírez , como tutor de los hi jos menores del difunto…</t>
  </si>
  <si>
    <t>Caderstrom</t>
  </si>
  <si>
    <t>…. Se retractó d* todas ellas, y declaró con franqueza que el organización, después de la cual se retirarán del servicio para disfrutar gobernador civil (Landshofding) de Gotia, el barón Caderstrom , le con tranquilidad de los beneficios que les dispensó el difunto elector en había inducido á que hiciese aquellas delaciones. Sin duda sabremos su testamento. luego si Brigger se retracta igualmente de esta acusación contra el go Francfort 1 ¡¡ df Abril. b…</t>
  </si>
  <si>
    <t>Cádiz, Duque de</t>
  </si>
  <si>
    <t>Duque de Cádiz</t>
  </si>
  <si>
    <t>…la el Gobierno, y este con las Cortes. mañana de aquel mismo dia había muerto en aquel Real sitio el ExEl Sr. Vitorica dijo que la parte de este artículo, que decia: Re centísimo Sr. Duque de Cádiz , sobrino del Rey. solver todas las dudas que se ofrezcan sobre ia amonedación, daba una I as Cortes oyeron con satisfacción el estado dí salud de SS. MM. especie de autoridad para interpretar las leyes de este establecimiento; y AA. , y con sentimiento la mu…</t>
  </si>
  <si>
    <t>Cáelos</t>
  </si>
  <si>
    <t>…lara que por la re biese lugar. tractación de Josef Espelta y Sebastian Fuster, soldado.- del regimiento El Sr. presidente anunció para la sesión de mañana varios expe del Infante D. Cáelos, Pedro Ros, Fanciseo Simón ¿ Ignacio Tudeía,</t>
  </si>
  <si>
    <t>Cahanes, Josef Mariano</t>
  </si>
  <si>
    <t>Josef Mariano Cahanes</t>
  </si>
  <si>
    <t>…do. : Por último se Altes , vice-secretario. ; acordó que se compusiesen de siete individuos las juntas de los gobier nos de Ultramar, y las de algunas provincias de solos; cinco. Don Josef Mariano Cahanes, alcalde primero constitucional, y presta . Después se discutió todo el reglamento artículo por artículo, y ’ dente de la junta municipal de sanidad de esta ciudad de Barcelona. quedó aprobado, según lo proponía Ja comisión con alguna pequeña va Noticiosa la…</t>
  </si>
  <si>
    <t>Caí, Francisco</t>
  </si>
  <si>
    <t>Francisco Caí</t>
  </si>
  <si>
    <t>…decreto de las Cortes sobre la libertad de imprenta es como sigue: El ayuntamiento de Santander. D. Miguel Moreno. Don Juan vi por la graciá*&lt;íe“D¡os y la Constitución de la Monar D. Francisco Caí tanza, d: Cádiz. Ochaita y Pariza , de Córdoba. quía &amp;c. Hago saber á mis súbditos que las Cortes han decretado lo T&gt;. Hilario Jiménez , de Zaragoza. Santa Cruz é hijos , de Logroño. siguiente: ’ D. Ignacio Perez de Soto. D. Santos Aboin, coronel de Las Corte…</t>
  </si>
  <si>
    <t>Caia-</t>
  </si>
  <si>
    <t>…de Ledesma apoyó el artículo , manifestando que n Deseando el Rey calmar la justa impaciencia del egército , y ponef tratándose de una culpa debia fijarse esta como habla dicho el Sr. Caia- un término á la incertidumbre en que se hallan sus individuos por no trava en- el código penal , y de ningún inpdp.erj el civil .. . . haberse procedido hasta el dia á la formal liquidación de haberes qua El Sr. Lobato: Por este ..artículo se supone que los p…</t>
  </si>
  <si>
    <t>Caiairáva</t>
  </si>
  <si>
    <t>…ido de tránsito una partid? sulta pues de esto! ¡qué el proyecto de ley nada vale! ¡qué el voto de tropa tuviese noticia de que cerca del camino se hallaban algunos particular del Sr. Caiairáva tampoco e» del menor mérito.* ¡qué sin facciosos, y los aprehendiese. -embargo que todos los pueblos y todos los Sres. diputados han clama- El Sr. Gareli contestó á la objeción del Sr. secretario, manifestan -do-por esta abreviacion.de causas, las vemos como…</t>
  </si>
  <si>
    <t>Caiatrava</t>
  </si>
  <si>
    <t>…ega por 71 votos: i.'1 el Sr. Caro por 74: 3.' el Sr. Romero de Guerra, dos colecciones de todos los números del periódico la Mi Alpuente por 76: 4/ el Sr. Gira Ido por 75: 5.’ el Sr. Caiatrava nerva, que hasta el dia tiene publicados el coronel D. Miguel Tenorio. por 72: 6. el Sr. Echevarriá por 85: 7.' el Sr. Manesc.ui por 81: En seguida el Sr. ministro de la Gobernación de Ultramar pasó á 8.J el Sr. Navarro (D. Felipe) por '77.: 9.° el Sr. Larrib…</t>
  </si>
  <si>
    <t>…mir. Cuenca , reunido en esta ciudad, manifestando sus sentimientos pa Las Cortes recibieron con agrado una exposición de 360 ciudadanos trióticos. de Barcelona, presentada por él Sr. Caiatrava, en que daban gracias al Tas Cortes aprobaron el dictamen de la comisión de Política que se Congreso por la aprobación de los artículos i.° y del dictamen de habia resuelto en sesión secreta se discutiese en pública: la comisión, la comisión de Tegislacion so…</t>
  </si>
  <si>
    <t>Caiatráva</t>
  </si>
  <si>
    <t>…r •lo mismo que decir conspirado, casi se le obliga á que la ejecute, por estas.”'' ......o:-Y i.';/ .... S:í. ; que basta solo el haber pensado hacerla para que sea castigada: El Sr. Caiatráva dijo que no se había presentado ningún informe En seguida hizo presentes algunas observaciones acerca del lenguage contra la primera parte?d¿ este 'artículo; pero: sí contra la segunda, .del artículo, el cual en dondedice cometerlo debe decir cometerle &amp;c.Scc…</t>
  </si>
  <si>
    <t>…mente.” En estos términos me pa Continuó ia discusión del código penal. rece que estar ia mas claro el artículo. Art. 11. » Sin embargo , si algún extrangero transeúnte y no do El Sr. Caiatrava: En este caso seria una excepción la ^cláusula que miciliado en España, que no lleve tres meses cumplidos de residencia se varía del art. 4.0; y siendo este una excepción del art. 10, según lo en ella, cometiere alguna culpa ó delito de los que no contienen u…</t>
  </si>
  <si>
    <t>…que se señalan; pero extraña, ¿ en dónde está la proporción del delito y la culpa! El caso que debe tenerse presente que esta ignorancia puede ser vencible^ó invenci ha puesto el Sr. Caiatrava del monedero falso no puede apoyar lo que ble. Estos dos casos se deben tener en consideración. Un extrangero se expresa en este artículo, porque es un caso en que perjudica di que por una tempestad es arrojado á las costas de España, que no sa rectamente á l…</t>
  </si>
  <si>
    <t>Caíatrava</t>
  </si>
  <si>
    <t>…n to de las otras, ni puede haberla; y este es el motivo que tengo para no el din España no las tenia. ._ conformarme con esta parte del artículo. la graduación de la pena Ja . El Sr. Caíatrava dijo que no tenia ningún inconveniente en que se funda la comisión en quitar la esperanza al que esté en los trabajos per variase, el artículo, y en lugar de colonia se dijese.p.uscsijn. petuos de pasar á la deportación , es decir, que se le rectifica la idea…</t>
  </si>
  <si>
    <t>Caiatrava, Josef María</t>
  </si>
  <si>
    <t>Josef María Caiatrava</t>
  </si>
  <si>
    <t>…o conforme estaba; con lo que el ot. presidente Reunidos en el palacio de las Cortes los señores diputados que levantó la sesión de este dia. constituyen el Congreso nacional , el Sr. D. Josef María Caiatrava, .presidente de la Diputación permanente,, abrió, la sesión á las. diez y KOÍ1CIAS DE ESPAÑA. media, y pronunció el siguiente discurso : « Señores: La Diputación permanente participa en el mas alto graBarcelona l£ de Setiembre. .do del júbilo que hoy anima á…</t>
  </si>
  <si>
    <t>Cala</t>
  </si>
  <si>
    <t>…o. jv-v oídos, se determinase lo mas conveniente, reservándose la palabra para hablar entonces. ARTICULO X&gt;K OtlCrO. ' .. . .... El Sr. Moreno Guerra fue del mismo dictamen que el Sr. Cala trava , añadiendo que el discurso y oficio del Rey tenían bastante re El Rey se ha servido dirigirme con esta fecha el decreto siguientelación entre sí; y que bajo el supuesto de que en el i.° se indicaba „ Hallándose ausente en . comisión j el T .oficial may…</t>
  </si>
  <si>
    <t>Cala, Josefa de</t>
  </si>
  <si>
    <t>Josefa de Cala</t>
  </si>
  <si>
    <t>…as calle de la de aposento. También se venden dos censos uno de 88,174 rea Corredera por S. Juan Bautista , 4700 rs. les , y el otro de 50© , con réditos de 3 por 100 sobre varias Doña Josefa de Cala sobre casas calle del Sol por di fincas en el reino de Murcia. Quien quisiere hacer postura á cho plazo 708 rs. 28 mrs. dicha casa de baños y censos, junto o separado , acuda en el D. Fulgencio Fernandez sobre casas plazuela de la Do término de 30 dias, que c…</t>
  </si>
  <si>
    <t>Calafrava</t>
  </si>
  <si>
    <t>…omisión .este ar,- tos de Californias y de lá provincia de Sonora y Sirfaloa, habilitados ticulo. • ■ - ' ■ para el'comercio por decreto de las’Cortes ordinarias de 9 de Noviem El Sr. Calafrava : Si hay quien crea que proteger á un* malhechorres bre de iRao, se exceptúen por ahora de las reglas generales que com darle limosna, Ja comisión está pronta á suprimir esta palabra; Sin em prende el arancel general, observándose provisionalmente las*que/est…</t>
  </si>
  <si>
    <t>Calairava</t>
  </si>
  <si>
    <t>2055</t>
  </si>
  <si>
    <t>…o; pero antes deseaba saber ia 7/ » La mayor publicidad o autoridad del sitio dei delito: la mayor opmion de los señores de la comisión. solemnidad del acto en que se cometa. i: i Sr. Calairava d.jo que por su parte aplaudía el zelo filantrópico 8.1 » La superioridad de! reo con respecto á otro 3 quien dé órde del Sr. preopinante, que podría hacer ia ad.cion; pero que como el nes , consejos ó instrucciones para delinquir, ó Je seduzca, instigue , so…</t>
  </si>
  <si>
    <t>Calalrava</t>
  </si>
  <si>
    <t>414</t>
  </si>
  <si>
    <t>414 El Sr. Calalrava dijo: el Sr. Martínez de la Rosa confundió en la prevenia la Constitución en el art. 4.0: que era verdad que toda ley po sesión anterior las diferentes clases de señoríos; no se trata, prosiguió, día derogarse, y por consiguiente la primera de la Novísima Rec…</t>
  </si>
  <si>
    <t>Calalrava'dijo</t>
  </si>
  <si>
    <t>…tergué al 4-?;.'y; se varíe 1 a pa-' -ticulares-informantes' habían hecho observación alguna relativa á este labra conjuración. ■ - ¡&gt; - - ,, • -- ; artículo. . ... '■ - - ;. , Ei Sr. Calalrava'dijo : No soy de la- opiniondel Sr. preopinante en El Sr. Gil de Linares: Soy enemigo de disputar sobre palabras; pe xuanto considera este articulo comprendido en el 4.0; y para convencerse, ro experimentando cómo' magistrado los grandes conflictos en que se de qu…</t>
  </si>
  <si>
    <t>Calamarte, Tomas</t>
  </si>
  <si>
    <t>Tomas Calamarte</t>
  </si>
  <si>
    <t>…én Valencia en que si castigáis á- un inocente, tendré el mayor gusto en egecutar el la de los Sres. Domingo y Mdmpié; en Lorca en la de Miguel; en Ali convenio, cante en casa de D. Tomas Calamarte; en Cartagena en la imprenta de Ali-Agá. D. Ramón Puchó!, y en Murcia viuda de Santamaría é hijo. Haréis lo que' gustéis; pero entre tanto dejadme, y estadme atento, Ana ó la heredera del país de Gales: 4 tontos en 8’. con una es como yo lo he hecho durante v…</t>
  </si>
  <si>
    <t>Calan</t>
  </si>
  <si>
    <t>…que hacia que no cometía sen cualquier delito-, en razón de que no estaban bajo su sentir á los individuos de la sociedad según su grado de sensibilidad, inmediata’vígih'ricia. El Sr. Calan ava indicó que respecto á lo que habia manifestado el y que la d* trabajos perpetuos causaba mayor escarmiento que no la Sr. Gareli de un padre ó tutor que tuviese que enviar un hijo fuera muerte; sin embargo debia advertirse, que aunque aquella impresión pa…</t>
  </si>
  <si>
    <t>Calarrava</t>
  </si>
  <si>
    <t>…mayor brevedad eva fes , se podrían cometerlos mismos abusos que anteriormente. Asi cues cuase su dictamen. (continuó) el modo de evitar estos males, seria que el Gobierno- se lil Sr. Calarrava dijo: no hay motivo para que se haga este recuer ñalara prudencialmente una cantidad fija para la correspondencia da do, ya por l°s pocos días que hace se remitió este expediente, y ya oficio. también porque el asunto es de la mayor importancia; y asi desearí…</t>
  </si>
  <si>
    <t>Calat.ava</t>
  </si>
  <si>
    <t>…aciones de la* causa* Se leyó y aprobó el acta de la anterior. ¡criminales no debía haber fueros privilegiados. - Las Cortes quedaron.enteradas de un oficio del mayordomo mayor El Sr. Calat.ava dijo que abundaba en las mismas ideas que el se-</t>
  </si>
  <si>
    <t>Calateaba</t>
  </si>
  <si>
    <t>…Cortes acerca del mensage de ; 3.a Nombrar los magistrados á propuesta del consejo de Estado. S. M. 4.* Proveer todos ios!empleos civiles-, á excepción de los elec Se leyó por el Sr. Calateaba el dictamen de la comisión encargada de tivos, y los militares [con arreglo á las leyes que regulan las antigüeda informar lo conveniente en vista del mensage de S. Ai., cuyo tenor es el des y ascensos , y que exigen propuestas de los respectivos gefes. sigui…</t>
  </si>
  <si>
    <t>Calatiava</t>
  </si>
  <si>
    <t>…bles á los padres, es que estos sepan las puesto qus en el criminal no debía haber mas que delito y pona. facultades de ia patria potestad, y los auxilios que pueden tener para El Sr. Calatiava manifestó que tintándose de una responsabilidad evitar que los hijos cometan los delitos. qj: era una especie de pena puramente pecuniaria , debia ponerse en el El í&gt;r. Yadillo manifestó que el artículo estaba puesto con mucha código penal; par lo cual creía…</t>
  </si>
  <si>
    <t>Calatra-</t>
  </si>
  <si>
    <t>…y que asi si tenia alguna queja la dirigiese ai tranáígir, digámoslo asi con sus preocupaciones, para no dividir provin Gobierno, que era á quien correspondía. El Sr.Quiroga y el Sr. Calatra- cias que tienen hasta distinto dialecto que otras ; por egemplo, el divi va apoyaron lo que el Sr. Presidente habla dicho, haciendo ver que no dir por ahora la provincia de Alava de la de Vizcaya es mas difícil debía tratai 1 Congreso de este punto ; por lo q…</t>
  </si>
  <si>
    <t>Calatrar</t>
  </si>
  <si>
    <t>…conveniente; y uue balo este supuesto Asimismo se aprobaron los 63, 69 y 70. se podría aprobar el artículo. 'Arla■&amp;&amp;, '»' El púmero de capitanes de primera y secunda clase será El Sr. Calatrar* manifestó.que debia expresarse en este artículo lo igual.ai de navios y. tragaras, y á Jas comisiones permanentes de tierra que habla indicado el Suministro; pero el Sr. presidente i.n-aicó que afectas a estas clases, y una tercera paite mas del número de na…</t>
  </si>
  <si>
    <t>Calatrasra</t>
  </si>
  <si>
    <t>…e una pena que no se debe, atendiendo á qué es padre, do en el acto por alguna violencia material. hermano ócc. El Sr. Puigblanch hizo varias reflexiones acerca de la redacción El Sr. Calatrasra: Los receptadores que expenden ó distribuyen efec del artículo , y manifestó que abundaba en faltas. La comisión ( conti tos robados serán castigados con la cuarta parte de la mitad de la pe nuó.) ha-dicho que habia escrito el código para que lo entendiese to…</t>
  </si>
  <si>
    <t>Calatrav.a</t>
  </si>
  <si>
    <t>1908</t>
  </si>
  <si>
    <t>…; y acerca de las seis que son. relativas a los primeros no se señalaba la pena-correspondiente. : *•- ' S.M. se ha servido resolver en cuanto ála 6.Ky 7/*, ; que no habiendo - El Sr. Calatrav.a1 dijo que: las observaciones del Sr. preopinante1 se tierras labrantías de propios que sustituyan la falta dé los baldíos ; según reducían, á que él artículo estaba mal redactado; que estaba superabun- se previene én el art. 15 del decreto de las Cortes de 4…</t>
  </si>
  <si>
    <t>Calatrava</t>
  </si>
  <si>
    <t>…ros que Habiendo propuesto el Sr. presidente que se preguntase si las Cor acaban de ser separados. Y pues que ahora se puede hacer el elogio de tes quedaban enteradas, se opuso el Sr. Calatrava á que recayera ésta las personas que han caído, séame lícito tributarles esta especie de horesolución, mientras no se diese satisfacción acerca del motivo de no menage, y valiéndome de las expresiones de una boca sagrada para no obedecerse puntualmente lo man…</t>
  </si>
  <si>
    <t>…uerpo constitucional á su lado Por estar el punto suficientemente discutido; mandó .]el Sr. presiden (cual era el consejo de Estado), á quien en este caso debía' oir:, y que te al Sr. Calatrava que pusiese la contsstacion.que había indicado debía por lo mismo no accedía á la opinión.del.Sr..Cañedo. darse á S. M., y mientras/loiverificaba dió cuenta ;el Sr.Isecrétarío do El; Sr. Calatrava dijo:, que el Rey había obrado con la libertad que S. M.,Labia…</t>
  </si>
  <si>
    <t>…n apoyaron igualmente la in su conducta de una manera tan escandalosa y denigrativa, qi|e seria cri dicación. minal si no trataba de vindicar su honor; y habiéndose guardado to El Sr. Calatrava recordó , que según la Constitución, los secretarios dos los trámites prescritos en la ley de la libertad de imprenta,, en del Despacho son responsables de su conducta durante su cargo , de providencia dp 13 del corriente el Sr. D. Luis Ortiz de Zúñiga, juea…</t>
  </si>
  <si>
    <t>…a, podría suceder que cualquiera falta in una pregunta determinada, no podía contestarse con precisión. voluntaria en la exactitud de las palabras alterase el verdadero sentido El Sr. Calatrava indicó que el reglamento autorizaba á los dipu de las expresiones; que tenian dadas pruebas de su amor á la patria; que tados para informarse de lo que tuviesen por conveniente; que cum habian abandonado sus esposas, sus hijos y sus haciendas, y que última pl…</t>
  </si>
  <si>
    <t>…’ dé declarar la responsa que el sistema de Gobierno que resulte de mis desvelos y de mis esfuer bilidad. zos baste pata asegurar eternamente á mi reino el reposo y la prosperi El Sr. Calatrava manifestó que habiendo sido confesado espontá dad, y restituya al mismo tiempo la seguridad á los demas Estados de neamente el acto que habia motivado la queja ,• y corregido acto conti la Italia,-destruyendo todos lós motivos de inquietud que les han cau nuo…</t>
  </si>
  <si>
    <t>…ello. pasase a la especial nombrada para formación del cótdigo criminal, un Se pasó) con urgencia á las comisiones de Legislación y Diputacio proyecto de decreto presentado por el Sr. Calatrava, con vista de una nes provinciales u a representación de la de la Mancha, en que hace proposición del Sr. Ramos Arispe, para que con arreglo al artícu presente lo reducidos que han quedado los fondos de propios; por lo lo 2py de la Constitución se determinase…</t>
  </si>
  <si>
    <t>…juzgado por su tri una comisión que indique el medio de efectuarlo. bunal , y el delito no debe quedar impune. El Sr. Zorraquin dijo, que á los 69 ex-diputados que firmaron la El Sr. Calatrava pidió) que se levera el decreto de 26 de Octubre, representación de 1814 se les dió en que escoger, siendo un extremo de 1820, lo que se verificó); v en seguida dijo: No encuentro mas de la ley citada el que se les formase causa en el caso de no confor que un…</t>
  </si>
  <si>
    <t>…cionario de artillería, »u¡- guardias de la Real Persona. penda.el-¡Gobierno: lasidisposációnes que haya :tomado para .su disolur Aapéticion ,de diferentes’Sres. diputados leyó el Sr. Calatrava el «ionÓTsuprésion.” ,t , - ;-¡*| i ; ,. . ... plan del presbítero Vínuesa, escrito parte por el citado presbítero, y c. Su.autD¿pa'ta.apoyafla,dija entre otra? monevque débiéndoseúfor- Jo.demás por sin sobrino suy.o; decia asi: Piar, fjtra conseguir nues mar…</t>
  </si>
  <si>
    <t>…érica del mejor modo posible, tío habia que temes cho cuerpo animado de un espíritu de sublevación , que no ha tenido, á nadie. mezclándole en sucesos de que se halla inocente. El Sr. Calatrava dijo El Sr. conde de Toreno dijo, que antes de manifestar su opinión so que la comisión al extender su dictamen procedió con la legalidad y bre el asunto de que se trataba, debía hacer algunas observaciones sobre tino que le son propios; que ni la comisión, n…</t>
  </si>
  <si>
    <t>…esponsable al que la hu cualquiera á quien la opinión pública tenga por sospechoso y conspi biese motivado. rador que pertenezca á una de estas juntas, pueda ser, según sus cir El Sr. Calatrava dijo que creía que las Cortes no debian dar ningu cunstancias de relaciones é influjos, desterrado del pueblo ó de la pro na aclaración sobre dicha ley sin ser pedida por algún tribunal. ' vincia donde resida, ó del territorio español, por el tiempo que no se…</t>
  </si>
  <si>
    <t>…tura! de discurrir, tan sen expuesto, y el mas benéfico que podia darse: que creía que la explica cilla , tan obvia y tan fácil de decidir como se podia la interpretación ción del Sr. Calatrava habia sido bastante para fijai la cuestión del mo de una cláusula.testamentaria, que de repente fuese aclarada, y pronun do que debía mirarse , y que no haría mérito de la diferencia que había ciado su sentido genuino por aquel muerto qpe la dictó: que todos…</t>
  </si>
  <si>
    <t>…uerías de Almenara, con ca zadores y otra de granaderos. - • .. sa , hogares , hornos construidos y por construir. A la de Marina pasó una consulta del síndico del ayuntamiento El Sr. Calatrava , después de oponerse á lo expuesto por el Sr.. Mos constitucional de Cartagena sobre si pueden ser zeladores de mar los coso, dijo, que por lo que habia manifestado este sé podria convencer menores de 25 años, y si puede admitirse á la matrícula a los que el…</t>
  </si>
  <si>
    <t>…achaba de heregía; pero si.no leen (exclamó) ¡cómo han de reglas que conviene adoptar para lograr su objeto. saber! ¡ no han de indisponer á los demas si hablan en materias que El Sr. Calatrava dijo que acababa dé saber que la tranquilidad pú no entienden! ¡cómo no han de poner en un compromiso á las Cor blica habia sido turbada en Búrgos; y habiendo propuesto que se lla tes! ¡De qué nacen las objeciones que ha hecho el Sr. Torres? de que • ..;mase…</t>
  </si>
  <si>
    <t>…eñas-y á D. Miguel Soria para dos ¡plazas de magis-, frutos que. recogian con.su trabajo con los señores de que se trataba. irados vacantes en'el1 tribunal supremo de Justicia. El Sr. Calatrava;manifestó que los señores diputados debian ceñirse en esta discusión á hablar' solamente del art. 2.°; pues aunque no habia S. M. se ha servido, nombrar, á propuesta: del consejo de Estado, oido todo el discurso del. Sr. - Lobato , creía que habia hablado com…</t>
  </si>
  <si>
    <t>…ancia lo siguiente: ta inmediatamente el proyecto de ley que ha presentado la comisión, La comisión hacia varias observaciones sobre la necesidad de tomar y el voto particular del Sr. Calatrava. Asi se acordó. una medida enérgica para la pronta administración de justicia y castigo Se prosiguió la discusión sobre sociedades patrióticas, y se leyó el de los malvados, que al abrigo de las leyes actuales, aun no derogadas, art. 6.°, que decia: atacaban…</t>
  </si>
  <si>
    <t>…rior y á la ley de 24 de Marzo de i8rg; pero si las circuns Se acordó quedara suprimido dicho artículo. tancias de la infracción fuesen tan graves y extraordinarias que las mis El Sr. Calatrava manifestó se pusiese este artículo en los mismos mas Cortes crean interesada en ella la'salud del Estado, nombrarán términos que el de libertad de imprenta, esto es, el que de palabra ó una comisión de su seno, ampliamente autorizada, para que instruya el por…</t>
  </si>
  <si>
    <t>…e el público tuviese noticia de que dicha indicación fue proposición de dicho Sr. Estrada.firmada poi todos los individuos de la comisión eclesiástica. Se leyó) una indicación del Sr. Calatrava, que decía: » Para que las El Sr. Golfín dijo que en la discusión sobre sociedades patrióticas Cortes puedan con el debido conocimiento usar en su caso de las facul también observó cambiados algunos nombres en el Universal y Mis tades que les corresponden por…</t>
  </si>
  <si>
    <t>…estos artículos manifestó el Sr. Martinez de la Rosa que lítica de la Monarquía, sufrirá , según la gravedad de las circunstancias, habiendo aprobado las Cortes la indicación del Sr. Calatrava, seria mu la pena de uno i cuatro años de confinación en algún pueblo de las islas cho mas á propósito para ver si se estaba en el caso de nombrar adyacentes, bajo la inmediata inspección de las respectivas autoridades á Ja persona deque se trataba, esperar l…</t>
  </si>
  <si>
    <t>…i ‘otra cosa equivalente. Ss de todos ios cuerpos que existan en la respectiva comandancia general.”’ aprobó. Se leyó el art. 17, que.decia asi: „ El comandante general de cada El Sr. Calatrava pidió que después de la palabra ofrenda (art. z.°) distrito militar será general en gefe de las tropas que.lo guarnezcan.” se diga voluntaria. El Sr. Villanueva dijo que era muy conveniente, Después de una ligera discusión se aprobó este artículo en- los tér…</t>
  </si>
  <si>
    <t>…rado este artículo suficientemente discutido, se procedió á su El Sr. Cañedo dijo que habiendo examinado este proyecto de ley y votación , y quedó aprobado. el voto particular del Sr. Calatrava hallaba que su opinión era muy Se leyó el arr. 1. , y el Sr. Giraldo dijo: Que hablando la ley 8‘, contraria á la de dicho «ñor y denlas individuos de la comisión; y qué ftt. 17, lib. 12 de la íxovistnra JRecopilacion de los malhechores y no tratándose en la…</t>
  </si>
  <si>
    <t>…l Alvarez y D. Josef Antonio N., estu tramar que' convendría mucho se aprobase ia octava regla que propo diantes, quejándose del juez de primera instancia de Alcántara, por nía el Sr. Calatrava en su voto particular, qué decia: » El tribunal no haber mandado ponerlos presos una noche y soltarlos al dia siguiente' tendrá para estas causas número determinado de horas de despacho ; se lin decirles por qué motivo: y otra de D Josef Mariano Mora , vecino…</t>
  </si>
  <si>
    <t>…dan autorizadas Jdsváyuntamientos por el Terminó de’ de debe ir la del Sr. Diaz Morales. ■ i-J ■ dos meses, contados "desde^ lar piüblicaeióhyd'dhiste decreto'Ji para recibir ' El Sr. Calatrava presentó'dos exposiciones , una de: D. Antonia en dicha clase á los qué sé'preseritéh'cón lás’cirfcudiihncias présfcrira^; es-f Mestre y otro ciudadano de Málaga . perseguidos por .adictos al sistema ten ya ó no alistados en Ti‘nó.'vóltrntariaK' por la comisi…</t>
  </si>
  <si>
    <t>…oirlos, creo que no es conforme ni regulares para que se pueda exigir la responsabilidad en caso necesario. con Jo que previene la Constitución ni con la conveniencia pública; El Sr. Calatrava: el Sr. Martinez de la Rosa ha sido de opinión, porque violando con algunas personas los principios de justicia, maña después de confesar que las Cortes podían nombrar el visitador, que se na se violarán con todas. De consiguiente no debe despajarse de una co…</t>
  </si>
  <si>
    <t>…para resolver Después de haber deshecho el Sr. Martinez de la Rosa algunas con acierto, á fin de evitaren lo sucesivo estos inconvenientes, y faci equivocaciones padecidas por el Sr. Calatrava, dijo el Sr. presidente que litar su pronto despacho, ha acordado : mañana se continuaría la discusión sobre este asunto, y señaló la hora _ i.° Que ningún individuo de las oficinas dependientes de la direc de las ocho de esta noche para sesión secreta , con…</t>
  </si>
  <si>
    <t>…Silves-preguntó si se.podría aprobar este artículo, haciendo en él . Bahía, armadas en guerra , para saber el partido que tomaba aquel) algunas modificaciones; dio que contestó el Sr. Calatrava, como •indi capitanía: y hallando ser tal el mismo que el que habia tomado Bahía, viduo de la comisión, que primero debería aprobarse ó reprobarseel ar hicieron una salva real. En el mismo dia se hizo una acta en la Cá tículo , quedando el derecho en el-prime…</t>
  </si>
  <si>
    <t>…no absoluto cuando habla de noticias examinen bien este artículo , que en mi concepto no debe aprobarse. sueltas , diríamos que todo está tranquilo en las Calabrias y en los de El Sr. Calatrava: ha manifestado el señor preopinante que las Cor más puntos de aquel reino. tes tienen por decidida la duda ocurrida á la audiencia de Valencia: si No es poco extraño hallar en un párrafo de Viena que los griegos el Congreso hace esta declaración, desde luego…</t>
  </si>
  <si>
    <t>…hacer su provisión en otra persona , sin perjuicio de .pro lados promover en sus súbditos la obediencia á las leyes-, y zciar la ceder á lo demas que hubiese lugar.” En seguida el Sr. Calatrava hizo tranquilidad pública, exija el Gobierno de todos los reverendos arzo presente que sin dar su opinión acerca de esta indicación llamaba la bispos , obispos, gobernadores eclesiásticos y demas prelados, que den- atención del Congreso para manifestar que le…</t>
  </si>
  <si>
    <t>…sión que entendió en y cíe ñingttn modo la diputación provincial , porque á esta no le com este negocio. petía ; por lo-que no-podía aprobarse el artículo que proponía la comi F.l Sr. Calatrava dijo que deseaba saber si se había comunicado al sión , y debería decirse'ijue las cuentas presentadas por la compañía al Gobierno lo acordado por las Cortes, relativo á que informase sobre el ministerio de Estado se examinaran -y-volvieran á verse si convení…</t>
  </si>
  <si>
    <t>…cuantos fondos y caudales públicos ha cobrado é invertido de admisible ; lo que apoyó también el Sr. Cañedo. cuenta del Estado desde que se instaló dicha compañía; y que se en El Sr. Calatrava, después de haber refutado á los Sres. preopinan cargue al Gobierno que con su informe la pase á la mayor brevedad po tes , dijo que creía que ningún español, habiendo depositado su con sible á las Corres para su examen y aprobación, con arreglo í la facul fi…</t>
  </si>
  <si>
    <t>…ecesarias para evitar loi los Sres. D. Francisco Molinos del Campo y D. Manuel Gómez Pedra- perjuicios que pudieran resultar. za , diputados electos por la provincia de México. El Sr. Calatrava manifestó que había otra clase de personas que A la especial de Hacienda se mandó pasar una exposición de la dando armas, víveres &amp;c. al egército enemigo, no podían ser conside junta general de dirección y gobierno délos Cinco gremios mayores de rados como es…</t>
  </si>
  <si>
    <t>…itos que se hubiesen seguido ante dió de formarse causa á algún funcionario público no se le suspenda riormente. de su destino cuando el delito que se le impute no merezca pena El Sr. Calatrava manifestó que la comisión actual h -.bia puesto este corporal. ^ artículo con objeto de que se llevase á efecto lo mandado por las Cor Se concedió al Sr. diputado Rodríguez Casal el permiso que solici tes extraordinarias: que habia otro medio para este fin ,…</t>
  </si>
  <si>
    <t>683</t>
  </si>
  <si>
    <t>683 Península renga á dar cuenta de los sucesos da Galicia, Cádiz y damas El Sr. Calatrava manifestó que Ja expresión que había álcho de de esta clase, fuera de aquellos de que y* se haya dado cuenta,’’ E! se que ci G ibiírno no quisiese ó no pudiese tornar providencias habia ñor secretario, en cumplimiento de esta resolución, manifestó que en sido…</t>
  </si>
  <si>
    <t>…meros, segundos . Continúa la discusión sobre señoríos. y terceros del ministerio de artillería de Sevilla, solicitando aumento Se leyó el art. 3. (ciase la ¿aceta de ayer'), y el Sr. Calatrava di de sueldos, y se mandó pasar á la comisión de Guerra, en donde exis jo : se han hecho varias retlexiones, oponiéndose á que Jos títulos se tia igual solicitud de los oficiales del mismo ministerio en Barcelona. presenten ante los jueces de primera instanci…</t>
  </si>
  <si>
    <t>…ones es tró la poca utilidad que resultaría, tanto en la parte política como en la pecial de Hacienda y Comercio. . -- - militar , de que se estableciese este cuerpo directivo. El Sr. Calatrava dijo que se había pidido al Gobierno á propuesta El Sr. Ramonet apoyó el dictamen de ia comisión, manifestando</t>
  </si>
  <si>
    <t>…ceso del 10 de Marzo, los cuales se habían pasado á la, de disminuir la utilidad conocida de este ramo de industria. No hubo comisión respectiva. lugar á volar sobre esta base. El Sr. Calatrava indicó no se hacia mérito de la causa formada en 1 2. ,, Los salitres extrangeros, bien sean de Europa ó de la India, Avila; y el Sr. Gareli.contestó que se habían pasado á la comisión .de quedan absolutamente prohibidos en el comercio: ios que hubiese in Leg…</t>
  </si>
  <si>
    <t>…yes de distircion, que podían ser rios de los Despachos , y remitiendo á las Cortes los expedientes ori muy perjudiciales , ademas de ser contrarias á la Constitución. gínales. £1 Sr. Calatrava dijo que siendo la adición del Sr. preopinante al Y el de la misma comisión, relativo á la solicitud de Doña Ramo art. 2.0 según explicaba S. S., no debia admitirse á discusión; y que podía na Ilazabal, viuda del intendente D. Manuel Inca Yupaugui, sobre cont…</t>
  </si>
  <si>
    <t>…Se culación de los capitales, siendo asi que debíamos promoverla por to aprobó después de una corta discusión. dos los medios posibles. Ademas con esta contribución se van á au El Sr. Calatrava manifestó que por una carta particular que tenia mentar muchos empleados públicos, cosa que no debe hacerse, porque en su poder, fecha 29 del corriente , se sabia haber vuelto 4 levantar principalmente se debe tratar, no solo de fijar el máximum para los cabe…</t>
  </si>
  <si>
    <t>…ividuos de que ante todas cosas informasen los Sres. secretarios del Despacho de aquella provincia’ ;Por qué í este arzobispo no se le separa inmediata los sucesos de que habló el Sr. Calatrava en la sesión anterior, que si son mente , lo mismo que debía haberse hecho con-el de Osma, y lo mismo como dicen algunas cartas particulares, son muy horrorosos, y no po que á los curas que son notoriamente sospechosos por fanatizar &amp; los día menos de culpar…</t>
  </si>
  <si>
    <t>…s impone la ley. tropas sumisas al Gobierno, y que defienden la causa de la patria. Mi Después de haber hecho varias reflexiones, concluyó diciendo que digno ¡imigo y compañero ei Sr. Calatrava fue el que anticipó esta no no debiá aprobarse el dictamen de la comisión, y que debía volver á ticia al Congreso, y entonces fue cuando nos acordamos de la proposi ella, para que oyendo al Gobierno propusiera otras medidas más justas. ción del Sr. conde deTo…</t>
  </si>
  <si>
    <t>832</t>
  </si>
  <si>
    <t>…esivamente-, y que en 1820 ha ascendido á 8870. tes en el dia i.° del actual para informar dé los sucesos de-que había (Murmullos á la derécha, larga interrupción;)': ' hablado el’Sr. Calatrava en la sesión anterior , relativos al levantamien El orador se volvió hácia el presidente, y le dijo: Nunca he' inter to del cura Merino, dijo entre otras cosas que el Gobierno habia reci-' rumpido yo ¿ nadie: suplico ¿ vmd. me mantenga la palabra. ( Je con bi…</t>
  </si>
  <si>
    <t>840 Ei Sr. Calatrava: oigo hablar da esta negocio, y yo pregunto á los C. V. Morozzo de Magliano , el cor.de de Sta. Rosa y. otros. El gene Sres. diputados si saben todavía lo que propondrá la comisión. No solo ral Latour parece se retira al Austria; este será tal vez el premio d…</t>
  </si>
  <si>
    <t>Gaceta de Madrid n.º 163</t>
  </si>
  <si>
    <t>873</t>
  </si>
  <si>
    <t>…és de haber instruido el expe géneros. Con respecto á esta segunda parte es bien evidente que ahora diente. no se perciben mas derechos que antes: y solo se trata de que los co Ei Sr. Calatrava, después de haber manifestado que este derecho pro merciantes tengan que introducir sus géneros con guias , para que se les venia de una encomienda , que ahora cobra la renta de correos puedan exigir aun después de pasada ia línea de ios contraregistros. las…</t>
  </si>
  <si>
    <t>…ieron motivo á estos privilegios que quiere la comisión dar por váli se mandaron pasar á la misma comisión. dos , tienen infinitas nulidades. Se aprobó la siguiente indicación del Sr. Calatrava : » Que se am Antes de entrar en este particular es preciso tener presente que plíe hasta 15 de Agosto próximo el término señalado por las Cortes las Cortes determinaron en la legislatura pasada que todos los privile para evacuar los informes sobre el código…</t>
  </si>
  <si>
    <t>…baños de la Para segundo individuo por la clase de diputados de Europa quedó provincia d&lt;' Cuenca, y que la Hacienda pública no puede costear es elegido en el primer escrutinio el Sr. Calatrava por 109 votos de *163. tos gastos, el Jt.ey se ofrece á satisfacer las cantidades necesarias para Para segundo individuo de la clase de diputados de Ultramar quedo • este objeto, con tal que queden bajo su administración particular los de f nombrado én el pri…</t>
  </si>
  <si>
    <t>…2 para el ministerio ya Congreso que habia de ir a anunciarle que las sesiones de las Cortes de bían" cerrarse el dia 30 del corriente. Las Cortes quedaron enteradas.expresado. El Sr. Calatrava manifestó deseaba saber si se habian hecho todas El Sr. presidente señaló la hora de las r.ueye de esta noche para las modificaciones correspondientes en los sueldos de todos los conseje sesión extraordinaria; y se levantó la ordinaria de este dia. ros de Est…</t>
  </si>
  <si>
    <t>…taba tal que á los empleados se les debía 10 mei.es de atraso, y tratarlo en las Cortes extraordinarias. el egército se mantenía solo de sus raciones, y en este.año exceden las El Sr. Calatrava manifestó que este asunto estaba terminado por entradas en bastante cantidad al pago de las atenciones de aquella na ■ahora, puesto que se habia aprobado el dictamen de la comisión , en el ción , y es bien sabido que por medio de empréstitos lúe como salió de…</t>
  </si>
  <si>
    <t>…icio de las iglesias y el or do pedido algunos Sres. diputados la lectura de varios documentos,-ma den público no sufran detrimento; sin que haya sido ni sea otra la in nifestó el Sr. Calatrava que la Diputación permanente debía pasar á pa tención de S. M. que la de hacer observar las disposiciones canónicas lacio á cumplimentar á S. M. por su llegada, por lo cual se suspendió y civiles que asi lo establecen. De orden de S. M. lo comunico á V. la di…</t>
  </si>
  <si>
    <t>…de que se admitiese otra á Laguna, y que por lo,mismo serian menester gastos inmensos, al paso discusión. que se perderían los edificios que existen en las Palmas! Yo, fundándo El Sr. Calatrava pidió que siguiera la discusión del art. 2.°; y el se me en estos principios, opino que las Palmas debe ser la capital de las ñor Sancho dijo: Se debe seguir discutiendo este artículo; peto seria islas Canarias.” muy mal hecho votarlo por partes, sin que se h…</t>
  </si>
  <si>
    <t>…s más pobres, y de la arquitectura mas miserable que' hay eír la pro Cortes lo que crean mas acertado. _ ■ vincia de Valencia: Castellón de la Plana tiene doble población y una El Sr. Calatrava fue de opinión que la capital de las islas Canarias hermosísima campiña; pero no tiene puerto, y está 4 media hora del fuese Palmas, y de ningún modo.S. Cristóbal de la Laguna. Manifestó mar en una playa abierta y despejada. en seguida que este puebio no habí…</t>
  </si>
  <si>
    <t>…s de Mérida y ■ Todos los diputados de Extremadura están conformes con que la otros lugares, sind ique habiaii quedado cuarteles para -más de ted1 capital fuese Badajoz,: ménós el Sr. Calatrava que ha mostrado alguna hombres/AUi están todas las oficinas dé la provincia^- y ruégó á loa" diferencia; y no-sé por que se ha de dar la-preferencia á Mérida, lo cual Sres. diputados que miren él mapa de Extremadura ; y exáminándo sé opone ho solo i los” prin…</t>
  </si>
  <si>
    <t>…ayan entregado para este las milicias son un arma que puede defender , y no puede herir. reemplazo pueden prestar el servicio que el Gobierno reclama, y por Yo no convendré con el Sr. Calatrava en no acceder á la petición consiguiente no hay una necesidad de decretar ese número de 8 ó io9 referida . mientras no se justifique que el Gobierno ha empleado todos hombres. Por otra parte las Cortes en la legislatura pasada facultaron los medios para verif…</t>
  </si>
  <si>
    <t>…á Sta. Cruz ds Tenerife. términos que lo ha lucho con re,pecio á las dimas provincias. ■ Ya ha dicho el Sr. Quiroga que no debemos proceder en la aproba El Sr. Clemencin dijo: El Sr. Calatrava ha reconvenido á la comi ción de esta capital sin conocimiento da lo que diga la diputación pro sión de que teniendo á su disposición la representación del gefe políti vincial , pa'a lo cual se la deberá pedir informe; es preciso que este ex co de las islas C…</t>
  </si>
  <si>
    <t>…i mente; he hablado con algunos habitantes de las mismas islas, y so miento del Gobierno. bre todo tengo un plano á la vista hecho en el ano 1814 con todos los Dijodias pasados el Sr. Calatrava, prosiguió, que aunque en el Puerto de conocimientos exactos y facultativos que se requieren , por lo cual voy Sta- María habían residido las autoridades, no por eso se decía que este ¿hablar en favor del dictamen de la comisión en cuanto á fijar en San puebl…</t>
  </si>
  <si>
    <t>…ambas tenían los empleados esta vez , y ponerlas al último del artículo después de no serán provistas. correspondientes , los cuales eran responsables de sus operaciones ; qus El Sr. Calatrava dijo que de' esta manera no aprobaba el artículo, ademas de esto, y de los ensayadores particulares, tenia la Nación un- porque ya no se conseguía el ahorro que habia dicho el Sr. Azaola. ensayador general que es gefe de los demas y dirige sus operaciones; De…</t>
  </si>
  <si>
    <t>…EXTRAORDINARIAS DEL AÑO DE 1821. damento ¿ie dichas sospechas. D. spues de una corta discusión se aprr bó.el artículo, suprimiendo el adverbio indebidamente, y ccn ia adición uel Sr. Calatrava , en lugar dei hecho, cuya, palabras quedaron suprimidas. PRESIDENCIA DEL SEÍtuR MARTINEZ DE LA ROSA. Se leyó el art. g, , qiie decía asi : » M ia visita ó registro se practicase á v:rtud de denuncia, quedará Sesión del 22 de Noviembre, el denunciador respons…</t>
  </si>
  <si>
    <t>…uales para todos. Con respecto ados , qúe ss mandaron pasar á la comisión. a otras observaciones que se han hecho, la comisión ha adoptado las Se leyó la siguiente proposición del Sr. Calatrava : que la han parecido convenientes , haciendo -.'arias reformas ó adicio « Pido que las mismas comisiones formen y presenten un proyecto nes en su proyecto, y no ha sujetado á las mismas penas á las mus-eres, de decreto relativo á las penas que deben aplicars…</t>
  </si>
  <si>
    <t>…a causa productora de la fiebre amarilla nos de hacer otra observación , y es sobre la aplicación de las penas. vemos que en unos produce una intermitente, en otros una biliosa El Sr. Calatrava ha manifestado la igualdad legal que debe haber en to simple ó grave, en otros un colera-morbo, en otros una calentura atádos los ciudadanos; y aunque yo estoy poseído de los mismos princi xica ó adinámica &amp;c. , lo cual es otro de los fenómenos que también pi…</t>
  </si>
  <si>
    <t>…o, sin impugnar el proyecto en su del penal corresponden á aquel; ya ha dicho lo bastante sobre lo mis totalidad , y reservándome la paiabra para el caso que he indicado, pi mo el Sr. Calatrava, pues la comisión reconoce que es absolutamente do á las Cortes que declaren que ha lugar á votar sobre este proyecto, indispensable que se discutan ambos códigos inmediata y exclusivamen pasando á la discusión de los artículos separadamente, y en la cual te…</t>
  </si>
  <si>
    <t>…teriores , y me pa perficial, y no como se necesita, comparando aquellos informes con el rece que es bien evidente ¡a necesidad que hay de fijar el deliro y ¡a código criminal. El Sr. Calatrava ha leído una parte de estos informes; pena antes que decir cómo se ha de proceder á la imposición de cita pena. pero aun suponiendo que los hubiera leído todos, ¡bastarla esto para po Para manifestar que es necesario proceder á la discusión del proyec der ten…</t>
  </si>
  <si>
    <t>…esto, porque parece que hay una especie de novedad en que ción antes este sistema que no tratar del código. se haya tomado parte en esta discusión para examinar el proyecto en El Sr. Calatrava expuso que las bases que había dicho el Sr. preopi su totalidad; pero deben tener presente las Cortes que para1 la aproba nante que habia en el proyecto no lo eran, sino disposiciones prelimi ción de toda ley debe haber un conocimiento de conveniencia públi n…</t>
  </si>
  <si>
    <t>…o que es culpa , delito y pena tiene su propio lugar en lo que son ele servaciones , y se resolvió que sí. mentos de jurisprudencia, cuyas bases deben tomarse de la m &gt;rai uni F.1 Sr. Calatrava leyó en seguida todas las que se habian hecho con versal , uniformándola coa los principios de derecho público. El fijar referencia al art. t.°, y después manifestó que se limitaría á exponer la proporción entre la pena y el delito nunca debe ser objeto de ar…</t>
  </si>
  <si>
    <t>…arecía sedi la de que se trata, es mala definición , porque es un obstáculo ; esto es ciente la siguiente: » Delito es la voluntaria trasgresion de la ley.” tan cierto como que el Sr. Calatrava ha tenido que hacer un comen El Sr. Vitorica expuso las circunstancias que debian concurrir en el tario de elia ; luego estas palabras sabiendas con mala intención , y to delito, como v. gr. quebrantamiento de ley, mala intención &amp;c.; sin das las que es menes…</t>
  </si>
  <si>
    <t>…consagra ha de presentar la contestación en este sentido, estoy conforme en que dos por la Constitución. se apruebe la proposición ; pero no si ia contestación alude ó debe alu ¿1 Sr. Calatrava: Antes de todo me parece que el Sr. presidente de dir á lomar partido en esta lucha , bien sea por uno ó por otro lado, berá fijar la cuestión conforme previene el reglamento. Las Cortes han porque no quiero que se comprometa el decoro del Congreso , pues el…</t>
  </si>
  <si>
    <t>…s chos inconvenientes. Todo el mundo sabe lp que es delito y acción cuales se infringe la l'ey maliciosamente, resultando un perjuicio a buena; y aun el argumento que ha sacado el Sr. Calatrava deque sien un prójimo nuestro ó a la sociedad, y mientras no se verifique esta cir do preciso definir el delito principal de que trate un capítulo, lo era cunstancia no puede haber delito ; por esta razón quisiera que los seño también e! definir la materia de…</t>
  </si>
  <si>
    <t>…si es que suponiéndosenos reos de un mismo delito al Sr.Cala- se hará con la mayor exactitud, bajo la responsabilidad de la misma trava y á mí , la palabra yerros salvó la vida al Sr. Calatrava, y yo fui junta directiva, por la cual, ó por dos de sus miembros al menos, in condenado á muerte por la misma; de consiguiente yo insisto en que cluyéndose en estos el contador*, se darán y firmarán los pagarés con. no se adopten estas definiciones, porque y…</t>
  </si>
  <si>
    <t>…nalogía con el anterior ó con lo que el mismo nombre significa. .Gontinuó ía^discusion del..códjgo penal. : Según la definición-que-se propone encuentro que el decir:» ea, chi El- Sr. Calatrava dijo que podía suspenderse la discusión delartícu- quillo , i estás pronto á matar á tu padre 1 ” ya es una conjuración; y loes jq a " que define lo que es culpa, hasta qiie las Cortes aprobasen la de ¡también el decir,á .otro; « iremos esta noche á robar.per…</t>
  </si>
  <si>
    <t>…, es claro que se comprenderá lo me que puede dar lugar á interpretaciones arbitrarias, y aun perjudiciales. nos donde se comprende lo mas, siendo el principio de la egecucion, Ei Sr. Calatrava: Fí acto con que se empieza la egecucion- consti no soio preparar el delito, sino pasar mas adelante. Asi que, esta par tuye en concepto de la convsion una verdadera tentativa. El Sr. pre te en mi concepto es ociosa.' ■ , opinante no hubiera puesto esta objec…</t>
  </si>
  <si>
    <t>1853</t>
  </si>
  <si>
    <t>1853 Ja , opinaron que,deb¡a encargarse al Gobierno que a la mayor breve El Sr. Calatrava rEf Sr. prsopinahte ínatíiféstó en ún principio que dad hiciese ¡os reglamentos para estos depósitos de géneros prohibidos, este artículo era.inútil en el código penal, y despu.-s que tlebe castigar- • pasándolos en seguida ¡i las Cortes'para su aprobación. Q…</t>
  </si>
  <si>
    <t>…icará esta no lo llega á consumar, lo prenden, y por el solo hecho de haber inten también al delincuente” tado verificar aqueL delito se le castiga con seis años de trabajos pú El Sr. Calatrava dijo que el tribunal de Ordenes , las audiencias de blicos: supongamos que á esto se añade el haber dado un cachete ¿ su Sevilla y Madrid, las universidades de .Granada, Cervera , Zarago contrario, y por ello se le castiga con otros seis años: tenemos ya n za…</t>
  </si>
  <si>
    <t>…ne, creo la vigilancia especial de las autoridades en loa casos que determine que las Cortes deben declarar haber lugar á votar en la totalidad el la ley.” dácutnín presentado. El Sr. Calatrava leyó las observaciones que se habían hecho á está i.. :El Sr. Rovira apoyó el dictamen de ia comisión, manifestando que artículo por diferentes corporaciones y particulares, con cuyo motivo la marina establecida para el resguardo no solo debia proteger i los…</t>
  </si>
  <si>
    <t>…se ve faltan , y principalmente las leyes dirigidas á precaver los delitos, por rifica con la segunda. si Jas Cortes lo tienen á bien adaptar. En el referido caso de Vinuesa ú El Sr. Calatrava: Acaba de manifestar el Sr. preopinante que solo otro semejante es bien conocida la utilidad que resultaría á la sociedad se puede conocer la resolución de delinquir o por la proposición he si sabiendo que tenia pensamiento (sin que hubiese tentativa) de expo…</t>
  </si>
  <si>
    <t>…o con que se ha de entregar la causa pendiente acerca de las ocurparadamente la discusión del código penal.” rencias de 10 de Marzo de 1820 en Cádiz á los defensores de las mis El Sr. Calatrava manifestó que esto era muy necesario, y que de mas , y el tiempo que cada uno haya de tenerla en su poder, han apro bia ser separadamente del diario , porque el que necesitase solo esta co bado: i.° La causa sobre las ocurrencias de ib de Marzo de 1820 en lec…</t>
  </si>
  <si>
    <t>1882</t>
  </si>
  <si>
    <t>…unque indirecta impondría á cualquiera persona particular que cometiere el delito del mente. funcionario.” Por estas razones opino que el artículo: necesita mayor, explicación, H1 Sr. Calatrava dijo que creia haber satisfecho á los argumentos del y que en donde se dice provoca ó incita directamente, se añada ó indi Sr. Gil de Linares, pero sin embargo añadía que en el art. 462 se seña rectamente y sin ánimo deliberado de incitar ni provocar. y laba…</t>
  </si>
  <si>
    <t>…s, he actuado JA Nucid» trpirííqla. Esto me parece tiiuy justó, porque muchas veces, en otra de unos ladrones de Extremadura que. robaban tan pronto en cómo ha manifestado ayer el Sr. Calatrava., se cometen delitos fuera de España como en Portugal, y habiendo heqho esto con un viagerq,- fue la Nación , que verdaderamente son trascendentales á la sociedad espa ron aprehendidos y juzgados en el tribunal de la capitanía general de Ba ñola, principalmen…</t>
  </si>
  <si>
    <t>…sobornador ál so muy bien haber cómplices.en la culpa. Bajo estos principios me parece bornado.” ’ ■*” que queda deshecho el argumento del Sr. Linares respecto al artículo qué El Sr. Calatrava hizo presentes los informes, que habia recibido Ih se discute. comisión acerca de este ártícúfo. ' ■” El Sr. García (D. Antonio} manifestó que podrian suprimirse al ■ • El Sr. Casaseca dijo que enia parte cuarta de este artículo se decía gunos nombres de ¡os…</t>
  </si>
  <si>
    <t>Í! Sr. Calatrava manifestó quy si no había algún Sr. diputado pus ¡M? la queda el articulo reducido á unos términos, en que verdaderameutuviese que hacer alguna observación respecto de la tota..dad dei utrí e es muy injusta la calificación de auxiliador ó fautor de un delito.…</t>
  </si>
  <si>
    <t>…mereció una completa gratitud. Por desgracia, ter el delito, y constituirle según ella en la clase de reo. Señor, se observan síntomas indicantes de una fermentación política, El Sr. Calatrava: La comisión adoptará cualquiera adición que se que pueden ser de funestos resultados, si la mano diestra de un Go haga al artículo; pero antes debo manifestar, para inteligencia de los bierno enérgico y activo no corta de raíz tamaños males. ¡Y qué es lo Sre…</t>
  </si>
  <si>
    <t>…arios de los efectos de esta clase do. Por último contrayéndose al artículo, opinó que no debia aprobarse. que tengan pedidos en camino para los puertos de la Península é islas El Sr. Calatrava: La comis on no volverá á reproducir las razones adyacentes el término de un mes, contado desde la publicación de es que ha expuesto a favor del artículo; y siendo fínicamente la de que es te decreto, para U entrada de los que procedan de los puertos de Fran…</t>
  </si>
  <si>
    <t>…el modo de expresarse se ha impuesto una pena extraordinaria despacho.” á un delito; pero si en aquellos tiempos por faua de leyes se hacia esto, Admitida á discusión manifestó el Sr. Calatrava que los individuos no creo que debamos tomar en el dia semejantes arbitrios. Impóngase de la ¿.omisión no habían perdonado fatiga alguna para corresponder á una pena , y que sea distinta , respecto de la ignorancia cierta y la ve la confianza del Congreso. Si…</t>
  </si>
  <si>
    <t>…entos de su constante adhesión á la ley Se declaró la proposición suficientemente discutida, y no se aprobó. fundamental del Estado que ha jurado, y su respeto á la sagrada Per El Sr. Calatrava : Debo manifestar para sitisfaccion délos señores sona de V. M. consignado en aquella- Quisiera borrar de la memoria que han firmado la representación, que la comisión tiene adelantados los motivos que obligan á esta diputación á acudir hoy al trono de sus tr…</t>
  </si>
  <si>
    <t>…reglamento de aduanas; lo que de Real orden comu ó culpa . contribuyen, principalmente á que se cometa.” nico á V. S. para su inteligencia, y que disponga su cumplimiento-en ■ El Sr. Calatrava dijo que solo la universidad de Valladolid habia el distrito de su mando. Madrid 21 de Noviembre de 1821.” informado contra este articulo. c . Circular del ministerio de la Gobernación de la Península. - Él Sr. 11raga dijo que notaba en el. artículo que en un…</t>
  </si>
  <si>
    <t>…s las dos terceras partes de la pe* ción mala. Bajo estósprincipiós creo que debe reformarse este artículo. na que se impone al delito. Pero aun dice mas la. comisión ,. puesto El Sr. Calatrava: Por mi parte.doy muc,bqs.gracias, ai Sr. Lasanta que se refiere también á lo prevenido en los artículos 94, 95 y 103, por el asilo que en su caía nos ha ofrecido pata el caso en que cometié y principalmente en este último se dice que los auxiliadores,, fauto…</t>
  </si>
  <si>
    <t>…parado como parte de este que al decoro de las Cortes, destrono constitucional, y el buen éxi dictamen.’’ &lt; to de la causa de la libertad , que la comisión ha creído se cómpromeEl Sr. Calatrava leyó en seguida la minuta de la exposición que sa teria si no se presentaba el dictamen en laforma que se ha hecho, con cita, cuyo tenor es el siguiente: • fundiéndose dos cuestiones , que la comisión ha* procurado no i&gt;£ mez «Señor: Las Cortes extraordinaria…</t>
  </si>
  <si>
    <t>…y , que se quede sobre la mesa el aUxamen de la comisión.'" : por lo tanto pido que se haga asi, y se lea. ; / ¡a. El Sr. Palarea adoptó la proposición del Sr. Romero Alpuente, El Sr. Calatrava dijo: La|cornisioh no puede n^tnos de^'extrañar a la cqaL .suscribieron los Sres. Gaseo, Arguello , Dávila, Muñoz, que se crea que tiene ¿nteresiws^que no ae discuta el dictamen que Pierola 'Camu^llerrera , Mendez , Desprat, Puigblanch , Q--i-'::-a, presenta…</t>
  </si>
  <si>
    <t>…ido, quedó aproba meten masque objetos particulares, lo primero que se hace es reponer da la proposición. al despojado; cuando se trata de los derechos efue la Constitución con El Sr. Calatrava: Yo suplico á los Sres. que han firmado la propo cede al Monarca, hemos de detener este asunto! Yo creo que absoluta sición; ó al Sr. presidente, que se sírvan fijar un término pava la dis mente no se debe hacer, y sí inmediatamente'entrar en la discusión cus…</t>
  </si>
  <si>
    <t>…scontento entre El Sr. Calderón dijo que aun podía rebajarse mas la pena, atendida los ultras^ mas declarados de la capital y de los departamentos. la diversidad de las culpas. El Sr. Calatrava contestó que la comisión creía que no debía reba CORTES EXTRAORDINARIAS DEL AÑO DE 1821. jarse nías la pena, por cuanto entonces se protegería en cieno modo la impunidad de los delincuentes. PRESIDENCIA DEl SEÑOR CLEMENCIN. El Sr. Cano Manuel y el Sr. Tapia h…</t>
  </si>
  <si>
    <t>…es de sus parientes consanguíneos ó afines hasta en cuarto gra desaprobarse el artículo de que se trataba. do inclusive , de sus amos , maestros, tutores ó curadores, ó de aque Él Sr. Calatrava: Si no me equivoco el Sr. preopinante defendió llos con quienes estuvieren unidos por amistad , amor , gratitud ó com que la ignorancia sirviese de excusa á los delitos en algunos casos; y pañía doméstica de dos meses por lo menos ácc.; pero yo creo que esta…</t>
  </si>
  <si>
    <t>…uestro crédito, la progresiva reducción del impuesto, rolladas que esten sus facultades intelectuales.” -que se disminuirá todavía mas por economías de mayor extensión; la Leyó el Sr. Calatrava el extracto de los informes sobre este ar experar.za de salir de un estado provisional, y los primeros pasos dados tículo. bajo vuestros auspicios hacia un sistejpa regular de administración; el El Sr. San Miguel hizo varias observaciones sobre él, dirigidas…</t>
  </si>
  <si>
    <t>…y que dieron nuevo pábulo á los antiguos temores y á ia ge pecial encargada de examinar el mensage de S. M. neral desconfianza. Pero ¡cninto no se aumentaron aquellas , y ha&gt;u El Sr. Calatrava leyó el siguiente dictamen : qué punto tan poco meditado no llegó esta desconfianza ominosa, cuan «Lacomis-on encargada de examinar el mensage de S. M. , leído do ignorando los motivos en que pudo fundarse el ministerio se enteró en la sesión de 26 de Noviemb…</t>
  </si>
  <si>
    <t>…introdujese en estas funciones supremas? (Aquí le tación , y resultó desechada por 8o votos contra 55. yó el Sr. secretario del Despacho la circular expedida en S. Fernando.) ' El Sr. Calatrava, como de la comisión, dijo: Haré una adverten El Sr. Calatrava preguntó si esta circular había sido anterior á la cia preliminar antes de entrar en la discusión. El Sr. secretario de Es circular del ministerio; y el Sr. secretario de la Gobernación contestó t…</t>
  </si>
  <si>
    <t>…ón en el cua E11 las representaciones se pide que los ministros sean removidos, y dro mas horroroso , y disputándose los empleos mas elevados los hom esto prueba loque ha dicho el Sr. Calatrava; esto es, que los ministros bres públicos que aspirasen á ellos contribuirían, haciendo lo posible han perdido toda su fuerza física y moral: el ministerio se ha visto en por obtenerlos, á que los pueblos, la muchedumbre incauta, cayese en el caso de acudir á…</t>
  </si>
  <si>
    <t>…in hm precedido ? Ya creo que no es esta la medida mas conveniente. dependencia deeste; peio rio es observada: ¡cuántas veces han sido ame Vu lio á decir lo mismo que ha dicho el Sr. Calatrava, á saber, » la nazados algunos jueces, y cuántas se ha intentado seducirlas por me autoridad dei Rey se ha visto desob-decida.” Si es asi, Señor; si S- M. dios diferentes 1 ¡ y iueao se d¡ci que falta Ja administración de justicia ! ijui re qu; cooperemos par…</t>
  </si>
  <si>
    <t>1561</t>
  </si>
  <si>
    <t>…como resultado de este. ra en la cuestión de si nos liemos anticipado ó no í plantear en España En efecto S. M. nombró nuevo ministerio con la mejor buena fe, esta institución. El Sr. Calatrava se opuso abiertamente áella; y otros pues para ello pidió consejo á las Cortes y al consejo de Éstadc ; pero Sres. diputados la sostuvieron: los unos creyeron que se estaba en el es necesario dar porsentado que el ministerio que sucedió al anterior caso de qu…</t>
  </si>
  <si>
    <t>…sillas son. las que pierden á los hombres que las ocupan, y que solo lo sean los secretarios del Despacho. por mas amor que tengan á st* patria, y por mas fuerza fiiica y moral El Sr. Calatrava: Me propongo solo contestar á los dos hechos pre que la naturaleza les haya dado. Por lo tanto , y creyendo como creo sentes que ha tratado él Sr. secretario de la Gobernación de la Penín que este asunto es de los mas graves qiie se han presentado á lá delibe…</t>
  </si>
  <si>
    <t>…ue debiese caer ó no Yo quisiera que la comisión hubiese hablado aquí con la misma el ministerio, sino solamente que el remedio de los males de que se franqueza con que lo hizo el Sr. Calatrava en la sesión de ayer. Yo no trataba se habia de buscar al!i; pues bien cayese ó hó el ministerio , el quisiera que hubiese usado déla palabra reforma, porque puede enten remedio no alcanzaría si no se buscaba el mal en su verdadero origen, y derse en diversos…</t>
  </si>
  <si>
    <t>…r tos, y sí le firmaron los otros siete individuos de la comisión. rible estado de una desastrosa guerra civil. Quiere también S. M. que Se leyó el dictamen que acababa de leer el Sr. Calatrava , y después esté V- S. muy á la mira de que los enemigos del sistema constitucio el art. ig8.de la Constitución ; en seguida se declaró el asunto suficien nal no se aprovechen de las disensiones actuales , y que so pretexto de temente discutido, y que habia l…</t>
  </si>
  <si>
    <t>…probase que el delito cometido habia sido por descuido del bido cuidado y vigilancia en su custodia. padre. Cuarto: Los ayos y maestros , respecto del daño que causen sus alum El Sr. Calatrava: El Sr. preopinante puede formalizar su adicción; nos, discípulos ó aprendices menores de 17 años, cuando se hallen al pero debo advertir que en la discusión actual no debemos contraemos cargo inmediato de aquellos. á casos particulares que se forge uno en su…</t>
  </si>
  <si>
    <t>…a comisión. Quedó aprobada. Sin embargo, no be fijado mi Opinión ¿continuó el orador), atirt- ó.1 La de presidio. que impugno el dictamen de la comisión; pero no puedo menos de El Sr. Calatrava dijo que habian informado sobre este punto ¡* au hacer algunas observaciones por si pueden ser de alguna utilidad. Debe diencia de Granada, ia de Pamplona y el Ateneo español. Quedó ponerse en una balanza la suma de los bienes que deben resultar da la aprobad…</t>
  </si>
  <si>
    <t>…poral de un pueblo ó distrito admita á comercio ia partida que se detuvo en la aduana de Bilbao á determinado.” D. Gregorio Martínez de Mollinedo, según propone el Gobierno. De El Sr. Calatrava dijo que la universidad de Oviedo y la audiencia orden de las Cortes lo comunicamos á V. E. con devolución de la refe de Mallorca informaron acerca de este artículo. rida consulta para que tenga á bien ponerlo en noticia de S. M. y deLos Sres. Gil de Linares…</t>
  </si>
  <si>
    <t>…nos quq lo proponía la comisión, v 0o Entró á jurar y tomó asiento en el Congresoun Sr. diputado. se aprobó. • Se aprobó la minuta de decreto sobre contrabando, presentada por- El Sr. Calatrava manifestó que no se podia proceder á la discusión la comisión de Corrección de estilo. de los párrafos siguientes por'depender del que se habia desaprobado, Las comisiones de Comerció y Hacienda reunidas presentaron su y en su consecuencia se mandaron volver…</t>
  </si>
  <si>
    <t>1984 Ei Sr. Calatrava: El Sr, Giraldó ha hablado de la segunda parte nominia á su familia saliendo al cadalso; por esta razón poderosa opinó de este artículo, como si se propusiese una regla general, como si se que era indispensable dar una regla general, la cual en su concepto de…</t>
  </si>
  <si>
    <t>ducirle á ¡a casa de maternidad, ó presentarle á la junta respectiva mu .El Sr. Calatrava levó las observaciones del tribunal supremo de Jus nicipal de beneficencia, se tendrá por una obra digna del reconocimien ticia y audiencia de Aladrid, y manifestó que si la comisión de Bene to de la Nación. ficencia proponía que no hubiese estas casas de cor…</t>
  </si>
  <si>
    <t>…argo de director, y el cura del pueblo ó su teniente atender á la verá á instruir y ver la causa con arreglo al código de procedimientos. asistencia espiritual de los enfermos. El Sr. Calatrava dijo que las audiencias de Granada, Pamplona y Art. 113. « Habrá en los hospitales el correspondiente número de Madrid, tribunal supremo de Justicia, universidades de Cervera , Zara facultativos dotados competentemente , cuyas plazas serán provistas por goza,…</t>
  </si>
  <si>
    <t>Calatravá</t>
  </si>
  <si>
    <t>…des' para lograr el.'ácierto , ni basta á veces acertar para con porcidnado pira muchos espectadores.” cillarse la opinión, sin la cual es imposible gobernar á un pueblo libre. El Sr. Calatravá dijo que la-audiencia de Madrid decia en su infor ■ &gt;&gt;'El'“es"tádó dé lá ‘nación , en qué á vueltas'de los desórdenes in me que la egecucion de las sentencias debía ser de lis 1 2 de la maña^ dicados alzan de nuevo la frente los enemigos de la Constitución y…</t>
  </si>
  <si>
    <t>…El Sr. Alilía opinó que este artículo pertenecía mas bien al de pro El Sr. JKomcr-j Aipuente íuc de Opinión que debía quitarse de! ar cedimientos , y que no podia convenir con el Sr. Calatrava en que la tículo ia palabra relucidente en tal crimen.-, y hsb: lodoso conformado los egecucion de las penas era parte de las mismas, porque ia egecucion no Sres. de ia comisión con esta variación, quedó aprobado el artículo en las agravaba. esta forma. Habié…</t>
  </si>
  <si>
    <t>…a, y con especial encargo de que se vigile mas estrecha y se y podían hacer se varias operaciones anatómicas ea ellos que produci veramente su conducta.” rían algunas vent3»js. El Sr. Calatrava leyó las observaciones hechas por varias corpora El Sr. Calatrava dijo : jPuede resultar á Ja sociedad un perjuicio de ciones á este artículo; y asimismo manifestó las razones en que se ha que no se hagan operaciones anatómicas en los cadáveres de los conde b…</t>
  </si>
  <si>
    <t>…condenara á que no pueda salir nun las ideas que habia manifestado en su discurso, á las que contestó el ca de ¡os trabajos perpetuos , ni disfrutar de la gracia que se expresara Sr. Calatrava. en el artículo 147; y si el delito cometido después de la fuga merecie El Sr. Ramonet manifestó que iba á hacer una observación relativa se mas de n años de obras públicas, se impondrá al reo irremisible i este artículo , porque en su concepto no se habían s…</t>
  </si>
  <si>
    <t>…a haber mas que un juicio sumario coa arreglo . y formalidades correspondientes. al código de procedimientos. El Sr. Vadilio hizo varias reflexiones para apoyar el artícuto, y E1- Sr. Calatrava expuso que seria conveniente suspender por ahora • manifestó entre otras cosas que el condenado á trabajos perpetuos tenia la aprobación de este artículo; y asi se resolvió. . , en su mano el no hacer eterna aquella pena; por consiguiente no podía Art. 53 7 E…</t>
  </si>
  <si>
    <t>…nalesijconítruccion ;de edificios:/.,aseo .¡dé ;cálles/ plazas y &gt; r . u ; forme.” jí-í¿... " jpaíeé^pAbltcos , sujetos;dódos jen dos .connútla cadena mas ligera que* la ■"í: fe i Sr. Calatrava dijo el -art que ahora no se discutía ' .73.si no 1 '■el V.54,•..dejlos cónde'nados,'» ¡trítbsjps perpetuos. Ji&gt;ur.anté él tiempo de sii cqnde- , en .cuyo caso vendría .bien.el, argumento del Sr. Dolarea. Que S. .S, hdr bia dicho que se estáblecia upa especie…</t>
  </si>
  <si>
    <t>…Se dice que se amala Constitución; pero liega el que trataba de las tacuitades de la Diputación permanente. descaro hasta el punto de negarse la obediencia que ella manda, apo El Sr. Calatrava dijo que parecía se trataba de hacer alguna incul yándose en ella misma. Ki egército nacional español es constitucional, pación á la Diputación permmente; y el Sr. Certés replicó que no ha y si algún cuerpo se hubiese desviado de sus juramentos será exter bía…</t>
  </si>
  <si>
    <t>…r ha propuesto el Sr. conde ‘de Toreno , no otra equivalente y capaz de mar la mas completa desconfianza. cortarde raíz estos escándalas para que la patria y la Constitución no El Sr. Calatrava : Creo que este asunto no tiene relación con el an peligren. terior, y asi propongo que se pase al Gobierno, y que á esto se reduz El Sr. Calatrava dijo: Me opongo á la proposición del Sr. conde de ca la resolución de las Cortes. Asi se acordó. Toreno., sin «…</t>
  </si>
  <si>
    <t>2017</t>
  </si>
  <si>
    <t>…ente remedio; pero cuando hay revoluciones , quien villa y demás personas que fieman la representación. decide la victoria es la espada ó los prestigios de ia política. ¡Serian El Sr. Calatrava : Es cosa muy particular que el Sr. preopinante no entonces las libertades públicas las que se establecerían? Me parece que haya sabido disculpar los sucesos de Sevilla sin acusar á la Diputación con esta observación pueden muy bien considerar tos Sres. que a…</t>
  </si>
  <si>
    <t>…stado lastimoso en que se halla aquel Después de algunas observaciones del Sr. Cavaleri, á que «ontestó vecindario , y pidiendo se sirvan las Cortes mandar se les admita en com el Sr. Calatrava , quedó aprobado. pra de bienes nacionales las certificaciones que tienen de suministros he _Art. 73. » Ni á los reos comprendidos en el artículo precedente, chos á ¡as tropas racionales. E¡ á los que esten sufriendo la pena de trabajos perpetuos ó deportació…</t>
  </si>
  <si>
    <t>…c ron ni concurrieron. tamen presentado por la comisión especial nombrada-para informar so Por lo que toca á Escovedo no resulta que hubiese tomado Jnedidn: bre la proposición del Sr. Calatrava, relativa á la ¡«presentación de las alguna para apaciguar al pueblo, y hacerle entrar en su deber , ni que autoridades y varios ciudadanos de Sevilla. Lo mas notable de dicho hubiese pedido fuerza alguna, ni que hubiese puesto en práctica ningún informe y de…</t>
  </si>
  <si>
    <t>…que no estarán en complicada que esta de la ob.dienc a. El principio gentral de que se terados de ella. debe obedecer á los superiores y á las autoridades construidas es incon El Sr. Calatrava: Yo estaba • ya persuadido de la necesidad di cuso : teóricamente se ha dicho mucho sobre este punto; p ro es muy adoptar una medida pronta y eficaz para cortar de raiz el mal de cuyo difícil resolver en la práctica si en ciertos casos se debe pr star ó nr&gt; ¡…</t>
  </si>
  <si>
    <t>…extraño que el ci E! Sr. .Marín Tauste hizo varias observaciones contra este artículo, tado contador principal en vez de acudir á V. S. con semejante queja, á las que contestó el Sr. Calatrava. no haya reclamado del intendente de la provincia la apiieacion de la El Sr. San Miguel manifestó que debería hacerse una adición res Real orden de 21 de Julio de 1817, reiterada en 29 del propio mes pecto á este artículo, añadiéndose después de las pa]abm'¿&gt;…</t>
  </si>
  <si>
    <t>…iplicarse y aplicarse como presente que los sueldos que se proponen tienen una rebaja de bastante multa.” consideración , y esta es ia que corresponde á las contribuciones ; de El Sr. Calatrava manifestó que podría aprobarse el artículo, sin per consiguiente el gefe político de la provincia de Madrid no cobrará ioo3 juicio de que se estuviese á lo que resolviesen las Cortes con respecto á reales, sino 70 ú 8c3. Esto mismo sucederá respecto de los de…</t>
  </si>
  <si>
    <t>…y todo se sus supernumerarios D. Joseí Ortis, del primero de Aragón: al coronel penderá Iiast3 que sane.” D. Juan de Prats , del primero de Cataluña : al coronel ID. Ignacio ViEl Sr. Calatrava dijo que el colegio de Zaragoza y la audiencia de llasana, del de Tarragona: a D. Justo Bcrriz , del de Barcelona: á Don Pamplona habían informado acerca de este artículo. Quedó aprobado. Santos Ladrón , del segundo de Aragón: á D. Josef Moragrega, del de Art…</t>
  </si>
  <si>
    <t>2038</t>
  </si>
  <si>
    <t>…dor, con el mayor valor al palacio mismo del bajá, de cuyas resultas mismo apoyó el dictamen de la comisión. se empeñó una acción muy reñida entre estos amotinados y la guardia El Sr. Calatrava dijo que aunque le parecía que según las circuns del visir ; haciéndose fuego por una y otra parte con igual encarniza tancias actuales se podría hacer alguna rebaja en los sueldos de Ibs em miento , hasta que ia noche puso fin al combate. Es vergonzoso para…</t>
  </si>
  <si>
    <t>…obtenido estos destinos por servicios hechos 1 favor de respectiva de la ley, y á los arta. 108 y 109.” la causa de ¡a libertad. Asimismo- hizo varias r-flexiones acerca de que El Sr. Calatrava dijo que creia que se estaba en el caso de entrar en se hiciese extensivo á los demas oficiales lo que proponía la comisión la discusión sobre si debía ó no h.iber jueces de hecho, y que las au respecto de los segundos, con arreglo á lo cual debian aprobar la…</t>
  </si>
  <si>
    <t>Gaceta de Madrid n.º 373</t>
  </si>
  <si>
    <t>…, de modo que los tenedores de dicha moneda no aprobarse la proposición ; pero con la adición que yo he manifestado. se perjudiquen en nada según el tenor del decreto citado.” El Sr. Calatrava: sin entrar en la cuestión de los delitos civiles y Su autor la apoyó , manifestando que la razón que tenia para hacer políticos de que ha hablado el Sr. 1 oreno , debo manifestar, para lijar esta proposición era que habia visto por documentos que se le había…</t>
  </si>
  <si>
    <t>…aor Ruego á las Cortes tengan presente esta consideración : aqui no se trata dinario que un hombre viviese 40 años en ellos. de hacer ninguna prueba , sino de hacer una gracia. El Sr. Calatrava dijo que sobre esto era imposible dar una razón si Dice el Sr. preopinante que se atienda á las circunstancias que agra debían ser tanto» ó cuantos ¡os años de obras públicas equivalentes i la van los-delitos; es muy justo que se atienda antes de la sentencia…</t>
  </si>
  <si>
    <t>Calátrava</t>
  </si>
  <si>
    <t>…cho , según la Límites de la provincia de Burgos. mayor ó menor gravedad que resulte.” Confina esta provincia por el N. con la de Santander y Bilbao; por Después de haber leído el Sr. Calátrava las observaciones que se ha el N. E. con la de Vitoria; por elE. con las de Logroño y Soria; por cían respecto de este artículo por la audiencia de Valladolid , el Ate -el S. con la de Segovia, y por el O. con la de Patencia. • neo español y univetsidad de Sa…</t>
  </si>
  <si>
    <t>Calatrava-manifestó'qite</t>
  </si>
  <si>
    <t>…y pudiesen ser útiles para jueces -de hecho, si se dito, ó.'dé principio,á ella.” - ! ■ ' ' f : . ■restableciesen. Por,consiguiente soy de parecer que sé-suprima, el artícu«- - El-Sr. Calatrava-manifestó'qite ninguna de las corporaciones y par- lo g .fj.y encaso de no suprimirse se postergué al 4-?;.'y; se varíe 1 a pa-' -ticulares-informantes' habían hecho observación alguna relativa á este labra conjuración. ■ - ¡&gt; - - ,, • -- ; artículo. . ... '■ - - ;. , Ei Sr…</t>
  </si>
  <si>
    <t>Calatrava.-</t>
  </si>
  <si>
    <t>…cuenta en la progresión que señalaba, sobre lo la debilidad , índ ifensibn,. desamparo •&gt; conflicto de la p -rsona ofendida. cus! hizo algunas observaciones, a las que contestó el Sr. Calatrava.- El Sr. Calatrava pidió que se votase por partes este artícuio, aña El Sr Cep.-ro manifestó-varias consideraciones que debian tenerse diendo que sobre el primer caso no se había presentado ninguna c.bsirpresentes antes que abandonar a la suerte la vida de los hombre…</t>
  </si>
  <si>
    <t>Calatravadijo</t>
  </si>
  <si>
    <t>…AA. continúan sin novedad en su importante salud. que no restan mas que 26 días de la presente legislatura, en los cua les apenes habrá lugar de discutir su dictamen.” CORTES. El Sr. Calatravadijo que la comisión no creia haber merecido esta indicación; que todos los Sres.* sabian que este expediente se habia re PRESIDENCIA DHL SEÍtOR MOSCOSO. mitido al ministerio para quí informase, y que todavía no lo había Sesión del 5. devuelto. Leída y aprobada el…</t>
  </si>
  <si>
    <t>Calatraya</t>
  </si>
  <si>
    <t>…este supuesto votar en pro ó en contra del dictamen de la comi amagando á otras, y por esto no me parece exacto lo que ha manifes sión sin tener otros datos mas positivos. tado el Sr. Calatraya; á saber: porque el Gobierno no dice el número, Ante todas cosas es preciso tener presente qne esta petición que re de tropas que necesita. Yo creo que no puede decirlo, porque la epi clama el Gobierno, ha de ocasionar muchos gastos á la Nación, que no demia…</t>
  </si>
  <si>
    <t>Calatruva</t>
  </si>
  <si>
    <t>…etón algunos millo . En seguida leyó el parte del Gefe político de Valencia, al que nes para sus apuros. acompañaba el- que le: había pasado á este el alcalde constitucional de El Sr. Calatruva opinó que seria útil nombrar una comisión espe Alcoy. Decía este que desde el dia 28 de Febrero último se había em cial para este asunto, pues de encargarlo á la que habia indicado el pezado á decir que los vecinos de los pueblos comarcanos trataban de Sr. co…</t>
  </si>
  <si>
    <t>…e que debían visitaise; pe ¡Ukrania han r-cibido orden de dirigirse á marchas forzadas al Pruth. ro que no siendo asi, no. I para unirse al egército del conde de Wittgenstein.” El Sr. Calatruva opinó que debía decirse previ# informarían drl fun | CORTES EXTRAORDINARIAS DEL AÑO DE 1821. damento ¿ie dichas sospechas. D. spues de una corta discusión se aprr bó.el artículo, suprimiendo el adverbio indebidamente, y ccn ia adición uel Sr. Calatrava , en l…</t>
  </si>
  <si>
    <t>Calatwa</t>
  </si>
  <si>
    <t>…o cuando la comisión al delito principal. ha establecido el máximum y mínimum de las penas en varios delitos. El r-r. QLarrava dijo que las audiencias dé Sevilla y Granada y la El Sr. Calatwa : Na pensaba ver impugnado el. artículo de este universidad de Valladolid habian hecho algunas observaciones acerca modo ; no sé cual será la Opinión de las Cortes, pero á mí me parece de este attículo. que ningún artículo es mas justo que este, porque no hay…</t>
  </si>
  <si>
    <t>Calbo, Jaime Serrat</t>
  </si>
  <si>
    <t>Jaime Serrat Calbo</t>
  </si>
  <si>
    <t>…indefensión que puede resultar. Vinebra. Olot D. Bruno Bret, arcipreste de Ja colegiata de S. Juan de Art. 2.0 «Para el caso de enfermedad ú otro impedimento legíti las Abadesas. D. Jaime Serrat Calbo, abogado de Olot, diputado de mo de alguno ó algunos de los defensores durante el sustanciado de ¡a provincia. causa, se hará saber á los reos inmediatamente que se reciba esta reso Partido de Cuenca D. Cayetano Izquierdo. D. Josef Royo Cantos. lución , y sin…</t>
  </si>
  <si>
    <t>Calde, Manuel Flores</t>
  </si>
  <si>
    <t>Manuel Flores Calde</t>
  </si>
  <si>
    <t>…. Dionisio Solis, D. Felipe Bauza, D. Jcsef Marti, D. Josef Nuñez merecieron la confianza pública; pero no nos ha sido posible reunir la Arenas , D. Juan Ailonca, D. Juan Lasaña , D. Manuel Flores Calde lista completa de todos los compromisarios. Esperamos que tanto este rón , D. Mariano Lagasca, el marques de Pontejos, D. Pedro Castelló, punto como otros vayan siempre mejorándose , y que en adelante cui D. Pedro Gossens, D. Pedro Peironceli, D. Pedro Serran…</t>
  </si>
  <si>
    <t>Calderón</t>
  </si>
  <si>
    <t>…vilegios á unas provincias y á otras no, creyendo que todas debian han hecho de consejeros de Estado. disfrutar igualmente ios beneficios, y contribuir á las cargas del Estado. El Sr. Calderón manifestó estaba conforme con el dictamen de la __ La correspondencia y periódicos que ayer y anteayer recibimos comisión en cuanto á que se enviase papel sellado para letras de cam de las provincias no dejan de admirarnos al saber las ocurrencias que bio á l…</t>
  </si>
  <si>
    <t>…e; que por Ariano hay partidas; y de sus obligaciones, exigiéndoseles la responsabilidad si hubiese lugar. que por otros puntos no están muy seguros los opresores, quienes iban El Sr. Calderón, abundando ¿n las mismas ideas que el Sr. Ochoa, á enviar tropas á la Basilicata y /3 hombres á las Calabrias. Las tro manifestó que el Gobierno, aun cuando tuviese facultades para tomar pas que hay en Ñipóles no son suficientes, y continuaban llegando provid…</t>
  </si>
  <si>
    <t>…ermitirse la introducción, de grandes can A las-comisiones de Agricultura y Comercio reunidas se pasó otra tidades de pólvora en poblaciones, para evitar las. funestas conse-! del Sr. Calderón , relativa á que la medida adoptada, ó que se adoptare cuencias que pudiesen tener los descuidos ó mala intención de los.qus,. para la introducción y exportación de granos y harinas en la Penínsu-' la tuviesen. El Sr. Gasco-.volvió. á leer la, base .9. aproba…</t>
  </si>
  <si>
    <t>…arcelona , pidiendo la abolición, del derecho conocido con el ca de las minas. - ; : :. . . nombre de Cops, que se paga únicamente en aquella ciudad. Se aprobó otra indicación del Sr. Calderón, relativa á que la comi El Sr. Teran pidió que pasase este expediente á la comisión con ur sión ordinaria de Hacienda presentase á lá mayor brevedad el informe gencia, pues veia con dolor qué la legislatura estaba para concluirse, y sobre el uso de papel sell…</t>
  </si>
  <si>
    <t>…, administraciones de rentas provinciales, se podria hacer por la base de correspondientes á las cinco especies que se expresan en el artículo an-, población; á lo que contestó eL Sr. Calderón que era muy difícil hacer tenor, en las provincias de Castilla; el equivalente y catastro en la co este reparto con igualdad, puesto que muchos vecinos de :os pueblos rona de Aragón, y los arrendamientos de las mismas especies en las no consumían por menor, y…</t>
  </si>
  <si>
    <t>…stó que la segunda parte de este artículo no cusión se señaló el sábado próximo. guardaba armonía con los demas del pian que estaban aprobados por las Se aprobó una indicación del Sr. Calderón, relativa á que pasase á Cortes, pues en ellos se señalaban los cursos que debían ganarse para las comisiones de Agricultura y Comercio una representación de los obtener los grados, y ¡os años que se necesitaban para teología, le procuradores síndicos de los…</t>
  </si>
  <si>
    <t>…la provincia. Pero la comisión , previen tar; y por último que no se debía aprobar la de que se trataba. do este argumento, propuso á las Cortes en un artículo separado que to El Sr. Calderón apoyó el dictamen de la comisión, y demostró la das las provincias de las cuatro ciases fuesen iguales en prerogativas. No utilidad de las pequeñas provincias, en razón de que la ilustración es habiendo en esta parte ningún motivo de humillación ni desigualda…</t>
  </si>
  <si>
    <t>…¡■yes prohibitivas que han dado las Cortes no han dimanado del mis- aprobar el artículo que se discute. mi' espíritu que el de ¡as antiguas prohibiciones, pues que estas gravi- El Sr. Calderón manifestó qus el psrmitir entrar los géneros en los ¡nbnt sobre objetos de arbitrariedad. El voto particular del Sr. Desprat depósitos era lo mismo que abrir la puerta al contrabando, pues pu -one un peligro que no es tan remoto , puesto que tenemos á Gibralt…</t>
  </si>
  <si>
    <t>…González Salcedo. dad de los ciudadanos debían ser terminantes, se oponía á la apro bación de este artículo. - Ateneo español. El jueves 22 se verificará la apertura de la cáte El Sr. Calderón dijo que este proyecto de decreto perjudicaba á la dra de fisiología en el Ateneo español. Los señores que gusten matricu libertad de los ciudadanos , porque en el artículo siguiente se daba una larse acudirán á recoger las papeletas en el mismo -Ateneo desde…</t>
  </si>
  <si>
    <t>…nocer to ¡partirá la primera señal , y que la guardia imperial seguiría en sus das Jas casas de aquella calle. ¡acantonamientos___En este momento acabamos de recibir cartas del El Sr. Calderón contestó que si del sumario resultaban las sospe i c mercio, en las que se anuncia que las tropas rusas acantonadas en la chas contra una ó dos casas, no había duda de que debían visitaise; pe ¡Ukrania han r-cibido orden de dirigirse á marchas forzadas al Pru…</t>
  </si>
  <si>
    <t>…amos todo: Hagamos lo que podamos, y lo hare nombrado el Sr. Sierra Pambley para ¡a comisión de Hacienda , y el mos mejor. Por todas estas consideraciones, y no queriendo molestar Sr. Calderón para la del Código de procedimientos, en atención á ha mas la atención del Congreso, espero me permitirá que haga las siguien llarse enfermo el Sr. Ochca. te proposiciones: r.J que se suspenda la discusión presente hasta qué Las Cortes oyeron con satisfacción…</t>
  </si>
  <si>
    <t>…e, que es: » con finición que propone la comisión se repite una misma cósa, porque con mala intención.” la palabra mala Intención se entienden ya las de voluntariamente y á sa F.I Sr. Calderón , después de haber manifestado cual era el pumo de biendas. la cuestión , hizo algunas observaciones en favor del artículo. Pasando pues por alto otras razones, porque no quiero molestar al : Se suspendió esta discusión; y uno de los Sres. secretarlos leyó el…</t>
  </si>
  <si>
    <t>…mi raciocinio no puede, tener objeto algu Uraga , apoyando el artículo que la comisión había presentado. no. El art. 13 dice: » Son delincuentes ó culpables sujetos á ia respon El Sr. Calderón : Me parece que no puede aprobarse el artículo en sabilidad &amp;c.” ios térniinos que está redactado-, pues no creo que expresa lo mismo Se ve que no solp se refiere al delito, sino, también á la culpa. En que dijeron ayer los Sres. Calatrava y Vitorica. En efec…</t>
  </si>
  <si>
    <t>…ecretarios, y no á la diputación, como se ha practicado hasta aquí. Es la que se impondría al reo ocultado. ta novedad había producido, según decían , un gran descontento entre El Sr. Calderón dijo que aun podía rebajarse mas la pena, atendida los ultras^ mas declarados de la capital y de los departamentos. la diversidad de las culpas. El Sr. Calatrava contestó que la comisión creía que no debía reba CORTES EXTRAORDINARIAS DEL AÑO DE 1821. jarse ní…</t>
  </si>
  <si>
    <t>…eriódico francés que se imprime en Smir- encontraba que eran muy desproporcionados con ios de otras capitales. na, publica algunos pormenores de los desórdenes comeados en aque El Sr. Calderón contestó que era necesario tener presente la situa lla ciudad el 17 de Octubre por una cuadrilla de anarquistas, echados ción de las capitales para impugnar los sueldos, pues aunque en Búr de Escala Nova por sediciosos, Jos cuales, refugiándose en Smirna, qui…</t>
  </si>
  <si>
    <t>Calderón, Antonio</t>
  </si>
  <si>
    <t>Antonio Calderón</t>
  </si>
  <si>
    <t>…e unir á la ojeada militar los conocimientos que encierra este pequeño tra pendiente del partido de Aranda. tado para poder coleccionar con método los trabajos patríales que ellos D. Antonio Calderón, teniente que fue del regimiento de infante mismos o sus compañeros hayan egecutado^ge hallará de venta en rús ría de la Reina. tica á 16 rs. vn. en la librería de Dávila; en Valencia en la de Mom„ 15- Fernando Patango, teniente que fue del regimiento de infa…</t>
  </si>
  <si>
    <t>Calderón, Josef Ramos</t>
  </si>
  <si>
    <t>Josef Ramos Calderón</t>
  </si>
  <si>
    <t>…ho conocer los monumentos públicos, ¡as para la de Momblanch á D. Juan Francisco Alonso Caballe preciosidades y rarezas , el estado primitivo y engrandeci ro : para la de Falces á D. Josef Ramos Calderón: para la miento progresivo de esta ciudad inmensa , como también de Reus á p. Paulino de los Arcos: para la de Tortosa á los hombres que la han ilustrado. El Monthly Revienu re D. Francisco Javier Campa: para la de Tremp á D. Josef comienda la lectura1 de est…</t>
  </si>
  <si>
    <t>…ón de las bases, y no puede menos de En la provincia de Extremadura: para el juzgado de Valencia de poner en consideración del Congreso qüe ya tiene manifestadas en el Alcántara'á D. Josef Ramos Calderón ; y en la provincia de la Man discurso preliminar, y luego de palabra, las bases en que se ha apoyado cha para él partido de las Peñas de S. Pedro á D. Ramón Ramírez y para dár su informe. Hasta ahora no se ha presentado un solo reparo á Lombart. que nó haya…</t>
  </si>
  <si>
    <t>Calderón, Manuel Florez</t>
  </si>
  <si>
    <t>Manuel Florez Calderón</t>
  </si>
  <si>
    <t>…l párrafo del art. 98 del proyecto de los Sres. D. Lucas Meló, presbítero y catedrático de lógica en .Ma Constitución sobre la elección de presidente de la diputación perma drid : D. Manuel Florez Calderón, secretario de la dirección general nente de Cortes que se hallaba pendiente; y después de una1 larga dis de estudios : D. Manuel.Herrera Bustaínante, coronel de artillería: Don cusión se acordó que la diputación permanente eligiese su presidente; Antonio Mar…</t>
  </si>
  <si>
    <t>Calderón, Pedro</t>
  </si>
  <si>
    <t>Pedro Calderón</t>
  </si>
  <si>
    <t>…cada, y las nociones fundamen- Ferreras---- 3.-“ cuaderno. Hernán Cortés , Garcilaso de la Vega, tsics de tísica, química y mineralogía., con la arquitectura D. Alonso de Ercilla, D. Pedro Calderón d‘ la Barca; Aligueí civil y el dibujo; y por último, la topografía y geodesia y de Cervantes Saavedra y D. Joseí Patino.continuará') SUPLEMENTO</t>
  </si>
  <si>
    <t>Calderón-manifestó</t>
  </si>
  <si>
    <t>…a la Constitución tenia algunas excepciones particulares; una -dotó-^esde la palabra mas en adelante. de estas era la conservación del buen orden , que exigía no solo el po - -El" Sr. Calderón-manifestó que el objeto de este artículo no era mr» der registrarse un mesón, sino cualquiera otra casa, y que no solamente sino'favorecer al quéllevase guias; y ;que siendo una molestia consiihlo autorizaba la Constitución, sino que lo exigía por uña justa medida, ’ r…</t>
  </si>
  <si>
    <t>Calera, Juan</t>
  </si>
  <si>
    <t>Juan Calera</t>
  </si>
  <si>
    <t>…ular , porque aquella provincia abundaba en surá á su costa. grtos decidido» y enteramente afectos al nuevo sistema: que á la ver A la de Infracciones de Constitución pasó otra de D. Juan Calera, dad había actualmente en ella una gavilla de facciosos que perturbaba la cura párroco de S. Pedro de Murcia, en que se quejaba de ¡os procedi tranquilidad pública, pero que no se estaba fija en Ce punca, sino que mientos de aquel alcalde primero copstituci'…</t>
  </si>
  <si>
    <t>Calieron, Fulgccw.o</t>
  </si>
  <si>
    <t>Fulgccw.o Calieron</t>
  </si>
  <si>
    <t>…illos que habia preparada. El gel ae la (Suarda ; el tercero de ia bombarda .nuestra Sea. del Carmen, ayuntamiento volvió á su balcón, que estaba perfectamente adornado su cap.tan D. Fulgccw.o Calieron; el cuarto de la casa de observación</t>
  </si>
  <si>
    <t>Calítrava</t>
  </si>
  <si>
    <t>…v. del Infantado irá. á Leaanés ó sus inmediaciones á ponerse al frente - iDesjsues. de haber manifestado el Sr. Pajareadas, pruebas ¡tan conti- del batallón que se halla allí (él Sr. Calítrava dijo, que la comisión »uas,é idénticas .que hab an dado los individuos .del citado escuadrón debía, manifestar tenia datos mas que suficientes rara no dudar de ia de t-aitilleríacomo asiinisiho Ja- necesidad, ale--aumentar la,fuerza del -constante adhesión de…</t>
  </si>
  <si>
    <t>Calleja, Cándido</t>
  </si>
  <si>
    <t>Cándido Calleja</t>
  </si>
  <si>
    <t>…'), para que se le conceda un edificio que sión, especial. .. .. ......... antes pertenecía á la orden de S. Juan de Jerusalen y ahora al Crédito Se dió cuenta de una solicitud de D. Cándido Calleja, doctor en público., situado en aquella misma villa , el cual, presenta un monumen cirugía-médica, para que se le dispensasen seis meses-de clínica que le to apreciable de su antigua libertad. La villa.¿segura al mismo tiempo.al -faltan para ser examinado de…</t>
  </si>
  <si>
    <t>Calleja, Julián</t>
  </si>
  <si>
    <t>Julián Calleja</t>
  </si>
  <si>
    <t>…que prefijaban los límites Peñaranda á D. Manuel Martin Martin: para ei'de Morrtbeitran á Don que debia tener la provincia de Almería. Diego Cimeros Valencia: para el de Oropesa á D. Julián Calleja;- y El Sr. Diaz Morales presentó la siguiente proposición: » Pido que para el de Villafranca de Avila á D. Eugenio María Alvarez. las rectificaciones de límites de las provincias se pasen directamente á En la de la Mancha: para el juzgado de Almódovar del Cam…</t>
  </si>
  <si>
    <t>Calleja, Pedro Nolasco</t>
  </si>
  <si>
    <t>Pedro Nolasco Calleja</t>
  </si>
  <si>
    <t>…ndó pasar una exposición de be aprobó igualmente el de la comisión de Hacienda, relativo á la diputación provincial de las islas Baleares-, én que manifiesta el es la solicitud de D. Pedro Nolasco Calleja , monge que era del monaste tado miserable de los establecimientos de caridad de aquellas islas, y rio del Escorial , en que pedia se le concediese, una capellanía vacante hacé presentes las instancias de distintos ayuntamientos constitucionales en el pueblo…</t>
  </si>
  <si>
    <t>Cállela</t>
  </si>
  <si>
    <t>Sfes. Conde de Toreno, Latlave (D. Pablo), Martínez , Calatrava y Guerra- y Marina el general Cállela, y el propietario Parissi debía Ramos Arispe; y se levantó la sesión , citando para extraordinaria i acompañar al Príncipe, á campaña. las ocho de la noche, á fia de seguir id discusión del reglamento in Como meros rumores st tienen las noticias de la deserci…</t>
  </si>
  <si>
    <t>Callimachi</t>
  </si>
  <si>
    <t>…idad de hospodar. Se ignora el origen y ob jeto de ésta insurrección; aunque parece que se dirige á que no se veri Stuttgardt 2 y de Marzo. fique la instalación del nuevo hospodar príncipe Callimachi. Este asun Nuestra Cámara de los diputados ha dado punto á sus largas delibe to es de poca trascendencia , por mas que algunos digan Jo contrario. raciones acerca de la nueva organización de ¡os ayuntamientos. La ma __Escriben de Bruselas con fecha del 24 que…</t>
  </si>
  <si>
    <t>…cusión, en que ha Teodoro del modo que pudiesen. El .10 se anunció en Bucharest la lle blaron muchos señores diputados en favor y en contra coñ la maror gada de un comisionado del príncipe Callimachi con un encargo para energía y elocuencia; y por último se acordó que el Sr. Bordes Carel metropolitano. El 20 se verificó su arribo, y Teodoro mismo le neiro presentase por escrito en la sesión inmediata ios motivos dé acusa acompañó con una parte de sus trop…</t>
  </si>
  <si>
    <t>…l encargado de negocios de ¡Qué puede hacer la Puerta contra esta conmoción general? Se dice Turquía, al cual asistieron muchos extrangeros; / entre ellos varios que ha enviado al príncipe Callimachi y el cual dirigió de antemano una proclama conminatoria á los boyardos , en laque les anunciaba queiba ingleses. __La Puerta no tiene medios para reprimir la sublevación marítima de á salir al frente de 8o3 hombres, y pedia la cabeza de Wladimiresko. los hidr…</t>
  </si>
  <si>
    <t>…pe referencia á las últimas noticias de Bucharest que reina en aquella ciu riódicos, considerándola como parte integrante y necesaria de la liber dad una perfecta tranquilidad. El príncipe Callimachi, caimakan del nuevo hospodar , ha tomado las riendas del gobierno , y el beschi- tad de I4 imprenta. Por consiguiente dijo que debía suprimirse la censura como signo heschliaga el mando de la guarnición. __Hemos recibido noticias de Corfú que llegan hasta el…</t>
  </si>
  <si>
    <t>Calümachi</t>
  </si>
  <si>
    <t>…rados, dos ó tres veces.: : ‘ r : / Strogonoff, están: atestadas de gentes que se han refugiado en ellas; el .- .En fin di jo.el noble lord: un sistema mas liberal se adoptó en lu príncipe Calümachi, hospodar de Vakquia, ha sido decapitado por no gar de estas leyes inútilmente bárbaras. Una serie de. actos parlamenta haber dado' parte inmediatamente á la Puerta de la insurrección, y es rios derogó desde 1778 hasta 1793 todas esas leyes penales y restrict…</t>
  </si>
  <si>
    <t>Calver, Francisco Antonio</t>
  </si>
  <si>
    <t>Francisco Antonio Calver</t>
  </si>
  <si>
    <t>…de dicho término ante S. S. D. Fernando josef de Toledo y Corral y D. Pedro de la Puerta-=En la y escribanía citada; en inteligencia de que se admitirán con sujeción de Cataluña á D. Francisco Antonio Calver. al reglamento de las Cortes de g de Setiembre último y posteriores de cretos á pagar en créditos del Estado. . . VARIEDADES. El ayuntamiento constitucional déla villa de Aljete, distante cin co leguas de esta corte, ha señalado para el remate de la construcc…</t>
  </si>
  <si>
    <t>Calvo, Joséf</t>
  </si>
  <si>
    <t>Joséf Calvo</t>
  </si>
  <si>
    <t>…ha de verificar én dicha citar y emplazar nuevamente por término 'del ocho dias precisos ciudad de Valladolid, en cuyo término radican las fincas , esta se á D. Miguel de Corres, D. Joséf Calvo, D. Pántaleon Ruiz y déñalado para el dia 14 del - corriente. ■ mas últimos tenedores é interesados en cinco vales. Reales , los tres Una ribera cercada, compuesta de viñedo ; árboles frutales, un soto de 30b pesos; creación dé i.° de Setiembre de 1808 , seña…</t>
  </si>
  <si>
    <t>Calvo, Josef</t>
  </si>
  <si>
    <t>Josef Calvo</t>
  </si>
  <si>
    <t>…las causas pendientes A la de Legislación tres exposiciones, una de D. Joaquín Hidal sobre abusó de dicha libertad en Sevilla, remitida por la junta interi go de Cárdenas, otra de D. Josef Calvo , y otra de D. Josef Mendo na de libertad de imprenta , y una consulta de la misma acerca de lo za , solicitando permutación de estudios. acaecido en un sorteo de jueces de hecho. El Sr. presidente dijo que el Sr. secretario de la Gobernación de A la de organ…</t>
  </si>
  <si>
    <t>Calvo, Pedro</t>
  </si>
  <si>
    <t>Pedro Calvo</t>
  </si>
  <si>
    <t>…la 1 Idem 10. .... mas, cura párroco del Pino.. Sayago D. Tomás Calzada , cura párroco Las cartas de Viena de 25 de Octubre dicen que todas las que. se de Róelos.:Lugares del Vino D. Pedro Calvo, hacendado é individuo han rec bido de Macedonia confirman la victoria conseguida contra los de la diputación provincial. Villas del Pan D. Cayetano Ordas, secre turcos en lá batalla que se dió en Casandra. Ademas de estay la dePla- tario del ayuntamiento con…</t>
  </si>
  <si>
    <t>Calvo, Tomas</t>
  </si>
  <si>
    <t>Tomas Calvo</t>
  </si>
  <si>
    <t>…ste comentario en la misma librería, adelantan emplaza á ios parientes y demás personas que se consideren con derecho do 16 rs. á ios bienes que dejó al tiempo de su fallecimiento D. Tomas Calvo, nota. En la gaceta del dia 29, donde se habla de lo que dijo el se natural que fue de Fílloredo , en la provincia del Vierzo , jurisdicción ñor Rey sobre señoríos, después de la palabra Nación falta un no: el de Ponferrada, reino de León y obispado de Astorg…</t>
  </si>
  <si>
    <t>Calzada, Tomás</t>
  </si>
  <si>
    <t>Tomás Calzada</t>
  </si>
  <si>
    <t>…o de Argugillo. Lagares del Pan D. Luis Tadeo Ro Audc.” ... • " dríguez, cura párroco de Almaraz. Carbajales D- Juan Manuel Lla 1 Idem 10. .... mas, cura párroco del Pino.. Sayago D. Tomás Calzada , cura párroco Las cartas de Viena de 25 de Octubre dicen que todas las que. se de Róelos.:Lugares del Vino D. Pedro Calvo, hacendado é individuo han rec bido de Macedonia confirman la victoria conseguida contra los de la diputación provincial. Villas del Pan…</t>
  </si>
  <si>
    <t>Cam, Francisco Molinos del</t>
  </si>
  <si>
    <t>Francisco Molinos del Cam</t>
  </si>
  <si>
    <t>…do ; y la junta se lisonjea de que sus activas providencias, instalación. no tan solo han aislado el contagio en caso de existir, sino que lo han Se dió cuenta de una solicitud de D. Francisco Molinos del Cam extinguido: nuevos casos son necesarios para alterar el perfecto estado po, diputado por la provincia de Méjico, relativa á que respecto de de salud que goza esta población por la divina misericordia; y en este que está enfermo por no probarle este clima, y á…</t>
  </si>
  <si>
    <t>Camarena, Juan Pablo Muñoz</t>
  </si>
  <si>
    <t>Juan Pablo Muñoz Camarena</t>
  </si>
  <si>
    <t>…el espíritu, ó bellezas y maravillas de la naturaleza y Cortes; pues con arreglo á esto se ha de proveer. del arte.” De esta obra, escrita en forma de diálogos, ó mas Se desea que D. Juan Pablo Muñoz Camarena, abogado bien de conversaciones familiares", se está haciendo actual qnefue de los consejos suprimidos, ó sus hermanos y sobrinos, mente la octava edición. Siguió á esta Leisure llours. casó de que haya muerto, acudan al portero mayor de la com «Momentos de o…</t>
  </si>
  <si>
    <t>Cámaro, Borges</t>
  </si>
  <si>
    <t>Borges Cámaro</t>
  </si>
  <si>
    <t>…psilanti. El kiaja de Silistria , que se las obligaciones del hombre, que no era necesario prevenirlas; fiero el halla aquí, pasó inmediatamente orden al Bsch-Beschli-Tahir-Ag4 pa Sr. Borges Cámaro defendió el artículo con el egemplo de la Consti-</t>
  </si>
  <si>
    <t>Camello</t>
  </si>
  <si>
    <t>…e se entonase la canción nacional, en la que tomaron par en lugar de 100 diputados hubiese 130 ó mas. te los espectadores, y se concluyó la fiesta con repetidas voces de viva ^ E1 Sr. Camello,Fortes apoyó el proyecto dei Sr. Pinheiro Aceveel Rey. do, demostrando que era necesario hubiese un cuerpo que sirviese de V RANCIA. equilibrio entre el poder legislativo y el egecutivo. El Sr. Guerreiro , entre otras varias cosas, dijo que veia se trataba de…</t>
  </si>
  <si>
    <t>Camino, Francisco</t>
  </si>
  <si>
    <t>Francisco Camino</t>
  </si>
  <si>
    <t>Una de D. Francisco Camino , vecino de Toro , en que Jrace pre na supo esta variación dijo al Rey, :cot.c permites que los diputados sente que’ aquel alcalde constitucional carece de ¡as circunstancias de de Valencia te hablen de esta manera: á ser con m; hermano ios hu vecindario de c…</t>
  </si>
  <si>
    <t>Camino, León González del</t>
  </si>
  <si>
    <t>León González del Camino</t>
  </si>
  <si>
    <t>…Peñafiel, González Allende, D. Rafael Larraz: para el de Cantavieja á D. Pedro Lapuente: para el Cabrero, Lobato, Banquerí, Cabaleri ,'Gd de Linares, Crespo Canto- de Calaicete á D. León González del Camino: para el de Caspe á Don lla , Cantero , San Aliguel, Ezpeieta , Casaseca, Moya , Castañedo, Su- Mateo Cortés Zalon: para el de Tamarite á D. Josel Queraltó: para el brré , Navas , Lorenzana , Martínez, Yandiolá, Novoa , Gareli, G¡- •de Benavarre á D. joaquin…</t>
  </si>
  <si>
    <t>Cammañ, Anastasia</t>
  </si>
  <si>
    <t>Anastasia Cammañ</t>
  </si>
  <si>
    <t>…iller en leyes, para que se le habiliten los años de práctica que tu ' El de ia de Hacienda , relativo á la solicitud de D. Juan Félix Ro vo antes de recibir aquel grado : otra de D. Anastasia Cammañ, soli driguez , en la que manifestando lo mucho que habia sufrido por su citando dispensa de edad para recibirse de médico: otra de D. Pedro ffdh.sion al sistema constitucional, pedia se le proporcionase una coloca de la Cuesta, para que se le consideren como…</t>
  </si>
  <si>
    <t>Campa, Francisco Javier</t>
  </si>
  <si>
    <t>Francisco Javier Campa</t>
  </si>
  <si>
    <t>…ón: para la miento progresivo de esta ciudad inmensa , como también de Reus á p. Paulino de los Arcos: para la de Tortosa á los hombres que la han ilustrado. El Monthly Revienu re D. Francisco Javier Campa: para la de Tremp á D. Josef comienda la lectura1 de esta obra. «Sin duda, dice, ha pre Antonio Jordana : para la de Villafranca á D. Salvador Ar- sidido un buen talento á la colección de los materiales que naldo y Segarra: para la de Igualada á D. Gregorio S…</t>
  </si>
  <si>
    <t>…ndicación del Sr. Priego, aprobada en Ja sesión de 2 1 del corriente. agregados al egército y supernumerarios', atendidas las circunstancias Se concedió el permiso que solicitaban D. Francisco Javier Campa, de adhesión conocida al sistema constitucional y aptitud, prefiriendo juez electo de primera instancia del partido de lortosa, y D. Luis la antigüedad solo en los casos de igualdad de circunstancias.” López, que lo es del partido de Cantoria, en la provincia…</t>
  </si>
  <si>
    <t>Campana</t>
  </si>
  <si>
    <t>…n nor conato de resistencia ó insubordinación. Este incidente, y el de ha 20,000 rs., ó en su delecto créditos sin -ínteres contra el Estado, para berse interceptado una carta del general Campana , que hoy se halla en poderlos emplear en compra de fincas. estrecha incomunicación, y sobre la cual se procede con arreglo á la Lo mismo se hizo con un recurso hecho al Gobierno por la junta ley, dieron margen á redoblar la.vigilancia, de modo que se eludies…</t>
  </si>
  <si>
    <t>…s, se lograran los felices resultados de un acusan. En el incidente que dió motivo á privar de comunicación al Gobierno representativo sólidamente constituido, en el cual á benefi general Campana, por las somechas que habia relativas á su conducta cio de una influencia recíproca y bien entendida de los poderes que política en el depósito de S. Fernando , manifestó el coronel fiscal de constituyen la soberanía, se estableciesen sólidamente las bases de…</t>
  </si>
  <si>
    <t>Campana, Josef Ignacio Alvarez</t>
  </si>
  <si>
    <t>Josef Ignacio Alvarez Campana</t>
  </si>
  <si>
    <t>…anos un trabajo proporcionado á las.fuerzas y capacidad ¿j rios que desempeñó en Sevilla en los años de 1808 y 1809 el maris cada uno, que le asegure su subsistencia. cal de campo D. Josef Ignacio Alvarez Campana, para que con pre Por rico que sea un Estado no es posible que entre tantos ramos sencia de los créditos dados por este, que deberán exhibir ios interesa de industria y de comercio no haya alguno que decaiga, y cuyos opera, dos porlsí ó por medio de sus apode…</t>
  </si>
  <si>
    <t>Campbell, Niell</t>
  </si>
  <si>
    <t>Niell Campbell</t>
  </si>
  <si>
    <t>…de sangrienta si consigue fanatizar al pueblo musulmán. El resultado de D. Manuel Ruiz de la Prada. Córdoba. estas negociaciones se ignora todavía; y aunque se esperaba tiempo ha, D. Niell Campbell, de Paris. Sres. Llano y Echavarri, de Barbasta ahora la mayor parte de los políticos se han engañado en sus cál D. Marcial Francisco del Adalid é celona. . culos. Tanto es lo que cuesta tomar una resolución, cuando se trata de hijos, de Ja Coruña. Sres. Mier…</t>
  </si>
  <si>
    <t>Campillo, Fermin</t>
  </si>
  <si>
    <t>Fermin Campillo</t>
  </si>
  <si>
    <t>…en este intermedio, haya conoci vencer ó perecer defendiendo la libertad. do en causas de esta naturaleza , llamadas de Estado , se entienda que A la de Hacienda una exposición de D. Fermin Campillo, en que por el mismo hecho renunció su empleo de consejero de EstadoScc.” manifestaba los muchos perjuicios que se seguian de las contratas par Observaba en el dia que el general D. Francisco Javier de Castaños, ticulares que se han hecho sobre la elaboración…</t>
  </si>
  <si>
    <t>Campillo, Joscf Alvarez</t>
  </si>
  <si>
    <t>Joscf Alvarez Campillo</t>
  </si>
  <si>
    <t>…a imputado , cuando estos fueren con A la comisión segunda de Legislación sé mandó pasar una exposi tra el Estado , ó cuando fueren abusos de autoridad cometidos por algún ción de D. Joscf Alvarez Campillo , relativa á habilitación de estudios. empleado público, ó en los casos en que los hechos imputados estu A las de Instrucción pública y Hacienda una exposición del Sr. mi vieren probados por juicio anterior, estará libre de pena.” nistro de la Gobernación de…</t>
  </si>
  <si>
    <t>Campillo, Manuel Alvarez</t>
  </si>
  <si>
    <t>Manuel Alvarez Campillo</t>
  </si>
  <si>
    <t>…el capitulante se del expediente instruido á instancia de los bachilleres en leyes de la uni obligue á presentar en calidad de pobladores de cada una á lo menos versidad de Oviedo D. Manuel Alvarez Campillo, D. Manuel Alon familias, esto es , 25 matrimonios de hombres libres. La diputación so Cueilas, D. Ignacio Suarez y O. Meliron S. Juan, que solicitaban se provincial respectiva señalará al capitulante un término perentorio, declarase si en el presente año deb…</t>
  </si>
  <si>
    <t>Campis, Ascensión</t>
  </si>
  <si>
    <t>Ascensión Campis</t>
  </si>
  <si>
    <t>…Don Feigueiras, y suplentes los Sres. Miranda y Pinto Magalhaes; y el se- Cayetano Valdés; D, Rafael Bernabeu y D. Juan Bautista Risa ñbr ¡presidente levantó la sesión. En dijoña: D. Ascensión Campis, alcalde primero constitucional de Elche *, D. Josef Soler y Garrigos, id. de Gijona, y D. Pascual Juan NOTICIAS DE ESPAÑA. y Servent, vecino de Onili__En Denla: D. Joaquin Abargues, de Benisa; D. Josef Ciscar, de Gandía, y D. Pablo-Sala , de Denla. f-'u ' Ea…</t>
  </si>
  <si>
    <t>Campmany, Salvador</t>
  </si>
  <si>
    <t>Salvador Campmany</t>
  </si>
  <si>
    <t>…acordó que capitán D. Juan Sans, de Sitges. El enfermo del bergantín Tallapiedra se diesen las gracias á los individuos de dicha junta por un proceder sigue con mejoría. El médico D. Salvador Campmany designa 2 enfer tan constitucional. mos de los existentes como acometidos de enfermedades estacionarias El Sr. Miranda leyó el dictamen de la comisión de Artes, después ó comunes, quedando por consiguiente trece invadidos de la enferme- * de oídos los de las…</t>
  </si>
  <si>
    <t>Gaceta de Madrid n.º 240</t>
  </si>
  <si>
    <t>…s, sus áyuntamientos lasistencia de los enfermos. A esta indicación del Sr. Reináis, toman son los que deben cuidar directa é inmediatamente de tales gastes y do Já palabra el D/. D. Salvador Campmany, ofrecióse generosamente negocios, sin que los jueces ó las audiencias tomen en ellos intervención á pasar al lazareto para acudir al socorro de los dolientes, y contribuir alguna'; antes deben dejar absolutamente ¡a qué hubieren ténido en el también en cuant…</t>
  </si>
  <si>
    <t>Campmany, Sálvadot</t>
  </si>
  <si>
    <t>Sálvadot Campmany</t>
  </si>
  <si>
    <t>…funciones qué dad con sólo unirlo con acción tari filantrópica. A continuación ss' las de juzgar, y hacer que se egécute lo juzgado. Asi pues ha sido for dispuso que el citado Dr. D. Sálvadot Campmany se trasladase al laza zoso separar en dichos presupuestos particulares el importe de estos ar reto con la prontitud posible, y concluyéron con esto por aquel dia tículos de lós sueldos y gastos que comprenden, aunque por venir e:t los trabajos de la junta mun…</t>
  </si>
  <si>
    <t>Campo, Francisco Javier</t>
  </si>
  <si>
    <t>Francisco Javier Campo</t>
  </si>
  <si>
    <t>…s de sen Por renuncia que hg hecho de la plaza de juez de primera instancia cillez y sublimidad se hacen admirar mas y mas de dia en día, á pe de la ciudad de Tortosa y su partido D. Francisco Javier Campo , ha sar de Jos esfuerzos de una nueva escuela, que querría desterrar lo her acordado el consejo de Estado se reciban memoriales de los preten moso y verdadero, sustituyendo en su lugar la hinchazón y la pondera dientes que se consideren con las circunstancia…</t>
  </si>
  <si>
    <t>Campo, Francisco Molinos del</t>
  </si>
  <si>
    <t>Francisco Molinos del Campo</t>
  </si>
  <si>
    <t>…nte la autoridad militar debía tener A la comisión de Poderes se mandaron pasar los presentados por aquellas facultades que eran absolutamente necesarias para evitar loi los Sres. D. Francisco Molinos del Campo y D. Manuel Gómez Pedra- perjuicios que pudieran resultar. za , diputados electos por la provincia de México. El Sr. Calatrava manifestó que había otra clase de personas que A la especial de Hacienda se mandó pasar una exposición de la dando armas, víveres &amp;c. al egército enem…</t>
  </si>
  <si>
    <t>…otros cualesquie El de la comisión de Poderes ¿ relativo á que podían aprobarse lo ra individuos de ayuntamiento , &lt;&gt; personas que egerzm cargo público, presentados por los Sres. D. Francisco Molinos del Campo y D. Ma y se hayan reunido á los sediciosos: 6." á los eclesiástico, seculares ó nuel Gómez Pedruza, diputados por la provincia de México* por estar regulares que se hallen alistados en las partidas, ó reunido voluntaria conformes á lo prevenido en la Constitución; m…</t>
  </si>
  <si>
    <t>Campo, Pedro García</t>
  </si>
  <si>
    <t>Pedro García Campo</t>
  </si>
  <si>
    <t>164</t>
  </si>
  <si>
    <t>…e llaman la Corredera , su cabida de 2 fanegas , 6 tiembre de 1807, núm. 187,122; presentados á renovación celemines de buena calidad y regadío, en 98-jo rs. con endoso á favor de D. Pedro García Campo, á quien Otro prado á dicho sitio de ¡a Corredera , cercado de ta se hace saber, y demás personas que puedan tener derecho á pia , de x 1 fanegas de sembradura , en 3 t ,300 rs. los mismos vales , para que dentro de 1, dias, contados desde Otro prado^cevcado…</t>
  </si>
  <si>
    <t>Campos, Isidro</t>
  </si>
  <si>
    <t>Isidro Campos</t>
  </si>
  <si>
    <t>…. Trifon Estor, en 2656 rs. y 8 mrs. Otro trozó ae tierra riego moreral, en el partido de la VARIEDADES. Era alta, stí cabida 2 tahullas, una ochava y 20 brazas, lin da con las de D. Isidro Campos , D. Fernando Perez y Sobre la propagación de la Biblia. Doña Josefa Salinas, en 601 i rs. y 23 mrs. En el año de 1804 se formó en Londres una sociedad Otra porción de tierra con ün cuerpécito de casa, en el con el objeto de extender y propagar la Biblia por…</t>
  </si>
  <si>
    <t>Campos, Manuel Antonio de</t>
  </si>
  <si>
    <t>Manuel Antonio de Campos</t>
  </si>
  <si>
    <t>…cuartillos, en venta 1500 rs., y en renta prorogable término de 30 dias, contados desde 15 del corriente, á 6 ferrados de trigo__ E11 la veiga de Langareia 2 ferrados y 17 cuarti D. Manuel Antonio de Campos, contador de dicho monte pío, que llos de tierra , en venta 1375 rs., y en renta 5 ferrados y medio de tri vive calle del Príncipe, casa núm. 9 y 10, los jueves de cada semana, go—En id. 2 ferrados y 5 cuartillos, en venta 1250 rs-, y en renta de 10 á 12 de l…</t>
  </si>
  <si>
    <t>Campos, Manuel María</t>
  </si>
  <si>
    <t>Manuel María Campos</t>
  </si>
  <si>
    <t>…l de Justicia, se ha ser vido acordar en su vista por providencia de primero del corriente que ARTICULO DE OFICIO. para su debida sustanciacion , mediante ignorarse el paradero de Don Manuel María Campos , contador interino que fue de dichas rentas en Circular del ministerio de la Gobernación de la Península. la mencionada villa de Marchena , se le cite y emplace por medio de En 12 de Octubre último se comunicó una circular para que las los papeles públicos d…</t>
  </si>
  <si>
    <t>Campoy, Diego García y</t>
  </si>
  <si>
    <t>Diego García y Campoy</t>
  </si>
  <si>
    <t>Gaceta del Gobierno n.º 10</t>
  </si>
  <si>
    <t>…ben conocer de las que ocurran ; y segunda , de aquellas do gusten recogerla acudan á la imprenta especial de las Cortes que se siguen á individuos que conservan el fuero de Ma de D. Diego García y Campoy, abonando en esta corte 140 rs., rina ; acerca de lo cual quiere S. M. oír previamente la opi y fuera será otro precio. En la misma imprénta se vende el re nión del tribunal especial de Guerra y Marina, que se le glamento del resguardo de Hacienda á 8 rs. MAD…</t>
  </si>
  <si>
    <t>Camps, Antonio</t>
  </si>
  <si>
    <t>Antonio Camps</t>
  </si>
  <si>
    <t>…tas calzados, el de capuchinos, el de míni la introducción de un betún para botas y zapatos; y 3.a A favor de mos y el de agustinos descalzos: en Calatuyud el de carmelitas descal D. Antonio Camps, vecino de Tarragona, por Ja introducción de una zos , el de dominicos, el de mercenarios, el de franciscos y el de agus máquina para la fermentación cerrada del vino. rrAndres de Moya Lutinos descalzos: en Huesea el de carmelitas descalzos, el de dominicos,…</t>
  </si>
  <si>
    <t>Camps, Pedro</t>
  </si>
  <si>
    <t>Pedro Camps</t>
  </si>
  <si>
    <t>…resulte del proceso, á satisfacción Anguera y Riera. Granollers D. Josef Valionesta, abogado. La Bis- del mismo fiscal y de los defensores.- y en este trabajo invertirán a io bal D. Pedro Camps. Seo de Urgel D. Mateo Estany. Tremo D. An menos ocho horas cada dia, poniendo diligencias que lo acrediten , co tonio de Monner, hacendado de Itona. Balaguer D- Ramón de Sisear mo también si faltaren alguno ó algunos en las horas señaladas, sin que y de Cald…</t>
  </si>
  <si>
    <t>Campuzano, Bernardo</t>
  </si>
  <si>
    <t>Bernardo Campuzano</t>
  </si>
  <si>
    <t>…o, linda coñ en. 1685 rs* y 19 mrs, la dé Doña Dolores Navarro y Alarcon , con dicha plazue Un pedazo dé tierra inculto , bajo los mismos linderos, la , con la de los herederos de D. Bernardo Campuzano y éñ él mismo partido, plantado de olivar nuevo, con 94 de la Frenería, en 78,843 rs. pies , sil cabida dé 7 táhullas , én 560 rs. Otra casa calle.de Victorio, nútn. 24, linda con otra Una hacienda de oíivar secano , en las cañadas de S. Pe de la extinguida I…</t>
  </si>
  <si>
    <t>Camus</t>
  </si>
  <si>
    <t>…on.de la.Península la Real orden siguiente: bo lugar á votar. » He hecho presente al Rey el arreglo d; conventos de ia provin No se admitió á discusión la siguiente indicación del Sr. Camus cia de Jaén, que el gefe político de ella ha formado en cumplimiento Herrera : » Que se supriman en el dictamen de la comisión del presu de la ley de 25 de Octubre de 1820, de acuerdo con el R. obispo de puesto del año económico de 21 á 21, tratándose de Ultr…</t>
  </si>
  <si>
    <t>Cán, Luis</t>
  </si>
  <si>
    <t>Luis Cán</t>
  </si>
  <si>
    <t>…e Segovía los conven yese á todos los expatríados ó sentenciados por opiniones tos de Dominicos y de S. Francisco, por concurrir en ellos políticas, como por egemplo , al teniente coronel Luis Cán las circunstancias que exige ¡a ley: deben suprimirse los de dido , que se hallaba degradado por haber querido hacer á la la Merced cabada, del Carmen calzado , S. Francisco de patria el beneficio qüe le estaban haciendo ahora ios dipu Paula, S. Agustín, Trin…</t>
  </si>
  <si>
    <t>Cana-, Ramón</t>
  </si>
  <si>
    <t>Ramón Cana-</t>
  </si>
  <si>
    <t>…Eugenio Lopez.zzD. Josef Percz.=D. Luis Zueco. = D.. Vicente El Sr. Rovira manifestó que la comisión, después de haber oido al Pastor. zzD. Valentín Jope. ~ D■ Ignacio Flesas. zz D. Ramón Cana- gunas observaciones hechas por diferentes oficiales del cuerpo de mari les. = D. Joaquín Pérez. zzD. loo Oliyer.zzD. Tomas Perez.zzDon na , creia conveniente retirar los arts. 109, 110 &amp;c. hasta el 121 in Dionisio Larrosa. = D. Pedro Aznar.ez:Di Manuel Vallen…</t>
  </si>
  <si>
    <t>Cañaba</t>
  </si>
  <si>
    <t>Til Sr. Cañaba! dijo que e'n la legislatura pasada se dió una idea muy 'Mientras ¡os señores de la comisión no me digan de qué modo podrá imperfecta de estas sociedades, pues hasta ¡¡ciaron á presentallas como cortar el presidente los excesos, y evitarse lasxonsecu nc'as qu…</t>
  </si>
  <si>
    <t>…a asi: » Del resultado de estas revistas el Gobierno considere necesario otras lo propondrá á las,Cortes.” anuales, y de las faltas que observe en los cuerpos ¿1 comandante ge- El Sr. Cañaba! hizo presente que seria mas útil para el erario el que neral de cualquier distrito , en virtud.de las facultadade* que se le con la fabricación sé hiciese por cuenta de particulares, comprando estos ceden por el articulo 17, se dará noticia al secretario del…</t>
  </si>
  <si>
    <t>Canabal</t>
  </si>
  <si>
    <t>3°4 ciudadanos.s:El diputado conde de Villar de Fuente.=E1 diputado por 70: 17 el Sr. Ochoa por 62: 18 «1 Sr. Canabal por ya: 19 el se teniente de navio de .la. «Tinada. -nacional Dionisio Capaz, na El secre ñor Lasañta por Ó4; y 20 el:Sr. Rey,'por:62. tario «de la diputación»Tnédico de cámara-déFi.íM., Hipólito Unaniié,” • "■ Sé leyó-un oficio del-Sr. encargado de-ía -secre…</t>
  </si>
  <si>
    <t>…caso., imprimiéndose la-, mas de ocho dias , el interesado lo expondrá a las Cortes para obtener esquelas de costumbre á nombre del mismo presidente. . \e Se leyó una adición-del Sr. Canabal al art,,(5o,,.que decia: „ Enten su permiso. _ _ , 51. S¡ algún diputado pidiese licencia para ausentarse, deberá ex diéndose, con respecto á. l.os diputados de. Ultramar , que practicadas las, poner por escrito los motivos, y señalara el tiempo que necesite,…</t>
  </si>
  <si>
    <t>…ste proyecto de ley, y me parece. estamos en profieren palabras fuera del orden en cualquiera otro parage. el caso que ha indicado el Sr. presidente; a saber, que dentro de cua El Sr. Canabal apoyó el discurso del Sr. Zapata, añadiendo que tro dias se lea por tercera vez, señalándose después el de su discusión. no habia motivo para que dejasen de seguirse los juicios por los trámi En este tiempo se podrá imprimir y repartir, y una vez empezada su…</t>
  </si>
  <si>
    <t>…actual de Legisla franceses, el cual recomienda en otra exposición el encargado del mi ción, encargada de examinar este exped ente, acerca de la indicación nisterio de Estado. dei Sr. Canabal al art. g.1’ para que se añadiese después de las palabras A la comisión de Instrucción pública con urgencia una exposición escrito las de que no este impreso. La comisión opinaba que para la ma del R- obispo dr Guadalajara, remitida por el Sr. secretario de l…</t>
  </si>
  <si>
    <t>…y competencias entre Ios-tribunales civiles y militares. comisión. . .-•■ i'. -y ■: : . \ El Sr. Romero Alpuente..deshizo: una equivocación que el señor - Leído el art. 15 dijo el Sr. Canabal debería decirse que los jueces" preopinante había padecidgLen la.inteligencia de dicho artículo. se podrían valer de cualquier: escribano Real ó numerario del partido , El Sr. Puigblanch, apoyando en parte la opinión del Sr- Traver,- para que actúe en el suma…</t>
  </si>
  <si>
    <t>…as palabras milicia nacional, añádase provincial ó local.” sol ver que subsistan en la ciudad de Cuenca el convento de - menores Se mandó pasar á la misma comisión una adición del Sr. Canabal observantes, el de S." Francisco y el de carmelitas descalzos , con tal de al artículo 4.0, que decia asi: „ Después de la palabra asistirán , añáda que en estos dos últimos se complete el número de los 24 religiosos se por mitad.” ' : . . . que previene la l…</t>
  </si>
  <si>
    <t>…exposición del intendente de Má El Sr. Sierra Pambley dijo: En cuanto al segundo proyecto que ha. laga que me dirige V.'E. en 3 del corriente, en que manifiesta que no indicado el Sr. Canabal; á saber : que el Gobierno reparta el tabaco se lia podido acuartelar la tropa del resguardo militar por falta de edi para su elaboración en las fábricas particulares, lo mismo que hacen ficio proporcionado, sin cuya circunstancia es muy difícil su perfecta l…</t>
  </si>
  <si>
    <t>Canabal, Eusebío María</t>
  </si>
  <si>
    <t>Eusebío María Canabal</t>
  </si>
  <si>
    <t>…rnaban en otro tiempo Michelena, por la de Nueva-España. 2.°La sala de segunda instancia la la catedral de S., Bavor en Gante. Ha dado.por. ellos too,óoo fran compondrán los Sres. D. Eusebío María Canabal , diputado por la pro cos, cuando estas obras maestras habían sido vendidas en otro tiempo vincia de Sta. Fe; D. Martin deHinojosa, por la de Salamanca; Don á Mr. de Nieuwenhuicen por la módica suma tfc.79. Manuel Benito Lorenzana, por la de Galicia; D. Anton…</t>
  </si>
  <si>
    <t>Canales, Antonio</t>
  </si>
  <si>
    <t>Antonio Canales</t>
  </si>
  <si>
    <t>…ición del Sr. Navas al art. 2.J, aprobado ya El de la comisión ordinaria de Hacienda, acerca de la instancia de por las Cortes, del dictamen de la comisión de Legislación sobie se D. Antonio Canales, vecino del Carpió, en la provincia de Córdoba, ñoríos. » Que después de la palabra títulos se añada ú otras pruebas le para que se le perdonase una pequeña cantidad que adeudaba á la Ha gales.” cienda pública. La comisión , observando que continuamente se oc…</t>
  </si>
  <si>
    <t>Canci</t>
  </si>
  <si>
    <t>…por lord Sidmouth , al que asistieron los lores Liverpool, - Según las éltimes cartas recibidas de Petersburgo , lord Strang- Harrowby , Westmorelandt, Londonderry y Melville , el lord Canci ford, que tiene grande influencia en el divan, ha pasado al conde de Nes-' ller , el canciller del echiquier y Mr. Robicson: duró hasta las cuatro SL-lrode por medio de los agentes diplomáticos ingleses residentes en y media. ’ ' &gt; 'i aquella corte una-memori…</t>
  </si>
  <si>
    <t>Candela, Francisco</t>
  </si>
  <si>
    <t>Francisco Candela</t>
  </si>
  <si>
    <t>…umos municaros, según los partes.dados á la junra municipal de Aguilas par. ■ y rayos tan terribles. El Rey padre poco antes de morir dió muy pru los facultativos de aquélla villa D. Francisco Candela y D. Josef León dentes consejos al Príncipe heredero para el buen gobierno del reino. López, que existen-cn su pueblo y campo 18 enfermos á quienes han 1." Que nada hiciese, sin el consejo de un gran mandarín eunuco, hom graduado de padecer la fiebre amarilla , cuya noticia…</t>
  </si>
  <si>
    <t>Cañedo</t>
  </si>
  <si>
    <t>…ntes que hubiera significan las palabras últimas de su discurso : 2.0 que Jos .secretario* ocurrido. . 1 del Despacho comparezcan en el Congreso; .y'3.0 que se obligue , á las lil Sr. Cañedo tomó la palabra, y después de haber hecho.una dis .autoridades de Madrid á dar un. manifiesto á; las Cortes de cuánto tinción entre los tres poderes, dijo no encontraba inconveniente, algur tenga relación con los ultrajes hechos al Rey. . .. ..sobre eshcpunto…</t>
  </si>
  <si>
    <t>…-de las provincias da á los Gefes políticos El Sr. Tóreno apoyó la proposición del Sr. preopinante, ............ C facultad de conocer gubernativamente sobre los dudas que ocurran Sr. Cañedo fue¡ de dictamen,que no era esencial se,,hici,era eí en Jas ^lecciones, no,por eso les concede la de suspender á los posesio-.El nombramiento de los Sres. consejeros de Estado al principio de la le nadq^.en eL ayuntamiento. Los cuerpos administrativos, dijo,…</t>
  </si>
  <si>
    <t>…goza de Ja ilustración publica, se mandó imprimir por separado. una situación hermosa y temperamento saludable: dista de Madrid xo Se mandó agregar al acta un voto particular del Sr. Cañedo, con leguas, g de Toledo y 9 de Talavtra. El salario es de 89 rs. anuales, y trario á la resolución tomada sobre la indicación del.Sr. Romero Al- 250 mas que se le dan pira ayuda de la renta d: la casa , cobrados por p’.irnte , relatir a al nombramiento de la…</t>
  </si>
  <si>
    <t>…s con fecha de 17 del actual me dice lo siguiente: señores que disfrutaban señoríos territoriales y solariegos. „Habiendo dado parte el Gefe político de I-eon queá consecuencia El Sr. Cañedo dijo, que después de haber considerado las oportu de la marcha que hace algún tiempo emprendieron las compañías de nas reflexiones hechas por los Sres. López (D. Marcial), Rey, Ciscar granaderos y cazadores de aquel regimiento provincial , se habian susci y M…</t>
  </si>
  <si>
    <t>…acto ben El Sr. presidente mandó continuase la discusión sobre señoríos, pa dijo la bandera el R. Sr. obispo ; quien sin embargo de haber predica ra lo cual concedió la palabra al Sr. Cañedo; quien dijo, que presu do el evangelio del dia, subió segunda vez al púlpito, y pronunció miendo no tendría la palabra para aquel dia, no iba prevenido; pero un discurso análogo, lleno de energía y de verdad, y de amor hácia el sin embargo, por haberse hablad…</t>
  </si>
  <si>
    <t>Gaceta de Madrid n.º 97</t>
  </si>
  <si>
    <t>…en los llamados señore; sobre dichos pueblos era muy distinto del que tra el alcalde constitucional Pablo González , por sus procedimientos tiene la nación en las Américas (que el Sr. Cañedo supone igual), en las elecciones de ayuntamiento. pues estas eran en mucha parte terrenos íncubos, y á ningún pueblo ó A la encargada de presentar medidas para la seguridad pública una particular se ha quitado su propiedad, conservándose aun la nobleza exposi…</t>
  </si>
  <si>
    <t>…voto contrario del Sr. Magarinos á la resolución de las Cortes dado acerca de los acontecimientos del Piámoñte , la parcialidáa y exa del dia anterior acerca de la indicacion del Sr. Cañedo. geración con que el ministro de Hacienda había dado al síndico de los A las ■'comisiones ordinaria y especial de Hacienda con urgencia corredores la noticia del combate deRieti, y en fin su aversión 'decla se mandaron pasar seis expedientes', remitidos por e…</t>
  </si>
  <si>
    <t>…el regimiento de caballería del Rey, primero ligero: cepto que el de una reunión particular de ciudadanos.” las Cortes la recibieron con agrado,y mandaron se hiciera mención en El Sr. Cañedo hizo la siguiente indicación: « Pido á las Cortes que la gaceta la discusión del proyecto de decreto sobre sociedades patrióticas no Las Cortes quedaron enteradas de un oficio del Sr. secretario deí pueda cerrarse basta que hayan hablado á lo menos tres diput…</t>
  </si>
  <si>
    <t>…ros votos sean conformes al objeto que nos hemos pro que exclusivamente puedan tratar de las cosas del Estado; convengo puesto, que es el de asegurar el bien de la Nación! Dice el Sr. Cañedo que que hay cierta clase de gentes que carecen dal derecho da ciudadano, hay libertad de imprenta. Es verdad ; ;pero todos están en el caso de usar V puedan ser perjudiciales á estas reuniones: pero hay también mu de esta facultad! Yo advierto que los mal ave…</t>
  </si>
  <si>
    <t>…* Guio Manuel. = Calatrava. = Vadillo.S:Romero Alpuente. = ICcy.cz prevenía. 1 Martinez de la Rosa; =Garelí. Declarado este artículo suficientemente discutido, se procedió á su El Sr. Cañedo dijo que habiendo examinado este proyecto de ley y votación , y quedó aprobado. el voto particular del Sr. Calatrava hallaba que su opinión era muy Se leyó el arr. 1. , y el Sr. Giraldo dijo: Que hablando la ley 8‘, contraria á la de dicho «ñor y denlas indiv…</t>
  </si>
  <si>
    <t>…y dice quedan incorporados á la Nación to sus sentimientos patrióticos ofrecía sus bienes á la Nación. dos los señoríos jurisdiccionales; ló que queda existia : luego si los se El Sr. Cañedo hizo la siguiente indicación después de haber mani ñoríos jurisdiccionales dé cualquiera clase quedan por esta ley incor festado los motivos que tenia para ello; y quedó aprobada : ,,Para evitar porados á la Nación, la misma ley reconoce que se hallaban antes…</t>
  </si>
  <si>
    <t>…ones Reales y personales, y de las regalías y derechos nuevos é be hacerse el nombramiento por las Cortes. inherentes, y que deban su origen á título señorial ó feudal; y en el El Sr. Cañedo manifestó que en el poder legislativo no cabian otras segundo se habla precisamente de Jos señoríos territoriales y solariegos, facultades que las de tomar una medida para hacer efectiva la responsa no de los feudales y jurisdiccionales, los cuales están ya a…</t>
  </si>
  <si>
    <t>…a ge el sueldo correspondiente; por lo que opinó que la indicación era in neral de cuantos fondos y caudales públicos ha cobrado é invertido de admisible ; lo que apoyó también el Sr. Cañedo. cuenta del Estado desde que se instaló dicha compañía; y que se en El Sr. Calatrava, después de haber refutado á los Sres. preopinan cargue al Gobierno que con su informe la pase á la mayor brevedad po tes , dijo que creía que ningún español, habiendo deposi…</t>
  </si>
  <si>
    <t>…bre arreglo del esta referirnos ¿ los raciocinios de vuestra comisión, deberíamos haber he do eclesiástico. ' cho progresos muy rápidos' en la mejora de las costumbres. Hay mas El Sr. Cañedo b izo ia siguiente indicación : » Pido á las Cortes que clérigos, podríamos decir si admitiésemos sus argumentos, y están me en la sesión de hoy se presente el secretario de la Gobernación de la' jor pagados -, luego’debe haber mas moralidad.1 Pero no es asi…</t>
  </si>
  <si>
    <t>…y se mandó volver á la comisión. ■ 30 dias.” s Se suspendió esta discusión para que, conforme á la indicación del El Sr..Martínez de la Rosa dijo: convengo en que se debe aprobar Sr. Cañedo, el Sr. secretario de la Gobernación de la Península diese la medida que propone la comisión en este artículo; pero esta me per cuenta de las últimas noticias de Kueva-España. El Sr secretarlo pasó mitirá que haga algunas observaciones, porque me parece que d…</t>
  </si>
  <si>
    <t>…quel faccioso con 72 caba tamen de la comisión. , . . , llos hacia aquella villa, se dispuso á perseguirlos con la valiente tro Se mandó insertaren el acta el' voto particular del Sr. Cañedo, con pa que habia en la misma; y habiendo sabido que los facciosos habían trario á la aprobación de las Cortes de todos los artículos de que se tomado el camino del Villar.., apresuró su marcha con precipitación trató ayer con. respecto al plan-general de Hac…</t>
  </si>
  <si>
    <t>…cientemente, discutido, y se aprobó el cuidado del Gobierno el rectificar las equivocaciones que se notaban dictamen de ia comisión. . . en él. Se leyó la siguiente indicación del Sr. Cañedo: » Pido á las Cortes El Sr. lasanta fue de parecer que no debia aprobarse en razón de que el dinero destinado en el presupuesto de Ultramar para coste de que en la legislatura pasada se mandó ya que las audiencias remitiesen las misiones se destine á la dotac…</t>
  </si>
  <si>
    <t>…ectos por el camino dei medio, sin desviarse á (diario de Cortes, tomo vm, pág. 78), ó bien porque, cómo opinó los extremos; asi es que no hay cosa mas olvidada en el mundo que el Sr. Cañedo, actual obispo de Málaga, estuviese dicho artículo ex aquella antigua máxima recomendada por los sabios , ncqitid nimis. puesto á interpretaciones. (d&gt; continuará.') I.a Constitución española dice que la soberanía reside esencialmente ANUNCIOS. en la Nación;…</t>
  </si>
  <si>
    <t>…se presentado al tiempo pre- ■ -q Concluye el artículo sobre soberstnta nacional: • £jado por las Cortes; y también se dijo que- si no'se presentaban en el ' Pero: aunque el limo. Sr. Cañedo se opuso al artículo por el niotivq segundo'término que sé prefijase , se les'hiciese volver bajo partida dé que hemos dicho, no por eso negó el principió de la toberanía nacióxegistro. EI Sr. Warteb no ha señalado término en su proposición-, y nal, antes bie…</t>
  </si>
  <si>
    <t>Cañédp</t>
  </si>
  <si>
    <t>…,.pasada á V. E. en 1 2 tó de contestación- al discurso, del .Rey, sobre lo cual formalizó indicar del .presente mes; ha pró'rogado la subasta-por término de 15 dias, con clon. El Sr. Cañédp, bajo el concepto,de que bastaba la que había dado arreglo al art. 1,1 del reglamento de las Cortes de 3 de Setiembre últi el ár/presidente/.se .opuso, á la indicación; pero el Sr. conde deToreno mo, señalando-su,remate para el dia 7 del próximo mes de Marro.…</t>
  </si>
  <si>
    <t>Caneja, Joaquín</t>
  </si>
  <si>
    <t>Joaquín Caneja</t>
  </si>
  <si>
    <t>…oner otra nueva dirección para este ra timonios de escribano &amp;c., y se mandó pasar á la misma; asi como mo no tema que oponer ninguna razón en contrario; pero que s,no se: otra de D. Joaquín Caneja contra el juez de primera instancia de esta tomaba esta medida le parecía deber hacer presente que en su concepto corte D. Josef Martínez Moscoso, quejándose de infracción de Cons seria mejor unir á la renta de correos la del registro , porque tienen una titu…</t>
  </si>
  <si>
    <t>Canel</t>
  </si>
  <si>
    <t>…socorro de agotó en ella todo cuanto se pudo haber dicho y observado hasta los que carecen de trabajo con motivo de la incomunicación del puer entonces.=P. C. A. Esta opinión del Sr. Canel fue anunciada en 1813. to asciende á 88,457 rs-&gt; Y I2* recaudadas hasta igual lecha para aten der á los gastos de sanidad, beneficencia y seguridad pública á 28,043 CORTES EXTRAORDINARIAS DEL AÑO DE 1821. reales y 12 mrs. El Excmo. Sr. gobernador de esta plaz…</t>
  </si>
  <si>
    <t>Canellejos, Mariano</t>
  </si>
  <si>
    <t>Mariano Canellejos</t>
  </si>
  <si>
    <t>…n la desem en ella en los respectivos ramos, y obtenido la competente certifiiacion bocadura del canal de Bahama el diputado por la provincia de Oajacá de idoneidad y suficiencia. D. Mariano Canellejos. 2 de gramática castellana y lengua latina. Se hizo segunda, lectura de lá proposición del Sr. Moreno Guerra 2 de matemáticas y fisica. para que se exigiese la responsabilidad al Sr. ministro dé la Guerra, ó 1 dé lógica y gramática general. * al que hubiese f…</t>
  </si>
  <si>
    <t>Canga, Jos.ef</t>
  </si>
  <si>
    <t>Jos.ef Canga</t>
  </si>
  <si>
    <t>…por lo que le parecía muy del caso la por decreto de este dia he tenido á bien habilitar para el desempeño proposición del Sr. Romero Alpuente. de este encargo por exoneración de D. Jos.ef Canga. A‘rgüellc§ j que El Sr. Giraldo expuso que únicamente se trataba de tender un lazo lo tuvo en propiedad; he venido en ..disponer que se'entienda, igual al Congreso, pidiéndole propusiera personas para el ministerio; que si habilitación , por ahora y durante.…</t>
  </si>
  <si>
    <t>Canga, Josef</t>
  </si>
  <si>
    <t>Josef Canga</t>
  </si>
  <si>
    <t>…ó pachó á D: Evaristo Perez'dé Castró ,-D¡ Agustín Arguelles, D. Ra Pero no habiendo - tenido á bien ios consejeros de S. M. hacer món Gil de da Cuadra-;.D.Mrnuei García Herreros, D. Josef Canga aquella consulta confidencial, no deben las Cortes contestar á este ofi Arguelles y D. Cayetano Valdésq'encargando'interinamente , mientras cio sino conformándose con la Constitución. Ademas, seria compro nombraba quien las sirviera «impropiedad , -el despach…</t>
  </si>
  <si>
    <t>Canipmaruv, Salvador</t>
  </si>
  <si>
    <t>Salvador Canipmaruv</t>
  </si>
  <si>
    <t>…á D. Antonio Peliicer; y D.Tomas Ribera, profesor en cirugía, á tenia acreditado con las providencias que había dado antes del dia 5 ; trasladarse al lazareto sucio para ayudar á D. Salvador Canipmaruv. Es y.cóncluia pidiendo á S. -VI. que*nintfestase su carta á las Cortes. tos Sres. facultativos no limitaron sus ofertas á poner en práctica sus co Se leyeron los dos decretos; y por el segundo se vió que los nue nocimientos en los referidos puntos, sino que…</t>
  </si>
  <si>
    <t>Canjolla, Crespo</t>
  </si>
  <si>
    <t>Crespo Canjolla</t>
  </si>
  <si>
    <t>…dencia del juez el tener á un menor las ¡. on.s varias dudas acerca délos retiros que dichos sargentos deben 10 ó 12 años en una casa de corrección. disfrutar en ciertos casos. El Sr. Crespo Canjolla manifestó que no habia tal rigor; y que Las Cortes quedaron enteradas de un oficio del Sr. secretario de sierfdo imposible hacer una graduación de todas la; circunstancias que Gracia y Justicia á los Sres. secretarios de las Cortes, en el que avisa exigiesen…</t>
  </si>
  <si>
    <t>Cano, Josef</t>
  </si>
  <si>
    <t>Josef Cano</t>
  </si>
  <si>
    <t>…ino qu¿ los m s- Elche; D. Josef March ; D. Josef Cuevas, abogado. mos turcos desean entrar en campaña, fiados en el entusiasmo nacional, Por Avila. D. Leandro Ladrón de Guevara; .D. Josef Cano. Su que por todos los medios posibles procuran estimular; de manera que plente. D. Juan Manuel Enguídanos. si se rompe la guerra no podrá menos de ser cruel y sangrienta. Los principados de Moldavia y Valaquia continúan contra el tenor Extracto de ¡as noticia…</t>
  </si>
  <si>
    <t>Cano.Ma</t>
  </si>
  <si>
    <t>…esta parte. Se mandaron pasar á las respectivas comisiones. Art. ■ 2. » Para la bendición de estas insignias se observarán las Se mandó insertar en el acta el voto particular del Sr. Cano.Ma mismas formalidades que para las de banderas y estandartes previenen nuel , contrario á la aprobación de ¡u primera parte del caso Segundo las ordenanzas generales. del art. 36 del código penal;, y en el acta de la sesión anterior el voto - Art. ig. Luego que…</t>
  </si>
  <si>
    <t>Canosa</t>
  </si>
  <si>
    <t>…las cosas según las contaban los austríacos, no hubiesen acu que se expresaba en ella de concederse asilo, en Portugal á los extrán- ' dido mas pueblos a felicitar á S. M.: que el príncipe Canosa , direc- , .geros perseguidos por opiniones políticas, hallaba algunas dificultades, tpr que fue de la policía de Ñapóles, y á petición del Austria des sobre todo para la admisión de los españoles opuestos al sistema cons- tituido de su destino por su despoti…</t>
  </si>
  <si>
    <t>…idos por el juez D. Francisco badas por el F-ey en una época , y consideradas como criminales en la Belloc en Abril de 1814 por robos en despoblados. Estado de esta cam actual. El príncipe Canosa, director de policía, era el dueño absoluto, sa. Recibida á pnieba. Providencia de visita: siga. el legislador, el egecutor, el que lo hace todo, y á quien todos temen. Juan Rioja v Josef Gómez, remitidos por el dicho prez D. Fran Pira sincerarse del rigor qu…</t>
  </si>
  <si>
    <t>…La persecución continúa del modo mas brillante; y según va aquello, len de la Península los dos navios y la fragata de guerra, en el próxi tendrán por último ¡os dominadores y el Sr. Canosa que declarar que mo Setiembre volverá el Perú por mar y tierra á ru antigua tranquili tinta la nación napolitana ha sido traidora ¡ frase que en cienos días dad , contribuyendo en gran parte á la pacificación de todas las Aimdijo cierto juez á cierto llamado…</t>
  </si>
  <si>
    <t>…7 , la reunión del usufructo ¿ la. propiedad cuando se verifique res intereses. .y ¡por.acto de.cesiou, y no por un precio superior al que'adeudó el dere • ñapóles. Qiie.el famoso príncipe Canosa, ministro de.policía, ha cho percibido cuando sé enagenó déla! propiedad : 18 , Jos nuevos títu sido premiado por su rigor y severidad con.el destino.de Consejero de Esc los ó i reconocí míen tos ¡de censos,:cuyos contratos se justificaren en fortado, con sue…</t>
  </si>
  <si>
    <t>Canseco, Francisco Antonio</t>
  </si>
  <si>
    <t>Francisco Antonio Canseco</t>
  </si>
  <si>
    <t>…mismo Sermo. Sr. Príncipe Real, después de sión compuesta de los Sres. D. Antonio Martínez, tesorero general, haber leido en el balcón de la misma casa, ante el pueblo y la tropa D. Francisco Antonio Canseco, gefe de sección de la dirección general que se hallaba presente , el Real decreto de S, M. el Rey nuestro Se di rentas, y D. Tomas Josef González Carvajal, con el objeto de girar ñor de 24 de Febrero del presente año , en el cual S. M. asegura á su una visit…</t>
  </si>
  <si>
    <t>Cantacuceno</t>
  </si>
  <si>
    <t>…se retiró de una de estas dos cosas, ó de que les era fácil refrenar en adelante la precipitadamente á Widin. manifestación de la opinión pública, ó que estaba en su mano extin El príncipe Cantacuceno, oriundo de Grecia, acompañado de otro guir el gérmen de la sedición, reformando enteramente y en todas par príncipe griego y de su comitiva, se han unido con el príncipe Ip- tes ios abusos, é inutilizando asi los esfuerzos de los perturbadores. silanti. Aunq…</t>
  </si>
  <si>
    <t>…causó un movimiento general de sorpre provincia situada entre el Pruth y el Siret, donde ha logrado queden sa á todos los diputados. desiertos todos los pueblos, incluso Jassi, el príncipe Cantacuceno, ma Se pidió que se insertase el indicado oficio en el acta de la sesión. niobrando con su caballería desde Eoksiani hasta la desembocadura del Mr. Pirson observó que este diputado tiene deberes coa que cumplir Siret en el Danubio, ha rechazado hasta la orill…</t>
  </si>
  <si>
    <t>…sus hijos tal ó cual obra, que vincia han llegado á mi noticia. En esta inteligencia envió al gene *0 nombro , con el ánimo de poner al ínstame en sus manos á Abbaral de egército príncipe Cantacuceno con plenos poderes para arreglar die, á Bossuet y á Fenelon! Una obra mala hace cien veces mas daño en esa provincia los negocios de nuestra patria, y restablecer el orden. que una buena provecho ; y esto es mas cierto respecto de los periódi Respetad á este…</t>
  </si>
  <si>
    <t>Núm. 216. ( 7 cuartos. ) I1Í7 GACETA DE MADRID. MARTES 3i DE JULIO'DE 1821. NOTICIAS EXTRANGERAS. habitantes, manda allí cualquier bandolero. No hace muchos días que el príncipe Cantacuceno hizo decapitar á ún boyardo, acusado de haber 1S1AS JONICAS. entregado algunos heteritas á los turcos. Un hermano ce este tuVo que pascar, su'cabeza por las psiacipales calles de Jassy, y en seguida se le Corfú ig de Junio. dieron 400 palos ctt las plantas de…</t>
  </si>
  <si>
    <t>Cantacuceno----El</t>
  </si>
  <si>
    <t>…n gente por todas par concejos.” tes__ Se confirma plenamente la llegada al Peloponeso de Demetr o Se trató de si seria mas conveniente conservar las mismas denomi Ipsilanti y del príncipe Cantacuceno----El trasporte Camello entró vrr naciones de provincias, partidos y- concejos en la división que iba j ha Spithead con el conde Bertrand,su familia, el conde Montholor y,-'-rascerse , ó si debería tratarse de este asunto en otra ocasión. varias personas de la serv…</t>
  </si>
  <si>
    <t>Cantacuee-</t>
  </si>
  <si>
    <t>…están á sus órdenes; las reconcentra cada vez mas. Teodoro __ Ayer en la Cámara de los Comunes pronunció Mr. Burthon un dis : Wladimiresco , qiié manda das tropas ligeras , y. el príncipe Cantacuee- curso sobre la bárbara costumbre de muchos paises de la India , en don no con la caballería- se aproximan cada uno por su parte al cuartel ge de las .viudas se inmolan, ellas mismas sobre el sepulcro de sus maridos, neral'del príncipe Ipsilanti. y concluyó pr…</t>
  </si>
  <si>
    <t>Cantacuzéno</t>
  </si>
  <si>
    <t>…stro, tanto para que gunos centenares de hombres y tres malas piezas de artillería. Venia en contéstase acerca dé esto,, como para 'qüé respondiese sobre los abusos su compañía el príncipe Cantacuzéno, antiguo general al servicio de la en ia administración ¡de jústicia, de que cada día había'nuevas quejas; Rusia, -y condecorado con varias órdenes.' Todas - las providencias de lo que expuso con tanta energía dÍcho''Srl diputado, que el pueblo que jpsilantí…</t>
  </si>
  <si>
    <t>Cantacuzeno</t>
  </si>
  <si>
    <t>…ccedió á esta petición. Mas de 1200 griegos, perfectamente armados y equipados, banda FRANCIA. do la vela desde uno de los principales puertos del Adriático á las ór denes de otro príncipe Cantacuzeno, oficial experimentado, según di París ga de Junio. cen. Están esperando en Magna esta noble cruzada de valientes, los cuales han sido precedidos de grandes remesas de fusiles , balas , pólvo CAMARA ds ios diputados—.Concluye la sesión del 12. ra y artillería…</t>
  </si>
  <si>
    <t>…s resentimientos, los toman do generalmente;” y añade » que la gaceta de Augbsburgo insinúa á su sueldo, se hacen reembolsar en artículos comunicados ó en fo que el descalabro del príncipe Cantacuzeno ha podido confundirse con lletos , y les prometen en e! próximo Gobierno revolucionario los em el que se decía haber sufrido el príncipe Ipsilanti.” Las demas gacetas pleos que no han podido lograr en un Gobierno regular. Asi se ve á liberales de la Alemania…</t>
  </si>
  <si>
    <t>…e ocupada y evacuada sucesivamente por censura. varios destacamentos del cuerpo helénico, y últimamente entró el Mr. Duplessis de Grenedan subió á la tribuna , y pronunció un dis» príncipe Cantacuzeno ; pero asi que los turcos consiguieron en Dragas- curso, reducido en sustancia a decir que no se dibia conceder al minis chan algunas ventajas sobre Ipsilanti, los griegos evacuaron nuevamen terio la censura , porque solo habia hecho uso de ella para mantener…</t>
  </si>
  <si>
    <t>…e no poder usar de los medios davia por el Alto- Pruth , y en la Valaquia por el Ba¡o-Pruth y el Si- que hubieran prevenido tantas y tan funestas consecuencias, (entregado ret. El príncipe Cantacuzeno , después de haber conseguido varias ven á una secta que desconoce la obediencia y la disciplina, después de ha tajas sobre los turcos en la línea de estos dos rios, entró él mismo ea ber faltado á sus deberes respecto de nosotros, se vió en esiado de no Ja M…</t>
  </si>
  <si>
    <t>…i, á la isla de Hidra; después de haberse dado á conocer al comandante en gefe, ha vuelto á marchar AUSTRIA. para el campo establecido cerca de Tripolitza, capital de la Morea. EL príncipe Cantacuzeno ha desembarcado en Calamata, en el sur de la Uejmanstadt C Transilvania 2 g de Julia. Morea. Si se ha de juzgar por los extiaordinarios movimientos de tropas INGLATERRA. y conducción de municiones de toda especie que siguen continuamen te hacia esta fronteia…</t>
  </si>
  <si>
    <t>Cantarella, Francisco Juan</t>
  </si>
  <si>
    <t>Francisco Juan Cantarella</t>
  </si>
  <si>
    <t>…amily tour througk the British empire , viage latesta y Mayor: para la de Tarrasa á D. Juan Barata: para ae una familia por la Gran Bretaña, y fue tan bien recibido la de Gerona á D. Francisco Juan Cantarella: para la de como la obra antecedente , habiéndose hecho ya 8 ediciones. Solsona á D. Domingo del Rey: para la de Olot á D.'Jo Esta obra da á conocer á los jóvenes las riquezas, tanto sef Vera y Pantoja: para la de V ích á D. Manuel Frutos: naturales como indu…</t>
  </si>
  <si>
    <t>Canteautorizar</t>
  </si>
  <si>
    <t>…brar la cizaña , que algo cundía en algunas gentes crio cion de las remas públicas, y las cuentas de su recibo y consumo, y llas de opinión. A principios de Julio salió de Lima el general Canteautorizar al Gobierno para hacer empréstitos cuando sea necesario10. rae para Jauja con g2 hombres de la mejor tropa á combinar opera Establecer medios adecuados para el pago de la deuda pública : 11. Ar ciones con el coronel Carratalá , que se hallaba en Guancavelica…</t>
  </si>
  <si>
    <t>Cantero</t>
  </si>
  <si>
    <t>…rio de Ja Gobernación de la Penín observado, la indicarían íós periodistas en el número.del día siguiente. sula, mani estando que con objeto de perseguir á los enemigos del sis El Sr. Cantero pidió se leyese una representación .(que presentaba) tema , se han visto obligadas las autoridades á emplear la milicia nacio de los individuos de la milicia nacional y egército que forman la nal fuera de sus provincias, por lo que piden se.les remunere de lo…</t>
  </si>
  <si>
    <t>…rimer ar hemos podido convenirnos ni en la primera definición que ha presen tículo la palabra omitido. tado ia comisión , n; en la segunda, por cuyo motivo creo que con difi » Del Sr. Cantero: Delito es el mal producido por la omisión ó co cultad podríamos convenir en otra; creo sí que es muy útil y necesario misión deliberada de lo que manda ó prohíbe la ley penal. que de cada delito en particular se dé una definición , y luego se descien No se a…</t>
  </si>
  <si>
    <t>Cantero, Andrés</t>
  </si>
  <si>
    <t>Andrés Cantero</t>
  </si>
  <si>
    <t>…en publicar noticias desfavo el Banco nacional de S. Cirios, y para suplentes los Síes D. Francisco rables á los progresos de la insurrección griega: ella forja cartas de Sainz y D. Andrés Cantero. Vieni, que aunque desmentidas á cada paso por hechos incontesta En iguales términos quedaron también electos para directores entre bles, no dan sin embargo escarmiento á sus editores, y con la-máyoí fres otra lista de nueve sugetos los Sites. D. Joaquín Marí…</t>
  </si>
  <si>
    <t>Cantero.', Andrés</t>
  </si>
  <si>
    <t>Andrés Cantero.'</t>
  </si>
  <si>
    <t>…aballería de voluntarios de Madrid , muerto en el campo del honor. Continúa la lista de los suscriptores á la empresa del empréstito nacio nal desde el ay del corriente hasta hoy. D. Andrés Cantero.' D. Josef Abajo y Manzano. ' Se han recibido periódicos extrangeros', que tolo alcanzan á un nú D. Angel Martínez. D. Manuel Victoriano Cáscales. mero trias de los que ya habián llegado .por extraordinario: las noticias í&gt;. Antonio Albani. D. Manuel de Erezuma. de Alemania llegan hast…</t>
  </si>
  <si>
    <t>Cantillo, Luisa</t>
  </si>
  <si>
    <t>Luisa Cantillo</t>
  </si>
  <si>
    <t>…rral sobre casas en la propia calle 138 rs. suelven las principales cuestiones'dé esta importantísima ciencia, 8 mr.s. y se rebaten las ideas contrarias á aquella que Mr, Benjamin Doña Luisa Cantillo sobre casas calle de la Trinidad Constant, y últimamente Lanjuinais, han presentado como de 276 rs, 16 mrs. . absoluta necesidad para la subsistencia del régimen representa D, Josef Fantoiy sobre casas calle de Pedro Alonso tivo. Al fin del tomo 2.“ se ha pue…</t>
  </si>
  <si>
    <t>CantoIIa, Crespo</t>
  </si>
  <si>
    <t>Crespo CantoIIa</t>
  </si>
  <si>
    <t>…a rectitud de la misma justicia, de Londonderry (lord O.stlereagh), que lejos de ser,contrario á los ca que iba á recaer sobre él. tólicos como el lord Liverpool, los favorece. El Sr. Crespo CantoIIa hizo tres divisiones relativas á esté expe La asamblea general de los obispos católicos de Irlanda ha decidi diente; la primera la dirección facultativa, la segunda la dirección ad do en Dublin por unanimidad, que no podía aceptar las restricciones ministrati…</t>
  </si>
  <si>
    <t>Cantoiia, Crespo</t>
  </si>
  <si>
    <t>Crespo Cantoiia</t>
  </si>
  <si>
    <t>…tos Después de haber hecho el Sr. San Miguel varias observaciones 10a justamente civiles, luego es imposible que en un código criminal contra este artículo, á las que contestó el .Sr. Crespo Cantoiia, se sus u fi|e un procedimiento civil. Puesto que hay un código penal, en este pendió) esta discusión. ¡í deberán fijar ó establecer las bases, y en el civil ampliarlas; por con Se leyeron dos dictámenes de las comisiones de Hacienda y-Co siguiente el articul…</t>
  </si>
  <si>
    <t>Cantoila, Crespo</t>
  </si>
  <si>
    <t>Crespo Cantoila</t>
  </si>
  <si>
    <t>…delincuente , (ajusticia debe imponerle la pena que cor té algo mas extenso y tcngaalgunas aclaraciones. responda. Ahora, si llamamós'berieficencia el hacer mal, - ntonces con El Sr. Crespo Cantoila: Cuando las leyes no castigan mas que las vendré con lo que há manifestado el Sr. preopinante. Me L*.i dicho que el acciones que; deben castigar, entonces*» una obligación.juÁa del ciu Sr. Cepcro ha manifestado , usando de una contestación mia confidencial, d…</t>
  </si>
  <si>
    <t>Cañtolla, Crespo</t>
  </si>
  <si>
    <t>Crespo Cañtolla</t>
  </si>
  <si>
    <t>…ldas no -es exacta. Hay dos frases que son diferentes, i Íasé establecida sabiementé'pórla misma comisión. saber, hacer espaldas y guardar espaldas :1a primera es servir unopa• El Sr. Crespo Cañtolla dijb que la impugnación que babia hecho ra que otro escale un balcón ó una tapia/y la segunda.es.estar-de cea-, el Sr- Xallave era principalmente por la palabra aunque¿pero debía te- tíñela mientrás otros'verifican un robo: Por esta razón debe decirse en 1 fl…</t>
  </si>
  <si>
    <t>Cantolla, Crespo</t>
  </si>
  <si>
    <t>Crespo Cantolla</t>
  </si>
  <si>
    <t>…penal. en España otras penas que las siguientes.” Aprobado. » Los que están obligados á responder de las acciones &amp;c.” (Véase Fenas corparales. la sesión de ayer.) ■ ■■' • • ' El Sr. Crespo Cantolla hizo presente que en atención á que la ma 1.’ la de muerte. El Sr. Calatrava leyó las observaciones que se habían hecho á este yor parte de las observaciones hechas en 1.a sesión de ayer habían teni artículo por el tribunal de órdenes, el ateneo español, univ…</t>
  </si>
  <si>
    <t>…la audiencia y colegio de abogados esta opinión , y por consiguiente la consideraba absolutamente inútil. de Madrid observaban que debia ponerse en el catálogo de ¡as penas la El Sr. Crespo Cantolla: Para probar que es preciso adoptar ¡a pena privación y suspensión délos derechos de ciudadano, fundándose en de infamia en particular, basta saber que la Constitución habla de lis que dice la Constitución que se pierden por sentencia en que se im penas infam…</t>
  </si>
  <si>
    <t>Cantos, Josef Royo</t>
  </si>
  <si>
    <t>Josef Royo Cantos</t>
  </si>
  <si>
    <t>…ó algunos de los defensores durante el sustanciado de ¡a provincia. causa, se hará saber á los reos inmediatamente que se reciba esta reso Partido de Cuenca D. Cayetano Izquierdo. D. Josef Royo Cantos. lución , y sin suspender las diligencias de lectura y cotejo, que en el D. Andrés Villora. D. Juan Francisco Sierra. D. Diego Antonio Me término de 24 horas después de la notificación nombre cada uno un na. D. Nicolás Escolar y Noriega. defensor suplente , q…</t>
  </si>
  <si>
    <t>Cantucuceno</t>
  </si>
  <si>
    <t>…nguido, que desempeña en Corfú un empleo el mismo dia en que llegaron el arcistratego Demetrio Ipsiianti y el diplomático, da grandes datos para conocer la situación de la Albania príncipe Cantucuceno , que fue á mediados del mes de Julio- IvsÜanti y del Epiro por lo que se publicará prontamente. era el comandante en gefe, y Cantacuaeno dirigía la artillería. D. spues de haber hecho una grande brecha en las murallas de la ciudad entraron PAISES-BAJOS. los…</t>
  </si>
  <si>
    <t>Capablanca, Tadeo</t>
  </si>
  <si>
    <t>Tadeo Capablanca</t>
  </si>
  <si>
    <t>…á la comisión. Juan Perez Maniré: pira el" de"Mehásáibas á D. Josef María de la Es Se declaró que pasase á la comisión la proposición que se acababa calera : para el de IUescas á D. Tadeo Capablanca : para el de Orgaz á de leer. D. Antonio Mádolell: para el de Mal de Sto. Domingo á D. Manuel Lo mismo se verificó con otra de los Sres. Moscóso, Quiroga y Lo Perez Aransolq: para el de Ocañi á D. Juan Bermejo: para el de Cor sada, relativa á que en el caso d…</t>
  </si>
  <si>
    <t>Capacete, Fernando</t>
  </si>
  <si>
    <t>Fernando Capacete</t>
  </si>
  <si>
    <t>…eles tropas, han intentado hacér en varios ‘ Se mandaron pasar á la comisión' de Infracciones de Constitución plintos alistamientos so color del bien del Estado. una exposición de D. Fernando Capacete, coronel del extinguido ba ’ n Pero oponiéndose directamente estas empresas A las máximas que tallón de la Lealtad, quejándose de infracciones de Constitución , co nos, hemos propuesto seguir en nuestro Gobierno , y cuyo fin es recti metidas por el fiscal dél…</t>
  </si>
  <si>
    <t>Capáz, Antonio Dionisio</t>
  </si>
  <si>
    <t>Antonio Dionisio Capáz</t>
  </si>
  <si>
    <t>…La comisión de Legislación presentó su dictamen acerca de la ex do que no sabían escribir materialmente; y que siendo cierta, se les re posición, del oficial de la armada nacional D. Antonio Dionisio Capáz,' tirase sin sueldo alguno , por no ser justo que la Nación mantuviese á sobre que se celebre en esta corte.el consejo de Guerra que debía cele semejan tes.sugetos. . brarse en Lima por la pérdida de .la fragata María Isabel; la comisión Acompañaba al dictame…</t>
  </si>
  <si>
    <t>Capaz, Dionisio</t>
  </si>
  <si>
    <t>Dionisio Capaz</t>
  </si>
  <si>
    <t>…1 beneficio í pes. Zaragoza............. ■j- daño. » Formada causa en el apostadero de marina del Callao al teniente Bilbao................. Par. 1 de navio de Ja armada nacional D. Dionisio Capaz por resultas del Santander............ Par. apresamiento de la fragata Marta Isabel, que mandaba accidentalmen Goruña...............-. 1* te , hecho por el navio S. Martin , de 64 cañones, y la fragata Lauta Santiago.............. i-í- - - t ro, de 48, ambos…</t>
  </si>
  <si>
    <t>Capero</t>
  </si>
  <si>
    <t>…mismos compatriotas, los italianos de Ñapóles. Inun parte artística. .. dada ya la Italia, diíicil será adquirir noticias seguras de los aconte Habiendo en seguida manifestado el Sr. Capero, individuo de la cimientos de aquellos países, á no ser qu{ lleguen por mar. Cuanto comisión , las razones que habia tenido esta para dar su dictamen , st se publique extractado de ios periódicos franceses ó italianos , que ha declaró .*p haber lugar á votar…</t>
  </si>
  <si>
    <t>…tribunal de Corte,, y medidas más convenientes con arreglo á la. leyes. por otra que vaya al Gobierno: creo que todo se puede concii:rr- de un Se leyó la siguiente indicación del Sr. Capero: „No pudicndo el ¡nodo s.-r.cillo. No puede menos de estar sujeto á la ley, ni de ser juz Gobierno por si resolver este negocio, pido que pase al tribunal de gado por el tribunal de Corte,: de lo cual sola e.U&gt; puede;- disnea,tr Cortes.” ie ; pero ni el Gobie…</t>
  </si>
  <si>
    <t>…á los austríacos; la privación de todo genero de armas, sm ex necesita la adición del Sr. Martínez ¡le la Rosa. cluir los hierros con punta, al mismo tiempo que harán ver á los El Sr. Capero apoyó la adición del Sr. Martínez de la Rosa, y dijo napolitanos el estado de servidumbre é infamia á que se ven reducidos, que en su concepto el artículo ó i mi caclon seria inútil si no se adoptaba. les renovará, aunque larde , el triste recuerdo de atentad…</t>
  </si>
  <si>
    <t>…n el mismo artículo, ha de en las atribuciones de los Gefes políticos. blando de los pueblos, por Las palabras siguientes: ,,Si se determinase A la de Legislación se pasó otra del Sr. Capero, que decía: « Pido contra ellos el juicio.” Jamas puede resultar cosa favorable ni contra que con arreglo á la facultad que han concedido las Cortes al duque de ria al pueblo por lo que he demostrado ; y por consiguiente se confun S. Lorenzo para que pueda ve…</t>
  </si>
  <si>
    <t>…no eran puramente alimenticios. A pesar de esto si se pregunta á ia tesore veremos mas que desastres. ría general si este cuerpo está corriente , dirá que sí, porque se le han El Sr. Capero dijo: Supuesto que se ha demostrado que la España dado libranzas ; pero como quiera que estas no se han satisfecho real constitucional tiene cubiertas sus obligaciones, y que las nuevas po mente, no están pagados aqueLlos individuos. Por lo mismo yo quisiera…</t>
  </si>
  <si>
    <t>…iones. 4.“ Debe preceder la conci Rey para que les confiera títulos de Castilla. liación en las causas de divorcio, como meramente civiles; pero no es Después de h iber apoyado el Sr. Capero el dictamen de la comi necesaria en los juicios verbales, ni tampoco en los de concurso á ca sión , se declaró este asunto suficientemente discutido, y que la vota pellanías colativas, ni en otras causas eclesiásticas de la misma clase en ción de este artícul…</t>
  </si>
  <si>
    <t>Capero, Manuel López</t>
  </si>
  <si>
    <t>Manuel López Capero</t>
  </si>
  <si>
    <t>…per lugar y año en que se egecutó, denunciados en el dia 23 de Febrero sonas que constantes, en sus principios y fidelidad han abandonado su de este año por el diputado en Cortes D. Manuel López Capero,, en su patria, su fortuna &gt;y todo lo que les es mas amado, por buscar el Go nombre y como su apoderado especial D. Justino Matute, por injurio bierno de la gran Nación, y huir del intruso que detestan, no podemos sos y libelos infamatorios dichos impresos; l…</t>
  </si>
  <si>
    <t>Capilla, Jacinto Diaz</t>
  </si>
  <si>
    <t>Jacinto Diaz Capilla</t>
  </si>
  <si>
    <t>…ropaga vos á D. Fernando Moyano del Rey, en Melilia, el cual fue nombra ción de un mal al punto le caracteriza de contagioso, deberían apli do tutor de los referidos por su abuelo D. Jacinto Diaz Capilla , y quie carse á hacer y repetir ios experimentos mas convincentes hasta ca re entregarles el caudal que les corresponde. racterizar fijamente , ó de un modo nada equívoco, esta enfermedad. He El Tercero en discordia, ó sea el Ciudadano imparcial siervo de la…</t>
  </si>
  <si>
    <t>Capilla, Mariano Díaz</t>
  </si>
  <si>
    <t>Mariano Díaz Capilla</t>
  </si>
  <si>
    <t>…para los que viven. ¡Cuántos y cuántos desgraciados han sido y son víctimas, no de ¡a epidemia , sino de las medidas equivocadas de sani Se desea saber si existen los dos hijos de D. Mariano Díaz Capilla, dad! ¡Cuánto se rectificarían estas, y cuántos males se ahorrarían deci teniente que fue del antiguo regimiento de la Princesa, y de Doña Sa diendo positivamente si la fiebre amarilla es ó no contagiosa! Lejos de turnina Valeriano, en cuyo caso acudirán con…</t>
  </si>
  <si>
    <t>Capmani</t>
  </si>
  <si>
    <t>…puso á qu®. aprobado. sé dejase de imprimir en los diarios, porque habiéndole impreso en qj.rt. ¡4- ” Se restablecerá y generalizará e! establecimiento de vi Cádiz á propuesta del Sr. Capmani la discusión que hubo acerca de la gías , aprovechando los que ya se hallan establecidos por algunas co abolición de la Inquisición, se decía en el diario » Continuó la discu mandancias militares de tierra y de mar , con dicho nombre o con el sión sobre el pr…</t>
  </si>
  <si>
    <t>Capmani, Antonio de</t>
  </si>
  <si>
    <t>Antonio de Capmani</t>
  </si>
  <si>
    <t>…otivo que le asis terra. Un tpftio en 4.0, que se vende en la librería de Collado. La pre tí para reclamar con mas razón que otros, el abandono de los presi sente obra la escribió D. Antonio de Capmani en 1809 por encargo dios menores, y que en esta medida tiene la Nación un Ínteres grande y que se le hizo cuando se iba á formar la Constitución política de la general. Por lo mismo espera que las Cortes atenderán su solicitud, Monarquía. En ella se ven unas…</t>
  </si>
  <si>
    <t>Capntani, Antonio</t>
  </si>
  <si>
    <t>Antonio Capntani</t>
  </si>
  <si>
    <t>…o de Cataluña y reino de Valencia, y una noticia de las de Castilla laga tendrá por dotación la contribución que ha de ser pagada por los y Navarra, recopilado todo y ordenado por D. Antonio Capntani. Va morosos de las demas, de manera que á lo menos padezca seis meses de añadido el reglamento para el consejo representativo de Gúútbra, y los atraso. reglamentos que se observan en la Cámara de los Comunes de Ingla &gt;&gt; El ayuntamiento cree haber demostrado e…</t>
  </si>
  <si>
    <t>Capo</t>
  </si>
  <si>
    <t>Gaceta de Madrid n.º 230</t>
  </si>
  <si>
    <t>…Emperador de Rusia , ^queriendo conservar el estado de paz y su buena nes espontáneas y los esfuerzos de la industria agricultora ; ya por otras armonía con la Puerta, encargó al conde Capo d’Istrij, contuviera causas que ignoramos todavía , y en virtud de las cuales obra la infatiga la indignación que había excitado en los habitantes de las referidas pro ble naturaleza; ya por las aceleradas agregaciones superficiales, que fal vincias el despre…</t>
  </si>
  <si>
    <t>Capo-de-lstria</t>
  </si>
  <si>
    <t>…ían abandonados, y morirían « Escriben de Petersburgo el dia 4 de Setiembre que el Emperador de hambre infinitas familias; llamó la atención del Congreso hacia los ha encargado ai conde Capo-de-lstria que comunique á todas las poten futuros males que podían resultar, y concluyó pidiendo á las Cortes cias europeas el contenido de las últimas notas que se han pasado la Rusia que pusiesen su-consideración en aquellos pueblos. y la Puerta. S. M. ha declarado á…</t>
  </si>
  <si>
    <t>Capocasale, Joséf</t>
  </si>
  <si>
    <t>Joséf Capocasale</t>
  </si>
  <si>
    <t>…ocurrrido en Príncipe_de.Supmq. . El sacerdote D. Loreto Abruzzese. la legislatura del año de 1820, en la que se trató ya de este asunto; y títiqüe' üe S. Teodoro- V E1 sacerdote D. Joséf Capocasale. manifestó que con respecto á las tarifas había muchos abusos, resultan Príncipe de’ Gcrace. D. Félix Ainati. do muy perjudicado nuestro comercio, en razón de que los Gobiernos El' bailío D. Josef Carra'ccioló. D. Carmen Lancellotü ' ' extrangeros habían subi…</t>
  </si>
  <si>
    <t>CappelU, Agustín</t>
  </si>
  <si>
    <t>Agustín CappelU</t>
  </si>
  <si>
    <t>…cienda, á quien pertenecía este asunto, de Escamará. Di Rafael Tramagalia. había tratado de remediar estos males, y sobre ello había informado 1* El mariscal de campo D. Miguel El juez D. Agustín CappelU. dirección de la Balanza; y que las Cortes no: debían permitir que si Candrían. El barón D. Genaro Ferrara. guieran estos abusos, sino cortarlos de raiz á la mayor brevedad; por El mariscal de campo D Edmon- El barón Don Genaro Bamma- lo cual, y no dependiend…</t>
  </si>
  <si>
    <t>Cappiello, Biaggio</t>
  </si>
  <si>
    <t>Biaggio Cappiello</t>
  </si>
  <si>
    <t>…los no les ruso, su capitán Agustín Vitali; otro id. ruso, su capitán Constantino resulta ventaja alguna; y aun digo mas, que aun en el caso de que des- Orlando; otro id. ruso, su capitán Biaggio Cappiello, y dos grandes Íiues de examinados los títulos se declarasen incorporables £ la Nación, polacras del Bajá de Egipto. Buques desmantelados: el bergantín aus os individuos que antes los poseían deben seguir cobrando sus prestacio tríaco, capitán Vianella; el be…</t>
  </si>
  <si>
    <t>Cappuccio, Josef</t>
  </si>
  <si>
    <t>Josef Cappuccio</t>
  </si>
  <si>
    <t>…tículo. Esto será tal vez una simple conje Conciüis, D. Miguel Morelli, D. Josef Silvati, I&gt;. Luis Minichini, tura; pero en todos casos probablemente se tratará de dar consejos, y D. Josef Cappuccio." Otra igual orden se ha publicado contra el gene de manifestar ardientes deseos. Mientras España conserve dentro de sus ral G- Pepe. fronteras la teoría y la práctica de su revolución, se le podra permitir PORTÜGAJA que continúe sin, obstáculos. Su posición…</t>
  </si>
  <si>
    <t>Car</t>
  </si>
  <si>
    <t>…ancisco Javier López Duque; para la de- Alaurin el po formado dé oficiales generales de acreditado mérito, no.podrá remo Grande á D. Francisco Javier:de.la Coba; paro la de Coin á D. Car verse con tanta facilidadsiendo sus deliberaciones mas exactas y acer los Tomas Banetti, y para la de Ulora á D. Luis Sánchez Zarza. tadas que las de un solo, individuo ; por, consiguiente me parece de mu ...... Di'rccciim general de Hacienda pública. cha uti…</t>
  </si>
  <si>
    <t>…da uno debe trabajar constinté la carrera de todo militar. rnente de día y de noche en su destino ; de otro modo no se adelan E! Sr. Banqueri manifestó que habia una orden del Rey D. Car tará lo que se debe. los ni, por la que se señalaba á los capitanes generales el sueldo de óoQ El Sr. Zapata dijo: Yo quisiera que los señores de la comisión reales cuando estuviesen de cuartel. En seguida fue demostrando las me dijeran si han examinado la in…</t>
  </si>
  <si>
    <t>Car-, Fernando</t>
  </si>
  <si>
    <t>Fernando Car-</t>
  </si>
  <si>
    <t>…sistema constitucional , y en la que han sido tratados como nota. El primer remate de las fincas procedentes del extinguid'-' reos los magistrados de aquella audiencia territorial D. Fernando Car- monasterio de Ntra. Sra. de Mejorada, orden de S. Gerónimo, anun V¡a , D. Joaquín Lorenzo Mozo, D. Manuel Andrés y Einbite, Don ciadas en el suplemento de i.° del presente mes de Setiembre, bajo la Manuel Martin Berna!, D. Salvador Fernandez Torres, D. Antoni…</t>
  </si>
  <si>
    <t>Caraballo, Gabriel</t>
  </si>
  <si>
    <t>Gabriel Caraballo</t>
  </si>
  <si>
    <t>….dar-el pasar algunas observaciones que sobre la ley constitutiva del egército pase á las bulas de los obispos ha menester el consentimiento de las ha hecho el comisario de Guerra D. Gabriel Caraballo. Cortes, y en este caso se hallan las ,del~Sr. Creux. Las Cortes oyeron con agrado la felicitación que por su segunda El Sr. Vitorica dijo que creiaque las bulas de los Sres. obispos eran instalación les ha sido dirigida por la diputación provincial de Sevill…</t>
  </si>
  <si>
    <t>Carabaño, Francisco</t>
  </si>
  <si>
    <t>Francisco Carabaño</t>
  </si>
  <si>
    <t>…de diputados d «i Europa y de Ultramar, para Rico, contra el capitán general de dicha isla y el teniente de Rey que proponga á las Corles medidas con queTemediar radicalmente las D. Francisco Carabaño, por haberse entrometido en asuntos agenos de desgracias de aquellas provincias , para la cual fueron elegidos los se ñores Oliver, Aíáolh,Rc5d'rígúez, Álusman, Murguia, Zubia, Aguirre, sus atribuciones; y otra de IX Felipe llin.-strosa contra' un constitucio…</t>
  </si>
  <si>
    <t>Carabaños, Francisco</t>
  </si>
  <si>
    <t>Francisco Carabaños</t>
  </si>
  <si>
    <t>…entrada franca en el teatro para los nacionales; todo esto se la Diputación permanente. hará en honor,dé la íntima unión que se -ha estrechado entre todos. - Se leyó un oficio de.D. Francisco Carabaños, en el que desde,Cá Dentro dsipoco tendremos un hermoso-batallón bajo un pie -brillante, diz pedia á los Sres. secretarios de las Cortes se sirviesen dar cuenta á. con una soberbia compañía de granaderos , otra de cazadores no me las mismas de una solicitud,…</t>
  </si>
  <si>
    <t>Caraciolo</t>
  </si>
  <si>
    <t>…ministerio; volviendo á encargarse de la inspección gene príncipe de Torella Caraciolo , el príncipe de Colonna, el duque de ral de infantería D. Ignacio Balanzat. Carignano y el caballero Caraciolo, hermano del duque de RoccaRomana, que manda la caballería del egército. Los regimientos de ca Numero 47. ballería están mandados por el príncipe de Carignano y el duque Casoli d’Aquino. Relación de Jincas que se están subastando de las aplicadas al Crédito L…</t>
  </si>
  <si>
    <t>Carálano</t>
  </si>
  <si>
    <t>…dia hablarle sin em Los Sres..Luca y Nieolai dijeron que nadie era culpado barazo á presencia de las personas que estaban entonces eti en aquél asunto sino el conde de Zurlo; y el Sr. Carálano su escritorio. El incógnito , de-', pues de haber titubeado al fue del mismo dictamen ; pero hizo presente que no habien gún tanto, le manifestó que habia sabido en confianza que do ninguna ley. aplicable í aquel caso, ni ningún tribunal se trataba de asesina…</t>
  </si>
  <si>
    <t>Carbaiho, Maniiel Pedro de</t>
  </si>
  <si>
    <t>Maniiel Pedro de Carbaiho</t>
  </si>
  <si>
    <t>…chos años- Cuartel general de á oría alguna nación. Marina 1 2 de Noviembre de t82o.=Ignacio da Costa Qui.nEn i.® de Mayo de 181? había Fernando iv prometi tella, mayor general. — Sr. Maniiel Pedro de Carbaiho &lt; pri do á sus súbditos una;Constitución enseñándoles la máxi mer teniente comandante del bergantin Trece de Mayo." ma* de que la nación es la Soberana. Mas de seis años han estado los napolitanos esperando el cumplimiento de la NOTICIAS DEL REINO. promesa de…</t>
  </si>
  <si>
    <t>Carbailar, Josef Barragan y</t>
  </si>
  <si>
    <t>Josef Barragan y Carbailar</t>
  </si>
  <si>
    <t>…las plazas de jueces de primera instancia de la provincia de Sevi lenguas del Oriente,” lla en esta forma: para las ere* de la capital á D. Francisco Belloc y ANUNCIOS. Navarro, á D. Josef Barragan y Carbailar y á D. Tomas Barona: pa En 17 del corriente se verificó el primer remate de dos casas sita» ra la de Ayamonte á D. Pedro Tagle y Velarde: parí), la de Araceux en esta corte, una, calle de Cedaceros, núm. 8, manz. 2Ó7, y otra, ca á D. Líborio Tudda: para la de…</t>
  </si>
  <si>
    <t>Carbajo, Domingo</t>
  </si>
  <si>
    <t>Domingo Carbajo</t>
  </si>
  <si>
    <t>…s indaga ciudad, está señalado el dia iq del corriente. torias á los reos. Un pedazo de tierra al sitio del Praejon, de caber 24 fanegas de á 7.a Lino García, Trinitario Mirabete, D. Domingo Carbajo y tfeo estadales cada una, procedentes del monasterio de Guisando, en D. Eusebio del Hoyo, remitidos por el Excmo. Sr. capitán general en 7800 rs. 26 de Marzo, por conspiración contra el Estado y sistema constitucio Otro al sitio de Arañuelo, de caber 15 fane…</t>
  </si>
  <si>
    <t>Carblica, Pedro Nolasco Martin</t>
  </si>
  <si>
    <t>Pedro Nolasco Martin Carblica</t>
  </si>
  <si>
    <t>…os y contagiados de los afectos anti-constitucionales. Pajarera brus práctica larga y constante. Cada ingles habia formado su plan de repú ca de pico en ristre y una en garra: por D. Pedro Nolasco Martin Carblica , y por mas nuevo y fantástico que fuese, todos manifestaban el ramolino: un tomo en 8.a En vista de esta idea original en todas slis mismo ardor en hacer que lo aprobasen sus conciudadanos, y aun en partes , tal vez no podrá decirse,- mas es el ruido que las…</t>
  </si>
  <si>
    <t>Carcosen, Pascual</t>
  </si>
  <si>
    <t>Pascual Carcosen</t>
  </si>
  <si>
    <t>…ran número de tropas prusianas. D. Joser Poveda: para el dé Iniesta á D. Pedro Henriquez El Morning Chronüie del día ; trae el artículo siguiente: Montero : para el de Bel monte á D. Pascual Carcosen: pa «Mr. Cannirig, que sale el domingo para París, ha escrito ra el de Roda á D. Francisco de Paula Perez Rangel: á Mr. Bolton de Liverpool, una carta (que se ha enseñado á para el de S, Clemente á D. Antonio Briz de la Cuesta • pa sus comitente0), en la que…</t>
  </si>
  <si>
    <t>Cardcmil, Juan</t>
  </si>
  <si>
    <t>Juan Cardcmil</t>
  </si>
  <si>
    <t>…Juan García. Lugo aquellas islas. D. Josef Gabriel Somoza , propietario , y D. Nicolás de Prado, aba Se dió cuenta de una exposición que remitia á las -Cortes el Sr. mi te. Ferrol D. Juan Cardcmil, escribano. Paulo D. Pedro Martínez nistro de la Gobernación de la Península del colector general de eslosada, cura de S. Pedro de Ribeiro, Vivero D K;mi n Rebelión, poiios y fondo pió beneficial, á la cual acompañaba una nota de los propietario. Mondoñedo D-…</t>
  </si>
  <si>
    <t>Cardona, Vitíutí</t>
  </si>
  <si>
    <t>Vitíutí Cardona</t>
  </si>
  <si>
    <t>…denas sobre sali yó el 2.0, que decia asi: tres y pólvoras, acompañando los antecedentes que la motivaron; y otra n Cuando un orador fuese llamado dos veces al orden durante un de D. Vitíutí Cardona,.apoderado de e—iios marineros, contramaestres, mismo discurso , él presidente , después de haberle concedido la pala pil.tos y capitanes de Mahon, manifestando el estado de miseria á que bra para disculparse,- si la pidiere , deberá consultar á la Cámara par…</t>
  </si>
  <si>
    <t>Careaga, Juan Perez</t>
  </si>
  <si>
    <t>Juan Perez Careaga</t>
  </si>
  <si>
    <t>…conformándose S. M. con el lla en la calle de Atocha, esquina Ja de Cañizares, frente á S.Sebastian, dictamen del interino director general, á quien tuvo á bien oir con mo llamado D. Juan Perez Careaga. tivo de oficios que sobre el particular mediaron entre el alcalde consti , María Marcos, natural de la villa de Getafe, de estado casada, tucional de la ciudad de Cartag na y su capitán de puerto, se ha servi desapareció de Madrid en 30 de Setiembre de 181.0…</t>
  </si>
  <si>
    <t>Carel, Bordes</t>
  </si>
  <si>
    <t>Bordes Carel</t>
  </si>
  <si>
    <t>…n muchos señores diputados en favor y en contra coñ la maror gada de un comisionado del príncipe Callimachi con un encargo para energía y elocuencia; y por último se acordó que el Sr. Bordes Carel metropolitano. El 20 se verificó su arribo, y Teodoro mismo le neiro presentase por escrito en la sesión inmediata ios motivos dé acusa acompañó con una parte de sus tropas, coii música y banderas desple ción contra el ministro, para que después se llamase á…</t>
  </si>
  <si>
    <t>Carena</t>
  </si>
  <si>
    <t>…diatamente la respuesta- al segundo berti, vice-presidente de la academia, celebró el 26 de este mensage, sin aguardar la que:se había de dar al tercero. una sesión, en la cual el profesor Carena, secretario de la Los Sres. Cesare y Pessolani pidieron que se hiciese clase , leyó una descripción de las especies pertenecientes al presente á S. M. que las variaciooes.estaban ya casi conclui ge'nevo hirudo (sanguijuela) que había encontrado en .las das, p…</t>
  </si>
  <si>
    <t>Carfteiro, Eorges</t>
  </si>
  <si>
    <t>Eorges Carfteiro</t>
  </si>
  <si>
    <t>, . . J*°7 propia; y el Sr. Eorges Carfteiro respondió qua la había usado en el fiel a la Constitución, obedecer las leyes, y respetar las autoridades es mismo sentido que la de respeto. tablecidas.” ; Serán pues verdaderos amantes de este Código sagrado los Después se leyeron varios dictámenes de las c…</t>
  </si>
  <si>
    <t>Cariati</t>
  </si>
  <si>
    <t>…procedencia, cantidades en que kan sida tería y los a© de caballería; y la manda el conde Genuino en ausencia tasadas por los peritos, dias de los primeros remates , y pueblos del príncipe Cariati. liste cuerpo pidió también por favor se le permi donde se verifican; á saber: tiese ir á pelear con el enemigo; pero el Gobierno, al mismo tiempo que ha manifestado cuán grato le es tan noble sacrificio, ha asegurado En la provincia de Burgos, procedentes de…</t>
  </si>
  <si>
    <t>Cariíeiro, Borges</t>
  </si>
  <si>
    <t>Borges Cariíeiro</t>
  </si>
  <si>
    <t>…puesto al sistema constitucional ro ciudadano. que deseaba sembrar el descontento en el pueblo, cuya idea apoyó el Ahora bien, como nuestro poder, que dicen que es tan grande cuan Sr. Borges Cariíeiro, diciendo que él era uno de los amenazados de ser do en la realidad es tan pequeño , se reduce á suprimir el gasto de un envenenado ó asesinado; pero que nada temía ni le arredraba, porque cuerpo, cu; a existencia en su forma actual es tan inconstitucional co…</t>
  </si>
  <si>
    <t>Carino, Juan Ignacio de Urreta do</t>
  </si>
  <si>
    <t>Juan Ignacio de Urreta do Carino</t>
  </si>
  <si>
    <t>…cinco individuos; nombran una solemne función de iglesia en que brilló el zelo religioso do para el examen de este regimentó á los Sres. Pereira y pa:riótico del dignísimo pastor D. Juan Ignacio de Urreta do Carino, Casrelio Branco, Pinheiro Src. V izcaya. Se propuso, aprobó v nombró una comisión que tu En la misma reunión acordaron dichos 22 cuerpos de viese á su cargo la policía interior de las Cortes. Habien milicias dirigir á nuestro Gefe político la siguiente felic…</t>
  </si>
  <si>
    <t>Carino, Pereira do</t>
  </si>
  <si>
    <t>Pereira do Carino</t>
  </si>
  <si>
    <t>…Luis Monteiro; con lo que se levantó la sesión áá lin de que esta- examinase si eran justas las causas que ex las tres de ia tarde. ponía, S. I.-para no asistir á las Cortes. • El Sr. Pereira do Carino leyó una proposición acerca NOTICIAS DEL REINO. deque se procediese á la elección de diputados de Ultra mar, haciéndose de entre los americanos que se hallasen en Legorreta (provincia de Crnipti zcoa) ,9 de Enero. Portugal, á la cual acompañaba un proyecto de…</t>
  </si>
  <si>
    <t>…sa por el este es el motivo por que no se I3 deben hacer los honores' corregidor de Tartaleare sobre el papel-moneda. de Reiría, ni bajo un aspecto político, ni bajo un aspecto El Sr. Pereira do Carino leyó una adición á su pro moral. Deje pues la Cámara de discutir una proposición yecto de convocación de diputados de Ultramar, en la que tan ambigua é insignificante; ataqúese al ministerio cara á proponía que la Regencia presentase una lista de los ame cara…</t>
  </si>
  <si>
    <t>…e dignase extender á todo:el clero de ios Se pasó á la discusión de las bases de la Constitución; y dominios sujetos al expresado Rey católico"el oficio y mi después de leidas, el Sr. Pereira do Carino hizo un hermo sa concedidos anteriormente á la sobredicha;-orden-,- como so discurso; en el que probó, que lejos de ir .1 buscar entre también á las diócesis de Toledo y- de Córdoba, para el los publicistas lo esencial de las bases que presentaba la co dia de…</t>
  </si>
  <si>
    <t>…ado en este puerto el bergantín goleta española 'de guerra Lisboa s8 de Jimio.,__'Sesión de Cortes del ay. -correo Mágica, su comandante el teniente de navio D. Josefrdel Rio, Til Sr. Pereira do Carino tomó la palabra y dijo: En la sesión -del de Veracruz y la Havana en 45 dias, con la correspondencia, 126,336 día 2¡ se nos repartió á los diputados el proyecto-de Constitución po pesos fuertes en 12 barras; 13,863 del primer puerto, y del segun lítica de la…</t>
  </si>
  <si>
    <t>…n tanto mayor placer , cuanto que riente como en el y, incluyendo-las arengas que habían hecho á S. M. la sociedad de que en ella se trata parece ser desconocida de los que han El Sr. Pereira do Carino pidió licencia para leer una representación querido confundirla con las sociedades secretas , y han tratado á sus in de algunos habitantes de las Islas Terceras, quejándose de que conti dividuos como á perturbadores de la paz pública, y amigos de todas nuaban…</t>
  </si>
  <si>
    <t>1142</t>
  </si>
  <si>
    <t>…&lt;Y no es bien sabido que ¡as catástrofes que arruinaron á tantas personas mal in Sesión de Cortes del ig. formadas, é hicieron la fortuna de ciertos especuladores, mucho mejor El Sr. Pereira do Carino pidió que se le permitiese leer algunas ob advertidos, no llegaron á saberse hasta el último extremo, porque no servaciones relativas á la Constitución , y asi se le concedió; pero por se permitió la publicación á los periódicos que la policía censura y no se…</t>
  </si>
  <si>
    <t>Carite, Borges</t>
  </si>
  <si>
    <t>Borges Carite</t>
  </si>
  <si>
    <t>…las respectivas secretarías por la parte que mo lo aseguraba antes de ayer un periodista que está muy le tocaba. mal informado , ó. es muy poco sincero. . Presentó por escrito el Sr. Borges Carite!ro una adi ción á las proposiciones del Sr. Fernandez, relativa á exa PORTUGAL. minar si había algunos comandantes de plazas ó gefes &amp;c. que no fuesen dignps de la rracion, y que en este caso se Lisboa i.a de Febrero. removiesen; pero nada se decidió en el pa…</t>
  </si>
  <si>
    <t>Carlis, Jaime</t>
  </si>
  <si>
    <t>Jaime Carlis</t>
  </si>
  <si>
    <t>…rtar en procederá á dar á la explicada suma la inversión en sufragios que en su sus juicios, y ya se sabe cuán poderoso, cuán respetable, y aun terri testamento encarga el difunto D. Jaime Carlis por el ánima del due ble es en los Gobiernos representativos el fallo de la opinión..... pero ño de aquellos intereses. A la misma testamentaría se presentarán en Ja esta opinión no es la de los vocingleros; esta opinión no es la de los al propia forma los he…</t>
  </si>
  <si>
    <t>Carlos</t>
  </si>
  <si>
    <t>…e* El mismo día salieron SS. Á A. RR. el Príncipe Regente y 18rq, se na servido nombrar Secretario del Sermo. Sr. In él Príncipe de Salerno su hermano para Baya, donde pensa fante D. Carlos, como coronel de la brigada de Carabine ban hallar al Rey; pero encontraron en el camino un correo ros Reáles, al coronel D. Juan de Angulo, capitán de la que traia la noticia de. la salida de S. M. misma; cuyo destino ha resultado vacante por retiro de La pr…</t>
  </si>
  <si>
    <t>…ón y duquesa de S. Fernando , para que se las declare el goze por en 10 de Marzo á la memoria de los que en. la noche dei 24 de Enero tero de las pensiones que las concedió el Rey D. Carlos rv. del año último dieron generosamente sus vidas por la libertad déla Se pasó á la referida comisión de Hacienda una exposición del te patria; que para este acto religioso se avise á la diputación provin sorero general y contador general de Distribución acer…</t>
  </si>
  <si>
    <t>…cono apercibe al teniente de infantería del Príncipe D. Mariano Aznarez, cieron generosamente la justicia de los súbditos; y de aqui la forma al capitán del regimiento del Infante D. Carlos D. Juan Romero de Te ción de multitud de Gobiernos representativos, y la reforma admirable, jada y a D. Jaime Ferrer que en lo sucesivo, procediendo con mas cir- que á pesar de tanto Congreso se advierte en muchos Estados de Euro cunspccion, no se dejen arrastrar por noticias de…</t>
  </si>
  <si>
    <t>…ronel graduado de egército , y co le dispensa para ponerse la cruz de Calatráva, que le habia concedido mandante de milicias nacionales de caballería de laHavaoa, en que ha el Rey D. Carlos tv el año de 808, cuya gracia se comunicó al Go ce presente sus servicios personales y pecuniarios para la restitución del bierno, y por este al tribunal de Ordenes para su cumplimiento; pero sistema actual; y ofreciendo un donativo, pide se le dispensen ocho…</t>
  </si>
  <si>
    <t>…uardia Real convenia conservar.este-:cuerpo, para, cpjitar; ,con tra libertad: este pl m solo debe saberle S. M., el Sermo. Sr. Infante él cuando se tratara de este asunto. ■ - —■ D. Carlos, el. Excnio. Sr. duque del Infantado, y el Sr. marques de - Adrrstithi a discusion;l:t:cftlcL. éhuicaciorr:,-.Ia ¡tpqjrá el Sr. Eapéleta, CastHárl £1 secreto y el sigilo son el alma de ¡as grandes emeretarañidiendo:,que el Gobierno jMabia: obradacdmo&gt; debía,…</t>
  </si>
  <si>
    <t>Cárlos</t>
  </si>
  <si>
    <t>…os papeles; citó vario* casos sucedidos en el consejo de Castilla, provincia.” Y quedó aprobada; pero habiendo manifestado el Sr. pre y últimamente las providencias tomadas por el Sr. D. Cárlos ut, dé sidente que tal vez seria imposible que se presentasen los dos secreta que tratan la ley 4.a, lib. 16, tít. t.°, y otras, por las cuales pro rios por estar uno de ellos enfermo, se acordó se llamase á los secre bó que estaba en la autoridad de la Nació…</t>
  </si>
  <si>
    <t>…vecino consejo de guerra ordinario , con arreglo á lo prevenido en las Rea de esta corte, pidiendo no se acceda á la solicitud que hicieron varios les ordenanzas, y orden del ir. D. Carlos iv del año i800.” ciudadanos procesados y castigados por su adhesión al sistema consti El Sr. Florez Estrada dijo que de nada servia hacer leyes , si no ha tucional , para que se quemasen sus procesos por mano de verdugo &amp;e. bían de egecutarse; y que no diman…</t>
  </si>
  <si>
    <t>…cio de aumen y Segovia en las Cortes del reino de 1320 , hicieron vivas reclamacio tar esta nueva asignación si se hallase el reino en adelante en estado nes á la magestad del Rey D. Carlos v por sostener los derechos del de hacerlo. pueblo castellano; que habiendo sido desoídos, se formó la liga cono . 3/ El Gobierno hará presente á S. S. este decreto por medio de cida con el nombre de los Comuneros; que después de varios aconteci las respetuos…</t>
  </si>
  <si>
    <t>…mprendido igualmente en este ar Miguel Bernal, cabo segundo que fue del regimiento de infantería reglo, se halla ya suprimido en el de la provincia de Santander, á que del Infante D. Cárlos. pertenece. Al propio tiempo se ha servido S. M. mandar que si al re Doña Margarita Díaz, muger del teniente D. Cárlos Rancharte, cibo de esta resolución algunos de los conventos que por ella quedan destinado á inválidos hábiles de Sanlúcar de Barrameda. subs…</t>
  </si>
  <si>
    <t>…el vivo de infantería D. Manuel O-Doyle , teniente coronel ma muía» tan democráticas como pacíficas de su policía interior, presentan, yor del regimiento de infantería del Infante D. Carlos, y el comisario un cuadro que seria digno de la pluma de un Tácito. efectivo de Guerra D. Antonio Elias y Sicardo, por la duda ^ue ocur Este artículo es ya bastante largo;.pero cuando se viene í la ima rió al primero de si debería ó no presentarse en la casa…</t>
  </si>
  <si>
    <t>…n quemado los títulos de dos escribanías públicas, que concedie de este arzobispado, quien ha mandado no se exijan derechos en la se ron á sus antepasados los Reyes D. Felipe ív y D. Carlos 11 , y habian cretaría. sido confirmadas por sus sucesores; y pedia que se le resarciese según se Madrid Viernes 18 de Mayo. . previene en el decreto de 6 de Agosto de 1811. La comisión dijo que SS. MM. y AA. continúan sin novedad en su importante salud. no h…</t>
  </si>
  <si>
    <t>…icas, y á la Mr. de Thiard ¿dirigiéndose al lado derecho: señores, he citado á de'Guerra una exposición de los gefes y oficiales del regimiento del Masillon.- - 1 ? (■ • ■ Infante D. Carlos, semejante á otra.de igual naturaleza , que según di-' -■ Hasta 1815 el presupuesto del clero (prosiguió)) no’habla pasado jó el Sr. secretario habian hecho los de Fernando vn , de cuyos expe- : de ro millones y'j’oóS’dibras.-En 1819 pasaba dé 12 millones, si…</t>
  </si>
  <si>
    <t>…ocurahijo D. Claudio Ramón de la Calle habian adquirido por compra en dijres síndicos, curas párrocos y cabildo de Sta. María de la ciudad los reinados de los Sres. D. Felipe iv y D. Carlos 11, y habian sido con de Calatayud , para que tomándolas en consideración, asi como, otra firmadas por los Reyes sucesores hasta el Sr. D. Carlos iv. Y como pa- indicación que el Sr.- Gisnert y dicho Sr. -López tenian hecha sóbre •ra sacar el título dé valimi…</t>
  </si>
  <si>
    <t>…po D. Antonio Quiroga, D. Ralael del Riego , D. Felipe Arco luego, remitiendo su importe al alcalde que la impuso. En las'provin Agüero, D. Miguel López Baños, D. Demetrio O-Dali, D. Carlos cias de Ultramar la multa será de un peso fuerte á lo menos , y no po Espinosa y el brigadier D. Manuel Latre, con sus dignos compañeros de drá exceder de 5. 10. En los juicios de conciliación podrán concur los memorables sucesos de Enero , Febrero y Marzo ,…</t>
  </si>
  <si>
    <t>…esponden. A la vuelta va otra lámina que re en tiempo de D. Henriquc iv , y su correspondencia con las del Señor presenta la ley fundamental, y la ocasión por donde hemos vuelto á D. Carlos iv, por el P. Fr. Liciniano Saez: un tomo en 4.0 marquilla. lograrla, cuyo asunto severa aclarado por la inscripción siguiente, que — Ensayo sobre los alfabetos de las letras desconocidas que se encuen va en ia parte inferior del grabado. » La revolución vuel…</t>
  </si>
  <si>
    <t>…siga. Relación histórica del auto general de fe que se celebró en Madrid Carlos Ventura, procedente del referido juez D. Josef Esteve y .en el año de i(í8o con asistencia del Rey D. Cárlos 11, fiel y literal Morato. Preso en 7 de Diciembre de 1820 sobre riñas y mala conducta. mente reimpresa de la que publicó en el mismo año Josef del Olmo, Estado de esta causa. En sumario. Providencia de visita: siga. . alcaide y familiar del santo oficio, ayu…</t>
  </si>
  <si>
    <t>…I3 enseñanza de los caballeros ca Miguel Bernal, cabo 2.0 que fue del regimiento de infantería del detes de dicho colegio, resuelve cuestiones interesantes de astronomía, Infante D. Carlos. que están reducidas al mayor estado de sencillez posible, y al alcan D. Rafael Alcalde, espitan retirado. ce de todo joven que tenga una- regular aplicación: ensena el modo de D. Valentín Josef Jiménez, sargento 2° que fue del regimiento de construir los map…</t>
  </si>
  <si>
    <t>…7.' Al gobernador de la plaza , á fin de que permitiese que en aquel _Segun el Diario de los Debatir, ya ha.entrado ia peste en Esmirna.__ lia noche estuviese abierta Ja puerta de D. Carlos para el trasporte de El dia 9 de Julio fue llevado preso á Boly, cerca de Brusa, el hospo- canias, utensilios v demas efectos necesarios al lazareto. dar de Valaquia Callimachi; mas parece que el Gobierno turco le ha r ai comisario primero de la Barceloneta,…</t>
  </si>
  <si>
    <t>…o puedo menos de estar asombrado notas y tablas cronológicas desde los tiempos mas remotos hasta la de que una porción tan considerable de terreno como la que hay desde muerte del Sr. D. Carlos ni, por el Dr. D. JosefSabau y Blanco, indi Castellón á Castilla , y á Aragón por el occidente y septentrión , que vidua dé la academia de la Historia, acudirán á recoger el tomo 18, f den tan separados de la capital. ; Adonde van todos estos cuando dis pagar…</t>
  </si>
  <si>
    <t>…ia, á cuyo abrigo &gt;e pudieron reunir todavía 85 hombres que ’blcs sobre el estado en que se hallaban los establecimientos de benefi ■tenia consigo con los oficiales ojeda , Monte, D. Carlos .Suarez y Don cencia , propusiese los medios de ocurrir a tan graves necesidades. La Antonio Liñan. comisión nombrada por las Cortes en el intermedio de la primera á ¡a El comandante recomienda muy especialmente la conducta heroica segunda lessislatura tuvo p…</t>
  </si>
  <si>
    <t>Carlota, Luisa</t>
  </si>
  <si>
    <t>Luisa Carlota</t>
  </si>
  <si>
    <t>…ciertas cial, por la cual se juzguen las .causas de atentados cometidos contra ■ ’ cantidades prometidas á los Sevmos. Sres. Infantes D. Francisco, de Pau la Constitución. A la y Doña Luisa Carlota en sus contratos matrimoniales. - . E! Sr, Cortés indicó que todos.los habitantes de Aragón , asi como Se pasó á la misma comisión un expediente promovido, por el se-, los de Valencia , pensaban de. aquel mismo modo , que estaban esperan ñor tesorero general,…</t>
  </si>
  <si>
    <t>…es de ayer lo relativo á lá presentación pública y bautismo del niño de la soberanía á favor délos pueblos, en perjuicio del- saludable prin que diere i luz lá Serma. Sra. Infanta Doña Luisa Carlota, se ha rectificipio monárquico. Quedará en seguida á cargo del-Austria’la déstrric- cádo-j-ténierido á la vista él acta, de la cual resulta lo siguiente: Se dió eion' de las Constituciones germánicas, para queel hálito pestífero*de cuenta de un oficio del Gob…</t>
  </si>
  <si>
    <t>…on lazos indisolubles, y por medio de la mas sublime y sa Para gastos de Cámara de la Serma. Sra, Infanta na política reunisteis en uno solo los interesas de tantos habitantes, se Doña Luisa Carlota , su Esposa.............................. 600,000 parados por centenares y centenares de leguas. Por la consignación del Sermo. Sr. Infante Don » Es preciso sin embargo que vuestros diputados vengan á comple Carlos Luis, hijo de S. M. la Princesa de Lúea.. 71…</t>
  </si>
  <si>
    <t>1257</t>
  </si>
  <si>
    <t>….................................. . 53,333-11 { Casa Real- ‘"jSermo. Sr. Infante D. Carlos...................... .......... 157.(00137»í°° f/&gt; 1.412,47 6:29 ‘■Serma. Sra. Infanta Doña Luisa Carlota........... . 100,000 I Al tesorero de Cortes á cuenta de su presupue 440,000 94455 /"Giro nacional............................ ................................... 2.158,656—32 I Tesorería de Granada , por remesa........................... 62,700 Diferentes pa…</t>
  </si>
  <si>
    <t>Carmo, Pereira do</t>
  </si>
  <si>
    <t>Pereira do Carmo</t>
  </si>
  <si>
    <t>…el Congreso. tulado el Portugués ■constitucional-, y la asamblea aprobó Se suspendió la discusión del proyecto de decreto pre el nombramiento. sentado en la sesión anterior por el Sr. Pereira do Carmo, Se trató después de algunos asuntos económicos; y ob y de la proposición del Sr. Soares sobre la legalidad de los servando que no era decoroso que se hablase, de esto en se acontecimientos del 24 de Agosto y 15 de Setiembre. sión pública, dijo el presidente…</t>
  </si>
  <si>
    <t>…igual naturaleza se debían remitir á sus respectivas co clase de ciudadanos en la milagrosa crisis de nuestra pre misiones; y asi se acordó. sente regeneración. Entonces habló el Sr. Pereira do Carmo, acerca del «Estos son, Señor, los sentimientos con que el Gobierno modo que le parecía mas conveniente de discutir con orden espera cumplir el sagrado juramentó que acaba, de hacer, y las proposiciones. con los que se propone desempeñar las altas obligacione…</t>
  </si>
  <si>
    <t>…M. nuestro'de to ó 12, y que • opinaba lo hubiese, comoTotenían todas Madrid 12 de Marzo. ■ las naciones. ' 1 ' - SS. MM. y AA. continúan sin novedad en'-sil importante salud. El Sr. Pereira do Carmo dijo que siendo justo el que el Rey se acon sejase de quien quisiera (como, habia dicho el Sr. Alves do Rio)-, ha-, CORTES. : -• liaba muy conveniente el que el poder legislativo le diese personas que le aconsejasen, por cuya razón votaba por el consejo de Es…</t>
  </si>
  <si>
    <t>…cidad, pues no nos los robaron para volvér poniéndole la necesidad de que fuesen depuestos de sus destinos. noslos ; y si por ventura logramos recobrarlos, i buen seguro que no El Sr. Pereira do Carmo habló largamente, y en su elocuente dis será con su consentimiento. curso dijo, entre otras cosas, que debía precederse al secuestro de todos Mirad, por el contrario, lo que eran todavía poco ha Portugal, ■los bienes de dichos empleados para qiie sirviesen de…</t>
  </si>
  <si>
    <t>…es pueden servirse mandar pase esta solicitud al Gobierno con recomendación. Lisboa zj de Junio.__Sesión del 1%. El de las de Agricultura y Hacienda unidas, relativo al pían de El Sr. Pereira do Carmo hizo una proposición para que se dijese á escuelas de artes y oficios presentado por Air. Vad¿; las comisiones ven la Regencia que mandase hacer averiguaciones sobre el incendio ocur que -en la exposición que lo acompaña no pide mas que protección rido en est…</t>
  </si>
  <si>
    <t>Carmó, Pereira do</t>
  </si>
  <si>
    <t>Pereira do Carmó</t>
  </si>
  <si>
    <t>…que habia sobre cubierta, cultura sobre la compañía de vinos del Alto-Duero; y habiendo toma embarcándolos en la lancha; lo cual y su retirada al buque fue preci do la palabra el Sr. Pereira do Carmó, dijo: pitadamente, mareando en seguida con toda vela, de modo que en breve » Él asunto de la compañía de vinos del Alto-Duero es verdadera tiempo se alejó) en vuelta del Sur. Hallándose libre el que declara , conti mente nacional, y muy importante á las tres…</t>
  </si>
  <si>
    <t>….” El ministro concluyó su discurso pidiendo á la Cámara que desecha Después de haber hablado algunos Sres. diputados sobreeste artícu se la propuesta de la comisión. lo, dijo .el Sr. Pereira do Carmo: Cuando la necesidad llama á la puer Mr. de Bourriene, relator de la comisión , defendió el dictamen'de ta ltliye Id virtud-per ¡a ventana,-decía un célebre filósofo del siglo pasado esta, diciendo que su proposición recaía en general sobre el conserva que po…</t>
  </si>
  <si>
    <t>…epitiéndolas los demas. Mientras esto se hacia Después que se hubo leido ia nota y su contestación, tomó la pala el tesorero de S. M. arrojaba las monedas de la coronación. bra el Sr. Pereira do Carmo, y dijo: ¡ Estoy admirado de lo que acabo Después del homenage los dos obispos que habían leido la epísto de oir!. Que ei agente de una potencia extrangera tenga la osadía de pe la y el evangelio recibieron de las manos del arzobispo la patena y el dir satisf…</t>
  </si>
  <si>
    <t>…, y estala « de nuestra santa Fé , porque sin ella mal podrá tener lealtad al Príncipe Sesión de Cortes del 6. quien ¡10 la tiene á Dios. Es un axioma político que no se han de El Sr. Pereira do Carmo hizo una proposición sobre que ningún di « permitir en la república roas extrangeros que nacionales, particularputado solicitase ni admitiese para sí ni para otro gracia alguna del po « mente si son de distinta religión.” Ya es tiempo de que todos los der ege…</t>
  </si>
  <si>
    <t>Carmona, Juan de</t>
  </si>
  <si>
    <t>Juan de Carmona</t>
  </si>
  <si>
    <t>…ngeó con los prisioneros que estaban encasas-, A la comisión de Canales y Caminos se mandó pasar un plan da. matas. En el Callao solo quedan la fragata de guerra inglesa Hrrerion: D. Juan de Carmona , del cuerpo de ingenieros-, presentado por el se con 3 imiiloMes, de pesos, y recibiendo mas; y la: goleta americana ñor diputado por Cataluña D. Juan Serrallacb, sobre la formación de Zampar,. cargando para Cádiz., que saldrá á los tres días de la fecha ; y…</t>
  </si>
  <si>
    <t>Carneir.o, Borgcs</t>
  </si>
  <si>
    <t>Borgcs Carneir.o</t>
  </si>
  <si>
    <t>…uso , haciendo ver que en ni á su persona, quería que se le concediese al Rey. la iniciativa ; pero el efecto el egército se hallaba en el caso de pedir se hiciese efectiva la res Sr. Borgcs Carneir.o expuso que seria anti-constitucional, anti-liberal y ponsabilidad délos ministros. Mr. Casldbajac, volviéndose al lado iz peligroso el concederle al Rey la iniciativa, porque debía suponerse quierdo: ,,Vuestras intenciones son conocidas; queréis exasperar á J…</t>
  </si>
  <si>
    <t>Carneiro</t>
  </si>
  <si>
    <t>…lo hubiera bastado para realizar las esperanzas de la nación. Habiéndose tratado del que aquel Gobierno se esforzase en mantener la tranquilidad modo de llamar á los suplentes, el Sr. Carneiro fue de pa de la Europa , no tenia inconveniente en confesar que había recer que se siguiese el método establecido en la Constitu otras razones que apoyaban este mismo deseo. Si se había ción española; hubo sobre esto varias opiniones, y por fin de tomar parte…</t>
  </si>
  <si>
    <t>…SOIA. rar el Congreso. Se nombraron ¡as comisiones de Reglamento de Regen París 4 de Febrero. ^ cia , Estadística y Pesquería. El día i.9 de este mes se insertó en un periódico El Sr. Carneiro propuso que con preferencia á todo se (l’Etoile) un artículo relativo á la marina inglesa. Después discutiesen en la primera sesión las bases de la Constitu de haber hecho varios cómputos, pasa á tratar de su cos ción ; y asi se aprobó. te anual, valuado en 5…</t>
  </si>
  <si>
    <t>Carneiro, Borees</t>
  </si>
  <si>
    <t>Borees Carneiro</t>
  </si>
  <si>
    <t>…al la gran fiesta del Corpus Domini. Llovió muchísimo hasta cer el juramento para haberlo leído él mismo. el amanecer; pera cesó en el momento que S. M. se preparaba á salir de El Sr. Borees Carneiro pidió que se insertasen estas circunstancias en su Real palacio; parece pues que el Rey, como otro Augusto , dividía’ el acta , y también las palabras que habia dicho á la diputación del 5 el imperio con el cielo.” Desafiamos á todos los aduladores pasados, r…</t>
  </si>
  <si>
    <t>Carneiro, Borgcs</t>
  </si>
  <si>
    <t>Borgcs Carneiro</t>
  </si>
  <si>
    <t>…Agosto. ble de marinos. A pesar de la celeridad nada regular y decente conque Se caminaba, no dejaron por eso de seguir los marinos la procesión lúne- Sesión de Curtes del 18. El Sr. Borgcs Carneiro d;;o : » Señores, veo que estáis ocupados en (t) El uniforme azul distingue á la marina , y el encarnado á la tratar de una materia muy imputante. Ayer sancionamos el método tropa de tierra, tan detestada por el pueblo ingles, como es queri por el cual podr í…</t>
  </si>
  <si>
    <t>Carneiro, Borges</t>
  </si>
  <si>
    <t>Borges Carneiro</t>
  </si>
  <si>
    <t>…“ que se'nombrase bergantín de guerra Reino-Unido. El 19 de Noviembre en una comisión para señalarles recompensas. tró la fragata Venut con su convoy, q ;e s.Jió de este puerto El Sr. Borges Carneiro sostuvo que no era aun tiempo en 27 de Setiembre. de que se decidiese la tercera prof osicion: el Sr. Annes de Carvalhoapoyó la propuesta delSr. Soavés Franco; añadien NOTICIAS DEL REINO. do que la comisión decidiese á quiénes correspondía el tí tulo de benem…</t>
  </si>
  <si>
    <t>…ntos, relativa á la ocupación de las sillas episcopales ron varios señores diputados, haciendo algunas reflexiones. que se erigieron eu estos departamentos en virtud áel concor El Sr. Borges Carneiro opinó que en el caso de que llega-</t>
  </si>
  <si>
    <t>…, en que no, y el Sr. obispo de Castello- Branca dió parte de que exponía-los motivos que le Impedían asistir al juramento que' quedaba ya instalado. debía.prestar la Regencia. El Sr. Borges Carneiro hizo una .proposición sobre la El. Sr. Soarcs propuso que se nombrasen las comisiones, paga de las dietas á los señores diputados, que ¡uzeaba de eligiéndose primero una que, re encargase dé nombrar ¡os bía ser adelantada, en atención á que se consideraban co…</t>
  </si>
  <si>
    <t>…estas penas á Despacho de la Gobernación de la Península. los ministros de Estado de Rio-Janeiro, los cuales tenían engañado al Rey con sus sugesriones. ARTICULO X&gt;E OFICIO. " El Sr. Borges Carneiro añadió que eran bien manifiestas las maquinaciones de los enviados y de los ministros ; que Oficio de la Junta del Crédito público al Sr. secretario el secuestro no tenia otro objeto que el impedir se sirviesen del Despacho de Hacienda. de su dinero para segu…</t>
  </si>
  <si>
    <t>…con que do en las elecciones de ¡a. Havana, en las que aparecían al no era de opinión de que hubiese previa censura. gunas nulidades-,,-entre-ellas la de :no haberse atenido al EL Sr. Borges Carneiro apoyó al preopinante; pero co censo, sino á un.cálculo-arbitrario, ;y haberse nombrado nociendo que la discusión era muy interesante, y en aten un número duplo,eje.'electores que el¡qce,;debia ser, en lo ción á que era tarde, se acordó que se continuara en la…</t>
  </si>
  <si>
    <t>…ado todos tt* males, elevándose al grado de grandeza de garantirse su libertad. que la hacia competir con la Europa entera. Fue numeroso y lucidísimo el concurso. Puede decirse El Sr. Borges Carneiro expuso que los poderes de los que todo el pueblo se hallaba unido desde el campo de la diputados éran para hacer una Constitución sobre las bases Merced á la V letona. de la española, sobre estas sabias bases que todo el,inundo Concluida la revista, tuvieron…</t>
  </si>
  <si>
    <t>…a hacer compras extraordinarias en las actuales cir factor de temporalidades de la provincia de Oruro, enel Perú, de un cunstancias. . . / descubierto que resultó contra él-,.. El Sr. Borges Carneiro expuso, en nombre de la comisión, que ha A la de Milicias-nacionales con urgencia una exposición del ayun biendo examinado las peticiones que hacia el ministro de Hacienda en tamiento deJVIadrid, en que después de -elogiar • i .1». milicia-nacional de su ofic…</t>
  </si>
  <si>
    <t>…mpa de este-acto religioso , en el cual na manifestando los inconvenientes que de esto resultarían. da se omitió de cuanto cabe en el ceremonial militar y eclesiástico. En Leyó el Sr. Borges Carneiro en nombre de la comisión de Hacien seguida juró su bandera todo el batallón en la plaza de la Constitución; da un proyecto de ley en siete artículos sobre los bienes de la coro y después de un paseo militar por todo el pueblo, durante el cual lle na, que pasa…</t>
  </si>
  <si>
    <t>…cular, que no tenia derecho para ello: soluto para asegurar nuestra Constitución y nuestra libertad. que si la patria habia exigido de ellos algún sacrificio,les había sido muy El Sr. Borges Carneiro, después de recordar los males que ha su dulce el prestarlo; y que últimamente, no habiéndoles quedado mas frido la especie humana desde el siglo vt por el sistema feudal; des que el honor, se atrevía á recomendarlo al Congreso. pués de hacer conocer que el v…</t>
  </si>
  <si>
    <t>…ministe del Sr. Serpa; y propuso-que se imprimiese para discutirlo. Con este rio; pero que no por eso'los' ministros dejaban de profesar en secretó motivo'pronunció un discurso el Sr. Borges Carneiro, manifestando los los'principios de los Soberanos-aliados. Para probar esta proposición perjuicios que resultaban de la conservación de estos derechos, y de la hizo presente á la Cámara la conducta del Gobierno j ingles para con necesidad dé extinguirlos, y d…</t>
  </si>
  <si>
    <t>…libertad; que vivir en ” Guiado el Sto. Padre por estos principios , envió con tiempo órde la esclavitud.” nes terminantes á las autoridades: civiles y militares de sus Estados El Sr. Borges Carneiro , contestando á los argumentos del Sr. Tri— para que mirasen como amigas: á. las tropas extrangeras regulares que' goso , hizo ver cuan infundado era el rezelo de que el poder legislativo pasasen por Jos dominios pontificios, ó se detuviesen en ellos, y para…</t>
  </si>
  <si>
    <t>…ento de Cádiz la cual no dejaria de tener por nulas tales resoluciones. para que se resuélva quién debe celebrar los juicios de conciliación El pueblo aplaudió las expresiones del Sr. Borges Carneiro; pero cuando el demandado es el único alcalde del pueblo. con tal exceso , que el Sr. presidente tuvo que llamar al orden, «expo Se ■pasó á la de Diputaciones provinciales una exposición del Gefe niendo cuan necesaria era para el acierto la libertad de las op…</t>
  </si>
  <si>
    <t>…iscursos .que lo comprobaban. (Gran que examinase las iniciativas indirectas, y las presentase á las Cortes. tumulto, agitación violenta.) Mr. Casimiro Perrier: ,,¡Es ya tiempo El Sr. Borges Carneiro se opuso, diciendo que era viciosa la iniciade cortarnos las cabezas? ” Mr. Dupont del Eure : ,, Ponedme en,las lis tiva, tanto directa como indirecta, porque todo el mundo sabia que tas de proscripción; lo pido, y lo tendré á mucha honra.”; Mr¡ de Ser-, cuan…</t>
  </si>
  <si>
    <t>…os hasta fines de Diciembre , la comisión cor- dada á las Cortes por el alcalde segundo constitucional de dicha ciudad rigió su dictamen en el acto. D. Domingo Ruiz de la Végal El Sr. Borges Carneiro propuso que se señalasen á la Regencia y á A la dé Hacienda iiná representación de la súperiora de las herma los secretarios del Despacho los sueldos correspondientes , y decidió el nas de Caridad de S- Vicente dé Paul de está' corte, en la qué expo Congreso…</t>
  </si>
  <si>
    <t>…berá cuidar de que en los Se habló sobre la situación en que se hallaba el reino de Ñapóles, discursos que se pronuncien no se cometan excesos, y de que se con habiendo querido el Sr. Borges Carneiro que se hiciese un acta de pro traigan al punto sujeto á discusión. testa contra el procedimiento del Austria. 3.0 « Ninguno de los socios hablará sin previo permiso del presiden Se aprobó la fórmula de juramento presentada por la comisión, que te; y si alguno…</t>
  </si>
  <si>
    <t>…puesto al sis-' de ia moral y de la religión, y en el de las leyes divinas y de la au tema constitucional. toridad de D'os, que pasase esta petición al ministro de la Justicia. El Sr. Borges Carneiro tomó la palabra , y manifestó que ninguna Mr. Gírardin le contestó diciendo que en las poblaciones rurales utilidad resultaba á los católicos del establecimiento de la patriarcal, no se podían hacer las venus de muebles y de fincas sino en los dias cuya digni…</t>
  </si>
  <si>
    <t>…desórdenes que pudieran resultar nó que seria mucho mejor pagar á los soldados en dinero que en especie. de llevar signos rojos, ó de cualquier otro color que no fuese el de or El Sr. Borges Carneiro demostró que las dos comisiones de Guerra denanza. y Hacienda habian convenido en que el mejor medio de evitar los El 21 de"Marzo pronunciaron en el Parlamento los discursos si grandes gastos que hacia la tesorería en provisiones era la extinción de guientes…</t>
  </si>
  <si>
    <t>…desmantelar Se trató sobre la prohibición de granos y pan del extrangero, cuya la plaza pava acometer con mas seguridad. He aquí toda la cuestión: discusión estaba pendiente; y el Sr. Borges Carneiro, comparando Ja que no haya leyes en la Cámara, que no las haya en el Estado. agricultura con la justicia, manifestó que el que se empeña en esta ,,;Creen por ventura que el acta de su elección les da un diploma queda pobre, y que lo mismo sucede al que se hac…</t>
  </si>
  <si>
    <t>…s, en que manifestaban que por el provincias, que están obligadas á hacer gastos en la curia eclesiástica. mérito que habían contraido en favor de la patria en la división man El- Sr. Borges Carneiro hizo la proposición de que se prohibiese el dada por el Excnae-. Sr. conde dei Abisbal, les había concedido dicho uso-de las informaciones que por causa de dispensas se les obhgába á general el grado de subtenientes; gracia que su coronel había anulado hacer…</t>
  </si>
  <si>
    <t>…), no habria que tener rezelos; pero no era necesario por entonces, y que podía dejarse para mas adelante. cuando yo veo que el egército se va debilitando de día en dia; cuando El Sr. Borges Carneiro propuso que quedasen solamente los cuatro observo que la ley de 18 de Marzo de 18.18 , que debía afianzar el re individuos que habia en la Regencia, los cuales decidiesen cualquier emplazo., no se lleva á debido efecto.... (los gritos que salen del cen asunto…</t>
  </si>
  <si>
    <t>…eneral aprobar la Constitución, de"qiie se sirve S. Mi','diciendo que debía de caballería ,;manifestando el estado 'en quéUe,'h.áíla el regí míe nto de protestarse contra ella; Él Sr. Borges Carneiro , Ferriandes Xhortiáz, caballería' de Lusitania, y la necesidad de que se lé provéa de vestuario. Castelo Branco y otros apoyaron esta idea, diciendo que no era la La comisión de Poderes presentó su dictamen acerca de los presen expresión propia: que de ella…</t>
  </si>
  <si>
    <t>…declarase alguna asignación. naba , el que á imitación de la Inglaterra fuesen parte de ellos extran Se mandó pasar á la comisión de Política una exposición de Don geros; pero el Sr. Borges Carneiro expuso que aunque fuesen extran Angel Sacarino, teniente de navio de las Dos Sicilias, en la que mani geros, debían estar sujetos í las leyes del pais; y no hubo Jugar á vo festaba haber fondeado en Barcelona con un buque de 12 piezas, con tar sobre la propue…</t>
  </si>
  <si>
    <t>…yoría de agí bolas Siguió por algún tiempo una discusion bastante acalorada sobre el blancas contra 71 negras el proyecto de ley sobre la modificación del llamamiento al orden del Sr. Borges Carneiro; y después se. pasó á art. 351 del código de procedimientos: criminales., _ continuar la disensión sobré diezmos, i en la cual hizo el Sr. Pereira do Este proyecto no contenía mas que un artículo , que decía as»: » En Carmo un largo' y elocuente discurso, en…</t>
  </si>
  <si>
    <t>…Sesión del 1. de Junio. cediendo contra los autores de aplausos tan intempestivos. Leida y aprobada el acta de la anterior, se mtndó agregar á ella los El Sr. Castello Branco y el Sr. Borges Carneiro se quejaron enér- votos particulares de los Sres. Casaxeca, Canabal, Paul, MarínTauste</t>
  </si>
  <si>
    <t>…e se levantó la sesión. ron entonces atentar contra nuestra independencia , como lo han hecho Sesión del 12. siempre, conspirando en sus congresos y coligaciones contra nuestra El Sr. Borges Carneiro propuso se dijese á la Regencia que pidie felicidad nacional. La segunda los inmensos progresos que ha hecho se á la corte de Roma autorizase á su delegado en esta para que pudie nuestra agricultura por la división de estas propiedades. se conceder dispensas…</t>
  </si>
  <si>
    <t>…e excesos, c incomodando á la guarnición de la fortaleza otoma beiro, Costa, Freire y Mendoza Falcao; con lo que se levantó la sesión, na de Braila. - Sesión del 28.INGLATERRA. Él Sr. Borges Carneiro presentó por escrito sus indicaciones hechas en la sesión anterior sobre la acusación contra el ministro del Interior, Londres 2£ de Mayo. .v. . reducidas á que continuaba la mala administración de justicia: se pro Los últimos sucesos ocurridos en el continen…</t>
  </si>
  <si>
    <t>Carneíro, Borges</t>
  </si>
  <si>
    <t>Borges Carneíro</t>
  </si>
  <si>
    <t>…pagaban para el canal de Tauste; acusaciones que se le van á leer; y habiéndole leído las presentadas opinaba la comisión se rebajase la mitad en beneficio de los propieta por el Sr. Borges Carneíro, que versaban sobre la relajación de la rios y colonos. justicia, elogios del ministro á algunas personas, condescendencias con Ei de la de Política , acerca de la exposición de D. Angel Sacarino, varios magistrados, y retraso en la publicación de decretos ,…</t>
  </si>
  <si>
    <t>…ra la causa del contrabando, el que se quitaría si no hubiese tal riores , por I 13 vetos contra 54. privilegio. Los griegos siguen en su asombrosa empresa de formar una nación El Sr. Borges Carneiro pronunció) un elocuente discurso, en el que independiente, y sacudir el ominoso yugo de los Sultanes, á pesar de manifestó los conocimientos que tiene en este ramo, y probó) lo útil que según parece persiste el Austria en desaprobar su conducta. La Ru que era…</t>
  </si>
  <si>
    <t>…que los entregarán como di Se suscitó la duda de si deberla discutirse este artículo, hallándose nero efectivo á Jos pagadores de! egército para que se carguen á quien ausente el Sr. Borges Carneiro, que lo habia propuesto, ó suspenderse corresponda. Art.' 11. En tiempo de guerra se organizará el cuerpo ad para otra sesión; v el Sr. Miranda dijo que convendría esperar el infor ministrativo militar, nombrando el Gobierno un intendente que opere me de la c…</t>
  </si>
  <si>
    <t>…rlo igualmente á la Reina y demas perso En la sesión de las Cortes de Portugal del dia 7 propuso el diputa nas de la familia Real; se. decidió que debia cumplimentar á toda la rlo Sr. Borges Carneiro que se dijese ai Gobierno mandase que .Mon familia Real. tevideo fuera entregado, y se redamara la plaza de Olivencia: su pro Se pasó á ¡a discusión del dictamen de la comisión de comisiones posición fue leida por primera vez. para' que se les agregasen algun…</t>
  </si>
  <si>
    <t>…ría Teresa y su hijo el Sr. D. Sebastian , cuyo decreto quedó jandro, hay ya hecha una suscripción muy, considerable en favor "de.,,aprobado.■ ... dé led'ittsurgentes griegos." El Sr. Borges Carneiro llamó la atención sobre la palabra señor , á El Constitucional de Paris publica noticias muy curiosas acerca da lo que respondió el Sr. Sousa de Magaihacs que la comisión de re- • la secta de los ■hrferit.as, contra la que ya el Observador austríaco soltó dic…</t>
  </si>
  <si>
    <t>…iese después íntenci nes de ios augustos protectores de la sociedad bíblica, d. la los informes necesarios. cual tengo á mucho honor mió el ser individuo; es condenar la mas ca El Sr. Borges Carneiro exigió) que se tratase del destino que se ha ritativa de las instituciones del siglo xxx. bia de dar á las personas que se hallaban detenidas á bordo! y despue»</t>
  </si>
  <si>
    <t>…. Por último se decidió que la co Idem iz. misión diese su dictamen. La función enteramente griega, dispuesta para celebrar el fausto dia Se leyó por segunda ver la indicación del Sr. Borges Carneiro so p de Julio, no pudo celebrarse á causa de La lluvia. El Excmo. ayunta bre que se propusiese á S. M. que convendría no nombrase diplomáti miento, con asistencia del Sr. gefe político, capitán general, diputación cos con el carácter de embajadores: se mandó…</t>
  </si>
  <si>
    <t>…plegando todo el furor-de los resenti-su licencia, teniendo en consideración el servicio que hubiesen hecho.” mientos y venganzas: los infelices piamonteses gimen en secreto, 7 El Sr. Borges Carneiro, como individuo de la comisión de Consti ocultan en lo íntimo de su corazón los nobles sentimientos de su amor tución , leyó las palabras dél discurso de S. M. que eran poco confor á un Gobierno paternal, fundado en la representación nacional , que es mes con…</t>
  </si>
  <si>
    <t>…a de calificar de ideas especulativas. Escuchemos lo que di acordado por el Congreso. ce sobre este punto el ministro del Interior. » Ciertos hombres , dice, Antes de retirarse el Sr. Borges Carneiro hizo la proposición de que acostumbrados á posponer los hechos á las teorías, se ofenden de solo se diesen gracias por el Congreso al Sr. diputado Sepúlveda, comandan la ¡dea de medidas interinas y de leyes de circunstancia. Después de te de la fuerza armada…</t>
  </si>
  <si>
    <t>…cuerpo de eclesiásticos y juez de primera Reflexionando sobre sus circunstancias y antigua conducta, dijo el instancia, que por su mérito y' amor al sistema que nos rige es digno Sr. Borges Carneiro que era muy raro que habiendo sido comisionado de todo elogio. Depositada la bandera, se sirvió un abundante refresco ñ por la anterior Regencia para la convocación de las antiguas Cortes el la tropa, y por la noche hubo un magnífico y brillante baile venerar…</t>
  </si>
  <si>
    <t>…que dé su dicta Ei Rey se quitó sus vestiduras, y se puso un manto, de terciopelo men y después se discuta. color de púrpura. La comitiva se despidió para volverse á Westmins- El Sr. Borges Carneiro habló en el mismo sentido, diciendo que los ter-Hall, en donde estaba prevenida la comida. Los barones de los cin diputados no debían dar satisfacciones por las-palabras que profiriesen co puertos que habian llevado el dosel se apoderaron de él como pro en el…</t>
  </si>
  <si>
    <t>…es imposible de policía que debían ocupar el mismo lugar que los taquígrafos; y asi equivocarse. se acordó. » Ahora bien, señores, ¡queréis saber cuáles eran en 1789 las verda El Sr. Borges Carneiro leyó el dictamen de la comisión de Consti deras necesidades de los tiempos5 Abrid los cuadernos de las diversas tución sobre las gracias concedidas en la corte de Rio-Janeíro, dando ciases del Estado. Todo lo que entonces formaba el voto reflexivo de su parec…</t>
  </si>
  <si>
    <t>CarneirO, Borges</t>
  </si>
  <si>
    <t>Borges CarneirO</t>
  </si>
  <si>
    <t>…resentado Fuñar han procutado disminuir el indujo del clero para aumentar el ius credenciales el encargada. luyo; y conociendo que el único medio de lograrlo era generalizar la El Sr. Borges CarneirO expuso que el Sr. Sarmentó no habia di .instrucción entre sus conciudadanos, han fundado escuelas en Constan— cho que D. Josef María Pando era un espía, pues solo habla dicho [inopia, Smirna, Salónica y en las principales ciudades para enseñar á que no tenien…</t>
  </si>
  <si>
    <t>…sta diversión no se hacían los hombres bár París y ‘te Agosto. baros , y que la nación le tenia mucha afición. Aqui atraen la curiosidad pública nuestros propios asuntos ademas El Sr. Borges Carneiro sostuvo su proposición ; demostrando que de los de la Grecia. El haberse retirado Mr. Villeíe y Coibieres, la di esta diversión debía considerarse como bárbara, siendo una costumbre misión de Mr. Chateaubriand , la partida de Mr. Decazes, la ausencia heredada…</t>
  </si>
  <si>
    <t>…junta á D. An tonio l’ellicer con el objeto de que practicase las averiguaciones nece Sesión de Cortes del 10. sarias para saber el barco ó casa de donde procedió el doliente. El Sr. Borges Carneiro, como individuo de la comisión, leyó el Oficióse á los Sres. de la junta de caridad para que enviasen un bo dictamen de esta sobre el conde de Arcos; en que decía que en aten tiquín y 48 camas al lazareto limpio, y asimismoaí sucio algunos efec ción al oficio…</t>
  </si>
  <si>
    <t>Gaceta de Madrid n.º 244</t>
  </si>
  <si>
    <t>…los Setubal, la cual se suponía ser contestación á otra suya, con el abomi muchos que hay anclados en él (iir continuará.') nable objeto de comprometerlo en la opinión pública. El Sr. Borges Carneiro dijo que á él le habian dirigido también Madrid Domingo 26 de Agosto. iguales cartas; pero que las habia despreciado, porque era una maldad que no merecía otra cosa. ARTICULO DE OFICIO. Habiéndose levantado la sesión , dijeron algunos de los espectado res que…</t>
  </si>
  <si>
    <t>…Despacho á algún consejero de Es « Las cartas de aquella capital refieren que se cometen nuevas cruelda tado. des , y aun mas horribles que las que sabíamos hasta ahora. Añaden El Sr. Borges Carneiro dijo; Este oficio no debe pasar á la comisión, que no son solamente los judíos los que empiezan á tomar una parte pues esta prohibido el que se acumulen empleos en una persona; y cuan activa en las sangrientas escenas de aquellos desventurados países, pues do…</t>
  </si>
  <si>
    <t>…e Sesión de Cortes del jo de Agosto. ron el extraordinario atentado ( que no se ve mas que én él Asia) de saquear las tiendas/ De los excesos de los turcos no sé habla una pala El Sr. Borges Carneiro presentó una proposición, en cuyo preám bra. Alguna, frases déla relación original , fecha en Aivaly en 15 de* bulo hablaba de los inmensos gastos que aun se hacían por el extingui Junio, y que citamos ai pié de la letra, manifiestan claramente si ha do comis…</t>
  </si>
  <si>
    <t>…que se advieite en todas las tertulias, y en todas las reuniones sobre la Sesión de Cortes del jt di Agostos causa de los griegos , se admira de que uno de los mejores redacto El Sr. Borges Carneiro hizo una indicación sobre que el Consejo de res del Diario de los Debates aperiódico que es un día griego y otro Estado manifestase a S. M. la necesidad que habia de atender í la edu turco) haya tomado á su cargo ei tremolar el estandarte de Ja media cación d…</t>
  </si>
  <si>
    <t>…leza numerosa, y que goza de privilegios muy gravosos. El Lisboa 11 de Setiembre---- Sesión de Cortes del 4. Rey, al mismo tiempo que ha sancionado la proposición del btorting, El Sr. Borges Carneiro dijo que habia recibido una exposición he que según la Constitución tenia luerza de ley aun cuando el Rey no cha por Josef Machado Correa, natural de Bahía, en la que probaba claramente la utilidad que resultarla de que los eclesiásticos fuesen ca (1) Esta su…</t>
  </si>
  <si>
    <t>…re de Londres, y este para el peñón de Sta. Elena. presente, y se mandó pasar á la comisión diplomática. Pero el punto mas delicado no es el éxito de las operaciones militares; El Sr. Borges Carneiro leyó el dictamen de la comisión de Consti mas fácil es echar á los turcos de la Europa, que el resolver cómo tución sobre la pregunta del ministro de Marina, relativa á los hono podrá en seguida repartir ó regenerar su imperio de modo que llene res que deberí…</t>
  </si>
  <si>
    <t>…conocían muy, bien que se abusaría Rey por una comisión de cinco diputados que nombrará el presidente.!’ de tan benéfica institución; pero al fin se creyó .conveniente estable El Sr. Borges Carneiro opinó que se suprimiera el que fuese una di cerla, poique nunca los abusos pueden ser un . motivo suficiente pata putación á presentar el decretó aí Rey; pero el Sr. Sarmentó fue de dejar de tomar una buena resolución. distinta opinión, fundándose en que no s…</t>
  </si>
  <si>
    <t>…que camina en posta á distancias proporcionadas, no del Gobierno, y guardar su original en el archivo.” puede ser jamas registrado ni detenido en parte alguna del interior del El Sr. Borges Carneiro propuso la siguiente adición al artículo an •reino pasada la línea de precaución.” terior: n Si el Reyen el término prefijado no diere la sanción expresa El Sr. García Page opinó que este artículo no guardaba relación da en el art. 91 , las Cortes enviarán la…</t>
  </si>
  <si>
    <t>Carneiro, Eorges</t>
  </si>
  <si>
    <t>Eorges Carneiro</t>
  </si>
  <si>
    <t>…iéndose dado cuenta de varias solicitudes y expedientes que pa sentaron varias proclamas subversivas circuladas por aquel distrito) sin saron á las comisiones respectivas, leyó el Sr. Eorges Carneiro el dic mas objeto que el de que consten en las Cortes los nobles sentimiento* tamen de Ja comisión de Hacienda sobre las franquicias concedidas que animan á los habitantes de aquella provincia: las Cortes las reci por el consejo de Hacienda para el embarque d…</t>
  </si>
  <si>
    <t>…en la sumaria dicen uná obstáculo en el modo de-hacer las elecciones; otrosí fueron de distinta nimemente que los soldados tiraion sin dirección al putb’o, 6 por en opinión; y el Sr. Eorges Carneiro dijo", entre otras muchas cosas, que cima de las cabezas del pueblo. Esta declaración es importante , porque las elecciones directas--serian siempre un .motivo de convulsiones. y servirá para probar que no hicieron fuego para su defensa personal. La motines.…</t>
  </si>
  <si>
    <t>Carneiro, JBorges</t>
  </si>
  <si>
    <t>JBorges Carneiro</t>
  </si>
  <si>
    <t>…Habiéndose tratado de la formación , nombramiento y circunstan en un bosque del termino de aquella yil'lá, dieron muerte al vecino de cias del consejo de Estado, hizo presente el Sr. JBorges Carneiro que ella Gabriel Cifuemes; cuya causa se halla ya en poder dei juez com se decía que los'consejeros fuesen-propuestos por las Gortes, y nombra petente. - ■ • dos por el Rey; y que no había egemplo alguno en Portugal de que una Sí bien es sensible que se comet…</t>
  </si>
  <si>
    <t>…r ios despachos de la curia eclesiástica; la comisión opina Agricultura una carta agraria sobre lo mismo, que remitió á las Cortes ba que se debería oír a! obispo actual ; pero el Sr. JBorges Carneiro se D, Joseí Espinosa. : opuso al dictamen de la comisión , diciendo que esto no tenia otro ob Se hizo primera lectura de unas proposiciones de los señores Subrié jeto que el de que se pagasen derechos á la curia eclesiástica; que era un y Marín Taúste, relati…</t>
  </si>
  <si>
    <t>Carneiro, Jorges</t>
  </si>
  <si>
    <t>Jorges Carneiro</t>
  </si>
  <si>
    <t>El.Sr. Jorges Carneiro reprodujo su. Opinión de que solo fuesen, ca de si.de sus procedimientos consideraba oportuno exigir la responsa euatro los sujeto* que compusiesen la Regencia, y que ¿l ministro fue bilidad en algunos magistrados que hubiesen intervenido en ella. se el quint…</t>
  </si>
  <si>
    <t>Carneivo, Borges</t>
  </si>
  <si>
    <t>Borges Carneivo</t>
  </si>
  <si>
    <t>…al gún interes, y entre ellos el del bilí sobre extrangeros. La coronación razones en que se fundaba. , del Rey es uno de los principales.objetcs de los periodistas. El Rey de £1 Sr. Borges Carneivo opinó que se le llamase Rey de lospor tugueInglaterra ha regalado al Gran Sultán uri puñal guarnecido de diamantes,pues bajo este título sé comprendían los de ambos hemislenos, y tes de! valor de'goSI pesos; y el embajador ingles recibió del Sultán 5que debia…</t>
  </si>
  <si>
    <t>Carnelro, Borges</t>
  </si>
  <si>
    <t>Borges Carnelro</t>
  </si>
  <si>
    <t>…las órdenes militares, y que se de Carvalho y él obispo de Beja. aplicasen sus rentas á la extinción de la deuda pública. Se continuó la discusión sobre la presidencia de la co El Sr. Borges Carnelro propuso un decreto para que no misión del tesoro público, y después de varios pareceres se usase en las oficinas públicas otro papel que el de las fá nada se resolvió, quedando pendiente para la sesión próxi bricas nacionales, y que se prohibiese la extracció…</t>
  </si>
  <si>
    <t>Carnet, Borges</t>
  </si>
  <si>
    <t>Borges Carnet</t>
  </si>
  <si>
    <t>221 una comisión, con la adición relativa á las islas de los Azo Sr. Borges Carnet ro leyó un proyecto de convocación de res, respecto á que estas estaban sujetas á la jurisdicción diputados de las isias, manifestando que este proyecto no de Portugal, al que prestaban grandes auxilios mercantiles, tenia nada que ver con el de elección de di…</t>
  </si>
  <si>
    <t>Carnsiro, Borges</t>
  </si>
  <si>
    <t>Borges Carnsiro</t>
  </si>
  <si>
    <t>…insurrección griega va acabándose por consunción. Ya Ipsiianti se ha retirado á las mon Sesión dé Cortes del 26. tañas huyendo, y nada consigue con su pretensión de hacer creer El Sr. Borges Carnsiro, con motivo de una queja contra iin magis que se halla eficazmente protegido. Teodoro , según los tales periodis trado, habló enérgicamente sobre los abusos de estos, y concluyó sit tas, ha escrito á Ipsiianti una carta llena de amenazas, porque sus tro discu…</t>
  </si>
  <si>
    <t>Caro</t>
  </si>
  <si>
    <t>…Joanama» componer el tribunal de Cortes, lo fueron por e&gt;te orden : i.° el señor Las Cortes recibieron con aprecio, y mandaron pasar á la comisión La Bodega por 71 votos: i.'1 el Sr. Caro por 74: 3.' el Sr. Romero de Guerra, dos colecciones de todos los números del periódico la Mi Alpuente por 76: 4/ el Sr. Gira Ido por 75: 5.’ el Sr. Caiatrava nerva, que hasta el dia tiene publicados el coronel D. Miguel Tenorio. por 72: 6. el Sr. Echevarriá…</t>
  </si>
  <si>
    <t>Carpí, Jaime</t>
  </si>
  <si>
    <t>Jaime Carpí</t>
  </si>
  <si>
    <t>…S DE ESPAÑA. y Servent, vecino de Onili__En Denla: D. Joaquin Abargues, de Benisa; D. Josef Ciscar, de Gandía, y D. Pablo-Sala , de Denla. f-'u ' Earcelona 7 de Noviembre. Alcira: D. Jaime Carpí , presbítero de Alginete; D. Pedro Fuster, abogado de Albalat dePardines, y D. Calixto Gómez, farmacéutico , . - SALUD PUBLICA. ^ de Alcira—En Cartagena: D. Pedro Molla Sartorio y D. Isidoro .NaParte del lazareto sucio de todo el dia 3. varrete. Bárceloneta,…</t>
  </si>
  <si>
    <t>Carra'ccioló, Josef</t>
  </si>
  <si>
    <t>Josef Carra'ccioló</t>
  </si>
  <si>
    <t>…tó que con respecto á las tarifas había muchos abusos, resultan Príncipe de’ Gcrace. D. Félix Ainati. do muy perjudicado nuestro comercio, en razón de que los Gobiernos El' bailío D. Josef Carra'ccioló. D. Carmen Lancellotü ' ' extrangeros habían subido sus tarifas, y los cónsules españoles habían Marques de Sta. Agata, D. Nicolás Porcinari. uniformado i estas las suyas, y aun exigían arbitrariamente los dere til mariscal de campó D. “Vicente El presidente…</t>
  </si>
  <si>
    <t>Carrada, Juan</t>
  </si>
  <si>
    <t>Juan Carrada</t>
  </si>
  <si>
    <t>…sa opinión de estos no corrige los abusos, entregar á estos puso en la citada dependencia de comercio el general porque ó no los marca donde están, dejándose llevar frecuentemente D. Juan Carrada; bajo la inteligencia de que pasado el término del de equivocadas suposiciones, ó si da en la dificultad, yerra casi ge año se distribuirán en sufragios por las almas de aquellos interesados.' neralmente en los medios de manifestarla. Ni las sátiras ni las di…</t>
  </si>
  <si>
    <t>Carrasco</t>
  </si>
  <si>
    <t>…veniente en esta-materia, y qtie "déeste, modo se ahorraría el Se mandó--pasar á'la-comisión de Agriqultur,a la..siguiente, indica- Iqs sueldos de dichos .catedráticos. j cion dei Sr. Carrasco: «Pido que Jas Corres declaren que Jos bueyes ' El Sr. Nav^s' fe' Ópusó "a’este dictánieñ, y después de una corta.dis de carretería’'np-debén disfrutar detotros pastos-comunes;de les pueblos cusión dijo el Sr. JHpata que se necesitaban .para -el establécímiér…</t>
  </si>
  <si>
    <t>…ncisco -y-Doña Alaria del Carmen Olave, y otra de D. Víctor Xagandara y Rivas so PORTUGAl. bre dispensa de edad para manejar sus bienes. Se mandó insertar en las actas el voto del Sr. Carrasco, contrario Lisboa 10 de Marzo. i lo dispuesto por las Cortes acerca de ser suficiente el examen para incorporarse en las universidades. •! Co»tbs._-$‘m»wi dtl y. A las comisiones de Marina y Legislación se pasó una consulta Se díó cuenta de varios'cxpedicntes…</t>
  </si>
  <si>
    <t>…haberse discutido allí la Constitución po - -Se continuó la primera lectura del código penal. -lítica de la Monarquía española. ; : . - Se leyó'por primera vez una proposición del Sr. Carrasco acerca de A la de Infracciones de Constitución pasó una exposición de Don la inteligencia que debe darse al decreto de reemplazo del egército, re Joaquín Rives, canónigo de ia Sta. iglesia de Onhueía, quej ndose de lativo á los pastores' de ganados trashumant…</t>
  </si>
  <si>
    <t>…judicial, tendrán para presentarlo el término de 15 dias des ción de lo que aquí se previene, se egecutará á su costa, sin perjuicio pués de concluido. « de otras providencias. El Sr. Carrasco manifestó que debería quitarse la cláusula de que Art. 6;, ,, Las partes morosas en solicitar la anotación en el regis la relación que presentasen los herederos, legatarios ó testamentarios tro , o en entregar á los escribanos las cantidades correspondientes…</t>
  </si>
  <si>
    <t>…enda unidas. dantes de campo del Rey. ■ la comisión dé Legislación presentó su dictamen acerca de la pro El Sr. Romero Al puente dijo: aqui se proponen ocho plazas de posición del Sr. Carrasco en la sesión de 18 de Marzo' último (véase Lt ayudantes de campo del Rey con el sueldo ó dotación de 2500 rs. gaceta del ig, pag. ,j6y), relativo á los pastos de los bueyes de car mensuales; estos sbn oficios púbiieos , y de consiguiente sü creación retería ,…</t>
  </si>
  <si>
    <t>…los deudores y su familia, ni los ^gana 'mesones ó posadas; y se l.és prohíbe tomar 'sus dietas de lós cobradores dos, instrumentos y,aperos de la labranza, artes, y oficios. Y el Sr. Carrasco pidió que se pusiese la palabra aperos, antes de la . y; deudores. ! depositarios. V. T. de rentas ordenarán én sus distritos palabra ganados. Quedó aprobado este artículo con la indicación re- Art. 253. Los, 'respectivos los apremios contra los cobradores y…</t>
  </si>
  <si>
    <t>…ó el dictamen de la comisión de Infracciones de Constitu dó aprobado el dictamen de la comisión. ción, relativo á la queja dada contra el alcalde constitucional de Mur Adición del Sr. Carrasco, art. 12: »Que se suprima la palabra cia D- Miguel de Veígara por D. Antonio Serrano, vecino de aquella pueblo, á fin de que la base aprobada por las Cortes se entienda solo ciudad: la comisión opinaba que no habia motivo suficiente para de que es con respect…</t>
  </si>
  <si>
    <t>…os pueblos de su garon , y en personas que gocen otro sueldo.” Aprobado. territorio.” Aprobado. Art. 28. » Los subdelegados gozarán de un sueldo desde 5'3 á 158 Por la adición del Sr. Carrasco al art. 2.0 de la nota núm. 8, pidió reales, según la extensión é importancia de la subdelegaron, á juicio este Sr. diputado que los préstamos entre particulares se exceptúen de del Gobierno.” Aprobado. todo derecho. » La comisión juzgaba que siempre que el p…</t>
  </si>
  <si>
    <t>…inión eVa que-tio podia resólvé'tse nadamiéntras fiil-• secuestrados deben ó no quedar á beneficio de este establecimiento , ní¿-- tase este requisito indispensable. Que cuando el Sr. Carrasco hizóláfitr-’ diante lo dispuesto en el decreto de 22 de Enero próximo pasado. dicacion que-motivó este dictamen iíiáicó la gravedad dil asuntó,y di-í - A'la especial dé Hacienda se mandó pasar el resultado de -las-ope- . jo que existía ún expediente enría com…</t>
  </si>
  <si>
    <t>…ieron varios vecinos de Estepa contra el de que se ha hecho mención. Aprobado; añadiéndose, á petición del alcalde constitucional de aquel lugar, por varias infracciones de Consti Sr. Carrasco, las palabras siguientes después de provincias: con la in tución cometidas en la elección de ayuntamiento. La comisión no ha tervención de las diputaciones provinciales, llaba motivo para proceder contra el cilado alcalde, puesto que no lo ' Art 10. «Queda ex…</t>
  </si>
  <si>
    <t>Carrasco, Josef García</t>
  </si>
  <si>
    <t>Josef García Carrasco</t>
  </si>
  <si>
    <t>…Torre, id. Sevilla 4 de Agosto. D. Angel Martínez, id. D. Josef Perez Marañon, de San D. Anselmo Elguizabal, id. tander. (Continua el artículo de ayer.) D. Antonio Coma, de Cádiz. D. Josef García Carrasco, de CáA los .que se presenten leyendo bien en prosa, sabiendo doctrina Bayo é hijo , de Bdbao. ceres. cristiana y con conocimiento de los principios de escritura se adjudi D. Benito Felipe de Gaminde é hi D. Josef Vicente Durana, de Cá cará una colección de p…</t>
  </si>
  <si>
    <t>…aban las numerosas guardias destinadas á mantener el D Jossf Viilanueva y Alón, vecino de Barcarrota. orden, y en el centro una porción de pages de S. A. negros y blancos, Ciares. D. Josef García Carrasco, vecino de Cáceres. vestidos magníficamente, y montados en caballos árabes del mayor pre D. Tomas Sánchez del Pozo, ídem. cio; y tan diestros estos como los ginetes, hacen sus juegos del djh-it, ó alicántara. D Laureano Santibañez, cura de Ceclavin. sea guerr…</t>
  </si>
  <si>
    <t>Carrascosa</t>
  </si>
  <si>
    <t>…lidad tí las naciones agoviadas bajo el peso del despotis perior el ege'rcito efectivo de línea á lo que había anunciado mo (como todas las del medio dia de Europa) del modo el ex-ministro Carrascosa, y que constaba en el dia de mas con que se sacude.el yugo, y sobre qué principios y con de 54® hombres; que las plazas es:aban abundantemente qué fines sa debe sustituir aí Gobierno sostenido por la fuer provistas de víveres y municiones; las obras de fortif…</t>
  </si>
  <si>
    <t>…66,689 rs. y 11 mrs&gt; guientes nombramientos-, el general Pepe para el mando en gefe de Fincas que se rematan el dia 20 en la misma ciudad de Barcelona. las guardias nacionales; el general Carrascosa para el de las tropas de El colegio de S. Pablo, sito en la propia ciudad, en 437,151 rs. línea; y el general Filangieri para el de la guardia Real, la cual de y 15 mrs. bía pasar á formar el 4." egército activo. El 12 habian dado la vela Una hacienda llamada…</t>
  </si>
  <si>
    <t>…empo; y se consolida esta refle plimiento ; debiendo darme aviso d« su recibo. Madrid 31 de Marzo xión, si con efecto el n, 12 y 13 han sido batidos los austriacos por de 1821. el general Carrascosa. El general Frimont confiesa aqui que su columna, que se dirigia A las cuatro y media de la tarde del día' 9 del corriente se'dará contra Antridocco, se detuvo para esperar las tropas del mayor Aspre, principio en el Jardín botánico. de esta corte á; las lecc…</t>
  </si>
  <si>
    <t>…cho el nombramiento. tan algunas cartas de Florencia del dia -o de Marzo, en que ase Sabida Ja mañana del 22 la fuga del Príncipe sin haber prevenido cosa cura que el ejército del general Carrascosa se retiraba sobre Ñipóles, y alguna á la junta ni á las autoridades , se apoderó de todos los habi que e! barón de Fnmont pensaba entrar el go ea la cap.tal ; ¿ii-Jiendo tantes una consternación general , y muchos de ellos, y con especiali las tales cartas qu…</t>
  </si>
  <si>
    <t>…uido, :e,ta noticia qué tendió una proclama que acompañaba adjunta: que no sabia del egér efecto podría causar entre nosotros! El mejor del mundo (continuó), cito que amenazaba al general Carrascosa , ni si tuvo este la misma estrecharnos mas con el Monarca de un rqpdo público , como esti tuerte que el general Pepe; que se decía que al egército austríaco acom vamente ha sucedido, según lo que hemos oído al Sr. secretario de la pañaban obispos napolitanos…</t>
  </si>
  <si>
    <t>…ama del Duque de Calabria. ber pasado el grueso del egército el Careliano en Ceprano , marchó rá ,,Francisco, Duque de Calabria, Regente del reino : pidamente sobre S. Germano. El general Carrascosa habia retirado su ,,Las paternales intenciones del.Rey, mi augusto padre, me han egército á la posición fortificada de Mignano sobre el camino de Ca sido manifestadas plenamente por las últimas cartas que me escribió pua. El mismo espíritu que habia dispersad…</t>
  </si>
  <si>
    <t>Carratalá</t>
  </si>
  <si>
    <t>…stitos cuando sea necesario10. rae para Jauja con g2 hombres de la mejor tropa á combinar opera Establecer medios adecuados para el pago de la deuda pública : 11. Ar ciones con el coronel Carratalá , que se hallaba en Guancavelica para reglar la administración de los bienes nacionales., y decretar su renta atacar á Arenales, y abrir comunicación con dicha provincia para pro en caso necesario: 1 2. Crear ó suprimir empleos públicos y señalar sus porciona…</t>
  </si>
  <si>
    <t>Carreño, Ramón</t>
  </si>
  <si>
    <t>Ramón Carreño</t>
  </si>
  <si>
    <t>…en su ánimo si se desvanece D. Manuel Guballer Muñoz , D. Martin de Ileros, D. Miguel Muñoz, esta ilusión! Ah! no la destruyáis, dignísimos electores; antes bien D. Miguel Piüol, D. Ramón Carreño, D. Ramón Barbara y D. Pelasostenedla con todos vuestros esfuerzos; mostrad la estoica rigidez de yo García Zorrilla. los Licurgos y So'ones, y ya que tan felizmente desempeñaron su en Parroquia de S. Pedro, 2 electores. cargo vuestros comitentes , trasmitid…</t>
  </si>
  <si>
    <t>Carreras, Manuel</t>
  </si>
  <si>
    <t>Manuel Carreras</t>
  </si>
  <si>
    <t>…e heciro y fuera de la circulación los Francisco Serafín, de Gibraltar y Algeciras en un dia: trae de pasage 170.9409 rs. de deuda con interes que entran en ia mitad del pago da á D. Manuel Carreras, capnan y primer piloto de la bombarda españo su capital, v han de pasar á ia junta dei Crédito público para su cancela la las Almas, alias Cometa, tres individuos de la tripulación v un ción , y que de este modo logra dicha junta el ahorro dei pago de sus pa…</t>
  </si>
  <si>
    <t>Carrese, Antonio</t>
  </si>
  <si>
    <t>Antonio Carrese</t>
  </si>
  <si>
    <t>…y resguardos. Sr. conde , que la junta de censura calificó de injuriosas ; dijo S. S. que Por el ministerio de Hacienda se ha remitido á la dirección gene por no haber justificado D. Antonio Carrese ser ciertas, según lo ofre ral de aduanas y resguardos la Real orden siguiente: ció justificar en el juicio conciliatorio,y en sus alegaciones dé defensa, „ Excmo. Sr.: El Rey se ha servido mandar en vista de la propues debía de declarar y declaraba haberse e…</t>
  </si>
  <si>
    <t>Carríeiro, Borges</t>
  </si>
  <si>
    <t>Borges Carríeiro</t>
  </si>
  <si>
    <t>…ión ; lo que dio motivo á una fuerte discusión, que se terminó con decir que en lugar de la palabra ley PORTUGAL. ’ ' que usaba el artículo-.se pusiese la de Constitución; pero el Sr. Borges Carríeiro no quiso ceder de su protesta, diciendo i, ■ ... ■ Lisboa j 4 xic.‘Febrero. que la presentaría por escrito en la siguiente sesión. Discutido el ;art.r 6.°, se aprobó con sola la variación de • zL ■ Sesión de Cortes del ig. añadir despues-de.la palabra prisión…</t>
  </si>
  <si>
    <t>Carrillo, Amonio Gregorio</t>
  </si>
  <si>
    <t>Amonio Gregorio Carrillo</t>
  </si>
  <si>
    <t>…fiór,,;. viejo., provincia ¿de Madrid, reiterando la queja que , hizo ¡.en'el ría,, con arreglo á -la .Real orden á que se refiere este- articulóaño.pasadocoiuraelcurade la. misma D. Amonio Gregorio Carrillo, - Después de una aligerísima discusión seaprobó el referido artícu-por‘no explicar la Constitución cqnforme.pstá mandado, manifestando, lo 9.0. en estos.términos: •&gt; Emtodós los. j&gt;rócesos&gt;,que se formaren mía, qiie para su cumplimiento le hábia citado á con…</t>
  </si>
  <si>
    <t>Carrillo, Pedro</t>
  </si>
  <si>
    <t>Pedro Carrillo</t>
  </si>
  <si>
    <t>…da á tillería sobre el gravamen que sufren los subinspectores por los gastos los turcos , por la cual se les aseguraba sus personas y bienes , la libertad de escritorio; y otra de D. Pedro Carrillo, sargento mayor de la plaza, de su culto y la igualdad ante la ley. Los musulmanes contestaron i este de Pamplona, pidiendo se le librasen ciertos sueldos. acto de' generosidad asesinando á las rougeres é hijos de los griegos, y A la especial de Hacienda una…</t>
  </si>
  <si>
    <t>Cartagena, Francisco</t>
  </si>
  <si>
    <t>Francisco Cartagena</t>
  </si>
  <si>
    <t>…ilancia y su sincera adhesión El Rey se ha servido conceder los honores de boticario de Cámara al régimen constitucional -se manifiestan sin disfraz ni hipocresía , los de S- M. á D. Francisco Cartagena, profesor de farmacia en la ciudad habitantes se afirman cada dia mas en la idea de que Ja Constitución de Caracas , en atención á sus servicios contraidos en aquellos dominios. debe atraerles su bienestar, y á la Nación su prosperidad; y sin mas ins trucción…</t>
  </si>
  <si>
    <t>Cartagena, Josef de</t>
  </si>
  <si>
    <t>Josef de Cartagena</t>
  </si>
  <si>
    <t>…mar Julián de Iturralde, D. Pedro Vázquez Ballesteros y D. Santiago Bal en la sesión de 25 de Junio de 1821 sobre el estado actual de Jas pro tasar de Aguirre: en la de Valencia á D. Josef de Cartagena, D. Dal- vincias de que son representantes, y medios convenientes para su de inacio Alpuente y D. Miguel Antonio Rodrigo: en la de Cataluña á finitiva pacificación, con una noticia de los trámites que la precedieron D. Jacobo Villaurrutia y D. Antonio Gonzále…</t>
  </si>
  <si>
    <t>Cartas, Barezzi</t>
  </si>
  <si>
    <t>Barezzi Cartas</t>
  </si>
  <si>
    <t>Gaceta de Madrid n.º 274</t>
  </si>
  <si>
    <t>…extiende después sobre otra pared á la que creer se allanarán las diferencias entre la Rusia y 1a sublime Puerta.- se pega la pintura sin que se pierda un solo perfil de ella. El Sr. Barezzi Cartas particulares dicen que si se conserva la paz , un egército ruso está sacando actualmente un gran cuadro de Marco de Oggione que está ocupará la Moldavia y la Valaquia, las que pedirá la Rusia en garan en la iglesia de la Paz en Roma, y se espera que con su mé…</t>
  </si>
  <si>
    <t>Cartrn, Peteira do</t>
  </si>
  <si>
    <t>Peteira do Cartrn</t>
  </si>
  <si>
    <t>…char, bien pronto serian Se leyó una representación de este ex-brigadier; y habiendo pedido castigados , destruidas ó arrojados á los desiertos del Africa y del Asia la palabra el Sr. Peteira do Cartrn , dijo que él habia manifestado su opi ¡os barbatos que asesinan á-los griegos, degüellan ¡i ios pontífices , y nión sobre el caso presente s"a hablar de la persona: que las Cortes ha prostituyen las doncellas cristianas á una soldadesca desenfrenada: si bian…</t>
  </si>
  <si>
    <t>Carueiro, Korges</t>
  </si>
  <si>
    <t>Korges Carueiro</t>
  </si>
  <si>
    <t>…ey la diputación pro Se pasó á disentir los artículos adicionales á las bases de la Consti vincial de Navarra en las últimas Cortes de aquel reino. tución, que habia presentado el Sr. Korges Carueiro; y tratándose de si Se pasó á la referida comisión de Hacienda lo que expuso la Junta debían componer parte de las bases ó dejarlos para la Constitución , fue nacional del Crédito público ace ca déla solicitud de D. Josef Baiaron desechados todos menos el seg…</t>
  </si>
  <si>
    <t>Carvajal, Josef María</t>
  </si>
  <si>
    <t>Josef María Carvajal</t>
  </si>
  <si>
    <t>…e pez Paro, se siguen autos por el señor fiscal de la extinguida subdelepresidente el mas antiguo de los concurrentes por el orden de sü nom gacion de Mostrencos contra el F.xcmo. Sr. D. Josef María Carvajal, bramiento. Art. 5.0 La junta tendrá en la correspondencia de oficio el teniente general délos egércitos nacionales, y el Sr. D. Vicente Satuctratamiento de Excelencia. Art. 6.a El secretario deberá ser sugeto de ci, marques de Salucci, y en su nombre con los…</t>
  </si>
  <si>
    <t>Carvajal, Juan</t>
  </si>
  <si>
    <t>Juan Carvajal</t>
  </si>
  <si>
    <t>…ebró anteayer. ■45° 60000 rRANCIA. Continúa la lista de los electores de partido. En Asturias. Partido del Infiesto D. Juan de Posada Arguelles, Parts g de Noviembre. &lt; hacendado; D. Juan Carvajal, cura párroco deVilloria; D. Josef Jun Las cartas de Carcasona-dicen entre otras cosas lo siguiente: co Pola, hacendado. Partido de Salas D. Toribio de Mones, cura da ” A pesar de los sucesos de Smirna, y de la situación política de Muros; D. Josef López Long…</t>
  </si>
  <si>
    <t>Carvajal, Manuel María</t>
  </si>
  <si>
    <t>Manuel María Carvajal</t>
  </si>
  <si>
    <t>…do de debilidad en que se halla, no podrá catedral de Puebla y rector del colegio seminario. menos de acceder á cuanto se le proponga; y ioo3 rusos en sus fron Suplente. Bachiller D. Manuel María Carvajal, cura por S. M. teras, que en pocos días podrán ser reforzados por otros 1 oo3 austría cos , son una razón poderosísima para convencer, no solo á los turcos, Madrid Limes g de Julio. sino á cualesquiera otros que se vean atacados con tan fuertes argumen SS. M…</t>
  </si>
  <si>
    <t>Carvajal, Marcos</t>
  </si>
  <si>
    <t>Marcos Carvajal</t>
  </si>
  <si>
    <t>…ce que entre estos últimos es muy ardiente y fomentar la indus ria española y reprimir el contrabando. general en todo el reino el entusiasmo á favor de la causa de Jos griegos. • D. Marcos Carvajal presentó á las Cortes las ordenanzas de los hos - » Lord Londonderri, ministro de Estado de Inglaterra, debe llegar pitales militares de campaña , reformadas y añadidas por ei mismo, ma á París dentro da pocos dias; y según una carta particular de Viena si ni…</t>
  </si>
  <si>
    <t>Carvajal, Ramón</t>
  </si>
  <si>
    <t>Ramón Carvajal</t>
  </si>
  <si>
    <t>…r lugar á votar. observaciones acerca de las mejoras y enseñanza de esta. Se leyó la siguiente indicación de los Sres. Ramírez y López (jDoix Se concedió el permiso que solicitaba D. Ramón Carvajal, juez Patricio): » Pedimos á las Cortes que mientras se establecen en las ca electo de primera instancia de uno de los partidos de Cataluña, para pitales de cada provincia de Nueva-España las universidades que se se— que pueda prestar su juramento en la audie…</t>
  </si>
  <si>
    <t>Carvajal, Tomas González</t>
  </si>
  <si>
    <t>Tomas González Carvajal</t>
  </si>
  <si>
    <t>…es de dicho cuerpo. de Europa áTíos Sress D. Mateo Valdemóros, conde de Taboada , Don - A la de Legislación otra del Gefe político de Galicia, sobre la ne Josef Vázquez Figueroa , D. Tomas González Carvajal y D. Manuel cesidad de abreviar Ios-trámites en las-causas criminales. Estrada: para las tres plazas correspondientes á naturales de Ultramar á : Las Cortes oyeron ion agrado, y mandaron sé hiciese mención en los Sres. D. N. Eizaguirre, D. Francisco Montalvo , y conde de…</t>
  </si>
  <si>
    <t>…las, - Cortes: i.° que habiendo vacado el empleo de director de los estudios sin perjuicio de que haya establecimientos para enseñar separadamente de S. Isidro por nombramiento de D. Tomas González Carvajal para le parte peculiar de cada arma í ios que se destinen á ella, y de que consejero de Estado , se suprima dicha plaza de director , por no ser ne ■ estudien con mas extensión las materias los alumnos que se elijan para cesaria, y ahorrarse con su Supresión…</t>
  </si>
  <si>
    <t>Carvajal, Tomas Josef González</t>
  </si>
  <si>
    <t>Tomas Josef González Carvajal</t>
  </si>
  <si>
    <t>…, ante el pueblo y la tropa D. Francisco Antonio Canseco, gefe de sección de la dirección general que se hallaba presente , el Real decreto de S, M. el Rey nuestro Se di rentas, y D. Tomas Josef González Carvajal, con el objeto de girar ñor de 24 de Febrero del presente año , en el cual S. M. asegura á su una visita sobre la tesorería general , giro nacional y contadurías de va pueblo que jurará inmediatamente y sancionará la Constitución que se lores y distribución,…</t>
  </si>
  <si>
    <t>Carvalhb</t>
  </si>
  <si>
    <t>…ho se pre Se continuó la discusión sobre si deberían enviarse ó no tropas al sento el batallón en esta parroquíaL, precedido del ayuntamiento-, en’ Brasil; y tomando la palabra el Sr. Carvalhb, dijo ‘que hó reía ia nece donde se hicieron todas las ceremonias prescritas en.la ordenanza.en. sidad de una nueva expedición . porque aquellos países ‘estaban íntima tán solemne acto. El ilustrado .párroco de esta-vilía D. GÍiires-Goniez*! mente unidos á Po…</t>
  </si>
  <si>
    <t>Carvalho, Annes de</t>
  </si>
  <si>
    <t>Annes de Carvalho</t>
  </si>
  <si>
    <t>…Sesmaisons, relator lo que se oponía la comisión; sobre cuyo asunto hubo alguna discu de la comisión de Peticiones, entre las cuales solo la siguiente dió mo sión , proponiendo el Sr. Annes de Carvalho que se quitasen todos los tivo á una interesante discusión. almacenes de ropas hechas establecidos por los extrangeros, y apoyán La Sra. Marceau Sargent pedia que el monumento erigido enChar- dolo en que el tratado.de 1810 nada decía acerca de este asunto; y…</t>
  </si>
  <si>
    <t>Carvalho, Faria</t>
  </si>
  <si>
    <t>Faria Carvalho</t>
  </si>
  <si>
    <t>…e pre te, añadiendo que seria preciso:Ver si en esta disposición habia contra sumía hubiese habido algunas ocurrencias que se ocultaban al pú dicción con los tratados vigentes. Ei Sr. Faria Carvalho dijo que-había ’ blico, y fuesen causa de no ir á su capital dicho Soberano: creíase sin un tratado con la España sobre reoí de Estado; pero el-'r. Luís Mon- ' embargo que tal vez causaba esta dilación el no haber decidido aun la teiro le contestó que en Espa…</t>
  </si>
  <si>
    <t>Carvalho, Josef da Silva</t>
  </si>
  <si>
    <t>Josef da Silva Carvalho</t>
  </si>
  <si>
    <t>…erior 29: entrados 27: salidos ningu de los Negocios .de Justicia, Eclesiásticos y de Seguridad pública al no: convalecientes 9: muertos 1 2 : existentes 44: total de los tres pun doctor Josef da Silva Carvalho ; y para el de Hacienda al doctor Josef tos : existencia anterior 48: entrados 27: salidos ninguno: convaieIgnacio da Costa. ' cientes 13 .-muertos 14 .-existentes 61. Las Cortes, en celebridad del regreso de S. M. , y de la ratificación El día de ayer fueron…</t>
  </si>
  <si>
    <t>Carvalho, Manuel Antonio</t>
  </si>
  <si>
    <t>Manuel Antonio Carvalho</t>
  </si>
  <si>
    <t>…señor y á las necesidades del siglo presente. Camello Forres fue de parecer que se aboliese la infamia de Sabíase en Viena, con referencia á cartas de Laíbach, los castigos, y el Sr. Manuel Antonio Carvalho opinó que que el 30 de Enero se había celebrado la conferencia relá-r debía abolirse hasta la pena de muerte; pero habiendo ob tiva á la ocupación militar de Ñapóles en presencia de los servado el Sr. Moura que esta teoría, aunque hacia mucho ministros de Aus…</t>
  </si>
  <si>
    <t>Carvalhoapoyó, Annes de</t>
  </si>
  <si>
    <t>Annes de Carvalhoapoyó</t>
  </si>
  <si>
    <t>…la fragata Venut con su convoy, q ;e s.Jió de este puerto El Sr. Borges Carneiro sostuvo que no era aun tiempo en 27 de Setiembre. de que se decidiese la tercera prof osicion: el Sr. Annes de Carvalhoapoyó la propuesta delSr. Soavés Franco; añadien NOTICIAS DEL REINO. do que la comisión decidiese á quiénes correspondía el tí tulo de benemérito de la patria: el Sr. Cas edo Branco re S. Sebastian a, de Febrero. conoció la necesidad de que se discutiesen las tres…</t>
  </si>
  <si>
    <t>Caryallip, Fária</t>
  </si>
  <si>
    <t>Fária Caryallip</t>
  </si>
  <si>
    <t>…rio , en las oficinas, tn lat faban'ér',réino. AIganos Sre¿.diputados,.opinaron que se debia impri- fi|aí,„en:!ps tribunaieKdvbeis buscar á los ciudadanos que no os bushiir j y el Sr. Fária Caryallip dijoSi se ha de esperar, á que el proyecto. cajpnií-vosotros , y Uevaflos de la mano á tomar asiento en el capito •? imprima , !sé distribuya ,, se discuta., pase é ¡a comisión de Redac lio’ ibero,,:sin oir otra? escusas que ¡as que sean suficientemente legal…</t>
  </si>
  <si>
    <t>Cas</t>
  </si>
  <si>
    <t>…Annes de Carvalhoapoyó la propuesta delSr. Soavés Franco; añadien NOTICIAS DEL REINO. do que la comisión decidiese á quiénes correspondía el tí tulo de benemérito de la patria: el Sr. Cas edo Branco re S. Sebastian a, de Febrero. conoció la necesidad de que se discutiesen las tres proposi El instinto de la libertad es fecundo en felic es ocurren ciones; y dijo que para merecer el Congreso la connanea cias. Este instinto, arraigado desde tiempo…</t>
  </si>
  <si>
    <t>…iendo S. M. otro cuerpo consultivo que el consejo pero yo creo que se íes puede exigir doscientas responsabilidades. Siem de Estado, no podía menos de pasar á él el expediente del general Cas pre se, nos vienen excusando con facultades: por arriba y por-abajo; taños , y que se había en todo procedido con arreglo á lo que él mis ¡Np es una infracción que el general Castaños esté en el consejo de Es mo expresaba en sus consultas: tado , cuando las C…</t>
  </si>
  <si>
    <t>Cas, Josef</t>
  </si>
  <si>
    <t>Josef Cas</t>
  </si>
  <si>
    <t>…segundo de Guardias, en la que pedia se le declarase que es el tiempo que dicha contrata tuvo cabida en el año económico; el sueldo correspondiente al grado de capitán; y otra de D. Josef Cas que lo demas seria hacer una excepción de ley, habiendo otros créditostañedo , teniente coronel y capitán del regimiento de Córdoba, en la mas sagrados que estaban sujetos al decreto de las Cortes, los cuales rio que pedia se le abonasen por la tesorería de l…</t>
  </si>
  <si>
    <t>Casademon, Juan</t>
  </si>
  <si>
    <t>Juan Casademon</t>
  </si>
  <si>
    <t>…na pensionado por S. M.; Don su casa, cerca , 7 fanegas de tierra y árboles frutales, en Josef Manuel de Capdevila, primer cirujano militar interi no de la provincia de Cataluña ; D. Juan Casademon, ci 28,859 rs. y 10 mrs. Un huerto en el mismo Baza, callejón de los Perales, rujano de. egército retirado; D. Josef Antonio Saco, ciruiacon casa, fanega ymedia.de tierra de riego, y un pedazo no del regimiento caballería de Calatrava; D. Mariano Orrit, ciruj…</t>
  </si>
  <si>
    <t>Casademunt, María</t>
  </si>
  <si>
    <t>María Casademunt</t>
  </si>
  <si>
    <t>…. al mismo, y la otra queda en poder del dicho Gosalbes, con el núme Andrés Domínguez, sargento 2.0 disperso. ro á que pertenece, y asi el que dude de la autenticidad podrá acudir Doña María Casademunt, que sirvió en la compañía de mugeres de con esta seña al autor, quien sabido el número, remitirá la contraseña; Gerona. con lo que quedará el enfermo tan confiado como si recibiese las fumi D. Josef López é Ingles , presbítero. gaciones de la mano del autor,…</t>
  </si>
  <si>
    <t>Casado, Aíarcelino</t>
  </si>
  <si>
    <t>Aíarcelino Casado</t>
  </si>
  <si>
    <t>…esentaciones hechas al diván D. Fermín Carnerero y Villa. D. Martin Gutiérrez. por. los :dema$ ministros europeos contriseméjafite procedimiento. Corís- D. Hilario Aíendinueta (O, D. Aíarcelino Casado. tantinopla seguía en una fermentación funesta. De Toion avisaban ha conde.de Goyeneche, alcalde cons D. Mariano Mas. ber entrado allí el r’8 la fragata francesa Louise Manto:se, procedente titucional de esta M. H. villa. Marques de Casa-Pizarro. dé Smirna ,…</t>
  </si>
  <si>
    <t>Casado, Francisco Peré y</t>
  </si>
  <si>
    <t>Francisco Peré y Casado</t>
  </si>
  <si>
    <t>…ibrería de Brun. ma idea de la legitimidad que nosotros, y que solo reconocen el dere Adiciones al diccionario geográfico universal de Echard, dadas á cho del mas fuerte ? luz por D. Francisco Peré y Casado. El diccionario geográfico univer Sin embargo dos motivos, uno mercantil y otro político , se ocultan sal, escrito originalmente en ingles por Lorenzo Echard, y traducido al detras de este escrúpulo de legitimidad, porque es ciato que la expul castellano , en…</t>
  </si>
  <si>
    <t>Casado, Manuel</t>
  </si>
  <si>
    <t>Manuel Casado</t>
  </si>
  <si>
    <t>28 en la de D. Manuel Casado , del comercio; en Sigüenza en por duplicado, juntamente con los estatutos ó reglamen lá de D. Ramón Armada , y en Truxillo en la de .D, Juan tos que rijan en cada uno de los enunciados estableci mientos. Calderón. ' 2.0 Luego que los Gefes políticos, hayan r…</t>
  </si>
  <si>
    <t>Casal</t>
  </si>
  <si>
    <t>…e arriba se trataj del ministerio de la Gobernación dividir Galicia, atendiendo á los límites que en ellas se señalaban. de la Península. Después de haberlas apoyado su autor y el Sr. Casal no se admitie n Para uniformar los trabajos de esta secretaría, que deben ser con ron á discusión, y se suspendió la de división del territorio. siguientes á la nueva división del territorio de la Península, de que van Se mandaron insertar en el acta los sigu…</t>
  </si>
  <si>
    <t>…dado por la comisión de división del territorio acerca-de que no solamente han sido víctimas los turcos, sino también alguno» la proposición hecha por este "r. diputado, y p &lt;r el Sr. Casal, para ing'eses. que se dividieran en tres provincias las de Vigo y la Coruña , fijando Es asimismo bien deplorable la situación de varios puntos del Asia la capital de la tercera en Santiago; pedia que con motivo de no ha minar, pertenecientes ú Turquía. Esca…</t>
  </si>
  <si>
    <t>Casal, Fondevüa y</t>
  </si>
  <si>
    <t>Fondevüa y Casal</t>
  </si>
  <si>
    <t>…l límite divida el término que le pertenece.” Aprobado. Su cardal Vitoria. Aprobado. Art. 5.0 « Las provincias de la Península é Islas adyacentes se di Se leyó una proposición del Sr. Fondevüa y Casal, relativa á que vidirán en cuatro ciases: t i las que según ios-estados remitidos por supuesro que en las provincias de la Coruña y Vigo hay (según las el Gobierno pasen de 315,3 almas de población, y nombren por con divide la comisión ) suficiente número de…</t>
  </si>
  <si>
    <t>Casal, Rodríguez</t>
  </si>
  <si>
    <t>Rodríguez Casal</t>
  </si>
  <si>
    <t>…ey constitutiva del egército no pueda ningún juez impo titución.- ner por castigo el servicio á las armas; y otra del Sr..Vilianueva sobre A la comisión de Poderes pasaron los del Sr. Rodríguez Casal , di lo mismo. putado suplente por. la provincia de Galicia , y, llamado en lugar del; A Ja propia comisión pasó otra del Sr. González Allende, en que Sr. Ruiz Prado. . pide -se declare por punto general que ios comisionados de los Gelés A la de. Infracciones…</t>
  </si>
  <si>
    <t>…zca pena El Sr. Calatrava manifestó que la comisión actual h -.bia puesto este corporal. ^ artículo con objeto de que se llevase á efecto lo mandado por las Cor Se concedió al Sr. diputado Rodríguez Casal el permiso que solici tes extraordinarias: que habia otro medio para este fin , indicado en el taba para acercarse al Gobierno á tratar de asuntos propios. dictamen de is comisión , y propuesto por tres ó cuatro magistrados El Sr. presidente nombró para la co…</t>
  </si>
  <si>
    <t>…nar manente , en el qrre daba noticia á las Cortes de que esta noche p isada quía española, salvas las modificaciones que se requieran en las pro habla fallecido repentinamente el Sr. Rodríguez Casal, diputado por la vincias de Ultramar, según su localidad y particulares circunstancias. provincia de Galicia. Este arancel éiíipezará á regir en cada punto de la monarquía desde Se dió cuenta del dictamen de-la comisión de División del territo el dia en qué s…</t>
  </si>
  <si>
    <t>Casal, Ventura</t>
  </si>
  <si>
    <t>Ventura Casal</t>
  </si>
  <si>
    <t>…se dejase el- expediente sobre la mesa rio de la Gobernación deja Península acerca ¿e que se concediese á dos ó tres días para que los Sres. diputados pudiesen enterarse de todos D. Ventura Casal, por el extraordinario mérito que habia contraído, los antecedentes, debiéndose tener ademas presente, antes de resolver pasando á la isla de Mallorca cuando se hadaba infestada de la peste cosa alguna , el proyecto de canales y caminos. del bubón, una pensió…</t>
  </si>
  <si>
    <t>Casamayor, Pablo</t>
  </si>
  <si>
    <t>Pablo Casamayor</t>
  </si>
  <si>
    <t>…dole-'cargo los Sres. diputados de mandante supernumerario; del de -infarv.;ría del Príncipe al brigadier que no se atacaba por-esto el objeto principal dé la cuestión, le,parecía D. Pablo Casamayor, teniente coróngjLsupernumerario; del de la Co que seria muy conveniente que sé%prábas3 esja proposición,?pára que rona al teniente coronel superntimeráfto D. Joaquin Urreistiefa; del se pudiese votar en ella con toda aquella detención que requería el de Sevi…</t>
  </si>
  <si>
    <t>Casanova, Esperanza</t>
  </si>
  <si>
    <t>Esperanza Casanova</t>
  </si>
  <si>
    <t>…eciso que le de la sociedad de que son individuos, y atendiendo por otra parte í señale el Gobierno. las circunstancias particulares de estos interesados, opinaba que pór re El de Doña Esperanza Casanova, viuda dé D. Marcos Ferreras, gla general debia adoptarse una medida respecto de los créditos que soldado que fue de Reales guardias de infantería , solicitando nná pen proceden de vestuarios y suministros hechos como los de estos asentistas; sión para conclu…</t>
  </si>
  <si>
    <t>Casanova, Romualdo</t>
  </si>
  <si>
    <t>Romualdo Casanova</t>
  </si>
  <si>
    <t>…el pue devengados desde el año de 1816 hasta fin de 1819, y los herederos blo de Bercianos por su obispo se mande pasar al Gobierno para que de los que hayan fallecido, acudirán á D. Romualdo Casanova , ca la tenga presente.” pellán de dicho batallón, que es el encargado de verificar el pago, sin Se leyó una indicación del Sr. Salvador, que decía: «Ruego á las otro descuento que el que origine el gasto del correo. El mencio Cortes establezcan en su nuevo r…</t>
  </si>
  <si>
    <t>Casanovas, Rafnon</t>
  </si>
  <si>
    <t>Rafnon Casanovas</t>
  </si>
  <si>
    <t>…vitar fraudes, sino también el emplear un escuela central de música según el método de Mr. Logiér: 2/ A á muchos reformados, y que pedia permiso para leerlo; pero como ya favor de D. Rafnon Casanovas y D. Eulalio Comía por introductores era tarde , se suspendió su lectura para otra sesión. de ia fabricación del ácido suliürico: g.' A D. Antonio Pmdullés por Se pasó á hacer la elección de presidente, vice-presidente y secre haber perfeccionado la fundición de planchas de plo…</t>
  </si>
  <si>
    <t>Casaroayor, Andrés</t>
  </si>
  <si>
    <t>Andrés Casaroayor</t>
  </si>
  <si>
    <t>…e del Sto. Oficio; que de esto A la de Infracciones de-Constitución una queja de D. Gabriel Pa se podía inferir el motivo que tendría para ocultarlas , y al mismo tiem drón contra D. Andrés Casaroayor, oficial de caballería, por haberle po lo útil que era el hacerlas circular, pues cada una de ellas era un altanado su casa con pretexto de buscar un delincuente. proceso contra Ja Inquisición; y por tanto opinaba que loque debía ha</t>
  </si>
  <si>
    <t>Casas', Miguel Sánchez</t>
  </si>
  <si>
    <t>Miguel Sánchez Casas'</t>
  </si>
  <si>
    <t>…is'coBtraidó pará "cSn" la patria'y ton el Parala primera á D. Francisco Diez González; para la segunda i Rey fin lis dos .últimas' legislaturas v.i ;s á añadir otros ahora que se D. Miguel Sánchez Casas'; para la tercera á D. Gregorio Gisbert; para abre un nuevo y anchufó'so'campo á vuestros. talentos y virtudes. Mu la cuarta á D. Lorenzo Escolar-y Navas; para la quinta i D.‘Josef cho habéis.hecho; pero falta que hacer mucho. La Europa os cóntem- Gastel; para…</t>
  </si>
  <si>
    <t>Casas, Antonio</t>
  </si>
  <si>
    <t>Antonio Casas</t>
  </si>
  <si>
    <t>…vento que fue de Sta. Clara de esta corte; y á cuyo goce y go en la de D. Antonio Stolle, de id. En Barbastro en la obtención de dichos patronatos está reservado igualmente el ele D. Antonio Casas, de id. En Lucena en la de D- Juan. .derecho, por la sentencia de la chanoillería á los que le puedan Turrull , de id. En Andujar en la de D. Angel Stella, de. tener mejor que Doña Josefa Gabriela Valdearenas. id. En Palma de Mallorca en la de D. Juan Veirer,…</t>
  </si>
  <si>
    <t>Casas, Miguel Sánchez</t>
  </si>
  <si>
    <t>Miguel Sánchez Casas</t>
  </si>
  <si>
    <t>…dida la ex Francisco Martínez de Albear, magistral de la colegiata de Ubeda. cepción absoluta dei derecho de registro de todos los actos civiles, ju Por la provincia de la Mancha. D. Miguel Sánchez Casas, canó diciales y administrativos dei Crédito público , y de los que traten con nigo de S. Isidro de Madrid'. D. Ramón Trujillo, juez de hecho en i a .él en los negocios de su atribución. villa de Madrid ; D. Rafael Casim.ro Lodares , diputado provincial. Su 3…</t>
  </si>
  <si>
    <t>Casascca</t>
  </si>
  <si>
    <t>…mantes. sión, cual es ¡a de a; tid„c a! que cometió ei del:lo, ó se aprovecha de E¡ Sr. bal lave (D. Pablo) observó respecto á Jas palabras auxilia - sus consecuencias &amp;c. D ce el Sr. Casascca que no puede ser aux iiadoP dores y fautores que si eslas significaban una misma cosa ó igual ciase de "un delito aquel que ayuda á otro después de cometido. Yo creo que de delito, debía imponérseles ia misma pena , y suprimirse una de eiias. en efecto lo es,…</t>
  </si>
  <si>
    <t>Casasecá</t>
  </si>
  <si>
    <t>…er ,r aprobado por las,Cortes eri labsesíótl del dia 3; y añadiendo Ja comisión en el art. i.J, á saber: que los señores previamente presen que en cuanto á la otra indicación del; Sr. Casasecá, opinaba debía pa- ten los títulos de adquisición , y que entretanto que se ventiia si son sav'já'Ja botnision de Hacienda; y quedó aprobado'. . -reversibles á la corona ó no los efectos ejt cüeslion , ó Si se- han curriXa coas ision especial nombrada para at…</t>
  </si>
  <si>
    <t>Casaseca</t>
  </si>
  <si>
    <t>…de su parte al decoro y esplendor la Gobernación de la Península para obtener el correspondiente permiso. de la Silla Apostólica, y atender para ¡os gastos necesarios en el go El Sr. Casaseca pidió que se leyera un anuncio publicado en Zamo bierno universal de la Sta. Iglesia; consignan las Cortes.á S. S. por ra, fecha 3 del corriente, que en sustancia decia: » Que D. Juan de ahora , y por, via de ofrenda , 200Í) rs. anuales sobre las cantidades q…</t>
  </si>
  <si>
    <t>…su indi terias políticas, exigirá el Gobierno la mas extrecha respon-abilidad &amp; cación en estos términos. cualquier arzobispo , obispo ó gobernador eclesiástico que dé licencia El Sr. Casaseca dijo que la indicación del Sr. Quiroga tenia el ca de confesar ó predicar á ningún sugeto notoriamente desafecto al siste rácter de ley, y debia .considerarse como primera lectura. ma constitucional.” El Sr. Quiroga dijo que retiraba sú indicación siempre que…</t>
  </si>
  <si>
    <t>…en aprobar del mismo modo los res Se aprobó el dictamen de la misma comisión sobre la solicitud de tantes. la diputación provincial de la Mancha acerca de la contrata que tenia El Sr. Casaseca hizo tres indicaciones, relativas á que las Cortes celebrada el ayuntamiento constitucional de la Membrilla con su médi por medio de sus secretarios manifestasen al mariscal de campo D. Juan co titular D. Francisco Bonafós. La comisión, atendiendo á todos los…</t>
  </si>
  <si>
    <t>…omodidad de estos, no sé porque Toro y Zamora no hayan tenido la habia indicado el .".r. González Allende. misma suerte, pues resulta, atendidas estas circunstancias, que se de El Sr. Casaseca dijo: La cuestión que actualmente ocupa al Congre berían hacer dos provincias separadas, y en este caso los pueblos estu- so es la discusión de la provincia de Zamora; por consiguiente no tiene rian mejor gobernados, la influencia y. acción del Gobierno seria…</t>
  </si>
  <si>
    <t>…o, y no en cuanto al "sobornador. El Sr. Traver dijo que el Sr. Calatrava no había satisfecho aun á la El Sr. Lagrava dijo que habia pedido la palabra para hablan con objeción del Sr. Casaseca , que era la misma que proponía el Ateneo tra la segunda parte , sobre la cual pensaba hacer observaciones que ya español, aunque con mayor extensión. habian propuesto los Sres. preopinantes; pero que sin embargo debía El Sr. Calatrava contestó que creia habe…</t>
  </si>
  <si>
    <t>…latrava hizo presentes los informes, que habia recibido Ih se discute. comisión acerca de este ártícúfo. ' ■” El Sr. García (D. Antonio} manifestó que podrian suprimirse al ■ • El Sr. Casaseca dijo que enia parte cuarta de este artículo se decía gunos nombres de ¡os que se ponían en este artículo, y puesto que se que era cómplice de delito ó culpa: » El que espontáneamente y á sa les había de dar una significación legal, valdria mejor decir en luga…</t>
  </si>
  <si>
    <t>…á hacer un servicio grande á la Na prueba de ello es que todos los demas informantes lo han entendido. ción', ;seria partícipe de la gloria que resultase de esta empresa el que El Sr. Casaseca: Yo creo que se debe suprimir la parte del artículo dió el dinero; De ninguna manera ; pues con niticha mas razón uno que indica li audiencia de Sevilla, y de este modo queda como corres-' que da dinero, v. gr., para introducir géneros de contrabando , y otro…</t>
  </si>
  <si>
    <t>…scripción El Sr. Calatrava dijo que el art. 51 decía: » El reo condenado á para hacer un regalo'al paciente. deportación será conducido á una isla ó colonia remota, de donde no El Sr. Casaseca dijo que el art.' 24 de la Constitución decia que la pueda fugarse , y permanecerá en ella siempre &amp;c.cuyo artículo ma calidad de ciudadano español se perdía : » Por sentencia en que se im nifestaba bien claro lo que era esta pena, y que la comisión habia pro…</t>
  </si>
  <si>
    <t>Casaux, Josef Domingo</t>
  </si>
  <si>
    <t>Josef Domingo Casaux</t>
  </si>
  <si>
    <t>…las Cortes en 3 de Setiembre último; los que á D. Joaquín Antonio Hernández: para la de Sanlúcar la Mayor á han sido aprobados por el señor intendente de esta provincia, y lia se D. Josef Domingo Casaux: para la de Trigueros á D. Josef María Her ñalado el término de 10 dias para la mejora del cuarto; otros 10 para rera: para la de Vil briba del Alcor á D. Félix Antonio Ramos Arre el diezmo, aun cuando no haya tenido efecto la primera, y otros ió dondo; y par…</t>
  </si>
  <si>
    <t>Casaviella, Leonarda María</t>
  </si>
  <si>
    <t>Leonarda María Casaviella</t>
  </si>
  <si>
    <t>…por la en defensa dé la justa causa de la Nación , cupo en la suerte del pri escribanía del número de D. Martín Santin-y Vázquez; en el concep-1 mer extractóde'.ia de este dia ai Doña Leonarda María Casaviella, hija to de que su último remate se ha de celebrar, con arreglo al decreto d* de D. Ramón:, capitán que fue dei regimiento de infantería de Gua- las Cortes de-3 de .Setiembre próximo, en una dé las 'salas del Excelen dalajara , muertó en el campo del honor. t…</t>
  </si>
  <si>
    <t>Casáyus, Andrés</t>
  </si>
  <si>
    <t>Andrés Casáyus</t>
  </si>
  <si>
    <t>…n, Golfín , Cortazar, Gutiérrez Antonio Bernal: para el de Albarracin á ó Pedio Alzamora: para el Acuña, Calatrava , Lallave &lt;j D. Vicente), Oliver., Saenz y Gutiérrez de Teruel á D. Andrés Casáyus: para el de Mora á D. Ignacio Sazade Teran. tornil.- para el de Alcañiz á D. Josef Hacha: para el de Monta{ban á No lo aprobaron los Sres. Traver , Peñafiel, González Allende, D. Rafael Larraz: para el de Cantavieja á D. Pedro Lapuente: para el Cabrero, Lobat…</t>
  </si>
  <si>
    <t>Cáscales, Manuel Victoriano</t>
  </si>
  <si>
    <t>Manuel Victoriano Cáscales</t>
  </si>
  <si>
    <t>…acio nal desde el ay del corriente hasta hoy. D. Andrés Cantero.' D. Josef Abajo y Manzano. ' Se han recibido periódicos extrangeros', que tolo alcanzan á un nú D. Angel Martínez. D. Manuel Victoriano Cáscales. mero trias de los que ya habián llegado .por extraordinario: las noticias í&gt;. Antonio Albani. D. Manuel de Erezuma. de Alemania llegan hasta el 16; las de'Lóiiílfés hasta el 17, y las de D. Blas Lamota. D. .Manuel Luciano de la Torre. Páris hasta el 22......…</t>
  </si>
  <si>
    <t>Cascelli</t>
  </si>
  <si>
    <t>…ni narca se extiende ya hasta Roma , donde por orden suya ha sido encerra el ruego, ni la solicitud tienen parte en las elecciones, y donde la ndo en el castillo de St. Angelo él Sr. Cascelli, comandante que fue virtud mas retirada no necesita de memoriales ni de relaciones para de Nápoles durante la revolución; y un esbirro de la policía napolita llegar á los oidos de quien desea y procura por sí mismo conocerla’. ” na lo llevará con buena escolt…</t>
  </si>
  <si>
    <t>Casen, Juan Antonio</t>
  </si>
  <si>
    <t>Juan Antonio Casen</t>
  </si>
  <si>
    <t>…erio nombrarlos. Lo mismo sucedió respecto del Lie. Lanuza. En triotas, mas bien que á los verdaderos enemigos del sistema; porque si cuanto al juez de primera instancia de Madrid D. Juan Antonio Casen algo se puede tachar á aquellos, es en algunas pequeñas vocinglerías tejon, .el ministerio, bien cerciorado de las apreciables cualidades y de los pueblos pidiendo la responsabilidad; y esto ¿es acaso un motivo circunstancias que en él concurrian, le nombró i…</t>
  </si>
  <si>
    <t>Cases, Josef Nuñez de</t>
  </si>
  <si>
    <t>Josef Nuñez de Cases</t>
  </si>
  <si>
    <t>…industria, rateros y estafadores: tra declaro; y habiéndose formado autos de su testamentaría ante el señor ducida de la 5.'1 edición del francés al castellano, refundida y aumen D. Josef Nuñez de Cases, juez de primera instancia de dicha ciudad tada en una mitad por el autor, y adicionada por el traductor de Sto. Domingo, ha mandado citar y emplazar á la prevenida Doña D. A. P. Z. G. El tomo i.° se halla ya impreso y venal en las libre María Josefa ó su leg…</t>
  </si>
  <si>
    <t>Casielles, Lucas de</t>
  </si>
  <si>
    <t>Lucas de Casielles</t>
  </si>
  <si>
    <t>Gaceta de Madrid n.º 208</t>
  </si>
  <si>
    <t>…obre que extiende independientemente desde las islas situadas entre Ar ona y ha descubierto. el Adriático hasta Cérigo, en el Archipiélago del mar Egéo, lo que Cuatrocientos rs. á D. Lucas de Casielles, vecino de esta ciudad, proporciona una ventajosa extensión para sus operaciones á los mari por ei buen resultado de una fábrica de sillas que ha establecido imi nos que pelean bajo el pabellón de la cruz, á causa del impedimento tando á las extranaeras, con…</t>
  </si>
  <si>
    <t>Casini</t>
  </si>
  <si>
    <t>…ue se habian la miseria de todas las clases y el descontento general. El de requerir para la elección de los diputados. Rey ademas de nombrar los principales oficiales de mar y El Sr. Casini manifestó que habiendo determinado la tierra , es también gefe de la Iglesia: nombra los emba Constitución que era preciso tener una renta procedente de jadores, los ministros, los magistrados Sec.; reconcentró bienes propios para ser diputado, nada mas resta…</t>
  </si>
  <si>
    <t>Casjurados, Antonio</t>
  </si>
  <si>
    <t>Antonio Casjurados</t>
  </si>
  <si>
    <t>…blecer su casa consistorial y escuela de primeras letras. dos , propuso, primero: &gt;» ¿En qué puntos del reino se han de esfablecér No hubo lugar á votar acerca de una solicitud de D. Antonio Casjurados!” Hubo diversas opiniones sobre esto , y por último se «deci tejon , juez de-primera instancia que fue de Navalcarnero, quejándose dió que la comisión de Estadística propusiese los puntos en que debería del Sr. ministro de Gracia y Justicia por haberle mandad…</t>
  </si>
  <si>
    <t>Casllereagh</t>
  </si>
  <si>
    <t>…ado de Prusia, debió sa Troppaa y los principio, de los Soberanos aliados. En orden á la con lir de Laibach el 'p de este mes-para, regresar á Berlín por Trieste, Ve- testación de lord Casllereagh notó el orador, por el lenguage misterio necia, Mantua, Verona, Insprucic, Munich, Ratisbona, la Franco- so que en ella advertía-, que los Soberanos aliados habían propuesto á la nia'y la Saxonia. El conde de BernstoríF quedaba provisionalmente en Inglaterra…</t>
  </si>
  <si>
    <t>Casoli</t>
  </si>
  <si>
    <t>…llero Caraciolo, hermano del duque de RoccaRomana, que manda la caballería del egército. Los regimientos de ca Numero 47. ballería están mandados por el príncipe de Carignano y el duque Casoli d’Aquino. Relación de Jincas que se están subastando de las aplicadas al Crédito La gendarmería, que es también cuerpo cívico, compuesto de lo público para pago de la deuda nacional, expresiva de las provincias ritas selecto del egército, se compone de y© hom…</t>
  </si>
  <si>
    <t>Casrages</t>
  </si>
  <si>
    <t>…haya venido á felici mente podía darse el título de bajaes de las provincias. tarme mi hijo tercero. Se halla ahora en los 12 años; pero El Sr. Netti fue del mismo dictamen que el Sr. Casrages sumamente tonto y muy grosero: desde ahora se queda na, é hizo ver que el extravío de caudales era una infrac rá soló con el tercio de sus rentas, que se le pagará en seis ción de las ieyes, y que bajo este supuesto te.-.ia obligación plazos, y á las personas…</t>
  </si>
  <si>
    <t>Cassiñi</t>
  </si>
  <si>
    <t>…. (Se de Estado de S. S., y Mr. Neri Cor sí ni, consejero de Es publicó en la gaceta de 1.° del corriente.) tado de S. A. I. y R. el gran Duque de Toscana, irán En seguida leyó el Sr. Cassiñi el informe de la comisión igualmente á Laibach dentro de poco tiempo. acerca de lá acusación contra los ministros, reducido á que La;ciudad de Turin ha decretado la quinta provincial habia lugar á la formación de causa contra el ministro de anual sobre la cla…</t>
  </si>
  <si>
    <t>Cast</t>
  </si>
  <si>
    <t>…perador de Austria tenía en su mano una razón igual á un plebeyo militar que no tenia la graduación de capitán, y al em mente poderosa que poder presentar respecto di la Italia; y lord Cast pleado plebeyo que no tenia el tratamiento de excelencia. lereagh se vió en la precisión de sacrificar las promesas hechas á Ge No obstante, este nuevo reglamento no ha merecido la aprobación nova. La censura que sufrieron en su primer* partición de la Poloni…</t>
  </si>
  <si>
    <t>Cast, Francisqp-del</t>
  </si>
  <si>
    <t>Francisqp-del Cast</t>
  </si>
  <si>
    <t>…s hijos, - , ... parecér;'que debía quitarse el rector,-y qué en la de hoy opinaban Jjo A la de Legislación pasaron las siguientes"; 7 ton trinó. - "j7(- ) ' .7.!' ü 7. . ‘ Una de D. Francisqp-del Cast¡llo_,VaJ,ero, jucz.de primera instan =Otros Sres. ‘diputados juzgaron que el nombramiento del nuevo rec cia de la ciuda'd’de'Bárcéióña, vindicándose de la queja dada contra tor-'no solo no érá; inconstitucional, sino qué había recaído!. en"nn su- él per. las…</t>
  </si>
  <si>
    <t>Castaf.on, Rodrigo</t>
  </si>
  <si>
    <t>Rodrigo Castaf.on</t>
  </si>
  <si>
    <t>…rá inmediatamente por el subdelegado al intendente.” D. Josef Pío Mourelo: para Cifuentes á D. Damian Alcocer: para Se aprobó el art. 56 , concebido en estos términos: Cogolludo á D. Rodrigo Castaf.on : para Pastrana á D. Francisco Fer Art. s6. &gt;» El intendente de la provincia, después de haber visado nandez Beteta : para Medinaceli, su capital Anguita, á D. Ignacio Jo cada estado de repartición á medida que los vaya recibiendo, dirigirá sef Palomares; y p…</t>
  </si>
  <si>
    <t>Castagna</t>
  </si>
  <si>
    <t>…Princesa. del que se señalaba en el presupuesto, aplicándola á otros Este insulto pudó haber costado mucha sangre; pero feliz objetos no designados en-él. mente no se verificó. El Sr. Castagna apoyó á su compañero el Sr. Rossi, y RUSIA. añadió que estos abusos eran bastante comunes en casi to das las' provincias: que los intendentes disponían á su anto Petersburgo $ de Noviembre. jo de las cantidades señaladas en los presupuestos para gas Tenemos n…</t>
  </si>
  <si>
    <t>…tervención directa, que tal vez no seria incompa lamento al Rey '{.véase \ la citada gaceta ) ; yen seguida tible con su .sistema político actual, no puede mirar con in reiteró el Sr. Castagna lá proposición de que. se formase diferencia la suerte de éste reino; pero el estado,presente da causa al ministro. de la Gobernación por haber firmado la sus negocios políticos y otras varias circunstancias ¡a'han circular dirigida a lás autoridades de las p…</t>
  </si>
  <si>
    <t>…nalmente solo por espacio de tres años. pudiendo publicarse hoy ai pie de la letra , incluiremos aquí Sesión del 2Cf. ■un resumen de su contenido para noticia de nue'tros lecto El Sr. Castagna leyó una memoria, que contenía diver res. No podernos asegurar que esta r .pida ojeada encierre sos cargos contra el ex-ministro de la Guerra Carrascosa, toda la posible exactitud ; pero hemos extractado ios siguien y pidió que el Parlamento ¡a mandase pasar…</t>
  </si>
  <si>
    <t>…a conver- „ Ñapóles. íirse esta sesión en primera junta preparatoria para la legislatura ordi Sesión del 22. naria de «821; pero que la importancia de los documentos que debían El Sr. Castagna leyó las noticias que acababa de recibir de Tenaci leerse le obligaba á declarar abierta la sesión extraordinaria, para pa lla, según las cuales, los habitantes de aquella provincia, deseosos de sar en seguida al acto preparatorio de la ordinaria. atacar á io…</t>
  </si>
  <si>
    <t>Castalio, Josef</t>
  </si>
  <si>
    <t>Josef Castalio</t>
  </si>
  <si>
    <t>…das el Gobierno polacra S. Francisco de Paula, capitán D. Bautista Gali; polacra Dul señalará la que haya de satisfacer cada una de las tres provincias, sin ad ce Nombre de María, capitán D. Josef Castalio, polacra Virgen del mitir reclamación alguna después de señaladas las cuotas. Madrid 29 de Carmen , capitán D. Mariano Ricomá; fragata Preciosa Catalana, ca Junio de 1821.2= Josef María Moscoso de Altamira, presidente.;; pitán D. Francisco Jovcr; polacra fran…</t>
  </si>
  <si>
    <t>Castañeda, Jacinto</t>
  </si>
  <si>
    <t>Jacinto Castañeda</t>
  </si>
  <si>
    <t>…niente coronel retirado Don pedida del anciano' , que son el timbre más - esclarecido de' Antonio Castañeda, que siempre que siga á sus hijos D. An sil nombrádía poética'. tonio y D. Jacinto Castañeda, que sirven en el regimiento Como quiera el artículo de Cervantes, como se deja de caballería de Numancia, el primero' de comandante dé süpónér , es uno dé los mas abultados, y ch dos ó tres escuadrón , y el segundo de porta-estandarte , y varíen de. párrafos…</t>
  </si>
  <si>
    <t>Castañedo</t>
  </si>
  <si>
    <t>…amar los diplomáticos de Laybach en favor de las cadenas de sus compatrio la observancia de las leyes.” tas. Por todas partes los sectarios del poder absoluto parecen ser atraí El Sr. Castañedo manifestó que, según las noticias que tenia, po dos hacia el Congreso. España tiene su Toledo; Portugal su Saldanha; día asegurar que aquel expediente habia pasado dos veces, al consejo y es de presumir que agentes de esta clase, tan dignos del desprecio ge ¿…</t>
  </si>
  <si>
    <t>…&lt; — ¡;;Admitida á discusión la adición dél'Sr. Cortés despueS de una cor c-, &gt;¿ElíSr.aVitórica«íe:ó'puió al parecer dedos señores 'preópiriaritesl dtá ta deliberación, la apoyó'el Sr. Castañedo, pidiendo qúe las Cortés 1* Ciéndólajuei-pará da! satisfaccion de estos señores bastaba *se- publícasé adoptasen, especifioíndóse en ella que solo se exija los 4 fs.; por dere cuanto acababa de decirse en los Diarios. '• .! ; c chos dé la certificacioh'como e…</t>
  </si>
  <si>
    <t>…eda utt misma . relativas á este asunto: Una del Sr. Cortés ai art. Otra del arbitrio de 16 maravedises en cada cuartillo de aguardiente para aten Sr. Marin Tauste al 2.0 Otra del Sr. Castañedo al g.° Otras de los se der á los gastos municipales: la comisión era de parecer que podía ñores conde de Montenegro , Vitorlca y Villanueva al -í.° Otras de los aprobarse: otra del ayuntamiento constitucional de Talavera de la Rati Síes. Vitorica, López, Loba…</t>
  </si>
  <si>
    <t>…tículos sobre quién debia presidir las elecciones de estos cuan de estos caudillos y el carácter de la Nación española. do se presumiere que se trataba de cometer algún fraude. El Sr. Castañedo dijo: Parece que se trata de formar un capital que Se leyó el dictamen de las comisiones de Hacienda y Premios, re produzca la renta de. 8o§ rs. , y de dar, su propiedad á estos individuos, lativo á los que merecen los caudillos del egército de S. Fernando, e…</t>
  </si>
  <si>
    <t>Castaños</t>
  </si>
  <si>
    <t>…de un desafio , pero nunca por medio de En orden á las observaciones del ár. Romero A!puente, relativas la misma autoridad, que ¡a Nación le da solo para ser justo y benéfico. al general Castaños , no creyéndose el ministerio autorizado para rePor otra parte se ha privado á los ciudadanos de que puedan mani- «olver este negocio, S. M. lo pasó al consejo de Estado, el cual fue da festar su agradecimiento al inmortal Riego en el suceso del paseo del par…</t>
  </si>
  <si>
    <t>Castaños, Francisco Javier de</t>
  </si>
  <si>
    <t>Francisco Javier de Castaños</t>
  </si>
  <si>
    <t>…Campillo, en que por el mismo hecho renunció su empleo de consejero de EstadoScc.” manifestaba los muchos perjuicios que se seguian de las contratas par Observaba en el dia que el general D. Francisco Javier de Castaños, ticulares que se han hecho sobre la elaboración de salitres. á quien se dió el Gobierno político y militar de la provincia de Cata El Sr. López (D. Marcial) pidió que se leyese una proposición luña en dicho intermedio , que por lo mismo intervino en la cansa…</t>
  </si>
  <si>
    <t>Castaquel</t>
  </si>
  <si>
    <t>…ente á los últimos acontecimientos de N'poles. Los h'abian de adoptarse para poner término al estado revolucionario de dos oradores principales fueron el autor de la proposición y lord Castaquel reino. (. Observador Austríaco.) lereagh. El primero impugnó con mucha vehemencia la circular de El príncipe de llardemberg, canciller de Estado de Prusia, debió sa Troppaa y los principio, de los Soberanos aliados. En orden á la con lir de Laibach el 'p de e…</t>
  </si>
  <si>
    <t>Castasu, Josef</t>
  </si>
  <si>
    <t>Josef Castasu</t>
  </si>
  <si>
    <t>…rincipio nombró el Sr. gefe político en calidad de co algunos pueblos; pero al cabo la razón triunfará, la justicia recobrará misionados interinos á los Sres. D. Francisco Larrad, D. Josef Castasu predominio, y la reforma de los Gobiernos seguirá su curso natu Eer y D. Antonio Gironella; pero no bien se habia dado este paso, ral, como lo ha ido siguiendo en la Alemania. cuando no satisfecho el zelo de los concurrentes con haber contribuido Con efecto l…</t>
  </si>
  <si>
    <t>Casteilo</t>
  </si>
  <si>
    <t>…ían los valientes ter Sres. Ferreira de Moira, Annes Carvalho y Borges Car- cios de e ta república armada , en el firme propósito de de neiro para que rectificasen la proclama del Sr. Casteilo fender la paz y la iirrio! .biiidad de sus hogares por medio Branco. de la obediencia á !as autoridades constituidas y déla adhe El Sr. Bitíancourr propuso que se adoptase un regla sión mas fina á la Constitución polít:ca de la" monarquía: mento interino de C…</t>
  </si>
  <si>
    <t>Castejon, Juan Antomo</t>
  </si>
  <si>
    <t>Juan Antomo Castejon</t>
  </si>
  <si>
    <t>…ores de las parroquias de esta corte. sas para que avancen ; que el Emperador recorrerla los tres egércitos que tiene contra los turcos, y que el conde Wlttgensrein, que es el quo D. Juan Antomo Castejon, abo- D. Andrés Moya Luzuriaga, gefe debe dirigirse costeando el mar Negro sobre Constantinopla, se acerca gado. de la dirección del fomento ge- mas A las fronteras turcas. D. JosefPio Molina , hacendado.. neral del reino. Austria. Apuros y mas apuros. La civ…</t>
  </si>
  <si>
    <t>Castejon, Juan Antonio</t>
  </si>
  <si>
    <t>Juan Antonio Castejon</t>
  </si>
  <si>
    <t>…iendo el requisito de zarán acontarse desde que se haga este anuncio en la gaceta. En su vis mayor sueldo en los retirados , deberán ser preferidos en igualdad de ta ha mandado el Sr. D. Juan Antonio Castejon, en providencia de qaérito, y aptitud, según el caso presentera los tenientes del egército, 4 del corriente, se publique por edictos, gaceta y diario, sin. per observándose respectivamente para las otras clases la misma regla. juicio de señalar dia para su úl…</t>
  </si>
  <si>
    <t>…cto de algunos días á esta parte se ven abiertos los mercados públi y 23: cos, se han hecho especulaciones, y por fin todo toma un aspecto mas Por la provincia de Madrid, los Sres D. Juan Antonio Castejon, risueño; pero se necesitará mucho tiempo antes que esta plaza se recu abogado del colegio de esta corte. D. Dionisio Valdés, hacendado pro pere de los fatales golpes que su comercio ha recibido. pietario en Illescas. D. Ramón Gil de la Cuadra. « La determina…</t>
  </si>
  <si>
    <t>Castelar, Josef Solesio</t>
  </si>
  <si>
    <t>Josef Solesio Castelar</t>
  </si>
  <si>
    <t>…Josef Sánchez, Eusebio Marín y Francisco Muñoz, presos en 15 de Febrero: Teresa Mata, Gabriel Continúa la lista tttím. 8¿ de las Jincas que se están subastando de tas Manzanares y D. Josef Solesio Castelar en 5 de ídem : D. Manuel aplicadas al Crédito público para pago de la deuda nacional &amp;c. Hernández (alias el Abuelo) , Maximino González, Juan Alconero, Pedro del Campo, Gregorio Alonso, Cirilo Gome? y Gregorio Co Fincas del monasterio de Moreruela, que se re…</t>
  </si>
  <si>
    <t>Castellanos, Angel</t>
  </si>
  <si>
    <t>Angel Castellanos</t>
  </si>
  <si>
    <t>…e estado romano, coya superficie está jueces por el decreto de las Cortes de 9 de Octubre de 1812; y otra cúbiertáde establecimientos religiosos , y en donde todo es de ios car de D. Angel Castellanos, coronel de ejército retinado, manifestando denales , clérigos y frailes. que las Cortes extraordinarias de 18ir habían querido perpetuar la me Por último dijo el orador: Señores, la franqueza quiere franqueza: moria de la insigne defensa de la plaza de Ciuda…</t>
  </si>
  <si>
    <t>Castellanos, Pedro Sainz</t>
  </si>
  <si>
    <t>Pedro Sainz Castellanos</t>
  </si>
  <si>
    <t>…... 1...» ........ 6........ D. Manuel García de la Madrid , D. Manuel de la Lastra, D. Mamid Dia 17............. ....... 0...... I** ...* .... .. 0.... ....... 5..... López Malo, D. Pedro Sainz Castellanos, D.Ramón Toriño, y D. Ra Dia i3............. ....... 1...... ....... I.............. .. 0.... ....... 5..... món Vega y Velasco. Dia 19............. ....... 0...... ...... 2.............. I.... ....... 2..... Parroquia de S. Luis , i,j electores. Dia 20......…</t>
  </si>
  <si>
    <t>Castellar, Josef de</t>
  </si>
  <si>
    <t>Josef de Castellar</t>
  </si>
  <si>
    <t>…alboroto popular, sufrirá la pena de este crimen según la clase fueron en 1820 de la villa de Novelda, provincia de Valencia, contra que corresponda.” Se aprobó). el Gefe político D. Josef de Castellar. En el proyecto de ley se decía al margen del art. 6d no haber habido A la de Organización de fuerza armada un proyecto de guardia lugar á votar en la legislatura pasada sobre este artículo , y que volviera Peca! de caballería, por el capitán aj uduíile del r…</t>
  </si>
  <si>
    <t>Castelló, Pedro</t>
  </si>
  <si>
    <t>Pedro Castelló</t>
  </si>
  <si>
    <t>…s , D. Juan Ailonca, D. Juan Lasaña , D. Manuel Flores Calde lista completa de todos los compromisarios. Esperamos que tanto este rón , D. Mariano Lagasca, el marques de Pontejos, D. Pedro Castelló, punto como otros vayan siempre mejorándose , y que en adelante cui D. Pedro Gossens, D. Pedro Peironceli, D. Pedro Serrano y D. Ra dará la autoridad competente de publicar bo solamente esta lista, sino món Trujillo.</t>
  </si>
  <si>
    <t>Castello-Branco</t>
  </si>
  <si>
    <t>…evidente, tanto de su conducta como de sus opiniones, nes y la mayor parte de los señores diputados, siendo de pues en la guerra y en la paz nunca ha malogrado una sola opinión el Sr. Castello-Branco que esto se podía conseguir ocasión de acrecentar la prosperidad del Estado.” ( Acla por medios conciliatorios, previo el consentimiento del Rey. maciones y aplausos. ) El $r. Soares Franco refutó el proyecto, diciendo que Mr. Brougham pronunció un vehemente…</t>
  </si>
  <si>
    <t>…ente que nunca alrededor del tronó comprendido en este caso. Después de leído el ’proyecto de de V. M. Han querido sublevar el egército, y el egército, decreto, tomó ¡a palabra el Sr. Castello-Branco, é hi siempre fiel, les ha respondido con la voz de iuva el Rey, zo un elocuente discurso, exponiendo con sólidas razo en fin han penetrado hasta dc/itro de Vuestro mismo palacio nes que los q -c siguieron el partido francés no hicieron para destruir de un go…</t>
  </si>
  <si>
    <t>Castello-Braneo</t>
  </si>
  <si>
    <t>…ia. Abrían la triste marcha las co dia nacional, y que se denominase iduardia constitucional. munidades religiosas: seguia el clero, presidido por el ca Habiendo hecho presente el Sr. Castello-Braneo la ne pellán párroco de la. artillería; alrededor del cadáver ua cesidad de nombrar un general en gefe del egército, respec número considerable de voluntarios nacionales con cirios to á hallarle el general Rosa electo diputado en Cortes, el encendidos; y por…</t>
  </si>
  <si>
    <t>Castelo, Lino</t>
  </si>
  <si>
    <t>Lino Castelo</t>
  </si>
  <si>
    <t>…ncia de que cumpliendo cisco Manuel González, D. Juan Valderas, D. Pedro Gazapo , D Pe V. S. con esta resolución dará al Rey una nueva prueba de su zelo por dro Antonio Fernandez, D. Lino Castelo, D. Ramón Valguera, Don el servicio nacional.” Juan Faldón, D. Antonio María Maeso, D. Antonia García Liñan, De Real orden lo comunico á V. S. para su cumplimiento. Ma D. Josef Porta! y D. Juan Bolet, oficiales de todas armas y graduacio drid 8 de Octubre de…</t>
  </si>
  <si>
    <t>Castiercagh</t>
  </si>
  <si>
    <t>…s de sus mas principales individuos habían intenso placer. ofrecido hacer dimisión. Lo cierto es que el conde de Liver «En el cumplimiento de los importantes deberes que pool y el lord Castiercagh tuvieron una larga conferencia están á vuestro cargo estoy firmemente persuadido de que particular luego que salieron del consejo, y que ayer ma conoceréis la necesidad &lt;¿e conservar-cuanto os sea posible ñana se fueron junios á Brighton. la obediencia á las…</t>
  </si>
  <si>
    <t>Castiereagh</t>
  </si>
  <si>
    <t>…ámenes de la comisión de Legislación, En- el viage que el Rey de Inglaterra hará al Hannóver le acompa relativos á.qué podía áccedérsé á las solicitudes de D. Antonio del ñarán el lord Castiereagh y el conde de Liverpool. Pando, D. Manuel’Ayala, D. Juan Becerra y García, D. Andrés Garrido y D. Manuel Nasarre sobre dispensa de edad y permuta de rOKTUGAl. estudios para recibirse de abogados. La comisión de Hacienda presentó su dictamen acerca de las di "…</t>
  </si>
  <si>
    <t>Castiiio, Bartolomé Cei</t>
  </si>
  <si>
    <t>Bartolomé Cei Castiiio</t>
  </si>
  <si>
    <t>…mando de la Motea , porque Alix; D. Amonio Perez de Meca; D. Bonifacio Sotos; D. Ramón sus tropas insubordinadas degollaron á varios prisioneros turcos , á quie Reille. Suplentes. D. Bartolomé Cei Castiiio; D. Josef Aguilur. nes había ofrecido su protección. Con este motivo se embarcó para Hidra, Por la provincia ¡le Cuenca. D. Diego Parada, regidor de Madrid; publicando una proclama contra esta insubordinación, diciendo que To D. Nicolás Escolar y Noriega , pr…</t>
  </si>
  <si>
    <t>Castilla, Eustasio Aionso de</t>
  </si>
  <si>
    <t>Eustasio Aionso de Castilla</t>
  </si>
  <si>
    <t>…1. mo se interesan en vuestra verdadera y sólida felicidad; y esta no la ANUNCIOS. hallareis ¡amas en el olvido de vuestros deberes y en la rebelión. Se desea saber el paradero de D. Eustasio Aionso de Castilla, quien Desechad espontáneamente un proyecto que no es vuestro, y confiad pasó de Valladolid.á esta corte en compañía de un Sr. capitán á me en vuestro Rey. Vuestra prosperidad y la suya están unidas inseparar diados de Abril de este próximo año pasado;, para…</t>
  </si>
  <si>
    <t>Castillo, Francisco del</t>
  </si>
  <si>
    <t>Francisco del Castillo</t>
  </si>
  <si>
    <t>…ia preguntársele si los contratistas marido D. Juan Esquerra, y asimismo los atrasos que ha sufrido; y de esta clase habian hecho en alguna ocasión contratas con el Gobier otra de D. Francisco del Castillo, capellán agregado al batallón ligero no que no hayan sido con esta condición. Por otra parte en esta soli segundo de voluntarios de Aragón, en la que manifestaba lo que ha citud no se dice á cuánto asciende ei valor de los suministros. Debe padecido por adic…</t>
  </si>
  <si>
    <t>…. Jo. ANUNCIOS. sef Puerta-Benito: para el de Villoslada á D. Juan Antonio Ruiz Ca Por providencia del Sr. D. Joaquin de la Escalera , ministro ho raba n te : para el de Logroño á D. Francisco del Castillo: para el de Ca norario de la audiencia territorial, y juez interino de primera instan lahorra á D. Francisco Fabian: para el de A a reda á D Manuel Mateo cia , en los autos de testamentaría de D. Juan Rodrrguez, radicados en Gentico; y para el de Arnedo á D.…</t>
  </si>
  <si>
    <t>Castillo, Josef</t>
  </si>
  <si>
    <t>Josef Castillo</t>
  </si>
  <si>
    <t>…de aquel imperio. No dudando Muría Luciano Bicerra, cura de Tecali. deest: hecho, ahíje, que no puede asegurar el modo cómo ¿e hará se Suplentes. Lie. D. Joaqorn Luis Enciso; Lie. D. Josef Castillo mejante intervención; y fundándose en meros rumores dice que los d yS Rósete. Emperadores ex¡g&gt;r,n de ja Puerta una reparación de cuantu ha hecho, Diputados por la provincia de Nueva-Galieia. y cierta seguridad de que en adelante no se excederá en tales borr-…</t>
  </si>
  <si>
    <t>Castillo, Juan del</t>
  </si>
  <si>
    <t>Juan del Castillo</t>
  </si>
  <si>
    <t>…es, vecino de Barb.astro, D. Santiago, Pierrad , francés, rían a la defensa de la patria, y del trono constitucional., no pueden ;coronei;del regimiento de caballería de la Reina, D. Juan del Castillo, leerse sínoxtrañéza y admiración. las causas que han disipado en un mo .genpvés, avecindado en la isla de.Cuba, y D. Juan.Posve' natural de mento las lisonjeras esperanzas qua por tan bien fundadas se tenían. Hesse, en Alemania, pidiendo carta de ciudadanos,…</t>
  </si>
  <si>
    <t>Castillo, JuarTdeí</t>
  </si>
  <si>
    <t>JuarTdeí Castillo</t>
  </si>
  <si>
    <t>Gaceta de Madrid n.º 149</t>
  </si>
  <si>
    <t>…ayuntamiento, opi .Grregona Barquero ,. vecina.de Molina, para que en atención á los sernaba no haber cometido dicho juez infracción de Constitución; 'vicios de su difunte; marido D. JuarTdeí Castillo se sirviesen las Cor Se continuó la discusión sobre el capítulo reformado de la ley cons tes recomendar su familia al Gobierno para que la señalase alguna pen titutiva del egército,,que .trata de los.inspectores y estados.mayores; y sión ó alguna, finca, del…</t>
  </si>
  <si>
    <t>Castillon, Tomas Bernardo</t>
  </si>
  <si>
    <t>Tomas Bernardo Castillon</t>
  </si>
  <si>
    <t>…Ayeítarán-, López f’D. Patricio), sugetos siguientes: para el de Almunia á D -Jaime Marin : para el de Puget, Fagoaga , Ramos Arispe, Magariños, Lasanta, Moragues, Sil- Belchite á D. Tomas Bernardo Castillon: para el de Fraga á D Martin ves, Fondevila, Moreno, Couto, Amati , Castro, Cepeda, Navarro Cabrera: para el de Borja á D. Manuel Uc las lleras: para el de Tara( D. Felipe), Yuste , Desprat, Romero ( D. Josef), Moreno Guerra, zona á D. Juan Ortega: para el de…</t>
  </si>
  <si>
    <t>Castle</t>
  </si>
  <si>
    <t>…Cortes del 1* de Febrero. un modo directo y claro 5 y Mr. Tierney dijo que esta Leída y aprobada el acta de la sesión anterior, se hicie proposición debía hacerte precisamente. El lord Castle ron algunas proposiciones, y se leyeron otras por segun reagh sin embargo insistió en la suya de que se le señala da vez. sen^ á la Reina 50® libras esterlinas de renta anual; y sus El Sr. Rebello leyó la exposición que debe dirigir el amigos Mr. Sitiart vVor…</t>
  </si>
  <si>
    <t>…continente'se creía que un agente militar ingles-fue atribuciones; opinó que la eleccion-de eclesiásticos para las prebendas quien aconsejó la muerte de Murat; á lo cual contesto lord Castle perteneciese- á los obispos, y habló sobre la elección de personas para” reagh que "no había oído, jamas' habiar de este asunto.' Continuó su la educación dedos Príncipes—- .ái i' E ¡ .• - , discurso Sir Robert; y habiendo acriminado con mucha vehemencia la E…</t>
  </si>
  <si>
    <t>Castle-</t>
  </si>
  <si>
    <t>…s a Inglaterra , y..el- sábado por la noche llegó á Bran- eran inútiles, y que, podían perturbar el orden; por lo cual el Parla debourg-House. Lord Hood escribió inmediatamente ai-lord Castle- mento, renunciando á palabras ociosas , se remitía á la prudencia de reagh, quien le contestó que se iba á dar aviso de este acontecimiento S. A. en cuanto á mirar por la felicidad pública. Esto sucedió, si mal al embajador ingles en París. La Reina ha vuelto…</t>
  </si>
  <si>
    <t>Castlelos</t>
  </si>
  <si>
    <t>…ia nacional, y en ia de los Comunes ■ e hablan presentado gran número una de infantería y otra de caballería ,,compuestas arribas de de peticiones en favor de la Reina. Instado el lord Castlelos individuos que voluntariamente se ofrecieron a hacer es rengh para que manifestase la conducía que se había pro te servicio. Emprendieron su marcha á la una de la mañana puesto seguir el Gobierno ingles con respecto á los asuntos del d!a í , á tiempo que la i…</t>
  </si>
  <si>
    <t>Castlercagb</t>
  </si>
  <si>
    <t>…turcos. esclavizar á los Estados pequeños de Europa, y también es seguro que Reina la mayor consternación entre los extrangeros y los griegos han merecido la aprobación del noble lord Castlercagb.” que habitan en Constantinopla. Los turcos sé hallan también muy aba De aqui pasó el orador á tratar de Inglaterra, y echó una rápida tidos desde la llegada de un buque ruso de 18 cañones. ojeada sobre lo que allí pasa, explicándose en estos términos: «El no…</t>
  </si>
  <si>
    <t>Castlere</t>
  </si>
  <si>
    <t>…aproxime nuestro egército á las __Ayer se aseguraba que á pesar del lengiiage terminante de que ha usa fronteras del reino de las Dos Sicilias. Los dos Emperadores se dirigi do el lord Castlere3gh, han conocido Jos ministros la necesidad de ce rán , como yá dijimos en otra ocasión, á idria, á Trieste y acaso tam der al deseo general de la nación de que el nombre de la Reina se in bién á Venecia. . serte en la liturgia. Dícese que se introducirá en e…</t>
  </si>
  <si>
    <t>Castlereagh</t>
  </si>
  <si>
    <t>…ilio con toda prontitud y felicidad, ----- Uno de los. mensageros de S. M. llegó el -jueves por la así como la reunión de nuestras fuerzas de mar en el Callao noche á ia quinta de lord Castlereagh , llamada de North- el 14 de Abril . en que llegaron las tres fraaatas conducien Gra-y, con pliegos de lord Stewart, embajador ingles en do el batallón de granaderos de reserva , compuesto de óc-o Viena, y de Mr. Gordon, que se ha hallado en las confe hombres…</t>
  </si>
  <si>
    <t>…con efecto la anunciada ¿no dijo dos años hace que nunca consentiría en hacer en reunión de los ministros en la casa del de la Guerra el mar el Parlamento el papel de segundo del lord Castlereagh? ques'dé Latour-Maubourg. No ha dejado de excitar la cu Durante la causa de la Reina ha estado lejos de Londres; riosidad en algunos semejante reunión en las circunstancias pero si admite e! puesto peligroso á que es llamado,, ¿pen del día, y en medio de los…</t>
  </si>
  <si>
    <t>…tución de los derechos inagenables que rece considerarse como un mal, que deberá remediarse la naturaleza les concedió, como á todos los demás pueblos, cuanto antes sea posible. H lord Castlereagh ha hecho ver que sus antepasados egercieron y zelaron constantemente, lo que puede esperarse de la nación inglesa en favor de los y de que solo hace un siglo que fueron privados, ó por un pueblos continentales que invoquen nuestro auxilio, por ser sistema err…</t>
  </si>
  <si>
    <t>…cuanto al nombramiento del tras : cargas , pueden:.resultar consecuencias--de; mucho Ipe-: ■ sucesor de Mr. Canníng-. El primero deseaba que fuese Mr. Iigro. - ' • -• Peel., y el lord Castlereagh quería que ocupase este destino • El Gobierno francés nó se dettene enr recotnéndar láeco- Mr. Robínson ; pero aquel lós ha puesto acordes reusandó nomíay cuando asido exige él Ínteres del pueblo , y ten--' admitirlo ,' y; asi le obtendrá. Mr. Robínson. Tambi…</t>
  </si>
  <si>
    <t>…gún derecho nuestra estabilidad , nuestra dicha y nuestra gloria. formal á que se la nombrase en las preces públicas, habló V. M. permita á lo menos á la gran diputación que le el lord Castlereagh , y dijo asi: manifieste la justa indignación de que está penetrada. Per «Esta propuesta no es mas que un modo indirecto , poco mítanos oponer nuestro amor y nuestra fidelidad á las te generoso, é impropio del parlamento de suscirarunacens ura nebrosas insidi…</t>
  </si>
  <si>
    <t>…ión continuaron como anteriormente. Habiéndose aplica En la sesión del mismo día de la Cámara de los Comu do espíritu de vino ú opio á la médula espinal, se aceleró la nes propuso lord Castlereagh que se votase la suma de 5 o© circulación. libras esterlinas anuales para S. M. Ia Reina, cuya mocion Creo que estas ideas generales de fisiología pueden ser á fue aprobada unánimemente. propósito para servir de introducción al pormenor de los Las noticias de…</t>
  </si>
  <si>
    <t>Gaceta del Gobierno n.º 51</t>
  </si>
  <si>
    <t>…Todos los hombres sen ’dres del 2 de Enero , lo que dio motivo á creer que habia satos quieren que se deje en sosiego á la Reina, sin conce merecido la aprobación del Gobierno. El lord Castlereagh derla sin embargo alguna ventaja. Ademas la proposición de contestó que la inserción se había hecho inadvertidamente, Mr. Hamilron no tenia otro verdadero objeto que el de ar y declaró que el contenido de la exposición era inexcusable. rojar á los ministros,…</t>
  </si>
  <si>
    <t>…do sancionada por mí, con el Comunes fue tan larga, no nos es posible extender nuestras fin de dar á la nación una prueba liada equívoca del vivo observaciones sobre su objeto. El lord Castlereagh propuso deseo que me anima de ver sin tardanza alguna en todo su que se señalase á S. M. la Reina una dotación de 5 o© libras vigor nuestra Constitución política, y loque masimporta, de esterlinas, equivalente á la que se le señaló por las capitulacio ver ase…</t>
  </si>
  <si>
    <t>…manifestando un tono y vehemencia ex dificii traRquilizar á unas gentes que no quiaren vivir tran traordinarios. El mensage de la Reina, anunciado en el mo quilas. mento en que el lord Castlereagh proponía una comisión PORTUCAL. que examinase la asignación pecuniaria que debia concederse áS. M., aumentó quiza.la agitación. La petición que hace Lisboa 13 de Febrero. la Reina de que se ponga su nombre en la liturgia deberá ser muy pronto el objeto de una…</t>
  </si>
  <si>
    <t>…9 de Enero. El general barón Figuelmont ha sido nombrado minis individuos que deseaban exponer su modo de pensar. Aun tro plenipotenciario y enviado extraordinario de S. M. el que lord Castlereagh había hecho presente qua si parecía Emperador de Austria cerca de nuestra corte. Durante el posible finalizar la discusión, no era todavía tan tarde qua; no se pudiera oontinuar , después desistió de su oposición, Congreso de Laibach el barón Figuelmont perma…</t>
  </si>
  <si>
    <t>2ÍO que se votase, y lord Castlereagh que se termínase en aqué obligación de defender ia inocencia de la Reina. Én efecto, lla sesión j pero ál ñu se convinieron en dejarlo para el día asi lo hizo en su elocuentísimo discurso; pero sus razones siguiente. ’ no debieron convencer á la Cámara, pues…</t>
  </si>
  <si>
    <t>…y que íntegros van á publicarse in tosk. v otros varios miembros de la oposición. mediatamente ; y burlándose hasta de las ritualidades mas respetadas El lord abosado de Escocia y lord Castlereagh la impugnaron vi- en la guerra, notifican su rompimiento con la felonía de traspasar su vamente, y el ministro hizo presente á la Cámara que la proposición parlamentario nuestras primeras líneas, y bajo el pretexto de entre no tenia otro objeto que el de reno…</t>
  </si>
  <si>
    <t>…iación contraria á los principios monárquicos. Sesión de Cortes del S4. Después de haber refutado esta doctrina, hizo el orador algunas observaciones severas sobre la circular del lord Castlereagh, y se ad Leída y aprobada el acta de la anterior, se leyeron varias solicitudes miró de que su fecha fuese del 19 de Enero, es decir, solos cuatro y expedientes que pasaron á las respectivas comisiones. dias antes de la reunión del-Parlamento; y como los mini…</t>
  </si>
  <si>
    <t>…ada tenia que; hacer esta presiden que se dará cuenta en este periódico) el autor de la proposición y el cia cori la-de una elección para formar él ■ayuntamiento constitucional;'' lord Castlereagh, resultando sin embargo desechada por una mayoría manifestó, que ocurrían casos en que la tranquilidad' pública hacia né- de 194 votos contra 125. cesarkv.-que se enviasen comisionados; en cuyo estado, y sise decla Aunque en la gaceta de ayer se publicaron no…</t>
  </si>
  <si>
    <t>…o algunos dias en el reino tropas extrangeras sin permiso del Parlamento. El orador im Trieste. Se cree que el Congreso variará otra vea de residencia; unos pugnó la conducta- del lord Castlereagh, que había obrado con disi dicen que pasará á Udina, otros que á Padua; pero nunca saldrá de los mulo hasta el ip de Enero, fecha de la circular; lo cual dió motivo límites del reino Lombardo Véneto. . para que los ministros extrangeros creyesen que podrían e…</t>
  </si>
  <si>
    <t>…as que por su que la Constitución asegura á sus conciudadanos, únicamente porque poca voz no se pudieron oir. en materias religiosas no es de su modo de pensar, es una monstruo El lord Castlereagh se levantó, callaron todos, y.habió de esta sidad qué. repugna á todos los sentimientos de la caridad cristiana y manera: de la justicia natural. ¿Y por qué bárbara preferencia fia de ser solo el Estando ya. apurado todo cuanto pudiera hablarse en pro y en co…</t>
  </si>
  <si>
    <t>…superintendencia de la redac junta militar, y la egecucion se arreglase á las leyes marciales. Le con ción é impresión del Diario de Cortes, haciendo los ajustes y contratas testó lord Castlereagh , diciendo que el indicado agente era Sir VVi- que juzgase mas convenientes y equitativas, las que presentará á la apro lliam O’Court, y que podia asegurar ser enteramente falso el rumor bación de las Cortés. que habia corrido. 95. Esta misma cuidará de la im…</t>
  </si>
  <si>
    <t>…cerca de los gase nunca á concebir ni aún la mas leve sospecha de la posibilidad de verdaderos sentimientos de la Inglaterra , puesto que á pesar de la cir una traición. cular del lord Castlereagh, y de las aclaraciones dadas á las potencias El Sr. Netti fundó su proposición en el egemplo de los romanos y del continente, se veía por la declaración llegada últimamente f véase de otros muchos pueblos que hablan hecho lo mismo en circunstancias . la gacet…</t>
  </si>
  <si>
    <t>…o de la santa alianza, y de todas- tereses , forma un gran contraste con los sentimientos manifestados por las reuniones qué en adelante se verificasen , jamas se entremeterían en lord Castlereagh respecto de .Ñapóles, como También con toda la con los asuntos del régimen interno de ios pueblos , pires que semejante pro ducta del ministerio británico; concerniente á la gran cuestión que ac cedimiento; hubiera hecho introducir el injusto y aun absurdo pr…</t>
  </si>
  <si>
    <t>…u la Cámara de los Comunes, hubiesen de prestar los juramencos actual tención de! clero. mente prescritos.” Esta adición, cuyo objeto era mantener la exclusión Habló en seguida el lord Castlereagh , y dijo asi: e! establecimiento de los católicos de las dos Cámaras, fue desechada por 223 votos con de la iglesia anglicana protestante en Irlanda está fuera de la jurisdic'cion, aun del mismo Parlamento, porque está bajo la garantía de un tra 111. Idem 28.…</t>
  </si>
  <si>
    <t>…a, anunciada contra las garantías que exigen lo. cató El 7 de Marzo se halló en todas las calles de Jassy fijada la procla licos ; pero en vista de las reflexiones que lucieron eL lord Castlereagh ma siguiente: •' y Air. Canning retiró la proposición. , ,¡Habitantes de la Moldavia: Os hacemos saber que toda la Grecia Mr. Eíis propuso que se excluyese de la Cámara de los Comunes al ha encend do en el dia de hoy la antorcha de ia libertad , y ha que cler…</t>
  </si>
  <si>
    <t>…nza. Por lo que toca á los debates del Parlamento son absolutamente nulos desde que se desechó el bilí de la emancipación de los católicos. CORTES. . Los primeros dias de luto del lord Castlereagh han debido en v " ' torpecer momentáneamente las tareas del ministerio ingles; pero si PRESIDENCIA DEL SEÑOR CUESTA. el ministerio permanece en la inacción, jen qué consiste que nada di ' " * " cen los periódicos, gozando de una libertad sin límites! Se deja…</t>
  </si>
  <si>
    <t>…citado mes de Marzo último. Madrid tante'-maltratado el pueblo; pues hubo ia ciudadanos heridos y uno 12 de Mayo de 1821.” . mu.rto; en Edimburgo se hicieron varias prisiones. Ei lord Castlereagh ha sido nombrado individuo de la Cámara-de los Comunes. Habiéndose guardado todos los trámites prescritos en la ley de li En Hesse-Casel comienzan á hacerse tales reformas que indican bertad de imprenta, y calificado con la cláusula de sedicioso en segun que:…</t>
  </si>
  <si>
    <t>…ervido resolver Inglaterra que hablarla en adelante acerca de varias expresiones que se por último que los expresados diocesanos, el gobernador de Tarazona y le habían escapado al lord Castlereagh en la; última discusión sobre la el Gefe político de la provincia destinen los religiosos de los conventos marcha de los rusos, y que haría una proposición acerca del estado ac que se suprimen, y no se les da agregación determinada, á los de la tual de-Europa…</t>
  </si>
  <si>
    <t>…e se halla en la Laguna. Sir Francisco Burdett hizo una propuesta, atacando la elección del A las de Guerra y Comercio reunidas una instancia de los espade marqués de Londonderry (lord Castlereagh), á pretexto deque había ros de Cádiz, en la que solicitan se prohíba la introducción del extrancontribuido á ella el influjo particular de un Par. gero de esta, clase de artefacto. Se ha descubierto que uno dé los oficiales del banco ha contrahecho A' la de…</t>
  </si>
  <si>
    <t>…simismo que se uniese una copia de la nota dirigida Iglesia.” por sir VV. A’Court al Rey de Ñapóles. Se aprobó esta propuesta, Se leyó el art. 9.°, que decía : con una adición del lord Castlereagh, por la cual se sustituyó á la pa » El que abusase de la libertad de imprenta en alguno de los casos labra copia la As extracto. mencionados en el artículo anterior se le condena á pagar de 90 hasta _ Los diarios de Haití del mes de Enero están llenos de porm…</t>
  </si>
  <si>
    <t>…cos, los cuales por su parte pusie mar su importe en maderas; pero según un pliego de Viena del lord ron fuego á la ciudad. En un momento se vieron las casas de los cón Stewart al vizconde Castlereagh, su fecha 5 de Setiembre de 1818 , pa sules cristianos llenas de una multitud de habitantes pacíficos. (Estos ha rece que el Gobierno austríaco no solo rehúsa el pago de la deuda, si bitantes pacíficos habían pasado á cuchillo poco ant-s las mugeres, hi no qu…</t>
  </si>
  <si>
    <t>…uatro potencias aliadas, ó por mejor decir, el_Austria, la Rusia y ta acaba de prender á un capitán y cinco marineros que estaban al ser laPrusia hicieron un convenio, pidiendo al lord Castlereagh que pres vicio del Austria , y sin otra forma de proceso los ha hecho decapitar. tase á él su adhesión , por el cual se resolvió que hubiese dos Congresos; El egército turco lleva consigo la desolación. Un gran número de uno secreto para arreglar entre sí la…</t>
  </si>
  <si>
    <t>…ta sus resoluciones á las potencias extrangeras, y todavía mas nente son peligrosísimos para nuestro sistema constitucional, pues el que deje sus estados en una época tan crítica. lord Castlereagh, hoy marques de Londonderry, volvió muy mudado de sus viages de 1814 y 1815, durante los cuales vió tantos Sobera ALEMANIA. nos y tantos diplomáticos. « El Rey, añade dicho periódico, ni nin guno délos Monarcas existentes corre peligro de echarse á perder en…</t>
  </si>
  <si>
    <t>…rcos sí defendieron con valor : pero últimamente sucumbieron. IB ru silas 3 de Octubre. La mayor parte del egército de Tripolizza después de la referida E! marques de Londonderrí (lord Castlereagh), primer min'stro de victoria se puso en marcha para Pairas , que se halla en estado de ase S. M. B., salió de esta ciudad con dirección áHannóver, donde se ha dio , y se está esperando de un momento á otro la noticia de su ren cen grandes preparativos para e…</t>
  </si>
  <si>
    <t>…de las fabricas no presenta en todas sus partes un aspecto igualmen te próspero; aunque en éstos últimos tiempos se ha visto que iban en ministro. -2, Se han recibido pliegos del lord Castlereagh , refiriéndola llegada aumento muchas de las mas importantes, y no hay yunto alguno en de S- M. á Hannóver el día 8: la ciudad estuvo iluminada, y en lama- que la falta de trabajo dé motivo á quejas fundadas. nana siguiente recibió el Rey las exposiciones y f…</t>
  </si>
  <si>
    <t>…á. Los albaneses musullmanes de la tribu de _De un momento á otro se aguardan en Paris al general Woronzow y Toskides acaban de sublevarse contra la Puerta. Mas de 48 de estos, al lord Castlereagh. La venida de estos dos person.ages se atribuye á la úl auxiliados de todos los gtiegos llamados riciotas, que habitan en las lla tima nota pasada por el Gabinete de S. Pecersburgo á varias cortes d* nuras y al pie de las montañas de Toscania, pasaron el Zero…</t>
  </si>
  <si>
    <t>…us'tareas. Los individuos de ban reunidos en Carlabad han convenido en juntarse en Hannóver. La la com.sion no están acordes, pues la mitad de ellos está por las nue presencia del lord Castlereagh, al mismo tiempo que da motivo i estos vas instituciones, y la otra mitad por la antigua legistac:on de la Sici rumores, hará que las medidas sean mas generales. Estos plenipotencia lia. Esta ú.tima desearía que el Rey autorizase á la comisión para que rios f…</t>
  </si>
  <si>
    <t>Castlereahg</t>
  </si>
  <si>
    <t>…a del estado á que se llega á lase abiertamente las solemnes promesas que tenia hechas al pueblo si reducir una nación, en la cual no se han tomado de antemano las pro ciliano. El lord Castlereahg confesó ( véase su discurso de 181Ó pre videncias convenientes para precaver la inevitable tendencia del „prin- sentado recientemente al Parlamento) que »cualquier tentativa para cipio monárquico’’ hacia la usurpación. disminuir los privilegios del pueblo sic…</t>
  </si>
  <si>
    <t>…ron el mismo dia á Aquisgran , donde han de esperar d su Soberano.” compision, y que es difícil no experimentaría á su asp cío, también jo El Oráculo: ” El marques de Londonderry (lord Castlereahg) , pri es que debe merecerla bajo Un punto de vista que le sea favorable. ; Y mer ministro de S. M. Británica , al salir de aquí se ha encaminado di cuáles son los derechos de los griegos para que nos interesemos por rectamente á.Hannóver, donde se están haci…</t>
  </si>
  <si>
    <t>CastoJIode</t>
  </si>
  <si>
    <t>…s -libras de cabida. Este da para aquella sesión la discusión sobre la proclama ó barril se puso entre la pared y una arca en una meseta manifiesto de las Cortes, propuesta por el Sr. CastoJIode ¡a escalera, llamada comunmente la escalera de madera, B raneo, «1 cual pidió licencia para retirarte mientras se de-</t>
  </si>
  <si>
    <t>Castoreña, Luciano</t>
  </si>
  <si>
    <t>Luciano Castoreña</t>
  </si>
  <si>
    <t>…an general sin proponer las cuotas. Con .arre A la comisión de Poderes se mandaron pasar lo; presentados por glo á los presupuestos se aumentarán las cuotas; pero esta cuestión es D. Luciano Castoreña, diputado electo por ¡a provincia ríe México; absolutamente separada de las bases. La comisión ha tratado primero de los de D. Francisco María Ramírez por Oajaca, y los de D. Tomas N. las contribuciones directas- como productos fijos , pasando luego a tra por…</t>
  </si>
  <si>
    <t>…rdua empresa. Congratulémonos y dé- El de la de Poderes, relativo á que podían aprobarse los de los se amonos el parabién de tener en nuestro seno un respetable eclesiástico ñores D. Luciano Castoreña , diputado por México ; D. Francisco Ma que tanto nos honra. Grabemos su memoria con caracteres indelebles ría Ramírez por Oajaca , y D. Tomas Arguello por la de Nicaragua.para que viva eternamente.Dichoso yo si con este elogio logro estimu El de la segunda d…</t>
  </si>
  <si>
    <t>Castra, Evaristo Pcrez de</t>
  </si>
  <si>
    <t>Evaristo Pcrez de Castra</t>
  </si>
  <si>
    <t>…viera pasar á la tribuna para leer la memoria. Aquel lo verificó , y dijo que la memoria que tenia el honor de presentar á las ' CORTES, Cortes era la misma que habia compuesto el Sr. D. Evaristo Pcrez de Castra, Serien del dia 4 de Marzo. El Sr. Vítorica tomó la palabra, y dijo que para nada debía de leída y aprobada el acta del dia 3 , dijo el Sr. Zapata sí se sabiac nombrarse al Sr. Pcrez de Castro; que á las Cortes no interesaba saber de oficio quién era el encar…</t>
  </si>
  <si>
    <t>Castrillo</t>
  </si>
  <si>
    <t>…dió bierno está persuadido de que la ordenanza está vigente, y que se ob contra aquel administrador. , . serve que si un reo debe ser juzgado por esta , quiere S. M. que se le El Sr. Castrillo dijo que habia extrañado que en l.?s periódicos de juzgue: y que en cuanto a! dilatarse ¡as causas ¡os jueces no podían esta corte no se hubiese puesto su nombre y el de sus compañeros que prescindir de seguir el curso regular en ciertos puntos hasta que hubi…</t>
  </si>
  <si>
    <t>…es lieclias por el por casi dispersos los cuerpos de-egército de los. generales Carrascosa, Sr. Fraile. Ambrosio y I-'ilangieri; pero declara como fieles á las guardias Reales, El Sr. Castrillo: La comisión Eclesiástica á nadie cede en .el respe y éti virtud de esta fidelidad se recompensa á dicha tropa con alemanito y obediencia al supremo Pontífice , cuya autoridad y.primado de ho zarla , haciéndola entrar en.la brigada de granaderos del egército…</t>
  </si>
  <si>
    <t>…nifestar al Congreso que penetrado de los grandes é im Cisneros. portantes negocios que se hallan pendientes en las Corles, y cuya reso Sé leyó por segunda vez una preposición del Sr. Castrillo , relati lución lantoniteresa á la Nación , y usando.de las facultades q-e :e con va á1 si los diputados á Cortes pueden obtener ciertos empleos, que. cede .el art eulo voy de ia Constitución , desea que las Cortes tensan siendo de provisión Real son ganados…</t>
  </si>
  <si>
    <t>…que el argumento del Sr. Moreno. Guerra se re dades el leer de oposición sobre los libros de Aristóteles. duce á que por este año no se puede llevar á efecto lo que propone la El Sr. Castrillo dijo: » Yo abundo en los mismos sentimientos que comisión con respecto á la contribución directa; se ha fundado S. S- en el Sr. García.Page, y me hallo animado de los mismos deseos; pero que gravita esencialmente sobre el propietario, y no sobre el colono. en…</t>
  </si>
  <si>
    <t>…experimentan en el presente año económico. las mismas circunstancias.” Se mandó pasar al Gobierno un proyecto de ordenanzas de colegios Se leyó por primera vez una proposición del Sr. Castrillo, relativa militares presentado por el Sr. Serr.illach. i que se permita,profesar á las que pretenden ser monjaspuesto que lo El Sr. López (D. Marcial) dijo que mucho tiempo hace presentó resuelto por las Cortes sobre el particular era una medida interina. una…</t>
  </si>
  <si>
    <t>…su parte no hallaba inconve conveniente en la parte económica. niente en que se pusiese del modo que habia indicado el Sr. preopi Se mandó pasar á I3 comisión otra proposición del Sr. Castrillo, nante. concebida en estos términos: » Pido á las Cortes que se ocupen exclu El Sr. Gaseo: Las Corte» aprobaron la división en el número de sivamente en la asignación de los sueldos de los gefes político*, y á lo provincias que saben todos los Sres. diputados…</t>
  </si>
  <si>
    <t>…intención que trastorna el or con mala intención es un acto cometido voluntariamente y á sabiendas, den &amp;c. &amp;c. luego hay en él mala intención. Yo no sé en qué sentido habrá to El Sr. Castrillo, después de haber hecho algunas reflexiones acer mado la comisión ia palabra sabiendas, porque la considero inútil. ca de los reparos que se habian opuesto a la definición propuesta por Otra consideración : toda definición hecha con palabras obscuras , como l…</t>
  </si>
  <si>
    <t>…itable la guerra probablemente, no se verificará en este diente en ia sesión de anteayerfvéase la gaceta del 9). ano. El bajá de Widin ha mandado que se armen todos los musulma El Sr. Castrillo opinó que era preciso añadir en el artículo de que se nes desde la edad de 16 años hasta 6o : tanto este bajá como-el de Bel trataba una cláusula para graduar la criminalidad de los auxiliadores, grado' han recibido grandes refuerzos, particularmente de tropa…</t>
  </si>
  <si>
    <t>…rar sino en el desorden, parece que apuran todos sus una pena proporcionada los delitos que cometieren. esfuerzos para lanzar al pueblo incauto en los horrores de la licencia y El Sr. Castrillo dijo, que en su opinión no habia artículo mas acerta de ia feroz anarquía. Son pocos, es verdad; y no podían ser muchos do en todo el código; que el borracho era sin duda alguna tan crimi entre españoles leales y sensatos; pero por desgracia han sido los bas…</t>
  </si>
  <si>
    <t>Castro, Antonio Fernandez de</t>
  </si>
  <si>
    <t>Antonio Fernandez de Castro</t>
  </si>
  <si>
    <t>…pero la mayor parte acuden al palacio trado en primera instancia de la misma, habiendo visto la del 'Conde de... qae también se tiene por inspirado , y cuyas causa formada contra D. Antonio Fernandez de Castro y enfáticas profecías se escuchan con admiración. Este ilustre 'Bosque y Ramón Pomares , por haber dado al público el profeta explica e| Evangelio á su auditorio según el espíritu papel titulado «Representación que hacen, al pueblo de Ma- de que se cree poseí…</t>
  </si>
  <si>
    <t>Castro, Evaristo Perez de</t>
  </si>
  <si>
    <t>Evaristo Perez de Castro</t>
  </si>
  <si>
    <t>…a queja respondiente del monte pío, á cada uno de los ex-secretarios del Des dada contra él por D. Manuel Suarez; y otra de D. Juan Francisco pacho consejeros honorarios de Estado D. Evaristo Perez de Castro, Aguado y D. Esteban Cabañez, vindicándose de una queja dada contra D, Agustín Argfieiles, D. Ramón Gil de la Cuadra , D. Manuel Gar ellos por D. Tiburcio López. cía Herreros, D. Josef Canga Argíielles , D. Cayetano Valdes y Don Se dió cuenta de una exposició…</t>
  </si>
  <si>
    <t>…de haberse tomado tantas medidas no se haya resta Suplentes. D. Basilio Neira, hacendado. D. Sebastian Clemente blecido la tranquilidad pública. Moreno . abogado. Por Vatladolid. D. Evaristo Perez de Castro , ex-ministro de Es IRAN CIA. tado; y D. Miguel López Baños, mariscal de campo y comandante ge neral de la provincia de.......... Suplente. Parts 34 de Noviembre. Por Córdoba. D. Angel Saavedra Ramirez de Baquedano, coro Según unos reina en Constantinopla la…</t>
  </si>
  <si>
    <t>Castro, Manuel del Castillo y</t>
  </si>
  <si>
    <t>Manuel del Castillo y Castro</t>
  </si>
  <si>
    <t>…nilla , núm. 30, en 27,486 rs. neral su ayudante que fue en el almirantazgo, y actual teniente de Otra en la misma Costanilla , núm. 29 , en 15,498 rs. «avío de la armada Nacional D. Manuel del Castillo y Castro. Se ha Otra en ídem , nútu 28, en 7810 rs. llará en la librería de Escantilla á 16 rs. en rústica. Otra en idem , núm. 27, en 4732 rs. Causa criminal formada en la plaza de Barcelona contra el héroe de Otra en ídem , riúm. 26 , en 5320 rs. la libertad español…</t>
  </si>
  <si>
    <t>Castro, Matilde Vincenti de</t>
  </si>
  <si>
    <t>Matilde Vincenti de Castro</t>
  </si>
  <si>
    <t>…sus hijos. fugiarse á bordo de los buques, ni á dicha fragata entrar en el puerto D- Ignacio Uranga. D. Aíateo de la Quintana. á recibir pliegos del cónsul francés D. Juan Bolado. D. Matilde Vincenti de Castro. La Rusia, Austria y Prusia parecen irsé preparando para grandes - D. Juan Ferrar. D. Aíiguel Balseira. acontecimientos: la apatía dé la Prusia se convierte en vigilancia, y po D. Juan Luque. Dona Teresa, Doña Josefa y ne en movimiento alguiias tropas. De la…</t>
  </si>
  <si>
    <t>Castro, Pcrez de</t>
  </si>
  <si>
    <t>Pcrez de Castro</t>
  </si>
  <si>
    <t>…Castra, Serien del dia 4 de Marzo. El Sr. Vítorica tomó la palabra, y dijo que para nada debía de leída y aprobada el acta del dia 3 , dijo el Sr. Zapata sí se sabiac nombrarse al Sr. Pcrez de Castro; que á las Cortes no interesaba saber de oficio quién era el encargado del ministerio de Hacienda; y que has Ja persona que la habia compuesto, y,que el que ocupaba la tribuna ta tanto que no se verificara esto , el Congreso no debia admitirle. era el único r…</t>
  </si>
  <si>
    <t>Castro, Vicente</t>
  </si>
  <si>
    <t>Vicente Castro</t>
  </si>
  <si>
    <t>…isco Guerrero, D. Pascual Climent, D. Juan Sta. María y Don 7. » Se exceptúan de la anterior disposición las encomiendas, pensio Federico Vera: subtenientes D. Salvador Villagrá , D. Vicente Castro, nes y diezmos aplicados á la universidad de Cuimbra y á los estableci D- Francisco Lemes, D. Vicente Arias y D. Antonio Muiiuz. mientos de beneficencia é instrucción pública en general, los cuales con 3.1 En S. Fernando, ademas de los auxilios ofrecidos por…</t>
  </si>
  <si>
    <t>Castrólo</t>
  </si>
  <si>
    <t>…necía las objecio 4.a La de destierro ó extrañamiento perpetuo del territorio español. nes que se habian hecho. El Sr. Calatrava dijo que había impugnado esta pena ja audiencia El Sr. Castrólo dijo que todos los Sres. que habían impugnado el de Madrid , y en seguida quedó aprobada. dictamen de I3 comisión habian «Echo que ai que no tenia v.retLrza 1 5.a La de obras públicas. nada se le daba que le expusiesen á la vergüenza pública . y par lo El Sr.…</t>
  </si>
  <si>
    <t>Castrólo, Pedio Miquelcz</t>
  </si>
  <si>
    <t>Pedio Miquelcz Castrólo</t>
  </si>
  <si>
    <t>…as corporales que sean oportunas merarios de infantería de línea al sargento mayor y teniente coronel para causar un escarmiento saludable, en los mismos pueblos donde hu graduado D. Pedio Miquelcz Castrólo, al primer ayudante y teniente bieren cometido el delito.” coronel graduado D. Josef de Lago, y al capitán con grado de teniente ' til Sr. Calatrava dijo que el tribunal de Ordenes opinaba que este cojonelD. Fiancisco Amores. artículo pertenecía al código de…</t>
  </si>
  <si>
    <t>Castroman, Hilario</t>
  </si>
  <si>
    <t>Hilario Castroman</t>
  </si>
  <si>
    <t>…. Durable su permanencia en' el‘ corsario Ies 'di¡érbfl,'5jjiiiéiiha¿ nfátív'o de ésta táctica política en cañsasqumfaciliten .tnaá ái$u-tiempo-la bian apresado el quechemarin del capitán Hilario Castroman , la ba fuináídel'imperio otomano. Se confirman laa' hos t ti idades - en tre la Perlandra de Pascual de Soto y él bergantín da Cérhudá; qué los dós úlé timos los dejaron en libertad , y el primero se lo llevaron.-Está piritado de hegto con faja blanca, forra…</t>
  </si>
  <si>
    <t>CastUireagh</t>
  </si>
  <si>
    <t>…r la voz de la patria y el simple ciudadano*, guntado ademas s¡ se concederían permisos sobre este pun digno de titularse compañero suyo en saber amarla, y en to , le respondió el lord CastUireagh que no habia oido sus ardientes deseos de servirla. hablar de peticiones de semejante especie. Quien desconociese esta verdad , y hubiera presenciado la e(ntrada de ambas compañías interpoladas y mezcladas NOTICIAS DEL REINO. sus filas, con sus músicas á la c…</t>
  </si>
  <si>
    <t>Castülo-Branco</t>
  </si>
  <si>
    <t>…sen del Despacho de Hacienda. de su dinero para seguir en ellas, y que no era una pena, sino una tmlispcmáblc precaución. »»Excmo. Sr.: Habiéndose publicado suficientemente eL. El Sr. Castülo-Branco no pudo persuadirse deque fue terminó necesario para que los que tuviesen derecho á la se indispensable este secuestro para la salvación de la patria, pertenencia ó propiedad de los vales cancelados hiciesen las ni que sirviese para impedir que los enviados h…</t>
  </si>
  <si>
    <t>Catacuceno</t>
  </si>
  <si>
    <t>…mas! El Eterno nos promete ia los han obligado á retirarse á Bocha res t. Se dice ahora que fue ardid victoria. Dejad vuestras casas , salid de vuestros pueblos, privad al ene del príncipe Catacuceno ia noticia de-la entrada de los rusos en Tur migo de todos los objetos que le puedan ser útiles. Entregad á las ¡la quía ; pero no dejaba de sostenerse esre rizrnor. mas vuestras habitaciones ■' volved á los montes: y s: ir fortuna qu era En la Grecia continu…</t>
  </si>
  <si>
    <t>Catalá, Joaquín</t>
  </si>
  <si>
    <t>Joaquín Catalá</t>
  </si>
  <si>
    <t>…e aquellos amantes de la humanidad ig También se mandaron pasar al Gobierno una solicitud del presbí norante , no es lícito pasemos én silencio el de este zeloso eclesiástico tero D. Joaquín Catalá, religioso secularizado, vecino de la ciudad que tanto se dSsvell para ia ilustración del pueblo. Gultier y Lancaster de Barcelona , exponiendo la escasez de su cóngrua, y lo mucho que fueron bastantemente generosos para sacrificar sus intereses y sus pro ha…</t>
  </si>
  <si>
    <t>Catalana</t>
  </si>
  <si>
    <t>…el Sr. Morici que se borra Mucho tiempo ha que se dijo en la Cámara de los Co sen de la Constitución los art. 92 y 93. munes que eí poder del Rey se iba aumentando, y era pre-t El Sr. Catalana se opuso á esta proposición, diciendo, ciso disminuirle. Desde acuella época no ha ceSado de ad que iá nación napolitana liabia jurado conservar las bases quirir mayor fuerza e! influjo .ce la Corona , y los Comude la Constitución española; y el Sr. Sapronaro…</t>
  </si>
  <si>
    <t>Catalano, Luis</t>
  </si>
  <si>
    <t>Luis Catalano</t>
  </si>
  <si>
    <t>…dos y de la Gran Bretaña. El 1 Q de este mes se celebró en Avelino un consejo de guerra, pre „ MÍ intención es tratar á todos los pabellones amigos-con'ncme sidido por el teniente coronel Luis Catalano , para ver la causa forma nos justicia que hospitalidad ,-y tendré el mayor cusía en asistirá los que’ da á Josef Scolavino, de 36 años-, á su hermano \ ícente, de 2 1 ; a n,., necesiten para tomar provisiones -frescas. Suplico: á vmd. comuni Pedro de Marco,…</t>
  </si>
  <si>
    <t>Catalina</t>
  </si>
  <si>
    <t>…y sujetar á ellos á todas las naciones. de esta corte, profesor de cirugía, é hijo legítimo de Don ¿Se pretende consolidar para siempre la paz? Sean jus Juan Antonio Sánchez y tíe Doña Catalina "V elez.. Contrajo tos los Gobiernos, y está conseguido el fin. No se usur matrimonio en 13 de Diciembre de 1808 con Doña Mariapen á Jos pueblos los derechos que Dios les ha dado, y que de Avila, natural de la villa de Brúñete-, y al principio del forman la p…</t>
  </si>
  <si>
    <t>…ollado! " : j" Miguel‘Pérez;" D. Juan Bros y Doña-Mítría de Cónsul su' muger, residentes en Josef Moreno Martínez.1 : , MigiieUparfiíguirre. León , presentaron á nombre de su hija Doña Catalina, de edad de 9 Joséf Manuel Collado." 'F " ' Miguel Huiei. años , una camisola cosida v bordada por sir ir.añó1, y lo mismo el enca Jóssf'Cabaüero Mcal. • ■■ •'Mrqúíiitoréna, hermanos. je de sus chorreras, cuyos conocimientos adquirió en' las escuelas Afi Jose…</t>
  </si>
  <si>
    <t>Catalina, Tomas Polo</t>
  </si>
  <si>
    <t>Tomas Polo Catalina</t>
  </si>
  <si>
    <t>…5- 3- 34- Pío de Molina, D. Manuel García del Barrio, D. Marcos Cubilio, D. Mariano Valero, D. Nicolás de Puga, D. Pedro Matute, D. Ra Hay ademas cuatro sospechosos. fael Costa y D. Tomas Polo Catalina. Madrid l.° de Noviembre. Parroquia de S. Marcos, p electores. En el domingo próximo 4 de Noviembre se han de celebrar en toda D. Josef de Arca, D. Josef Huel, D. Juan Antonio Villarino,' la Península las elecciones de los electores de partido por los de las…</t>
  </si>
  <si>
    <t>Catarina, N.</t>
  </si>
  <si>
    <t>N. Catarina</t>
  </si>
  <si>
    <t>…es, y á las particulares circunstancias que le carac una exposición de D. Juan Ortega, sargento de infantería retirado, é terizan.” individuo de la milicia nacional de esta corte; D. N. Catarina , escri Asimismo se leyeron dos votos particulares, uno de los Sres. Cues biente agregado á la secretaría del Despacho de la Guerra , y D. Gas ta, Zubia y Azaola, que dijeron no consideraban al Tesorero general par Acero, sargento de la milicia nacional de Va…</t>
  </si>
  <si>
    <t>Catedrático</t>
  </si>
  <si>
    <t>…a. De la prueba por jurados, ó sea consejo de hombres buenos: Vamos ahora á las crasas omisiones que ha padecido el por D. Santiago Jonama. Se hallara á 16 rs. en las librerías de Sr. Catedrático. Ranz, de Denín y de Castillo; y en las mismas se vende á 20 Un Antonio deNebrija, introductor de la literatura clá mrs. la portada, el' epígrafe y un discurso, ó mas bien recurso, sica en España; un Pedro Valencia, sin cuyo comentario dirigido á la Nación ;…</t>
  </si>
  <si>
    <t>Caula, Carlos Federico de</t>
  </si>
  <si>
    <t>Carlos Federico de Caula</t>
  </si>
  <si>
    <t>…la prontitud dante del cuerpo de policia.josef.de.Oliveira Barbosa; el presidente de con que se verificó. la junta de comercio el vizconde! dé Asseca, y el general de las armas el brigadier Carlos Federico de Caula. Palacio del Rio-Janeiro á 2&lt;S de Febrero de 1821.” = Está rubricado. ANUNCIOS. ARTICULO DE OFICIO.. Los síndicos representantes de los acreedores á la. testamentaría del Circula!' dd ministerio de la'Gobernacion de la Península. intendente honorario de egérc…</t>
  </si>
  <si>
    <t>Caureny, Antonio</t>
  </si>
  <si>
    <t>Antonio Caureny</t>
  </si>
  <si>
    <t>…cidad que un estatuto liberal le prome pasado me dicen lo que sigue: tía, vean que si el honor nacional llegó á separarse de nuestros estan » En vista del expediente promovido por D. Antonio Caureny, dartes, tiene todavía un asilo inexpugnable en nuestros pechos: y se teniente retirado de infantería, y cursante en la universidad deCcrvera, pan por fin que si la presente generación no fuese acreedora á las ga en solicitud de que se le conmuten cinco curso…</t>
  </si>
  <si>
    <t>Cauto</t>
  </si>
  <si>
    <t>…de Cortes relativos á las juntas asimismo las abusivas prestaciones para la mesa de los obispos: preparatorias. se ha rebajado por ahora'una sexta parte de la contribución El Sr. secretario Cauto leyó la lista de los señores di territorial, y se ha decretado la modificación de varios gastos putados, cuyos poderes estaban aprobados desde el año an municipales. Ademas de los infinitos objetos sobre los cuar- terior, y á continuación otra de ¡os que han…</t>
  </si>
  <si>
    <t>CaUtravu</t>
  </si>
  <si>
    <t>…prisjon al que lo cometa, si este no hace aquí á mi parecer otra-razón para-que H comisión. ío verificas. más que ¡a proposición , y esta no es aceptada, es claro que deberá su El Sr. CaUtravu dijo que el Sr. preopinante había hecho dos obsri— ■ frir un mes de, prisión ,que es la cuarta parte , y este mismo orden es vacioncs,ála primera de ¡as cuales-ya se habia respondido, demos-' él que se debe seguir con respecto ! las demas proposiciones de los…</t>
  </si>
  <si>
    <t>Cavala</t>
  </si>
  <si>
    <t>…e en,cada uno: por lo que. consideraba muy fundado árabe, cuyo coste será muy corto en aquella plaza. 4- Que se examine el dictamen de la comisión; y después de haberle apoyado ei Sr. Cavala memoria del general gobernador de Ceuta, y se corri-an los vicios leri , fue aprobado. de la administración de la Hacienda pública y demas ramos de aquella Se di i * cuenta de un oficio dei comandante del primer batallón del plaza. Después de alguna discusión…</t>
  </si>
  <si>
    <t>Cavaleri</t>
  </si>
  <si>
    <t>…n enteradas; y se levantó la sesión. Efectivamente. se leyeron; .tres indicaciones., una del Sr. Romero Álpuente, otra de los Sres, Martel,, Priego, Gijaldo y Moscoso , y otra del Sr. Cavaleri , en todas las cuales se proponía el nombramiento Se han recibido periódicos extrangeros, cuyas noticias alcanzan ; las de.una comisión especial .que tomase .noticias del estado de la Seguri de Londres hasta el 20 de Febrero-, las de Viena haata el 11; las de…</t>
  </si>
  <si>
    <t>…aba cuando menos hará á la vela con brevedad con direccio.n á Argel y á fin de" impedir de si quince millones de españoles debían ser feudatarios. la salida de dicha escuadra.” El Sr. Cavaleri hizo la siguiente indicación: ,,En atención á los La goleta-correo de Gibraltar llegada de Tánger , :.de' donde sa graves y urgentes negocios que penden de la determinación de las Cor lió ayer, declara haber muerto en Tetuan el dia 1 5 el nuevo Empera tes , p…</t>
  </si>
  <si>
    <t>…zados en -Fuensanta y Tejada de Garaballa , en Vide aplicación.” ' . ■ llaescusa de Haro el de dominicos', y en Carboneras el ds igual instituto; Lo mismo se verificó con otra del Sr. Cavaleri al art. 10, que de Se suprimen en la ciudad de Cuenca el de agustinos calzados, el de tri cía:« Y siempre deberán practicarse con los reos que no resulten ¿on-: nitarios calzados, el de dominicos y él de mercenarios calzados; en fesos ó convictos , á fin de q…</t>
  </si>
  <si>
    <t>…e Valencia, á fin de que con sus fonéuspreses hasta un año. ' n Ñápales Stc.=Firmado=El marques de Circello.* se paguen lós honorarios devengados que acreditan sus catedráticos. H Sr. Cavaleri, después de haber manifestado lo esencial que rra NOTICIAS DE ESPAÑA. el discutirse el plan de Hacienda antes de concluirse esta legislatura, ' Cea He Albarraein 7 ele Majo. hizo ias siguientes indicaciones, que no fueron admitidas a discusión. El ayuntamient…</t>
  </si>
  <si>
    <t>…e fuera mas exacta, se podria la Gorgnera en la librería de Hermoso, y en la estampería de la ca-‘ adoptar; lie Mayor , en botellas de.medio cuartillo y de copa i 20 y á 10 rs; El Sr. Cavaleri opinó que esta contribución se impusiese por partes con ei método que debe observarse para su uso.. alicuotas , esto es, al tanto por ciento sobre la renta que fuese suficien ANUNCIOS. te a cubrir ia contribución referida. El Sr. conde de Toreno dijo: la comi…</t>
  </si>
  <si>
    <t>…rario seria gravar demasiado la agricultura. Se mandó pasar á la comisión especial de Hacienda una indicación El Sr. Torre Marín dijo que esta contribución deberla calcularse .del Sr. Cavaleri, reducida á que las contribuciones que se pagan por los por el valor que tuviesen los predios urbanos , y no por susalquileres; predios rústicos las paguen los propietarios , y no los colonos. á'lo qué contestó el Sr. Moscoso que la comisión hab a propuesto e…</t>
  </si>
  <si>
    <t>…, Quedó aprobado, este artículo, añadiéndoselas palabras siguientes! ' 85? 37, 38 , 39. 4o . 4t &gt;-42 »-13 • 44 &gt;45 , 46,50, 53, 54, 55,. siempre que sea rosille , á indicación del Sr. Cavaleri, -5&lt;S'J 57, 58, 59, 60, 6t , fíz , 63 , 64, (S5,66, t&gt;7&gt; 68,69,70, 7.j, Art. 60.. » Los repartidores no podrán ser empleados det Gobier 73 &gt; 74»75.7Ó&gt; 77. 78. 80, 81 , 82, 8g ,'84, 85,86, 87,88, 89, no.” Aprobado. 90, 91 ,107, 108 , 109, nb, ni, ii2, 114, 11…</t>
  </si>
  <si>
    <t>…abacos que llegasen á loa varias ad.ciones que se habían pasado a la misma. puertos de depósito, coma los demas existentes pertenecientes á parti Después de haber examinado la del Sr. Cavaleri, hecha al art. 2.0 culares , debe comprarlos la Hacienda pública á precios convencionales, del orovecto de decreto sobre contribución territorial , la comisión opi graduándose á juicio de hombres buenos; en caso de no convenir, lo naba que respecto de las pro…</t>
  </si>
  <si>
    <t>…ntos se han cobrado de atrasos, puesto que si se han pa de que se aprobase el dictamen de la comisión. gado parte de estos , es preciso también que se hayan cobrado atrasos que El Sr. Cavaleri dijo que este asui to era de la mayor importancia, se deben á la Nación? Ei Gobierno debe tener actividad para buscar y que dibia procederse con mucho tino, porque en un Gobierno re fondos, ya sea por anticipaciones ó por otros medios , y no proponer un prese…</t>
  </si>
  <si>
    <t>…bitrios consulares y de puertos qué el Sr. Desprat. &gt; deben pagar los mismos géneros trasportados por mar.” . Se leyó en seguida tí (voto de dichos señores relativo á que no po El Sr. Cavaleri propuso que se añadiese después de las, palabras íii dían conformarse con sus señores compañeros en la nueva forma que se los adeudos de los géneros la de extrangeros-, y habiendo convenido!» da á los artículos 21 , 22.y 23 del decreto de las Cortes ordinaria…</t>
  </si>
  <si>
    <t>…rriba; lo que era casi imposible, atendiendo leyeron. que en el dia estaba muy caro , y no pasaba de 50 rs. El Sr. Sancho dijo que en la certificación que se había leído , dada El Sr. Cavaleri dúo que el Sr. conde de Toreno habia manifestado por la aduana de Cádiz, constaba que ¡os cáñamos de Rusia e! año que la urgencia y necesidad de una prohibición absoluta , y que por lo mis menos se vendían á ia pesos el quintal y otros á 18: que si dei do mo…</t>
  </si>
  <si>
    <t>…ítimos que hay eu apoyan el dictamen de la comisión; porque sí Búrgos es el punto ceñ aquella provincia. ir.co de este distrito y el punto de comunicación , ha de formar parte El! Sr. Cavaleri: No creo que en tiempo de paz se deban tomar del distrito en «1 cual ésten las fronteras, porque seria muy ridiculo todas aquellas disposiciones que se toman *n tiempo de guerra, por-</t>
  </si>
  <si>
    <t>Caváleri</t>
  </si>
  <si>
    <t>…en el sentido que lo decía la comisión, quedaban desvanecidas llevase son los que'expresan las güias.”' “ j todas las objeciones que se hablan hecho. Hizo ademas algunas obser El Sr. Caváleri manifestó que sufrían un perjuicio los ace Llevaban 1 vaciones en apoyo de su opinión. astas gilias con respecto í los que no las llevaban, porque estos no pn~ i El Sr. Gutiérrez Acuña expuso que de ninguna manera podía apro dian-ser incomodados como no hubie…</t>
  </si>
  <si>
    <t>…comisión di Corrección de estiló nombró el rir. presidente de este género, y asimismo la facilidad de su extracción. en lujar del rir. García-Piwpéal i»r. Martínez-de la Rosa. El Sr. Cavaleri apoyó la opinión de los Srcs. López ( D. Marcial) Juró y ¡ornó asiento.en el Congreso el Sr. Ochoa. y San-Miguel, manifestando que medíante la abundancia de minas de Se procedió. á la discusión del- dictamen de .¡las comisiones de Ha carbón que habia en Españ…</t>
  </si>
  <si>
    <t>…ón del alcalde constitucional de los Campos en la provin igual caso.” cia de Soria haciendo presente el estado lastimoso en que se halla aquel Después de algunas observaciones del Sr. Cavaleri, á que «ontestó vecindario , y pidiendo se sirvan las Cortes mandar se les admita en com el Sr. Calatrava , quedó aprobado. pra de bienes nacionales las certificaciones que tienen de suministros he _Art. 73. » Ni á los reos comprendidos en el artículo precede…</t>
  </si>
  <si>
    <t>Cavaleri, Juan Bautista</t>
  </si>
  <si>
    <t>Juan Bautista Cavaleri</t>
  </si>
  <si>
    <t>…resos de las cárceles del reino (que sean capaces de tulado •. El Alguacil alguacilado dD.\ Tirilla , se ha' él); v el Sr. Alves do Rio pidió que este indulto fuese ex condenado á D. Juan Bautista Cavaleri responsable de di-' tensivo á los desertores. cho impreso, en la pena de un mes dé prisión yen un»' Otro Sr. diputado presentó un proyecto de decreto so multa de 500 rs. de vn. , expresada en el artículo 23 delbre reforma de la compañía de Agricultura de las…</t>
  </si>
  <si>
    <t>Cavaleti</t>
  </si>
  <si>
    <t>…s observaciones acerca de Art. 5.0 En los casos en que se permita la introducción ó exporta este artículo. ción .en buques de-pabellón extrangero pagarán los géneros de sus car El Sr. Cavaleti hizo varias reflexiones para manifestar que debía gamento, á la entrada ó salida el nerecho señalado en el arancel genequitarse el 2 por too en los géneros nacionales, y principalmente si se tai, y una cuarta parte mas. Estarán sujetos á pagar igual derecho c…</t>
  </si>
  <si>
    <t>CavaLri</t>
  </si>
  <si>
    <t>…io el que se aprobase cite articu o » que en na Por ilustración en asunto de tanta gravedad.” da se oponía a la buena opm-on de los me»&lt;&gt;n.ro». I Se leyó el siguiente dictamen: Ei Sr. CavaLri dijo que no dejaba de ser una cosa nmv ardua el qu* | «La comisión de Hacienda , en unión con la de visita del Crédito á un trainero , estando fuera de una posada , r.o se U* pu.- v-e r ei'T-.ar |piib!jco, se ha enterado de la ad¡unta consulta de dicho establ…</t>
  </si>
  <si>
    <t>Cavaniiles</t>
  </si>
  <si>
    <t>…i Sr. Rojas Clemente;el del To.aldo , meténologia apli y mover á las tropas, traducida al castellano por el teniente coronel cada á ia agricultura, y las lecciones de Botánica del Sr. Cavaniiles; y D. Josef María Paniagua, acudirán i la librería (te Matute, y en las al 2.’ la obra de agricultura de Herrera, los tratados de la Huerta, Flo provincias adonde lo han.verificado, á recoger el tomo i.° de dicha res é Ingerto de los Sres. Boutelou , y la mem…</t>
  </si>
  <si>
    <t>Cavanilies, Francisco</t>
  </si>
  <si>
    <t>Francisco Cavanilies</t>
  </si>
  <si>
    <t>…eses. pales r este expediente lo dirigirán al Gobierno, quien lo pasará á las A la segunda de Legislación se mandaron pasar una solicitud de Cortes con el informe correspondiente. D. Francisco Cavanilies , para que se le despache un diploma, dispen '■ 6d Se autoriza á las diputaciones provinciales de Córdoba y Jaén sándole les gastos que están prevenidos por ordenanza: una consulta para que interinamente, y sin perjuicio de lo que las Cortes se sirvan re del…</t>
  </si>
  <si>
    <t>Cavero, Juan García</t>
  </si>
  <si>
    <t>Juan García Cavero</t>
  </si>
  <si>
    <t>…as precisos para formar los alegatos, y dentro del mismo termino de Benefallim. cuidará el fiscal de que se hagan las reformas y adiciones que hubieren Provincia de Burgos. Aranda D. Juan García Cavero, Adían el resultado en su extracto y en los egerr.plares de él, que deberán tener cura del mismo pueblo. Miranda D. Josef Govantes. se preparados para cada uno de los vocales del consejo , á quienes se en tregarán inmediatamente que se concluya aquella operac…</t>
  </si>
  <si>
    <t>Cavia, Alfonso</t>
  </si>
  <si>
    <t>Alfonso Cavia</t>
  </si>
  <si>
    <t>…iempre á D. Josef Ayuso Navarro: para la de Astúrias i D. Mariano Anto á la vista que ademas de la suerte de nuestros conciudadanos, el crédi nio Collado: para la de Extremadura i D. Alfonso Cavia y D. Ignacio to de las instituciones y la causa de la humanidad dependen en gran Marín y Sánchez; y para la de Cataluña á D. Francisco Asín. manera de vosotros.” Acto continúo ocupó la tribuna el Sr. Martínez de la Rosa, y le A mediados del mes de Octubre próximo.debe sal…</t>
  </si>
  <si>
    <t>Cavneiro, Borges</t>
  </si>
  <si>
    <t>Borges Cavneiro</t>
  </si>
  <si>
    <t>…horque,esta cuestión se presente á la Constitución en general,, y no á las bases, que era de lo Cámara bajo esta forma, para que asi pueda resolverla de un que se trataba; pero el Sr. Borges Cavneiro le contestó que modo definitivo. El lord Árchibaldo .Hamilton, que conocía su opinión era manifestar-que la Constitución no se hacia probablemente el flaco apoyo conique podia contar, mani solamente;para.los-pueblos, sino para ligar en'ciert-o modo festó su m…</t>
  </si>
  <si>
    <t>Cayando</t>
  </si>
  <si>
    <t>…obre la divergencia de opiniones que habia acer res de la memoria publicada por el consejero de Estado ’D. Josef Lu- ca de este asunto, dijo que convenia con lo que habia dicho el Sr. Cayando sobre gastos de marina y sus reformas: las Cortes lo recibieron latrava: que los que impugnaban el dictamen de la comisión atacaban con ag ado, y mandaron se.repartiesen. el decreto de 6 de Agosto: que por el citado dictamen no se atacaba El Sr. presidente no…</t>
  </si>
  <si>
    <t>Cayetana, Angel</t>
  </si>
  <si>
    <t>Angel Cayetana</t>
  </si>
  <si>
    <t>…io del Diario y las muchas páginas en blanco go de la media anata. hacen que su coste sea sumamente excesivo, y que se retraigan muchos Se pasó á la misma comisión la solicitud de D. Angel Cayetana de comprarle. Sin embargo de que sobre medrarle tengo ánimo resuel González, cura párroco de S. Andrés, y ecónomo de la de S. Loren to de haser algunas observaciones , como es tan Importante y di tinta zo de Toledo, pidiendo se perdone lo que debe á la Hacien…</t>
  </si>
  <si>
    <t>Cayetano</t>
  </si>
  <si>
    <t>…iación; y el 2.0 para el mismo objeto con relación á los primeros. tos que manifestaban en su representación aquellos beneméritos oficia A la misma se pasó una memoria formada por D. Cayetano de les, y la conducta patriótica de aquel digrro militar, que al momento León para la extinción de malhechores. que supo habia una corta tardanza en el cuerpo que debia dar ia guar A la comisión de Hacienda se pasó un expediente remitido por el dia al Congres…</t>
  </si>
  <si>
    <t>…igue: de Ñapóles: el barón D. Genaro Bammacaro, juez de la G. C. civil » Valerosos griegos de la Moldavia y de la Valaquia. de Ñipólesy canciller del tribunal supremo de justicia: D. Cayetano « Después de tantos.siglos de desventuras el águila griega ha ex Tavasi, presidente del tribunal civil de Ñipóles: D. Francisco Nicola tendido por ultimo "sus alas triunfantes y magestuosas, y llama para de Matteis , juez del tribunal civil de Ñapóles: el cab…</t>
  </si>
  <si>
    <t>…nserto en el núm. 98 del Espectador, denunciado en 21 de Ju ra.^: Antonio Béch—Por la-de cabos segundos1 Franco G^niez:=Sebas- nio último por D. Francisco Franco la ley absolvió á D. Cayetano tiaií Marijues.zrPor lá dé soldados Pedro SaIazar.=Juán ValIes.énCapi- Mordella, responsable de dicho artículo; en cuya consecuencia se mandó tari -Joiquin de Córdoba.mPor lá clasede soldados de Gerona Manuel alzar la fianza que tenia prestada , declarándose…</t>
  </si>
  <si>
    <t>Caza, Francisco</t>
  </si>
  <si>
    <t>Francisco Caza</t>
  </si>
  <si>
    <t>…ue hay suizos .que por convicción, ó por A la especial de Hacienda se mandaron pasar los proyectos presen que esperan condecoraciones ú otras recompensas, no se avergüen tados por D. Francisco Caza y D. Antonio Peró acerca de la liquida zan de calumniar vilmente á muchos de sus compatriotas y. á toda su ción de la deuda de Holanda ; y otra de 37 ciudadanos de esta corte y -patria, despreciando sus juramentos y obligaciones, la regencia de un otros de Zaragoza para que se…</t>
  </si>
  <si>
    <t>Ccchrane</t>
  </si>
  <si>
    <t>…quilo por ver á intervenir en los asuntos del Estado; pero habiendo amenazado el testimonio de su conciencia, miró todo esto con desprecio, y nunca San Martin de hacer lo mismo-si lord Ccchrane no volvía á tomar el dió un paso para impedirlo. Mas desde que se instalaron las Cortes ha mando de la escuadra , después de muchas instancias de parte de O-Hig- ■mudado de conducta en cuanto á ellas, y ha tomado providencias rigu eius, consintió en elio; lo…</t>
  </si>
  <si>
    <t>Cdatrava, Josef María</t>
  </si>
  <si>
    <t>Josef María Cdatrava</t>
  </si>
  <si>
    <t>…r de ks Cortes, se ha instalado el i.° de Julio la Diputación permanente de las ordinarias del presente año Madrid Miércoles 4 de Julio. de .1821 , y nombrado para su presidente á D. Josef María Cdatrava, SS. MM. y AA. continúan sin novedad en su importante salud. diputado por la provincia de Extremadura, y por secretario á Doa Francisco Martínez de la Rosa, que lo es por la de Granada. la academia Española, con fecha 12 de Agosto del aiío próximo pasado y en…</t>
  </si>
  <si>
    <t>Cdstafirme, Josef</t>
  </si>
  <si>
    <t>Josef Cdstafirme</t>
  </si>
  <si>
    <t>…obaron los siguientes dictámenes de varias comisiones. Las Cortes quedaron enteradas de un oficio que el'gefe político de El de lá segundá de Legislación acerca de la solicitud de D. Josef Cdstafirme remitió • al- Sn. secretario de la Gobernación de Ultramar, Miguel Cevallos, juez electo de primera instancia de un partido de la ■por el que comía haberse jurado la Constitución en varias ciudades y .provincia de Valencia, para que pueda prestar su juramento…</t>
  </si>
  <si>
    <t>Ce</t>
  </si>
  <si>
    <t>mea la Real, en que al mismo tiempo qusfelicitaba á las Cortes por el dictamen de la comisión; y habiendo convenido en ello el Sr. Ce 'asu nueva instalación, pedia se dejase á la libertad de los ayuntamientos trava en nombre de la comisión , quedó aprobado dicho artículo en la el elegir ios predicadores de cuaresma que pagan.de sus propios. forma expresada. El Sr. secretario del Despacho de…</t>
  </si>
  <si>
    <t>Ce, Manuela</t>
  </si>
  <si>
    <t>Manuela Ce</t>
  </si>
  <si>
    <t>…podría verificarse esto si antes no se examinaba la en Ultramar. conducta del empleado público, á quien se debia exigir para ver si por Se mandó pasar al Gobierno una solicitud de Doña Manuela Ce este examen resultaba culpado ó inocente; que ademas en el artículo rezo, religiosa profesa en el convento de la Madre de Dios en Oro- 372 de la Constitución se previene que „las Cortes en sus primeras se pesa , exponiendo que el nuncio de S. S. no quiere des…</t>
  </si>
  <si>
    <t>Ce-ferina, María</t>
  </si>
  <si>
    <t>María Ce-ferina</t>
  </si>
  <si>
    <t>…á los demas. no; D. Joñas Hagerman, de Paris ; D.* Juan Redondo y Garzón , da En seguida hizo presente el modo con que sé habia hecho esta di Cádiz; D. Mariano Comparins, de id.; Doña María Ce-ferina, de Corvisión en Francia , y comparó el número de leguas cuadradas y de al cuera ; Sres. oficíales deLregimlento de caballería, voluntarios de Espa mas de aquella potencia con el de España, resultando quedar dividi ña ; D. Pablo Iglesias , de,.Madrid;• Sres.…</t>
  </si>
  <si>
    <t>Cea</t>
  </si>
  <si>
    <t>…española io satisfactorio que le seria el que tomase sus audien será Vigo de mayor población , mientras que Pontevedra puede alegar cias lo mus pronto que fuera posible, pidió el Sr. Cea le fijasen dia pa que es el ser de un pueblo antiguo que ha tenido mas de 78 vecinos. ra Ja del gran visir, y le fus señalado el 16 de Agosto. Por la ma Habiendo llegado la hora en que debia partir la diputación nom ñana se trasladó á Pera, y al medio día sal…</t>
  </si>
  <si>
    <t>x 5 e 9 , ... ... *, de en fas banderas de la república no servicio los que lo deseen,plenipotenciario, y al primer dragomán, á virtud de previa indicación o d-’l Sr. Cea, se distribuyeron también otras siete de armiño al segundo establecerse en el país libremente corno paisanos si lo eligiesen asi. y tercero dragomán , gefe y oficial de la cancillería y otros individuos ■ Modificación. Ln tropa española debe seguir la misma «…</t>
  </si>
  <si>
    <t>Cea, Luis</t>
  </si>
  <si>
    <t>Luis Cea</t>
  </si>
  <si>
    <t>…la Rosa, id.: Don el dia 2 de Julio; y qué en este intervalo se discutirían varios asuntos Santiago Torres. id.: D. Manuel Baricher, id.' D. Juan Antonio Cres pendientes. po, id.: D. Luis Cea, id.: D. Francisco Ibañez, id.: D. Pedro BaldiSe continuó Ja discusión del art. 6° del proyecto sobre dotación vieso, ayudante: D. Antonio Valverde, id.: D. Rafael Correa, Ídem: del clero, que dice asi: » Las pensiones ó cargas impuestas sobre cual D. Eugenio…</t>
  </si>
  <si>
    <t>Cebrian, Tomas</t>
  </si>
  <si>
    <t>Tomas Cebrian</t>
  </si>
  <si>
    <t>…de Gibraltar, según contestan todas las Barcelona tc¡ de Enero. noticias : su partida queda casi enteramente disuelta , pues En la junta literaria que celebró la academia nacional D. Tomas Cebrian, que era su segundo, se hallaba preso á de ciencias naturales y artes de esta ciudad e! día io de es disposición del juez de primera instancia de Nerja, y hoy te mes, su socio director de botánica y agricultura el cate dia á la del Excmo. Sr. espitan general…</t>
  </si>
  <si>
    <t>Cedefio</t>
  </si>
  <si>
    <t>…rtado fuego de los cuerpos , sabiéndose vínicamente por un oficial pri nicado al gefe político de la provincia de Cádiz la Real orden que sigue: sionero y escapado que murieron el general Cedefio, el coronel Plaza n He dado cuenta al Rey del oficio de V. S., núm. 9jó , de 5 de y el gefe de batallón Mellado. este mes, en que manifiesta el estado de salud de esa piaza , y de ios El Exctno. Sr. comandante general de Costa-firme E&gt;. Miguel de la -enfermos…</t>
  </si>
  <si>
    <t>Cenarbe, Lorenzo Fernandez de</t>
  </si>
  <si>
    <t>Lorenzo Fernandez de Cenarbe</t>
  </si>
  <si>
    <t>…io Bulbena , de Barceprerogativas mas preciosas y útiles de un pueblo libre en los Gobiernos ' lencia. lona. representativos. El militar vejado por sus gefes , el ciudadano oprimi D. Lorenzo Fernandez de Cenarbe, D. Francisco Puig y Gisbert ,de do por sus gobernantes, los magistrados insultados por espíritus tur de esta corte. ídem. bulentos, todos tienen el camino abierto en el derecho de petición D. Manuel Orense, de Bilbao. D. Francisco Lesur, de Barcelona. para e…</t>
  </si>
  <si>
    <t>Cenarbe, Tomas Jiménez de</t>
  </si>
  <si>
    <t>Tomas Jiménez de Cenarbe</t>
  </si>
  <si>
    <t>…generales , extraordinarias y constituyentes de la nación D. Josef Sanz. Avila. portuguesa, queriendo aclarar y determinar los principios que se esta D. Josef Antonio Senosain, de D. Tomas Jiménez de Cenarbe, blecieron en los artículos 8.°, g.° y to de las bases de la Constitución, Pamplona. de Pamplona. por conocer que aquella libertad es el apoyo mas seguro del sistema D. Josef Sañudo López, de San Vidarte&gt; primos, de id. constitucional, decretan lo siguiente :…</t>
  </si>
  <si>
    <t>Cepcro</t>
  </si>
  <si>
    <t>…do las leyes no castigan mas que las vendré con lo que há manifestado el Sr. preopinante. Me L*.i dicho que el acciones que; deben castigar, entonces*» una obligación.juÁa del ciu Sr. Cepcro ha manifestado , usando de una contestación mia confidencial, dadano él no.contribuir de manera alguna.á ocultar:al delincuente, y. que. yo sin saber qué contestar á sus argumentos había reconocido el ca todo ío que sea contrario á esto será en perjuicio de ¡…</t>
  </si>
  <si>
    <t>Cepeda</t>
  </si>
  <si>
    <t>…y conservación de estos; el cual se mandó im Sarmentó dijo que deberla enviarse una diputación á S. M. primir. Habiéndose retirado el ministro de Marina, leyó la comisión Ecle El Sr. Cepeda presentó) una exposición de D. Ramón Díaz, Don siástica su dictamen sobre diversos asuntos , siendo uno de ellos los ma Francisco Perez, D. Antonio Fernandez y otros, sargentos primeros trimonios que se contraen en Ja patriarcal entre personas de diversas que…</t>
  </si>
  <si>
    <t>…á la diputación provin cha por el Sr. Palarea al plan de este ramo. cial, en cuyo distrito esté el terreno en que intente establecerla. La di Se aprobó la siguiente indicación del Sr. Cepeda: » Habiendo acor putación provincial respectiva examinará el proyecto presentado, y ha dado las Cortes en la legislatura pasada que el Gobierno remitiese una llándolo conforme á las leyes de Indias no derogadas, y á las dispo nota de las pensiones que gravita…</t>
  </si>
  <si>
    <t>…so con gusto) que no han Cortes que el oficio que ha de pasarse al Gobierno en virtud de la in cooperado hostilmente á las agresiones de los satélites de Troppau y de dicación del Sr. Cepeda en Ja sesión extroardinana anterior -f véase la Laybach, que un éxito venturoso haru indudablemente mas odiosas; sesión extraordinaria inserta en la gaceta del jj ) , se extienda á las también se les debe dar las gracias de no haber hecho á la Francia la viud…</t>
  </si>
  <si>
    <t>…., y puesto en ol putación que debía presentarlo á S. M.; y el Sr. presidente nombró al vido uno de los principios mas importantes que consagra nuestra ley Sr. Mendez en lugar del Sr. Cepeda. En seguida salió dicha diputación, fundamental, creyeron que ante todas cosas aebian asegurar la obser y continuó la discusión pendiente. vancia de la Constitución y'la obediencia al trono, y se complacen en Se leyeron y aprobaron los arts. 131 y 132 , del t…</t>
  </si>
  <si>
    <t>Cepeda, Luis</t>
  </si>
  <si>
    <t>Luis Cepeda</t>
  </si>
  <si>
    <t>…la Nación. '- ; dadano. ■ • •• • .i..-;; . . , Se leyó un oficio del Sr. marques de Cerralbo, manifestando que el Las-Cortes quedaron enteradas de dos.-testimonios, y cuaderno que Sr. D. Luis Cepeda tenia que evacuar un informe, por lo que rogaba pasó;, el Sr.-secretario del, despacho de la ¡Gobernación de Ultramar, á las Cortes se sirviesen dar el permiso correspondiente á dicho Sr. di por los que constaba haberse jurado la:Constitución en la provincia…</t>
  </si>
  <si>
    <t>Cepera</t>
  </si>
  <si>
    <t>…iento del ' - - . -• .■ . .. ■ í.-.-- - admitió á discusión.- . 1 . proceso.”' ' - . í- El Sr. Zapata d;jo que no podía menos de manifestar al Congreso Tampoco se admitió otra del Sr. Cepera, que decía:-» Pido á las el modo con que se atacabá' su opinión en un periódico de Paris de 19 Cortes que el mínimum de las multas sea de cuatro reales , y; el máxi del corriente, en el que se tratan de borrascosas las sesiones del Congre mum de trescientos.”…</t>
  </si>
  <si>
    <t>…ión se parezcan oportunos para que se evite el derramar sangre inocente, sen halla por estar amenazada de un modo tan positivo. sible á los ojos de -todos los buenos españoles. El Sr. Cepera dijo que afortunadamente no hallaba á la Nación en El Sr. Moreno Guerra dijo que apoyaba la indicación del Sr. San el miserable cuadro que ha hecho el Sr. Romero Alpuente; que sus cho, y que en la ocasión presente debían dictarse leyes severas pam cas proposi…</t>
  </si>
  <si>
    <t>…l vez el res detenidos,’sin que por .esto padezca su buen nombre y reputación. úruco,de üar un moyuniento horizontal á ios globos aerostáticos. Res Al mismo tiempo condenó á dicho Sr. Cepera en todas,las. costas del ta solamente que se construyan sus navecillas conforme á todas las re-, proceso. glas de la náutica, y que se aplique él imperio de la pólvora al nimbo VARIEDADES. que se quiera seguir, que es la dilección que se busca. » dé que para…</t>
  </si>
  <si>
    <t>…padecido su -rior.K Yo' bien sé que, el diccionario. no es ningun libro de fe para que le -señoría..-: . *¡gatpos ,-y puede muy, bien haberse: defmidomalesta palabra;- mas sin El Sr. Cepera hizo varias observaciones para apoyar el dictamen de embargo yo iqterpejo para que sedigá qué-cuando se -habla de. conjúra- la comisión; se declaró en seguida-este asunto suficientemente discuti .cion.no sé entiende-deí niismonior£é&gt; que ladefine-el diccionar…</t>
  </si>
  <si>
    <t>…. Las (diputaciones i provinciales , de-' seguía una gran ventaja, cual era la de la mayor claridad. acuerdo c'ón'lós géfes políticos ¿ intendentes, sefularín en sus respecti ' El Sr. Cepera dijo que se habia hablado contra las Séis maneras-con vas provincia»' díchósespacios / fijándo los 'puntos de 1* línea dé contra* que-.segun la comision sq podia auxUiar.un-delito . -y ettcQBtrafassquéiaá registros k Wdisíañcia' de seis leguis-'de 'las fronte…</t>
  </si>
  <si>
    <t>…ente, y. que. yo sin saber qué contestar á sus argumentos había reconocido el ca todo ío que sea contrario á esto será en perjuicio de ¡a sociedad, por— so que S. S. puso; pero el Sr. Cepera sabe que le contesté en el mismo que tqdos'diben contribuir á que el delitóno quedé.impune. Por parte sentido que acabo, de hablar ; y con respecto á ,los sentimientos de .co de ios Sres. de la comisión no creo que habrá inconveniente en suavi razón dije que…</t>
  </si>
  <si>
    <t>Ceperas</t>
  </si>
  <si>
    <t>…tanto caracteriza á los manifestó !as observaciones.que se habían hecho respecto de esta parte., Sres- diputadas.:.Sl yo. ignora ¡que. upo. á.quieir.r.eeibar en rmi, casa es de El Sr. Ceperas En este, artículo se da una idea de los que han de ser. lincuente , no estoy obligado á sufrir íápena impue^ta en^cste artículo; reputados por.encubndores y,receptadores^ y me parece que se puede pero, si sé!que.ha';.cometido un delito, no solo.no debo, recibí r…</t>
  </si>
  <si>
    <t>Cepero</t>
  </si>
  <si>
    <t>…o no encontraba inconveniente, algur tenga relación con los ultrajes hechos al Rey. . .. ..sobre eshcpunto, np en que hubiese unión entre; eb poder legislativo: y ejecutivo, y *E1 Sr. Cepero dijo 'qué no pedia dar su dictamen por consiguiente que el medio,:mas oportuno que encontraba era el sin saber antes cuáles; eran las autoridades, que estaban inculcadas,, en la de proponer á S. M. las personas de mejores circunstancias para el queja de S. M.…</t>
  </si>
  <si>
    <t>…plicados al caso en cuestión, mismo.- . entendía que no habia lugar á k I jrmaeion de causa. Asi se aprobó. El Sr. presidente dijo después: » Las Cortes hari oido con agrado la El Sr. Cepero recordó que en la legislatura pasada se suspendió á memoria que acaba de leer el secretario del Despacho de la Güeña; la petición suya la resolución da un expediente sobre premiar á los gene-» tomarán en consideración , para cuyo efecto se hará imprimir ; y s…</t>
  </si>
  <si>
    <t>…bramiento de electores: La comisión opí- 'declare1 tal, y si'nó, se le aplique la ley que corresponda. :¡na:no debía-tomarse'en febrisideración-lá medida qtie se proponía en la El Sr. Cepero indicó que. el Sr. obispó de Tarazona hábia adoptado . primera solicitud ; y en cuanto á la segunda que pasase ;á' la comisión ‘un medio para evadirse de la ley, diciendo no podía ser juzgado sino 'xlélPo'derés, ptra.E'que 16 tenga; presenté al extender la'le…</t>
  </si>
  <si>
    <t>…mor, sin retier presentes la época y circunstancias; sin atender der egecutivo, á quien correspondía. á Jos adelantamientos del siglo; sin contar con la civilización dé los pue El Sr. Cepero hizo presente lo resuelto por las Cortes generales y blos) y despreciando ese deseo general de las naciones por la reforma extraordinarias para que la provisión de los empleos recayese’ en per de sus instituciones góticas. Los asuntos de Italia toman ya muy d…</t>
  </si>
  <si>
    <t>…uilidad de la Nación. Habiéndose dado el punto por cial de Hacienda. suficientemente discutido, se mandó pasar á la comisión encargada de No se admitió á discusión una adición del Sr. Cepero á la medida proponer medidas. sexta, que decia: » Notificándose esta medida á todas las comunida la de Poderes hizo presente á las Cortes que habiendo examinado des , especialmente de religiosas, por medio de las autoridades civiles los del Sr. linares , dipu…</t>
  </si>
  <si>
    <t>…en la línea constitucional-, y que el capitán lo que priva á los casados de hacer oposición á estas plazas. del bergantín holandés Rosette , que salió de Liorna el 15, afirmaba El Sr. Cepero , después .de apoyar el.dictamen de la comisión , fue la noticia de las primeras ventajas conseguidas; por los-napolitanos de parecer que se mandase que para obtener la referida plaza de médi contra el egército austríaco., refiriéndose á papeles públicos de a…</t>
  </si>
  <si>
    <t>…a de Málaga-, -en la que mani sejo de Estado sobre el expediente de que se trata , y el voto par festando el crecido númeroJfejóveries que sentían educado:en; el mismo ticular del Sr. Cepero, manifestó lo, mucho que convenía el que el desde Octubre de 1818, piden que por el nuevo plan de instrucción Gobierno negase el páse a las referidas bulas, y concluyó pidien pública subsista dicho colegio: y en caso cuelas Cortes tuviesen á bien do se aproba…</t>
  </si>
  <si>
    <t>…mo de la Sta. Sede,:y por la religión.católica apostóli les para que diera su informe sobre esce particular. ca romana, ley principalísima y fundamenta! del Estado, que debemos El Sr. Cepero extendió una indicación, er. que decia se manifestase profesar, y está ademas sancionada por la Constitución de la.Monar al Gobierno si habría inconveniente en que asistiesen los cuerpos dé quía: continuó) haciendo algunas,reflexiones sobre lo fundado que est…</t>
  </si>
  <si>
    <t>…tara del .Rey con egercicio. son empleados máxime, si llegaba el caso, de recurrir á otro empréstito.. públicos ,• se estará á lo resuelto por las Cortes en 12 de Octubre próxi El Sr. Cepero; después de haber dado, las gracias al Sr. preopinante mo pasado. 5.0 Los asesores de los juzgados de artillería por nombrar por el favor que dispensaba á los Sres. de la comisión, dijo caminaba miento del asesor general con facultad--Real-,.y los’dependiente…</t>
  </si>
  <si>
    <t>…usa la juris príncipe Ipsilanti sino como efecto del espíritu /ttrítí/enfo.qite caracte dicción ordinaria. riza á la época actual, no menos que deja inexperiencia y de Ja. lige El Sr. Cepero manifestó que no expresándose en este artícujo qué reza de esté joven. S. M. ha mandado al mismo tiempo,: r,° El .prínci clase de reos eran los que , estaban sujetos á ser juzgados militarmente pe Alejandro.Ipsilanti queda-excluido del servicio, de Rusia. 2.A…</t>
  </si>
  <si>
    <t>…tán general suspenda la sentencia del ’ para dar el golpe decisivo.” ■ ■ / • : ■ consejo dé guerra.” . Se mandó pasar á la misma comisión. a-.á; Se mandó pasar á.la misma otra del Sr. Cepero al art. 3.”, concebí-'' El Sr. presidente di jó que mañana se continuaría la discusión'sóbre da en estos términos: En lugar de „los que” se diga ,, los reos de esta la ley de la Organización de la.fuerza armada; y que esta noche á las, clase.” ' ' ■ _ ■ ocho…</t>
  </si>
  <si>
    <t>…spondiente , y El Sr. Romero Alpuente manifestó que el articulo se debía apro que después se lijaría la edad en que se habían de admitir pira dicho bar del modo que habia dicho el Sr. Cepero; esto es, añidiendo la reemplazo , porque si no bastaban ios de 19 años, entrarían Los de 20, y modificación, &gt;&gt; ó del modo que tenga por conveniente,” y quitando si nó los de 1. .; la palabra siempre. ■ El Sr. Puigblanch dijo deseaba saber si la comisión ten…</t>
  </si>
  <si>
    <t>…viado parlamentarios á la Sicilia y una nueva consulta del Gobierno, del mismo modo que ayer se con á las demas partes del reino. Esto hace presumir que los austríacos se testó al Sr. Cepero , pidiendo la interpretación de una ley; que era in han contentado con la conquista de los primeros puntos del reino de dispensable que se consultase la duda por el Gobierno, ó por el tribu Ñápeles, y que esperan la sumisión de lo restante; y si pudiera creer…</t>
  </si>
  <si>
    <t>…ión sobre la compa San Juan y Rey. ñía del Guadalquivir, y se leyó) el art. i.° fVéase en la ¿aceta de ayerd) La comisión de Poderes presentó) su dictamen acerca de los poderes El Sr. Cepero dijo que no tenia mas ideas sobre este particular presentados por el Sr. D. Lucas Alemán , diputado por Guanajuato: y que las que le había dado el dictamen de la comisión, y algunas gene habiéndolos examinado, fue de opinión debían aprobarse. Quedó apro rales…</t>
  </si>
  <si>
    <t>…apodidoseducidas;evitarsey sinel saqueo.el zelo E11de laslos inmediagenerales el y aprobarse debía que por consecuencia espíritu de la Constitución; artículo de que se trataba. El Sr. Cepero hizo la siguiente indicación: ciones de Cabo-frances habia habido algunos desórdenes , asesinando á „ Pido á las Cortes que se suspenda Ja discusión de este negocio hasta varias personas; y se esperaba que con la próxima llegada del presi que se presente ínte…</t>
  </si>
  <si>
    <t>…a mañana acababa de reconocer ef cam con Ja restricción de dar cuenta al Gobierno de lo que se adelantare. po-de aquella villa, y que habia encontrado en ella á la partida de SaEl Sr. Cepero dijo, de las seis provincia» que comprende la Andalu lazar compuesta de 2jo facciosos , los cuales, después de haberles he cía , cuatro tienen un Ínteres directo en la obra del canal de Guadal- • cho dos descargas, hablan huido, dejando en el campo n muertos…</t>
  </si>
  <si>
    <t>…empleo dictamen se diga ah Gobierno remita egemplares de ¡as instrucciones en Ultramar y no en la Península. que sobre suministros haya habido hasta el año de 1814, con la nota El Sr. Cepero dijo que Jas mismas leyes de la legislación de Indias de las oficinas, empleados y sueldos, y todo lo que crea conveniente al eran contrarias á lo que sentaba el Sr. Moreno Guerra; y que aun cuando efecto. Quedó aprobado. fuesen en el sentido que las habia re…</t>
  </si>
  <si>
    <t>…tes supriman las prestaciones que se hacen . llama este se dejaba á la calificación de los tribunales, porque no siendo todas das comunmente para los Santos lugares; y de otra del Sr. Cepero para ellas de una misma clase, no podían tener igual estimación. En cuanto que las Cortes, con arréalo á lo acordado con respecto á la solicitud del' á si el último poseedor que tenia un señorío adquirido por medio de duque de S. Lorenzo, generalicen la resol…</t>
  </si>
  <si>
    <t>…e mandaron pasar los presentados por rebaja en sus rentas, se veían las Cortes en la necesidad de aprobarlo. D. Juan Bautista Valdés, diputado electo por la provincia del Nuevo El Sr. Cepero dijo: por el art. i.° que han aprobado Jas Cortes se Reino de Teon, y D. Francisco García por la de Vera-Paz. manda no pagar mas que la mitad de los diezmos, y esta se aplica ex A la comisión de Tegislacion se mandaron pasar varias solicitudes, clusivamente p…</t>
  </si>
  <si>
    <t>…ión los ha rebaja sa para almacenes, y mozos para servirlos.” do ¿ &lt;5o9. Una de las cosas que mas han chocado es la asignación que Quedó aprobado con la modificación que indicó ei Sr. Cepero, re se hace para casa: y es preciso tener presente que muchos de los di lativa á que se sustituyese en lugar de las palabras n se les pagará por rectores actuales li tienen, y ademas que de aqui en adelante debe ha parte casa para almacenes” las siguientes: »…</t>
  </si>
  <si>
    <t>…ción ; tal seria expresar que estos individuos fuesen nombrados: por de i8&lt;tr. los ayuntamientos respectivos. Un cáliz liso con tres patenas, todo nuevo, dorada la copa por den El Sr. Cepero fue de opinión que añadiéndose al artículo después tro, y lo mismo las patenas, hecho en Valladolid en la platería de Don de la palabra repartidores las siguientes del mismo ayuntamiento, queda Salvador Marrón, cuyas marcas tienen. ba enteramente conforme con…</t>
  </si>
  <si>
    <t>…. aquella iglesia catedral D. Francisco Javier Asenjo. Uno de lengua griega. La comisión opinaba que no habla tal infracción de Constitución. Uno de lógica y gramática genera!. El Sr. Cepero dijo: yo he examinado esta mañana el expediente, y Dos de matemáticas. ésta reducida la queja de aquel cabildo á tres razones que son nulas; á Uno de física. saber: 1.' á que la Constitución está infringida porque la-sentencia se Uno de química y mineralogía.…</t>
  </si>
  <si>
    <t>…la esto era objeto de reglamento; y después de una larga discusión se facultad de disfrutar su jubilación por entero cuando la solicite.” aprobó el artículo en estos términos. El Sr. Cepero manifestó que lo que se proponia en este articulo« Por ahora se harán estas oposiciones en la capital del reino ante ofrecía una especie de estímulo para que aun aquellos catedráticos que los examinadores , que deberán nombrarse á este efecto todos los años e…</t>
  </si>
  <si>
    <t>…ó el dictamen de la comisión segunda de Legislación, dividi obispado de Guadix, felicitando á las Cortes por su instalación y de do en tres artículos, acerca de la proposición del Sr. Cepero sobre que. cretos expedidos, y solicitando que aquella ciudad sea atendida en la se generalizase la resolución tomada con respecto, á la.soiicitud del du división de territorio , y que se hagan ciertas declaraciones en favor de que de S. Lorenzo , cuya discus…</t>
  </si>
  <si>
    <t>…una exposición de! coronel Cevaseles el derecho que se tenga por conveniente. llos, que pedia la aclaración de un artículo de los estatutos del orden Se aprobó una indicación del Sr. Cepero, relativa á que las Cortes de S. Hermenegildo. Uno de los individuos de la comisión- contestó tengan á bien conceder á las viudas de los nueve militares asesinados que habia pasado al Gobierno para que informase. por el faccioso cura Merino los mismos haberes…</t>
  </si>
  <si>
    <t>…ntribución territo- como en las otras tres mayores que siempre han pertenecido á la Na ción.” La comisión tiene noticia de haberse verificado el desestanco vial.1’ Aprobada. . Del Sr. Cepero al art. 20: » Después de la palabra contribución de la orchilla en ias ¡si as Canarias por el Gobierno, y no encuentra añádase: » Mas.no los edificios de esta dase, cuyo objeto es la elalsora- inconveniente en que Jas Cortes lo rarifiquen. Aprobado. cion de l…</t>
  </si>
  <si>
    <t>…rtes sus les, porque pertenecen á la regla de S. Agustin cuyos individuos de sesiones. ' ben quedar suprimidos. A la de Hacienda el expediente dirigido al Gobierno por la ¡unta El Sr. Cepero apoyó el dictamen de la comisión , manifestando que nacional del Crédito público, y relativo á la solicitud de D. Francisco si las Cortes declaraban que estos canónigos eran regulares, y que esta Sánchez sobre que se comprenda en el decreto de supresión un ho…</t>
  </si>
  <si>
    <t>…artículo 15: » Sin perjuicio de acudir á nos de las dos quintas partes de cada remate en créditos con ínteres.?’ la autoridad legítima para la extinción 6 reducción de cllas.V. El Sr. Cepero manifestó que expresándose en este artículo la con Del Sr. -Gareli el artículo 15:» El cumplimiento de las cargas pia trario que se mandaba en los decretos de 13 de Setiembre y 9 de Octu dosas que la-competente autoridad declarase deben subsistir, se encargar…</t>
  </si>
  <si>
    <t>Gaceta de Madrid n.º 185</t>
  </si>
  <si>
    <t>…rti __Con fecha 2g de Febrero escriben desde Santiago de Chile que el miento.” egército del general S. Martin se habia retirado de las inmediaciones de A esta indicación añadió el Sr. Cepero las siguientes palabras, que Lima , y habia ¡do hasta Hanacha, lo cual daba á entender que la con fueron aprobadas: » Y que la misma separación se haga entre las pro quista de aquel país se retardaría por algún tiempo. La; fragata ingle vincias de. Cádiz y Se…</t>
  </si>
  <si>
    <t>…isibles en pago de la mitad da tado en su discurso , y manifestó de nuevo la necesidad de la definición. derechos y contribuciones de cualquiera clase por sil valor íntegro, no El Sr. Cepero dijo que siendo el código criminal un catálogo de pe pudiéndose'volver á poner en circulación: sin perjuicio de que el Go nas , que correspondía á otro catálogo de acciones , consideraba inútiles bierno adopte otro medio mejor y mas breve para la cancelación…</t>
  </si>
  <si>
    <t>…o, sino d.e El Sr. Calatrava : Cuando llegue la discusión dei art. 18 podrá re •la -tentativa y para que esta cláusula no estuviese aquí de mis , era producir sus observaciones el Sr. Cepero, y la comisión manifestará lo necesario que no se hallase en el'artículo anterior. que le parezca conveniente. El Sr: Lobato dijo: Yo impugno este artículo en cuanto á la parte Se declaró este asunto suficientemente discutido, y quedó aprobado tercera, que di…</t>
  </si>
  <si>
    <t>…n las causas de conspiración, á pesar de cue ia vez pública bido lugar cuando se discutiese el párrafo 2.0 aseguraba haberlos consultado en primer lugar el consejo de Litado pa El Sr. Cepero dijo que si efectivamante habia casos en que un hom ra la propiedad de sus plazas. Este pequeño acc:áei:te, que en otro ca»o bre dormido ó somnámbulo podía cometer los excesos que se suponian apenas Mamaria la atención, es tai vez uno de los metí /os que mas…</t>
  </si>
  <si>
    <t>…ca de las elecciones de diputados á Cortes, que se pudiese declarar suficientemente discutido el punto. desearía yo saber, en primer lugar, si ha examinado bien los motivos que El Sr. Cepero dijo: Creo que la proposición que se discute no es - pudieron obiigar al Gobierno para creer que era conveniente hacerlo asi; contraria á lo que el reglamento previene. Ademas de lo que su autor y aun para creer que el ministerio hubiera sido criminal si hubi…</t>
  </si>
  <si>
    <t>…a del Sr. Sánchez Salvador al art. 43: otra del Sr. Linares al plaza de cirujano-médico , dotada con 700 ducados, casa y.huerta sin 97; otra del mismo Sr. diputado al 98; otra del Sr. Cepero al 99, y renta: la situcion del Valle sobre el camino real nuevamente construi otra dei Sr. Sánchez Salvador al art. 100. do desde la villa de Bilbao á Ja ciudad de Vitoria y la falta de facul Se leyó un dictamen de la comisión de Guerra, que el Sr. presi tat…</t>
  </si>
  <si>
    <t>Cepero, Manuel López</t>
  </si>
  <si>
    <t>Manuel López Cepero</t>
  </si>
  <si>
    <t>….fluido ;■ ni tampoco debemos pro tría, denunciada en 28 de Febrero de este año por el señor diputado nosticar-como.-los pasados aeronautas que apenas podremos comunicar en Cortes D. Manuel López Cepero: la ley-absolvió á D. Félix Ra á ia m,¡quina ia. velocidad de una tortuga. JLá actividad, d; la póivorai món Beaudot, ‘responsable de dicha nota; y en su consecuencia es inmensa, y sé ha hallado el punto de apoyo para usarla en el discur mandó D. Luis Ortiz d…</t>
  </si>
  <si>
    <t>Ceppi</t>
  </si>
  <si>
    <t>…te medio á sustraer el regimiento de la obediencia del terra en Irlanda. El 30 del pasado se habían reunido ya 7200 libras es Gobierno saboyano. terlinas. El Sr. Pacchiarotti y el caballero Ceppi deBairolo , cómplices de LaPor noticias de América sabemos que el general Bolívar, presiden neri, han sido ahorcados en estatua, y han sido condenados al mismo te de Venezuela, había dirigido al Congreso una carta, en que declara tiempo á galeras 24 oficiales…</t>
  </si>
  <si>
    <t>Cerda, Vicente</t>
  </si>
  <si>
    <t>Vicente Cerda</t>
  </si>
  <si>
    <t>…bia leyes que declaraban Fermín. Sánchez y Ferriz; para Gijona D. Alonso Vil lasante; para Ca ser inagenables los.bienes de la Nación, y que la mayor parte de los llosa de Ensarna D. Vicente Cerda; para Denia D. Juan Gerónimo Gar que se habian enagenado no eran de los patrimonios de los Reyes, co- rido; para Onteniente D. Josef de los Ríos Mira; para Albaida Don mo.había supuesto el Sr. Lobato, sino del de la Nación. Juan Perez Cebrian; para Gandía D.…</t>
  </si>
  <si>
    <t>Cerdah, Josef</t>
  </si>
  <si>
    <t>Josef Cerdah</t>
  </si>
  <si>
    <t>…s eciepatronos del pió legado ó fidei-comiso, fundado para parientes" por siásticosla conversión de los demonios en sapos, las ceremonias del Doña Francisca López Zapata, viuda de D. Josef Cerdah , ciudadano Aquelarre, con otros dijes y preciosidades dignas de aquellos claros va que fue de Ja ciudad de Zaragoza; D. Francisco Aguifré y Pinedo, rones. Nuestro apreciable Moratin, disfrazado bajo el nombre del ba vecino de Ben abarre, y D. Joaquín del Cor…</t>
  </si>
  <si>
    <t>Cernuda, Ignacio</t>
  </si>
  <si>
    <t>Ignacio Cernuda</t>
  </si>
  <si>
    <t>…és de una corta discusión dijo el Ha entrado en este puerto el patache español nuestra Señora del Si.* presidente que “antes dé concluirse la legislatura sedaría cuenta de Cármen, capitán Ignacio Cernuda, con maíz, en ocho dias de Ponte un expediente general, en donde él Sr. Sánchez Salvador podria poner vedra y Marín. Fue-reconocido el día ¡,~ del corriente, á tres leguas al esta indicación como adición. O. del cabo de La-Roca por úná corbeta insurgente, que…</t>
  </si>
  <si>
    <t>Cerquero, Josef Sánchez</t>
  </si>
  <si>
    <t>Josef Sánchez Cerquero</t>
  </si>
  <si>
    <t>…que'contiene varias tablas para faci nio, de D. Josef López de la Huerta en su preciosísimo Edt litar el cálculo de .la ecuación de alturas correspondientes por sayo de sinónimos. D. Josef Sánchez Cerquero, teniente de fragata de la armada Como quiera, el libro del profesor de Gotinga, á pesar nacional. Se hallará en Madrid en el despacho de obras de la de todos sus defectos, es sumamente ameno, profundo é dirección Hidrográfica, calle de Alcalá; en Cádiz en el…</t>
  </si>
  <si>
    <t>Certés</t>
  </si>
  <si>
    <t>…po El Sr. Calatrava dijo que parecía se trataba de hacer alguna incul yándose en ella misma. Ki egército nacional español es constitucional, pación á la Diputación permmente; y el Sr. Certés replicó que no ha y si algún cuerpo se hubiese desviado de sus juramentos será exter bía dicho una palabra que sonase á inculpación. minado. Si al egército se le tira el guante , él lo recogerá. Lo mas ad Ei Sr. Martínez de la K.osa dijo: Creo que no se puede…</t>
  </si>
  <si>
    <t>Certificaciones, Ma</t>
  </si>
  <si>
    <t>Ma Certificaciones</t>
  </si>
  <si>
    <t>1084</t>
  </si>
  <si>
    <t>…... Idem. advertencias para su enseñanza, frases y egemplos adecuados para ha Consolidados de 200 pesos. ... 414 ds. blar bien este idioma y entenderlo en poco tiempo: por el Dr. D. Ma Certificaciones.................... ... 82Í d.° nuel de Pombo, ministro contador de la casa da moneda de Sta. Fe de Intereses.............................. ... 82 Bogotá : un tomo en 8.", á 10 rs. en pasta en las librerías de Bailo y de Inscripciones....................... .…</t>
  </si>
  <si>
    <t>Cervantes, Rosa Aren'</t>
  </si>
  <si>
    <t>Rosa Aren' Cervantes</t>
  </si>
  <si>
    <t>…‘ decisión que favorece poco' timo,- con presencia también de que á virtud dé otra ins al discernimiento del profcor aieman, pues en !á realidad tancia semejante que hizo la misma Doña Rosa Aren' Cervantes, aunque ingenio' de altísima gerarqu a. y ral voz? en 24 de Julio de dicho año de 1817. la hizo entender el el primero del orbe, á pesar de su manía métrica ño' mencionado extinguido Consejo supremo de la Guerra merece el dictado de poeta*</t>
  </si>
  <si>
    <t>Cesa, Manuel</t>
  </si>
  <si>
    <t>Manuel Cesa</t>
  </si>
  <si>
    <t>…término de un dia cada una, para que se instruyan, y señalar dia para cercado de piedra, en 1069 rs. la vista. Un cañar de pesca titulado del Puente, por encima de las aceñas 4.a Don Manuel Cesa, coronel, preso en 13 de Febrero; D. Juan indicadas, con su puente de piedra sillería de 6 ojos; una casa donde se Antonio Carrera en 15 de id.; D. Francisco de la Peña y IX Josef 7.aabriga el que lo posee , y efectos del mismo cañal, en 30® rs. gasti en 16 i…</t>
  </si>
  <si>
    <t>Césare</t>
  </si>
  <si>
    <t>…er plenamente á la confianza que ella ha puesto en la Providencia. No permanecieron las damas indiferentes en mi persona.” medio de esta conmoción general, sino que á manera de El Sr. Césare, presidente del Parlamento, contestó : las antiguas espartanas, movidas del ardiente amor á lapa- «Sermo. Sr.: Los principios liberales que V. A; ha tria, unían, sus voces á las de sus padres, de sus hijos , de profesado siempre en ambas partes del reino form…</t>
  </si>
  <si>
    <t>Cesare, Inocencio de</t>
  </si>
  <si>
    <t>Inocencio de Cesare</t>
  </si>
  <si>
    <t>…r que en España podrán conrar, si quisieren secula Eí Parlamento habia nombrado el dia 2 de Enero para rizarse , con el mismo beneficio y ventajas que dispensa á los presidente al Sr. D. Inocencio de Cesare; para vice-presi den residentes en este reino el citado decreto de las Cortes de r.° te al Sr. D. Gerónimo Arcovtto , y secretarlo ai Sr. D. Ma de Octubre último; á saber: la congrua de 10o ducados teo Intbriani. anuales , á fin de que con esta seguridad , co…</t>
  </si>
  <si>
    <t>Cesáreo</t>
  </si>
  <si>
    <t>…fragata en 178,957 rs. de la armada naval nacional, con la fecha de 4 del presente En la provincia de Soria, procedentes del suprimido mes de Febrero, á D. Juan Fernandez Florez, D. Cesáreo monasterio de S. Prudencio, para cuyo primé'r rema Ampuero, D. Eduardo Pose, D. Ramón Hacha, D. Fran te, que se ha de verificar en la ciudad de Logroño, cisco y D. Antonio Falcó, D. Antonio Arévato, D. Josef esta señalado el dia 24 del presente. Aguilar, D. S…</t>
  </si>
  <si>
    <t>Ceumbue-, Rodrigó Alonso</t>
  </si>
  <si>
    <t>Rodrigó Alonso Ceumbue-</t>
  </si>
  <si>
    <t>…e el orador que estaba en la tribuna no solamente egercia sus pro ' los que existen en ella y su partido, y á D.'Josef García de Atocha en el dé la ciudad de Trujillo ; asi como i D. Rodrigó Alonso Ceumbue- pios derechos, sino los de todos los oyentes que eran de su mismo mo do de pensar; que era casi siempre el órgano de cierto número de sus fio en el partido de Medelíin. Madrid Viernes 27 de Abril. colegas; pero que aun cuando no expresase sino ideas exclusiva…</t>
  </si>
  <si>
    <t>Cevallbs</t>
  </si>
  <si>
    <t>…ando na’téner eí carácter 'que debía tener de con-: ía Puebla; R Gabriel de Torres , alcalde primero constitucional de lá tratad que á pesar dé que eri/8/de Agosto de 1815, por él Sr. Cevallbs, ciudad de S, Pédro dejCholulaj Lic^ D, Jósef: Ignacio Riaz dé LUrni, secietariódé Estado; sé iritiriió '/á la" compañía diese las garantías cor cura de. Sto. Romingo Izijcar; Rr- D- Josef Maris Eochét y relator dé respondientes para poder entablar su empresa…</t>
  </si>
  <si>
    <t>Cevallos</t>
  </si>
  <si>
    <t>…n la isla de Candía se sentían español en S. Agustín1, como ya lo habia hecbo con los-que tenia á su también los efectos de ia insurrección: las provincias de Retimo , de cargo el coronel Cevallos en Panzacola.” Kisamo y de Selino gozaban aun de tranquilidad; no asi en la Canea, __Las cartas que hemos recibido de Berlín por el último correo ase pues se decia que ro3 turcos que habian ahuyentado á las montañas á guran nuevamente que no le es posible ya…</t>
  </si>
  <si>
    <t>Cevallos, Francisco de</t>
  </si>
  <si>
    <t>Francisco de Cevallos</t>
  </si>
  <si>
    <t>…iones, cualesquiera que sean vuestras pre 3 carros y cuarto, con 180 pies en la vega de Matarredo, linda con tensiones y caprichos; ó si queréis mas bien imponer sobre nosotros el D. Francisco de Cevallos__ Idem en la vega de S Roque al Yeso, cuidado de vuestra seguridad y prosperidad , dadnos carta blanca para una heredad de 2 carros y 3 cuartillos, con 180 pies, linda con An mandar en vuestro nombre, y entregaos al descanso y á las diversiones, tonio de la L…</t>
  </si>
  <si>
    <t>Cevallos, Josef</t>
  </si>
  <si>
    <t>Josef Cevallos</t>
  </si>
  <si>
    <t>…sión de Guerra una adición del SS. MM. y AA. continúan sin novedad en su impórtente salud. Sr.Magariños para que evacuase á la mayor brevedad su informe acerca de la exposición de D. Josef Cevallos, de la cual se dió cuenta en la CORTES. sesión de c¡ de Octubre último , proponiendo una medida general acerca de lprque coiuiene dicha exposición. PRESIDENCIA UBI SESOR CUESTA. ..'.‘r-... -&gt; Sé aprobó el dictamen de la comisión de Guerra , relativo al arma 1…</t>
  </si>
  <si>
    <t>Cevallos, Josef Antonio</t>
  </si>
  <si>
    <t>Josef Antonio Cevallos</t>
  </si>
  <si>
    <t>…los medios mas criminales; régimen cio que habia dirigido á aquella D. Juan. Manuel Subrié, como en incompatible con la seguridad de los Estados circunvecinos, y con la cargado de D. Josef Antonio Cevallos, vecino de: Almagro , que pe conservación, de la paz de la Europa; que si este estado de cosas no po dia se le admitieran una péndola y dos candelabros, con los adornos dia concluirse, como SS. MAI. deseaban vivamente y con toda sinceri correspondientes , que…</t>
  </si>
  <si>
    <t>Cevallos, Pedro</t>
  </si>
  <si>
    <t>Pedro Cevallos</t>
  </si>
  <si>
    <t>…a inmediata al citado monaste rio, cercada de cal y canto, su cabida de 4 fanegas, en ANUNCIOS. 16, A,co rs. Otra huerta de árboles frutales pradeada , de cabida de Por el Exctno. Sr. D. Pedro Cevallos se han reclamado 2 fanegas dentro del recinto del monasterio, en 8500 rs. un vale de 300 pesos de i.u de Enero de 1808, señalado Un prado cercado de tapias sobre cimientos de cal y con el núm. 86,866; y otro de 150 pesos, de i.° de Se canto, que llaman la Cor…</t>
  </si>
  <si>
    <t>Cevaseles</t>
  </si>
  <si>
    <t>…os Arisps suplicó á ios Sres. de la comisión de Guer pesca de ballena , se entiendan también con los extiangcros, exigiéndo ra despachasen á la posible brevedad una exposición de! coronel Cevaseles el derecho que se tenga por conveniente. llos, que pedia la aclaración de un artículo de los estatutos del orden Se aprobó una indicación del Sr. Cepero, relativa á que las Cortes de S. Hermenegildo. Uno de los individuos de la comisión- contestó tengan á bie…</t>
  </si>
  <si>
    <t>Cevasso</t>
  </si>
  <si>
    <t>…del Bajá de Egipto. Buques desmantelados: el bergantín aus os individuos que antes los poseían deben seguir cobrando sus prestacio tríaco, capitán Vianella; el bergantín sardo, su capitán Cevasso; la nes como hasta aquí ínterin se les indemniza de esta pérdida. polacra rusa, su capitán Bastanzi, y el bergantín ruso, su capitán Jor El Sr. Lasanta en su discurso dió una idea muy contraria de lo que ge Cambien. manifestó el Sr. Aner en la discusión de 23…</t>
  </si>
  <si>
    <t>Cfiscal</t>
  </si>
  <si>
    <t>…se sustraido á la ley, y á los encargados del poder por no haberla ege- la querrá ni hacer la paz sin el consentimiento de ia Nación, tampoco culado. Ademas de esto, el procurador general Cfiscal ) estará obligado podía enagenar parle de su territorio , y que asi se oponía abiertamente ¿ p-rseguir cualquiera periódico que se publique sin haber sido censura á que se aprobara el párrafo en cuestión. do;)- de consiguiente todas las ofertas de tolerancia…</t>
  </si>
  <si>
    <t>Cha-, Antonio</t>
  </si>
  <si>
    <t>Antonio Cha-</t>
  </si>
  <si>
    <t>…haberla principiado, que permitir sufra retroce Ambrosio Morales. so. ¡Y á quién deberia atribuirse? á los hombres del sistema antiguo, Provincia de Navarra. Para el de Pamplona á D. Antonio Cha- tenazmente adictos á él, y de consiguiente enemigos del nuevo, en que nióchin: para el de Santisteban á D. Josef Vicente Irazabal: para el de han sido colocados. Estos detestan un sistema que cierra la puerta á sus Estella á D. Hemeterio López Blanco: para el…</t>
  </si>
  <si>
    <t>Chacón, Josef</t>
  </si>
  <si>
    <t>Josef Chacón</t>
  </si>
  <si>
    <t>…nde un extracto de los tallón del de Sevilla: á II. Marcelino Oraá, del segundo batallón del trabajos que se han hecho en el Ateneo desde su origen , y una oda , leí de Granada: á D. Josef Chacón, del primer batallón del de Valencia: do aquel por el socio secretario D. Manuel Parga , y esta por el socio á i a. Luis Perez de Rivera, de! segundo batallón del de Valencia: á consiliario^D. Antonio Tenreiro en sesión pública de x.° de Octubre: D. Leoncio B…</t>
  </si>
  <si>
    <t>Chacón, Juan</t>
  </si>
  <si>
    <t>Juan Chacón</t>
  </si>
  <si>
    <t>…enta de un expediente promovido por el de Francisco Hernández, vecino de S. Cebrian de Campos, contra.eL R. obispo de Léonfuno de los Sres. ex-dipntados que firmaron ¡a corregidor D. Juan Chacón, por haber infringido el art. 247 de la Cons representación el año de 1814) por haberle confiscado sus bienes con-, titución en sus procedimientos contra aquel. , -: tra lo mandado por la Constitución, en virtud de providencia del in -A la comisión de Haciend…</t>
  </si>
  <si>
    <t>Chain, Antonio</t>
  </si>
  <si>
    <t>Antonio Chain</t>
  </si>
  <si>
    <t>…art. 18: » Que á las palabras la Nación no pa sable al pago de 57^ rs. que debe a la villa de Serón. gará sueldo ni gratificaciones bajo ningún título á los empleados que en El de D. Antonio Chain sobre que se costee su educación en el se adelante sean separados de sus empleos.se añada, con justo motivo que minario de Vergara. deberá expresarse en la orden de su separaciónLa comisión la adop El de Doña Josefa Pastiau, viuda del mayordomo; deb , hospita…</t>
  </si>
  <si>
    <t>Chanlanzon, Antonio</t>
  </si>
  <si>
    <t>Antonio Chanlanzon</t>
  </si>
  <si>
    <t>…turas, mas ó menos fundadas, teración alguna. según la situaciolí en que se "hallan'losrque las forman!-i.' - .'.- JC ', ;!&gt; i" También ha analizado este manantial-el farmacéutico D. Antonio Chanlanzon, quien le ha dado el título de Aguas minerales de la fuen TORTUGAS- te Sublantina, asegurando que no aparece el menor indicio de alcali amoniaco ni-dé otra sustancia alguna insalubre , antes al'contrario se Lisboa 12 de Octubre. - observa hallarse en combinac…</t>
  </si>
  <si>
    <t>Chapcogiendo</t>
  </si>
  <si>
    <t>…mano á las pistolas, primitivo estado la mayor parte de los productos natura y quitándoselas, le hizo apear, y le puso en seguridad, re les empleados en la economía doméstica. El conde Chapcogiendo también dos caballos ensillados que estaban á la tal ha ilustrado al cosechero de vinos, no solamente en el entrada del pueblo. El arrestado dice llamarse Fabián Mar arte de cultivar la vid, sino en el mejor-método de hacer el tínez , y resulta ser de la part…</t>
  </si>
  <si>
    <t>Charneco, Felipe</t>
  </si>
  <si>
    <t>Felipe Charneco</t>
  </si>
  <si>
    <t>…e Urrutia en el campo de ción de Moron fue hecho prisionero por estar auxiliando en los últi Santí Petrí: destacamento de dicho castillo: batería del Portazgo : ba mos momentos al capitán D. Felipe Charneco, y que en atención tería de los baluartes destacados S. Pedro y S. Pablo del frente de la á haberse recompensado á los individuos militares que se hallaron en línea de la cabeza del puente de Zuazo: baterías de S. Ignacio , Con dicha Isla, no podia menos de r…</t>
  </si>
  <si>
    <t>Chatel</t>
  </si>
  <si>
    <t>…tensión madas escardas, prensas hidráulicas &amp;c., y todo cuanto es concerniente y conforme á las leyes.; Incomunico á V. E. de Real orden para su á las fábricas de paños. Ademas el Sr. Chatel como fabricante y prepa inteligencia y efectos correspondientes en el ministerio de su cargo.” rador de las de Louvier, se obliga á enterará los fabricantes del pais de la perfección , ventajas y economía de dichas máquinas , que son de la El Rey, á consulta…</t>
  </si>
  <si>
    <t>Chavarreti, Alaria Luisa de</t>
  </si>
  <si>
    <t>Alaria Luisa de Chavarreti</t>
  </si>
  <si>
    <t>…Península , se les obligue á lle A la comisión de la Organización de fuerza armada pascó una. so var pasaporte .-que las justicias .no los den sino á los que tengan ve licitud de Doña Alaria Luisa de Chavarreti, viuda del capitán de arti cindad conocida; que se obligue á lo mismo á .todas las per,oras de llería D. Luis Pover, para que se Je admita un hijo en la clase de ca ambos sexos que pasen á servir .den u pueblo á otro, con los.abonos dete de dicha arma á expen…</t>
  </si>
  <si>
    <t>Chavarri, Manuel y Ramón de Llano y</t>
  </si>
  <si>
    <t>Manuel y Ramón de Llano y Chavarri</t>
  </si>
  <si>
    <t>…1.880,000 rs. vn., de acuerdo con el Gobierno superior, acaba de comisionar en esta ciudad Lisboa 18 de Octubre. para la admisión de suscriptores y recaudo de acciones á los Sres. Don Manuel y Ramón de Llano y Chavarri, D. Manuel de Mier y Esca Sesión del sy. lante y D. Joseí Joaquín Martí (este último se halla ausente); mas sin • Se continuó la discusión del art. 74 del proyecto de Constitución; embargo los indicados Sres. Chavarri y Escalante no pueden desenten y habiéndo…</t>
  </si>
  <si>
    <t>Chavarría</t>
  </si>
  <si>
    <t>…e instruya el por cscrito provoque á desobedecer Ja Constitución con sátiras ó invec expediente, á fin de apurar la certeza del hecho; y resultando este en tivas; á lo que dijo el Sr. Chavarría se hiciese una indicación por es debida forma, con audiencia del acusado declararán, oida la comisión, crito, y que pasase á la comisión pava que esta después de examinarla que en haber hecho tal cosa se ha infringido tal artículo de ta Constitu diera su dict…</t>
  </si>
  <si>
    <t>Chavarria</t>
  </si>
  <si>
    <t>…conocer que la voluntad decidida de la guarnición y flexiones de las que habla indicado el Sr. preopinante. el pueblo granadino es de sostener la Constitución y las autoridades El Sr. Chavarria preguntó á los Sres. de la comisión si se incluía á que emanan de ella , asi como sus disposiciones, sin que se traspase por las islas Canarias en lo que se proponía ; á lo que contestó el S. Murfi ningún concepto ; mas como por desgracia en Cádiz y Sevilla h…</t>
  </si>
  <si>
    <t>Chaves, Josef María</t>
  </si>
  <si>
    <t>Josef María Chaves</t>
  </si>
  <si>
    <t>…emoria, y Se aprobó el dictamen de la comisión de Legislación acerca de las me obligará.síempre á contribuir directamente á la felicidad de la na solicitudes de D. Mariano Nogues, D. Josef María Chaves, D. Angel ción de los héroes á que tengo la gloria de pertenecer. No quiero refe Valero y D. Ramón Serrano , en que pedían permuta de estudios; y la rir en esta, que es respuesta á la suya de 3 de Noviembre de 1820, comisión opinaba debia accederse á dichas s…</t>
  </si>
  <si>
    <t>Chevillard</t>
  </si>
  <si>
    <t>…orresponda para su cumplimiento. = Rubricado del cardenal Morozzo , el senador Garau , el duque de Valle-Ombró- de la Real mano.crPalacio 29 de Marzo de i8n'~A D. Tomas Atosa , el caballero Chevillard , el conde Caissotti de Robbione , el abó- reno y Daoiz.” ' ^ ado Spirito Migliore, de D. Selvi Nigra, banquero, y de D.'Josef . ' , La ¡unta - general de accionistas del Banco nacional de S. Carlos, f"ravega, idem.. Eos acontecimientos del Piamonte han causa…</t>
  </si>
  <si>
    <t>Chichorro, Btcellas</t>
  </si>
  <si>
    <t>Btcellas Chichorro</t>
  </si>
  <si>
    <t>…que los turcos han degollado á la Al desembarcar en el muelle de las Columnas oyó con lágrimas mayor parte de los conierciames ricos , y que los que han podido es •la oración del arzobispo Btcellas Chichorro. Subió en seguida al coche caparse se han r.fugiado en Trikeri, isla sanada en el golfo de Volo. con los Sres. Infantes, y seguido de ia diputación y demás comitiva , se Este puerto es por r.tra paite una de las factorías de los insurgentes, encaminó á la bas…</t>
  </si>
  <si>
    <t>Chico, Josef Hernández</t>
  </si>
  <si>
    <t>Josef Hernández Chico</t>
  </si>
  <si>
    <t>…Poderes se sirvieron aprobar los presentados por D. Josef Antonio N., por sus gefes, formándoles-proceso con arreglo á ordenanza, cuando la diputado por la provincia de México, y D. Josef Hernández Chico, gravedad del caso lo requiera. que lo es por la de Guaf.ajuaro. Art. 14. '» Siendo de absoluta-necesidad que se ponga en egecucion La comisión de Guerra, enterada de la exposición hecha en t a de simultáneamente el plan general de Hacienda y de la administra…</t>
  </si>
  <si>
    <t>Chioz-, J. J.</t>
  </si>
  <si>
    <t>J. J. Chioz-</t>
  </si>
  <si>
    <t>…ho, cual cinco , conforme á sus facultades: varios comer salud. ciantes menos acaudalados se han reunido para equipar entre todos un n El mismo dia 15 fue conducido al lazareto el capitán J. J. Chioz- navio. Los principales propietarios de estos buques forman el consejo zoto, comandante del bergantín Camte de Goes, procedente de Chipre, de Almirantazgo establecido en Hydra , el cual dirige exclusivamente y cuyo buque estaba fondeado en el puerto de Pomegue…</t>
  </si>
  <si>
    <t>Chiozzoto</t>
  </si>
  <si>
    <t>…fuerte se han hallado 20SS fusiles y varias „Sin embargo, el estado de los enfermos pertenecientes al barco municiones; gracias al gobierno provisional los turcos han sido tra del capitán Chiozzoto presenta algunos síntcnwis diferentes, que han tados mejor de lo que esperaban. El hambre y las enfermedades reinan llamado la atención de los médicos, y que parece anuncian una com •n todos los demas fuertes que no tardarán en rendirse. plicación del tipkus…</t>
  </si>
  <si>
    <t>Choléx, Royet de</t>
  </si>
  <si>
    <t>Royet de Choléx</t>
  </si>
  <si>
    <t>…segundo desembarco en Morca, en donde Ha sido nombrado secretario de Estado para los negocios interiores han causado estragos. Otra división de la escuadra otomana se hizo á la el caballero Royet de Choléx: para el ministerio de Guerra y Marina vela el 20 de este mes desde las inmediaciones de Zame, con el objeto el caballero D. Mateo Des. Geneis; y ha sido confirmado el marques de desembarcar en Patrás por tercera vez. Algunos buques griegos que cru de Brignol…</t>
  </si>
  <si>
    <t>Church</t>
  </si>
  <si>
    <t>…nen todos los ciudadanos de contribuir á man dei genera! Naseü.t ,.y un legiljo dé papeles relativos al. asun tener las cargas de! Estado á proporción de Iüs utsliíiaidíií to del, general Church. ; que les resultan. El presidente, manifestó.'al Parlamento &lt;jue, el.,general - 'IN&amp;I.ATERRA. : Church habia querido mas bien constituirse pñsibnéro, ;que dar-sn-palabrá de honor de permanecer en Nápoles hasta que , Londres. de Diciembre- • se justificase co…</t>
  </si>
  <si>
    <t>…sta delicada coyuntura no es menos general Naselli como un secretario de Esrado, le compe honorífica para vosotros que satisfactoria para mí. tía al Parlamento juzgarle , y que el general Church lo se «Estas demostraciones de lealtad y de espíritu público, ria por un consejo de guerra. acompañadas de la severa observancia de las leyes, son el Después de una breve discusión acerca de cómo se de único medio de atajar los conatos de todos aquellos que r…</t>
  </si>
  <si>
    <t>…rimeras resoluciones. Ni la Duquesa de Floridia. El 3 debía partir el Rey de Nápoles. El 24 llegó sumisión momentánea de un pueblo que ha sido capaz de faltar a la fi á Laybach el general Church ,.y el 26 salió para Florencia. Habian lle delidad , ni los penosos sacrificios hechos por S. M. con el fin de evi* gado á aquella ciudad el barón de Lebzeltern de Roma, y otros per- tar las desgracias de una guerra civil, y precaver los delitos de que sonage…</t>
  </si>
  <si>
    <t>…en quisiere hacer postura acuda ar.re do el primero libertad ! y el segundo cadenas ! . dicho señor por la.escribanía del número de D. Pascual Seco. Otro contraste nos presenta el general Church con el general Fri- El partido de médico y el de cirujano de Navalmoral de Plisa de mont, aunque de diversa clase. Inglaterra, cuna de la libertad , aborta un Toledo se hallan vacantes: al primero se le pagan de salario al año Church; Francia, primogénita de…</t>
  </si>
  <si>
    <t>…ción las dignidades ó canonicatos pertenecientes á la univer príncipe Nugent, que sirve en el de Nápoles, recibían medio sueldo o alguna pensión de la Inglaterra; ó si el teniente coronel Church, del sidad de Coimbra.” ■ . egército ingles, y el teniente general Church, dél egército napolitano, Después de alguna discusión, quedó aprobado, este artículo como no recibían pensión alguna, especialmente el último, por los buenos estaba. servicios que en cl…</t>
  </si>
  <si>
    <t>Churcli</t>
  </si>
  <si>
    <t>Gaceta del Gobierno n.º 8</t>
  </si>
  <si>
    <t>…--Sesión del 24. Corre la voz de que el Rey de Baviera , acompañado de El Sr. Nctti hizo presente al Parlamento el asunto de la Reina, pasará á Viena, si el Emperador Alejandro se general Churcli, que debió haberse discutido en aquella se detiene algún tiempo en aquella capital, como se presume. mana , y del cual no se había vuelto á hacer mención. Se cree también que el Rey de Wurtemberg visitara al mis El presidente expuso la causa de este retraso ;…</t>
  </si>
  <si>
    <t>Churruca, Josef</t>
  </si>
  <si>
    <t>Josef Churruca</t>
  </si>
  <si>
    <t>…e dan cuidado á laPuerla otomana, podrán serle al titución, • ' gún dia perjudiciales, y si cierta potencia está mezclada en este asua« Se dio cuenta de una memoria presentada por D. Josef Churruca, vecino de la villa de Motrico , provincia de Guipúzcoa, haciendo va to. Este es un campo abierto a las conjeturas. rias reflexiones relativas á la ley de elecciones de ayuntamientos cors-t NOTICIAS DE ESPAÑA. titucionales, proponiendo diferentes garantías y…</t>
  </si>
  <si>
    <t>Ciaráy, Josef Joaquín de</t>
  </si>
  <si>
    <t>Josef Joaquín de Ciaráy</t>
  </si>
  <si>
    <t>…n dependencia de Buenos-Aires , denunciado por D. Josel Fernandez de ciones conforme lo exijian nuestros poderes, los juramentos del Rey, Castro en 17 del mismo; ia ley absolvió á D. Josef Joaquín de Ciaráy los nuestros. Pero la presencia dé un egército extrangero en el reino,. rosa responsable de dicho impreso; ,)' en su consecuencia mandó ei nos pone en la necesidad de suspenderlas, uniéndose a esto también, Sr. D. Joaquín Josef de Aguilar, juez primero de pri…</t>
  </si>
  <si>
    <t>Ciaros, Miguel Ginesta</t>
  </si>
  <si>
    <t>Miguel Ginesta Ciaros</t>
  </si>
  <si>
    <t>…l orden que raban dignos, se le concediesen las mismas distinciones lisonjeras que al efeiio se le comunicó en 4 del mismo, para que de ocho en ocho anteriormente se dispensaron á D. Miguel Ginesta Ciaros, cuando ¡ri dias diese cuenta de las que hubiese y su estado. zo presentación de un egemplar de la obra del Salustio traducida al La formada por el juez de primera instancia de Búrgos contra Don castellano. Domingo Basso, D. Josef Manuel Herroz y otros muchos…</t>
  </si>
  <si>
    <t>Ciaveria, Domingo</t>
  </si>
  <si>
    <t>Domingo Ciaveria</t>
  </si>
  <si>
    <t>…ziD. Josef Ferrer.— ñar los destinos de parque, laboratorio de mixtos, .fundiciones;y otros D. Manuel Noballas.zzD. Francisco Perez.zzD. Vicente Ibañez.z^ facultativos.” Aprobado. D. Domingo Ciaveria. zz D. Severo Garces. = D. Nicolás Gutierrez.zz La comisión retiró el artículo 125. D. Mariano Lison.zzD. Manuel lisoni =: D. Pedro Tomas.zzDon Art. 126. » A los oficiales de este cuerpo no se les dará ningún Manuel Diego, zz D. Francisco Ssforcada. zz Y yo e…</t>
  </si>
  <si>
    <t>Cicmincin</t>
  </si>
  <si>
    <t>…mitie se designan, será insuficiente para llenar el objeto que se han propues ron á discusión. to las Cortes. Se mandó pasar á la comisión de División del territorio la siguien El Sr. Cicmincin: El Sr. preopinante acaba de dpr una prueba de te proposición de los Sres. Cuesta y Tapia: que egerce las nobles funciones de un diputado á Cortes; manifestando Los diputados de la provincia de Avila no pueden menos de pro aquel zelo que siempre le ha caracte…</t>
  </si>
  <si>
    <t>Cid, Josef Antonio</t>
  </si>
  <si>
    <t>Josef Antonio Cid</t>
  </si>
  <si>
    <t>…tado de las liquidaciones, y ios D. Mariano Lafuente ,'en'Teruel D Isidro Capilla, en Toledo Don pagos que hiciesen por el rédito anual del 3 por xoo. Luciano de Casas, en Tortosa D. Josef Antonio Cid, en Tuy D. Si 15. Los comisionados especiales de obispados exigirán de los partí món Vázquez Freire, en Tudela D. Rafael Garbayo, en UrgeL Don cipes de diezmos, sin perjuicio de adquirir los demás datos y noticias Antonio Castelló, en Valladolid D. Fermín Uri…</t>
  </si>
  <si>
    <t>Cid, Josef Remirez</t>
  </si>
  <si>
    <t>Josef Remirez Cid</t>
  </si>
  <si>
    <t>…enecieron al extinguido monaste piedad, en esta forma: En la de Castilla la Vieja á D, Manuel An rio de San Bernardo de esta corte, sitas la una en la calle Ancha de tonio Gómez y D. Josef Remirez Cid. = En la de Granada á !&gt;. Ra S. Bernardo y de las Beatas, núm. 1, manz. 498, que tiene de sitio fael de Urbina y D, Demetrio Ortiz. = En la de Navarra á D. Juan 6961 pies cuadrados superficiales, tasada en 484, 579 rs. vn.; y la otra Antonio Ibarra.'ccrEn la…</t>
  </si>
  <si>
    <t>Cid, Pedro Fernandez</t>
  </si>
  <si>
    <t>Pedro Fernandez Cid</t>
  </si>
  <si>
    <t>…ervaciones para que las Ortigueira D. Josef Amil y España, Ídem de Maañon. Orense ; \ Jo Cortes las tuviesen presentes en la discusión del proyecto de bene sef Feijoo y Marquina y D. Pedro Fernandez Cid, propietarios. Rlva- ficencia. davia D. Josef Fermoso, abogado. Carv.illino D. Antonio Monroe , al El Sr. Martel pidió que quedara este expediente sobra la mesa para calde constitucional de Brues. Celanova D. Ramón íieuriquez , propie que los Sres. diputados…</t>
  </si>
  <si>
    <t>Cid, Ramírez</t>
  </si>
  <si>
    <t>Ramírez Cid</t>
  </si>
  <si>
    <t>…industria agrícola; que si creía que eL cion en cuanto les pertenece. Palacio 8 de Mayo de i8ax.’? . . • artículo no estaba bastante claro, se podria añadir alguna palabra mas. El Sr. Ramírez Cid se opuso á que el repartimiento se hiciera bajo Don Salvador Duchen, profesor .-de Historia natural, y grabador -ia base que proponía la comisión, porque 1 legaría el caso de que mu de cámara de S. M., ha .descubierto un específico para preservar de la chos l…</t>
  </si>
  <si>
    <t>…ciudades, villas de Reales guardias de infantería, para que vean las Cortés si puede ser y lugares, cuya población reunida no baje de 80 casas.” Util para la enseñanza pública. El Sr. Ramírez Cid manifestó que no encontraba motivo para que Se dió cuenta de una exposición de D. Manuel Alzaibar, en la las casas que existiesen separadas entre sí no estuvieran su-etas ¿ la con que refería que habiendo tenido noticia de que las Cortes habían acce tribución…</t>
  </si>
  <si>
    <t>…ión del 5. devuelto. Leída y aprobada el acta de la anterior, se mandó) agregar i ella el El Sr. Milla dijo: yo creo que el Sr. secretario del Despacho ha asis voto particular del Sr. Ramírez Cid , contrario á la aprobación de uno tido á todas las discusiones que ha tenido la comisión, y por lo mismo de los artículos del plan de Hacienda. el Gobierno estará bastantemente enterado. El Sr. Mídina lia dicho</t>
  </si>
  <si>
    <t>…la: &gt;1 Pido que ias partidas de tabico elabo ser que quiera rescindir el contrato. Quedó aprobada. rado y en hoja, viniendo de las provincias de Ultramar en eL término Adición del Sr. Ramírez Cid al art. 6.°, relativa á que las dehe de cuatro meses, y en buques nacionales ó extrangeros con permiso, sas, montes Stc.se sujeten á la contribución territorial. La comisión no queden sujetas á los artículos del nuevo decreto, por ser contrario al opinaba que…</t>
  </si>
  <si>
    <t>…compensen con, cia se observa precisamente lo contrario de lo que la comisión ha ma la agregación de algunos de la provincia de Patencia. ^ nifestado en la discusión presente. El Sr. Ramírez Cid pidió que se leyera la exposición de la diputa Esta ha dicho que el establecer la capital en tal ó cual punto era ción de. Vailadolid; y el Sr. Sancho hizo presente que debía recaer la con el objeto de poder gobernar mejor los pueblos de la provincia, misma r…</t>
  </si>
  <si>
    <t>Cíe</t>
  </si>
  <si>
    <t>…actas que se han hecho Mayo de 1814 hasta Marzo de 1820. . con noticia y consentimiento del Gobierno. ¿Se renovó el murmullo.) A la comisión de Legislación pasó una exposición de Doña Cíe? El Gobierno ¿prosiguió el orador) está fundado sobre un acto, que mentina Pardo de Figueroa, en que solicitaba dispensa de edad para aunque acaso fue irregular, ha llegado á ser legítimo en virtud de la la administración de sus bienes, y otra de la comunidad…</t>
  </si>
  <si>
    <t>Ciemencin</t>
  </si>
  <si>
    <t>…reservaba la palabra para el 2.° artículo, sin em sidente levantó la sesión á las dos y cuarto. bargo de manifestar que la locución del 1°, aunque se aprobase, se debía variar. El Sr. Ciemencin, como de la comisión, contestó al Sr. preopinan ANUNCIOS, te , que el sentido de la comisión era muy obvio , reduciéndose tan so lamente á que se expresasen en el artículo siguiente el número de pro notas. En la gaceta de i.° del corriente, col. 6.% Iín. 71,…</t>
  </si>
  <si>
    <t>…o que he oído en ia discusión, Brihuega es una huega sea la capital de la provincia de que se trati. - • • villa que se lleva poco en población con Guadalajara, tiene fábricas, El Sr. Ciemencin dijo: Acaba de manifestar el Sr. Romeró Al- edificios donde acomodar las oficinas del Gobierno, tiene conventos, puente que Guadalajara debe la capitalidad, al favor de la corte. Gua- de los cuales no sé si alguno habrá quedado suprimido, pero es regular; dai…</t>
  </si>
  <si>
    <t>…s que el ge nas que se temen, aunque se diga que la capital es interina, porque neral de aquella provincia. también lo son las de las demás partes•, por cuyos motivos creyó que El Sr. Ciemencin dijo: El Sr. preopinante ha presentado una cues no se podía prescindir de nombrar la capital, mayormente atendiendo tión , cuya resolución no es muy dificil. Ha tratado de saber cuál ha á que la representación del gefe político no contiene otra cosa que te si…</t>
  </si>
  <si>
    <t>Cienfuegos, Juan</t>
  </si>
  <si>
    <t>Juan Cienfuegos</t>
  </si>
  <si>
    <t>…za dé los sabios profesores de la A la de Infracciones una exposición de Dona María del Córnea Universidad de Gotinga, creo poder afirmar que no solamente en este Osorio, muger de D. Juan Cienfuegos, en la que se queja de los pro reino, sino en todos los Estados, inclusos los católicos, se cree que cedimientos contra su marido, que se halla preso y sin comunicación, v tiene la corona el mas completo derecho á todas las rentas y bienes- tem pide se exija…</t>
  </si>
  <si>
    <t>Cienfuey, Nicasio Alvarez de</t>
  </si>
  <si>
    <t>Nicasio Alvarez de Cienfuey</t>
  </si>
  <si>
    <t>…á saber: que estos experi y 21 en rústica, y los restantes a.° y 4d á 40 en pasta y 34 mentos demuestran la identidad de la electricidad galvánica en rústica. = Obras poéticas de D. Nicasio Alvarez de Cienfuey de la influencia nerviosa; lo que demuestran claramente gos, 2 tomos en 8.'3: á 40 en pasta, y en 8.° inarquilla á 50 en es una grande analogía entre estas dos fuerzas en cuanto la pasta. — Metamorfóseos ó trasformaciones de Ovidio, tradu una puede reemplazar…</t>
  </si>
  <si>
    <t>Cieño, Fernando Nolasco</t>
  </si>
  <si>
    <t>Fernando Nolasco Cieño</t>
  </si>
  <si>
    <t>…la misma , dispuso el comandante de armas que saliesen dos compa ditos contra el Estado, en pago de lo que adeuda ; y otra de D. Pedro ñías del 2/ ligero de Cataluña, al mando del capitán D. Fernando Nolasco Cieño , monge profeso del Escorial, pidiendo se le confieran Alvarez de Sotomayor, el cual, dirigiéndose por Villareal , logró algunas capellanías vacantes en el pueblo de su naturaleza, cediendo ,á tener noticias exactas por medio de un prisionero del ni'imero, di…</t>
  </si>
  <si>
    <t>Cíernencin</t>
  </si>
  <si>
    <t>…de vísta. Esta tarde tenién guel , y á los Sres. secretarios García Page y Tapia. dose noticia que algunos grupos de los facciosos se habían reunido en El Sr. presidente nombró al Sr. Cíernencin para las comisiones de las alturas de Costaroja y Cerria, salió la caballería de la Constitución Corrección de estilo y División del territorio; y levantóla sesión ;í las y de milicia, con una'partida de milicianos voluntarios al mando del cotres y cuarto. ma…</t>
  </si>
  <si>
    <t>Cigala, Bartolomé</t>
  </si>
  <si>
    <t>Bartolomé Cigala</t>
  </si>
  <si>
    <t>…el 7 de Febrero, y las de París hasta el 12 de Febrero de 1821. del mismo, refieren que el duque de Gallo debia pasar ins tantáneamente desde Laibach á N.ipoles, para ilevar la re D. Bartolomé Cigala , natural de las islas de Canarias, solución definitiva del Congreso de los .Soberanos: entretan falleció dbintestato en el estado de soltero en ei año de 178 7 to el egército austríaco estaba reunido sobre el Pó , aguar en la villa y misión de S. Luis Tampic…</t>
  </si>
  <si>
    <t>Cilatrava</t>
  </si>
  <si>
    <t>…va, y basta esto para manifestar la utili padres y maridos su irán descuentos, con cuya consideración se arregla dad y lo indispensable que es el que los haya. rán los sueldos. Él Sr. Cilatrava dijo que el párrafo 4.” del art. 321 de la Constitu El Sr. Ochoa dijo: un sueldo fijo á los empleados es una finca sobre ción decía que pertenecía á los ayuntamientos hacer el repartimiento y toda la Nación y sobre cada uno de los españoles, pues estamos hipo…</t>
  </si>
  <si>
    <t>…te los documentos correspondientes de no la pronta egecucion d i reemplazo, que es lo que todos desean. que las autoridades subalternas han sido cistigadas con arreglo 4 las le Ei Sr. Cilatrava pidió que se leyera el oficio que habia pasado el yes por.no haber cumplido; y 1.0 que este aumento de gastos puede Gobierno, relativo a este asunto; y verificada que fue su lectura, dijo: efectivamente cubrirse sin necesidad de aumentar el presupuesto de est…</t>
  </si>
  <si>
    <t>Cilleruelo, Alejandro</t>
  </si>
  <si>
    <t>Alejandro Cilleruelo</t>
  </si>
  <si>
    <t>…stá en manos de los hombres sustraerse al de Fermosellc á D. Francisco María Ortiz: para el de Carvajales á torrente del espíritu general, ei cual arrastra á los mismos hombres pa D. Alejandro Cilleruelo : para el de Viilalpando á D. Joaquín Ba- ra que se realice el deseo que toaos, tienen de un Gobierno regular y hamonde. acomodado alas circunstancias de las naciones. F.sta tendencia general Igualmente en la provincia de Jaén para el partido de Baeza á Don e…</t>
  </si>
  <si>
    <t>Címbrelo, Francisco Perez</t>
  </si>
  <si>
    <t>Francisco Perez Címbrelo</t>
  </si>
  <si>
    <t>…e y mo, de todas las rentas de los demas obispados del reino se recaudará D. Anvel Sanz Llórente. Jo que exceda de -f.cÍQo;-) reis, quedando las cantidades destinadas pro 4/ La de D. Francisco Perez Címbrelo, hijo, teniente de infante</t>
  </si>
  <si>
    <t>Cimitile</t>
  </si>
  <si>
    <t>Gaceta del Gobierno n.º 5</t>
  </si>
  <si>
    <t>…s erario nacional; deberá V- observar puntual y escrupulo audiencias á los lores Castlereagh y Sidinouth. samente la adjunta instrucción, avisándome sin demora de . La llegada del príncipe Cimitile es un acontecimiento cualquiera oposición ó entorpecimiento que advierta en los importante: en breve cesará la incertidumbre en que nos ha que deben cooperar á su entero cumplimiento, para oue llamos acerca de la conducta que nuestro Gobierno se pro dando cue…</t>
  </si>
  <si>
    <t>Cipero</t>
  </si>
  <si>
    <t>…ta la comisión , que el R. obispo de Turtosa en 25 de claración se debia entender con los demas de su clase. Marzo último contestó á un religioso observante que le suplicaba se Et Sr. Cipero se opuso á ia aprobación de esta indicación, mani constituyese su benévolo receptor, diciendo: ¿Vo me es lícito cooperar festando que ademas de que esta declaración no estaba en las facultades á la secularización de .religioso alguno', y estando mandado en la…</t>
  </si>
  <si>
    <t>…vicios que el decreto con carácter de ley sobre juicios de conciliación. ha hecho á la patria. La comisión habiendo examinado dicha solici Continuóse la discusión pendiente , y el Sr. Cipero dijo que su opi tud, y el informe que había dado el capitán general de Aragón, opina nión no podia convenir ni con la del Sr. Moreno Guerra ni con la d.*l ba debia acc-.-d irse á elia , y que se hiciese mención honorífica en la Sr. García Page, relativa á los…</t>
  </si>
  <si>
    <t>…tar que no El Sr." Calatrava leyó las observaciones del tribunal de Ordenes, debia aprobarse este artículo. audiencia de novilla, universidades de Valladolid y Salamanca , cole El Sr. Cipero manifestó que podia lograrse el objeto de la comisión gios de abogados de Pamplona, Zaragoza y Granada, audiencia» d*, sin causar una gran molestia al reo, lo culi se verificaría poniéndole, .Madrid y Pamplona Scc., y manifestó asimismo que la mayor parte de…</t>
  </si>
  <si>
    <t>Cipria</t>
  </si>
  <si>
    <t>…n Somoza , D. Jaime Prito, D. Antonio Vázquez , D. Jo S. M. ha tenido á bien mandar que V. S. recuerde de continuo á las sef de la Torre, D. Hilario Nogueras, D. Frar cisco Balct, D. Cipria autoridades dependientes de ese gobierno político de su cargo la urgente no Aragón, D. Josef Soiano, D. Josef María Salomón, D. Juan Mu necesidad y obligación en que se hallan de concurrir á impedir ios ma ñoz, D. Rafael Morete, D. Josef Saavedra, D. Josef Za…</t>
  </si>
  <si>
    <t>Circular, Calatrava</t>
  </si>
  <si>
    <t>Calatrava Circular</t>
  </si>
  <si>
    <t>…levantó la de este dia. todas las cuentas de la Nación, veria si el pago de esta partida estaba ARTICULO DE OFICIO. duplicada. Volvió la diputación de palacio, y su presidente el Sr. Calatrava Circular de! ministerio de la Gobernación de la Península. dijo: S. M. ha recibido la diputación de las Cortes con la afabilidad Los Sres. diputados secretarios de las Cortes con fecha x 2 del actual que acostumbra, y después de haber recibido el decreto que se ¡levab…</t>
  </si>
  <si>
    <t>Circular, Juan Félix</t>
  </si>
  <si>
    <t>Juan Félix Circular</t>
  </si>
  <si>
    <t>…io, y estarse prac ticando varias diligencias pedidas por la muger del muerto. Providen ARTICULO DE OFICIO. cia de visita : siga. Francisco de las Armas, remitido por ei susodicho D. Juan Félix Circular del ministerio de la Gobernación de la Península. Maruri en 20 de Diciembre de 1820 por el robo hecho de varios efec los Sres. diputados secretarios de las Cortes me dicen con la fecha tos de ropa y dinero á Josef Rodríguez. Estado de esta causa. En suma de 1…</t>
  </si>
  <si>
    <t>Cirios</t>
  </si>
  <si>
    <t>…emo de Justicia, compues nido en toda la Europa ha sido en razón inversa de lo que se lia gasta tas de un presidente, ocho ministros y un fiscal. do con sus agentes. En tiempo del Sr. Cirios in apenas llegaban los gas 8/ Habrá tres secciones del consejo de Estado, compuestas de siete tos de esta clase á 8 millones; y en tiempo del Sr. Rey D. Cirios iv,</t>
  </si>
  <si>
    <t>…bien la de Hellin á D. Joaquín Beneito y Beneito: para la de Chinchilla pueden fundarse esperanzas de que su decidida resolución de sacudir á D. Benito Romero: para la de Yecla á D. Cirios de la Cruz Pujalte: el yugo turco podrá tener efecto. Se renueva como seguro el rumor de para la de Villena á D. Pablo Blanco Caballero : para la de Totana á Ja sublevación de los servios y búlgaros contra el Sultán; se afirmaba D. Francisco Rivas: para la de…</t>
  </si>
  <si>
    <t>Cirios, Infante D-</t>
  </si>
  <si>
    <t>Infante D- Cirios</t>
  </si>
  <si>
    <t>…ínteres contra el Esta arreglada con que ha principiado la reforma de los abusos que oprimen do para la compra de bienes nacionales las partidas siguientes: á la nación. Al Sermo. Sr. Infante D- Cirios 11.000,000 de atrasos de la su « La libertad de imprenta , esta hermana gemela de la libertad -civil primida consignación de 150,000 ducados, que por via cíe alimentos y política , esta hija querida de los Gobiernos representativos , es hoy se concedieran al…</t>
  </si>
  <si>
    <t>Cirrasco, Pablo Lorenzo Largo</t>
  </si>
  <si>
    <t>Pablo Lorenzo Largo Cirrasco</t>
  </si>
  <si>
    <t>…ta Cortes, relativos al nuevo plan de iglesias metropolitanas , catedrales y rá pronta para dar la vela á principio ó hasta el dia 10 del próximo parroquiales, que da á luz el Dr. D. Pablo Lorenzo Largo Cirrasco: mes de Noviembre. Tiene las mejores proporciones para llevar pasage- un tomo en 3.° marquida rústica. Se vende en la librería de Hurtado: ros, y está provista de todo io necesario para su mayor comodidad. su precio 6 rs. Para tratar da los demas particulares…</t>
  </si>
  <si>
    <t>Ciscar</t>
  </si>
  <si>
    <t>…ndicación: jj Pido que te respecto de su primitiva fundación, en lo cual convenia -con lo que se diga al Gobierno que con urgencia.., y si puede ser en el dia de mi í^bia.dicho el Sr. Ciscar de que lo que - era’ íin 'canto de duro de terre nina Eremita á las'.Cortes los antecedentes .que haya tenido para man-" no hizo la ambición que se aumentase en muchas Varas, resultando que lo dar.que la acuñación dé moneda, pastas, tejos y monedas de-oro que…</t>
  </si>
  <si>
    <t>Ciscar, Gabriel</t>
  </si>
  <si>
    <t>Gabriel Ciscar</t>
  </si>
  <si>
    <t>…que, .aunque escritas; por Gregorio, de Tours y por otros Apuntes sobre medidas, pesos y monedas, por el Exce autores contemporáneos, serian increíbles, si no se supiese lentísimo Sr. D. Gabriel Ciscar, teniente general de la ArmadaFasta qué punto pueden degradar al hombre la ignorancia y Nacional , y consejero de Estado, miembro que fue de la comi sión de pesos y medidas del Instituto- nacional de Francia. El la, falta de civilización. * ■ objeto principal…</t>
  </si>
  <si>
    <t>Ciscar, Josef</t>
  </si>
  <si>
    <t>Josef Ciscar</t>
  </si>
  <si>
    <t>…ro constitucional de Elche *, D. Josef Soler y Garrigos, id. de Gijona, y D. Pascual Juan NOTICIAS DE ESPAÑA. y Servent, vecino de Onili__En Denla: D. Joaquin Abargues, de Benisa; D. Josef Ciscar, de Gandía, y D. Pablo-Sala , de Denla. f-'u ' Earcelona 7 de Noviembre. Alcira: D. Jaime Carpí , presbítero de Alginete; D. Pedro Fuster, abogado de Albalat dePardines, y D. Calixto Gómez, farmacéutico , . - SALUD PUBLICA. ^ de Alcira—En Cartagena: D. Pedro…</t>
  </si>
  <si>
    <t>Cisneros, Juan Sánchez</t>
  </si>
  <si>
    <t>Juan Sánchez Cisneros</t>
  </si>
  <si>
    <t>…por el egército , división y brigada , é instrucción de toda clase de militares: mismo espíritu, y conforme al interes del que las decreta. La conser- obra única y original por el brigadier D. Juan Sánchez Cisneros, in dividuo de mérito de varios cuerpos científicos de Europa en la clase (t) D. Mariano Rufino González no ha jurado la Constitución de ciencias fisicas y naturales &amp;c. &amp;c. Se suscribe en la librería de Eapolítica de la Monarquía por hallarse con Real ltcenc…</t>
  </si>
  <si>
    <t>Cisneros, Manuel Sánchez</t>
  </si>
  <si>
    <t>Manuel Sánchez Cisneros</t>
  </si>
  <si>
    <t>…ñeza ( provincia de León), implorando Ja no tenia conexión con aquel, y se le habia presentado con el nombre benignidad del Congreso en favor del IR. obispo de aquella diócesis de D. Manuel Sánchez Cisneros, presidente de la mencionada junta de (juno de los Ó9 Sres. ex-diputívdos que firmaron la representación del Censura, pero sin rúbrica; y en su consecuencia habia mandado, con año 14), para que siga egerciendo sus funciones episcopales, en aten acuerdo de ase…</t>
  </si>
  <si>
    <t>Cisnéros, Tosef</t>
  </si>
  <si>
    <t>Tosef Cisnéros</t>
  </si>
  <si>
    <t>…ble en todas las arres de construc Josef Iribarron y Ortuño, D. Serapio Aguas y-Muñera'de ción, y á la que ha dado el nombre de geometría des* Cantos, D. Juan Guerra y Golfantes , D. Tosef Cisnéros y criptiva. Lanuza , D. Bernardo Elfo y Ximenez-, D. Antonio To- La trigonometría es sin disputa una de las mas-útiles rija y Carrese, D. Joaquín Salvador y Udi, D. Diego Mi aplicaciones de la geometría elemental: es la base de la geor randa y Morales, D. Jos…</t>
  </si>
  <si>
    <t>Citerne</t>
  </si>
  <si>
    <t>…nes, la preparación de estos, las operaciones para guarnecerlos, el de Gordon á D. Gerónimo Tcjerina: para el de Villafranca á Don los times y demas que se practica en ¿lias. Y el Sr. Citerne mantiene Josef García Alfonso: para el de Astorga á D. Vicente Perez Sánchez: su depósito de cardas de su fábrica de Nonancourt, como iguihnér.tu pira el de Valderas á D. Ramón Angel de las Cuevas: para el de Sa- la de cepillos de todos tamaños. M.VDR'D.EX LA…</t>
  </si>
  <si>
    <t>Ciudad, Victoriano</t>
  </si>
  <si>
    <t>Victoriano Ciudad</t>
  </si>
  <si>
    <t>…rados ...... convalecientes ....... muertos .... exis D. Pedro Alcántara Sanz, cura párroco de Villasequilla ; D. Ma tentes ..... nuel Ventura Martínez Aedo , vecino de Estrcmera; D. Victoriano Ciudad, existencia anterior 298: entrados ó acometidos 17: salidos Gómez y López de la Fuente, presbítero , vecino de Colmenar de Ore ó curados 11 : convalecientes 24: muertos 8: existentes 296. ja ; D. Pedro Mejía Raboso, vecino de Sta. Cruz de la Zarza *, D. Apo-'…</t>
  </si>
  <si>
    <t>Civaleri</t>
  </si>
  <si>
    <t>…as observaciones acerca modo ; no sé cual será la Opinión de las Cortes, pero á mí me parece de este attículo. que ningún artículo es mas justo que este, porque no hay otro mas E! Sr. Civaleri: Que la comisión adoptaba por equivalente á la pe oportuno para evitar el derramamiento de sangre. EL medio que propo na de muerte la da 40 anos de obras publicas , al paso que cuando sí ne elSr. preopinante es impracticable ; ha creído S. S. que aqui se trat…</t>
  </si>
  <si>
    <t>Civroni, Valpergo de</t>
  </si>
  <si>
    <t>Valpergo de Civroni</t>
  </si>
  <si>
    <t>…de Calabria,. de la cual acompaño á V . Ei El Marques Ripa de„- Miaña, id.yrEl niarqués Tancredo de Barolo, una copia. Al mismo tiempo declaró- S. M. que creia útil por mu id.sEl conde Valpergo de Civroni., id. = El abogado Villa , id. —El chas razones llamar.cerca de su persona al duque de Gallo, con elbanquero J. F. Rignon, id. cu El abogado Baltasar Gavagnp, id. cu El fin de que la asamblea de los. plenipotenciarios le hiciese conocer direc abogado S. Panso…</t>
  </si>
  <si>
    <t>Cl.igarin</t>
  </si>
  <si>
    <t>….......................... Par. ri: La sociedad de la Economía rural. La fundaron poco há el Valencia............ ........................................................... Idem. príncipe Cl.igarin, el general Murawjeú y el secretario de Estado de Barcelona........... ........................................................... 5- beneficio á pss. "VVituiviow ; su actual presidente es el príncipe Galizin, y vice-presi- Zaragoza............ ..............…</t>
  </si>
  <si>
    <t>Clamwi-</t>
  </si>
  <si>
    <t>…imo, se le pre. celebrado el 7 un consejo de gabinete, y que de sus resul vino expresase el dia del remate, que omitía en sus oficios de tas debía partir en comisión para Viena el lord Clamwi- 28 de Noviembre anterior. Con fecha de x 5 de! citado Di llians: se decia que entre los lores Castlereagh y Liverpool ciembre dio parte el mismo intendente de Ja subasta de i mía había diferencias de opinión sobre la elección del sugeto que les fincas, con so…</t>
  </si>
  <si>
    <t>Clancarti</t>
  </si>
  <si>
    <t>Nfan- 334 -(7 cuartos.) "* 799 SS GACETA DE MADRID. VIERNES 23 DE NOVIEMBRE DE 1821. NOTICIAS EXT RANG ERAS. apeó en el palacio de lord Clancarti, embajador., británico en nuéstra corte; ha salido esta mañana á las nueve paraBrújas, donde hará noche, RUSTA. y mañana se dirigirá á Dunkerque y í Calais. Luego que salió S. M. partió para el Haya lord Clancarti. Odesa 16 de Octubre,. Díceseque el Emperador…</t>
  </si>
  <si>
    <t>Clancel, Francisco</t>
  </si>
  <si>
    <t>Francisco Clancel</t>
  </si>
  <si>
    <t>…de la introducción de las instan-, en Ai icante, casa de D. Josef Sirvent, calle mayor; en Sevilla, casa cías, en virtud de la relación, de. escribano y de las conclusiones del de D. Francisco Clancel , calle de Colcheros, y en Santander en la bos ministerio fiscal. No se admitirá apelación de ellas, y sí solo el recurso tica de D. Antonio de la Cuesta y Ontañon. al supremo tribunal de Justicia. Art. 88. ’&gt; Los gastos de las diligencias, pagados por los ad…</t>
  </si>
  <si>
    <t>Clara, María</t>
  </si>
  <si>
    <t>María Clara</t>
  </si>
  <si>
    <t>…nto no .era extraño que la casa de Hoppe, A la comisión de Hacienda se mandaron pasar varias exposiciones, contando demasiado con la generosidad del Congreso de España, qui una de Doña María Clara puraque se le continúe pagando una pensión siera hacer apurar el cáliz de amargura al .pobre pueblo español ; que el ; que gozaba; otra de los fabricantes de tapones de corcho de Blanes, Lloret, Congreso habia sido mas generoso con los holandeses que con los…</t>
  </si>
  <si>
    <t>Clararosa, Josef Joaquín</t>
  </si>
  <si>
    <t>Josef Joaquín Clararosa</t>
  </si>
  <si>
    <t>…de la especie llamada icterodes: por Don favor de D. Ignacio Pedro Wanger para fabricar manteca y' Manuel Hurgado di Mendoza, doctor en medicina y en cirugíaqueso de'Flandes, y-de D. Josef Joaquín Clararosa para médica , individuo de varias academias médicas nacionales, y elaborar-el febrífugo conocido con el nombre de agua de de muchas extranjeras, &amp;.C/-&amp;C.,Seguida de dos memorias sobre Inglaterra. Madrid ló de Febrero de 1821.= Andrés de las verdaderas causas…</t>
  </si>
  <si>
    <t>Clararosa, Josef Joaquín de</t>
  </si>
  <si>
    <t>Josef Joaquín de Clararosa</t>
  </si>
  <si>
    <t>…ión que fue á participarle qué que declaró, el juez en providencia del 22 de /Febrero que í;i lcyr;ibsolyia á daban instaladas las Cortes, y dedujo de ella que era necesario saber D. Josef Joaquín de Clararosa , responsable de, dicho imp«st}„,y;,mancuales eran los desprecios y ultrajes com tidosá su Persona para poner dó que.se le alzase inmediatamente la ..caución, sin que este-procedi remedio en ello, y asimismo propuso una indicación resumida en tres miento le.c…</t>
  </si>
  <si>
    <t>Claucel, Francisco</t>
  </si>
  <si>
    <t>Francisco Claucel</t>
  </si>
  <si>
    <t>…ireumáticas, á 40 las antivenéreas y á .30 las locales en Alicante en casa de D. Josef Sirvent; en Sevilla en A consulta del consejo de Estado se ha servido S. M. nombrar pa ia de D. Francisco Claucel; en Audújar en ia de D. Josef Daniel, del ra los juzgados de primera instancia de la provincia de Jaén á los su- comercio de aquella ciudad; en Santander en la de D. Antonio de ia getos siguientes: para Jaén á D. Josef Serrano Soto para Mirtos á Cuesta y Hont…</t>
  </si>
  <si>
    <t>Clauseíles, Josefa</t>
  </si>
  <si>
    <t>Josefa Clauseíles</t>
  </si>
  <si>
    <t>…sla de Mallorca , para que dentro Plasencia en la de D. Antonio Monredon y Acevedo, boti del término de 40 dias precisos se presente en dicho tribunal,cario. En Barcelona en la de Doña Josefa Clauseíles, del por medio de procurador con poder bastante , d usar de su derecomercio. En Gandía en la de D. Alejo Clavier , de: idem. cho en ios autos que sigue en el mismo D. Josef Agustín Va-En Zamora en la de D. Mateo Hernández de Medina, de llester, vecino y dél c…</t>
  </si>
  <si>
    <t>Clavejó, Josef</t>
  </si>
  <si>
    <t>Josef Clavejó</t>
  </si>
  <si>
    <t>…e la dipuracion provincial. "Yo .có sé qué tengan telégrafo de Mr. Cbard. que ver los privilegios exclusivos que pueden ser gravosos al comerció, A la especial de Hacienda otra de D. Josef Clavejó, oficial cesante y que están ya abolidos, con el asunto de que se trata, esto es , de una de una de las oficinas de la Nación, manifestando hallarse comprendido compañía particular que ha hecho sus propuestas al Gobierno para conti en el decreto de .... de Se…</t>
  </si>
  <si>
    <t>Clavería, Isabel</t>
  </si>
  <si>
    <t>Isabel Clavería</t>
  </si>
  <si>
    <t>…trataba de la suerte.de /oSI ciudadanos españoles; por cuyo motivo ñore* Carricaburu , Atrieta y compañía de aquella, apoderados de la predebia suspenderse esta discusión. citada Doña Isabel Clavería; en el concepto de que pasado dicho término Asimismo consideraba de absoluta necesidad que la comisión Ecle se procederá á la cancelación de dicha hipoteca. siástica propusiese una basé, en la que designase las reglas á que se ha . Colección de láminas para s…</t>
  </si>
  <si>
    <t>…culo, porque se daban demasiadas efecto á los Sres. Carricaburu, Arrieta y compañía de aquella , apode-^ laculiades para allanar las casas de los ciudadanos. rados de la precitada Doña Isabel Clavería; en el concepto de que El Sr. Gateó dijo que era necesario adoptar este medio, y que se pasado dicho término se procederá á la cancelación de dicha hipoteca. SUPLEMENTO</t>
  </si>
  <si>
    <t>Clavéría, Isabel de</t>
  </si>
  <si>
    <t>Isabel de Clavéría</t>
  </si>
  <si>
    <t>…te modo las ciencias se sepul ñores Carricaburu, Arrieta y compañía de aquella, apoderados' de la tarán en el olvido, y la sociedad quedará sumergida en la ignorancia.'’ precitada Doña Isabel de Clavéría; en el concepto de que pasado dicho » Estos son los grandes obstáculos que se oponen al sistema; y creo, término se procederá á la cancelación de dicha hipoteca. - ' dice el autor, haberlos presentado todos sin disfraz y sin omitir nin Los suscriptores á la o…</t>
  </si>
  <si>
    <t>Clavería, Isabel de</t>
  </si>
  <si>
    <t>Isabel de Clavería</t>
  </si>
  <si>
    <t>…ue por lo mismo lo mas que podría decirse na isla de Cuba, el año de 1799, y tratado su hija y única here en este artículo era: » por sospechas fundadas y probadas suficiente dera Doña Isabel de Clavería , viuda de D. Pedro Dalhaste, por me mente.” dio de su hijo y apoderado D. Pedro Dalhaste y Clavería de re El Sr. Lasanta dijo que reconocía la necesidad de adoptarse alguna coger ¡a cantidad de $9 pesos que dicho difunto D. Juan de Claveria medida, tal como…</t>
  </si>
  <si>
    <t>Clavería, Juan</t>
  </si>
  <si>
    <t>Juan Clavería</t>
  </si>
  <si>
    <t>…icha suma D. Cristóbal de Arozarena, albacea de Viñarte, nando hubiese merecido ó mereciere en adelante la distinción que allí ■porque decía que este le había comunicado que dicho D. Juan Clavería le se expresa, llevará la cruz fija sobre el libro de la Constitución, y los había dicho que ios referidos pesos pertenecían á un clérigo francés, colores de los grimpoiones estarán distribuidos en la misma proporción paisano y amigo suyo : se vió el D. Pedro…</t>
  </si>
  <si>
    <t>Clavería, Juan de</t>
  </si>
  <si>
    <t>Juan de Clavería</t>
  </si>
  <si>
    <t>…e á la comisión de Instrucción pública la indicación de los ANUNCIOS. diputados de Extremadura.” El Sr. Tapia dijo: yo estaba ocupado en otra comisión cuando se Habiendo fallecido D. Juan de Clavería en la ciudad de la Havatrató de este asunto, y no he podido saber si lo que piden estos señores na, isla de Cuba, el ano 1799, y tratado su hija y única heredera Do diputados es que se establezca en aquella provincia una universidad de ña Isabel de Clavería,…</t>
  </si>
  <si>
    <t>Clavéría, Juan de</t>
  </si>
  <si>
    <t>Juan de Clavéría</t>
  </si>
  <si>
    <t>…s presupuestos y estados que presen derecho á suceder en dichos bienes. ' ............... tará el secretario del Despacho de Hacienda , relativos á ¡as contribu Habiendo fallecido D. Juan de Clavéría en la ciudad de la Havaciones, serán unode los primeros objetos de que se ocupen las Cortes, na, isla de Cuba, el año 1799, y tratado su hi a única heredera Doá como también los pertenecientes al número de tropas de ntar y tierra ña Isabel de Clavéría, viuda…</t>
  </si>
  <si>
    <t>…nte. las autoridades competentes creyesen que habia sobradas sospechas para ANUNCIOS. visitar la casa de algún ciudadano, no podian verificarlo sin previa in -- Habiendo fallecido D. Juan de Clavería en la ciudad dé la Hilva formación del hecho, y que por lo mismo lo mas que podría decirse na isla de Cuba, el año de 1799, y tratado su hija y única here en este artículo era: » por sospechas fundadas y probadas suficiente dera Doña Isabel de Clavería , viud…</t>
  </si>
  <si>
    <t>…va tendrán res apoderado D. Pedro Dalhaste y Clavería, de recoger la cantidad de pectivamente la misma insignia que los de infantería de línea y ligera. 53 P-sos que dicho difunto D. Juan de Clavería tenia dados á guardar á Art. 8.° » El cuerpo que por una acción distinguida en el caso que D. Lorenzo Viñarte que después falleció también ; y resistiéndose á la menciona el art. 29 del decreto de la creación de la orden de S. Fer entrega de dicha suma D. Cri…</t>
  </si>
  <si>
    <t>Clavería, Pedro Dalhaste y</t>
  </si>
  <si>
    <t>Pedro Dalhaste y Clavería</t>
  </si>
  <si>
    <t>…ovincia una universidad de ña Isabel de Clavería, viuda de D. Pedro Dalhaste, por medio de su segunda enseñanza, ó de tercera: si lo primero, es en vano esta peti hijo y apoderado D. Pedro Dalhaste y Clavería, dé recoger la cantidad ción , puesto que en cada provincia ha de haber una de estas universi de 53 pesos que dicho difunto D. Juan de Clavería tenia dados á guar dades ; y si es de tercera puede pasar esta propuesta á la comisión , la dar á D. Lorenzo Viñart…</t>
  </si>
  <si>
    <t>Clavéría, Pedro Dalhaste y</t>
  </si>
  <si>
    <t>Pedro Dalhaste y Clavéría</t>
  </si>
  <si>
    <t>…tes al número de tropas de ntar y tierra ña Isabel de Clavéría, viuda de D. Pedro Dalhaste, -por medio de su que se han de decretar anualmente. ( Se continuará ') hijo y apoderado D. Pedro Dalhaste y Clavéría, de recoger la cantidad de 53 pesos que dicho difunto D. Juan de Clavéría tenía dados á guar VARIEDADES. dar á D. Lorenzo Viñarte , que después falleció también, y resistién dose á la entrega dé dicha suma D. Cristóbal de Arozarena, aib.icea Continua el artic…</t>
  </si>
  <si>
    <t>…nica here en este artículo era: » por sospechas fundadas y probadas suficiente dera Doña Isabel de Clavería , viuda de D. Pedro Dalhaste, por me mente.” dio de su hijo y apoderado D. Pedro Dalhaste y Clavería de re El Sr. Lasanta dijo que reconocía la necesidad de adoptarse alguna coger ¡a cantidad de $9 pesos que dicho difunto D. Juan de Claveria medida, tal como la que proponía ia comisión, porque asi lo exigía la tenia dados á guardar á D. Lorenzo Viñarte, que…</t>
  </si>
  <si>
    <t>…que los demas cuerpos del egército. bel de Clhvería , viuda de D. Pedro Dalhaste, por medio de su hijo y Art. 7.0 « Los batallones de milicia nacional activa tendrán res apoderado D. Pedro Dalhaste y Clavería, de recoger la cantidad de pectivamente la misma insignia que los de infantería de línea y ligera. 53 P-sos que dicho difunto D. Juan de Clavería tenia dados á guardar á Art. 8.° » El cuerpo que por una acción distinguida en el caso que D. Lorenzo Viñarte que…</t>
  </si>
  <si>
    <t>Claveríaen, Juan de</t>
  </si>
  <si>
    <t>Juan de Claveríaen</t>
  </si>
  <si>
    <t>…misma clase, y la longitud de los grimpoiones y asta ANUNCIOS. como en la caballería de línea. Art. tí." » Los cuerpos de la guardia Real , según el arma á que Habiendo fallecido D. Juan de Claveríaen la ciudad de JaHavana , is correspondan , asi como los de artillería, zapadores y marina usarán la de Cuba, el año de 1799, y tratado su hija y única heredera Doña Isa la misma insignia que los demas cuerpos del egército. bel de Clhvería , viuda de D. Pedro D…</t>
  </si>
  <si>
    <t>Clavier, Alejo</t>
  </si>
  <si>
    <t>Alejo Clavier</t>
  </si>
  <si>
    <t>…s se presente en dicho tribunal,cario. En Barcelona en la de Doña Josefa Clauseíles, del por medio de procurador con poder bastante , d usar de su derecomercio. En Gandía en la de D. Alejo Clavier , de: idem. cho en ios autos que sigue en el mismo D. Josef Agustín Va-En Zamora en la de D. Mateo Hernández de Medina, de llester, vecino y dél comercio de Vinaróz, con D. Joaquin Meid. En Valencia en la de D. Bernardino Pesseto ; y en San seguer , de la pro…</t>
  </si>
  <si>
    <t>Cle, Rojas</t>
  </si>
  <si>
    <t>Rojas Cle</t>
  </si>
  <si>
    <t>…y á cuya discusión se ha de traer culo 27 del código penal. un número extraordinario de hechos á que la comisión manifiesta que Las Cortes quedaron enteradas de una exposición del Sr. Rojas Cle no se ha extendido, sin duda por un efecto de órcun peccion y delica mente, diputado por la provincia de Valencia , en la que manifestaba deza, temiendo abrazar hechos que ño le constasen con la mayor auten no poder asistir al Congreso por la grave enfermedad…</t>
  </si>
  <si>
    <t>Clecomercio</t>
  </si>
  <si>
    <t>…o pu n.smo la comunidad de pastos, montes y demás. do atenderla ¿ porque carecía de medios para las atenciones generales. El E¡ Sr. Giialdo dijo: Que lo que acaba de manifestar el Sr. Clecomercio y prosperidad de esta ciudad, acaso la hicieron víctima del mencin era uua cosa de eterna verdad; pero era indispensable que se furor extrangero. Pero en el dia va restableciendo sus edificios, y la expresase en el decreto, porque entre pueblo y pueblo tienen…</t>
  </si>
  <si>
    <t>Clem-ncin</t>
  </si>
  <si>
    <t>…a fanega y 6 celemines de pan----Otra habia determinado que se tratase de él en ¡as Corles extraordinarias. de p celemines, de segunda id-, en Sobrevela, en venta 534 rs , y en El Sr. Clem-ncin manifestó que en cuanto al segundo oficio que rema 8 celemines de pan.__Otra ¿ los Linares, de media fanega , de trataba de la ley orgánica desanidad podría decirse que. las Cortes que tercera id. , en vrmu 400 rs. , y en renta 6 celemines de pan.—Otra daban…</t>
  </si>
  <si>
    <t>Clemencia</t>
  </si>
  <si>
    <t>…nes, Por lo que respecta a Jos gastos de diputaciones provinciales y de-" en estas provincias pequeñas pueden tener uñ gran-Je infl ijo en las elec mas empleados según ha dicho el Sr. Clemencia, es necesario advertir" ciones, porgue será mas fácil dirigir la Opinión de creo electores, r. sr., que sobre la.cantidad de 444,470 rs. que tiene que pagar la Nación que la de 32. Si cualquier otro individuo puede egercer su iiiflujo no por este ramo ; tendr…</t>
  </si>
  <si>
    <t>…tución. También es una verdad que para la.divisñm de las la de Málaga , septentrional la de Córdoba «Scc. provincia, conviene atender al grado de educación en que se hallan los El Sr. Clemencia manifestó la equivocación que padecían algunos pueblos ; igualmente se debe atender i si el carácter de los moradores</t>
  </si>
  <si>
    <t>…o medio que hay es el que se discuta y vote por partes, en razón trario seria dar lugar á pleitos lu josos. deque se pueden ir exponiendo razones en la discusión de cada provin El Sr. Clemencia contestó ;í aigunas equivocaciones del Sr. Giraldo. cia , y formar su juicio cada Sr. diputado con mas exactitud. Jor estas El Sr. Sancho dijo : Desearía que esta discusión se abreviase un po razones pido que se lean las proposiciones que tengo hechas relativ…</t>
  </si>
  <si>
    <t>…El Sr.Cortés prosiguió: La provincia del'.norte de Valencia debe yo motivo debia de ser aquella la capital. formarse de distinto modo que la ha formado la comisión. Para cono ■ El Sr. Clemencia; Yo veo que la cuestión se va complicando, y cer esto es preciso tener presente que esta provincia se divide en tres que no se sigue su orden natural. El Sr. Cabezas ha propuesto que se fajas de oriente á poniente, con una pequeña irregularidad que se for tor…</t>
  </si>
  <si>
    <t>…ción y la mayor con para promover su felicidad. Los habitantes de una provincia cuando veniencia pública. van 4 otra no hacen sino pasar, digámoslo asi , de un aposento á otro; El Sr. Clemencia dijo: Yo abundo en el mismo modo de pensar esta es 1a verdadera idea. No pasan á nmgun país extraño en donde no que el Sr. preopinante, que ha manifestado, si no me engaño, que no se se cuide de su felicidad; solo mudan de habitación en una casa común. extend…</t>
  </si>
  <si>
    <t>…e tiene en su pro creer necesarias tantas provincias eran los muchos gastos que se iban á vincia la agricultura, la industria y el comercio; y es bien seguro que aumentar; pero el Sr. Clemencia , uno de los individuos de la comi estando separadas las tres provincias, recibirá la industria mas foment sión, dijo qúe apenas él gasto que se aumentaba era de 300 á 400$ rs. : y lo mismo Ja agricultura y el comercio, porque cada provincia.estará ' Y en est…</t>
  </si>
  <si>
    <t>…se A instancia del ir. Sánchez Salvador se leyó el art. 326 de la ha fijado , corresponde á las Cortes el poder variar el número de los Constitución; y en su consecuencia dijo el Sr. Clemencia: Parece que diputados provinciales, componiéndose todas las diputaciones provin no se tiene presente que las diputaciones provinciales deciden en co ciales del número de siéte diputados, no me parece que nos hallamos mún, y de ningún modo individualmente, y l…</t>
  </si>
  <si>
    <t>Clemencin</t>
  </si>
  <si>
    <t>…-Habiendo salido el ministro, pidió el Sr. Vanceller que y Traver; y en lugar del Sr. Gaseo, que se hallaba ausente* se hiciese mención de esto en la exposición á S. M.; y asi al Sr. Clemencin. se acordó Se pasó oficio al Sr. secretario de Estado y del Despa se volvió á continuar la discusión sobre la libertad de cho de Gracia y Jjtiricia para que S. M. señalase la hora imprenta, y hablaron con energía muchos señores diputados en que había de recib…</t>
  </si>
  <si>
    <t>…Este pueblo sigue la secta otomana de Malek , que es sumamente Cortes en sus legislaturas anteriores. rigorosa. Las santas escrituras de los cristianos son conocidas en Fezza. El Sr. Clemencin contestó diciendo que la comisión ya habia da Gustan mucho del Nuevo Testamento; pero Jes incomoda que se llame do cuenta á las Cortes de las observaciones que el Gobierno le habia en él Hijo de Dios á Jesucristo. Acusan á S. Pablo de haber falsifi dirigido,…</t>
  </si>
  <si>
    <t>…provincia de Aragón no debía pasar de cinco partidos; y ahora ha proponer cuatro-clases de provincias. ( visto ei Congreso que S. S. propone seis ; de suerte que desde entonces El Sr. Clemencin, abundando en las mismas ideas que el Sr. pre opinante, apoyó el dictamen de la comisión, manifestando que había Iba aumentado un partido mas' en dicha provincia. El Sr. López ( D- Marcial ) dijo-. Yo también he sido uno de lo* creido ser muy útil, como se de…</t>
  </si>
  <si>
    <t>…recursos de la industria, compensándose unos con otros, cusión , y volviese el dictamen a la comisión. tomándose por el valor real del suelo su extensión , la industria por el El Sr. Clemencin dijo: entre los reparos que pudieran hacerse á la territorio; pero conviniendo desde luego en que es sumamente necesaria comisión de División del territorio no podía ciertamente hacerse uno esta igualdad política: veo, dijo, que la comisión no ha tenido todos…</t>
  </si>
  <si>
    <t>…on. premo, prueba que su existencia puede y debe ponerse por base cons arreglo álo que dejaba manifestado. titucional de toda sociedad, la cual tiene derecho para exigir de sus El Sr. Clemencin como individuo de la comisión dijo: El Sr. pre individuos una religión..Examínanse los derechos de la sociedad sobre, opinante acaba de reproducir una porción de reparos, qué hubieran sido ella, y.se trata con maestría de la autoridad sobre las opiniones y de…</t>
  </si>
  <si>
    <t>…e baldíos , porque la diputación provincial no puede tener un como se nos quiere hacer creer. total conocimiento de aquellos habitantes, abandonándose de este mo Por otra parte el Sr. Clemencin ha dicho que nuestra situación con do dichos baldíos, que podrían producir muchos millones. Contrayénrespecto á este punto es la misma que en Francia; y yo digo que no, dome al número de provincias en que debe dividirse la de que estoy que en Francia no hay m…</t>
  </si>
  <si>
    <t>…jurar y tomó asiento un Sr. diputado , y después de haber Cataluña , cuando de aquella se provee de granos, carne, madera y de contestado ¿1 Sr.Cortés ¿ algunas equivocaciones del Sr. Clemencin , di 'todo lo mas útil? Castellón puede ser una población rica; pero en Sé- jo el Sr. presidente que se suspendía esta discusión para continuarla en • nórve puede aumentarse mucho la población; y por lo mismo, insis la sesión de mañana ; y se levantó la de es…</t>
  </si>
  <si>
    <t>…aque En la provincia de Aragón: para la judicatura del partido de Cin llos pueblos , cuidaría de sus intereses. co Villas á D. Mariano Beaumont y Bretón; y para la del de CantaEl Sr. Clemencin dijo: La comisión há oído lo que ha dicho el vieja á D. Juan Manuel Lafuente. Sr. Banquéri sobre la aprobación de las bases, y no puede menos de En la provincia de Extremadura: para el juzgado de Valencia de poner en consideración del Congreso qüe ya tiene ma…</t>
  </si>
  <si>
    <t>…o se les quite este nombre i ias demas: llá orden no debia considerarse de la manera que lo habia manifestado el mese provincia de Aragón septentrional lu de Huesca, meridional la Sr. Clemencin, apoyándose en ia Constitución, pues las. circunstan-: de Teruel , oriental la de Zaragoza, y occidental la de &lt; alatayud , pues ,cias sn que se discutió esta eran muy críticas para la Nación , que esta de lo contrario podrían disgustarse algunos pueblos ; y…</t>
  </si>
  <si>
    <t>…de las con de Avila de su existencia, cuando por otra parte la aspereza de sus tribuciones de los pueblos .^resultó que la de Avila habia cumplido sierras, según manifestó ayer el Sr. Clemencin, hace casi imposible mejor que muchas de las grandes. Asi que resumiendo mi opinión de en el invierno la comunicación de esta con otra provincia! Obligar bo decir que esta es , que Avila sea provincia. pues á los naturales de la provincia de Avila á transitar…</t>
  </si>
  <si>
    <t>…o nr¡ opinión con respecto á den transitar-Carruages. lf provincia que se discute, digo que no debe aprobarse. Por consiguiente una sola diputación provincial y un solo gefe po El Sr. Clemencin dijo: Aquí está todo el expediente que habia en lítico pueden atender á la exigencia y necesidad de todos aquellos pue la secretaría dé la Gobernación, relativo á la división del territorio. blos. La provincia de Teruel tiene un establecimiento público, una c…</t>
  </si>
  <si>
    <t>…dad con respecto á la capital que habían contrayéndose solo al objeto de la discusión, iba i apoyar el dictamen tenido las islas Canarias. de Ja comisión en todas sus partes. ■ El Sr. Clemencin manifestó que en efecto el gefe político de Cana Manifestó en seguida que la isla de Tenerife no solo era la mayor rias habia representado al Gobierno, recordando otro informe del año y mas poblada de las Canarias, sino Ja mas rica é industriosa, con fon de 1…</t>
  </si>
  <si>
    <t>…o ha dir á una ú á otra; pero los demas todos están mas cérea de 'Badajoz:: estad» hasta aqui. •• • . .... examínese ademas la-mayor facilidad qué hay en ir á Badajoz que ■' no El Sr. Clemencin satisfizo á algunas observaciones del Sr. Rodrt- á Mérida, porque en cierta parte del - año -están’los caminos á esta úl ’giiez de Ledesma.’ ; tima ciudad mu'cho mas expeditas y fáciles dé transitar. ' n ~ 'El Sr. Calatrava dijo; Aunque estaba resuelto á no h…</t>
  </si>
  <si>
    <t>…n esta ocasión, aunque no se verificase hasta de golpe terrible si se aprueba el dictamen de la comisión. aqui á dos ó tres años. Los habitantes de Galicia conocen las ventajas El Sr. Clemencin dijo: Me ceñiré principalmente ai fondo de la dis que pueden resultarles en todos los negocios; todo lo que sea aumentar cusión. La comisión lia señalado á Guadalajara como xtapilal de la pro gastos se presenta en aquella provincia con el mayor dolor, lo mism…</t>
  </si>
  <si>
    <t>…que por esto se hubiese conseguido esa segundad que de la provincia , y si digo que está fuera no miento. tanto se desea para que se consigan los beneficios de una buena gober El Sr. Clemencin manifestó que podria haber alguna equivocación nación; porque repito que es necesario atender á la irregularidad de la con respecto á un mapa , lo que no se verificaría con relación al otro. figura de la provincia cuya discusión ocupa hoy al Congreso. Prosigu…</t>
  </si>
  <si>
    <t>…, que dijo haber pade peor. Si es mejor, concédanos que disfrutemos de su misma suerte £ y si cido el Sr.'preojrinán'te.''' .... . ’ es peor^/ sean ellos^ iguales ¿ nosotros. ' El Sr. Clemencin dijo: La comisión de las Cortes ha propuesto £* Este argumento hscián tácitamente los habitantes-de la corona de * hs misnnjs que de las tres provincias Vascongadas sé formen dos; la una ; Castilla; y no siendo posible que se les hubiera dado á éstos una Gons…</t>
  </si>
  <si>
    <t>Clemenciñ</t>
  </si>
  <si>
    <t>…partes se ha cumplido con ella y en otras no: ia Constitución nos pone su capital-Chinchilla. 1 . . .. .. á todos en un estado de igualdad ; y s¡: algunas de las autoridades no El Sr. Clemenciñ dijó : En-la sesion;de ayer uno de mis compañe han cumplido, ó han seguido la rutina antigua de obedezco',- péró "coh‘- ros, de los mas respetables1 por:su conocido ámbráfa justicia, y por los salto, quiero que se digan los motivos, lía visto con asombró" rjú…</t>
  </si>
  <si>
    <t>…es las de quienes está encargada la observancia de las leves, no han llevado í Chinchilla. debido efecto una dictada por las Cortes, y por la cual se manda que El Sr. Bernabeu: El Sr. Clemencin ha manifestado que yo dijeque en el término de dos meses se saquen ios nuevos quintos de las respec para dar la preferencia á Albacete solo ss necesitaban ojos, imparcia tivas provincias. Bajo este principio debe resolverse antes la cuestión lidad y amor á la…</t>
  </si>
  <si>
    <t>…os quiete bía ser Ponferrada, por concurrir allí todas las circunstancias nece añadir otra muy considerable. sarias que exigía la comisión, y pe' su mayor seguridad respecto i F.l Sr. Clemencin , opon endose á lo que yo habia.dicho, que las Villafranca, pues esfa población está expuesta á las aguas, que á veces Cortes habian determinado se estableciese una universidad en cada pro hacen estragos. Después de una corta discusión se aprobó la capital vi…</t>
  </si>
  <si>
    <t>…una ú la ciudad de las Palmas. :YT por qué motivo: Porque allí ha residido otra población para capital. desde los principios el tribunal superior, y que allí está la autoridad El Sr. Clemencin dijo que la comisión en sus dictámenes ha dis superior de las islas. De esto 110 se trata. ¡Acaso la residencia de ia au tinguido dos épocas, que se debian tener presentes: i.' La anterior al toridad judicial fija de ninguna manera la capitalidad política: ;N…</t>
  </si>
  <si>
    <t>…s en los mismos víveres á Sta. Cruz ds Tenerife. términos que lo ha lucho con re,pecio á las dimas provincias. ■ Ya ha dicho el Sr. Quiroga que no debemos proceder en la aproba El Sr. Clemencin dijo: El Sr. Calatrava ha reconvenido á la comi ción de esta capital sin conocimiento da lo que diga la diputación pro sión de que teniendo á su disposición la representación del gefe políti vincial , pa'a lo cual se la deberá pedir informe; es preciso que es…</t>
  </si>
  <si>
    <t>…o lo demas que en ciada suerte que sufrió en la última guerra. la actualidad disfruten los vecinos respectivos. La disolución de las Cortes ordinarias fue fatal para toda la Na El Sr. Clemenciñ dijo que le parecía que no habia necesidad de ex ción; pero aun mas para la plaza de S. Sebastian, poique iba á lograr presar una cosa tan obvia, pues del mismo modo que la propiedad de una remuneración de Jos sacrificios qus habla sufrido. r*ero aquel tiem u…</t>
  </si>
  <si>
    <t>…pimoa Clemencin y San Miguel , no se aprobó el artículo referido. era que se clasificasen según las capitales. El Sr. Navas pidió que la comisión propusiese otro artículo en su £1 Sr. Clemencin dijo que iba á exponer los motivos que la comi lugar, que pudiese subvenir á todos los casos que se habían referido en sión ha tenido para hacer esta división. La comisión ha~ entendido que la discusión, á cuyo fin hizo la siguiente proposición , que fue apro…</t>
  </si>
  <si>
    <t>Cleméncin</t>
  </si>
  <si>
    <t>…es de límites debian pasar á la comisión , sin que- se leyeran ni se El Rey, á consulta del consejó'dé Estado , se Ha servido nombras admitieran a discusión , á lo que se opuso el Sr. Cleméncin , exponien,r para plazas dé. jueces de primera.Instancia.á los sugetos siguientes: do que la comisión no podía hacer mérito de ellas si antes no se ad En la provincia de Toledo: para el partido de la capital á Don mitían á discusión , y se mandaban pasar á la…</t>
  </si>
  <si>
    <t>…r el número de ios individuos que constituyen las diputaciones vo plan de hacienda no tienen mucho que hacer. provinciales; y muy al contrario, tengo entendido que el motivo de Ei Sr. Clemencin: La comisión no ha hecho sino tornar los mis poner el art. 326 fue por si acaso se habían de aumentar. La objeción mos términos que se expresan en el art. 326, que dice que la dipu que ha querido poner el Sr. Sánchez Salvador por un efecto de su zelo, tación…</t>
  </si>
  <si>
    <t>J&lt;Z&gt;¡ La comisión dics'qiie rio ha podido presentarla tal cual era nece El Sr. Clemencin dijo, que ía comisión a! tomar-sobre sus .hom sario. fuese; y ahora limita á curios puntos ios informes de las dipu bros Espesada carga que le. hablan impuesto las Cortes no habia de taciones provinciales; en fin quiere-que nada se proponga que pueda jado de…</t>
  </si>
  <si>
    <t>…r estas razones creo que las Cortes deben lo que iba á proponer, por cuyo motivo me abstengo de hacerlo yo. tomar eri consideración esta proposición,: » Habiendo sometido el Go El Sr. Clemencin, después de haber contestado á algunas obje bierno á la deliberación de las Cortes extraordinarias el proyecto de di ciones que se habían hecho anteriormente , manifestó que este artí visión del territorio español, y resultando de él un aumento de gastos culo…</t>
  </si>
  <si>
    <t>…cias para el buen orden de la parte administrativa de lo pondrá en egecucion de la manera que mas convenga.” la nueva división del territorio español, proponga lo que tenga por El Sr. Clemencin manifestó que por su parte no hallaba inconve conveniente en la parte económica. niente en que se pusiese del modo que habia indicado el Sr. preopi Se mandó pasar á I3 comisión otra proposición del Sr. Castrillo, nante. concebida en estos términos: » Pido á l…</t>
  </si>
  <si>
    <t>…la salud pública: que la ha tución podían haberle dado la preferencia en lugar de haber adoptado bilitación de los empleados en el resguardo antiguo para este objeto el de 97. El Sr. Clemencin contestó que este censo estaba formado por tampoco es contraria'á las disposiciones de tas Cortes que extinguen el 1 una comisión que lo presentó al Gobierno en el mes de Marzo ó Abril resguardo, sino como unos empleados que sostiene la Nación, y par* del año…</t>
  </si>
  <si>
    <t>…eles inclusive arriba cuando sean llamados á declarar han de concur diputación pr viudal correspondiente. rir á casa del juez ó á casa del comandante general ó gobernador: otró El Sr. Clemencin cijo que ta intención de las Cortes era seguramen oficio del mismo Sr. secretario, manifestando las dudas que ocurren en te querer buscar el acierto; y que animadas de este deseo habían man cuanto á dar cumplimiento á la orden que concede las cruces laurea da…</t>
  </si>
  <si>
    <t>…atar déla división del ter que la haya , atacando al proyecto en su totalidad, sino cuando se tra ritorio. te de este articulo, exponiéndose entonces todas las razones en pro y El Sr. Clemencin di jó que el Sr. Cortés habia impugnado á la comi en contra que tengan á bien los Sres. diputados. Lo mismo digo con sión , apoyándose en el art. 140 de la Constitución y 109 y 112 del re respecto á las reflexiones que hizo ayer el Sr. D. Marcial López. Uta g…</t>
  </si>
  <si>
    <t>…el supuesto de que la Puert» y secretario-mas antiguo ,-quedó nombrado presidente; en primer escru no tiene derecho á nuestros socorros bajo las relaciones de justicia y tinio el Sr. Clemencin por 89 votos de 132 , repartiéndose dos restan humanidad. tes en esta forma: 18 á favor del-Sr, Castañeda , . 9 del.br. Sancho ;' 5 de RRANCIA. cada uno de los ores. Giraldoy Navarro ( D.-Felipe) yy uno respecti vamente á favor de los Sres. Muñoz. Torrero j F…</t>
  </si>
  <si>
    <t>…dose ¿ él la aduana de Cumacao, y asi otros cuatro puertos da hombres elevados al poder supremo. cuarta clase en la misma isla. Se mandó insertar en el acta el voto particular del Sr. Clemencin, NOTICIAS DE ESPAÑA. contrarío á la aprobación de los gastos del gobierno superior político de las provincias. Cádiz 21 de Diciembre. No se admitió i discusión una proposición deí Sr. Torres, relativa La Junta municipal del Puerto de Sta. María , en vista de…</t>
  </si>
  <si>
    <t>…ejando á Pozuel, Bardal va y Embid debian agregar á la provincia de Burgos las merindades que hasta ahora en esta provincia. habían pertenecido á Santander ; á lo cual contestó el Sr. Clemencin, Quedaron aprobados. exponiendo las razones ch que se habla fundado la comisión para pro Límites tic la provincia de Castellón. poner que los límites de la provincia de Búrgos fuesen los que se dis Esta provincia confina por'el N. con las de Aragón y Tarragon…</t>
  </si>
  <si>
    <t>Clemencin, Diego</t>
  </si>
  <si>
    <t>Diego Clemencin</t>
  </si>
  <si>
    <t>…y en los claros que dejen algunos un cuaderno en 4.0 marquilla-----Elogio de la Reina Católica Doña á su conclusión se pondrán adornos alusivos igualmente á su objeto. Isabel: por D. Diego Clemencin: un-cuaderno en 4.0 marquilla___ La forma de la letra se ha elegido cursiva, pero la mas clara y her Memoria sobre las diversiones públicas: por D. Gaspar de Jovellanos: mosa para ei efecto , proporcionando el tamaño que sea muy legible; la un cuaderno en 8.°…</t>
  </si>
  <si>
    <t>Cleméncín-dijo’</t>
  </si>
  <si>
    <t>…na ; y se levantó la de este dia á las dos y media. tiendo en los principios que he establecido, no puedo convenir en lo ANUNCIOS. que propone la comisión acerca de este punto. Él Sr. Cleméncín-dijo’: La comisión queda agradecida á la exactitud Se ha extraviado un documento de crédito del Estado, con el nú de'algunas de las .id.eas'propuestas por el Sr. Cortés ; pero al mismo tiem- mero 334,.reconocido bajo el número 10,99/ con la letra A en la “po es men…</t>
  </si>
  <si>
    <t>Clemencitt</t>
  </si>
  <si>
    <t>…és de bxplicar. las ventajas qúe la comisión:refonaciá en viese;á la comisión. -t, r . , , ,„ ¡ . , su discurso preliminar,,á fa.v.or de Albacete,-explipaba ótrasdé que no' . ; El Sr. Clemencitt dijo que la ¡resplncion que habian tomado la»; se .hablaba en el dictamen; .¡de la comitiou , cuales son el téner cuatro Cortes, ponia á la comis¡.o.n en la mayor perplejidad , pues no sabia si- posadas,; una.cárcel.itepácjQsa. ,y .segura ^;dos. salas .capitu…</t>
  </si>
  <si>
    <t>Clemenoin</t>
  </si>
  <si>
    <t>…rca de Jo tiene toda la provincia, tanto por lo que respecta á la introducción y todas las demas provincias. extracción de manufacturas, cuanto por io que toca á ia prosperidad Ei Sr. Clemenoin dijo que los conocimientos de los Sres. diputados de las fábricas &amp;c. En este puerto se reúne la ventaja de que la Ha relativos á este asunto serian mayores con respecto á las provincias que cienda pública puede tener sus autoridades to mas próximo posible pa…</t>
  </si>
  <si>
    <t>Clemente, Rojas</t>
  </si>
  <si>
    <t>Rojas Clemente</t>
  </si>
  <si>
    <t>…as Flores y del In tomo 4.0 gerto, de D. Esteban y D. Claudio Boutelou; el Ensayo sobre Ja vid de Los suscriptores á la obra Elocuencia militar ó Arte de entusiasmar Andalucía dei Sr. Rojas Clemente;el del To.aldo , meténologia apli y mover á las tropas, traducida al castellano por el teniente coronel cada á ia agricultura, y las lecciones de Botánica del Sr. Cavaniiles; y D. Josef María Paniagua, acudirán i la librería (te Matute, y en las al 2.’ la obr…</t>
  </si>
  <si>
    <t>Clemente, Sebastian</t>
  </si>
  <si>
    <t>Sebastian Clemente</t>
  </si>
  <si>
    <t>…inarios; pero todavía Jo es tan cía de Toro; D. Pablo Montesino, médico. mas, que después de haberse tomado tantas medidas no se haya resta Suplentes. D. Basilio Neira, hacendado. D. Sebastian Clemente blecido la tranquilidad pública. Moreno . abogado. Por Vatladolid. D. Evaristo Perez de Castro , ex-ministro de Es IRAN CIA. tado; y D. Miguel López Baños, mariscal de campo y comandante ge neral de la provincia de.......... Suplente. Parts 34 de Noviembre. P…</t>
  </si>
  <si>
    <t>Clepesar</t>
  </si>
  <si>
    <t>…a; para la de Salud pública al Sr. del Rio, en los preparativos para recibirle, sino á París por el mes de Noviembre,á lugar del Sr. Alaman, y para la de División de territqrjo al Sr. Clepesar del misterio con que se procura encubrir este proyecto. inencm. n Una carta de Zante, su fecha 15 de Setiembre , dice que un oficiaL Se dió cuenta de una solicitud dei ayuntamiento constitucional de napolitano , llamado Pas mo, á la cabeza de un cuerpo numero…</t>
  </si>
  <si>
    <t>Cletucucm</t>
  </si>
  <si>
    <t>…da» ficacion-. añadiendo que ern lan en el número primero d i apind ce que acompióa i este decreto.” ofensiva i la igualdad que establece el sistema -onst.tucsor.a! , porque a El Sr. Cletucucm dqo . Bata concluir el catalogo de Ui provincias «1 Ic ofendería que le dijesen que e» de provincia de cuarta clase, lo</t>
  </si>
  <si>
    <t>Cliabarino, Josef</t>
  </si>
  <si>
    <t>Josef Cliabarino</t>
  </si>
  <si>
    <t>…úmero de do la letra de la Constitución) (1) en soberanía del pueblo, sin aña- la misma D. Ramón García Jiménez, se ha mandado citar v empla zar , cofno por el presente se hace, á D. Josef Cliabarino , hijo de Don (r) En todo el discurso de la Constitución no se encuentra ni una Josef Chabarino y Villareal, cuyo paradero se ignora , para que en el sola vez la palabra pueblo, sino que dice asi: La religión de la Nación término de 30 diasque al efecto se le…</t>
  </si>
  <si>
    <t>Clifton</t>
  </si>
  <si>
    <t>…arrowby había dejado sú des cionales no se difiera un momento mas allá del plazo señalatino de presidente del consejo. do, y deseando el Gobierno que luego que se hallen en Lis El lord Clifton ha rehusado presentar al Rey la repre boa los dos tercios de los Sres. diputados se dé principio á sentación que votó últimamente la corporación de Cantor- las sesiones , se recomienda por medio de este periódico á bery. S. S. es uno de los diputados del Parl…</t>
  </si>
  <si>
    <t>Climent</t>
  </si>
  <si>
    <t>…S. Paciano á 20 rs., y á 8 las instrucciones sobre el sacramento del ma dentro de Cotrstantinopla el turbante que el capelo , y fueron causa de trimonio, que por encargo del limo. Sr. Climent tradujo la Exenta, sela ruina de su triste patria. Los conenantarios de Escocia del siglo xvir, ñoja condesa del Montijo. bajo la capa-.de la religión que ellos se preciaban de defender con un Tratado histórico y fisiológico sobre la generación , el hombre ,y…</t>
  </si>
  <si>
    <t>Climent, Pascual</t>
  </si>
  <si>
    <t>Pascual Climent</t>
  </si>
  <si>
    <t>…do en el art. 2.0” Se aprobó. Aragón, D. Agustín Muñoz y D. Bartolomé Caballero: tenientes Don Se leyeron y aprobaron los arts. 7.0 y 8.°, que son como sigue-- Francisco Guerrero, D. Pascual Climent, D. Juan Sta. María y Don 7. » Se exceptúan de la anterior disposición las encomiendas, pensio Federico Vera: subtenientes D. Salvador Villagrá , D. Vicente Castro, nes y diezmos aplicados á la universidad de Cuimbra y á los estableci D- Francisco Lemes, D. V…</t>
  </si>
  <si>
    <t>Clüiivsrici.’i</t>
  </si>
  <si>
    <t>…provincias que nombrasen dos diputados , e.l gefe po.ití.o 5 }¿) cias (ornarán el carácter de nuevas. rs., el secretario 153, él oficial 1.' io‘3. Gano» de oficíales y svcict.»El Sr. Clüiivsrici.’i dijo que las provincias nuevas eran las designadas ría 39©, sin entrar en este cálculo los sueldos de! gobierno político de en esta división. , Madrid, que opinó debían ser mayores ; cuyo cálcalo dijo que presen taha El Sr. Romero Alpuente expuso que esto era…</t>
  </si>
  <si>
    <t>CMderon</t>
  </si>
  <si>
    <t>…nuncia fuese declarada falsa ó calumniosa , oyendo previamente al gasca en el artículo que citamos, nos parece igualmente un error su « denunciador; ” pero habiendo conrcstado el Sr. CMderon que asi 54 mamente perjudicial aconsejar un remedio proscrito por todas las obser entendía , quedó aprobado el artículo conforme estaba. SUPLEMENTO</t>
  </si>
  <si>
    <t>Co, Josef Francisco</t>
  </si>
  <si>
    <t>Josef Francisco Co</t>
  </si>
  <si>
    <t>…de aquel alcalde primero copstituci' na!, y pedia se declarase andaba errante por varios pjrages, por cuyo motivo le parecía injusta haber ¡upar á la formación de causa, y otra de D. Josef Francisco Co dicha declaración; y que cuando se declarase á Ja provincia de Bú;gos llado, vecino de Santiago de Cuba, quejándose del gobernador de aque en estado de bloqueo, debería hacerse solamente respecto de aquellos lla plaza. • distritos ó pueblos que permitiesen en…</t>
  </si>
  <si>
    <t>Co-</t>
  </si>
  <si>
    <t>…su patria y que están mezclados en semejante negocio.” de su Rey, levantarse contra su noble resolución de ser libres é inde — En una carta del Callao de 8 de Abril se dice que el lord Co- pendientes , la dañada maledicencia, el cruel sarcasmo y la vil intriga. chrane había enviado t* mitad oe su escuadra a loo millas de distancia El augusto Congreso nacional tuvo por enemigos, no solamente á las á la parte del sur, con 600 hombres de tropa-, c…</t>
  </si>
  <si>
    <t>Coaineno, Alejo</t>
  </si>
  <si>
    <t>Alejo Coaineno</t>
  </si>
  <si>
    <t>…barrios apar La nota dirigida á los diarios de Lien sobre haber escrito una carta tados y de las cercanías de la ciudad buscaban ¿ ¡os heridos pura saber eL Emperador de Rusia al príncipe Alejo Coaineno , descendiente de si entre ellos habia algún amigo ó pariente, y fueron á los hospitales; Jos Emperadores de Oriente'-, ha sido comunicada también al diario de pero supieron que los habían sacado de allí. Saboya que se publica en Chambery. El pueblo, procuran…</t>
  </si>
  <si>
    <t>Cochrane</t>
  </si>
  <si>
    <t>…ndante ha adoptado hasta en el egército ruso como, un,medio seguro dicho, aunque reservadamente, que el pirata aventurero de propagar la instrucción. Los redentoristaf tienen gran lord Cochrane habia sido batido por 'nuestras fuerzas na favor en ciertos países, y el zelo de los ricos pone á su dis. vales , y Sanmartín fue enteramente dei’rotado á tres le posición no pocos caudales. ... guas de Pisco por 11® hombres de Lima. Esperamos con ansia ver c…</t>
  </si>
  <si>
    <t>…tan opuestas á la independencia de toda contienda con la madre patria; y no creemos que las. las colonias como sus antecesores; tendrán probablemente capitulaciones hechas con el lord Cochrane merezcan nom mayores recursos militares para emplearlos en impedir, sai brarse en esta ocasión. Venezuela pues y Granada son consolidación; gozarán para este fin de un influjo moral las únicas colonias de qué se puede tratar en cuanto á su muy superior al que…</t>
  </si>
  <si>
    <t>…Paris se presentará un regalo corres ralda al abordage por los botes de la escuadra, mandados en persona pondiente á S. A. R. la duquesa de Berry para el duque de Burdeos. por el lord Cochrane, igualmente que dos lanchas cañoneras, una de seis Los convidados á esta función deberán ir vestidos de ceremonia. cañones, y otra con una carroñada. El lord Cochrane recibió una herida Se colocarán varios trípodes con vasos de fuego á lo largo de los de bala…</t>
  </si>
  <si>
    <t>…mismo pun ce se propone aguardar al ejército de Lima, cuya vanguardia se hallaba to todos los movimientos: Alejandro Ipsilanti estaba reconocido como en el primer punto. Dicen que lord Cochrane se preparaba ¿ un ataque el gefe general del gobierno (jenikos epitioyoitis archir'); pero su larga recio contra el Callao por mar y tierra, á cuyo efecto se embarcaban distancia del punto en que debía hacerse los movimientos mas impor tropas en Huacho á bord…</t>
  </si>
  <si>
    <t>…. La contrarevolucion que, según se asegura , se prepara indudable PRUStA. mente en Chile á favor de la Constitución española , pone a ¡as tropas de' San Martin y á la escuadra de lord Cochrane en una situación peiigrosa.Berlitt 24 de Julio. Uno de los comisionados del Gobierno español ha tenido con Nní El doctor Siemerling que ha curado a su esposa y á otras varias per Martin una conferencia, cuyo resultado se ignara. Dícesc que él comi sonas de. l…</t>
  </si>
  <si>
    <t>…isparó un pistoletazo con tan buena puntería, que hirió á uno de los dos desgraciados que perecie LtSndres de Agosto. ron. (Morning-Chr onicle.) Segun una gaceta de Nueva-Torck el lord Cochrane, después de __Ha llegado de Alejandría el transporte Disf.scht, que trae á bor haber anainctado mil veces que iba á tomar á Lima, se cansa ya del do varios fragmentos de antigüedades, descubiertos en Egipto por Beloficio de pirata, al cual se halla reducido,…</t>
  </si>
  <si>
    <t>…ue el con 3© hombres; 4© hay en el Cuzco , y 2© én lo1 restante del pais. consejo de Regencia desde que se instaló nunca ha ignorado la cruel El Gobierno disidente ha incomodado á lord Cochrane de tal censura y murmuración con que han querido denigrarle los maldicien manera, que sin embargo de que'este'deseaba posponer toda c&gt;ns¡- tes, los partidarios de los franceses, y los pretendientes resentidos de no deracion personal, con todo resolvió hacer •…</t>
  </si>
  <si>
    <t>1453</t>
  </si>
  <si>
    <t>…ondres no conocer dicho bloqueo, como tampoco que haya existido nunca.” ’‘ contienen cosa alguna particular: Lo mismo sucede con los de Francia, A consecuencia de esta declaración lord Cochrane se verá proba qne se emplean en griegos y turcos; aunque Ja gaceta de Francia no blemente en lá precisión de levantar el bloqueo, 6 al menos en la de 'deja de la mano á la España, para manifestar al mundo los delirios de limitarlo á los puntos bloqueados verd…</t>
  </si>
  <si>
    <t>…a se dirigen principalmente contra, la pre — La Inglaterra está muy en peligro de una guerra marítima con el eminencia de la jurisdicción del Soberano Pontífice, se re especialmen almirante Cochrane. He aqui lo que dicen lás cartas de Buenos*Aires, te obligado S. S,._ i pedir , puesto;que se reclama su sanción, que se fechas 7 de Julio. rectifiquen las palabras.que atribuyen fi los obispos el gobierno de la n El comnodoro sir Tomas Hardy ha tomado por úl…</t>
  </si>
  <si>
    <t>…ente. ción, s sobre la división territorial y sobre la planta de las secretarias del Si esto es cierto , y ya no si duda, hay fundados motivos de creer . gobierno político. míe el lord Cochrane habrá tenido que levantar el bloqueo de Lima, mencren 6 I aí Cortes recibieron con agrado, y mandaren se hiciese lo cual se hace todavía mas probable por la siguiente carta , escrita en eí acta de una exposición del ge fe político y diputación provincial por…</t>
  </si>
  <si>
    <t>Cocoininas</t>
  </si>
  <si>
    <t>…ngan descargo insuperables que se presentaban á primera vista. Aprobado de sumas ó valores de cosas muebles. Se leyó el dictamen de la comisión de Guerra acerca de la solicir ] El Sr. Cocoininas opuso algunas dificultades á la aprob :c"-ti Jo la tud de Doña María Josefa Travet, vitída del terilefilc corónelo. “Jóá- "tirita" que "'se insetta ; y habiendo pedido áigaocí Síes üípuV.dés ex-</t>
  </si>
  <si>
    <t>Codina, Josef</t>
  </si>
  <si>
    <t>Josef Codina</t>
  </si>
  <si>
    <t>…e Esco En ia fro-vincia Je Valencia. Para las seis judicaturas de la capi lapios, de S. Fernando y de S. Antonio Abad ; y de Clérigos menores, tal y su partido á D. Josef Vilella, D. Josef Codina, D. Mareo Mi del Espíritu Santo. Se suprimen los de Dominicos de la Pasión, cuyos randa, D. Andrés Soler, D. Vicente Fernandez Villegas y D. Tomas religiosos se trasladarán al convento de la misma orden én Ocaña; y Liñan. los de Sto. Tomas y del Rosario, y su…</t>
  </si>
  <si>
    <t>Cofetla</t>
  </si>
  <si>
    <t>…odrán cuales se hallan comprendidos , según se dice , el ex-presidente Bofellij resistir 3 ips tiranos del mundo; pero si el nobl.e marques no se dá el ex-ministro de Justicia, el-general Cofetla , el general Petrinelli,que priesa á tomar ést?, medidas , más tarde va no.será tiempo. ■fue gobernador de Ñapóles &gt; y el general Vairo.! • Es verdad que la Rusia y el Austria podran-disculparse , recordan . Todavía está aquí la; escifádriltá-francesa-, - v-m…</t>
  </si>
  <si>
    <t>Coffin</t>
  </si>
  <si>
    <t>…s manos fieles la dirección de los ne el Rey d e Francia y por S. M. el Emperador de Austria, del brigadier gocios relativos á este ramo. Continuad como hasta aquí dedicando ¿ él. general Coffin, segundo comandante de las tropas, de los Sres. lomas vuestras tareas, cuyos resultado* son tan beneficiosos para vuestros con JÉ. Beooke y Tomas Greentree, individuos del consejo del gobierno de la isla, y de los capitanes Brown, Hendry y Marryal, dala mari…</t>
  </si>
  <si>
    <t>…por mi parte que inas quiero ha los oficiales dé marina y del estado mayor; los individuos’ del consejo; ber-elogiado á la España regenerada que á la inquisición destruida. :Y el general Coffin; el marques de Montchérru; el almirante y el gober qué no es arriesgado provocar á una nación que tiene' medios para jil nador ; Lady Lowe y su hija, de luto rigoroso, en un coche cerrado; eemos mal én el dilatado espacio de Í 50 leguas dé frontera! Esla es l…</t>
  </si>
  <si>
    <t>Coichester</t>
  </si>
  <si>
    <t>…de haber gratificado Zeid con discurso del último orador de la Cántara de los Comunes, que última too pesos al correo de los cónsules. mente ha ascendido á Par , con el título de lord Coichester. El tribu- » Es cieno empero que entre Muley Solimán y Zeid ha habido al sal no aprobó esta defensa) y uno de Los jueces dijo que lo que se de gunos choques durante los ocho últimos dias-, y aunque no puedo decir</t>
  </si>
  <si>
    <t>Coiombo, Felipe</t>
  </si>
  <si>
    <t>Felipe Coiombo</t>
  </si>
  <si>
    <t>…ca de esto , penetrado mi palos y 18 cañones, llamada-la Leona , con bandera de Artigas. .Di corazón de los mismos sentimientos que animan el suyo, que cuanto chas personas son el capitán D. Felipe Coiombo, tripulación v pasage-</t>
  </si>
  <si>
    <t>Cojareni</t>
  </si>
  <si>
    <t>…documentos presentados espera , si deben ó no. permanecer en!el- egército, y en el por el miñisterio de la Justicia. . -,caso de;haber de volver á su pais, qué indemnización se El Sr. Cojareni dió parte de una carra escrita por el Ies concederá. La junta ha respondido, que su suero: no po embajador ingles al ministerio de Estado, en la cual .insta día decidirse sino por las Cortes que se reunirán el 6 de ba por la pronta decisión del-Parlamento res…</t>
  </si>
  <si>
    <t>Col</t>
  </si>
  <si>
    <t>…augusto Congreso, de Laibach. será importantísima-para extraordinario júbilo,.quedando, todo en el mayor silencio. toda.la península de Italia,- y queja paz. general.y jainter El Sr. Col^jjeri ley ó. una exposición de S. M. al Parla gridád de nuestro país., serán phjetosl.que llamarán; en¡ siunp mento^{-véase ía, citada, gaceta). Concluida esta lectura gradó la atención de los Soberanos que.estan próximos g.rs-, decretó este que no se volvies…</t>
  </si>
  <si>
    <t>Colaneri</t>
  </si>
  <si>
    <t>…os peinas derechos legítimos de todos los individuos aquella clase inútil v perniciosa que se entrega á la holga zanería con grave detrimento de Id sociedad. que la componen. : El Sr. Colaneri leyó úna representación del general CAPITULO II. Pepé sobre la organización de la guardia nacional. Este ge De los nacionales del reinos-unido de las Dos Sicilias• neral creía que era inoportuna, en atención á la.situación Art. 5 Son nacionales del reino-unid…</t>
  </si>
  <si>
    <t>Coll</t>
  </si>
  <si>
    <t>…la for la Independencia, de 14 carroñadas, y un obús girativo á proa de 48, tuna de encontrar en lo interior de una de las grandes pirámides de y 130 hombres de tripulación , cuyo capitán Coll con ití marineros y Egipto úna momia , cuya cabeza, manos y pies estaban dorados; y que cuatro pasageros los trasladaron el día 3 á la corbeta francesa la Union, su presume será el cadáver de un antiguo Rey de Egipt 1. Con este hecho capitán Jardeloux ( li. a…</t>
  </si>
  <si>
    <t>Coll, Francisco</t>
  </si>
  <si>
    <t>Francisco Coll</t>
  </si>
  <si>
    <t>…del Rhin eran con ha sido apresada á tres leguas al Oeste del cabo de Trafalgar la goleta con respecto de Bonaparte? Con la diferencia que Bonaparte era menos española Josefa, su capitán D. Francisco Coll, que hacia viage desde hipócrita, porque tenia mas confianza en su política y en sus fuerzas. Mallorca á Cádiz, en busca de convoy para dirigirse á Puerto-Cabello, El general prusiano Minutoii, que ha emprendido un nuevo viage cuyo apresamiento se ha verifica…</t>
  </si>
  <si>
    <t>Coll, Pedro</t>
  </si>
  <si>
    <t>Pedro Coll</t>
  </si>
  <si>
    <t>…ual , una comisión compuesta de tres diputados de su seno, encar 1803. - - gada de vigilar sobre la egecucion de todos los decretas relativos at A la de Hacienda una exposición de D. Pedro Coll, vecino dé Ol Crédito público y extinción de la deuda'nacional, y proponga á la3 medo , para que sé le rebaje la tercera parte del precio de im arrien Cortes todas las medidas convenientes cuando se suscitare algún obs do que hizo en 181,8; y otra de un vecin…</t>
  </si>
  <si>
    <t>Collado, Josef</t>
  </si>
  <si>
    <t>Josef Collado</t>
  </si>
  <si>
    <t>…os que vivan fuera del recinto de sus en Valencia en la tienda de D. Venancio Oliveres, y en Madrid en la parroqmas 110 pueden dar ni recibir votos en ias juntas electorales de de D. Josef Collado , á 16 rs. Las suscripciones se admiten hasta el gf las en que sean pastores, y sí-únicamente gocen de voto pasivo en las de Agosto próximo: pasada esta época la obra s« venderá á 40 rs. vn. EN LA IMPRENTA NACIONAL.</t>
  </si>
  <si>
    <t>Collado, Pedro</t>
  </si>
  <si>
    <t>Pedro Collado</t>
  </si>
  <si>
    <t>…n déla muerte del duque de Berri; el tribunal da con el camino que va á la casa asi Candeal, tierras de de los Pares continuaba sus deliberaciones sobre la conspi los herederos de D. Pedro Collado, del .convento de la ración del 19 de Agosto; la Cámara de los Diputados tuvo Merced y de D. Francisco Manzano, en 17,820 rs. el dia 7 una discusión acalorada ‘obre reclamaciones hechas Fincas que se rematan el dia ay. por varios oficiales de la guardia Real…</t>
  </si>
  <si>
    <t>Collados, Josef</t>
  </si>
  <si>
    <t>Josef Collados</t>
  </si>
  <si>
    <t>…serán D. Carlos Serrano, zz D. Pedro Garcés. z=D. Bernardo Rodrigo.=Don nombrados de entre aquellos del grado que pida el reglamento mas ap Mariano Siles. zz D. Miguel Juanton. — D. Josef Collados. = Sr. ba tos para desempeñar estos destinos; y en consideración á la importan rón de Torrefiel. z=D. josef Paniagua. zz D. Josef Yarza. zzL). Fran cia y extensión de su cargo gozarán doble sueldo.” Aprobado. ' cisco Lafuente. zz: D. Antonio Esparza. z=D. Val…</t>
  </si>
  <si>
    <t>Colli, Tomas</t>
  </si>
  <si>
    <t>Tomas Colli</t>
  </si>
  <si>
    <t>…ma total.................... ... .. . .............. 100.000,000 dos sus pertrechos y equipajes: bergantín gran Turco, capitán D. Josef Ferran; fragata Esperanza, alias Paraguaya, capitán D. Tomas Colli; De la cantidad que se fija á las provincias Vascongadas el Gobierno polacra S. Francisco de Paula, capitán D. Bautista Gali; polacra Dul señalará la que haya de satisfacer cada una de las tres provincias, sin ad ce Nombre de María, capitán D. Josef Castalio,…</t>
  </si>
  <si>
    <t>Collin</t>
  </si>
  <si>
    <t>…os, único TRANCIA. papel crítico que hay en los Estados austríacos, estarán sujetos en ade lante:! la misma censura que los demas periódicos. Por este motivo el París 10 de Julio. Sr. Collin, preceptor del duque de Reichstadtel joven, y redactor de aquel, ha dejado esta ocupación, y ha entrado en su lugar otra persona. «amara se los DIPUTADOS---- Continúa la sesión del g. Los Anales literarios continuarán hasta Enero de 1822, y entonces se Mr. Du…</t>
  </si>
  <si>
    <t>Colocoíhron</t>
  </si>
  <si>
    <t>…pa, griega también por su educación! Los maniotas, nacidos en la intentó hacer su retirada á los juncales inmediatos, pero se halló con Eleutero-Laconia, y llevando á su frente al capitán Colocoíhron, co los destacamentos apostados por ei teniente coronel, ntanhope, que ma ronel que fue al servicio de Rusia, y al capitán Pozzomita, se han apo taron gran número de ellos, y los arrojaron á una laguna de mucha derado de Misitra y de Bordonni en la Laconia. E…</t>
  </si>
  <si>
    <t>Colocotrony</t>
  </si>
  <si>
    <t>…io no es la vísta tan larga, que puedan ver un egército griego en lo interior del un inconveniente que se pueda comparar con el que resultará de com Epiro? : Cómo puede ser que el coronel Colocotrony, que se creía que prometernos en discusiones diplomáticas , cuyo resultado podría ser una mandaba en la Alorea, se encuentre de repente en las orillas del Danuguerra ó costosos armamentos. No puede ser grande el número de no bio , á 200 leguas del Peloponeso…</t>
  </si>
  <si>
    <t>Coloma, Joséf Martin</t>
  </si>
  <si>
    <t>Joséf Martin Coloma</t>
  </si>
  <si>
    <t>…ratar de hagan. ajuste podrán concurrir y presentarse en ésta ciudad á los Sres. Don Ppr lo demas, aunque el comercio se halle en la actualidad en una Manuel Gómez de -las Rivas y D. Joséf Martin Coloma , individuos completa inacción, no tenemos ¡ningún cuidado por ’nuestras mer de la misma diputación, comisionados al efecto; y en la de Toro á los caderías. La fuerte posición de nuestra ciudad, situada en úna penínsu Sres. D. Manuel Santos Matilla y D. Agust…</t>
  </si>
  <si>
    <t>Colombino, Juan Bautista</t>
  </si>
  <si>
    <t>Juan Bautista Colombino</t>
  </si>
  <si>
    <t>…s leyes! (_ Morning Cronicle.) barda Virgen del Buen tire, D. Juan 'íriay: pingüe sardo Virgen .—Parece que el Courrier cree que porque es lícito á un particular cuan del Rosario, D. Juan Bautista Colombino; laudes , Carmen, D. Martin do peligra su vida matar á los que le acometen , también deben tener Caner; Carmen, D. Barto!omé Font; S. Antonio, D. Cristóbal For— los soldados el privilegio de tomar por su parte venganza. ¡Quién po ner; S. Josef, D. Manuel Maíl…</t>
  </si>
  <si>
    <t>Colombo, Francisco</t>
  </si>
  <si>
    <t>Francisco Colombo</t>
  </si>
  <si>
    <t>…uta, y se continuó por largo El de la Guerra dirigió varios egemplares de la circular expedida á rato. Mr. Manuel tomó la palabra para oponerse con energía, al llama? instancia de D. Francisco Colombo, coronel supernumerario de los mienta al orden; explicó los principios elementales del Gobierno re? egércitos nacionales. Las Cortes quedaron enteradas, y mandaron que se presentativo;:impugnó'el pernicioso error de que la soberanía residiese repartiesen. . e…</t>
  </si>
  <si>
    <t>Colomer, Vicente Gisbert y</t>
  </si>
  <si>
    <t>Vicente Gisbert y Colomer</t>
  </si>
  <si>
    <t>…• ios me Por Valencia. D. Cayetano Valdés, ex-ministro de Guerra, y te dios que hay en Constantinopla de manifestar el descontento contra el niente general de la armada nacional; D. Vicente Gisbert y Colomer, Gobierno. El divan parece que pretende conservar á los asiat.cos para propietario de Alcoy; D. Martin Serrano , abogado: D. Vicente Salvé, contener á los genízaros, sin embargo de que aquellos le son muy sospe regidor constitucional de Valencia; D. Lorenzo V…</t>
  </si>
  <si>
    <t>Colonna, Agustín</t>
  </si>
  <si>
    <t>Agustín Colonna</t>
  </si>
  <si>
    <t>…n favor del régimen con,: nicVina!, da motivo á algunos para hacer reflexiones 'de cierto género. E! -s.-r. raí Se han recibido ptriódicos extrangeros, cuyas noticias alcanzan las D. Agustín Colonna habia sido arrestado. El principe de Cuto D. Ni de Alemania hasta 26 de Julio ; las de Londres hasta el 27, y las de colás Filangieri había sido nombrado lugar-teniente en Sic.l.a. París hasta el 31 inclusive. De Berlín escribían que en las márgenes del Borís…</t>
  </si>
  <si>
    <t>Colubt, Josef</t>
  </si>
  <si>
    <t>Josef Colubt</t>
  </si>
  <si>
    <t>…la proposición Marina la duda propuesta por el comandante accidental del regimiento hecha y no aceptada no estaba sujeta en general á pena , excepto en los infantería de Aragón el coronel D. Josef Colubt , sobre que hallándose casos que determina la ley, y que no creia que no debia estar sujeto á de primer ayudante interino del primer batallón el capitán de la 6d com pena alguna la resolución de delinquir , reproduciendo las reflexiones pañía del mismo D. Pab…</t>
  </si>
  <si>
    <t>Coma, Antonio</t>
  </si>
  <si>
    <t>Antonio Coma</t>
  </si>
  <si>
    <t>…eados, por extracción de lana y añil con guias ? por permitir des un egército bastante numeroso, si ha de establecerse lo que por alli se empeñar las funciones fiscales en ella .4 D. Antonio Coma, que se llama orden y arreglo. Parece también que del egército napolitano solo negó á hacerlo en el tiempo que conocía el juzgado de Hacienda ; y quedarán tres regimientos de guardias, y que los gastos que debían ha— por haber declarado ilegítima la sentencia…</t>
  </si>
  <si>
    <t>…Bilbao. D. Josef Ruet y la Torre, id. Sevilla 4 de Agosto. D. Angel Martínez, id. D. Josef Perez Marañon, de San D. Anselmo Elguizabal, id. tander. (Continua el artículo de ayer.) D. Antonio Coma, de Cádiz. D. Josef García Carrasco, de CáA los .que se presenten leyendo bien en prosa, sabiendo doctrina Bayo é hijo , de Bdbao. ceres. cristiana y con conocimiento de los principios de escritura se adjudi D. Benito Felipe de Gaminde é hi D. Josef Vicente D…</t>
  </si>
  <si>
    <t>Coma, Pedro</t>
  </si>
  <si>
    <t>Pedro Coma</t>
  </si>
  <si>
    <t>…ercibido y devengado des Avila D-Francisco Sánchez de Arco j en Badajoz O. Juán Amonio de aquella fecha , entregando las existencias i los comisionados prin Gallardo, en Earbastrb D. Pedro Coma , en Barcelona D. Francisco cipales en las provincias, con nota de los adeudos, de quienes recoge, Vasora, en Burgos-D. Miguel Pedrorena, en.Cádiz D. Josef.de,Ma rán cartas de pago intervenidas por los contadores. ría ,&lt;¿n Calahorra D. Miguel Abadía, en Canar…</t>
  </si>
  <si>
    <t>Combay, Epifanio</t>
  </si>
  <si>
    <t>Epifanio Combay</t>
  </si>
  <si>
    <t>…Sr. preopinante que la comisión no coriiente relativa á la exposición de los gefes nombrados defensores de ha tenido otras bases para la asignación de sueldos que la población, ó D. Epifanio Combay, D. Manuel Muñoz Vaca, comandante de es sea el número de diputados que le corresponda; bases que en mi con cuadrón, y D. Antonio Gallarza, capitán, todos del regimiento da cepto no son suficientes, porque hay razones muy fuertes para que el caballería del Prí…</t>
  </si>
  <si>
    <t>Comneno</t>
  </si>
  <si>
    <t>…íio tante, se ha observado que desde su salida se ha puesto una guardia se clasificó ningún poder, y solo se ofreció que los tres principales se de honor austriaca á la puerta del príncipe Comneno, con una ban dividirían con exactitud. dera blanca y de color de rosa, en la cual se lee el rqonograma de Cris La división que se hace en el proyecto de Constitución me parece to , que es el signo de las armas de los antiguos Emperadores de Cons- aun mezquina…</t>
  </si>
  <si>
    <t>Comneno, Alejo</t>
  </si>
  <si>
    <t>Alejo Comneno</t>
  </si>
  <si>
    <t>…ce que « Un personage de distinción agregado ai cuerpo diplomático de en la Constitución se hará una justa división de los tres poderes legis Rusia ha estado en Novara á buscar al príncipe Alejo Comneno, que lativo , egecutivo y judicial. Nada se dijo del administrativo, que se ha t¡ el que desciende mas en línea recta de ¡os Emperadores de Oriente, mirado casi siempre como una parte del egecutivo, ni tampoco se ha y le ha entregado una carta autógrafa del E…</t>
  </si>
  <si>
    <t>Como</t>
  </si>
  <si>
    <t>…su enseñanza.” Aprobado. dictamen sobre el modo de evitar el contrabando. ' Art. 51. &gt;i La enseñanza de la historia de estas ciencias y de su bi Se aprobó la siguiente adición del Sr. Como al artículo 10 del bliografía estará á cargo del bibliotecario.” Aprobado. proyecto de ley sobre minería : « Que se añada á su final la cláusala s¡Art. 52. « Habrá en cada una de estas escuelas una biblioteca públi guientebjp el de las Cortes de IJS de Enero…</t>
  </si>
  <si>
    <t>Como, Juan Sánchez Ribe</t>
  </si>
  <si>
    <t>Juan Sánchez Ribe Como</t>
  </si>
  <si>
    <t>…o, la octava parte de ción, en qué se presentan uno de los de lectura interlineal en prosa, ver medio pliego de papel ordinario. so , y con otras diferentes adiciones útiles , por D. Juan Sánchez Ribe Como no será fácil el que todos puedan conocer por las alegorías ra, maestro que ha sido de lengua francesa en los establecimientos mi y emblemas el objeto á que aluden ó manifiestan, se dará por separado litares de Alcalá: un tomo en 4.0 de &lt;5o pliegos, papel fin…</t>
  </si>
  <si>
    <t>Compagni, Joaquin Fernandez</t>
  </si>
  <si>
    <t>Joaquin Fernandez Compagni</t>
  </si>
  <si>
    <t>…s entre los' para los juzgados de primera instancia de la ciudad de Zaragoza á Don mortales los nombres de los ia diputados que Concurrieron á la últi Mariano Rodríguez Parras y á D. Joaquin Fernandez Compagni; y ma sesión, y se citará como egemplo de gloria para las Dos Sicilias la para los de la ciudad de Granada a D. Joséf Martínez Lorenzo, á Don inalterable firmeza de aquellos decididos é imperturbables defensores de Ramón Rodríguez Velasco y á D. Pedro García…</t>
  </si>
  <si>
    <t>Compani, Ramón</t>
  </si>
  <si>
    <t>Ramón Compani</t>
  </si>
  <si>
    <t>…cial de Guerra y Marina ha mandado se ci id. En Cuenca en la de D. Valentín Mariana, librero. En te y emplace por medio de la . gaceta del-Gobierno á Doña Ma ría Campani, viuda de D. Ramón Compani, vecino que fue Belmonie en la de D. Rufino Crespo, del comercio. En dé la ciudad de Palma, en la isla de Mallorca , para que dentro Plasencia en la de D. Antonio Monredon y Acevedo, boti del término de 40 dias precisos se presente en dicho tribunal,cario. En…</t>
  </si>
  <si>
    <t>Comparins, Mariano</t>
  </si>
  <si>
    <t>Mariano Comparins</t>
  </si>
  <si>
    <t>…ene mas cariño fuese preferido á los demas. no; D. Joñas Hagerman, de Paris ; D.* Juan Redondo y Garzón , da En seguida hizo presente el modo con que sé habia hecho esta di Cádiz; D. Mariano Comparins, de id.; Doña María Ce-ferina, de Corvisión en Francia , y comparó el número de leguas cuadradas y de al cuera ; Sres. oficíales deLregimlento de caballería, voluntarios de Espa mas de aquella potencia con el de España, resultando quedar dividi ña ; D. Pablo…</t>
  </si>
  <si>
    <t>Con, Blas</t>
  </si>
  <si>
    <t>Blas Con</t>
  </si>
  <si>
    <t>…dez de Angulo: para la de Granada á D. Manuel Jo la Constitución, que es la razón pública, revestida de -ana forma letal. sef de Vilches y D. Gonzalo Heredia: para la de Sevilla á D. Blas Con todo hasta que esta se vea sólidamente establecida ¡ cuántos dis Araguetes: para la de Astriñas á D. Fernando Pinuaga y D. Pascual gustos y males nos hubiera ahorrado el Gobierno, haciendo por su Aipuente: para la de Extremadura á D. Vicente Esteve: para la d…</t>
  </si>
  <si>
    <t>Con, García Page</t>
  </si>
  <si>
    <t>García Page Con</t>
  </si>
  <si>
    <t>…nto han adelantado , luchando sin du Se continuó la discusión sobre las provincias Vascongadas; y des da contra la naturaleza. pués de haberse leído el dictamen de la comisión, el Sr. García Page Con respecto al dictamen de la comisión digo que no trato de ha manifestó que siguiendo el mismo orden que se habia guardado con cer la apología de Sta. Cruz de Tenerife ni la de su diputación pro las demas provincias, creía que convenia mas el que se reuniesen l…</t>
  </si>
  <si>
    <t>Con, Juan de</t>
  </si>
  <si>
    <t>Juan de Con</t>
  </si>
  <si>
    <t>…etribución del clero, correos &amp;c.-, de 541 millones y 60 o9 rs., resul derse á esta solicitud. tando el total de 691.6009 rs. El de la ordinaria de Hacienda sobre la exposición de D. Juan de Con respecto al sistema administrativo propone que los empleos de Mata Ruiz, vecino del comercio de Málaga, acerca de que se le admi Gefe político é intendente se refundan en un solo individuo; que en. tiesen en depósito jo6 cajas de azúcar que traia un buque ing…</t>
  </si>
  <si>
    <t>Con, Ma</t>
  </si>
  <si>
    <t>Ma Con</t>
  </si>
  <si>
    <t>…necesaria y muy útil para las tesorerías, par mientos de instrucción y á otros objetos, estos queden abandonados! ticulares y el comercio: se divide en siete tablas; compuesto por D. Ma Con los hechos es como se hacen felices i los pueblos , y por lo mismo ar indispensable tener presente i* base de la riqueza para la operacioa teo Fernandez de la Ferrería: un tomo en 8.° Se hallará en la libre ría de Hurtado, su precio 8 rs. en pasta. de que se…</t>
  </si>
  <si>
    <t>Con, María</t>
  </si>
  <si>
    <t>María Con</t>
  </si>
  <si>
    <t>…es, seis caballos y cuatro mulos, no habiendo mas des después de inauditos esfuerzos hechos por todos los gefes militares para gracia por nuestra parte que la de Paez, cuya esposa Doña María Con conservar la plaza, se acordó por unanimidad de vi.¡os del consejo de cepción Olivera y dos hijos quedaban en la mayor miseria. guerra la evacuación genera!, que se verificó con todo el orden v fe _ El mismo comandante anunciaba en oficio de 6 detjunio desde…</t>
  </si>
  <si>
    <t>Con, Mateo</t>
  </si>
  <si>
    <t>Mateo Con</t>
  </si>
  <si>
    <t>…s representantes de los acreedores á la. testamentaría del Circula!' dd ministerio de la'Gobernacion de la Península. intendente honorario de egército y director que fue de rentas D. Mateo Con fecha 15 del corriente el Sr. secretario del Despacho de Mari Gil de Sola, en,cumplimiento de su deber, y de lo determinado en Jas na me dice" lo que sigue : . ... juntas generales de 14 de Marzo y 16 de Mayo de 1819, y en parti „Ni el articulo 46 ni algún ot…</t>
  </si>
  <si>
    <t>Con, Urrizo'</t>
  </si>
  <si>
    <t>Urrizo' Con</t>
  </si>
  <si>
    <t>…las que se podrían extrajudicialmente se presentaron dicho dia jo contrabandistas en la encontrar en la Gran Canaria. . - casa del referido abad dé Larraingoa, preguetaron por el capitán Urrizo' Con respecto á lo que se ha dicho aquí por algunos señores, relati ia, exigieron del cura quejes abriese la puerta; se negó este, y en se vo á que aquel pueblo es díscolo, y que algunos individuos de la dipu guida principiaron aquellos j tirar balazos á las -vent…</t>
  </si>
  <si>
    <t>Conciliis</t>
  </si>
  <si>
    <t>…licidad, habian abandonado sus hogares El Sr. Fillippis leyó y se mandó pasar á la comisión una carta para correr, los unos á las fronteras, y los otros á ¡os Estados romanos, del diputado Conciliis, en que informaba al Parlamento del gran nú resueltos todos á vencer ó morir por la causa de Ja independencia y de mero de voluntarios que se hablan ofrecido á servir en su regimiento la libertad de la patria; y algunos cuerpos de partidarios, formados .de ca…</t>
  </si>
  <si>
    <t>Concilüs</t>
  </si>
  <si>
    <t>…rtas estas noticias, dice que esto nada impor paña en Ñapóles, con 'fecha 21 de Marzo, en el que recomendaba al ta, que todos somos españoles, y que lo que se ha jurado debe soste coronel Concilüs. nerse, y que velen los ministros sobre eL bien de la Nación. Haya El Sr. secretario de la Gobernación de la Península, encargado de vigilancia para que la administración de justicia sea recta y pronta, manifestar,*á las Cortes los sentimientos de S. M. con m…</t>
  </si>
  <si>
    <t>Concluida</t>
  </si>
  <si>
    <t>…, 3 del campamento del lazareto, y pertene con aquella claridad y energía propias de un pastor elocuente y zeloso. cen, el primero á la tripulación de la goleta inglesa Jessi, su capitán Concluida la función , el ayuntamiento se dirigió á sus casas consistoria Jaime Douglas; el segundo á uno de los buques que sirven paracondu les, seguido de todo el pueblo, y precedido de la milicia nacional for cir la piedra á la obra del muelle nuevo, y en la actuali…</t>
  </si>
  <si>
    <t>Concluiremos</t>
  </si>
  <si>
    <t>…, y con patente sucia a los que la por los documentos que publicamos en la gaceta del 23 del mes de hubiesen tenido. Junio que dicho virey dejó el mando-, y se encargó de este el general Concluiremos los trabajos de la junta municipal en aquel día , enu Laserna: esta circunstancia desbarata toda la soñada conquista de Lima merando los sugetos que a mas de los ya indicados ofrecieron sus co por San Martin. La noticia es obra de los disidentes, y la publica…</t>
  </si>
  <si>
    <t>Conde, Alejo García</t>
  </si>
  <si>
    <t>Alejo García Conde</t>
  </si>
  <si>
    <t>…desproporcionarse emtiétnpo de paz una renta mas provincia. ... . considerable que la que tenia:Murat;en.tiempo de guerra. Las ..Cortes" quedaron.-enteradas de otra exposición de D. Alejo García Conde j-comandutíte general dé las provincias internas de: Oc • -- , ' ... ... - ' • 'fRANCIA. -. ; :í cidente,;en. que remite el.,acta- de la instalación de la junta electoral-,y expresa-, haber sido nombrados diputados en Cortes para los anos Parts sto Je Marzo;…</t>
  </si>
  <si>
    <t>Conde, Josef</t>
  </si>
  <si>
    <t>Josef Conde</t>
  </si>
  <si>
    <t>…de la sangre de S. Genaro. Ya se daba por segura la próxi Los suscriptores á la historia de los árabes en España, escrita por ma llegada del Rey de Nápoles para mediados de Mayo. D. Josef Conde, podrán acudir á recoger el segundo tomo, y adelantar En el Piamonte continúan tomándose disposiciones para restablecer el precio del tercero y último, arreglado al del segundo, no obstante sólidamente el poder absoluto, y castigar á los que pensaron en ¡n»ti…</t>
  </si>
  <si>
    <t>…mportamiento en el tiempo que egerció , los suscriptores á la historia de los árabes en España que el se dicho destino interinamente, y con presencia de las exposiciones de es ñor D. Josef Conde ha compilado, extractándola de los escritores mas te interesado y demas datos que instruyen este expediente; conformán exactos y juiciosos de. dicha nación acudirán á recoger el tercer tomo dose S. M. con el parecer de dicho tribunal, se ha servido resolver q…</t>
  </si>
  <si>
    <t>Conde, Josef María</t>
  </si>
  <si>
    <t>Josef María Conde</t>
  </si>
  <si>
    <t>…dado. fiel Crédito público acerca del pago de varios créditos procedentes de su- El Sr. Solanot dijo que se oponia á Ja contribución sobra Jas tier ininistros, y entre ellos el dé D. Josef María Conde. ras , porque no podían pagarla los labradores en atención á estar ya re A la ordinaria con urgencia una exposición del intendente de Se cargados con el medio diezmo. villa, informada por la dirección general de Hacienda, manifestando El Sr. Yandiola dijo que…</t>
  </si>
  <si>
    <t>Connell, Juan ShadsveL</t>
  </si>
  <si>
    <t>Juan ShadsveL Connell</t>
  </si>
  <si>
    <t>…e la reres y terciados, que recogieron los Soldados, y encerraron en el salón reunión de tropas que había de ocasionar el funeral del gefe.de su cla donde se hadan depositadas. se D. Juan ShadsveL Connell para trastornar el nuevo orden de cosas; Al dia siguiente se tomaron las providencias oportunas , y se ¡eró por lo que suspendió aquella ceremonia. ’á las tropas un decreto del Rey, en que » atendiendo á que la.solicitud Habiendo sabido al dia siguiente que p…</t>
  </si>
  <si>
    <t>Conrrier</t>
  </si>
  <si>
    <t>…jo. deFebrero. &lt; Leída y aprobada el acta de la anterior, se leyeron va La Reina ha mandado citar á juicio á los editores del rios oficios y proposiciones; y después manifestó él señor Conrrier y del Morning-Post por haber insertado en sus presidente que .para.la sesión de este día estaba señalado el periódicos artículos calumniosos contra S. M. acordar cómo debían ser recibidos en el Congreso los secre ---- Ha corrido la voz de que se había'publica…</t>
  </si>
  <si>
    <t>Cons</t>
  </si>
  <si>
    <t>…militar hecho por la artillería en Groice, cerca ce cometen algunos de estos miserables. Varios de ellos se han vuelto lo Varsovia , el 10 de Agosto á presencia de A A. I. el gran duque Cons cos, otros se han dado muerte á sí mismos, y en fin el 12 de Agosto tantino. &gt;« ílabiase suspendido en el aire, dice el Corresponsal, la odiosa úna muger que sigue esta secta habia asesinado á su criada; y habien media luna, y los artilleros rusos hicieron pr…</t>
  </si>
  <si>
    <t>Consalvi</t>
  </si>
  <si>
    <t>…ella empezaron á comunicarla á por todas partes. Los bandidos fueron conducidos a la cárcel de Ascoli. ¿i. Jos,subalternos, yendo cada cual i porfia en Adiestrarlos debidamente El cardenal Consalvi, secretario de Estado , ha publicado con m'oti- cón el laudable fin de que el dia que se destinase para hacer el juramen tivo de esta incursión una proclama dirigida á preparar los súbditos de to pudiesen presentarse, no en tropel óagrupados, sino con aquel o…</t>
  </si>
  <si>
    <t>Conscoimsion, Felipe</t>
  </si>
  <si>
    <t>Felipe Conscoimsion</t>
  </si>
  <si>
    <t>…o de la dignidad del hombre, núm. i.°, denunciado en 25 de Se que se hubiese hecho esta proposición, porque como individuo de la tiembre por D. Josef María Ruiz; la ley absolvió i D. Felipe Conscoimsion .tenia Ínteres en que se examinase el expediente, y se pesa tenfa Garrido responsable de dicho impreso; y en su consecuencia el sen todas sus palabras con la mayor escrupulosidad posible. Sr. D. Pedro García Crmbrero, juez de primera instancia de Granada, .El…</t>
  </si>
  <si>
    <t>Constante, López</t>
  </si>
  <si>
    <t>López Constante</t>
  </si>
  <si>
    <t>…sus sucesores de 8o3 rs. vn., consistentes g por 100 sobre murallas, por ser contrario á la Constitución; y otra en bienes raices que el Gobierno comprará al Crédito público.” del Sr. López Constante, para que sea libre de todos derechos la harina El. Sr. González Allende dijo: ei artículo dice que el Gobierno que se introduzca en la provincia de Yucatán procedente de la Penín comprará bienes raices al Crédito público, capaces de producir la renta sula y…</t>
  </si>
  <si>
    <t>Constantino</t>
  </si>
  <si>
    <t>…Femericas; una polacra española, capitán Vinent; un bergantín quedan a favor de la Nación; por consiguiente á los pueblos no les ruso, su capitán Agustín Vitali; otro id. ruso, su capitán Constantino resulta ventaja alguna; y aun digo mas, que aun en el caso de que des- Orlando; otro id. ruso, su capitán Biaggio Cappiello, y dos grandes Íiues de examinados los títulos se declarasen incorporables £ la Nación, polacras del Bajá de Egipto. Buques desmantelad…</t>
  </si>
  <si>
    <t>…eliz llegada de S. M. el Emperador Alejandro á Varsovia , donde ha su dragomán á aquella turba sanguinaria que consideraría como una sido recibido con la mayor solemnidad. El gran duque Constantino sa declaración de guerra contra su Soberano la menor violencia que se in lió á esperar a su augusto hermano. tentase, y que en este caso tomarla inmediatamente las providencias Las últimas cartas que han venido de Lemberg y de la Transilvania convenientes. Es…</t>
  </si>
  <si>
    <t>…s oficinas por donde Gzenstochau para el 19 de Mayo, y vuelve á'Petersburgo pasando por -*é verifiquen,, y He -que los recibos se han de pasar como dinero efecti Varsovia. El gran duque Constantino salió el-20 de Varso vía. para ir á vo á los-pagadores de egército para que los incluyan en su cuenta. encontrarse-con su hermano. Art. 6.° » El .pagador no hará -ningún pago sino en virtud de re• cibo formal , en el que se citará la ley y la Real orden que l…</t>
  </si>
  <si>
    <t>…istro tesorero de la ciudad del de Lituania, que manda el teniente general d’Auvray á las órdenes in Cuzco en D. Miguel Nieto , en atención á sus méritos, y por promo mediatas del príncipe Constantino , y que se compone de soldados sa ción de D. Baltasar de Villalonga , que la obtenía , á ia intendencia de cados de Jas provincias ruso-polacas. Este cuerpo ocupa toda la Lituania la misma provincia.y el gobierno de Minsk, y tiene su cuartel general en Wilna:…</t>
  </si>
  <si>
    <t>…tas reciben estas tropas á su paso con vivas demostra Setiembre. ciones de satisfacción é Ínteres. Toda la población espera con ansia ver Escriben de "Varsovia que S. A I. el gran duque Constantino ha sa luego pasar nuestros regimientos las fronteras para ir á socorrer á los in lido para la Lithuania y la Volhinia con el objeto de pasar revista á felices griegos. las tropas que se hallan en aquellas provincias. El general Gendré acom ■ - Viena 22 de Jul…</t>
  </si>
  <si>
    <t>…ser inminente la guerra entre la Ru anuncia la existencia de formidables fuerzas rusas, y la marcha del sia y la Turquía, y que la Inglaterra se opondrá á tas miras de la pri gran duque Constantino á unirse al egército ruso que se halla en las mera. El ultimátum presentado por esta al divan fue enviado de Odesa orillas del Prutb. el 7 de Julio; y una carta de Viena del g t del mismo anuncia, según la Aunque dejamos dicho que la Reina de Inglaterra murió…</t>
  </si>
  <si>
    <t>…n semejantes escenas en otros puntos de Alemania. este periódico puede contarse entre los grandes. Es sabido que el gran En Dresde se aumenta considerablemente el número de los fa duque Constantino ha pasado revista á las tropas de Varsovía : y con náticos, y se ha formado una secta particular, cuyo fundador es un este molít o dice el Diario de los Debates lo siguiente: » El Corresponsal predicador, y en su casa se reúnen muchos de estos sectarios. Se c…</t>
  </si>
  <si>
    <t>…batirse cón los turcos, á quienes miran como a verdugos de susturcos encerrados en la ciudadela de l'atrás sugetos de vuestra confian hermanos. Se han dirigido a S. A. I. el gran duque Constantino dife za para darles aviso de todo cuanto pasa. rentes representaciones por varios cuerpos, expresando el entusiasmo » Mas de una vez os habernos requerido que pagaseis á nuestros com de que se hallan animados lá o ficialidad y los soLdados. . - - ■ r patriota…</t>
  </si>
  <si>
    <t>…os monasterios dé tas de Berlín, anunciando el descubrimiento de una conspiración en una excelente.vida!. A todo esto se podrá decir que este descontento na Polonia contra el gran duque Constantino; pero se creía fuese un rumor ce de las reformas. Yro no lo veo bajo este punto de vista: de lo qut para contener al Emperador su hermano en la empresa cont a los turcos. nace es de que no está bien, conocida ni delineada la palabra patria. No Italia. Parece…</t>
  </si>
  <si>
    <t>…aniquiladas.En que misteriosamente, acerca det descubrimiento de una conspiración lá isla de'Sánaos continuaban los habitantes haciendo desembarcos en la en Polonia contra el gran duque Constantino; cuya trama, añaden costa del Asia pira proveerse á la fuerza de víveres, aunque no siem las cartas, ha podido ser urdida para disuadir al Emperador de cual pre lo verificaban impunemente. En la isla de Rodas se hallaban tam quier proyecto hostil, haciéndole…</t>
  </si>
  <si>
    <t>Constitución</t>
  </si>
  <si>
    <t>Gaceta del Gobierno n.º 1</t>
  </si>
  <si>
    <t>…que tenían ames del ron, nombrados el; marques de Clermont-Tonnerre, el du huevo-.sistema de Gobierno, supuesto que el art. 250 de la que de Damas , ,el vizconde Dubouchage y él'¡vizconde Constitución preserva ,el fuero militaren los términos que Digepn, los: cuales, ,á imitación del presidente,: ocuparon previene la ordenánza , ó en adelante previnieíe, siguiendo los asientos correspondientes. . en su virtud como, antes, todos los tribunales, militares, i…</t>
  </si>
  <si>
    <t>Constitución, Diego Clemen- la</t>
  </si>
  <si>
    <t>Diego Clemen- la Constitución</t>
  </si>
  <si>
    <t>…te , vice-presidente y secretario mas antiguo el Sr. D. Diego cho serán responsables á las Cortes de las órdenes que autoricen contra Medrano, han sido elegidos para presidente el Sr. D. Diego Clemen- la Constitución y las leyes, sin que les sirva de disculpa haberlo man cin , diputado por la provincia de Murcia ; para vice-presiderite el señor dado el Rey: y en el párrafo 2° del art. 261 del título 5.0 está asi D. Ramón Losada , diputado por la de Galicia; y para secreta…</t>
  </si>
  <si>
    <t>Constitución, Manuel Jo la</t>
  </si>
  <si>
    <t>Manuel Jo la Constitución</t>
  </si>
  <si>
    <t>…istrados de las audiencias de Valladolid á D. Angel de. apasionados de aquel retardar la victoria de esta; pero triunfará al fin Govantes Fernandez de Angulo: para la de Granada á D. Manuel Jo la Constitución, que es la razón pública, revestida de -ana forma letal. sef de Vilches y D. Gonzalo Heredia: para la de Sevilla á D. Blas Con todo hasta que esta se vea sólidamente establecida ¡ cuántos dis Araguetes: para la de Astriñas á D. Fernando Pinuaga y D. Pascual g…</t>
  </si>
  <si>
    <t>Constitucional</t>
  </si>
  <si>
    <t>…oodouque para recibir los grados y A la referida una queja de varios vecinos de Murcia contra Don facultades baste solamente el examen y aprobación.” ... Manuel González ¿amorano, alcalde Constitucional , y._D. LucasSer- ... .Después de apoyada por su-autor, dijo, el Sr.-Romero-'AIpuente d¡d"°, regidor. que, no se podía dudar que’ los estudios, particulares eran no solo súfiá A la misma otra de D. Diego .Gaveta de la Riva;. vecino.de Si- cjentes, sino mayore…</t>
  </si>
  <si>
    <t>Constitucional, El</t>
  </si>
  <si>
    <t>El Constitucional</t>
  </si>
  <si>
    <t>…ca Bayona 4 de Agosto. rá su gloria. Bayona 17 de Julio de if!2t.:cz Amonio G. Se ha publicado aquí un folleto reducido á lo siguiente: París op Ir Julio. Una palabra á Mr. Ang-J. D. El Constitucional publica el párrafo siguiente: •&gt;, Cuando el ministro Pasquier decía en ia tribuna nacional que la » Aunque las calumnias, sarcasmos y simpleza; que algunos perio censura seria parcial , quizá estaba bien lejos de imaginar hasta que pun distas se complacen en…</t>
  </si>
  <si>
    <t>Cónsul, Juan Bros y Doña-Mítría de</t>
  </si>
  <si>
    <t>Juan Bros y Doña-Mítría de Cónsul</t>
  </si>
  <si>
    <t>…Mayóral/y Sobrino. presentó un corte de alba trabajado por su mano con bastante per Josef ‘Agnirre.; - - ‘ ■ í M¡chela, hermanos. fección. Joief de Collado! " : j" Miguel‘Pérez;" D. Juan Bros y Doña-Mítría de Cónsul su' muger, residentes en Josef Moreno Martínez.1 : , MigiieUparfiíguirre. León , presentaron á nombre de su hija Doña Catalina, de edad de 9 Joséf Manuel Collado." 'F " ' Miguel Huiei. años , una camisola cosida v bordada por sir ir.añó1, y lo mismo el enca J…</t>
  </si>
  <si>
    <t>Contreras, Tadeo Aguilera y</t>
  </si>
  <si>
    <t>Tadeo Aguilera y Contreras</t>
  </si>
  <si>
    <t>…osición de un punto cualquiera del espacio. Mr. Mouge Lobé y Rabina, D. Miguel Bonanza y Roca, D. Juan sacó de este principio el fundamento de una doctrina nue León; y Valdivieso, D. Tadeo Aguilera y Contreras , Don va y completa, indispensable en todas las arres de construc Josef Iribarron y Ortuño, D. Serapio Aguas y-Muñera'de ción, y á la que ha dado el nombre de geometría des* Cantos, D. Juan Guerra y Golfantes , D. Tosef Cisnéros y criptiva. Lanuza , D. Bernar…</t>
  </si>
  <si>
    <t>Cook</t>
  </si>
  <si>
    <t>…400 pesos, se les expedirán despachos .firmados del se meridional Atlántico 3' al del Pacifico se verá , que si bien ejl cretario de Estado, al tenor de un modelo que al efecto se capitán Cook penetró hasta una latitud ¡najmr , y sacó rasformará. consecuencias que sabemos de no haber hallado otra cosa „S. M. quiere que todos los empleados, asi superiores.co- mas que enormes montes de hielo, también es cierto que su mo subalternos, hayan de prestar…</t>
  </si>
  <si>
    <t>Copao.zz, Tomas</t>
  </si>
  <si>
    <t>Tomas Copao.zz</t>
  </si>
  <si>
    <t>…Francisco Sabaiau.zz condestables. D. Mariano Planas.zzD. Pedro Aznar.zzD. Josef Barcelona.z=D. Jo Después de una breve discusión entre los. Sres. Sánchez Salvador y sef Perez. zz D. Tomas Copao.zz D. Dámaso Miranda.zzD. Juan Sa- Olivar quedó aprobado en los términos que había indicado el -Sr. se sera. = D. Bartolomé Ruiz. zzD. Ramón Bale.zzD. Josef Baile.zzDon cretario del Despacho. Cristóbal Oitiz.=D. Antonio Zabay. zzD. Juan Lacuey.zzD. Pedro Art. 123. ’&gt; Sustituirán a lo…</t>
  </si>
  <si>
    <t>Copons</t>
  </si>
  <si>
    <t>…o del asunto de que se ha hecho mérito. remociones que habia hecho , y las mandó cerrar. ¡Pero cómo’ Remo No podía yo figurarme que en el Congreso nacional se me hiciese viendo al general Copons, gefe político en aquella época, poTque pare cargo de haberse removido al gefe político de Madrid D. Francisco ce no accedia á su» intenciones , y nombrando al Sr. S. Martin , que no Copons. Jamas dije al general Copons que cerrase la sociedad de la solo acce…</t>
  </si>
  <si>
    <t>…vencido de la actividad meros ciudadanos, comprometiéndole como se comprometió ayer á con que se ha caminado en esta parte; bien penetrado el Gobierno de otro ciudadano, que es el general Copons, hombre que siempre se ha las ventajas de una medida tan interesante, y del ahorro que al mismo distinguido, y cuy a.exposición no puede menos de estar concebida en tiempo d.bian producir las secularizaciones en beneficio del Estado, por buenos términos. Yo n…</t>
  </si>
  <si>
    <t>Coppinger</t>
  </si>
  <si>
    <t>…noció al fin que el buque era Floridas por el general Jaokson excitará discusiones muy vivas en el europeo , y aun se le permitió tomar cargamento; pero tiendas y mer Congreso. El coronel Coppinger, gobernador de la Florida oriental, cados seguían sin abrirse, y á cada paso se esperaban escesos y atroci se ha dirigido a Washington para protestar contra las arbitrariedades dades por parte de los promotores de la anarquía, pues esta les abre el de jackson…</t>
  </si>
  <si>
    <t>Cor, Antonio</t>
  </si>
  <si>
    <t>Antonio Cor</t>
  </si>
  <si>
    <t>…vas, leidas en Ja Constitución en los artículos i31', 245 y 24Ó. las sesiones de 20 p¡; de1 Setiembre-últimorelativas la primera A la comisión de Guerra se pasó lina exposición dé D. Antonio Cor* á'que se estableciese una ley, por la erial se permitiese hasta el 10 por</t>
  </si>
  <si>
    <t>Cor, Josef</t>
  </si>
  <si>
    <t>Josef Cor</t>
  </si>
  <si>
    <t>…que á la mayor breve meterla á la ilustración del Congreso. dad se diese cuenta del dictamen de una comisión que se presentó en A la Eclesiástica se mandó pasar una exposición de D. Josef Cor la legislatura anterior sobre existencia de la compañía del Gadalquivir: rales , capellán de! batallón de granaderos provinciales de Castilla ¡a el Sr. presidente dijo que se daría cuenta en el día de mañana , y que Vieja, solicitando se le dé el sueldo que l…</t>
  </si>
  <si>
    <t>Coraminas</t>
  </si>
  <si>
    <t>…bía dicho el Sr secretario de parte de S. M., quedando satisfechas de entendido’, las devolvía á las Cortes. los buenos resultados que han producido las acertadas medidas delGo El Sr. Coraminas hizo algunas observaciones acerca del miserable bierno y el patriotismo de los buenos españoles. estado de aquellos ciudadanos, que eran los mismos que habían ofreci Se prosiguió la lectura de! dictamen de la comisión de Hacienda* do sus vidas para defender l…</t>
  </si>
  <si>
    <t>…en para su inteligencia y puntual cum • Añádese un artículo, que será el i.° de la nota núm. 8 , á.propues plimiento; en el concepto de que S. M. me ha mandado que para que ta del Sr. Coraminas, en esta forma: « Los vales á la orden y demas esta su Real declaración-tenga la publicidad correspondiente la comu obligaciones negociables de esta naturaleza podrán no presentarse al nique yo á los Sres. secretarios del Despacho, á fin de que la trasladen r…</t>
  </si>
  <si>
    <t>…an en la formación de ritorio de su sección legislativa, se obligan á entregar á la Península la aranceles. suma de 200 millones de reales en el espacio de seis años, que se em El Sr. Coraminas, apoyando la antecedente solicitud , hizo una indi pezarán á contar desde el dia primera de Enero de 1823, con ei ob cación para que atendiendo á lo expuesto en esta y otras anteriores jeto de contribuir al pago de la deuda extrangera, sirviendo de hipo que h…</t>
  </si>
  <si>
    <t>…Pablo), con sobre ello á ia diputación provincial , pueda asta consultar al Gobier trario á la de la pena de muerte. no lo conveniente. Se leyó por primera vez una proposición del Sr. Coraminas para Art. 9.0 » En el caso en que á propuesta del Gobierno las Cortes que te diga á la junta suprema de Sanidad que uniforme el sistema de aprobasen la creación de estas plazas , señalándoles la dotación que cuarentenas y medidas sanitarias en todas las provi…</t>
  </si>
  <si>
    <t>Corbieres</t>
  </si>
  <si>
    <t>…s los Sres. diputados en que los sueldos eran muy bajos. Al mariscal duque de Bellune para el de Guerra. Manifestó en seguida la necesidad deque los secretarios y oficiales pri Al Sr. Corbieres para el del Interior. meros y segundos fuesen nombrados por el Gobierno, y que hubiese al Al marques Clermont-Tonerre para el de Marina. guna escala; y contestó á algunas de las objeciones que se habían hecho Al Sr. Villele para el de Hacienda. al dictamen de…</t>
  </si>
  <si>
    <t>Corbo, Pedro Josef</t>
  </si>
  <si>
    <t>Pedro Josef Corbo</t>
  </si>
  <si>
    <t>…l mismo cañal, en 30® rs. gasti en 16 id.; D. Gerónimo Navarrete en 18 id.; D. Gregorio Gon Otro cañal mas abajo de las aceñas, titulado Valmayor, corriente zález Conde en 20 id ; D. Pedro Josef Corbo , presbítero, en 2 5 id., y en todas sus partes, con sus presas bien acondicionadas y chalupa para D. Tomas Ortega en 18 id., todos por conspiración contra el sistema *u servicio , en 129 rs. constitucional. Se halla esta causa en sumario, y ampliándose sus d…</t>
  </si>
  <si>
    <t>Corchado, Josef Landero</t>
  </si>
  <si>
    <t>Josef Landero Corchado</t>
  </si>
  <si>
    <t>…os estos como los ginetes, hacen sus juegos del djh-it, ó alicántara. D Laureano Santibañez, cura de Ceclavin. sea guerrilla , tirándose mutuamente unas varas yendo los caballos á D. Josef Landero Corchado, juez del partido. escape, y parando no obstante con tanta destreza ios golpes , que rara Tlasencia. D. Domingo Gómez .Rubio , vecino de Viilanueva de vez suceden desgracias, á pesar de que es tal la fuerza con que arrojan la Vera. las dichas varas, que ha ha…</t>
  </si>
  <si>
    <t>Cordella, Cayetano</t>
  </si>
  <si>
    <t>Cayetano Cordella</t>
  </si>
  <si>
    <t>…uilidad. que toda la columna se había, portado con la destreza y valor que Eti otro artículo de Vlenq, cantando la palinodia sobre no haberse correspondía, habiendo sobresalido el capitán D. Cayetano Cordella, entregado á los austríacos Gaeta, Pescara ni Civita del Tronto, se dice que hacia el servicio de soldado en. la compañía de granaderos.” que esto ha dependido de que........ no se ¿and Zamora en una horas El Sr. secretarlo de la Gobernación de Ultramar leyó…</t>
  </si>
  <si>
    <t>Cordero, Antonio</t>
  </si>
  <si>
    <t>Antonio Cordero</t>
  </si>
  <si>
    <t>…empleados en la lotería nacional en esta corte, quejándose de haberse dia sobre el empréstito de los Sres. Ardouin, Laffite y compañía. provisto una administración en la viuda de D. Antonio Cordero; y El Sr. secretario Gaseo leyó el informe del tesorero general, el de otra del Cabildo de Málaga, quejándose de la audiencia territorial de la junta nacional del Crédito público, y el oficio del Sr. ministro de la aquella provincia y juez de primera instanci…</t>
  </si>
  <si>
    <t>Cordero, Josef Criado</t>
  </si>
  <si>
    <t>Josef Criado Cordero</t>
  </si>
  <si>
    <t>…tículo anterior.") estrictamente el tratado de 2 i de Marzo de 1 800 , en cuya virtud no pueden navegar los berberiscos á mas distancia que la de 40 millas al Mil quinientos rs. á D. Josef Criado Cordero, oficial retirado, por oeste de las aguas del mar Jónico. El beneficio de esta neutralidad se vía de anticipación para poder mejor beneficiar una mina de cobre que extiende independientemente desde las islas situadas entre Ar ona y ha descubierto. el Adriátic…</t>
  </si>
  <si>
    <t>Córdoba, Gonzálo Fernandez de</t>
  </si>
  <si>
    <t>Gonzálo Fernandez de Córdoba</t>
  </si>
  <si>
    <t>…ue se publicó en tiempo del Gran-Capitan bajo él título de Re militaré, ó diálogo ( 1) No parece que debe haber inconveniente en que se sepa que lo que pasó entre los limos. Sres. D. Gonzálo Fernandez de Córdoba, •s el Sr. González Azaola, actual diputado á Cortes. llamado Gran-Capitan , duque de Sessa &amp;c., y D. Pedro Manrique de Tara, duque de Níjera. Por el contexto de ella se ve que volviendo el ANUNCIOS. Gran-Capitan de la parce de Italia , donde tan victoriosame…</t>
  </si>
  <si>
    <t>Córdoba, Joaquín de</t>
  </si>
  <si>
    <t>Joaquín de Córdoba</t>
  </si>
  <si>
    <t>…que están criticando todas nues Otra de la misma para que se den las gracias , y se recomiende al tras operaciones sobre estos asuntos, y con.este motivo se han extendi Gobierno á D. Joaquín de Córdoba, por la memoria que presentó rela do grandes mentiras , y se ha extraviado mucho la opinión. Hay ex tiva al Crédito público. trangeros , que viendo la pequenez con que se tratan todavía estas cues Se leyeron por primera vez unas proposiciones del Sr. Mendez ,…</t>
  </si>
  <si>
    <t>Córdoba, Juan Josef Guerrero y</t>
  </si>
  <si>
    <t>Juan Josef Guerrero y Córdoba</t>
  </si>
  <si>
    <t>…ción de los oficia La comisión de Infracciones de Constitución, habiendo examinado les de mar del departamento di Cartagena, en que hacen presentes los el expediente promovido por D. Juan Josef Guerrero y Córdoba, ve estudios indispensables de su dilatada carrera para el servicio de ¡a ar cino de Valdepeñas, en solicitud de que se declarase infractor de aqu»¿ mada , y que no teniendo mas salida que á primeros contramaestres, lia al ayuntamiento de dicha villa por habe…</t>
  </si>
  <si>
    <t>Córdoba, Miguel de</t>
  </si>
  <si>
    <t>Miguel de Córdoba</t>
  </si>
  <si>
    <t>…o necesario parí formar la intro del despacho de la Guerra, como habia solicitado el coronel de in ducción á la estadística; y en seguida los métodos especulativos y prác fantería D. Miguel de Córdoba, por haber autorizado la'Real orden, ticos para el apeo territorial, formación de los cuadernos estadísticos en que se indultó á varios oficiales de su regimiento del arresto im &amp;c. El precio mensual de lá suscripción es de 50 rs.: se suscribí en. Ia puesto p…</t>
  </si>
  <si>
    <t>Cordon, Antonio Toribio</t>
  </si>
  <si>
    <t>Antonio Toribio Cordon</t>
  </si>
  <si>
    <t>…ser solamente por lo respectivo al artículo de D. Joaquin de la. Cárcel; para Liria Don Tomas Oltra; para Chelva que se trataba, añidiendo que el dictamen de la comisión contenía D. Antonio Toribio Cordon, y para Chiva D. Hilario Mendoza. ' esencialmente lo que se mandaba, en el artículo g.° del decreto de 6 de Agosto de t8n. Atendiendo S. M. á los méritos y servicios de D. Francisco Alon El Sr. presidente dijo que mañana después de dar cuenta del despa so de…</t>
  </si>
  <si>
    <t>Corino, Francisco Javier</t>
  </si>
  <si>
    <t>Francisco Javier Corino</t>
  </si>
  <si>
    <t>…el modo con que se varios fabricantes de Sevilla; otra del consulado y junta de comercio debe proceder para declarar los pueblos en estado de contagio; y esta de Bilbao, y otra de D. Francisco Javier Corino y D. N. Sánchez Lo junta superior, que conoce la extensión de sus obligaciones, los tiene zano , vecinos de esta corte , haciendo varias observaciones sobre la re muy presentes. Las providencias que toman los pueblos sin exacto co forma de aranceles. Otra de los fabricantes…</t>
  </si>
  <si>
    <t>Cornejo, Francisco Verea y</t>
  </si>
  <si>
    <t>Francisco Verea y Cornejo</t>
  </si>
  <si>
    <t>…s intrigas y convulsiones políticas Granada á D. Josef de la Vega Carballo, D. Antonio Fernandez del que agitaban aquel imperio: un tomo en 8.° Se hallará á 8 rs. en la Castillo y D. Francisco Verea y Cornejo: en la de Navarra á D. Jo librería de Hurtado. sef Rodríguez Biedma y D. Felipe Baraibar: en la de Aragón á Don - Exposición presentada á las Cortes por los diputados de Ultramar Julián de Iturralde, D. Pedro Vázquez Ballesteros y D. Santiago Bal en la sesión…</t>
  </si>
  <si>
    <t>…ausos de to en propiedad para plazas de regentes de audiencias territoriales en esta dos los buenos. Un periódico de Nuremberg, ademas de hablar de di forma: para la de Astúrias á D. Francisco Verea y Cornejo: para la cha acta , anuncia -tire acaba de ajustarse un tratado ofensivo y delensi- de Extremadura á D. Josef Ignacio Llorens; y para- la de Valencia á vo entre tres potencias, sin indicar cuáles son : pero debemos presumir D. Josef María del Busto. que sean…</t>
  </si>
  <si>
    <t>Cornejo, Miguel</t>
  </si>
  <si>
    <t>Miguel Cornejo</t>
  </si>
  <si>
    <t>…Linares: para otra de la de Extremadura á D. Pedro Porro do suspendida , ó no haya dejado de tener efecto sino por alguna casua Cidoncho, y para otra de la de Castilla la Vieja á D. Miguel Cornejo. lidad ó por otra circunstancia independiente de la voluntad del autor, Asimismo ha tenido á bien nombrar S. M. jueces de primera ins será castigada con; ia nadad de la pena que ia ley prescriba contra el de tancia en esta forma: para el partido de Alhama, en…</t>
  </si>
  <si>
    <t>Cornel, Indalecio</t>
  </si>
  <si>
    <t>Indalecio Cornel</t>
  </si>
  <si>
    <t>…turaleza. Es claro que los delitos cometidos por Se aprobo ei dictamen de la comisión de Legislación para que á abuso de libertad de imprenta no son idénticos á los que se cometen D. Indalecio Cornel, juez electo de primera instancia del partido de por abuso de la palabra: asi que en mi dictamen debe volver este ar la Carolina, se le conceda prestar su juramento en la audiencia de esta tículo á Ja comisión para que le rectifique, ó proponga otro en térmi…</t>
  </si>
  <si>
    <t>Coromi-</t>
  </si>
  <si>
    <t>…asistir al Congreso por la grave enfermedad que padece. ticidad. Pero hay diputados, y yo entre ellos , que presentaran con la A la comisión de Sanidad se pasó otra exposición del Sr. Coromi- misma autenticidad otros muchos hechos mas graves que los que hasta nas, en la que manifiesta no poderse presentar en el Congreso por ha ahora aparecen , y que no podran negarse de nmgun modo. ber hecho dos cuarentenas , y creer tener que hacer otra. Baste lo…</t>
  </si>
  <si>
    <t>Corominas</t>
  </si>
  <si>
    <t>…o en atención al deplorable prendido en el decreto de 6 de Agosto de 1811, la cuaL se mandó estado en que se hallaban aquellas provincias. Se aprobó. unir á una proposición que el Sr. Corominas habia hecho sobre este Ala comisión de Agricultura se mandó pasar una exposición de asunto, y que pasase á la comisión que entiende en estos negocios. la diputación provincial de Sevilla, presentada por el Sr. Vecino, so •Se resolvió presente en la discusión…</t>
  </si>
  <si>
    <t>…xige la colegiata de Roda. Lí¡da y aprobada él acta de la anterior, se mando agregar a ella el Se dió cuenta de una exposición de Q. Juan López Cancelada , en voto particular; deh-Sr. Corominas, contrario á lo resuelto por las Cor que se quejaba de que el Crédito público no le socorria, y pedia se aten tes en la sesión anterior, acerca.de haber declarado por suficientemente diese á su colocación , mientras las Cortes resolvían lo que tuviesen discut…</t>
  </si>
  <si>
    <t>…al art. 5.0 adicional: inconvenientes con la adición que habia propuesto al art. núm. 2.°, en w Pedimos que en el expediente instructivo sobre preservación de los virtud de la del Sr. Corominas.” Aprobado. -bienes de la iglesia por indotacion del clero actual, de que habla el El Sr. Vadíllo propuso que en las obligaciones dadas á papel, cu art. 5.° adicional, se oiga per el comisionado del Crédito púbhco al yos derechos de registro hubiesen de satis…</t>
  </si>
  <si>
    <t>…robar los artículos; de consiguiente lo que Se leyó y aprobó el acta de la anterior. proponía era una verdadera adición, que no tan solamente debía admi Se concedió permiso al Sr. diputado Corominas para salir fuera de tirse , sino aprobarse por la absoluta necesidad que hay de que se aprue Madrid con el objeto de restablecer su salud. be aquel establecimiento. Después de una corta discusión se declaró no A la comisión especial de Hacienda se mandó pasar…</t>
  </si>
  <si>
    <t>…. 20 pueden redimir ios que las sufren , si nodo las Cortes. ’ hiciesen desde aqui á i.° de Julio de 1822, á cuyo fin, y.pira facilitar Se leyó-por-primera vez una proposición del Sr. Corominas para les la redención, se revoca el art. 21 del citado decreto de 9 de Noviem queino-se declaren comprendidos en el decreto de 9 de Noviembre cier bre en la parte que se exige un capital dóble.ó de 66 y dos tercios ál ta, clase de créditos. . millar respecto…</t>
  </si>
  <si>
    <t>…suspendió esta discusión y se leyó el dictamen de las co hombre: este ha muerto; la ley no debe llevar su venganza, digámoslo misiones de Hacienda y Comercio sobre la adición del Sr. Corominas asi , mas allá de la muerte. El objeto de la sociedad está cumplido; y al art. 1.? del decreto aprobado por las Cortes acerca de los géneros por consiguiente , exceptuándose ya á los cadáveres de los reos de cier prohibidos introducidos anteriormente. El Sr-…</t>
  </si>
  <si>
    <t>…ocuencia coa D spues de alguna discusión se mandó) pasase á la comisión de Sa que el orador romano combatió) las doctiinas de los am’gos de Calilini lud pública la proposición del Sr. Corominas sobre el arreglo de las cua en su famosa oracional mismo. Quousqur tándem Catilina abu tere pa• rentenas sanitarias, hecha en una de las sesiones anteriores. tienda no.-trai decía Cicerón; y nosotros no podemos decir, ¿hasta Se leyó) la inmuta de decreto sobr…</t>
  </si>
  <si>
    <t>Coronar</t>
  </si>
  <si>
    <t>…ignora que el objeto de esta distinción es sujetar al como Ja vuestra. poder secular, bajo pretexto de que se trata solamente de cosas acci El gefe del jurado. (Levantando I3 voz) Sr. Coronar, no podemos dentales, toda la disciplina y poder legislativo de la Iglesia , no puede dejarnos insultar por un abogado hablador de Oldbaitey (tribunal dat consentir en quí se reconozca semejante principio en una declaración crimen). ■, Si todavía quedasen alg…</t>
  </si>
  <si>
    <t>Coronel, Indalecio</t>
  </si>
  <si>
    <t>Indalecio Coronel</t>
  </si>
  <si>
    <t>…alzos, de Bujalance á D. Andrés Gamez y Plata; para el de Baena á Don de S. Hermenegildo; de Trinitarios calzados, de la Santísima Trinidad; Antonio Pardo; para el de la Carlota á D. Indalecio Coronel: para de Trinitarios descalzos, de Jesús Nazareno; de Observantes, de San el de Cabra á D. Ignacio Gil de Sagredo; para el de Lucena á Kon Francisco el Grande: de Franciscos descalzos, de S. G¡1; de Capuchi Josef Arjona y Zapata; para el de Montilla á D. Dieg…</t>
  </si>
  <si>
    <t>Coronel, N.</t>
  </si>
  <si>
    <t>N. Coronel</t>
  </si>
  <si>
    <t>…los infinitos medios de defensa qué- francesa y én 'parte del año 1814. puede desenvolver xtn pueblo semejante, y particularmente estando A la de Legislación pasó una instancia de D. N. Coronel, juez como-está-irritado. , nombrado paranino de-los partidos de la provincia de Granada, en so La Francia tuvo en una de las épocas de la revolución 8ooS3 sol licitud: de que-se le permita jurar en la audiencia de Madrid, en lugar dados, sobre las armas-; y…</t>
  </si>
  <si>
    <t>Corral, Feliciano del</t>
  </si>
  <si>
    <t>Feliciano del Corral</t>
  </si>
  <si>
    <t>…stura y enterarse de su tasación',; acuda: al juzgado1 del expresado Sr. juez por la esr- dialectos; ha recogido (de donativos) y gastado 794,140 cribanía dél número dél cargo, de D. Feliciano del Corral, libras esterlinas (unos 68 millones de rs.), y tiene en eí j D, Angel.Fernández de los-Rios; ministro togado,.y juez de reino unido de la Gran Bretaña 637 sociedades, subalternas primera.instancia de'.estaM.FP villa de Madrid , por el. presente auxiliares. .…</t>
  </si>
  <si>
    <t>…adores, yen particular los america enterarse de su tasación, acuda al referido juzgado por la es nos de aquella plaza hicieron cuanto estuvo de su parte para cribanía de número de D. Feliciano del Corral. adquirir noticias exactas, con ánimo de aprovecharse ue un Tablas cronológicas de los códigos y colecciones de tocios descubrimiento, qne-no podía menos de producir inmensas tres derechos civil romano , canónico y español: escritas en la ventajas á un pueblo…</t>
  </si>
  <si>
    <t>102</t>
  </si>
  <si>
    <t>…ir comunicación en terarse de su tasación acuda ante el expresado Sr. juez, .por la tre los ríos caudalosos , ó seguir paralelamente el curso de escribanía del número del cargo de D. Feliciano del Corral. los que muy dificultosamente pudieran ser navegables. Se desea saber el paradero de Antonio Mazon Colina , na La industria entonces recibió nuevo impulso; el carbón tural del lugar de Castillo, Junta de Siete Villas, montañas de de piedra fue trasportado con…</t>
  </si>
  <si>
    <t>…io último una sesión extraordinaria , para de acuda al juzgado del expresado Sr. juez por la escribanía de nú-mostrar un nuevo método de cálculo inventado por Mr. mero de cargo de D. Feliciano del Corral. Gomes, comerciante rico de Bayona. Este' método , que El remedio de la melancolía , ó sea colección de tecreacio-1. consiste en sustituir á las diferentes reglas aritméticas una nes jocosas é instructivas: tomo i.°: su autor D. Agustín Perez simple operación…</t>
  </si>
  <si>
    <t>Gaceta del Gobierno n.º 42</t>
  </si>
  <si>
    <t>…hacer postura, ticular, solo sí que el discípulo tenga alguna instrucción y enterarse de su tasación , acuda ante el expresado Sr. juez, por ía escribanía del número del cargo de D. Feliciano del Corral.,’ elemental en el dibujo , tina buena conducta, y que se so meta con docilidad al reglamento de la academia. Este es En virtud de providencia del Sr. D. Julián de Sojo, juez togado de primera instancia, refrendada del escribano cartula tablecimiento debe úni…</t>
  </si>
  <si>
    <t>…felices, haced otro tanto.” - siere • hacer-dichas mejoras acuda ante;el citado-señor' juez por la es Mas ; por qué tiene en los pueblos tanta'-influencia la libertad? cribanía de D. Feliciano del Corral. ' • y t - , - Porque solamente la riqueza multiplica los brazos, y estos rio'se Se halla vacante una de las dos plazas de médico titular de la ciu multiplican sino con la libertad , y porque esta felicidad solo-existe dad de Huete: su dotación consiste en 26…</t>
  </si>
  <si>
    <t>…s falaz , so ción, acuda al juzgado del expresado señor juez, por la escribanía del fistico é ignominioso. Si los Reyes tienen palabra; si la buena fe debe ser número del cargo de D. Feliciano del Corral. guardada; si los tratados solemnes deben cumplirse, ó deben convenir Por el presente se cita, llama y emplaza á todas las personas que se en su crasa ignorancia lo.s que ahora desaprueban la Constitución espa crean con derecho á ser herederos abintcstato de…</t>
  </si>
  <si>
    <t>…n tirano. capital, comparezcan en el juzgado del expresado señor juez, y escriba Todo esto se esperaba de los nobles sentimientos de Luis xvin; pero nía de su juzgado del cargo de D. Feliciano del Corral, á deducir el por desgracia para las naciones , parece que generalmente los Reyes es- que Jes asista; con apercibimiento que pasado sin haberlo hecho les pa tan destinados por la suerte para no oir ni conocer la verdad pura , la rará el perjuicio que haya lug…</t>
  </si>
  <si>
    <t>…terarse de su tasación acuda al juzgado del expresado señor juez, por embarcaciones de diferentes países, que no se especifican, se habian per la escribanía de número del cargo de D. Feliciano del Corral. dido en aquellas costas,y que solo un buque con bandera inglesa, car isoTA. En la gaceta de 24 de Abril, col. 7.*, lín. 52 , donde dice gado de vino, habia naufragado en la playa de Biserta, habiéndose sal Viuda de Rubín de Celit, léase tiuda de D, Bernabé G…</t>
  </si>
  <si>
    <t>…l 24 de Abril lo siguiente: » En es de Setiembre último, acuda ante dicho señor juez por la escribanía de te momento acabamos de saber por la via de Campeche que el coro número de D. Feliciano del Corral; en inteligencia de que su primer re nel Iturbide se habia acogido al indulto al verse abandonado por su mate se verificará trascurrido que sea el término fijado, á cuyo fin se gente, y que se habia presentado al egércitó del virey con 500O pesos señalará dia…</t>
  </si>
  <si>
    <t>…a constitucional; y aunque mera instancia de esta AI. H. villa, por auto de 25 del corriente, re esta impostura no dejó de sobresaltar los ánimos de sus naturales, des frendado de D. Feliciano del Corral, escribano de número, ha seña cansaron en la salvaguardia de la ley y en la pureza de sus acciones y lado para el segundo y último remate de cuatro casas, sitas en esta conducta, pues acostumbrados á obedecer ciegamente los Reales decre corte: una, calle del…</t>
  </si>
  <si>
    <t>Corral, Manuel del</t>
  </si>
  <si>
    <t>Manuel del Corral</t>
  </si>
  <si>
    <t>…jaes. mitirlos ó avisar para, que se recojan al mismo Sr. marques de S. Gil La mayor parte de estos hombres son tan ignorantes, fieros y mon en Sevilla, ó á su apoderado en Madrid D. Manuel del Corral, calle taraces, como los primeros cristianos compañeros dePelayo, y cada uno del Olivo Alto, nú en. 1, cuarto 2.°, mediante á que al que los ten de ellos al mismo tiempo que sabe defender su libertad, porque co ga de ninguna utilidad pueden serles, por cuanto…</t>
  </si>
  <si>
    <t>Corral, Manuel García del</t>
  </si>
  <si>
    <t>Manuel García del Corral</t>
  </si>
  <si>
    <t>…ía Pcreira acudir al Gobierno, el de aquella provincia por sus procedimientos contra el capitán de mili cual cuidaría, atendiendo á sus méritos, de ocuparle útilmente para el cias D. Manuel García del Corral, y á la diputación provincial de la mejor servicio de la patria, teniendo presente Jas Cortes que este inte misma por haberse arrogado facultades que no la correspondían. resado gozaba su sueldo por entero, que era lo único prevenido en el También se pasó á l…</t>
  </si>
  <si>
    <t>Corral.el, Feliciano del</t>
  </si>
  <si>
    <t>Feliciano del Corral.el</t>
  </si>
  <si>
    <t>…postura y enterarse de su del corriente, en donde se les manifestarán los muestras, y tasación , acuda al juzgado del expresado señor juez por la es cribanía de número de cargo de D. Feliciano del Corral.el pliego de condiciones relativo de la expresada subasta. Carta cuarta de D. Roque Leal.. Diezmos. En qué sentido son espirituales, de Dios y de Cristo. Alto dominio que sobre VARIEDADES. ellos conserva la autoridad temporal. Si' fueron hereges los Re yes de Es…</t>
  </si>
  <si>
    <t>Corral.ledad, Feliciano del</t>
  </si>
  <si>
    <t>Feliciano del Corral.ledad</t>
  </si>
  <si>
    <t>…er postura, y enterarse de de dicha ciudad de Toledo, linda con el cobertizo de la So su tasación, acuda al juzgado del expresado Sr. juez por la es cribanía de número de cargo de D. Feliciano del Corral.ledad y casas de la misma procedencia, en 18,757 rs. Por providencia del Sr. D. Angel F'ernandez de los Ríos, Otra casa contigua á la anterior, situada en el patio de ministro togado, y juez de primera instancia en esta M. H. villa,la Soledad, inhabitable, en 7226…</t>
  </si>
  <si>
    <t>Correa</t>
  </si>
  <si>
    <t>…an D. Juan. Manuel Sesión del 2. Coca. Se continuó la discusión pendiente del art. 90 del proyecto de Cons Provincia de Navarra. Pamplona D. Cristóbal María Rípa da titución, y el Sr. Correa de .Seabra opinó contra él, diciendo que lo ha jaureguizar; el Dr. D. Benito Díaz del Rio, suplente actual de la di llaba en contradicción con el art. 23 de las bases; que el poder egecu- putación de Navarra. Tudela El marques de Montesa; D Mariano tivo por s…</t>
  </si>
  <si>
    <t>Correa, Bernardo</t>
  </si>
  <si>
    <t>Bernardo Correa</t>
  </si>
  <si>
    <t>…la lacio dei Roe o con los Sres. Infantes D. Aliguel y D. Sebastian para corbeta de S. M. el Slancy, apostada delante de Buenos-Aires, y el presenciar la gran parada que mandó el general D. Bernardo Correa de presidente de esta ciudad relativa á este asunto, dió motivo ctiándo Castro y Sepúlveda ; el cual después de haber pasado revista á las tropas, se presentó á la junta á algunas reclamaciones bastante fuertes de parte' y haber mandado hacer las tres descarg…</t>
  </si>
  <si>
    <t>Correa, Josef</t>
  </si>
  <si>
    <t>Josef Correa</t>
  </si>
  <si>
    <t>…un reparto para pagar las dietas de los diputados á Cortes de aquella Las Cortes recibieron con agrado, y mandaron pasar á la comisión provincia. de Bellas Artes una exposición de D. Josef Correa , fabricante de por La comisión de organización de Fuerza armada y Milicias nacio celanas en Galicia , en la que presentaba á las Cortes varias piezas'co- nales presentó un proyecto de decreto acerca .del;, artículo 9 de la zno muestra de su laboriosidad, y h…</t>
  </si>
  <si>
    <t>Correa, Manuel</t>
  </si>
  <si>
    <t>Manuel Correa</t>
  </si>
  <si>
    <t>…bierno ilegítimo, y otros juez de primera instancia de esta corte, en cuyo juzgado se ha correspondientes á época Ubre, ha expuesto la Contaduría lla radicada -la testamentaría de D. Manuel Correa , vecino que fue de esta misma corte, y de quien quedó por heredero fideimayor lo que ha estimado oportuno, á fin de evitar incon comisario IX Julián Alonso y Estrada, ya difunto, se cita,venientes; y conformándose el Rey con su parecer , se ha llama y emplaz…</t>
  </si>
  <si>
    <t>Correa, Rafael</t>
  </si>
  <si>
    <t>Rafael Correa</t>
  </si>
  <si>
    <t>…tes. po, id.: D. Luis Cea, id.: D. Francisco Ibañez, id.: D. Pedro BaldiSe continuó Ja discusión del art. 6° del proyecto sobre dotación vieso, ayudante: D. Antonio Valverde, id.: D. Rafael Correa, Ídem: del clero, que dice asi: » Las pensiones ó cargas impuestas sobre cual D. Eugenio Laude, sargento i.°, y D. Melchor Fernandez /sargento 2.a quier beneficio eclesiástico que no excedan de 200 millones reís pagarán 2. J Otra con el mismo objeto hecha por…</t>
  </si>
  <si>
    <t>Correa, Raimundo</t>
  </si>
  <si>
    <t>Raimundo Correa</t>
  </si>
  <si>
    <t>…ortes recibieron con agrado varias ideas acerca del restableci Constitución en un día señalado, debiendo ser firmadas estas por todos miento de caminos y posadas , presentadas por D. Raimundo Correa, los Sres. diputados en la sesión siguiente. y mandaron pasarlas á la comisión de Caminos y Canales. Se acordó el indulto para los presos y desertoresr y se levantó la A la de Agricultura una memoria de D. Mariano Romer , que sesión. trata de las épocas y cau…</t>
  </si>
  <si>
    <t>Correa, Ramón</t>
  </si>
  <si>
    <t>Ramón Correa</t>
  </si>
  <si>
    <t>…a, de vicc-presidente, y resultó elegido Cartagena, de parte uei Gobierno español, X los señores Gepor 32 votos el señor diputado" Manuel Fernandez Tomas; fe político de Venezuela brigadier D. Ramón Correa, al pero como no formaba este número la mayoría absoluta, calde primero constitucional de Caracas D. Juan Rodríguez se repitió la votación, reducida al señor Francisco Simoens Toro, y D. Francisco González de Linares; y S. E. el pre Margiochi, que tuvo 20 vot…</t>
  </si>
  <si>
    <t>…nas cartas de Alemania del 12 dicen que el Rey dé ñol á lc-S’ señores gefe superior político de Venezuela el bri Prusia ha hecho todo lo posible por eximirse de ir al nuevo gadier D. Ramón Correa , alcalde primero constitucional de Congreso, conociendo muy bien que la Opinión de sus súb- Caracas D. Juan Rodríguez Toro y D. Francisco Gonzá ditoí y la de todos los alemanes está en favor de los na lez Linares; y el Excmo. Sr. presidente de la república d…</t>
  </si>
  <si>
    <t>…o espa 8'.° El cange de prisioneros será obligatorio, y se hará ñol, Sres. ge:e superior político de Venezue.a, brigadier á la mas posible brevedad. Deberán pues conservarse, siem D. Ramón Correa, alcalde primero constitucional de Ca pre los prisioneros dentro del territorio de Colombia, cual racas; D. Juan Rodríguez Toro y D. Francisco González quiera que sea su grado y dignidad, y por ningún motivo de Linares han acordado y convenido el precedente t…</t>
  </si>
  <si>
    <t>Corregidor</t>
  </si>
  <si>
    <t>Gaceta de Madrid n.º 247</t>
  </si>
  <si>
    <t>…i TXANCtA. dor puede dar ó negar el permiso para entrar en ella; y ni el Rey mis mo puede pasar adelante con sus guardias sin apearse del coche, y su París 14 de Agosto. plicar al lord Corregidor que le abra la puerta de ¡a ciudad, Escriben de Viena con fecha del 3 que un correo extraordinario</t>
  </si>
  <si>
    <t>Corres, Miguel de</t>
  </si>
  <si>
    <t>Miguel de Corres</t>
  </si>
  <si>
    <t>…rimer remate , que se ha de verificar én dicha citar y emplazar nuevamente por término 'del ocho dias precisos ciudad de Valladolid, en cuyo término radican las fincas , esta se á D. Miguel de Corres, D. Joséf Calvo, D. Pántaleon Ruiz y déñalado para el dia 14 del - corriente. ■ mas últimos tenedores é interesados en cinco vales. Reales , los tres Una ribera cercada, compuesta de viñedo ; árboles frutales, un soto de 30b pesos; creación dé i.° de Setiembr…</t>
  </si>
  <si>
    <t>Corselino, Luis</t>
  </si>
  <si>
    <t>Luis Corselino</t>
  </si>
  <si>
    <t>…ldo, descuento del papel-moneda. ó se le oiga en consejo de guerra. El Sr. Zapata manifestó que cuando mas deberla satisfacerse á este A las de Guerra y Hacienda una exposición de D. Luis Corselino, interesado un mes y algunos dias, esto es, Julio y partí de Agosto, sargento i.3 del segundo de Guardias, en la que pedia se le declarase que es el tiempo que dicha contrata tuvo cabida en el año económico; el sueldo correspondiente al grado de capitán; y ot…</t>
  </si>
  <si>
    <t>Corsino, Andrés</t>
  </si>
  <si>
    <t>Andrés Corsino</t>
  </si>
  <si>
    <t>…que podía na Ilazabal, viuda del intendente D. Manuel Inca Yupaugui, sobre contestarse á la de las leyes de distinción , y á lo demas que habia referi que se le conceda á su hijo D. Andrés Corsino la asignación de i 28 do , que en aquel artículo se exigía la presentación de títulos, del mis reates anuales, concedida á su padre por las Cortes en 9 de Julio de 1811, mo modo que la exigía exclusivamente el art. 5.° del decreto de 6 de sin perjuicio de su…</t>
  </si>
  <si>
    <t>Corta, Benito</t>
  </si>
  <si>
    <t>Benito Corta</t>
  </si>
  <si>
    <t>…dignamente el ilustre P arroquia de S. Ildefonso , 18 electores. cargo de que están revestidos, puedan dar á la patria padres amantísi- Don Antonio Baras , D. Bartolomé Labrador, D. Benito Corta mos y virtuosos, que funden en inmutables bases su presente y futura zar, D. Carlos González Llanos , D. Casimiro Martin, D. Francisco felicidad! ¡Con qué placer no se persuade el ciudadano de que es im Calzada, D. Francisco Villaescusa, D. Gaspar Aguilera, D…</t>
  </si>
  <si>
    <t>Cortazar</t>
  </si>
  <si>
    <t>…das pasó una exposición de Don Sres. 1 eran, Apestarán y Fagoaga, diputados por la provincia de MéFrancisco Noriega , juez de primera instancia en-la-provincia de Gali xico , y el Sr. Cortazar por Guauajuato; en cuanto á los primeros opi cia, en que hace presente los perjuicios que se siguen en la administra no la comisión debian admitirse desde luego; pero en1 cuanto al otro ción de justicia el acogerse los rctís.af fuero de marina, y- el entorpec…</t>
  </si>
  <si>
    <t>…misión especial que entendió de este negocio. ramo ; todas las cuales fueron aprobadas. A la comisión especial de Hacienda se mandaron pasar dos exposi Se leyó una proposición del Sr. Cortazar y otros señores , relativas ciones del cónsul general de España en los Países-Bajos, relativas al ¿ las contribuciones que se deben imponer en Ultramar, y el modo dé pago de réditos atrasados del préstamo de Holanda;..y otra del Sr. mi beneficiar las minas de…</t>
  </si>
  <si>
    <t>Cortazar, Josef de Allende Salazar y</t>
  </si>
  <si>
    <t>Josef de Allende Salazar y Cortazar</t>
  </si>
  <si>
    <t>…á mejorar la suerte de la especie humana, nopodia persuadirse que un hombre, que á la gloria llama i los que se crean con derecho á los bienes que han quedado por fallecimiento de D. Josef de Allende Salazar y Cortazar, natural que militar de tantas batallas podía fácilmente añadir la mejor y mas in fue de dicha villa, á fin de que lo deduzcan en el mismo tribunal den mortal de bienhechor de tantos pueblos, y que muchas veces por escri tro de 30 dias, que por primero, segun…</t>
  </si>
  <si>
    <t>Cortazar, Modesto</t>
  </si>
  <si>
    <t>Modesto Cortazar</t>
  </si>
  <si>
    <t>…ido en estos términos: para Belorado á D. Antonio Rojo y Gandía: paraBriviesca á D. Hilario Art. 57. »Inmediatamente que los subdelegados reciban el estado Armontia: para Búrgos á D. Modesto Cortazar: para Castrojeriz á Don de repartición visado por el intendente , enviarán á los alcaldes cons Josef Calleja: para Villaoz á D. Bartolomé Fernandez: para Miranda titucionales la orden que fija el contingente de su pueblo ó distrito. de Ebro á D. Domingo de Sa…</t>
  </si>
  <si>
    <t>Cortés</t>
  </si>
  <si>
    <t>…la inJícacion Para apoyarla recordó su autor que S. M. se habia quejado alta del Sr. Sánchez Salvador. mente de los insultos que habia sufrido , sin indicar qué autoridades ha El Sr. Cortés manifestó que el ministerio era un cuerpo constitu bían dejado de sostener, como es debtdo.su dignidad, y sin prisanticional, compuesto de siete secretarios del Despacho; que este no podia hechos particulares; manifestó los gravísimos males que amenazaban i f…</t>
  </si>
  <si>
    <t>…he con el código criminal, como que de él formaba una parte, podía dis chos que los expresados canónigos eran regulares, y que como tales se cutirse cuando aquel; pero habiendo el Sr. Cortés contestado que seria habian considerado últimamente en la testamentaría del difunto arce útil ganar tiempo, supuesto que lo mismo seria aprobarla por separa diano de Cámara; por lo que no creia justo que los novicios de una do; se acordó que la comisión prese…</t>
  </si>
  <si>
    <t>…ñoles], que cuando-estos cometen algún crimen son castigados; y que 'Hacienda para qué pudiera' ilustrar con*sus luces i: los Síes. diputados -abundando en las mismas ideas que el Sr. Cortés, creia debía' pasarse 'que da componen; pero habiendo marivfesláüó el Sr. presidente y else- otra vez al Gobierno. - ■ ñor Gaseo que el artículo'del réglanientó' dé las Cortes prefijaba el Se leyó la siguiente indicación del Sr. Moreno Guerra, que poco "íióni…</t>
  </si>
  <si>
    <t>…erra , á llevar á casa del fundado en sólidas razones, apopando él dictamen de la comisión. -*•;•* señor toda la cosecha para que escoja; este le dice: »» súbela arriba-, ” y ' El Sr. Cortés dijo: Señores, en una materia que se ha hecho tan im cuando ha escogido lo mejor, » vuelve á llevarte estas dos.partes.” Otro portante, en urfci discusión que se presenta con tanta oscuridad y en que1 que tiene 30 moreras no puede coger una hoja, aunquejos gu…</t>
  </si>
  <si>
    <t>…e encierra el anterior documen men que la comisión habia presentado. to no se necesita mas que una regla, y esta es general: sustituyase á El Sr. Gareli, después de indicar que el Sr. Cortés habia dado en cada palabra otra ele significación totalmente contraria, y la traducción su discurso una prueba corroboratoria de lo que habia dicho él con res que resulte será el xurdadcro original. SUPLEMENTO</t>
  </si>
  <si>
    <t>…r infeliz , principalmente por ni escasa.” : -■-■ - ■ 1 ■ -- -- i -., : la mudanza del ministerio; que todos los dias hay sesiones'secretas, y- «- Sedeyó la- siguiente adición del Sr. Cortés al provecto de ley so que -las públicas son muy - borrascosas t - qiie están muchos contra el' bre juicios de conciliación: &gt;&gt; Los alcaldes y demás personas que concur Rey, á pesar, de que- los mas ven en él Monarca un modelo de con ran al juicio de conciliac…</t>
  </si>
  <si>
    <t>…s cuales hicieron oposición. El Sr. Priego impugnó en un largo discurso lo que habia dicho so A la de Guerra pasó una exposición del cuerpo de inválidos de la bre el particular el Sr. Cortés, como igualmente el parecer del Sr. Caplaza de Jaca, pidiendo se lleve á efecto el decreto de 13 de Marzo latrava y el dictamen de la comisión; y pidió se declarase no haber lu de 181.J. ' gar á votar sobre él, y se devolviese á la comisión , para lo cual hac…</t>
  </si>
  <si>
    <t>…xiones que se hicieron cuando se trató del empréstito, por lo que do diputado por Navarra, sino por Galicia.miraría con mucha escrupulosidad cualquiera innovación que se hicie El-.Sr. Cortés indicó que no siendo los obispos nombrados por el se e:i este asunto: que el Sr. secretarlo deL Despacho habia manifesta Rey, sino por eL Sumo Pontífice, no debian estar comprendidos en lo do que convendría que el pago que corresponde al mes de Abril se ve qu…</t>
  </si>
  <si>
    <t>…la clasificación de años de- servicio -á los ¿tipleados: de do en fuerza de la jurisdicción obtenida. ' esta-&lt;capital, en-cuya- base difiere la tesorería general, ó Lea Ta-sec El .Sr. Cortés manifestó que el Sr. Lobato habia insinuado que él ha ción. encargada de aquella ¡ operación ; ¡tomando por término fift'af el bia omitido en su discurso! la especie de que habia muchos pueblos en el 2 de Mayo de 180,8y se iha"servido declarar que sea: y debe…</t>
  </si>
  <si>
    <t>…ta Sos, en Aragón, pidiendo se le declare cabeza de pairido. execrable la memoria de semejante establecimiento; pero no puedo de A la Eclesiástica una exposición presentada por el Sr. Cortés de jar de llamar la atención del Congreso hacia los individuos que cuen Fr. Blas Casanovas, observante en la provincia de Aragón, pidiendo tan 30 y 40 años de servicio, y cuya subsistencia pende de los recur se conceda á los religiosos un gobierno conforme al…</t>
  </si>
  <si>
    <t>…nisterio de la Guerra, en que se prehja el término de tres meses para exposición á la comisión de Marina. solicitar las gracias concedidas por S. M. en 30 de Mayo de 1815 , cu El Sr. Cortés presentó otra exposición del ayuntamiento constitu yos egemplares se mandaron repartir. cional y cabildo de la ciudad de Segorve para que se la declare capital A la comisión de Guerra se mandaron pasar las exposiciones de de la provincia del norte de Valencia…</t>
  </si>
  <si>
    <t>…jo dicho Sr. diputado. Manifestó en los padres no quieren que los legos voten, y los legos quieren votar. seguida los datos que habia tenido !a comisión para calcular el produc El Sr. Cortés dijo qué no pueden hacerse las elecciones de prelados to de los diezmos y del derecho de estola, y lo que era necesario para mientras el Gobierno no cumpla lo que tienen ordenado las Cortes la manutención decente del clero ; añadió en seguida que sevun el ¿ce…</t>
  </si>
  <si>
    <t>…bre diermos, en virtud de varias adiciones que se habían pasado á la guientes: una del ayuntamiento de Falencia para que se le conceda utt misma . relativas á este asunto: Una del Sr. Cortés ai art. Otra del arbitrio de 16 maravedises en cada cuartillo de aguardiente para aten Sr. Marin Tauste al 2.0 Otra del Sr. Castañedo al g.° Otras de los se der á los gastos municipales: la comisión era de parecer que podía ñores conde de Montenegro , Vitorlc…</t>
  </si>
  <si>
    <t>…, que en cumplimiento de la ley de 25 de Octubre , de zones en que fundaban el dictamen que queda referido. J820 ha formado el gefe político de la provincia de Jaén de acuerdo El Sr. Cortés dijo: Estoy tan penetrado como todos los españoles de con el R. obispo, abad de aquel territorio ;-en su vista y de los docu la necesidad indispensable de las Cortes extraordinarias; pero suplico á mentos que V. E. me remitió con oficio de hoy, se ha servido…</t>
  </si>
  <si>
    <t>…la comisión,-y desapro el anterior. bado las Cortes los demas. Por último opinaba la comisión que podian tomar las Cortes en No se admitió á discusión la siguiente indicación del Sr. Cortés: consideración los artículos 5.0, 7.0, 8.°, g.° y 10 de los qtie habia pre » Pido que las Cortes señalen un millón , ó lo que tengan por conve sentado en su anterior dictamen. niente, para la importantísima carretera de Valencia á Aragón.” El Sr. Azaola, indi…</t>
  </si>
  <si>
    <t>…na el proyecto que se discute. Ha citado el señor provincias , sino también que e* útil la que se propone. Zapata los artículos 316 y 332 de la Constitución, para demostrar que El Sr. Cortés dijo: Para hablar de este asunto conozco que necesita en cada provincia debe habm un intendente , y de consiguiente los em ba otros datos que creo no existen , y serían muy necesarios para ele pleados que es regular; pero yo debo manifestar que el espíritu de…</t>
  </si>
  <si>
    <t>…mayor número de vecinos, esto sión proponga provincias de cuarta clase. Vengamos ahora á las refle lió debe influir. Segorve es mas central; la misma comisión confiesa xiones del Sr. Cortés acerca de la pros'inda de Valencia. •qué Castellón está á un lado de laprovincia , lo que no sucede con La comisión del Gobierno propuso la división de esta provincia Segorve, que está matemáticamente al centro, y tiene un seminario con- en tres; y aunque la…</t>
  </si>
  <si>
    <t>…1/neos.,- por man ra que una sola diputación y gefe político no sosa algunas noticias y datos á la misma. mente podr í desempeñar muy bien todo lo que allí ocurra , sino mucho El Sr. Cortés manifestó ia utilidad que resultarla de que la provin man, poique todo estar-i reducido á asuntos forenses , y acaso á algunas cia de Aragón se dividiese en tantas como proponia la comisión -, pues medras r'e prosperidad local á que un hombre solo puede atend…</t>
  </si>
  <si>
    <t>…n á la comisión. un obispo en Tenerife, y para mandar residiese en la misma la diputa Provincia de Castellón. ción provincial, dijo que contrayéndose al punto relativo á que la El Sr. Cortés dijo: Señor, no me opongo á que se forme como deba población de la isla de Tenerife debía ser la capital, esto es, si Sama. formarse de la parte del norte del reino de Valencia una nueva provin Cruz de Tenerife ó S. Cristóbal de la Laguna, era menester advert…</t>
  </si>
  <si>
    <t>…todos los españoles ; pero que como cia, y de ningún modo por el dentro; y por cualquier método que elija en el actual resguardo han sido incluidos algunos de los que componian «1 Sr. Cortés para dividir la provincia de que se trata, Castellón queda el antigao, y que anteriormente no han servido en el egército, no de rá en ella. Esta centralidad es tan evidente, que se puede asegurar i ben estos quedar exentos de aquella obligación por el hecho d…</t>
  </si>
  <si>
    <t>…Cortes se sirvieran aprobar en su totalidad el plan presentado y fundaciones de esta clase. por ia comisión. Después de haber hecho el orador varias reflexiones sobre este pun El Sr. Cortés dijo: He pedido la palabra para hablar contra el dic to, concluyó manifestando que aclararía cualquiera duda que ocurriese tamen de ia comisión, no porque me oponga á él, sino porque tengo en el curso de la discusión. que hacer algunas observaciones; y como e…</t>
  </si>
  <si>
    <t>…e haberse celebrado uha junta en el Crédito público , computista del se- El Sr. Gisbeit dijo : La comisión no puede menos de quedar satis fecha de la opinión que ha manifestado el Sr. Cortés; pero al mismo cretario del Despacho del Hacienda y de los ministros de aquel esta blecimiento , y que &gt;e había decidido en ella extraer de aquella teso tiempo se ve en la obligación de responder á las objeciones que ha he.cho su Señoría. ' . . ■ „ rería 4 o…</t>
  </si>
  <si>
    <t>…y Sevilla tomar la posta para Se mandó pasar á la comisión de.Division del territorio una pro viajar, ni á los procedentes de ellas, y que los que Tas tomen para obje posición del^Sr. Cortés, relativa á los límites de la provincia de Caste tos del servicio público cesen y se les remude , v también las harijas llón de la Plana. 'dé la correspondencia en ei sitio designado para el expurgo.” Lo digo Se leyó otra proposición de los Sres. Ra.ra.onet,…</t>
  </si>
  <si>
    <t>…iales, sino porque es contrario al primero ya aprobado por las Cortes. podia reducirse. Que Ja comisión quiso disminuir el número de em El Sr. Clemencin dijo que le parecía que el Sr. Cortés no había en pleados que fuese pasible , y para esto tuvo que buscar algunas bases ry tendido bien la intención de la comisión , pues este artículo y los in persuadiéndose que no había otra mejor que la de la población, dividió» mediatos trataban solo del esta…</t>
  </si>
  <si>
    <t>…dad de 209 reales. tes:^ demas autoridades respectivas.” Habiéndose declarado-el punto por suficientemente discutido, el se No se admitió á discusión la siguiente proposición del Sr. Cortés ñor Diaz Morales pidió que la votación fuese nominal; y habiéndose con referencia al art. 16 aprobado ya; y decía asi: »&gt; Pido que á los tres resuelto que no, se votó este artículo, y no fue aprobado.^ puntos á que se redimen los informes que el Gobierno debe…</t>
  </si>
  <si>
    <t>…idiendo que se aprobase Ja proposición. pos de milicias sobre la* armas. Se aprobó el artículo. Se declaró este asunto suficientemente discutido; y habiendo pedido CAPITUtO vi. el Sr. Cortés que fuese la votación nominal, se acordó así. Se pasé» á verificar esta, y quedó aprobada la proposición por 78 votos contra 77, Del fuero de la milicia nacional activa. ¿¡elido el total 155. Art. 96. o Los individuos de la milicia nacional activa solo estira…</t>
  </si>
  <si>
    <t>…se vacantes las plazas de administrador depositario de la; la falta de costumbre de estar embarcados. ■ adnatia dé Torrevieja, eh.ia provincia dé Valencia , y la de oficial úni El Sr. Cortés dijo que debiendo haberím número de médicó-cirü-’ co de la administración de'la aduana de Aguilas en la de Cartagena, janes para la armada, era riVuy indiferente él qué se les diese el nom dotada la primera con 5500 rs., y la segunda Con 4400 id. anuales; y b…</t>
  </si>
  <si>
    <t>…ecto , á fin de probar Madrid 14 de Noviembre de 18ai. la delicadeza con que habian procedido dichas comisiones. El Rey, á consulta del consejo de Estado , se ha servido nombra Ei Sr. Cortés dijo que si por fundadas sospechas se podia allanar la para jueces de primera instancia de la provincia de Cádiz á .los sugetoi casa de un ciudadano, las .de todos los ciudadanos podian ser allanadas siguientes: para la priipera de Cádiz á D. Joaquín Josef de…</t>
  </si>
  <si>
    <t>…rgo, 5 de Noviembre, publicado por el derecho contra el que hubiese dado ocasión ai allanam.eutode su casa.” ¡Monitor, se dice: » Una orden publicada en Witepsk, después de ha- El Sr. Cortés preguntó si en el caso de r.suitai de una información ib:r pasado el Emperador la revista á los regimientos de guardias, anun sumaria que hab.a entrado un contrabatido en una calle, no sabiendo de ció que el egército continuaría en pie de guerra para estar pr…</t>
  </si>
  <si>
    <t>…ro también conoce que es materia imposible reglamento opinó que no debia volverse á hablar de este asunto. el que haya un legislador tan sabio, que pueda discernir todos los ca El Sr. Cortés dijo que la cuestión no se reducía á si Pontevedra ó sos y todas las circunstancias; por lo cual si esto se hubiera de verifi Vigo debia ser capital , sino que era mas genera!, es decir, si Vigo de- car , el resultado seria que nunca habría una ley: la comisi…</t>
  </si>
  <si>
    <t>…-, y libertar una mul con definiciones, sino con egem'plosypara ¡a m.iyor exact.tud. '1 sí mis titud d: victimas de ios.furores de la venganza. mo observó que la definición que él Sr. Cortés opinaba debía, darse al ” Gracias sean dadas, Señor, á aquella vigilancia, incesante, y á delito no era.tan exacta como la que se proponía ; que con respecto á aquella saludable severidad con que habéis mandado guardar vuestras las observaciones que se habían…</t>
  </si>
  <si>
    <t>…es pañía del mismo D. Pablo Vila , á la que corresponde el soldado Luis que habia manifestado anteriormente. Mononi, á quien se ie ha instruido sumario, que se halla en disposi El Sr. Cortés: Extraño mucho que la comisión ponga una pena al ción da elevarse á proceso; y no podiendo dicho capitán verificarlo por pensamiento y resolución de delinquir , porque en mis ideas no cabe ordenanza, solicita se declare á quién corresponde , si a! primer avuq…</t>
  </si>
  <si>
    <t>…rminos que ia co y eran tan semejantes, que no se las podía separar ni iiacer una clasi misión lo propone. ficación de ellas, como asimismo era imposible marcar ia línea diviso El Sr. Cortés: En el artículo que se discute se especifican tres accio ria entre fautor y auxiliador. nes: id* Acompañar al que comete el delito: z.“ Ayudarle después da El Sr. Sctomsyor fue de opinión que era demasiado severo impo cometido; y g.‘ aprovecharse de las conse…</t>
  </si>
  <si>
    <t>…c-o mas de lo que era , pues no pasaba de unos millones, y que para artículo 17. Víase la gacrt/1 tic ayer. lograr el efecto deseado de dar un valor regular á nuestro papel era El-Sr. Cortés dijo : Aunque tos Sres. de la comisión -han reforma preciso simplificar y remover la enajenación de las fincas nacionales que do esta parte del artículo 17, siempre queda una palabra que á nu me se aumentaban diariamente; por todo lo cual debía aprobarse el d…</t>
  </si>
  <si>
    <t>…terceras partes dé la a señalada por la ley contra ios'autores-dei día á la simple'-lectura del pirrafo. delito ó culpa , á no ser que ia misma ley disponga expresamente otra • El Sr. Cortés dijo qüe le parécia conveniente que en lugar de &lt;fó- cosa’; observandose ademas lo prescrito en,los art*. 94, 95 y 103.” htrias se dijese jperiudtiohet, - cuando decía ¡ 1» Los qué' espontine»- • Art. 18. . »»Son receptadores y encubridores: mente y i sabiend…</t>
  </si>
  <si>
    <t>…rio del dicta mismo se debe respetar la amistad de estos que la de los demas, por men del Sr. preopinante. que esta no tiene que ver nada con los vicios del hombre. Él amigo de El Sr. Cortés: Suplico á los Sres. de la comisión que en vez de un ladrón tiene el mismo estímulo que el de un inocente para recep decir en el artículo mal presente se dijese mal inminente. tarle. El Sr. Zapata ha manifestado que los dos meses que propone la Los Sres de la…</t>
  </si>
  <si>
    <t>…bia pedido el Sr. conde de naza la guerra civil, ellos son los que la excitan. ¿Se quiere ia Consti Toreno. tución, ó no! Si se quiere, ¿cómo no se obedece la autoridad ReaLco- Ei Sr. Cortés pidió que se leyese el art. t6o de la ConstTucion, mo ella previene ? Se dice que se amala Constitución; pero liega el que trataba de las tacuitades de la Diputación permanente. descaro hasta el punto de negarse la obediencia que ella manda, apo El Sr. Calatr…</t>
  </si>
  <si>
    <t>…a corporación , que el bien público exigí que a lo menos no se que deben tenerlas autoridades es no separarse ce ia ley.- respecto de la hagau inculpaciones ce esta naturaleza. El Sr. Cortés pidió ayer que las de Sevilla no ha habido un motivo grande para hacer Jo contrario, se leyera el articulo de la Constitución , que ha querido aplicar al pre esto es , una fuerza moral á que no hivan podido contrarestar. Lo sente caso; indicó desde ¡usgo que…</t>
  </si>
  <si>
    <t>…y no una ley: este acto puede estar complicado con mu En seguida se leyó la representación de Sevilla. chas circunstancias, y por consiguiente es muy d - fácil decidir la cues El Sr. Cortés pidió que se leyese la copia de la exposición hecha £ tión de si se ha de obedecer ó no ciegamente en todos los caso9 á estos S. M. por las autoridades de Sevilla , y que acompañaban á la que ha- actos meramente gubernativos Si un padre me mandase que me echa…</t>
  </si>
  <si>
    <t>…nera alguna culparse á los que habían hecho esta ha llegado á la masa del pueblo, y por lo mismo no es temible. representación: que la obediencia agotada ya y consumida, por de El Sr. Cortés dijo que no se había valido de la Constitución para cirlo asi , no podia menos de estallar cuando se conocia que esta podía su principal argumento , sino solo del artículo 109 del reglamento, que ser perjudicial, y que á este acto de desobediencia no se podia…</t>
  </si>
  <si>
    <t>…olación y anarquía. El Sr. .Romero Alpuente , después que se ha vali dentro de los límites de sus prerogaiivas constitucionales, y que í los se do de los ¡miamos principios que el Sr. Cortés , y después de inculcar la cretarios del Despacho, 4 quienes impropiamente se les llama minis idea de si las Cortes tienen ó no facultad para entrar en el examen de tros, no se les podia inculpar cuando firmaban una orden que no es esta cuestión , citó varios…</t>
  </si>
  <si>
    <t>…igue: « Todas las rifas y loterías de cartones en los ca fés y casas públicas sabe V. E. han estado constantemente-prohibidas Marzo de1813 después de publicada la Constitución. El Sr. Cortés dijo que de ningún modo habia tratado de compara!1 como perjudiciales á la moral pública y í la Hacienda nacional, según la desobediencia de un hijo cuyo padre le manda se tire á un pozo expresan las leyes nO derogadas. Creyendo en el dia ó desentendiéndose d…</t>
  </si>
  <si>
    <t>…o cabo Canet tículo , si acaso tenia algún defecto, la comisión de Corrección' de es hasta el rio Cenia. tilo , luego que se aprobara el proyecto, seria la que io enmendaría; y Ei Sr. Cortés hizo varias reflexiones para demostrar que la comisión que respecto de las palabras máximum y mínimum no se podían supri debía haber hecho mérito de una proposición suya relativa á los lími mir estando tan admitidas, r.o podiendo por otra parte desecharlas, t…</t>
  </si>
  <si>
    <t>Córtés'-fue</t>
  </si>
  <si>
    <t>…leros , pidiendo :séforme causa al alcalde cóns- -■¿wíchara á Roma'-y ó'adóridé tuviera por conveniente.' -tífuciohárde la misma juanLMariúél Heredia, por haber;infringido él - El Sr. Córtés'-fue cí¿;:d¡ctamen dé qüe las Cortes no debían ocuparse ’ árt. 306 de'la Constitución. ‘ ■ • en una 'lárga discúsion:eri Un asunto 'tan1 claróque á ésla§y como í En seguida sé leyó el oficio qué en1 contestación al del Sr; presi- cfterpo législativó', üó les compe…</t>
  </si>
  <si>
    <t>Cortés, Conformándose las</t>
  </si>
  <si>
    <t>Conformándose las Cortés</t>
  </si>
  <si>
    <t>…31. de entrado como individuas de-ell» algunos que lo, eran de las de,provin yiasado me dicen lo que sigue.: - . , ■ : cia »e habían .ya nombrado los Gcfes políticos de .esta: el arzobispo Conformándose las Cortés cpn |o propuesto por el consejo.de Esta de Génoya-ha publicado una pastoral muy evangélica, exhortando í do en su co.ñsuita de 9 de Agosto último , que.nos-dirigió el antecesor obedecer A las autoiidades existentes &amp;c.; y el ReyEélíx desde Múden» de V. E, en.…</t>
  </si>
  <si>
    <t>Cortes, González</t>
  </si>
  <si>
    <t>González Cortes</t>
  </si>
  <si>
    <t>…mpone de todos ios individuos españoles, y esta medida es pronto á egecutar lo que propone la comisión; y hace presente á las general; y aun los mismos pueblos á quienes supone el Sr. González Cortes que la base principal en que se ha de fundar Ja ley no está to Atiende perjudicados en esta pérdida, no hacen otra cosa que pagar en davía bien desenvuelta, y por esta razón me he atrevido a anunciar que papel la contribución, que deberían pagaren dinero. El…</t>
  </si>
  <si>
    <t>Cortes, Jo</t>
  </si>
  <si>
    <t>Jo Cortes</t>
  </si>
  <si>
    <t>…aya sido menos improvisada. Desde que la Junta central en tró en Sevilla en 1809 se comenzó ya á trabajar sobre este punto: las En la ciudad de Barcelona á 15 de Marzo de 1821. El Sr. D. Jo Cortes pasaron meses y meses formándola ; y meses y meses discutién sé f Cayetano Garciny de Salanró, magistrado honorario de esta audien dola punto por punto, con el mayor tino , madurez y reflexión, sin cia territorial, juez interino de primera instancia de la pre…</t>
  </si>
  <si>
    <t>Cortés, Juan Delgado y</t>
  </si>
  <si>
    <t>Juan Delgado y Cortés</t>
  </si>
  <si>
    <t>…tiva de Itúrbide. Asi lo anuncian las cartas rigirán sus memoriales al secretario del ayuntamiento constitucional de Veracruz, que alcanzan hasta l.° de Abril, . de la misma villa D. Juan Delgado y Cortés hasta i.° de Agosto próParece que las noticias de Lima hasta el 28 dé Diciembre eran xinio. que un cuerpo de gjoo hombres del alto Perú se habian aproximado . notas. En la gaceta de 31 del próximo pasado, co!. 4,*, lín. 30, en ya á aquella capital , y que con…</t>
  </si>
  <si>
    <t>Cortes, Las</t>
  </si>
  <si>
    <t>Las Cortes</t>
  </si>
  <si>
    <t>…la Prueba por jurados de D. Santiago nombrar por votación los Sres. diputados de los cuales se había de Joanama» componer el tribunal de Cortes, lo fueron por e&gt;te orden : i.° el señor Las Cortes recibieron con aprecio, y mandaron pasar á la comisión La Bodega por 71 votos: i.'1 el Sr. Caro por 74: 3.' el Sr. Romero de Guerra, dos colecciones de todos los números del periódico la Mi Alpuente por 76: 4/ el Sr. Gira Ido por 75: 5.’ el Sr. Caiatrava nerv…</t>
  </si>
  <si>
    <t>…s pa F.1 Sr. secretario Kreire presentó las bases de la Constitución y el ra los que abran tiendas de dicho arte. decreto para su publicación , todo lo cual fue leído, firmando el señor Las Cortes recibieron con agrado , y mandaron pasar á la comisión presidente y diputados dos originales; uno para el archivo, y otro para encargada de la organización del egército, dos egemplares del método cuela Regencia le dé-el debido cumpbmienio, en cuya operación s…</t>
  </si>
  <si>
    <t>Cortes, Romero Al</t>
  </si>
  <si>
    <t>Romero Al Cortes</t>
  </si>
  <si>
    <t>…ad pública fuesen extensivas á todas clases de personas. cia , todos inclusive; y antes de egecutar la suspensión, se dé cuenta á las Sé mandó pasar ah Gobierno una indicación del Sr. Romero Al Cortes para su aprobación. puente y otros Srési diputados, que versaba al parecer sobré rebaja de ,, Los medios de averiguar estas calidades serán las diputaciones pro derechos. (No se oyó bien esta indicación.) vinciales , los Gefes políticos; y en cuanto á los mil…</t>
  </si>
  <si>
    <t>Cortes, Sesión de</t>
  </si>
  <si>
    <t>Sesión de Cortes</t>
  </si>
  <si>
    <t>…veras añadir nuevas y re Lisboa 18, de Setiembre. petidas pruebas á las muchas que tenia dadas, para confusión de ios ilusos, que sienten en su alma ver la armonía y concordia que reina Sesión de Cortes del ij. entre el Monarca y las Cortes; y que ven despedazado su corazón Se dió cuenta de un oficio del gobernador.de Fernambuco Luis al ser testigos de la escrupulosidad con que S. M. quiere en persona, de Regó Barreto, su fecha 6 de Agosto, en que participab…</t>
  </si>
  <si>
    <t>CORTES, Tomas de</t>
  </si>
  <si>
    <t>Tomas de CORTES</t>
  </si>
  <si>
    <t>…aber SS. MM. y AA. continúan sin novedad en su importante salud. lugar á la formación de causa contra £). Tomas O-Donojú , Gefe político de Murcia, y contra el comandante de armas D. Tomas de CORTES. la Torre, por infractores de Constitución; cuyo expediente se habí» mandado quedar sobre la mesa én 2 de Noviembre próximo-pasado: Sesión dei dia 2 de Marzo. la comisión era de parecer no haber lugar á dicha formación de causa; EL Sr. secretario Couto leyó e…</t>
  </si>
  <si>
    <t>Cortifias, Agustín</t>
  </si>
  <si>
    <t>Agustín Cortifias</t>
  </si>
  <si>
    <t>…efactos y máquinas con Cortes. La comisión opinaba i.°: Que las Cortes no podían tener la ducentes al fomento de la misma y de las artes y minería. menor dificultad en dispensar á D. Agustín Cortifias de unas pruebas, Quedaron aprobados, y se leyeron ios siguientes: que en manera ninguna contribuyen á calificar el mérito y i ti virtud, Art. 2.Ó. » Todo nuevo poblador puede introducir libremente y sin para cuya recompensa se instituyó dicha orden. 2.0 Que t…</t>
  </si>
  <si>
    <t>Cortinas, Agustín</t>
  </si>
  <si>
    <t>Agustín Cortinas</t>
  </si>
  <si>
    <t>…, gozará franquicia y entera libertad de to La comisión de Guerra presentó su dictamen acerca de la solicitud da clase de derechos en Ja extracción que se haga por mar ó tierra de D. Agustín Cortinas , vecino del Ferrol, en la que manifestaba que para el extrangero o para cualquiera otro punto de la monarquía espa por sus méritos contraídos en el restablecimiento de la Constitución ñola , de todo género de frutos y cualesquiera otros efectos comerciables…</t>
  </si>
  <si>
    <t>Coruña, Feli-</t>
  </si>
  <si>
    <t>Feli- Coruña</t>
  </si>
  <si>
    <t>…a la comandancia general de Ex Granada.............................................................................. li tremadura /vacante por fallecimiento del benemérito general-D. Feli- Coruña..'......... ..........................................;..................... ‘pe de Arco Agüero, al mariscal de campó D. ’Joaquin Montemayór, Barcelona....................................................................... Par á i en atención i sus distinguid…</t>
  </si>
  <si>
    <t>Corvera, Juan Fernando</t>
  </si>
  <si>
    <t>Juan Fernando Corvera</t>
  </si>
  <si>
    <t>…de venderlos, y cobrar su importe, amor puertas se hallaba para recibirla una diputación del ayuntamiento, tizando con su producto parte de la deuda pública. compuesta del regidor D. Juan Fernando Corvera y de su síndico 1.“ El Sr. Girao presentó un artículo para que se adicionase a las ba D. Juan Andrés Morcillo; y puesta en el salón , el comandante arengó ses de la Constitución, declarando la inviolabilidad del domicilio de encrgiqsiniente al ayiultaruíento,…</t>
  </si>
  <si>
    <t>Cos, Cristóbal de Mier y</t>
  </si>
  <si>
    <t>Cristóbal de Mier y Cos</t>
  </si>
  <si>
    <t>…presehte , al Josef Gájalio y Cabañas: para el de Potes á D. Josef González Suarez: proponer la provincia de Alicante, los muchos motivos que se reunían para el de Puente Nansa á D. Cristóbal de Mier y Cos: para el de Co en ella á favor dé esto mismo; tales eran la riqueza, población, y millas á D. Vicente de la Gándara-, para el de Torre la Vega á Don últimamente por hallarse á un extremo del feiho de Valencia, sin que Josef Manuel Tagle: para el de Laredo á D…</t>
  </si>
  <si>
    <t>Cosa, Joaquin</t>
  </si>
  <si>
    <t>Joaquin Cosa</t>
  </si>
  <si>
    <t>…e (y yo también A las comisiones que entienden en la reforma de aranceles se man estoy en lo mismo) ha dicho que las Cortes, antes de decretar un nue daron pasar una exposición de D. Joaquin Cosa, vecino de Alfacír, vo gasto , deben considerar si se está en estado de satisfacerle ; por lo y otra del intendente de Cádiz sobre dicha reforma. . mismo yo creo que S. S. debe hacer una proposición para que venga A la comisión de Hacienda un.expediente remit…</t>
  </si>
  <si>
    <t>Cosío</t>
  </si>
  <si>
    <t>…tante, como era én Granada, esta misma costum dos votos: uno de los Sres. Díaz del Moral y Banqueri, y otro del bre han teñido los de Almería. Asi debemos acercarles el gobierno á señor Cosío , contrarios áque se forme la provincia de Almería. aquellos infelices, y al menos les daremos el consuelo de que sus que Se dió cuenta de las siguientes exposiciones, que se mandaron tener jas las puedan deducir mas cerca. He aqui las razones que tengo para…</t>
  </si>
  <si>
    <t>Cosío, Diego</t>
  </si>
  <si>
    <t>Diego Cosío</t>
  </si>
  <si>
    <t>…or dónde entraba el diablo á conversar con Lu misma D- Juan Villa v Olier, se cita, llama y emnlaza á Don tero , se responde que por la estufa; y en verdad que no Pedro Cífuentes, D. Diego Cosío , D.-Josef Álturena, D. An habia necesidad de hacerle entrar por semejante conducto, tonio María de Cárdenas y D. JuanDagés Menor, tenedores, el cuando hay para ello una buena puerta. primero de 3 vales de 300 pesos,creación de i.° de Mayo, nú Este raro monum…</t>
  </si>
  <si>
    <t>Cosió, Miguel</t>
  </si>
  <si>
    <t>Miguel Cosió</t>
  </si>
  <si>
    <t>…misma resolución se tomó con otro dictamen de la espresat^j lo que se nie previene en el art. 12 de la ley de 1 de Noviembre del comisión, la que habiendo visto la queja dada por D. Miguel Cosió,' año próximo pasado, pongo en noticia del público que por el ministe-r teniente coronel y sargento mayor agregado al regimiento de .infante rio de la Gobernación de. la Península se ha expedido certificado de ría dé Burgos, contra el capitán general de Casti…</t>
  </si>
  <si>
    <t>Cosío, Pedro Antonio</t>
  </si>
  <si>
    <t>Pedro Antonio Cosío</t>
  </si>
  <si>
    <t>…la de primera lo que da lugar á contrastes pintorescos, y á una admirable mezcla de instancia los Sres. D. Manuel de Echevarría , diputado por la provin tintas. : cia de Canarias; D. Pedro Antonio Cosío, por la de Granada; Don Cuadros Ae Eyck. Un ingles ha comprado, en Aquisgran dos her Francisco Javier Caro, por la de'Sto. Domingo, y D. Josef Mariano mosos cuadros de Eyck- ( Hubertvan.); que adornaban en otro tiempo Michelena, por la de Nueva-España. 2.°La…</t>
  </si>
  <si>
    <t>Costa</t>
  </si>
  <si>
    <t>…gracia era acreedora la misma. » Casi al mismo tiempo me llegaba un parte anunciando que ¡a bri El de Ja de Legislación sobre el expediente instruido, por D. Josef gada ligera del general Costa habia tenido igual suerte hacia Sessa. Dehesa, presbítero y abogado en Sta. Cruz de Tenerife,, en solicitud de Mientras yo me lamentaba de estos sucesos oí á corra distancia nume que se le permita egercer la abogacía. La comisión opinaba que podía rosas desca…</t>
  </si>
  <si>
    <t>…ntq de mi.Iicias provincias que están.'paEíficáS; y á'que. fe'separe inmediatamente -de sus prosrínéíálés de Ciudad-Rodrigo, contra'el alcalde constitucional de Po- ' destinos' at’coronel Costa , al comandante D.-Cali*tt&gt;*Gi,mza!ez'’y;y'cual reña por haberle puesto preso, y de la diputación provincial y Gcfe quiera otro gefe que como estos hubiese dado pruebas de su arbitrariedad político de aquella provincia-.por: haber, procedido con parcialidad e…</t>
  </si>
  <si>
    <t>Costa, Almetda y Juan Sevcriano Maciel da</t>
  </si>
  <si>
    <t>Almetda y Juan Sevcriano Maciel da Costa</t>
  </si>
  <si>
    <t>…a. « No es ese porte marcial y brillante lo Portugal , vizconde de Magé , Bernardo Josef de bousa Lobatto, Mon que me inflama al contemplaros: es sí ese fuego patriótico que asoma señor Almetda y Juan Sevcriano Maciel da Costa. en vuestros ojos, y arde en vuestros corazones, como está ardiendo en el Por otro decreto de 11 del corriente eligió y nombró S. M. para</t>
  </si>
  <si>
    <t>Costa, Jaime Eoleh y</t>
  </si>
  <si>
    <t>Jaime Eoleh y Costa</t>
  </si>
  <si>
    <t>….ministerial. Para; 'idfrigido porjel miímo Sr. ministro..TIna exposición de Doña Gertrudis llevar al colmo Ja injuria se violenta al Rey á que firme escritos as Tole!, , viuda de D. Jaime Eoleh y Costa , director que era dí la es ignom nía y de impiedad. cuela gratuita de nobles artes en Barcelona , para que se le concédala ,,Yu no teneis nación napolitana, ya no hay"pueblo , sino plebei ; i. misma viudedad'qué!gozaban las viudas de los antecesores de su ma…</t>
  </si>
  <si>
    <t>Costa, Josef</t>
  </si>
  <si>
    <t>Josef Costa</t>
  </si>
  <si>
    <t>…aprobó el dictamen de la comisión ordinaria de Hacienda, rela Art. 4.0 &gt;5 Que la primera compañía será de preferencia en todos tivo á la solicitud de Doña María Salvador, viuda de D. Josef Costa y los regimientos, y que en todas las de estos habrá á elección del capi Gali, diputado á Cortes que fue por la provincia de Cartagena en esta tán un cabo primero ó sargento segundo furriel para egercer las fun legislatura. La comisión opinaba que en atención…</t>
  </si>
  <si>
    <t>Costa, Ribeiro</t>
  </si>
  <si>
    <t>Ribeiro Costa</t>
  </si>
  <si>
    <t>…mas quje una presidente el Sr. Moura; para secretarios los Sres. Filgueiras, Freire, débil pintura de nuestra situación interior.” .Mendoza , Falcaofque lo son actualmente), y el Sr. Ribeiro Costa; que Echando después el honorable vocal una ojeada rápida sobre las dando nombrado para suplir á cualquiera de estos secretarios el Sr. Bar relaciones de Inglaterra con los otros Estados , recordó á la Cámara la roso; con lo que se levantó la sesión. conducta…</t>
  </si>
  <si>
    <t>…se al corregidor vertida la sangre de su tio , y que ya lo hubiera conseguido, si no ..luí* del partido. yese y se le ocultaran; asi lo afirman 400 hombres de caballería y los. El Sr. Ribeiro Costa pidió que en atención á haberse admitido la oficios del Emperador, que la noche pasada ha mandado por dos arti dimisión del redactor de! diario de Cortes, se nombrasen nuevos re lleros muy afamados que había en Tetuan, los cuales han marchado ya dactores, con…</t>
  </si>
  <si>
    <t>…uilibrio europeo—Los griegos continúan sien Se continuó la discusión del proyecto de Constitución, y leyó el do victoriosos desde el golfo de Y crio hasta el de Lepanto.—El ejérci Sr. Ribeiro Costa la última parre del último párrafo del artículo jo to turco de Romelia, que se retira de Janina, se ve continuamente aco que dice: » Se dividirá el territorio portugués en provincias, partidos y sado por los griegos, que le persiguen y le matan gente por toda…</t>
  </si>
  <si>
    <t>Costa, Rodrigo Ferreira da</t>
  </si>
  <si>
    <t>Rodrigo Ferreira da Costa</t>
  </si>
  <si>
    <t>…asase’la proposición á las comisiones de Hacienda y Co mo en 17*9. mercio para que diesen su dictamen. ¡ Quién ss cansará de admirar el entusiasmo fogoso de nuestro an 5. * La del Sr. Rodrigo Ferreira da Costa sobre la forma de los</t>
  </si>
  <si>
    <t>Costa.zzPor, Joaquin Manuel</t>
  </si>
  <si>
    <t>Joaquin Manuel Costa.zzPor</t>
  </si>
  <si>
    <t>…honor na cabos Gregorio Cazaña. = Por los soldados Francisco Corral, zz Partida cional , parece que olvidan la vergonzosa dependencia en que se hallan de fusileros Guarda-bosques sargento Joaquin Manuel Costa.zzPor los respecto de una potencia berberisca , la última en su clase, si se considera fusileros Ramón Masana.” el miserable estado de su marina. Llámese tributo ó regalo, lo ciert» Las Cortes han oido con aprecio los sentimientos patrióticos mani es que considerad…</t>
  </si>
  <si>
    <t>Costas, Perez</t>
  </si>
  <si>
    <t>Perez Costas</t>
  </si>
  <si>
    <t>…ódigo sobre procedi las hayan oído para que hagan de ellas el apreció que tengan por con mientos criminales. veniente. Por todo lo cual me opongo al artículo, porque disminuyén El Sr. Perez Costas presentó varias proposiciones sobre la división dose el número de diputados para las diputaciones en las provincias que del territorio con respecto á la provincia de Galicia, y no se admitie se designan, será insuficiente para llenar el objeto que se han prop…</t>
  </si>
  <si>
    <t>Couro</t>
  </si>
  <si>
    <t>…seguida juraron los Sres. diputados que no asistieron á la terce mandó el Sr. presidente dejar el expediente sobre la mesa para discu ra junta preparatoria. tirlo el dia 4. . . El Sr. Couro leyó una representación de la diputación permanente, Se dió cuenta de otro expediente del presbítero D. Juan Benjuen que daba parte de varios expedientes, de los cuales se habían pasado mea contTa el ayuntamiento de Marchena, por haber infringido este 1* algu…</t>
  </si>
  <si>
    <t>Couto</t>
  </si>
  <si>
    <t>…exonerado de este cargo al tiempo de «Las próximas sesiones, Sermo. Sr., y las circunstan su faflecimiento. cias, que esperamos sean mas felices, pondrán á los diputa El expresado Sr. Couto dio. cuenta de haber presentado dos en ¡a venturosa disposición de hacer todo lo posible en sus poderes los Sres. D. Antonio Anselmo Fernandez, di beneficio del pueblo, bien seguros de verse apoyados por la putado suplente por Guadalajara; D. josef Cabeza y M…</t>
  </si>
  <si>
    <t>…do caso el extraerla, pata que JÉl Sr. secretario Sancho leyó el acta de la junta prepa lo sea en algún convento ó, beaterío en el mismo pue ratoria anterior, y en' seguida el Sr. secretario Couto ,el blo ó sus inmediaciones; entendiéndose:en todos.los ca dictamen de la comisión de Poderes , en, el cual opinaba de sos con los ordinarios eclesiásticos,- Sin, perjuicio de aeree bían aprobarle los de los Sres. D- Josef Cabeza y Mora, ditar á las que recur…</t>
  </si>
  <si>
    <t>…la Encarnación vieja, núm. 13 , ett ron elegidos, para presidente el Sr. Capo Manuel, por 74 votos; para vice-presidente el Sr. la Bodega, por 7; ; para 17,610 rs. secretarios el Sr. Couto, por 73, el Sr. Traver, por 74 en Otra casa calle Real, en la callejuela sin salida, núm. 8, segundo escrutinio; el Sr. Peña fiel por 78, lambien en se ert 36,682 rs. gundo escrutinio, y el Sr. Gaseo por 76 votos. Una huerta de cabida de 7 aranzadas, 12 $ est…</t>
  </si>
  <si>
    <t>…nte se habí» mandado quedar sobre la mesa én 2 de Noviembre próximo-pasado: Sesión dei dia 2 de Marzo. la comisión era de parecer no haber lugar á dicha formación de causa; EL Sr. secretario Couto leyó el acta de la última junta preparato pero habiendo votado particularmente los Sres. Quintana y González ria, y desde la instalación de las Cortes el Sr, Peñafiel. Allende que debía haber lugar á ella: y á petición del Sr. Palarea En seguida juraron los S…</t>
  </si>
  <si>
    <t>…se suspendiese pira continuarla en la sesión de mañana, le perdone ciertas cantidades procedentes de bulas. vantó la pública de este dia para entrar en secreta. En seguida el Sr. secretario Couto leyó el art. 51 del reglamen to de las Cortes, y en su consecuencia el Sr. presidente señaló sesión ARTICl-IO DE OTÍCIO. extraordinaria á las 7 de la noche para proceder al nombramiento El Rey se ha servido dirigir con fecha de 4 del corriente á D. Ij-</t>
  </si>
  <si>
    <t>Couto, Antonio Manuel</t>
  </si>
  <si>
    <t>Antonio Manuel Couto</t>
  </si>
  <si>
    <t>…y que el ge bo , suplente por Oajaca ; el Sr. D. Francisco- Pablo- Vázquez, diputa neral Carrascosa se adelantó hasta Spoleto. Siendo esto cierto, la po do por Puebla; el Sr. Dr. D. Antonio Manuel Couto, diputado por sición de los austríacos, que pretendían internarse hasta Sul mona, como Veracruz ; el Sr. sargento mayor D. Ignacio García Iilueca, suplente consta por. relaciones que publica el Monitor, puede llegar á serles por México. ...... ,-v. ínuyifunes…</t>
  </si>
  <si>
    <t>Coz, Le</t>
  </si>
  <si>
    <t>Le Coz</t>
  </si>
  <si>
    <t>…quidar en !a veeduría general de la Real Coronel. En esta se hallará igualmente la apología de la reve Casa, Capilla y Cámara de S. M. hasta fin de Diciembre an lación del célebre Sr. Le Coz, que publicó traducida el autor terior de 1820, acudirán á recoger las certificaciones de sus de la obra que se anuncia. líquidos haberes desde el lunes 8 del presente mes de la fecha La Serafina: novela original en cartas escritas de Zaragoza á en adelante.…</t>
  </si>
  <si>
    <t>Cozar, Josef López de</t>
  </si>
  <si>
    <t>Josef López de Cozar</t>
  </si>
  <si>
    <t>…l com-. del misino consejo pira regentes de las audiencias de Valladolid y bate que hay siempre entre el orden de cosas nuevo y ei antiguo , en Granada á D. Josef Coisa y Saro y á D. Josef López de Cozar. tre el despotismo que acaba y la regularidad que emp'eza, pueden los Para magistrados de las audiencias de Valladolid á D. Angel de. apasionados de aquel retardar la victoria de esta; pero triunfará al fin Govantes Fernandez de Angulo: para la de Granada á D…</t>
  </si>
  <si>
    <t>Cres, Juan Antonio</t>
  </si>
  <si>
    <t>Juan Antonio Cres</t>
  </si>
  <si>
    <t>…D. Tadeo Aresanenaga, id. : D. Domingo de la Rosa, id.: Don el dia 2 de Julio; y qué en este intervalo se discutirían varios asuntos Santiago Torres. id.: D. Manuel Baricher, id.' D. Juan Antonio Cres pendientes. po, id.: D. Luis Cea, id.: D. Francisco Ibañez, id.: D. Pedro BaldiSe continuó Ja discusión del art. 6° del proyecto sobre dotación vieso, ayudante: D. Antonio Valverde, id.: D. Rafael Correa, Ídem: del clero, que dice asi: » Las pensiones ó carga…</t>
  </si>
  <si>
    <t>Crespo, Diego</t>
  </si>
  <si>
    <t>Diego Crespo</t>
  </si>
  <si>
    <t>…n el de Cabra á D. Ignacio Gil de Sagredo; para el de Lucena á Kon Francisco el Grande: de Franciscos descalzos, de S. G¡1; de Capuchi Josef Arjona y Zapata; para el de Montilla á D. Diego Crespo de nos, de S. Antonio del Prado; de Agustinos calzados , de S. Felipe el León; para el de Pozoblanco á D. Juan María de la Torre: para el da Real ; de Agustinos Recoletos, de nuestra Sefiora de Copacayana’; de La Rambla á D. Josef Sánchez del Aguila, y. para…</t>
  </si>
  <si>
    <t>Crespo, Rufino</t>
  </si>
  <si>
    <t>Rufino Crespo</t>
  </si>
  <si>
    <t>…nca en la de D. Valentín Mariana, librero. En te y emplace por medio de la . gaceta del-Gobierno á Doña Ma ría Campani, viuda de D. Ramón Compani, vecino que fue Belmonie en la de D. Rufino Crespo, del comercio. En dé la ciudad de Palma, en la isla de Mallorca , para que dentro Plasencia en la de D. Antonio Monredon y Acevedo, boti del término de 40 dias precisos se presente en dicho tribunal,cario. En Barcelona en la de Doña Josefa Clauseíles, del por…</t>
  </si>
  <si>
    <t>Creus, Jaime</t>
  </si>
  <si>
    <t>Jaime Creus</t>
  </si>
  <si>
    <t>…tado á las órdenes del se norca, aunque se exigiese la responsabilidad al ministerio y al consejo ñor duque del Infantado; y que asi era de parecer que la delicadeza de Esrado, el Sr. D. Jaime Creus no dejaría de ser arzobispo de Tarra qbé manifestaba aquel cuerpo exigía que él Sr. presidente le contésta gona, porqué sé diria que estaba casado con la Iglesia , y no se podia se en nombre de las Cortes. descasar ; y que siendo asi, lo que convenia era deci…</t>
  </si>
  <si>
    <t>Creux</t>
  </si>
  <si>
    <t>…a del egército pase á las bulas de los obispos ha menester el consentimiento de las ha hecho el comisario de Guerra D. Gabriel Caraballo. Cortes, y en este caso se hallan las ,del~Sr. Creux. Las Cortes oyeron con agrado la felicitación que por su segunda El Sr. Vitorica dijo que creiaque las bulas de los Sres. obispos eran instalación les ha sido dirigida por la diputación provincial de Sevilla, las que el Gobierno ó el Rey podía: despachar oyen…</t>
  </si>
  <si>
    <t>Creux, Jaime</t>
  </si>
  <si>
    <t>Jaime Creux</t>
  </si>
  <si>
    <t>…n ducido á encerrarse en el Bosforo de Tracia. gún destino el sugeto que no sea alecto á la Constitución; y pues que el Asegurábase también que el Duque de Módena y el Rey de Ñapó Sr. D. Jaime Creux no lo es, según los documentos que se fian leído, les acompañarían al Emperador Francisco 4 Viena. No es inverosímil y que S. S. Urna, fia fundado su gloría en haberse opuesto constante que S. M. Siciliana haga este viage, pues hallándose en poder de los ment…</t>
  </si>
  <si>
    <t>Crisóstcmo, Juan</t>
  </si>
  <si>
    <t>Juan Crisóstcmo</t>
  </si>
  <si>
    <t>…la señaló por capital de provincia, y las razones de conveniencia ha tenido tres fuertes ataques de apoplejía , y que esta novedad se ocub que había para que lo fuese Tuy: otra de D. Juan Crisóstcmo de la taba con, tanto misterio como empeño en palacio. No sabemos si es re Torre, pidiendo se añadiese á la provincia de Chinchilla un pueblo in lativa á este accidente la junta secreta de que hablamos en el mismo mediato á aquella ciudad, que según los límit…</t>
  </si>
  <si>
    <t>Cristian</t>
  </si>
  <si>
    <t>…sensiones diplomáticas y en los mútuos zelos de D. Andrés Ferrari, de Genova. D. Francisco García, de esta los Gabinetes europeos, no conoce límites en sus actos arbitrarios; pero D. Cristian .Stemberghe, de Bru- corte. tampoco se fia enteramente, y se prepata á una lucha, que podrá ser muy sélas. D. Antonio Cañero Hidalgo, de sangrienta si consigue fanatizar al pueblo musulmán. El resultado de D. Manuel Ruiz de la Prada. Córdoba. estas negociacio…</t>
  </si>
  <si>
    <t>Cristiani</t>
  </si>
  <si>
    <t>…al varios correos, y desde El abogado Simón Ferrero ha sido nombrado director general de entonces todo respira guerra. Algunos oficiales generales han sido em policía en lugar del conde Cristiani, que habia solicitado repetidas ve pleados en virtud de ordenes de Laybach. Se han tomado disposiciones ces su exoneración. para un nuevo armamento, y se va á formar al instante un segundo egér- Ñapóles 1$ de Marzo. cito de reserva de 503 hombres de infanterí…</t>
  </si>
  <si>
    <t>Cristina, Marta</t>
  </si>
  <si>
    <t>Marta Cristina</t>
  </si>
  <si>
    <t>…r el servicio. ,. de hicieron su, entrada pública en Xurin los nuevos Reyes el señor 4. a Los individuos del egército permanente que pidan pasar con un D. Carlos Félix y su esposa Doña Marta Cristina. La ciudad de Turin, mismo ascenso. que se titula condesa de Grugliasco y Sra.de Bemiasco, quisó cele 5.a Los retirados útiles que lo soliciten del mismo modo. brar este memorable dia con fiestas públicas; pero habiéndolo prohibi . Las comisiones añadían deso…</t>
  </si>
  <si>
    <t>Cristo</t>
  </si>
  <si>
    <t>…omisión nombrada para informar á las*Cortes acerca del mensaga Continuándose la discusión que habia quedado suspensa con moti dej,S. M. ' vo de la salida de la diputación, dijo el Sr. Cristo que el decreto de la* . La comisión de Poderes, después de haber examinado los délos Sres. Cortes ordinarias últimas deeia: no pueden ser elegidos diputados d Cor D. Juan O-Gavan , D. Josef Zayas y D. Josef Benitez, electos diputa tes por ia provincia en dond…</t>
  </si>
  <si>
    <t>…De Real orden lo traslado á V. S. para los efectos consiguientes. Después de haber contestado á algunas equivocaciones que dijo ha Madrid 30 de Noviembre de 1821. bia padecido el Sr. Cristo, pidió que se aprobase el dictamen de la co Dirección general de aduanas. misión. ” F,1 Rey se ha servido aprobar la medida tomada en la isla de Ma El Sr. Navarrete dijo que para saber si eran ó no válidos los po llorca conmotivo.de las enfermedades que se pa…</t>
  </si>
  <si>
    <t>Cristóbal</t>
  </si>
  <si>
    <t>…teños regenerados. A esto se encami flujo tienen en los Gobiernos de los grandes cantones. nan los trabajos de los representantes del pueblo, mientras Lausatta 11 de Diciembre. el general Cristóbal no consultaba mas que su ambición y El día 9 se concluyó la sesión extraordinaria del gran sus pasiones; Abusó de aquella autoridad que habia vencido consejo. En ella fueron admitidos los dos proyectos de ley á nuestros antiguos tiranos; entró como un faciner…</t>
  </si>
  <si>
    <t>…arjales en dicho término, pago del Martes, en Ibiza á D. Sebastian Terres. 3000 rs. Siete marjales en dicho término, pago del Viernes , en En atención á los méritos y servicios de D. Cristóbal 3500 rs. Izquierdo de los Santos, juez interino de primera instancia Cuatro marjales en dicho término, pago del Martes, en de la villa de Marchena, se ha dignado S. M. concederle 2800 rs. honores de magistrado de la audiencia territorial de Sevilla. Dos marja…</t>
  </si>
  <si>
    <t>…veintena y otros, y las rentas de mas de rj9 fanegas de tierra, de su provincia. Hizo también presente que hab.a acaecido un sur-so denunciadas desde 21 de Mayo de 1740 por el Dr. D. Cristóbal tibal semejante á este en Cádiz cuando se trató de la abolición de la inqui-</t>
  </si>
  <si>
    <t>Gaceta de Madrid n.º 200</t>
  </si>
  <si>
    <t>…de la audiencia territorial, y juez de primera instancia en esta cho de genres.vC¡úe lá siripi alianza ha profesado pira'esclavizar la Italia.. capital, y escribanía del número de D. Cristóbal de-Vicuña, se siguen Declararse contja los griegos ([que es el principio dé legitimidad de los. autos por D. Gregorio de la Haza , en concepto de apoderado de .Don Gobiernos absolutos) pudiera serle muy perjudicial al Gabinete ruso,: Francisco Arana, sobre re…</t>
  </si>
  <si>
    <t>Crivell, Francisco</t>
  </si>
  <si>
    <t>Francisco Crivell</t>
  </si>
  <si>
    <t>…u una puede reemplazar á la otra. Un anatomista podría tal cidos al castellano con algunas notas para su inteligencia por vez objetar que hallándose el estómago provisto de ramifi D. Francisco Crivell, y adornados con estampas finas por Don caciones de otros nervios, que tienen su comunicación bajo Josef Asensio, 4 tomos en pasta: á 200 juego. c=Los Oficios de el parage donde el Dr. Philip corta lo que llaman par va~ Cicerón, con los diálogos de Ja vejez,…</t>
  </si>
  <si>
    <t>Crmbrero, Pedro García</t>
  </si>
  <si>
    <t>Pedro García Crmbrero</t>
  </si>
  <si>
    <t>…nteres en que se examinase el expediente, y se pesa tenfa Garrido responsable de dicho impreso; y en su consecuencia el sen todas sus palabras con la mayor escrupulosidad posible. Sr. D. Pedro García Crmbrero, juez de primera instancia de Granada, .El Sr- Cepero: Perteneciendo yo á las dos provincias cuyos acon manió ponerle inmediatamente en libertad, y declaró que 110 debía tecimientos han dado motivo i la instrucción de este expediente, creí perjudicarle este p…</t>
  </si>
  <si>
    <t>Croese, Henrique</t>
  </si>
  <si>
    <t>Henrique Croese</t>
  </si>
  <si>
    <t>…inconvenientes que se habian indicado para que no se aprobase el tonio Gallego Valcarcel; Doña Catalina Josefa de Paul , de Cádiz: proyecto que se discutía. el duque de S. Carlos; D. Henrique Croese, de Anisterdám; D. Fran El Sr. Moscoso impugnó el dictamen de la comisión en general, y cisco Joaquín Inarte, de Pamplona-, D. Francisco de Gorbea y sobri manifestó que las Cortes no debían discutir provincia por provincia, nos, de Madrid; D. Francisco Lozano…</t>
  </si>
  <si>
    <t>Crok.it</t>
  </si>
  <si>
    <t>…atitud por labene- «Cuando murió estaba á su lado el Dr. Árnott, y le vió espirar. volencia con que me habéis autorizado á pagar una antigua y justa deu Luego vieron el cadáver el capitán Crok.it, que estaba de servicio, y da en favor de los nuevos territorios de este pais, que por su fidelidad los Dres. Shortt y Mitchely y el Dr. Arnott veló al difunto durante verdaderamente racional, de que poco ha me he convencido personal la noche. mente , tenían…</t>
  </si>
  <si>
    <t>CrolCat</t>
  </si>
  <si>
    <t>…on los honores que cor responden á un oficial general ds ¡a mas alca graduación ; y he confiado do venturoso y benéfico , y que su marcha segura y bien ordenada me este encargo ai capitán CrolCat, &lt;U1 tof regimiento de S. M. , que esta- proporcione en breva la facilidad de presentaros otros proyectos sobre</t>
  </si>
  <si>
    <t>Croron</t>
  </si>
  <si>
    <t>…Se vuelve 3 repetir la salida de la escuadra rusa para el Mediterrá hubiesen practicado los comisarios de Guerra por falta de Jfotioas ó neo y nómffrahdo ya de comandante al vice-almirante Croron ; y noso por otra razón, ilustrándolos con Observaciones ó notas para su n.a&gt;or tros repelimos que 110 ló crearos s ya un periódico extrangero cita la gace claridad; ta de Petersburgo anunciando la próxima salida de la escuadra para el y.' n Para que el conta…</t>
  </si>
  <si>
    <t>Cruchaga</t>
  </si>
  <si>
    <t>…tan algunos tontos de introducir en tros lectores el parte que se ha recibido por extraordinario de! tenien la China y en España. Se hallará en las librerías de Castillo, de la te coronel Cruchaga, que con otros valientes han salido de diferente* viuda de Goveo , de Villa y de Novillo. EN LA IMPRENTA NACIONAL.</t>
  </si>
  <si>
    <t>Cruz</t>
  </si>
  <si>
    <t>…Alianza ¡leí tro tos, interesantes: el primero si era cierto que el navio Asia, en que de no, y libertad, sillada con la lava ardiente del Vesubio. En ja de Mar bia. embarcarse el general Cruz . destinado de capitán general á Santa Fe, zo de 182a, por Carlos de Gnnéeniat. Y en el reverso: Ide. jurado'.esa conduciría una gran porción de monturas de caballería,de quintales de constitución por la cual suspirabais , y será siempre su mas Jirme apoyo pó…</t>
  </si>
  <si>
    <t>3*8 tacion terminante del secretario del Despicho, dijo este que el Gobier ba, se quejaba en otro expediente, del capitan-gencral-de Cataluña Don no habia dispuesto pasase el general Cruz a América; pero no creía Pedro Viikcampa , por haberle dado pasaporte para la plaza de Tor fuese con el destino que el Sr. preopinante sospechaba; que efectiva tosa, con orden de presentarse al gobernador de esta, bajo pretexto de mente existia en Cádiz el na…</t>
  </si>
  <si>
    <t>Cruz, Josef González</t>
  </si>
  <si>
    <t>Josef González Cruz</t>
  </si>
  <si>
    <t>…Juan Rodriguez.=El capíi;m Bernardo Fernandez. nota. En el anuncio que se hizo del P. .'atete en nuevo método —El teniente del de Lugo Andrés González. ueerKi subteniente del por D. Josef González Cruz, donde dice se hallará en la librería de provincial de Lugo Ramón Luacel.=El sargento mayor de inválidos González, debí entenderse en casa del mismo González , en el l&gt;ur¡&gt;o Pedro CortijocnEÍ capitán del provincial de Mondoñedo Josef Otero de Osma. SUPLEMENTO…</t>
  </si>
  <si>
    <t>CruzOrovio, Juan</t>
  </si>
  <si>
    <t>Juan CruzOrovio</t>
  </si>
  <si>
    <t>…elptóncs tan ¿n- go de la Calzada-, D. Manuel Riiiz del Rio , coronel retirado y propiet.disc¡plinac!os,.que el último Sultán perdió ,1a yida por haber querido in tapio.'Suplente. D. Juan CruzOrovio, propietario. i, troducir entre los gehízaros el sistema militar de Éuropa.,A estas ven- - , , Por Galicia. D. Andrés Rojo, comerciante; D.-Josef»Pumarejo, riajás ¡qué.poseen los griegos opone el autor ías siguientes-en-favor de teniente, dé fragata ; .el Dr.…</t>
  </si>
  <si>
    <t>Cslatrava</t>
  </si>
  <si>
    <t>…xDiego Glemencin , presideme.erjuan Palajtrin'cipal pena consistía en la idea de no salir de allí jamas. rea, diputado secretario.=Fermin Gil de Linares,diputado secretario.” " El Sr. Cslatrava manifestó que la objeción del Sr. preopinante Por tamo mandamos á todos los tribunales, justicias, gefes go vendría bien cuando la comisión dijese que no se les permitiese des bernadores y demas autoridades, asi civiles como militares y eclesiásti cansar; per…</t>
  </si>
  <si>
    <t>Csva-, Pedro</t>
  </si>
  <si>
    <t>Pedro Csva-</t>
  </si>
  <si>
    <t>…acer en Bayona la violenta abdicación de su corona. provinciales las cantidades que se necesiten para cubrir sus precisos gas Para que no se tenga por libré mi aserción, oígase al Sr. D. Pedro Csva- tos; haciéndolo constar con la debida instrucción, y usando de los me líos en su exposición ,,de los hech» s y maquinac ones que han preparado dios que señala la resolución de las Cortes de 25 di Junio último. la usurpación de la corona de España, y los medio…</t>
  </si>
  <si>
    <t>Cuadreni, Antonio</t>
  </si>
  <si>
    <t>Antonio Cuadreni</t>
  </si>
  <si>
    <t>…Cuando no decreten las El Sr. Quintana presentó unas reflexiones ó plan de educación que Cortes que el reemplazo del egército permanente se verifique de ia mi dirjgia T las Cortes D. Antonio Cuadreni , maestro de primeras letras licia activa, cada provincia cubrirá dentro de un término fijo, y del de la villa de Figueras, principado de Cataluña. Las Cortes las reci modo que le sea menos gravoso, et cupo que le pertenezca, quedando bieron con agrado , y ma…</t>
  </si>
  <si>
    <t>Cuadrillero, Miguel</t>
  </si>
  <si>
    <t>Miguel Cuadrillero</t>
  </si>
  <si>
    <t>…a alteración es tan fácil partidos dirigirán las solicitudes al ayuntamiento de Arcos, ó en estt y tan expuesta , ni el aseo de las vasijas y medidas metálicas , en que la corte á D. Miguel Cuadrillero, calle de Sta. Polonia, nútn. 6 , cuarto permanencia de un licor inocente puede hacerle absorver en pocas ho principal. ras un veneno activo. Lo que debe haceros mirar con suma delicadeza Nuevos apuntes del diputado Villanueva sobre las cartas del señor estas…</t>
  </si>
  <si>
    <t>Cuando, Fer</t>
  </si>
  <si>
    <t>Fer Cuando</t>
  </si>
  <si>
    <t>…blen cos los discípulos mas aplicados de su escuela. En este acto, que a nom Inglaterra y los Estados-Unidos de América. bre de S. A. R. presidió su secretario de Cámara el Excmo. Sr. D. Fer Cuando el ansia de dominar; cuando el amor propio, la ambición nando Queipo de Llano, gentilhombre de Cámara de S. M. con ejerci y el interes particular son los resortes que prevalecen en los que están cio, dieron pruebas de su aplicación y de sus adelantamientos lo…</t>
  </si>
  <si>
    <t>Cuarenta, CO</t>
  </si>
  <si>
    <t>CO Cuarenta</t>
  </si>
  <si>
    <t>…Agosto se dará principio en uua de las salas de la ca- nes estará afecta al primero. La plana mayor de cada batallón de los regimientos de línea constará de un comandante segundo, teniente CO Cuarenta reis valen un real de vellón. coronel efectivo del egercito , un primer ayudante capitán., un según-</t>
  </si>
  <si>
    <t>Cuartel</t>
  </si>
  <si>
    <t>…l lado izquierdo: No, no, ñosotios nunca nos opone . con arma blanca. . mos á ninguna impresión ,.nunca. ( Se continuará. ) A no ser por el asesinato del soldado , las órdenes del brigadier Cuartel maestre-general se reducían á intimar á los e,actores las &lt; irdePORTUGAL* . nes de S, M. , lo que no tuvo electo , porque no estaban ya en sesión, y prender á los revolucionarios y amotmadores, dispersando lo restante Ultramar.__Rio- Janeiro 25 de ¿Abril. del…</t>
  </si>
  <si>
    <t>Cuatro</t>
  </si>
  <si>
    <t>…o , en noors. : Dos marjales en id. id., en r600 rs. ANUNCIOS. Otros dos marjales en el mismo.término y pa?;o, en 1400 rs. En virtud de providencia del Sr. D. Julián Díaz de Vela, juez Cuatro marjales en id. id., en i3 rs. de primera instancia de esta heroica villa, refrendada del escribano Un la provincia de Valladolid, procedentes del extinguido monasterio de'número de ia misma D.- Tomás-María Manrique, se ha maridado de los Mártires, y su prime…</t>
  </si>
  <si>
    <t>Cubas, Felipe’</t>
  </si>
  <si>
    <t>Felipe’ Cubas</t>
  </si>
  <si>
    <t>…btenientes constitucionales el uno del año' pasado y el otro deL' présente en la re la misma faja de seda azul con franja de plata; los sargentos la misma ferida villa ; y otra'dé D. Felipe’ Cubas, vecino dé la Villa de Iniésta, con franja de seda amarilla ; y los cabos con franja de seda blanca. contra efl régidor'decano dé la’misma. ' ' . . " . 7,°- „En las precedentes disposiciones no se comprenden las ciuda ~ A lá de Diputaciones provinciales y de…</t>
  </si>
  <si>
    <t>Cubilio, Marcos</t>
  </si>
  <si>
    <t>Marcos Cubilio</t>
  </si>
  <si>
    <t>…na'rdino Entillac, D. Domingo Fernandez Angulo, D. Fran cisco Orea, D. Josef Larreategui, D. Josef Perez Morales, D. Josef 7■ 5- 3- 34- Pío de Molina, D. Manuel García del Barrio, D. Marcos Cubilio, D. Mariano Valero, D. Nicolás de Puga, D. Pedro Matute, D. Ra Hay ademas cuatro sospechosos. fael Costa y D. Tomas Polo Catalina. Madrid l.° de Noviembre. Parroquia de S. Marcos, p electores. En el domingo próximo 4 de Noviembre se han de celebrar en toda D.…</t>
  </si>
  <si>
    <t>Cuervo, Josef</t>
  </si>
  <si>
    <t>Josef Cuervo</t>
  </si>
  <si>
    <t>…Luarca, hacendado; D. Josef Rodríguez dé Castro, juez de primera sos como se podía temer en vista de los sucesos del Oriente. Desde el instancia del partido de la Vega deRivadeo; D. Josef Cuervo, abogado. i.’ de Octubre de 1820 hasta el i.° de Octubre último se han fabrica Provincia de Jaén. Jaén D. Vicente Moreno; D. Juan JosefTor do solamente en Carcasona 16,700 piezas de paño, destinadas para el eada. Ubeda D. Josef Eustaquio Madrid; D. Antonio Ga…</t>
  </si>
  <si>
    <t>Cuervo, Salazar y</t>
  </si>
  <si>
    <t>Salazar y Cuervo</t>
  </si>
  <si>
    <t>…como si el Gobierno ausbilo por la feliz derrota de los facciosos de Salvatierra , y manilestabá triaco-napolitano dijera: po quiero que en Ñapóles se sepa cosa alguna que los del cura Salazar y Cuervo se habian relugiado á las madrigue de lo que pasa en Europa, sino lo que diga el periódico insignificante ras de Navarra, habiendo sido ya derrotados. V otro del Gele políti de esta capital: que se hablaba de ciertas bases de cierta futura Carta co de Burgos,…</t>
  </si>
  <si>
    <t>Cues</t>
  </si>
  <si>
    <t>…iciosos, será capaz de contenerlos el ministe Por otra parte esto que se ha de decir á S. M. ¿ es un precepto ó es rio , cuando no ha sido capaz de sujetarlos en su raiz ? Dice el Sr. Cues un consejo? Las Cortes no pueden'dar precepto al Rey , solo pueden ta que » lo mismo sucederá con otro ministerio que venga ;” si otro, aconsejarle que en las circunstancias actuales será conveniente que 3. M. ministerio no tiene la acción y vigor que se nece…</t>
  </si>
  <si>
    <t>Cues-</t>
  </si>
  <si>
    <t>…haber hecho varias reflexiones, concluyo su dis velamen, cables y demas, ¡ hemos de privar de todas estas utilidades curso manifestando que en atención á lo que había expresado el Sr. Cues- á la industria solo por no establecer depósitos por creerse que aumen ta en la sesión de ayer, las comisiones, de acuerdo con el director ge tarán el cantrabando ? Yo creo que se deben tener presentes todas estas neral de aduanas, habían acordado modificar el…</t>
  </si>
  <si>
    <t>Cuesta</t>
  </si>
  <si>
    <t>…les la malhadada suerte de Ñapóles, que de la segunda , se acordó que volviera el expediente á la misma. indignación que les causa la insultante desfachatez que manifiestan los El Sr. Cuesta dijo que siendo una de las cosas de que se trataba en ilusos, que por su egoismo están mal con el sistema constitucional , y el plan de Hacienda la supresión de empleados, y estando señalada la desearían ver reducidas á ceniza las ciudades, regado el suelo es…</t>
  </si>
  <si>
    <t>…Habiendo tampoco resultado elección en segundo escru cual se necesita tanto dinero. tinio , se pasó al tercero entre los Sres. Calatrava y Cuesta, y quedó electo presidente dicho Sr. Cuesta por no votos de 1/4. En 1a de vice (l) RBtNO-tJNIDO DE PORTUGAL, BRASIL Y ALGARBES. presidente tampoco hubo elección en primer escrutinio: se pasó al se Río-Janeiro 28 de Febrero. gundo entre ios Sres. Marin Tauste, Benitez, Gareli, O-Dali y Va decreto. Habie…</t>
  </si>
  <si>
    <t>…er este artículo á la comisión para que proponga otros ló0 para gastos y escribientes.” sueldos mas moderados. Ei Sr. ha santa manifestó-que le parecian demasiado grandes estos Ei Sr. Cuesta dijo: los sueldos de que se trata están en relación con sueldos, atendida la escasez que actualmente hay en España, la.cual los de otros empleados que actualmente los tienen señalados. Un direc continuaría por las causas subsistentes que hay para ello. Las mi…</t>
  </si>
  <si>
    <t>…festando que no debía apro explicado para los directores de contribuciones directas, sin mas dife barse. rencia que la que ofrece naturalmente la especie de la contribución. .. El Sr. Cuesta hizo presente que la ley no era contraria de ningún* Art. 295. » Los intendentes , las diputaciones provinciales y de manera á la libertad porque chocase con la libertad individua!.Esta ley* partido, ios subdelegados , los tesoreros y los depositarios de rent…</t>
  </si>
  <si>
    <t>…nda parle de la de los nueve millones que habia señalado la comisión en su dictamen facultad 22.a anterior. 3. a Las capitales en donde por ahora se reunirán estas secciones se El Sr. Cuesta dijo que debia encargarse al Gobierno que reforma rán las siguientes : la sección de Nueva-España se juntará en México; ra en cuanto fuera posible el número de los encargados de Negocios, la del nuevo reino de Granada y Tierrafirme en Santa Fe; y la del minis…</t>
  </si>
  <si>
    <t>…gado, debería tenerse presente , para que se incluyesen en necesarios según la situación actual de la Europa. el presupuesto del próximo año económico. Después de haber apoyado el Sr. Cuesta el dictamen del Sr. Traver, El Sr. Sancho dijo : El otro dia cuando estuvieron aquí los Sres. se manifestando que la consideración y ¿¿coro de la Nación consistía cretarios de Estado, manifestó el del despacho de Hacienda que con el esencialmente en Ja reputa…</t>
  </si>
  <si>
    <t>…ulo se discuta por partes. Se leyó la primera del Sr. Sancho; y habiendo sido admitida á dis El Sr. presidente dijo que había en la secretaría una proposición cusión , la apoyó el Sr. Cuesta; pero con la diferencia de que no se del Sr. Serrallach, relativa á lo mismo, la que se leyó, y decía asi: discutiese por el orden alfabético el art. 2.0, pues en este caso resulta » A fin de determinar la discusión del art. a.° propongo que .se fije rían muc…</t>
  </si>
  <si>
    <t>…s const tucionales mas que una preeminencia ó prero llanuras sean las mas agrandes y las otras mas pequeñas. gativa que se da á la persona de mas autoridad que había en las pro El Sr. Cuesta dijo: i'.l que las provincias sean grandes sé opone á vincias al formarse la C nstitucion después de los gefes políticos; pero la política , á la moral y á la felicidad de los pueblos. Es bien evidente no halio sancionada la existencia política de aquellos co…</t>
  </si>
  <si>
    <t>…teres y patriotismo de las diputaciones provinciales. La ban á una ¡ornada, sin contar los muchos rios que tenían que pasar; verdadera respuesta de este argumento es la que dió el Sr. Cuesta con por estas razones opinó que las Cortes debían aprobar la provincia de su acostumbrada sabiduría ; pues hablando de esta materia, y conside Falencia , propuesta por la comisión. rándola muyen grande, dijo, y muy bien , que la división de provincias Ei Sr.…</t>
  </si>
  <si>
    <t>…computémoslas con el mal que puede sas, que es indispensable que se apruebe el dictamen de ia comisión. producir. Si se verificase que r.o se admitiesen estos géneros en los de Ei Sr. Cuesta hizo varias reflexiones sobre este asunto, y‘manifes pósitos , se inutilizaría el comercio con los géneros extrangeros, puesto tó que con respecto á lo que se había dicho del contrabando qus se ha q-ie si un buque que iba á un puerto extrangero á llevar géner…</t>
  </si>
  <si>
    <t>…renunciar á su comercio cuentra el resguardo, aunque Je quiera impedir que siga su camino , nó con Ultramar. podrá con solo decir este que va al depósito, y aunque no pueda des El Sr. Cuesta, digno individuo de la comisión , dijo ayer, llevado de embarcar todos sus géneros, no dejará de encontrar contrabandistas que su buen zelo, que no había reglamento de depósitos; pero debo mani los tomen; resultando que los depósitos, cuanto mayor sea su núme…</t>
  </si>
  <si>
    <t>…s, i No seria mejor que no entrasen, supuesto que jamas los harán tavos labrantíos, en venta 816 rs E11 id., 4 carros y medio de id., los extrangeros tan buenos? No señor, dice el Sr. Cuesta, porque si en venta 445 rs.__En id., 4 carros de prado, en venta 332 rs__En hoy no se hacen los géneros de España como los extrangeros, podrán id., 3 carros y medio labrantíos, en venta 34Ó rs__ En ¡ü. y sitio de hacerse mañana, y por lo mismo necesitan de fo…</t>
  </si>
  <si>
    <t>E! Sr. Cuesta dijo que sentía se diese tan poca importancia á la cos formar un distrito interior , que debiendo ser paite del de las fronteras, ta de Santander ; punto muy importante, no solo por sus camtnos que no lo fuese. se dirigían al centro de Castilla, sino también…</t>
  </si>
  <si>
    <t>…sino para extraviar la cues vean , no pueden arriesgar las Coates un juicio que pudiera comprome tión. terlas. El Sr. Quiroga: Deseo saber si los Sres. secretarios del Despacho El Sr. Cuesta dijo: Yo creo que las Cortes deben contestar á S._ M. han consultado estos asuntos al consejo de Estado. que quieren que se respete la dignidad del trono y se obedezcan las le El Sr. secretarlo de la Gobernación de la Península contestó yes, pues tales motivo…</t>
  </si>
  <si>
    <t>…ficándose 4 la tranquilidad pública. Hito es ¡o que francamente dice la comisión en su dictamen. sus sillas. . Ei segundo punto que ha impugnado el Sr..secretario cíe la^Gober— El Sr. Cuesta : Voy 4 decir mi dictamen sin aparato, sin frases estu nación, es el-relativo á la circular de que habla la comisión. Esta con diadas para transigir con la verdad, sino guiado únicamente por el ínte fiesa de buena fe que no lia visto esta encinar del Gobierno…</t>
  </si>
  <si>
    <t>…sotros que una de estas es el descrédito del Crédito público ; y en mi concep si se nos hubiese de juzgar siempre por desconocedores de las auto to es una de las mas generales. El Sr. Cuesta, examinando también las ridades de la Iglesia ó del mismo Dios solo por Ja infracción de un mismas causas, adoptó una de las que propone la comisión , que sin precepto particular 1 Quebrantamos un mandamiento, y sin embargo r.o duda es la principal, á saber,…</t>
  </si>
  <si>
    <t>….justificarse? ¡será útil Primero á impugnar el dictamen de la comisión: segundo á responder ni ventajoso para la Nación este modo de obrar del Gobierno? Al con á un argumento del Sr. Cuesta; y, tercero á contestar á lo que han dicho trario , la Nación se resiente ya de esto , y las continuas reclamaciones los Sres. secretarios del Despacho, principalmente el de la Goberna que se han hecho con este motivo lo demuestran claramente. Pero hay ción d…</t>
  </si>
  <si>
    <t>Cüesta</t>
  </si>
  <si>
    <t>…de ella como el mismo Merino.,Esta es in¡ opinión, y veo bien maní— ración de que las Cortes desaprobaban altamente la conducta de Jos que fiestas las consecuencias que indicó el Sr. Cüesta cn la discusión en que se habian resistido á obedecer las órdenes del Gobierno, y que sentirían tan originalmente tocó este punta. Hombres que no pueden figurar si hallarse en el amargo conflicto de tener que dictar otras medidas ; peí o no en el desorden , s…</t>
  </si>
  <si>
    <t>…u Yo creo que no: y mas adelante diré quiénes son estos, porque es ne tación deque Sevilla haya desobedecido, y dirigido sus representaciones cesario hablar claro; y puesto que el Sr. Cuesta en e! dia anterior ma ai Congreso? Ha dicho el Sr. preopinante que la Diputación se ha ex nifestó lo suficiente en este asunto , yo soío explicaré algunas ideas. cedido en dar cuenta de este asunto i las Cortes; porque si el delito de La segunda parte del dis…</t>
  </si>
  <si>
    <t>…la confluencia dei Nagirna con el Jalón, y sigue incluido en Santander, y lasmeriridades á esta provincia. por el Nagima hasta el actual límite que separa á Aragón de Soria, ei El Sr. Cuesta hizo varias observaciones para manifestar que no ss cual continúa hasta Moncayó, dejando á Pozuel, Bardal va y Embid debian agregar á la provincia de Burgos las merindades que hasta ahora en esta provincia. habían pertenecido á Santander ; á lo cual contestó…</t>
  </si>
  <si>
    <t>Cuesta, Pedro</t>
  </si>
  <si>
    <t>Pedro Cuesta</t>
  </si>
  <si>
    <t>…de Madagascar quie El Rey se ha servido nombrar gefe de sección de la secretaría del ren hacer morir al acusado, mezclan probablemente algún ven-.no para Despacho de la Guerra al brigadier D. Pedro Cuesta, coronel de in que el acusado no pueda resistir. Es de advertir que Jos pueblos de .Ma. fantería, en consideración á sus servicios, conocimientos y adhesión al dagascar tienen tanta confianza en el tanquin, como los ingleses en el sistema constitucional. jura…</t>
  </si>
  <si>
    <t>Cuevas, Aquilina de</t>
  </si>
  <si>
    <t>Aquilina de Cuevas</t>
  </si>
  <si>
    <t>…os de 150 pesos, de igual crea 17,293 rs. ción, demarcados con el 155,617 y 214,187 , los cuales se hallan re Un cercado de 21 obradas de tierra blanca, en 68 2 5 rs. clamados por Doña Aquilina de Cuevas, vecina de la villa de Morata, . Un majuelo de ii-J aranzadas y 40 cepas, en 1 2,703 rs. y 18'mrs. para que por sí, ó por. medio de procurador con poder bastante , com Nota. La ribera y cercado se hallan gravados con un censo de parezcan ante dicho señor juez…</t>
  </si>
  <si>
    <t>Cuevas, Josef</t>
  </si>
  <si>
    <t>Josef Cuevas</t>
  </si>
  <si>
    <t>…erra cuyos resul plentes. D. Melchor Maran, abogado; D. Josef Agulló, propietario de tados podrán ser terribles. Por otra parte no parece sino qu¿ los m s- Elche; D. Josef March ; D. Josef Cuevas, abogado. mos turcos desean entrar en campaña, fiados en el entusiasmo nacional, Por Avila. D. Leandro Ladrón de Guevara; .D. Josef Cano. Su que por todos los medios posibles procuran estimular; de manera que plente. D. Juan Manuel Enguídanos. si se rompe la…</t>
  </si>
  <si>
    <t>Cuff, Miguel</t>
  </si>
  <si>
    <t>Miguel Cuff</t>
  </si>
  <si>
    <t>…ella serán exa D. Francisco Josef de Jáuregui, id. Doña María Teresa de Michelena. minados , y se adjudicarán los premios , entregándoselos á los alumnos D. Francisco de Gotssens. D. Miguel Cuff. que ios hayan merecido en el primer dú de la junta general píiblica de Sres. Gómez , hermanos, de Cádiz. D. Narciso Plandolit, de Barce la sociedad , debiendo antes examinarse en público del ramo á que per D. Ignacio Villaveachea. lona. tenezcan los premios…</t>
  </si>
  <si>
    <t>Cugnetcuerpo</t>
  </si>
  <si>
    <t>…tos -al presidente del consejo, de, los ministros.’ Sedgñoraba sobre qué recaían aquellos;'rumores; pero añaden que el . h-n seguida se dió cuenta d^.otra petición , en la cual el Sr. Cugnetcuerpo de observación austríaco que se hallaba ¿n la» fronteras del-Pía- de Moncarlot, de París, &amp;e quejaba de vejaciones y actos arbitrarios, ymonte seria reforzado-considerablemente por los regimientos que se hi-^ de que le tenian preso, á pesar.de la sentencia qu…</t>
  </si>
  <si>
    <t>Cura-Ali</t>
  </si>
  <si>
    <t>…tropa» ra-as han recibidoor- Smirna á un buque ingles, al cual rindió, y condujo apresado al puer dcn en algunos puntos de dirigirse á marchas forzadas aL Pruth. to de Smirna. El almirante Cura-Ali dirigió contra ote navio varios buques de su escuadra; peró'el valiente spezziota.se defendió con la in INGLATERRA. trepidez de un león, y rechazó á cuantos buques turcos se presentaron al combate; y en el momento mismo que los turcos trataban di hacer una Ló…</t>
  </si>
  <si>
    <t>Curier</t>
  </si>
  <si>
    <t>…ida á cenizas durante este fatal combate. Se pidió.ia impresión de este discurso, y la Cámara lo decretó asi. __Por las últimas noticias de Bucharest del 19 y 21 de.Mayo se des El barón Curier, comisario del Rey , tomó la palabra para impug miente la llegada de un cuerpo de tropas turcas á las inmediaciones de aquella ciudad. Los griegos que se hallaban en Ubdest se retiraron asi nar á Mr. Manuel; y dijo que por mas que se quisiese figurar que los…</t>
  </si>
  <si>
    <t>Cusáis, Diego</t>
  </si>
  <si>
    <t>Diego Cusáis</t>
  </si>
  <si>
    <t>…a lugar í la discusión, puesto bía figurado un hermov., campamento bajo ja Uncc-ion el.-! c:pitan re que los Sres. encargados del Despacho- eran ministros interinó,, v en** tirado D. Diego Cusáis , y aiii e-abi preparada una abundante comida propiedad oficiales mayores, y que como tules habían prestado*liirapara la tropa; después de dejar socorrido» c ai ou i igual á ios pobres do la cárcel y del hosp.tal , todo a expensa» del misino comandante Araos:…</t>
  </si>
  <si>
    <t>Cuvier</t>
  </si>
  <si>
    <t>…e no fuese amigo del nuevo método de enseñanza i estaba pronto á ren nación de 80 millones de reis anuales, cuya suma total ascendía á un dir Jas amias. millón y 700© cruzados. El barón Cuvier, comisario delRey, tomó la palabra , y rebatió El Sr. Sarmentó se opuso á la asignación de la Princesa Doña Ma completamente todos los sofismas de los enemigos de la enseñanza mu ría Teresa, respecto á que habiéndose casado con un infante de España tua : hizo…</t>
  </si>
  <si>
    <t>Czernitcheff</t>
  </si>
  <si>
    <t>…on hasta cerca de Atenas con la esperanza de Varsovia (Polonia) 30 de -Agosto. que les auxiliarían las tropas de Asia; pero han sido rechazados con Dicen de St. Petersburgo que el general Czernitcheff, ayudante de pérdida, y han tenido que volver á la isla de Negroponto. Mientras hi campo de S. M. el Emperador , ha llegado el 18 del mes último i cieron esta incursión , los griegos déla isla de Trikeri, situada en el Nowotscherkask. ( capital de los cosacos…</t>
  </si>
  <si>
    <t>D'r</t>
  </si>
  <si>
    <t>…tiérrez del este documento para que pueda compararse á su tiempo cuando lleguen Mazo; el Sr. coronel D. Pedro Acevedo, diputado por Querétaro; el las noticias directas de Ñapóles. Sr. D'r. D. Josef Angel Gazano, diputado por México; el Sr. Lie. Don Entre tanto por el artículo de Paris arriba expresado se ve que la Josef María Daza, diputado por Tiaxcala; el Sr. D. Juan Bautista Loa derecha .de.los austríacos ha sido batida completamente ; y qu…</t>
  </si>
  <si>
    <t>D, Bartolomé y</t>
  </si>
  <si>
    <t>Bartolomé y D</t>
  </si>
  <si>
    <t>…los números. Había suprimido Fermat la tos núm. 333 .de 1797, se manda citar y'emplazará' los acreedo demostración de muchos teoremas importan tés del análisis res al concurso de D. Bartolomé y D. josef Bolla, hijos y indeterminada , y las .hallaron Euler y Lagrártge; Mr. Lé- Masnatá, y á los de la casa que tituló Masnata y Tejera, como gendre añadió muchas proposiciones ’ importantes, y ’eñ su también á cuantos se consideren con derecho A loe bienes d…</t>
  </si>
  <si>
    <t>D, D Juan de</t>
  </si>
  <si>
    <t>D Juan de D</t>
  </si>
  <si>
    <t>…Exento. Sr. : Las Cortes habiendo ¡oído con agrado las exposidad de la nación , vergonzosamente envilecida por.el ministro que .hizo . . cintres.que han d¡rig¿dp.á.Hs.iti.ismas ei.coronel D Juan de D. os Belli •1 tratado de 1810. o . ; , ¡. , do* loj.geíes ..oficiales, sargentos y demas individuos de las compañías Después de alguna discusión se aprobó e| dictamen de la comisión. de. granaderos provinciales, de.Castilla la .Nueva, y los del regimiento El Sr…</t>
  </si>
  <si>
    <t>D, Francisco Melgares Sahafosa y</t>
  </si>
  <si>
    <t>Francisco Melgares Sahafosa y D</t>
  </si>
  <si>
    <t>…icencia absoluta, ó de cualquier otro modo Idem de Aragón. D. -Júan-Dolz del Castellar,.¿ D.' "Pedro Calza, 'se hallasen separados del servicio de las armas, acudirán.por los res :D. Francisco Melgares Sahafosa y D. .Cosme Láredo, pectivos capitanes generales de las provincias, quienes del mismo modo, ■ - Idem de Valencia. D. Francisco'Gutiérrez de Sosa. -y en igual tiempo expresado para los inspectores, las remitirán al referi s En la de Galicia. Para la plaza de regent…</t>
  </si>
  <si>
    <t>D, Josef Sánchez y</t>
  </si>
  <si>
    <t>Josef Sánchez y D</t>
  </si>
  <si>
    <t>…ilidad las señales de su acredite, ¡1 D. Josef Dondement, y certificación honorífica á D. Felicia esclavitud. No solo han sido educados bajo el peso del despotismo, sino no Vigas, D. Josef Sánchez y D. llamón del Palacio. El secretario ■que hace 2S) años que existen como un pueblo envejecido y degradaanunció al público esta resolución, y en consecuencia recibió el Señor -do. Su población no se ha renovado como el resto de la-Europa coa Dondement la medalla…</t>
  </si>
  <si>
    <t>D, Juan de</t>
  </si>
  <si>
    <t>Juan de D</t>
  </si>
  <si>
    <t>…o del exla milicia nacional de caballería, hacendado. D. Josef Vázquez Prada, trangero , y que se fomente esta industria en la Península. teniente del regimiento provincial. G¡jan D. Juan de D.os Miranda, A la misma comisión se pasó una exposición de la dirección gene capitán del mismo. D. Ramón Antonio Rodríguez, s'ocal de la dipu ral de aduanas, en la que hace varias observaciones sobre las dudas tación provincial. D. Josef Llaves Valdés , oficial…</t>
  </si>
  <si>
    <t>D, N. Casano y</t>
  </si>
  <si>
    <t>N. Casano y D</t>
  </si>
  <si>
    <t>…es 39. Han salido electores de partido én esta ciudad los Sres. D. Mateo Hospital del Seminario , existencia anterior 176: entrados ó acome Miguel Aillon, el coronel de artillería D. N. Casano y D: Josef del tidos 2s: salidos ó curados 11: convalecientes 24: muertos 18: exis Arco. tentes 1Ó9. Córdoba 7 de Noviembre. Idem de i» Vireina .... entrados ó acometidos .... salidos ó cura '' El verdadero espíritu de esta ciudad en favor de las nuevas institu d…</t>
  </si>
  <si>
    <t>Dal-</t>
  </si>
  <si>
    <t>…, D. Pedro Vázquez Ballesteros y D. Santiago Bal en la sesión de 25 de Junio de 1821 sobre el estado actual de Jas pro tasar de Aguirre: en la de Valencia á D. Josef de Cartagena, D. Dal- vincias de que son representantes, y medios convenientes para su de inacio Alpuente y D. Miguel Antonio Rodrigo: en la de Cataluña á finitiva pacificación, con una noticia de los trámites que la precedieron D. Jacobo Villaurrutia y D. Antonio González Rodrígu…</t>
  </si>
  <si>
    <t>Dalhaste, Pedro</t>
  </si>
  <si>
    <t>Pedro Dalhaste</t>
  </si>
  <si>
    <t>…señores na, isla de Cuba, el ano 1799, y tratado su hija y única heredera Do diputados es que se establezca en aquella provincia una universidad de ña Isabel de Clavería, viuda de D. Pedro Dalhaste, por medio de su segunda enseñanza, ó de tercera: si lo primero, es en vano esta peti hijo y apoderado D. Pedro Dalhaste y Clavería, dé recoger la cantidad ción , puesto que en cada provincia ha de haber una de estas universi de 53 pesos que dicho difunto D.…</t>
  </si>
  <si>
    <t>…as Cortes, na, isla de Cuba, el año 1799, y tratado su hi a única heredera Doá como también los pertenecientes al número de tropas de ntar y tierra ña Isabel de Clavéría, viuda de D. Pedro Dalhaste, -por medio de su que se han de decretar anualmente. ( Se continuará ') hijo y apoderado D. Pedro Dalhaste y Clavéría, de recoger la cantidad de 53 pesos que dicho difunto D. Juan de Clavéría tenía dados á guar VARIEDADES. dar á D. Lorenzo Viñarte , que despu…</t>
  </si>
  <si>
    <t>…ecirse na isla de Cuba, el año de 1799, y tratado su hija y única here en este artículo era: » por sospechas fundadas y probadas suficiente dera Doña Isabel de Clavería , viuda de D. Pedro Dalhaste, por me mente.” dio de su hijo y apoderado D. Pedro Dalhaste y Clavería de re El Sr. Lasanta dijo que reconocía la necesidad de adoptarse alguna coger ¡a cantidad de $9 pesos que dicho difunto D. Juan de Claveria medida, tal como la que proponía ia comisión,…</t>
  </si>
  <si>
    <t>…zapadores y marina usarán la de Cuba, el año de 1799, y tratado su hija y única heredera Doña Isa la misma insignia que los demas cuerpos del egército. bel de Clhvería , viuda de D. Pedro Dalhaste, por medio de su hijo y Art. 7.0 « Los batallones de milicia nacional activa tendrán res apoderado D. Pedro Dalhaste y Clavería, de recoger la cantidad de pectivamente la misma insignia que los de infantería de línea y ligera. 53 P-sos que dicho difunto D. Ju…</t>
  </si>
  <si>
    <t>Dalian, Jorge Cantacuceno</t>
  </si>
  <si>
    <t>Jorge Cantacuceno Dalian</t>
  </si>
  <si>
    <t>…rdadera fuerza consiste en no causar in «Estas dos proclamas deben ser conocidas de todos—Jassy i.° de quietud, ni consentir en que se perturbe su tranquilidad. Junio de 1821.__El príncipe Jorge Cantacuceno Dalian.” « Es verdad que proclamando la libertad de la imprenta, ¡a Carta no ha hecho ninguna excepción: pero un principio general como el qy= FRANCIA. ■ ella ha sentado ¡no es susceptible de alguna? ; No puede hacerla el po der legia'ativo, sin que por eso infrinja…</t>
  </si>
  <si>
    <t>Dalpozzo</t>
  </si>
  <si>
    <t>…n el número de elios se cuentan el príncipe de la Cisterna, el presi prensa y muy adelantado; y los que no se suscriban pagarán 134 rs. dente de la junta de Alejandría, Amaldi, el Sr. Dalpozzo , el conde por la obra en rústica. SUPLEMENTO</t>
  </si>
  <si>
    <t>Dalrimple, Carlos</t>
  </si>
  <si>
    <t>Carlos Dalrimple</t>
  </si>
  <si>
    <t>…en París era pe corrió como girada en Aire, pueblo de Francia, por el comisario gene queño espacio para los parisienses deseosos de ver tan nuevo y extraor ral del egercito inglés D. Carlos Dalrimple con fecha de doce de Mar dinario espectáculo. zo de 1814. á orden de D. Manuel Drccsta, y cargo dei referido Duff, El 17 de Agosto de 1782 era el famoso dia en que los Sres. Fin pagadera á 40 días; en los cuales á instancia del citado D. Juan Josef de jas de…</t>
  </si>
  <si>
    <t>Damian, Blas</t>
  </si>
  <si>
    <t>Blas Damian</t>
  </si>
  <si>
    <t>…la güedades, y los objetos principales con relación á su histo de Cervera á D. Gines María Serrano : para la de Berga á ria ; y está sembrada ademas de anécdotas biográficas inte D. Blas Damian de la Vega: para la de Urgel á D. Anto- ■- resantes. Miss Wakefield ha hecho después un viage con sus nio Porta y Fábregas: para la de Balaguejr á D. Ramón discípulos por lo interior de la capital y por sus alrede Carvajal y Trej’o: para la de Lérida á D. Jos…</t>
  </si>
  <si>
    <t>Dampe</t>
  </si>
  <si>
    <t>…nsejo de Estado se ocupa nuevamente en la haberse descubierto nuevas ramificaciones de la revolución formación de un proyecto de Constitución. Luego que se política tramada por el doctor Dampe, con cuyo moti propagó esta noticia llovieron bendiciones sobre nuestro Mo narca , de cuyos Jbenálicos sentimientos nunca han dudado vo se han reconocido varias casas de personas que gozan los prusianos; y solamente la situación de los negocios habrá de la ma…</t>
  </si>
  <si>
    <t>…zgado, se cree que no lo sera por los lotones de gentes que estaban encerrados en sus agujeros.'* tribunales ordinarios. gste imprudente lenguaje tenia el objeto de intimidar á El doctor Dampe es hijo de un sastre: después que con otras personas, é impedir que por el temor de ser ridicu cluyó sus estudios , fue nombrado coadjutor del cura ó mi lizados , manifestasen los leales sentimientos que les anima nistro de Slagelsce : después fue colaborador…</t>
  </si>
  <si>
    <t>…la Croacia. Se asegura que se van á aumentar los Aun no se ha fijado el modo y forma con que deberá regimientos de caballería en el egército de Italia. procederse en la causa del doctor Dampe. Por un decreto an tiguo se previene que esta clase de asuntos se presenten desde PAISES-BAJOS. luego á la decisión del Rey, para que S. M. declare si han de conocer de ellos le' tijbunales ó una comisión particular. Srusilas 19 de Diciembre. En este momento…</t>
  </si>
  <si>
    <t>…ticia de los pueblos donde han cabido los premios Escriben de Copenhague haberse ya nombrado la comi mayores del sorteo celebrado en el dia de ayer. sión encargada del proceso del profesor Dampe y de su Números. Premios. Administraciones. cómplice, y que se compone de tres individuos del tribu nal y de un fiscal general. 21620........... 10000 p.s f.s... Madrid, Mr. de Chateaubriand , que el 26 tuvo la honra de 21226....... ... 4000............... Id…</t>
  </si>
  <si>
    <t>Dan</t>
  </si>
  <si>
    <t>…truida la correspondiente causa, nada produjo •tío jjeliti* qué mérezea pen» corporal iiííe infamia, sérá castigado eos contra los oficiales Benvcnuli y Quiei /.y .can respecto al coronel Dan</t>
  </si>
  <si>
    <t>Daniel, Josef</t>
  </si>
  <si>
    <t>Josef Daniel</t>
  </si>
  <si>
    <t>…las locales en Alicante en casa de D. Josef Sirvent; en Sevilla en A consulta del consejo de Estado se ha servido S. M. nombrar pa ia de D. Francisco Claucel; en Audújar en ia de D. Josef Daniel, del ra los juzgados de primera instancia de la provincia de Jaén á los su- comercio de aquella ciudad; en Santander en la de D. Antonio de ia getos siguientes: para Jaén á D. Josef Serrano Soto para Mirtos á Cuesta y Hontañon, boticario; en Pontevedra en la…</t>
  </si>
  <si>
    <t>Daoiz, Josefa</t>
  </si>
  <si>
    <t>Josefa Daoiz</t>
  </si>
  <si>
    <t>…relaciones, ya dé parentesco, ya de amistad I con el egército. que tuviesen con los reos; por consiguiente creia se podía salvar este A la. ordinaria de Hacienda una exposición de Doña Josefa Daoiz, inconveniente proponiendo'en el artículo que estos fuesen juzgados por hermana del héroe de este nombre, para que se le aumente la pensión-, la guarnición del egército permanente que hubiere en el pueblo, que tiene concedida, y se le mande pagar por la renta…</t>
  </si>
  <si>
    <t>Daoiz, Moreno</t>
  </si>
  <si>
    <t>Moreno Daoiz</t>
  </si>
  <si>
    <t>…a como Cádiz recaiga fuese removido el comandante general de Andalucía; y en su conse en personas conocidamente afectas á la Constitución , y mayormente en cuencia fue nombrado el general Moreno Daoiz. El barón de Andilla circunstancias tan espinosas y críticas como las de que se trataba , y de continuó su marcha, y llegó hasta la ciudad de Jerez, y entre tanto si se tenia presente Ja disposición de las Cortes para que no recayesen el Gobierno, que no teni…</t>
  </si>
  <si>
    <t>Daoiz, Tomas Aíoreno y</t>
  </si>
  <si>
    <t>Tomas Aíoreno y Daoiz</t>
  </si>
  <si>
    <t>…tre los sumariados, y los que se y circule. =: Rubricado de la Real mano.:=En Palacio á 28 dejunio hallaban acuartelados en el ex-convento de S. Gerónimo ; y deseando de 1821.=: A D. Tomas Aíoreno y Daoiz. el R.-y realizar las benéficas miras que se propusieron las Cortes al ex pedir el referido decreto , conformándose con lo que ha expuesto la ‘ANUNCIOS. junta de inspectores acerca de la colocación que podrá darse á ¡os indi viduos de dicho cuerpo que se hall…</t>
  </si>
  <si>
    <t>Daoiz, Tomas Moreno</t>
  </si>
  <si>
    <t>Tomas Moreno Daoiz</t>
  </si>
  <si>
    <t>…ya disentido 1 Gobernación-de Ultramar, relativo á haber prestado-el juramentoá la de ella ; queda palabra se concedía 4 los individuos dé las, comisiones ’ Constitución-el Excmo. Sr. D. Tomas Moreno Daoiz, nombrado se solamente para apoyar, su . proyectó de ley , é ilustrar al Congreso o a cretario del Despacho de-la.Guerra. - • lós diputados sobre éste punto. El Sr. Rey expusotque era para,apo-„ El Sr. presidente señaló la hora de las siete y media de esta no…</t>
  </si>
  <si>
    <t>…pero ;qtré motivo han tenido las autoridades de Sevilla para no obe ros de Andilla para !a comandancia general de Cádiz y su provincia, y decer el nombramiento hecho por S. M. en D. Tomas Moreno Daoiz y</t>
  </si>
  <si>
    <t>Daoiz, Tomas Moreno y</t>
  </si>
  <si>
    <t>Tomas Moreno y Daoiz</t>
  </si>
  <si>
    <t>…para su cumplimiento, y dispondréis se imprima, publique y circule. cualquiera reclamación que se haga. _ —F.stá rubricado de la Real mano. = En Palacio á 28 de Abril de 1-821. A D. Tomas Moreno y Daoiz.” * Mr. Guillermo Lobé, cónsul de S.jM. el Rey de los Países-Bajos Circular del ministerio de la Guerra. en Cádiz , avisa que no es exacto el anuncio que se publicó en el suple Por Real orden de 26 de Diciembre de 1814 tuvo á bien el Rey mento de la gaceta de…</t>
  </si>
  <si>
    <t>…................. i-i id. rubricado de la Real mano.eeEn Palacio á 11 de Junio de 182t.ee: A Zaragoza...................................................................... $ daño. D. Tomas Moreno y Daoiz.” Bilbao.......................................................................... -} id. Circulares del ministerio de la Guerra. Santander..................................................................... Par. 1. a » Habiendo ocurrido varias dudas acerca…</t>
  </si>
  <si>
    <t>…dido el decreto siguiente: ——■ que y circule. =c Está rubricado de b Real mano.=En Palacio á 2 Don Fernando vtt por la gracia de Dios y por la Constitución de de Julio de 1821.= A D. Tomas Moreno y Daoiz. la Monarquía Española, Rey de las Españas, á todos los que las pre sentes vieren y entendieren, sabed: Que las Cortes han decretado lo Circular del ministerio'de la Gobernación de la Península. siguiente: &gt;, Las Cortes, usando de la facultad que se les conce…</t>
  </si>
  <si>
    <t>…éis se imprima, publique y circule.er devorar. Rubricado de la Real mano.=:En Palacio á 9 de Julio de i82i.=zV Todo esto se egecuta á la faz de la Europa cristiana en los confines D. Tomas Moreno y Daoiz. de las potencias fundadoras de la santa alianza, y ninguna se duele de los males de un pueblo afligido y consternado. ¡Qué diferencia de Con fecha 29 de Junio próximo pasado me dicen los Sres. dipu tiempos! En aquellos siglos llamados de hierro un particular…</t>
  </si>
  <si>
    <t>…la hidrografía. Este almirante ha publi =:Está rubricado de la Real mano.mEn Sacedon á 14 de Julio de 1821. cado un atlas del mar Báltico, acompañado de su descripción. Mr. da = A D. Tomas Moreno y Daoiz. Loewenoern , almirante dinamarqués, es de dictamen que este atlas ex Circular del ministerio de la Guerra. cede á cuanto hasta ahora se ha visto en su clase en nuestros dias, j » Queriendo el Rey que la ley orgánica del egército, aprobada por que es superior…</t>
  </si>
  <si>
    <t>…is se imprima , publique y circule. == Rubri titucional , todavía encierra en su seno algunos lanáticos, que aun no se cado de la Rea! mano. = En Sacedon á 14 de Julio de 1821.= A Don Tomas Moreno y Daoiz. De Real orden lo traslado á V. para su in-han desengañado de lo vanos que son sus esfuerzos contra las institucio</t>
  </si>
  <si>
    <t>…onfirma cumplimiento, y dispondréis se imprima, publique y circule. — Está ción de los obispos? be hallará en las libienas de bauz, de Castillo, da rubricado de la Real mano. == A D. Tomas Moreno y Daoiz. Villa y de Novillo. EN LA IMPRENTA NACIONAL.</t>
  </si>
  <si>
    <t>…os Sr. secretario del Despacho de Estado el decreto siguiente: individuos de la fonda llamada del Escudo de Francia al lazareto limpio. , » Accediendo á las eficaces instancias de D. Tomas Moreno y Daoiz, Atendiendo la junta al mérito contraído por el Dr. D. Salvador . mi secretario de Estado y del Despacho de la Guerra, y teniendo en Capmani, y deseando recompensárselo en cuanto estuviese de su parte, .' consideración el quebranto de su salud, he venido en a…</t>
  </si>
  <si>
    <t>Daoiz, Tomas Moreno-y</t>
  </si>
  <si>
    <t>Tomas Moreno-y Daoiz</t>
  </si>
  <si>
    <t>lo6a prima,¿publique y circule. srEstá rubricada &amp;6 la.Réáltnanó.srEn Pa ■ mentes y los movimientos horarios "correspondientes hé’cor.cluído que lacio á 28 de Junio de i8ji.sA D. Tomas Moreno-y Daoiz. al instante físico de la conjunción verdadera se contaban en Padüa por .el pr.mtr contacto interno 28 37,23,6,'y por el segundo contactó in ..Circulares (til ministerio de les Gobernación de la Península. , i terno 2h 37' 23 ",4, la corrección a las tablas e…</t>
  </si>
  <si>
    <t>Daoizy, Tomas Moreno</t>
  </si>
  <si>
    <t>Tomas Moreno Daoizy</t>
  </si>
  <si>
    <t>…que tuviese noticia alguna de ta .debe reducirse ahora la cuestión es alnombramiento del barón de An les desórdenes! No hay pues razón alguna-que justifique la conducta de dilla , D. Tomas Moreno Daoizy D. Joaquin de Albistu ; i si eí Go ias autoridades de Cádiz, y aun menos disculpable, en concepto de bierno en .yste punto'se ha excedido de sus facultades, ó contrave la'comision, lo que han obrado las de Sevilla. nido á las leyes; y de consiguiente á si las autoridades de las ci…</t>
  </si>
  <si>
    <t>Darnley</t>
  </si>
  <si>
    <t>…q-f-ir, el ministro de naba en la actualidad- Sin embargo, dió lugar a alguna discusión un Suecia, y que lo mismo sucedió cuan Ja se mudó la Constitución de discurso que pronunció lord Darnley, en el que censuiaba la conducta Dinamarca; por lo cual, siguiendo el Gobierno ingles una conducta de los ministros, al mismo tiempo que manifestaba su natural senti diferente con respecto á Ñipóles , manifestaba su parcialidad, favore miento , porque no' hab…</t>
  </si>
  <si>
    <t>…, y se espera que se les sujetará dentro de poco. poder político. Tal será siempre mi opinión;?’.. ¡. ... a I.ó^cnlábózós de Cristóbal estaban construidos por el' estiló del fa El conde Darnley. dijo que había.oidorcon sentimiento estas expre- moso Blackhole de Calcuta; En 24 horas perdían el 'uso de sus mi£si=. siones en boca del heredera Bel: truno: qué.esperaba que hubiesen des bros los hombres mas robustos, y eran muy pocos los que vivían nías a…</t>
  </si>
  <si>
    <t>…se a los tidos á una misma audiencia para entregar sus credenciales. Emites prescritos por los Estados de la Confederaron. 20. Se proveerá — En la Cámara de los Lores del día 3 el conde Darnley, después ála subsistencia del egécito de la Confederación por medio de los en de haber manifestado que la marina inglesa ascendía á 84 navios deli cargados de todos los cuerpos del egército, bajo 1» dirección del gene nea, 67 fragatas, otras 22 que se están c…</t>
  </si>
  <si>
    <t>DaschkofF</t>
  </si>
  <si>
    <t>…vos pe micilio. Sin embargo, los ciudadanos de dichos países estarán sujetos á ligros. las leyes del suyo respectivo en cuanto á la obligación del servicio' En cuanto al envío del Sr. DaschkofF, el del Sr.Fonton, consejero militar, de manera que no se entenderán con ellos las leyes militares de embajada, y la visita solemne del barón de StrogonofF al gran visir del país donde se establezcan. También se estipulará que en el caso de no hablan palabra…</t>
  </si>
  <si>
    <t>DasvídofF</t>
  </si>
  <si>
    <t>…via Pepé. ' alicántara 8 de Marzo. Entre los persoñages extrangeros que existen en el dia en esta ca El pueblo de Alcántara, que fue uno de los que levantaron an pital se halla el general DasvídofF, consejero íntimo de S. M. el tes en esta provincia el grito de libertad, acaba de dar una prueba de Emperador de Rusia. Este visita con mucha aten .ion todos los céle su firme adhesión á las instituciones que felizmente nos rigen, solem bres monumentos de qu…</t>
  </si>
  <si>
    <t>Dávalos, Juan Abela</t>
  </si>
  <si>
    <t>Juan Abela Dávalos</t>
  </si>
  <si>
    <t>…guerreros valientes. blación fundó D. Diego Sánchez Duran, y poseyó hasta el 6 de Enero de » Los ecos del Olimpo , dice Mr. de Pouqueville, repiten todavía 1798 en que falleció , D. Juan Abela Dávalos; cualquiera persona que el nombre de Nicolás Cosani, á quien la Alemania contaba poco há se crea con derecho al citado capital acuda en el término de 14 meses, entre sus coroneles de egército; el de Bucovalas, terror de los albaneses contados desde este dia;…</t>
  </si>
  <si>
    <t>Dávila</t>
  </si>
  <si>
    <t>…ses del Estado contra ¡os faccio culpa del delito cometido en tal estado ; pero sí la embriaguez casual. sos de Merino y de Salvatiera; por el duro escarmiento que tuvieren , y El Sr. Dávila sostuvo el dictamen de la comisión , y manifestó la por la vigorosa ley de 25 de Abril , llegaron í convencerse de que no necesidad de esta- ley para que los tribunales no se viesen embarazados podían combatir abiertamente con los amigos de la Constitución ,…</t>
  </si>
  <si>
    <t>Dávila, Josefa</t>
  </si>
  <si>
    <t>Josefa Dávila</t>
  </si>
  <si>
    <t>…n unos periodistas se le ha El de la de Premios nombrada en la legislatura anterior acerca de . hecho un magnífico entierro ; y según otros el gobernador de Odesa, la solicitud de Doña Josefa Dávila, viuda del mariscal de campo Don conde de Langeron, no habia permitido semejante solemnidad, y es-» Mariano Alvarez, para que se la declare comprendida en el art. 4.0 del peraba órdenes de su corté para saber lo que debia hacer; y entre tanto decreto de 27 de…</t>
  </si>
  <si>
    <t>Davis</t>
  </si>
  <si>
    <t>…1821. NOTICIAS EXIR A N GE RAS. bras esterlinas para los gastos de escritorio de las oficinas y del secreta rio de Estado ministro de la Guerra, para el año corriente. ITAIIA. El coronel Davis observó que este gasto no ascendía en 1806 sino a 259 libras esterlinas, y que no seria justo fijarlo ahora en 459. Turin 11 de Abril. Lord Palmerston expuso las razones en que se fundaba el aumenta El generalísimo de las tropas de S. M. el Rey de Cerdeña con…</t>
  </si>
  <si>
    <t>De-, N.</t>
  </si>
  <si>
    <t>N. De-</t>
  </si>
  <si>
    <t>…Tarragona D. Josef Ixant y Pí, comerciante de Tarragona. cias de 10 de Marzo de 1820 en Cádiz , acerca del modo con que ha D. Joaquín Andreu , abogado y escribano de Vails. Gerona D. N. De- bían de instruirse del proceso ¡os defensores de ios reos , presentaron su las , barón de Vilagaya , hacendado , ex-alcalde. D. Josef Puig, hacen dictamen recadado en los artículos siguientes: dado de Ídem. Sobona D. Manuel Ribaita, hacendado de Fonseca. Art.…</t>
  </si>
  <si>
    <t>Deigar, Fortian</t>
  </si>
  <si>
    <t>Fortian Deigar</t>
  </si>
  <si>
    <t>…y refrendado por el Sr. Quintana. nuestro secretario. =:Fr. Raimundo, obispo de Vich.=Por mandado de Asimismo quedaron aprobados los artículos siguientes: S. I. el obispo mi señor=D. Fortian Deigar, presbítero secretario. = Art. 2.0 n Pero á fin de evitar fraudes los tenedores de tales géne Lugar del -*£■ sello.” ros presentarán en las aduanas respectivas , dentro del término preciso de 30 dias, contados desde la publicación de este decreto en cada Madr…</t>
  </si>
  <si>
    <t>Delgado, Carlos Elias</t>
  </si>
  <si>
    <t>Carlos Elias Delgado</t>
  </si>
  <si>
    <t>…á una comisión especial. de Estado del año de 1814 el expediente' promovido'pur‘Doña’Maríat J1 Sr. Rovira presentó una indicación relativa á que se mandase á del Carmen , viuda de D. Carlos Elias Delgado , en solicitud de que sé la comisión de Agricultura que presentase un proyecto de ley, en el le asigne la correspondiente pensión para que no esté niartienípó sumi que , sin perjudicar el derecho de propiedad ni la libertad que todo ciu da en la miseria en qu…</t>
  </si>
  <si>
    <t>Delgado, Francisco</t>
  </si>
  <si>
    <t>Francisco Delgado</t>
  </si>
  <si>
    <t>…es. D. Josef María 35214....... 1000.................... Cádiz. Quirós y Mi lian , provisor,y vicario general de la Sonora, y el licen 31304.. .....!.. 1000......... Madrid. ciado D. Francisco Delgado; vecino de.la villa del Fuerte de MontesClaros. Suplente, el teniente coronelR. Josef Ignacio Ortia de Rosas/ _Se han recibido periódicos dé México, que alcanzan hasta prin natural de estas provincias, residente en Guadalajara. •• * cipios de Enero. La pacifi…</t>
  </si>
  <si>
    <t>Delgado, Luis</t>
  </si>
  <si>
    <t>Luis Delgado</t>
  </si>
  <si>
    <t>…ra aquella época; y sin embargo, los nombres sagrada comunión. Formadas con las doctrinas de piadosos y de Alamos, de Coloina ni de Sueiro no asoman por todo el doctos autores por D. Luis Delgado , cura párroco que fue de contexto de la susodicha historia.' S. Andrés de esta corre-. un tomo en. 8.’ Se hallará en la librería Tampoco se habla del Dioscóvides de Laguna, del Ge- de Ranz á 6 rs. en pasta. MADRID EN LA IMPRENTA NACIONAL.</t>
  </si>
  <si>
    <t>Delgado, Pedro</t>
  </si>
  <si>
    <t>Pedro Delgado</t>
  </si>
  <si>
    <t>…embre se han de celebrar en toda D. Josef de Arca, D. Josef Huel, D. Juan Antonio Villarino,' la Península las elecciones de los electores de partido por los de las D. Luis Negro, D. Pedro Delgado, D. Rafael Saravia y D. Ramón parroquias, nombrados en el primer domingo de Octubre. Este se Calatrava. gundo trámite del método de elecciones, aunque menos concurrido, Parroquia de Sta. María , 2 electores. no es menos augusto; y el importante cargo cometido…</t>
  </si>
  <si>
    <t>Delgado, Pedro de Vera y</t>
  </si>
  <si>
    <t>Pedro de Vera y Delgado</t>
  </si>
  <si>
    <t>…sentó su dictamen acerca de la solicitud de EL limo, cabildo de la Sta. iglesia ha nombrado en este dia al D. Juan Bernardo de Lacalle, en que manifestaba que los franceses le Dr. D. Pedro de Vera y Delgado, provisor y juez vicario general habian quemado los títulos de dos escribanías públicas, que concedie de este arzobispado, quien ha mandado no se exijan derechos en la se ron á sus antepasados los Reyes D. Felipe ív y D. Carlos 11 , y habian cretaría. sido co…</t>
  </si>
  <si>
    <t>Delgado, Tomas</t>
  </si>
  <si>
    <t>Tomas Delgado</t>
  </si>
  <si>
    <t>…nce de ia,m.u.ei/ did,.P., .Amero Echarri:, D. Josef..Joaquín Ermo . D. Manuel Laredo, -te sj no '.ctlufiplo enteramente lodo lo que acabo de jurar delante/de la D. Pedro Navarro, D. Tomas Delgado, D. Pedro Ortir y Urbtna, .imágen de nuestro Señor Jesucristo. .. ».-Kt P, Pedro Gudal, P. Mariano Noucues y Secail, D. Julián Alegre,</t>
  </si>
  <si>
    <t>Delom, Domingo</t>
  </si>
  <si>
    <t>Domingo Delom</t>
  </si>
  <si>
    <t>…ro nunca saca la cara, valiéndose de tercera iSfota. Con motivo de haber caido enfermo el último facultati persona , motivp por que no le prendieron en Cádiz. Debe pues hacerse vo D. Domingo Delom no ha podido esta junta municipal recibir el público este perjudicial invento para que esten sobre aviso los farma parte de la Barceloneta; mas sin embargo, según aviso del comisario céuticos españoles, y aun los extrangeros; analicen los extractos de j.° de…</t>
  </si>
  <si>
    <t>Demargay</t>
  </si>
  <si>
    <t>…derecha: sísí); pero nosotros hemos dejado Cerrada la’"discusión, se pasó á votar el llamamiento al orden del de invocarla, porque, según nuestro modo de ver, ya no existe, (jMovi general Demargay; y se acordó que sí; en seguida se votó sobre la im miento en el Congreso.) Sin embargo, como este texto encierra todos presión del discurso del general’ Táraire; se decretó que no se impri los principios de nuestras libertades, él nos servirá de pauta. Pregu…</t>
  </si>
  <si>
    <t>Demarqay</t>
  </si>
  <si>
    <t>…o dijo que sin aristocracia no podia haber estabilidad en el estaban previstos por-las leyes.. .. ........ trono.; trajo á la memorialos males que había ocasionado el olvido de El general Demarqay pidió la palabra para apoyar la impresión , y este principio en la asamblea constituyente; y por último concluyó pro después de haber expuesto algunas de las razones en que fundaba su nosticando muchas desgracias, si llegaban á prevalecer los principios de op…</t>
  </si>
  <si>
    <t>Demarzay</t>
  </si>
  <si>
    <t>…os atentáis por último contra ja libertad de Ja tribuna. pero que no propusiese Jas leyes por sí; sino por sus ministres; en lo Gritos á la derecha: ya era tiempo de hacerlo.).El, general Demarzay ; que convino en parte el Sr. Baeta,-diciendo que podían hacerlo los ,,Si yo fuese enemigo del Gobierno, de la Constitución, del .Rey y ministros por medio de. uno dé los representantespues que estaba mas del trono, me bañaría en agua rosada al ver lo que pas…</t>
  </si>
  <si>
    <t>Demdo</t>
  </si>
  <si>
    <t>…decidió la Cámara que se procediese.;! oir los demas infor que el Rey estuviese por la voluntad general de la nación; y tomanmes de la comisión. Esta dió cuenta de la petición del capitán Demdo otra vez la palabra el Sr. Barrozo , manifestó que la sanción y el baux , quejándose de que el ministro de la Guerra le hubiese privado veto eran cosas distintas, explicando sus diferentes objetos; y se apro del medio sueldo. El general Lavaux hizo presente l…</t>
  </si>
  <si>
    <t>Demetrio</t>
  </si>
  <si>
    <t>…María Gutiérrez de Teran, que lo es por k. de México; Don ventajas sino estas sacará un diputado del trabajo que tiene aqui? Cuan Josef María de Calatrava, por la de Extremadura; D. Demetrio 0-Daly,_ do ei bien de la Nación está por medio , ninguna fuerza tienen todas por la de Puerto-Rico; D. Francisco Martinez de la Rosa, por la de las delicadezas y miramientos que ha expuesto el Sr. Florez Estrada; y Granada; D¿ Felipe Fermín Paul, por la de C…</t>
  </si>
  <si>
    <t>…ería permi providencias que estime convenientes. Dios guarde á V. S. muchos tir entrasen en su territorio. años. Málaga 6 de Julio de 182 i.s'Josef Marrón. — Sr. gefe político, El príncipe Demetrio ípsilanti, que pasó por el Austria disfrazado de Algeciras.” —Y de orden del Sr. gefe político de este partido se ha 3e críalo, se embarcó en Trieste con el jó ven príncipe Qmtacuceno el ce saber al público para su noticia y efectos convenientes. Algeciras 15…</t>
  </si>
  <si>
    <t>…dar siempre , cuando vemos que se Liorna (Toicana")go de Julio. procura exciur por medios tan infames las pasiones del isas vil po Hemos recibido la confirmación de la llegada déi príncipe Demetrio, pulacho,</t>
  </si>
  <si>
    <t>…giiego procedente de la tin Ramírez de la Piscina , abad de la coiegiai de Alfaro. Mosca ni del Archipiélago. Por la provincia de Murcia. D. Josef Rodríguez Paterna ; D. Juan __El príncipe Demetrio ípsilanti dejó el mando de la Motea , porque Alix; D. Amonio Perez de Meca; D. Bonifacio Sotos; D. Ramón sus tropas insubordinadas degollaron á varios prisioneros turcos , á quie Reille. Suplentes. D. Bartolomé Cei Castiiio; D. Josef Aguilur. nes había ofreci…</t>
  </si>
  <si>
    <t>Demoro</t>
  </si>
  <si>
    <t>…los principales comerciantes da grumete enfermo, que espiró al dia siguiente 14. Hydra , Spezia y Fzara, á los cuales se han unido después los de mu » El dia 15 dos marineros del capitán Demoro, sardo, comandan chas otras islas del Archipiélago. . te del bergantín f. Jorge, procedente de las Aguilas, én la provincia » Se cita la casa de Konturioty de la isla de Hydra, la cual con un de Murcia, murieron uno en Pomegue y el otro el dia anterior en la…</t>
  </si>
  <si>
    <t>Denis, A. de Juchereau de St-</t>
  </si>
  <si>
    <t>A. de Juchereau de St- Denis</t>
  </si>
  <si>
    <t>…emplea za militar, y el sistema de su Gobierno, Los documentos de que se han dos en.las bibliotecas, academias ¿ institutos literarios, y otros indi sacado los ha suministrado el coronel A. de Juchereau de St- Denis, viduos que están sirviendo á los grandes de aquel imperio, en el cual que ha sido por largo tiempo inspector de los ingenieros otomanos, y la religión", las costumbres y las ideas son infinitamente mas griegas que por sus frecuentes relaciones con los minist…</t>
  </si>
  <si>
    <t>DeRealorden, Díaz Mo-</t>
  </si>
  <si>
    <t>Díaz Mo- DeRealorden</t>
  </si>
  <si>
    <t>…etas sumarí.imas sobre la aptitud y • pe), Romero (D. Josef), García (D. Justo), Romero Alpuente, Za servicios de cada uno.” pata, Solana y Vadillo: otro del Sr. Solanot: otro del Sr. Díaz Mo- DeRealorden lo comunico á V. para su mas pronto y puntual .rales; y otro del Sr. GuerrafD. Basilio); y se levantó la sesiona las tres. cumplimiento. Madrid 5 de Octubre de 1821. __Sabemos que en los paises extrangeros han producido un efecto GOBIERNO POLITICO DE XA PROVI…</t>
  </si>
  <si>
    <t>Desíbürhéaux</t>
  </si>
  <si>
    <t>…mejfl. d?Jps. que se ..han, presentado puede adquirir, y el ganado que cultivará su tierra y alimentará sus prueban qué la demanda no tiene fundamento. &gt;'■ ^ hijos ? i . . -;j El" general Desíbürhéaux se dirigió al principio al Gobierno francés, ~ » ¡Quién de nosotros no siénte crecer su amor hácia el venerable' que desechó su solicitud; pero en 1819-los lores de la tesorería ofre Monarca y hácia los augustos Príncipes de su familia cuando los ve cieron a…</t>
  </si>
  <si>
    <t>Desícurlos</t>
  </si>
  <si>
    <t>…endo leído Mr. Goulburn el informe de la comisión de sub foro. Esta medida de precaución ha hecho cierta sensación , tanto en sidios , se opuso Mr. Calcraft á que se concediese al general Desícurlos habitantes, corno en los genízeros. H: entrado en la Morca un ígír- neaux la cantidad de 5á) libras esterlinas que reclama. Los contralores de cito otomano y tomado posiciones en muchos puntos. Tres mil tur- la tesorería , dijo, han creído que era una pretens…</t>
  </si>
  <si>
    <t>Desprat</t>
  </si>
  <si>
    <t>…ón sobre el pase de-hulas del electo arzobispo de Tarragona. .. cusion , y mirarse como de la mayor consideración lo qué-exponia el se ..Tanabien se map_d|ólinsertar..él votoj del-Sr. Desprat, contrario' á la ñor Cano Manuel-, no hübo lugar á deliberar .sobre dicha indicación.: resolución de las Cortes,,sobre, la; apfóbaeío.n de- la adición del Sr. Li ; El Sr. Priego manifestó: que por el correo de ayer se, había, recibi nares. ... V. • .. «s , :…</t>
  </si>
  <si>
    <t>…n las reglas de arancel , para compenEl Sr. Rovira pidróique se leyese el voto particular que hizo con .sar en parte otros derechos, y los arbitrios consulares y de puertos qué el Sr. Desprat. &gt; deben pagar los mismos géneros trasportados por mar.” . Se leyó en seguida tí (voto de dichos señores relativo á que no po El Sr. Cavaleri propuso que se añadiese después de las, palabras íii dían conformarse con sus señores compañeros en la nueva forma qu…</t>
  </si>
  <si>
    <t>…¡as antiguas prohibiciones, pues que estas gravi- El Sr. Calderón manifestó qus el psrmitir entrar los géneros en los ¡nbnt sobre objetos de arbitrariedad. El voto particular del Sr. Desprat depósitos era lo mismo que abrir la puerta al contrabando, pues pu -one un peligro que no es tan remoto , puesto que tenemos á Gibraltar, diéndose llevar estos géneros prohibidos ds otras naciones á Ultramar ,!'.:e es un depósito que constantemente nos está i…</t>
  </si>
  <si>
    <t>Después</t>
  </si>
  <si>
    <t>…para los empicados como para los y habían sido-aprobados los presupuestos en la misma forma que este cesantes. , ■ año, y que por consiguiente era estraño que hubiese de parte deL Señor Después de haber hecho varias reflexiones el Sr. Giraldo en los Ramonee mas delicadeza este año que el anterior para aprobar dichos mismos términos que el Sr. San Miguel, fue de parecer que debería presupuestos. aprobarse el presupuesto por las circunstancias actuale…</t>
  </si>
  <si>
    <t>Destut-Tracy</t>
  </si>
  <si>
    <t>…o cuanto perteneciese ál'mismo le misma se entregará también él comentario de esta obra escrito por el gado para dividírselo como únicos interesados: en sú vista y del dic célebre conde Destut-Tracy: sale adornado con el retrato de Alontestamen dado ¿ dichos señores patronos, acordaron que para proceder con quieu, grabado con todo esmero por un profesor de acreditada habilidad. EN LA 1MPR ÜTA NACIONAL.</t>
  </si>
  <si>
    <t>Destutt</t>
  </si>
  <si>
    <t>…ahim en Fez serán los que no reconozcan esta eterna verdad. ción y complemento de esta obra inmortal se está imprimiendo en un tomo igual el comentarlo que hizo de ella el célebre conde Destutt■: ANUNCIOS. Traci, que ha traducido al castellano el Dr. D. Ramón de Salas, cate En virtud de providencia del Sr. O. Julián de Sojo, ministro to drático de leyes que fue de la universidad de Salamanca, y se dará á la gado honorario de la audiencia territorial…</t>
  </si>
  <si>
    <t>Dia</t>
  </si>
  <si>
    <t>…....... .......... 6......... ......... a...’... ......... 4........... *...... 5°— Parroquia de S. Andrés, 12 electores. D. Alfonso Urquiza, D. Baltasar Umitia-, D. Elias García, Don Dia 18................ ......... 4—•• ....... 1....... «..»»«« IO.... *• .... 47.... Dia 19................ ......... 6......... ....... 1....... ......... 0........... .... 48.... Francisco Jaquete, D. Francisco de Paula Martínez, D. Josef Mari.» Torrijos, D. Ju…</t>
  </si>
  <si>
    <t>Dia, Luis de</t>
  </si>
  <si>
    <t>Luis de Dia</t>
  </si>
  <si>
    <t>….. ....... 1....... ......... 0........... .... 48.... Francisco Jaquete, D. Francisco de Paula Martínez, D. Josef Mari.» Torrijos, D. Juan Jacinto López , D. Juan Josef Sánchez , D. Luis de Dia ao................ ......... 7......... ......... 1....... -•••• s............ .... 49.... Ibarróla , D. Nicolás Alonso, D. Telesforo Polo y D. Ventura de 23- s- 19. 194. la Peña. Parroquia de Sta. Cruz, 8 electores. Jerez. D. Esteban Guinea, D. Josef Manuel…</t>
  </si>
  <si>
    <t>Dia, Mamid</t>
  </si>
  <si>
    <t>Mamid Dia</t>
  </si>
  <si>
    <t>…to Landaburu , D. Manuel Cavero y Garay Dia io..t........ ....... 0....... ....... O...... ....... 1...» ........ 6........ D. Manuel García de la Madrid , D. Manuel de la Lastra, D. Mamid Dia 17............. ....... 0...... I** ...* .... .. 0.... ....... 5..... López Malo, D. Pedro Sainz Castellanos, D.Ramón Toriño, y D. Ra Dia i3............. ....... 1...... ....... I.............. .. 0.... ....... 5..... món Vega y Velasco. Dia 19............. .…</t>
  </si>
  <si>
    <t>Dia, Manuel Cavero y Garay</t>
  </si>
  <si>
    <t>Manuel Cavero y Garay Dia</t>
  </si>
  <si>
    <t>…dro Merino, D. Josef Sánchez, D. Juan Francisco Rodrigo, D. I ov Día 15............. ....... 1..... ....... O.............. .. O.,.. ...... 7-- renzo Arias, D.'Mamerto Landaburu , D. Manuel Cavero y Garay Dia io..t........ ....... 0....... ....... O...... ....... 1...» ........ 6........ D. Manuel García de la Madrid , D. Manuel de la Lastra, D. Mamid Dia 17............. ....... 0...... I** ...* .... .. 0.... ....... 5..... López Malo, D. Pedro Sainz Castellanos,…</t>
  </si>
  <si>
    <t>Dia, Ra</t>
  </si>
  <si>
    <t>Ra Dia</t>
  </si>
  <si>
    <t>…de la Madrid , D. Manuel de la Lastra, D. Mamid Dia 17............. ....... 0...... I** ...* .... .. 0.... ....... 5..... López Malo, D. Pedro Sainz Castellanos, D.Ramón Toriño, y D. Ra Dia i3............. ....... 1...... ....... I.............. .. 0.... ....... 5..... món Vega y Velasco. Dia 19............. ....... 0...... ...... 2.............. I.... ....... 2..... Parroquia de S. Luis , i,j electores. Dia 20............. ...... 2:..... ......…</t>
  </si>
  <si>
    <t>Diario, Francisca Men-</t>
  </si>
  <si>
    <t>Francisca Men- Diario</t>
  </si>
  <si>
    <t>…ilitar. Las Cortes acordaron que el Sr. pre tearro del Oriente.. sidente contestase á la exposición, indicada, y que se insertara en el Se pasó á la misma comisión la solicitud de Doña Francisca Men- Diario. , cbaca sobre que se la conceda una pensión en premio de los méritos Acto continuo pidió.el Sr. Romero Aipuente se le permitiera leer de su marido, que contribuyó á la fuga del general Renovales. una representación de varios oficiales de los regimientos la C…</t>
  </si>
  <si>
    <t>Díaz</t>
  </si>
  <si>
    <t>…instrucción que dan de ella los pirro- cito permanente.” eos á sus feligreses , han,formado el proyecto da hacer una misión po Se mandó insertar en el acta el voto particular del Sr. Díaz del lítica en todos ios pueblos de la Monarquía con e! objeto de probar Jas. Moral, relativo á ia solicitud que hay sobre que se una ai jardín botá relaciones que tiene el Evangelio con la Constitución , y á fin de afian nico ia huerta da el monasterio que fu…</t>
  </si>
  <si>
    <t>Diaz</t>
  </si>
  <si>
    <t>…aun en esta capital, ha cundirlo y se vende esta edición incorrecta y fur que se presumiera cuál podía ser el motivo de esta resolución. Se ha tiva ; repitiendo que la segunda del Sr. Diaz , corregida y mejorada, es blaba de otro congreso en Florencia para el mes de Setiembre. la hecha en Madrid, imprenra de D. Mateo Repuliés año de 1821 en La insurrección griega sigue siempre en aumento. Parece que el tres tomos 4.0, con una estampa fina del S…</t>
  </si>
  <si>
    <t>…a hacer algunas observaciones en pro ■incorregible: en lo que convino el Sr. Obver en nombre de ¡a comisión. y en contra del artículo: que apoyaba el dictamen de la comisión en El Sr. Díaz del .Vloral dijo que se estaba en el momento de poner cuanto á abolir la clase de brigadieres , porque se da con la mayor ge esto en claró y bajo de unas bases sólidas, y que de consiguiente no nerosidad , y luego en el primer momento de favor pedían el grado…</t>
  </si>
  <si>
    <t>…Sr. Alanian apoyó el dictamen de ia comisión , y habiéndose El Sr. Novoa manifestó que en Galicia habia suficiente material declarado el punto suficientemente discutido, pidió el Sr. Díaz del para las fábricas que en ella habia , y que por Jo mismo debía imponer Moral que se votase por partes; y habiéndose asi verificado se aprobó se mas derecho que el que se señalaba; é hizo presente con este motivo la primera hasta la palabra extranjeros, y…</t>
  </si>
  <si>
    <t>…able no se alterase la paz por este Se mandó pasar á las comisiones de Hacienda y Comercio una adi 'invierno; pero que en caso de guerra entre rusos y turcos, la corte de ción de! Sr. Díaz dél Moral al art. y.1’, que decía asi: » Exceptúense de Prusia se ha obligado a dar un cuerpo auxiliar de go9 hombres, ó su esta regía [as aduanas d; los.puertos del Mediterráneo, cuando el pre-' equivalente en dinero. 1 cío máximo,del quintal de linó sin ras…</t>
  </si>
  <si>
    <t>Díaz, Andrés Fernandez</t>
  </si>
  <si>
    <t>Andrés Fernandez Díaz</t>
  </si>
  <si>
    <t>…esidio, sufrirán el tiempo respectivo ¡en una casa A la comisión del Código de procedimientos se pasaron varías ob de reclusión.” Aprobado. servaciones sobre dicho código que hace D. Andrés Fernandez Díaz. Art. 70. » Ninguna sentencia en que se imponga pena á muger em A tas comisiones de Hacienda y Crédito público se pasó una expo barazada se notificará á esta, ni se egecutará hasta que pasen cuarenta sición de Fausto Sánchez , cabo primero que íué de guardias…</t>
  </si>
  <si>
    <t>Diaz, Anselmo</t>
  </si>
  <si>
    <t>Anselmo Diaz</t>
  </si>
  <si>
    <t>…de la Bañeza á D. Juan Hevia Arguelles: para el de Omaña á misión en examinar y proponer á las Cortes si era llegado el tiempo D. Francisco Plácido Cabrera; y para el de Toreno á D. Anselmo Diaz de establecer la diferencia entre los jueces de hecho y de derecho, con Canseeo. arreglo al artículo 3°7 de la Constitución. Se leyeron por primera vez seis proposiciones del Sr. Zorraqutn; En el diario de 14 de este mes se dió el aviso siguiente: « Confor en…</t>
  </si>
  <si>
    <t>Diaz, D Julián</t>
  </si>
  <si>
    <t>D Julián Diaz</t>
  </si>
  <si>
    <t>…rto ni el diezmo, que empiezan ¿correr desde que.se anun utilidad; pero con tal de que se completé el número que les falta , confor cie en e! diario; lo que ha mandado publicar el Sr. D Julián Diaz de me á la ley, según se ha ofrecido. Igualmente subsistirán el de carme Yela, juez de primera instancia, y ha señalado ipara el último.remate litas descalzos situado fuera de la ciudad, conservándole hasta el arre el dia 1 1 de Mayo próximo, á las 11 en las…</t>
  </si>
  <si>
    <t>Díaz, Francisco de Paula</t>
  </si>
  <si>
    <t>Francisco de Paula Díaz</t>
  </si>
  <si>
    <t>…las que observasen las otras na A la comisión de Legislación se pasó un expediente instruido á ciones ; y que en caso de que hubiese razón para cqflceder este privile instancia de D. Francisco de Paula Díaz., vecino y presbítero de An gio á alguna nación, seria solamente á la española por la unidad de cir-r tequera , en solicitud de que se le permita egercer la facultad de abogado. cu estancias. A. la de División del territorio español se pasó una solicitud de 1…</t>
  </si>
  <si>
    <t>Diaz, Isidro</t>
  </si>
  <si>
    <t>Isidro Diaz</t>
  </si>
  <si>
    <t>…las librerías de Sancha y de Castillo á 20 rs. en bcra, Hel segundo batallón del de Soria: á D. Manuel Arbilla, del se pasta y 16 en rústica. gundo batallón del de Guadalajara: á D. Isidro Diaz, del primer ba En las librerías de Sanz y en la de Paz se vende un extracto de los tallón del de Sevilla: á II. Marcelino Oraá, del segundo batallón del trabajos que se han hecho en el Ateneo desde su origen , y una oda , leí de Granada: á D. Josef Chacón, de…</t>
  </si>
  <si>
    <t>Diaz, Josef</t>
  </si>
  <si>
    <t>Josef Diaz</t>
  </si>
  <si>
    <t>…disposición para proveer, los ba-, blioteca dos egemplares presentados por el Sr. Valle de una obra del tallones' naciónalés de muchísimos objetos que les faltaban , sobré cuya * doctor D. Josef Diaz sobre-reforma de regulares, acompañarla de una verdad me remito al ministro de Hacienda. ' . ' exposición, en que manifestaba la necesidad de que el público se ilus - ,,Los víveres faltaron siempre, de suerte que el mariscal Ríiffb me : trase sobre esta mater…</t>
  </si>
  <si>
    <t>Díaz, Josefa</t>
  </si>
  <si>
    <t>Josefa Díaz</t>
  </si>
  <si>
    <t>…cción del banco nacional de S. Carlos de lo acordado en la misma , . , También se aprobó el dictamen de la comisión de Hacienda acer en 1 .u de Enero último. ca de la-solicitud dé Doña Josefa Díaz , en que pideque laasignacion que Se leyó el dictamen dq*Ia comisión de Poderes relativo á los pre se ia concedió en 9 dé Agosto de 1814 se la pague por tesorería, ha sentados por D. Josef María Quirós y Millan, diputado electo por 1* ciéndole, después.d? su…</t>
  </si>
  <si>
    <t>Díaz, Juan Gómez y</t>
  </si>
  <si>
    <t>Juan Gómez y Díaz</t>
  </si>
  <si>
    <t>…o para nada necesita esta nueva prueba. z.a El Sr. secretario del despacho de Gracia y Justicia con fecha ANUNCIOS. de i6 de este mes me dice lo que copio: Por providencia del S-. D. Juan Gómez y Díaz, juez letrado de Con esta fecha digo á los regentes de las audiencias de la Penín primera instancia en esta corte , se anuncia.el extravío, de cuatro letras sula é islas adyacentes lo que sigue: » Deseando S. M. que las escriba nías de los juzgados de primera…</t>
  </si>
  <si>
    <t>…. la cual consiste en un vehemente deseo de lo mejor &gt; Y 1ue cuando esta ANUNCIOS. cualidad se halla en un hombre bueno, justo y%1sabio, es una virtud En virtud de providencia del Sr. D. Juan Gómez y Díaz, juez en digna de veneración; pero esta virtud eminente es preciso que vaya primera instancia de es-ia heroica villa , refrendada de D. Donato Nusiempre acompañada de cierta especie de moderación. En efecto, cuan ñez, escribano del número de la misma, se inun…</t>
  </si>
  <si>
    <t>…ado toda comunicación con ella desde el 13 del corriente, ANUNCIOS. dia en que se estableció el cordon acostumbrado en los años anteriores. A consecuencia de hallarse requerido el Sr. D. Juan Gómez y Díaz, juez de primera instancia de esta M. H. villa con un exhorto del de iguil Continúa ia lista núm. 342 de las fincas que se están subastando de las clase de la ciudad de Jerez de la Frontera D. Antonio Basilio de Acos aflicadas al Crédito público para pago de…</t>
  </si>
  <si>
    <t>…martine tes, y dar vida á un grandísimo número de brazos paralizados, á que ANUNCIOS. las Cortes cierren totalmente la entrada i toda elaboración de fierro , y Por providencia del Sr. D. Juan Gómez y Díaz, juez de primera por consiguiente á la de los flejes ó aros para todo género de pipas 7 Instancia de esta M. H. villa , que ha refrendado el escribano del nú tonelería. Tenemos noticia de que, dispuestos á iguales empresas, de mero de ella D. Martin Santin y…</t>
  </si>
  <si>
    <t>Díaz, Margarita</t>
  </si>
  <si>
    <t>Margarita Díaz</t>
  </si>
  <si>
    <t>…nto de infantería reglo, se halla ya suprimido en el de la provincia de Santander, á que del Infante D. Cárlos. pertenece. Al propio tiempo se ha servido S. M. mandar que si al re Doña Margarita Díaz, muger del teniente D. Cárlos Rancharte, cibo de esta resolución algunos de los conventos que por ella quedan destinado á inválidos hábiles de Sanlúcar de Barrameda. subsistentes no tuviesen el número determinado.por la ley por haber pedido su secularización…</t>
  </si>
  <si>
    <t>Díaz, María</t>
  </si>
  <si>
    <t>María Díaz</t>
  </si>
  <si>
    <t>…L bilí-, manifestó Mr.-Orno á la Cámara que la Hacienda pública su difunto marido Bernardiñó Ramos; Otra dé este clérigo se habia portado en las últimas elecciones como uno de los Doña María Díaz, para que se le reintegre de cierta cantidad que exi más fanáticos demagogos'; que habia predicado-sermones sediciosos, di gió la chancillería de Valladolid á su difunto marido. Otra dé Doña rigidos á irritar á los irlandesesi contra, la Inglaterra, y que el…</t>
  </si>
  <si>
    <t>Díaz, Ramón</t>
  </si>
  <si>
    <t>Ramón Díaz</t>
  </si>
  <si>
    <t>…ndó im Sarmentó dijo que deberla enviarse una diputación á S. M. primir. Habiéndose retirado el ministro de Marina, leyó la comisión Ecle El Sr. Cepeda presentó) una exposición de D. Ramón Díaz, Don siástica su dictamen sobre diversos asuntos , siendo uno de ellos los ma Francisco Perez, D. Antonio Fernandez y otros, sargentos primeros trimonios que se contraen en Ja patriarcal entre personas de diversas que fueron del batallón de Asturias, en que m…</t>
  </si>
  <si>
    <t>Díaz-del-Moral</t>
  </si>
  <si>
    <t>…na exposición, de la diputación pro.— Se mandó pasar á la cornisón-de libertad de Imprenta una indivir.cia! de Toledo, la cual preguntaba de dónde se debían sacar los. .cacion del Sr. Díaz-del-Moral parí que informe á las Cortes del nú gastos de la milicia nacional voluntaria. mero de jueces de hecho que debe haber en las poblaciones, donde se A ia de A'lil.cias nacionales una exposición del comandante de la hayan aumentado el número-de alcaldes y regido…</t>
  </si>
  <si>
    <t>Diaz-Morales</t>
  </si>
  <si>
    <t>…nido el Gobierno para que El Sr. Puiblanch dijó que eran muy acreedores aquellos héroes á lo la fabricación de moneda para el pago del empréstito de los 200 ra llo que proponía el Sr. Diaz-Morales, sobre lo cual habia pensado hacer nes se egreutase en esta corte, y en que contestaba á lo demas que de también una indicación ¿ añadiendo á D. Juan de Lanuza , con cuya seaban saber las Cortes en este particular;. muerte espiró la libertad d¿ Aragón , lo mi…</t>
  </si>
  <si>
    <t>Dick, Juan</t>
  </si>
  <si>
    <t>Juan Dick</t>
  </si>
  <si>
    <t>…fundamental dél Es sabe que un-bergantin; corsario insurgente'con bandera- de Artigas,' tado ; y concluyó manifestando que el juramento de reconocer la Cons nombrado Vencedor', su capitán Juan Dick, americano-, que salió de titución que hiciesen-las Cortes nunca podía ser sino condicional. Margarita, apresó en la altura de la Madera’al bergantin portueues San ' El Sr. Castello Braticó'dijo que habiendo sido él el primero que ma Luis, su capitán Lesa, qu…</t>
  </si>
  <si>
    <t>Diego</t>
  </si>
  <si>
    <t>…r- ... .Después de apoyada por su-autor, dijo, el Sr.-Romero-'AIpuente d¡d"°, regidor. que, no se podía dudar que’ los estudios, particulares eran no solo súfiá A la misma otra de D. Diego .Gaveta de la Riva;. vecino.de Si- cjentes, sino mayores. y mejores que. Jos públicps: que los prariieros ruela (en Extremadura) contra el ayuntamiento por haber cargado un ocasionaban gastos que arruinaban á los fleos,, y.que los pobres ño po impuesto sobre:…</t>
  </si>
  <si>
    <t>…rtículo en los ra en su memoria leída en la sesión de 10 de Marzo último. mismos términos que el Gobierno lo habia indicado, sin mas diferen A la de Beneficencia una exposición de D. Diego de la Torre, ve cia que no decir salta la facultad del Rey de disponer de la fuerza cino de Toledo, en que pide la permanencia de un establecimiento de arenada, diciéndose en su lugar que el Gobierno cuide siempre que tu beneficencia en la misma ciudad. haya…</t>
  </si>
  <si>
    <t>…r; Silvestre Pinhéiro Ferreira, ministro y se cretario de Estado de Negocios extrangeros y de Guerra; conde de (O Parece que apenas se esparció en la mañana del 4 la noti Louzan , D. Diego, presidente del Real erario; el obispo, capellán mayor, presidente del tribunal de órdenes; el intendente general de cia de esta sentencia, no faltaron gentes que creyendo la libertad en peligro, y rezelosas sin duda de parcialidad en el juez, no pudieron pol…</t>
  </si>
  <si>
    <t>…ha tenido á bien nombrar para plazas de magistratura, Art. 58. ” La repartición entre los propietarios y contribuyentes se en la audiencia de Galicia, á D. Matías Herrero Prieto, D. Diego hará en cada pueblo por repartidores.” Alcalá Gal ¡ano y D. Miguel de Belorado. El Sr. conde de Toreno manifestó que podria hacerse alguna modi ZJsta.de las alhajas robadas en la iglesia de S. Mames de la villa de ficación en este artículo . para que no se di…</t>
  </si>
  <si>
    <t>…o suban á mi Real despacho para la sanción. Los ministros y se cretarios de Estado son ios que constan por la relación adjunta , firma NOTICIAS DE KSPASá. da por el conde de Lousá D. Diego, mi ministro secretario del Des Madrid Sábado 18 de Hgosto. pacho de Hacienda. Palacio g de Junio de 18 2 1. =cRubricado de la Real mano de S. A. , y firmado por los ministros. Nuestro augusto Monarca acaba de salir para S. Ildefonso, y este suceso, que debie…</t>
  </si>
  <si>
    <t>…erza, debia considerársele como un hombre ofen Sres. Castilla , de Pamplona. D. Josef Antonio Iñana , de Pam dido, y por consiguiente sospechoso; pues si es verdadero el proverbio D. Diego y D. Rafael del Rio. plona. que dice: no te jies de aquel á quien has ofendido, mucho mas debe Sres. D. ilenrique Oshea y com Sres. López, hermanos, de Má 6erio cuando el ofendido lo es en la parte de ambición, y de la ambi pañía , de Valencia. laga. ción que inspira el poder ab…</t>
  </si>
  <si>
    <t>…edido las Cortes extraordinarias á la renovación de que andaban comprando nuestros despojos , y pagando á cualquier prer su presidente, více-presidente y secretario mas antiguo el Sr. D. Diego. cío los restos de nuestras pasadas glorias; y convencido de la oportu Clemencin, han sido elegidos para presidente el Sr. D. Francisco Mar nidad de resucitar nuestro antiguo espíritu marcial, ó sostener la repu tínez de la Rosa , diputado por la provincia de…</t>
  </si>
  <si>
    <t>…las' Cortes extraordinarias á la renovación de pítulo &lt;S.° está expresamente sancionado que- los secretarios del Despa su presidente , vice-presidente y secretario mas antiguo el Sr. D. Diego cho serán responsables á las Cortes de las órdenes que autoricen contra Medrano, han sido elegidos para presidente el Sr. D. Diego Clemen- la Constitución y las leyes, sin que les sirva de disculpa haberlo man cin , diputado por la provincia de Murcia ; para…</t>
  </si>
  <si>
    <t>…de campo de los egercitos nacionales; el Exorno. Sr. O. Josef ^HBHB(^^ente sacan nuevos recursos;; 4." Los griegos tienen mucha Canga-Arguelles, consejero honorario de Estado; el Sr. D. Diego de la "marinería, y los turcos ninguna': 5.0 Í.a"má quina derG'obretflo~Uirco '-Vega', oficial niayor deiaiecrétaríá-dél ministerio de Marina;'el doc es movida por los griegos, y andará muy mal sin ellos: 6.~‘ Losgriegos tor D. Rodrigo Valdés del Busto, canón…</t>
  </si>
  <si>
    <t>…rio; D. Antonio Sequera, capitán graduado de te quedarse á beneficio de los empleados, se avisará de la providencia al niente coronel de artillería, natural de Granada. Suplentes: D. Diego dueño de los géneros en e'1 término de 15 dias contados desde aquel Entrena, sargento mayor con grado de teniente corone! de artillería, en que se hizo el detenimiento. vecino y propietario de Almería , y D.\ Andrés María García y Bus- Art. 10. » Los géneros…</t>
  </si>
  <si>
    <t>Diego, Martin</t>
  </si>
  <si>
    <t>Martin Diego</t>
  </si>
  <si>
    <t>…den á mas de 70 millones las sus Lorenzo de Palacio y Gorvea. compañía. cripciones; siendo de esperar que los comerciantes y propietarios de las Manuel Rlvaccba y Gorvea. Viuda de D. Martin Diego provincias se interesarán también á poríia en este empréstito, que hon Manuel Basuaido. Saenz Diez. rará su patriotismo, acreditará la adhesión de la Nación toda a’ 'stema Manuel de ¡a Forre y Raurs. Viuda de Azofra Herr.anz y constitucional, y su confianza e…</t>
  </si>
  <si>
    <t>Diegoasunto</t>
  </si>
  <si>
    <t>…uaderno 3.° Se vende en la librería de Ranz; en Barcelona en lá de Sierra; Penetrado nuestro sabio crítico de la importancia del en Zaragoza en la de Sánchez , y en Cádiz en Ja de D. Diegoasunto, asi como de Ja obligación que contraía como hisio- Zaragoza, á 4 rs. cada uno á la rústica; y sucesivamente se iránriador, ha formado un plan exacto y general, que com dando los demás, avisando por los periódicos. prende todo cuanto tiene relación con su pri…</t>
  </si>
  <si>
    <t>Diégoí-Corraly</t>
  </si>
  <si>
    <t>…istema constitucional, y que■ ~ 'A la' comisión dé'Lnfraceíones de Constitución se mandó pasar una podía contar con las Cortes, que cooperarían por su parte en cuantoexposición-dé D. Diégoí-Corraly vecino-de Villanueva de Haro , en que estuviese en sus atribuciones, ■ se quejaba del juez de primera instancia de Almagro por haber infrin El Sr. Quíróga, despues dé haber manifestado el sentimiento que le gido Ja Constitución y varios decretos de las Cortes…</t>
  </si>
  <si>
    <t>Diez, Ezequiel</t>
  </si>
  <si>
    <t>Ezequiel Diez</t>
  </si>
  <si>
    <t>…obo, comerciante y alcalde constitucional PORTUGAL. de Villar de Ciervos. Fertnoselle D. Pedro Flores Puente, labrador hacendado, Lisboa jo de Noviembre. i Provincia de Toro. Toro D. Ezequiel Diez y D. Manuel Sanchet Arcilla. Alaejos D. Agustín Monge. Vezdemarban D. Juan. Manuel Sesión del 2. Coca. Se continuó la discusión pendiente del art. 90 del proyecto de Cons Provincia de Navarra. Pamplona D. Cristóbal María Rípa da titución, y el Sr. Correa de .Seabra opinó contra él, dici…</t>
  </si>
  <si>
    <t>Diez, Juan Martin</t>
  </si>
  <si>
    <t>Juan Martin Diez</t>
  </si>
  <si>
    <t>…ia que se dirigían á ella‘, y .arrimándose al D. Felipe Arco-A güero-, para gobernador de -Zamora al agujero, parecía suplicarla que no huyesen Dos de sus versos mariscal de campo D. Juan Martin Diez el Empecinado; y decían* para gobernador de S.Lucar de Barratneda almqriscal de. Habéis inspirado mis. versos: • . campo D. Josef S. Juan. 1- -¡ Que una jlor los recompense. . Clemencia titubeaba; mas al'fin puso una .violeta sobre Continiían las exposiciones…</t>
  </si>
  <si>
    <t>Diez, Pedro</t>
  </si>
  <si>
    <t>Pedro Diez</t>
  </si>
  <si>
    <t>…e Pisuerga á D. Victoriano Escribano: para el de Saldaría á D. Luis hubiesen aprobado algunas bases, como la de extensión, población &amp;c., Antonio del Campo; y para el de Reinosa á D. Pedro Diez. á las cuales se hubiese contraído k comisión. En lá provincia de Santander: para el juzgado de la Capital á Don El Sr. Rovirá manifestó que la comisión habia tenido presehte , al Josef Gájalio y Cabañas: para el de Potes á D. Josef González Suarez: proponer…</t>
  </si>
  <si>
    <t>Diieñas, Lorenzo</t>
  </si>
  <si>
    <t>Lorenzo Diieñas</t>
  </si>
  <si>
    <t>…virá con gusto. Pongan nuestros ministros en vigor dencia de visita: siga. la ley de las Doce Tablas, y yo les aseguro la mayoría; muchas veces Vicente Soler y Pardo, remitido por D. Lorenzo Diieñas, alcalde la han conseguido solo con una.” inayor de Alcira, en virtud de orden de la sala, en 3 de Marzo de 1817.' (2) En la comedia del Cafe D. Pedro coge el sombrero para irse, Preso en 3 de Marzo de 1817 por tres causas sobre hurto de miel y diciendo que n…</t>
  </si>
  <si>
    <t>Dinamarca, Cristiano de</t>
  </si>
  <si>
    <t>Cristiano de Dinamarca</t>
  </si>
  <si>
    <t>…Wilpotencias. Se cree también que se invitará á la Puerta á que envíe por helmstadt. Sin embargo, por mas verosímil que esto sea no pasa de un su parte un ministro. mero rumor. EL príncipe Cristiano de Dinamarca, que debía haber pa __Se asegura que se ha comunicado á nuestra corte la intensante de sado por aqui á su regreso de Italia á fine» del mes último , ha diferido claración que la corte de Rusia ha hecho á la Puerta, y que es cual su viage hasta fines del inmed…</t>
  </si>
  <si>
    <t>Dios, Juan de</t>
  </si>
  <si>
    <t>Juan de Dios</t>
  </si>
  <si>
    <t>…bre la publicación y denuncia hecha de la obra titulada referidos diocesanos yel gefe político destinen los religiosos de los con Reflexiones á las Cortes, condenó en las costas á D. Juan de Dios ventos que se suprimen, y no tienen agregación determinada ¿ los de Qlabarria, autor de la misma, mandando al misrho tiempo se recogie la misma orden en la provincia, y en caso de no haberlos en ella á los sen .-é.inutilizasen'los egemplaces, y encargando á d…</t>
  </si>
  <si>
    <t>Diosayuda, Luis Ruiz</t>
  </si>
  <si>
    <t>Luis Ruiz Diosayuda</t>
  </si>
  <si>
    <t>…de la audiencia de Castilla la Vieja, y juez letrado en ga , á los sugetos siguientes: primera instancia de esta M. H. villa, refrendada de su escribano del Para la de Santa Fe á D. Luis Ruiz Diosayuda; para la de Izna- número D. Jacinto Gaona y Loeches, se ha señalado el dia zt del lloz á D. Juan Berges ; para la de Guadix í D. Francisco Tarrago Ri- corriente en la casa de S. S., y hora de las 12 de su mañana , para el queime; para la de Haza á D. Juan Víc…</t>
  </si>
  <si>
    <t>Diputado</t>
  </si>
  <si>
    <t>…luye contra el querido probar algunos Sres. diputados; porque supongamos que en Za dictamen de la comisión. ragoza haya una intriga para que vengan diputados menos sabios que Otro Sr. Diputado ha dicho que habría algunas provincias que es los actuales; si la provincia de Aragón se' divide en cuatro, deben obrar tarían mal contentas con esta nueva división; pero quisiera que esté cuatro intrigas, lo que no es tan fácil. Yo quisiera que llegase á tie…</t>
  </si>
  <si>
    <t>…do al consejo de Estado ó ¿ las perso disfrutando los mismos sueldos, derechos y obvenciones que hasta aquí.” nas que se ocupen en este asunto! Yo creo que no ; y por lo mismo, Un Sr. Diputado preguntó qué sueldos habían gozado hasta aquí aunque se verificara que el Gobierno no tuviese datos , se apresuraría á los oficiales de milicias que antes han servido en el egército. buscarlos para llenar su deber. Asi, creo que debe aprobarse la propo El Sr.…</t>
  </si>
  <si>
    <t>Discurso, Alvéí</t>
  </si>
  <si>
    <t>Alvéí Discurso</t>
  </si>
  <si>
    <t>…&amp;c. que no fuesen dignps de la rracion, y que en este caso se Lisboa i.a de Febrero. removiesen; pero nada se decidió en el particular. Se leyó por segunda vez la proposición del Sr. Alvéí Discurso que pronunció el Sr. conde de Sanpayo en nont~ del Rio acerca de la amnistía en favor de los que acompa bre de la regencia, y en contestación al del presidente ñaron en 1808 al egército francés; y observando que había del Congreso. (Véase la gaceta de ayer.)…</t>
  </si>
  <si>
    <t>Docal, Josef</t>
  </si>
  <si>
    <t>Josef Docal</t>
  </si>
  <si>
    <t>…por pensación. Publicado se presentó) denunciándole ante el- Sr. alcalde ! los 40Í? que disfrutan por sus dietas los diputados, y sus ímprobas ta constitucional conde de Clavijo, D. Josef Docal, correo de gabinete,reas en las dos provincias que administró) con integridad y singular apellidándole libelo infamatorio con arreglo-ai mím. 16, art. 10 de 1* | acierto en circunstancias críticas, lo que tuvo no poca influencia en el ley reglamentaria acerca…</t>
  </si>
  <si>
    <t>Docoi-visioivreseryada-</t>
  </si>
  <si>
    <t>…as fraga-, mientos contra aquel individuo. las Pcjieba y-. Venganza hablan salido de Lima' el • l gl.de -Setiembre con' Se mandó insertar en el acta , para que conste, el voto del Sr. Docoi-visioivreseryada- y aun no habian vuelto :,que el egército de -Sah-Mar-r larea, contrarioá la declaración de las Cortes del dia de ayer de no ha tin so-halkba.en Guacho y Pisco,en níimerótdfe-íSL hombres:,. y el ber lugar á votar sobre la exposición que hizo el marques de Vili…</t>
  </si>
  <si>
    <t>Dodero, Antonio</t>
  </si>
  <si>
    <t>Antonio Dodero</t>
  </si>
  <si>
    <t>…pla se ha explicado sobre esto ‘ misión á despacho de seis botas de hierro en copas para sartenes, perte con energía. —La Gaceta de Lausana menciona una multitud de ru necientes á D. Antonio Dodero, de aquel comercio : se ha servido $. M. mores á cual mas abultados para el caso en que rompa la guerra en"el resolver que las de la muestra que V. E. remitió en la primera de di Levante; por egemplo, el de la reunión de un egército saxo-prusiáno en chas fech…</t>
  </si>
  <si>
    <t>…nto es lo que cuesta tomar una resolución, cuando se trata de hijos, de Ja Coruña. Sres. Mier y Escalante, de Barceintereses, particulares sin consideración á los de la humanidad! D. Antonio Dodero gm. Franco, lona. de Barcelona. Sres. Cortadilla y compañía, de id. NOTICIAS DE ESPAÑA. Xa dirección de hidrografía., D. Josef Joaquin Martí, de BarD. Gabriel Odier y compañía, de celona. Madrid Domingo 18 de Noviembre. - Paris. D. Pablo Miralta , de Barcelon…</t>
  </si>
  <si>
    <t>Doiarea</t>
  </si>
  <si>
    <t>…l lugar de su deportación adquirir lo- que nio Pacheco ^hablan hecho observaciones acerca de este articulo; gane por su trabajo ó industria.” Yo preguntó si aqui queremos hacer El Sr. Doiarea dijo que encontraba que por este articulóse qui un establee ¡miento comoel.de la Bahía Botánica, que yo jamas lo taba la propiedad áflo». reos condenados á trabajos perpetuos . deporta consentiré. ción,ó destierro perpetuo .del reino, y contrariando-el espíri…</t>
  </si>
  <si>
    <t>Dolaiea</t>
  </si>
  <si>
    <t>…inas á los 19 de Enero de 1803: y deseando la heredera .prescindir si había de haber sistema de Hacienda. que se cancqfce dicha hipoteca, cita y emplaza al que se considere con El Sr. Dolaiea dijo que reconocia los perjuicios del contrabando, y aqnel derecho, para que dentro de tres meses, contados desde esta que el contrabandista era un enemigo de la Nación, porque la robaba; publicación , se presente en la Havana á deducirlos , presentándose al…</t>
  </si>
  <si>
    <t>Dolama</t>
  </si>
  <si>
    <t>…que legalmente esté obligado á obede se suprimiesen los nombres como había indicado el Sr. preopinante. cer y egecutar, ya forzándole para ello con vioiéricia &amp;c ; ” en cuyos El. Sr. Dolama , despees de haber dicho que la culpa podía' ser lata, casos podia estar comprendida una misma persona ó un mismo delin leve ó levísima, manifestó que en ninguno de estos tres casos podia ha cuente por igual culpa. ber encubridores, fautores y demas, por lo c…</t>
  </si>
  <si>
    <t>Dolara.para</t>
  </si>
  <si>
    <t>…lo ‘ippnga id de deportación en ; los térmipos^up, se propone! Yo no lo .cuarto deí decreto de las Cortes ordinarias id® 9 de Noviembre dé r8 to comprendo ,.y lo qué' lia dicho el Sr. Dolara.para mí no tiene réplica. ■ para; el comercio nacional y.extrangera.de entrada y salida, lo, que , A estos hombres, pue,s llenos, de todas las-amargas consideraciones que de solo para el de exportación y cabotage»; Madrid 7 de Diciembre de lleva, consigo, una depo…</t>
  </si>
  <si>
    <t>Dolarea</t>
  </si>
  <si>
    <t>…aquel vista de los mismos antecedentes propusiera lo que juzgase oportuno. punto fueron conducidos á la cárcel por el comandante solo y un ayu Continuando Ja discusión , supuso el Sr. Dolarea un derecho en los dante de la plaza. cinco sugetos de que se hablaba para obtener las canongías en el mero hecho de haber sido admitidos al noviciado; lo que impugnó el señor En el Independente de ^Capoles del r 2 se lee que el Príncipe Re Gareli, individuo d…</t>
  </si>
  <si>
    <t>…El Sr. Oliver defendió el dictamen-de la comisión, manifestando referidos poderes del Sr. arzobispo de Cuba. que esta no habia fijado la moneda en. que se habia de verificar el El Sr. Dolarea manifestó lo ocurrido con el Sr. obispo de Pamplo pago, y que todo lo demás que se proponía en el dictamen lo creía na cuando fue electo diputado á Cortes, y creía estar aquel en el mis muy fundado; por lo que esperaba que las Cortes lo aprobarían. mo caso qu…</t>
  </si>
  <si>
    <t>…hizo una acta en la Cá tículo , quedando el derecho en el-primer caso de.poder hacer cualquier mara de Fernambuco, y se juró en la forma que se habia hecho en adición. -Bahía. El Sr. Dolarea pidió que la votación fuese nominal, -lo cual se »&gt; Hubo siete muertes en Bahía , y en Fernambuco se observó la aprobó. mayor tranquilidad. En seguida se, procedió á ver si hábia-lugar á vótar-ó no sobre di « Han salidode Fernambuco dos buques para Lisboa, el…</t>
  </si>
  <si>
    <t>…s que no se hubie daderos cayentes , fue destrozado últimamente por los bajaes, los cua sen presentado." les se batieron como otros tantos Leónidas. Para completar la oscuridad El Sr. Dolarea dijo que este artículo y ;el 10 destruían las bases hay un manifiesto, en que el Senadode los messenios habla en nom del Crédito público acordadas en la legislatura anterior, y que cami bre de los egércitos espartanos.” nando á este paso era el modo mas direc…</t>
  </si>
  <si>
    <t>…de este cuerpo de salud pública. Mu Leida y aprobada el acta del dia anterior, se agregó á ella el Voto dél chos han sido, pero vanos sus esfuerzos: aquella desgraciada población Sr. Dolarea, contrario á no haberse admitido á discusión la proposición ha tenido que sucumbir por fin á la fuerza de la enfermedad: medidas de los Sres. González Allende y Ramírez Cid. ■ "■" '■•••a de precaución las mas enérgicas se adoptaron desde luego para salvar á ‘…</t>
  </si>
  <si>
    <t>Dólareá</t>
  </si>
  <si>
    <t>…otal de consecuencia se abstengan de causar otras incomodidades al comercio, la éxténsibn de la Península. ■ teniendo presente que la Real orden de V de Mayó último no auto ■" 'El Sr. Dólareá se Opuso á que se aprobase esta provincia, porqué- riza á entorpecer la libre circulación.dé los géneros, frutos y efectos sréndó nu£vá‘, y compuesta "tál -vez de pueblos de otras provincias, nó- legítimamente introducidos: sabemos .si' verdaderamente corresp…</t>
  </si>
  <si>
    <t>…y atendiendo á que nombrándose ¡1 Almería Príncipe de Astúrias aunque se quite su nombre á la provincia. por capital «i : aquella provincia, puede reunir mayores recursos para El Sr. Dolarea dijo: La conjisior. dice, y con justicia,. que hasta proteger el -comercio marítimo , y conservar la marina militar, me parece cierto punto debe conservarse el espíritu de provincialismo; falta saber que debe ser A Invería la capital; y suplico á las Cortes q…</t>
  </si>
  <si>
    <t>…comercio marítimo en el tribunal del almi Se mandó agregar al acta de la sesión anterior el voto particular de rantazgo; pero no lo hacia porque consideraba que hubieran resultado Sr. Dolarea , contrario á la aprobación de los artículos 3.0 y 5.0 del mayores incomodidades para los comerciantes, á causa de que cada dictamen déla comisión de Guerra, acerca de la consulta del Gobier uno tiene su giro y su negocio, y es un perjuicio el distraerlo de é…</t>
  </si>
  <si>
    <t>…e la pena los casos que citaba » Las Cortes extraordinarias han examinado el expediente que les di ei articulo. rigió el antecesor de V. E. en 23 de Octubre próximo sobre haber E. Sr. Dolarea expuso que este artículo era demasiado vago, pues permitido el intendente de la provincia de Cádiz la introducción de según él de la misma manera se castigaba el primer paso para la con una porción de cajitas de fósforos del extrangero, dándoles el valor de s…</t>
  </si>
  <si>
    <t>…es que El Sr. presidente dijo que mañana se continuarla la discusión del faltan será conveniente hacerlo así. dictamen de las comisiones de Hacienda y Comercio sobre el estable El Sr. Dolarea manifestó) que no estaba conforme este artículo con cimiento del resguardo marítimo, y asimismo la del~ código penal; y el 6.a, pues en él se decia que ia proposición hecha y no aceptada no se se levantó la sesión á las tres y cuarto. castigaba sino en cierto…</t>
  </si>
  <si>
    <t>…cada dia, poniéndose diligencias que lo Se mandó agregar al acta de la sesión anterior'él voto particular del acrediten, como también si faltase alguno ó algunos en las horas seña Sr. Dolarea, contrario á la aprobación del artículo 7.a del mismo có ladas’, sin que por ello se suspenda la lectura; y quedahdo responsable digo, en ios mismos términos que' lo habia modificado la comisión. el que faltare de la indefensión que pueda resultar. 2.0 Para e…</t>
  </si>
  <si>
    <t>…ia esté sujeto á la mitad de la pena que camente cuantos datos necesitan para las informaciones de sumaria. se aplica á aquella culpa, y áuno que viene de Aragón, Cataluña &amp;c., El Sr. Dolarea hizo algunas reflexiones sobre el modo con que se que no está verdaderamente enterado del reglamento de policía de Ma debia redactar el artículo. drid, se le aplique la pena por entero’ Yo creo que no es justa esta ex El Sr. Milla: No convengo con los princip…</t>
  </si>
  <si>
    <t>…laridad del artículo podrian omitir ademas lo prescrito en los artículos 94,95 y 103. se ciertas palabras. Pero si la complicidad directa proviniere de soborno ó cohecho en .- .El Sr. Dolarea opinó que este artículo debía decir a! reves, porque delito que un funcionario público cometiere ó hubiere de cometer co seria úna ley mas pura, mas benéfica, y prevendría mas los delitos siem¿ mo tal en el egercicio de sus funciones,no se impondrá la pena de…</t>
  </si>
  <si>
    <t>…que ahora no se discutía ' .73.si no 1 '■el V.54,•..dejlos cónde'nados,'» ¡trítbsjps perpetuos. Ji&gt;ur.anté él tiempo de sii cqnde- , en .cuyo caso vendría .bien.el, argumento del Sr. Dolarea. Que S. .S, hdr bia dicho que se estáblecia upa especie dejc.onfiscacion cuando -el.artí- ..riai.nádié.-ppdrá dispspssrljis ¿djrabajo sino.en caso de enfermedad,'ni '■ •; 4 , culo-,concede i los - reos .que .se consideran como á muertos .párartodos ’sc les pe…</t>
  </si>
  <si>
    <t>Dolarea, Alejandro</t>
  </si>
  <si>
    <t>Alejandro Dolarea</t>
  </si>
  <si>
    <t>…supiere su existencia y paradero ó'sucesion que hubie Para Madrid................... 328.. 164... 82. re dejado en el caso de haber fallecido, se servirá participarlo en Ma drid á D. Alejandro Dolarea; en Pamplona á D. Joaquín de ApezteEn el juzgado del alcalde segundo constitucional de la villa de guia, procurador de laaudienc:a de ella, yen Asiain á D. Miguel An Utrera y escribanía de número de D. Miguel María de Ojeda pende ex tonio de Astrain , abad de…</t>
  </si>
  <si>
    <t>Dolares</t>
  </si>
  <si>
    <t>…tir esta- división , aunque para los demas sugetos que se empicasen, á deposición -del gefe polí provisional. tico 689. para las provincias que nombrasen cuatro diputados, ei veEl Sr. Dolares dijo que las palabras el Gobierne circulará la come-, fe político 5i,(íoors., el secretario i89, el oficial 1. 1 i,coo , el prime itiente orden á las nuevas diputaciones provinciales irc., parece que ha ro io3. Gastos de oficiales que se necesitasen y secreta…</t>
  </si>
  <si>
    <t>Dolífus, Daniel</t>
  </si>
  <si>
    <t>Daniel Dolífus</t>
  </si>
  <si>
    <t>…da, la po Bauza, D. Pedro Matamala, capellán de milicias, D. Miguel Maza, ne en grandes apuros, y dice que era allí muy grande la carestía: el baritaliano, profesor de medicina, y D. Daniel Dolífus, extrangero, se ril de harina valia 60 pesos fuertes: el tocino y carne salada se hallaban ofreció á cortar la epidemia si esta se declaraba. carísimos, y el pueblo por supuesto se quejaba amargamente; pero todo Cádiz iy de Agosto. esto lo dice como anterior…</t>
  </si>
  <si>
    <t>Domenech, Francisco</t>
  </si>
  <si>
    <t>Francisco Domenech</t>
  </si>
  <si>
    <t>…iatamente-á arrendar en Granada D. Francisco de Paula Martinez Aibea, en Guadix D. An púbiiéa.subasta, con intervención de los contadores, las fincas que no tonio Tuque, en Muesca D. Francisco Domenech, en Ibiza D. Ma lo estuvieren, cuyo arrendamiento no tendrá validación sinla compe riano Ramón de Arabi, en Jaca D. Gerónimo Roca-Tallada, en Jaén tente aprobación de la junta. D. Sebastian Vicente .García, en león el marques de Monte-Virgen, 1:2. Si existies…</t>
  </si>
  <si>
    <t>Domenech, Joaquín García</t>
  </si>
  <si>
    <t>Joaquín García Domenech</t>
  </si>
  <si>
    <t>…mostrado al partir para et Da capitán retirado; D. Jaime Gil, presbítero; D. Juan Rico, vicario genubio, no menos que su voluntad de volverse al Asía. Enmedio de n. ral castrense; D. Joaquín García Domenech , ex-gefe político da tantos apuros parece imposible que el divan evite catástrofes que com Murcia ; D. Francisco Belda y Asensio, teniente de ingenieros. Suprometerán su existencia política, acelerando una guerra cuyos resul plentes. D. Melchor Maran, abogad…</t>
  </si>
  <si>
    <t>Domin</t>
  </si>
  <si>
    <t>…robó otra de Mr. Leclerc de Beaulieu , que decia he uió cuenta de un oficio del Sr. secretario de la Guerra , en que asi: remitía la causa formada al comisario de guerra honorario D. Domin «Si un orador profiriese palabras impías contra Dios, ó palabras go Antonio Velasco , compuesta de cuatro piezas, sobre calificación de irreverentes contra la persona del Rey ó alguna persona de su familia, su escrito titulado Centinela contra republicanos, y…</t>
  </si>
  <si>
    <t>DOMINGO</t>
  </si>
  <si>
    <t>Núm. 77. (7 cuartos.) 359 mmG A C ETA D E M A D R I D. DOMINGO 18 DE MARZO DE 1821. NOTICIAS EX TRANCE RAS. que antes de la salida de los correos extraordinarios que debían enviar á Nápoles las: potencias aliadas, me seria permitido oir la lectura de ; ITALIA. ' 'i--- las instrucciones dirigidas á sus respectivos ministr…</t>
  </si>
  <si>
    <t>uin. ioo. (7 cuartos. ) 483 G Á G E T A DE M A D ll-I D. DOMINGO 8 DE ABRIL DE iSar. !*r?ií\r.»».„i ¡Si¡iX , '.;--:sgta n : - • : í i mre 7 1,óeo , . o-.rairróiiN'OTI-C I AS" EXT--RA N GE». AS. ... e: ■ Én .seguida tomó la.palabra Mr. Casimiro Perrier', y habló ;es■ ».! ífi.b -'¡:V,0 K'Jj i ¡t.•!.'*{ • f¿ ¡_ ; . • .. 1 ' ,…</t>
  </si>
  <si>
    <t>G ; A; C E E4; DE M A D R I D. DOMINGO 22 DE ABRIL DK 1821. NOTICIAS EXTRANGÉRAS. En seguida para refutar los argumentos de ¡a comisión,, que, preten día apoyarlos en el egemplo de la Inglaterra, hizo el orador, al modo r ITÁLIA. , de Benjamín Constant, un paralelo de ambas Cámaras,,y no íe costó…</t>
  </si>
  <si>
    <t>Núm. ií8, (y cuarto». &gt; '*47 G A G E T A DE M ADRI D. DOMINGO 6 DE MAYO DE 1821. NOTICIAS EXTRANGERAS. 200 egemplares remitidos por el Sr. ministro de Ultramar del decreto t\ Abril último, A la ordinaria de Hacienda una solicitud de í.volatkrra. - Dona Marfa Correa, vecina de Valencia , relativa i ía continuación de la-…</t>
  </si>
  <si>
    <t>Domingo</t>
  </si>
  <si>
    <t>…s y ayuntamientos constitucionales con respecto á contribuciones. Gobernación de ia Península y Marina, de ios hombres de marque A la Eclesiástica se mandó pasar una exposición de D. Domingo hayan pertenecido á cada pueblo para ios los efectos convenientes. Mariano Rosello y otros vecinos de esta corte, haciendo presente oue Se aprobó una adición del Sr. Sánchez Salvador al dictamen de Ja siendo la causa de no afianzarse mas en la Monarquía el am…</t>
  </si>
  <si>
    <t>…e se agregaran su memoria.” Aprobado. á ella los votos particulares de los Sres. Moreno Guerra,Cavalsri, Gar Art. 7.0 3&gt; El ayuntamiento procederá desde luego á formalizar las da (D. Domingo}, Camus Herrera, Vadillo', Gutiérrez Acuña, Ca- economías de que por todos estilos sea susceptible el presupuesto v ravaiío, l’alarea, Solanot, Navarro, Solana y Gaseo, contrarios á la presentará un nuevo proyecto á la diputación provincial en tiempo resoluci…</t>
  </si>
  <si>
    <t>…ración en silla, ¡d.: D. Antonio Peran Moya, subteniente: D. Miguel Gargallo, todrf la semana próxima, á fin de que pudiese empezarse su discusión id.: D. Tadeo Aresanenaga, id. : D. Domingo de la Rosa, id.: Don el dia 2 de Julio; y qué en este intervalo se discutirían varios asuntos Santiago Torres. id.: D. Manuel Baricher, id.' D. Juan Antonio Cres pendientes. po, id.: D. Luis Cea, id.: D. Francisco Ibañez, id.: D. Pedro BaldiSe continuó Ja dis…</t>
  </si>
  <si>
    <t>'ÜilttS. i JO. C 7 cuartos. ) *Sl9 G A G E T A D E MADR i D. DOMINGO a DE SETIEMBRE1 DE 1821, NOTICIAS EXTRANGERAS., la anarquía y del despotismoque la Europa es su enemiga? Semejante perseverancia no parece verosímil: y asi creemos firmemente que las ne ISLAS” JONICAS. gociaciones de los tGabinctes se dirigen á acabar esta tr…</t>
  </si>
  <si>
    <t>Núm. 286. (7 cuartos.) JS°7 mm GACETA DE A D R I D. DOMINGO 7 DE OCTUBRE DE 1821. NOTICIAS EXTRANGERAS. no, su Soberano y su bienhechor. Pero á pesar de esto la Sublime Puerta no ha querido separarse del sistema de bondad y de indulgencia RUSIA. que la caracteriza. No se han temado providencias generales contra to dos…</t>
  </si>
  <si>
    <t>…eran. Parece que ya han conocido los grie Por la de Vizcaya. D. N. Apoita Mallagaray , presbítero y abo gos de la Morea que la ausencia de dicho general perjudicaba mucho á gado ; D. Domingo de. la-Torre , diputado provincial. Suplente. Dan sus intereses, pues han resucito prestar atención á una fuerte represen León de J.u.’regui. tación del Senado de Caianrala , y enviar á dicho principe algunos Por l¡e provincia de Guipúzcoa. D. Joaquín Fcrrer.…</t>
  </si>
  <si>
    <t>Domingo, Josef</t>
  </si>
  <si>
    <t>Josef Domingo</t>
  </si>
  <si>
    <t>…os ha te, Arroyo , Montoya, Apartado, Ramírez (_ D. Josef Miguel), bitantes, cansados ya del despotismo. Hacían presentes ademas los varios Guerra f D. Josef Francisco), Sánchez ( D. Josef Domingo), Ayestaartículos de la Constitución que eran impracticables en las provincias rán, Mendez, Dávila, Sánchez Pareja, Castoreña, Conde, Arguello, de Ultramar, y en su consecuencia proponían á las Cortes las proposi Castro, Amati, Puchet , Alaman , Obregon, Murf…</t>
  </si>
  <si>
    <t>Domingo, Mariano</t>
  </si>
  <si>
    <t>Mariano Domingo</t>
  </si>
  <si>
    <t>Gaceta de Madrid n.º 314 (extraordinaria)</t>
  </si>
  <si>
    <t>…a constitucional, hacerse sos, como también que había remitido con urgencia al Sr. juez de pri superiores á ¡as leyes, y hollar la dignidad del Gobierno que aquella mera instancia D. Mariano Domingo el parte que se le habia dado de ha establecido. haberse hecho armas’ por algunos paisanos del arrabal anoche contra », Tal es el egemplo funesto que ofrece la conducta que V. S. ha varios milicianos de aquel distrito: entraron en la sala consistorial Don obs…</t>
  </si>
  <si>
    <t>Domínguez</t>
  </si>
  <si>
    <t>…car.ados sobredichos cuerpos, se presentaron nuevamente en la sala consistorial, los Sres. comandantes de la milicia voluntaria de la tranquilidad pú y tomando la voz el dicho Sr. comandante Domínguez dijo: Que los blica dé esta ciudad. Como asi resulta de la referida acta original, que ciudadanos que le acompañaban nombrados por las compañías de mili obra en la secretaría de mi cargo , á que me refiero. Y para que conste cias de todas armas, venian en rep…</t>
  </si>
  <si>
    <t>Domínguez, Isidoro</t>
  </si>
  <si>
    <t>Isidoro Domínguez</t>
  </si>
  <si>
    <t>…e juzguen-mas oportuno. . jando á salvo el derecho de ios patronos, el del Crédito público y Se-mandó pasar al Gobierno una exposición del R. arzobispo de demás. Sta. Fe de Bogotá D. Isidoro Domínguez, para que sede recomen da La comisión correspondiente presentó su dictamen acerca de la so se al Gobierno, á fin de que se le concediese alguna capellanía con que licitud del ayuntamiento constitucional de Castellón de Farfanya , en poder atender á su subsist…</t>
  </si>
  <si>
    <t>Domínguez, Joaquín Calvo</t>
  </si>
  <si>
    <t>Joaquín Calvo Domínguez</t>
  </si>
  <si>
    <t>…ecomiende al Gobierno para que le dé un des» tino análogo á su clase y conocimientos. Se aprobó). CORTES. La de Premios presentó su dictamen acerca de la solicitud del pres bítero D. Joaquín Calvo Domínguez, natural de Valladolid , opinan PRESIDENCIA DEL SEÑOR GUTrBKREZ DE TERAN. do que resultando, como resulta de aquel expediente, haber servido dicho presbítero de comandante de guerrilla y soldado en la última Sesión del dia is¡. guerra, los distinguidos servic…</t>
  </si>
  <si>
    <t>Domínguez, Juan</t>
  </si>
  <si>
    <t>Juan Domínguez</t>
  </si>
  <si>
    <t>…e se refugiaban en un cortijo á distancia de dos leguas de esta villa. A todos se les sigue la causa correspondiente por el'juzgado de pri ARTICULO DE OFICIO. mera instancia; y el alcalde D. Juan Domínguez recibe continuas Circular del ministerio de Gracia y Justicia. congratulaciones de los pueblos comarcanos, por haberles asegurado el Por la secretaría del Despacho de Gracia y Justicia se ha dirigido á paso libre de los caminos y la tranquilidad de los habita…</t>
  </si>
  <si>
    <t>Domínguez, Juan Calvo</t>
  </si>
  <si>
    <t>Juan Calvo Domínguez</t>
  </si>
  <si>
    <t>…: á ella el voto del Sr. Bernabeu, contrario á la resolución de las Cor »&gt; Hoy se ha presentado el ceneral conde de Flquelmont delante de tes acerca de la solicitud del presbítero D. Juan Calvo Domínguez. Capua para intimarla la rendición. Si ei comandante no admitiere las Las Cortes quedaron enteradas del oficio que dirigió el juez interi proposiciones , se verificará el ataque el din 21. no de primera instancia de Burgos al Sr. secretario de Gracia y Justi…</t>
  </si>
  <si>
    <t>Domínguez, Pedro Nicasio</t>
  </si>
  <si>
    <t>Pedro Nicasio Domínguez</t>
  </si>
  <si>
    <t>…rán por todo el ra Betcncour, en Cartagena -D. Bruno Egea, en Ceuta D. Francesco' presente año; y para el siguiente de 1822 se sacarán á nueva subasta, Iznardi , en Ciudad-Rodrigo D. Pedro Nicasio Domínguez, en Cór precediendo avisó de la junta con presencia de las noticias que á este doba O: Antonio Meras i en Coria D.. Tomas Sánchez del Pozo, en efecto deberán comunicarla los citados comisionados. Cuenca-D. Josef Escolar y Moriega, en Gerona D- Ramón Torra, en…</t>
  </si>
  <si>
    <t>Domínguez, Ramón</t>
  </si>
  <si>
    <t>Ramón Domínguez</t>
  </si>
  <si>
    <t>…r: para el da prendido entre la ria de Navia y el cabo de Ortega!, cuya capital fuese Talavrra dé la Reina á D. Gregorio Barraicoa ; y para ei de Puente del Mondoñedo. Arzobispo á D. Ramón Domínguez de la Torre. A la misma comisión se mandó pasar otra de los Sres. Torre Ma- En la de Avila: para el partido de la capital á D. Gines María rin , Eanqueri, Huerta, Muñoz, Solana . Martínez de la Rosa, Ra Serrano: para el de Arévaio á Di Gil de S. Juan Benito:…</t>
  </si>
  <si>
    <t>Don</t>
  </si>
  <si>
    <t>…diciones, con la asignación anual de 500 ducados y casa; los Varios poemitas originales, escritos en idioma provenza!, aspirantes dirigirán sus exposiciones, francas de porte , al Sr. Don el mejor de los cuales recibía él premio de una flor de Timoteo Alfonso Carrero, presbítero en dicha villa; en inte plata. Clemencia nació en 2464 en la casa de campo de ligencia de que se admiten hasta el último día del corriente. su padre, que estaba inmedi…</t>
  </si>
  <si>
    <t>…o miento de este el de sus hijos ó herederos, se les cita, llama y nio de todos los hombres de la tierra, por ser ella el medio emplaza para que inmediatamente comparezcan ante el Sr. Don único que el autor de la naturaleza les ha dado para su con Angel Fernandez de los Ríos, ministro togado , y juez letrado servación y perfección. Algunos han creído sin embargo «n primera instancia de esta M. H. villa, y por la escribanía que no á todos se ha…</t>
  </si>
  <si>
    <t>…s. vn., concedido en todas las extracciones á guiente : una de las huérfanas de los militares ó patriotas que hubiesen muerto » He dado cuenta al Rey de la exposición del teniente coronel Don én defensa de la justa causa de la Nación , cupo en la suerte del pri Juan Antonio de Prado, primer ayudante del regimiento infantería de mer extracto de la de este dia á Doña Manuela de la Huerta, com Vaienzay, en la que cede a favor de la Nación los 12,600…</t>
  </si>
  <si>
    <t>…se ha prorogado dado evacuar ciertas citas. su término por zg dias con arreglo al art. 7 del Reglamento de las Cortes __En la causa seguida por el juzgado de primera instancia del Sr. Don de 3 de Setiembre último , á saber: Julián de Sojo, y escribanía cartularia de D. Pedro Josef de Ibube, á instancia de D. Francisco Gárate , secretario de S. M., comisario de En la provincia de Extremadura, procedentes de la encomienda va Guerra, y administra…</t>
  </si>
  <si>
    <t>…y secretario mas antiguo , que lo era el s *ñor Don Santander , Chalco, Tufa', TeriacaZacualpan , Queretaro, Vallado- Vicente Tomas,Traver, han.sido elegidos , partí presidente eí Sr. Don lid, Guiriajiiáto, S. I.UÍS Potosí, Zacatecas, Nueva-Galicia", provin Antonio", de la Cuesta y Torre , diputado por la provincia de Avila; cias internas de occidente y México, son las mas satisfactorias; en to para více-prestdenre el Sr. D. Bartolomé. Marin T…</t>
  </si>
  <si>
    <t>…iguientes: para la plaza correspondiente á grandes de A las de Guerra y Hacienda'Uña exposición de D. Antonio Salez, España al Sr. marques de Cerralbo: para lu de eclesiásticos al Sr. Don capitán graduado de ingenieros, sobre aumento de sueldo á los depen ■Ramón Cabrera: para las correspondientes á naturales de ios dominios dientes de dicho cuerpo. de Europa áTíos Sress D. Mateo Valdemóros, conde de Taboada , Don - A la de Legislación otra del…</t>
  </si>
  <si>
    <t>…cias que previenen los decretos de las Cortes.” Gobierno. El Sr. Traver dijo que le parecía debia hablarse en imperativo cuan ' La misma resolución recayó en la representación del brigadier Don do se dice se recomienda &amp;c. Xuis María Adriani, coronel deL regimiento de infantería de León, El Sr. Sierra Pambley dijo: la comisión no tiene inconveniente-en -jor la que en atención á que por sola la voz del pueblo se le había he que se adopte la indicació…</t>
  </si>
  <si>
    <t>…las personas de su Real familia, para mas asegurar vo de la aprobación del dictamen de la comisión primera de Legisla la integridad de la Monarquía y derechos constitucionales del Sr. Don ción sijbre señoríos les habían dirigido varios pueblos de las provin Fernando vir. El delegado será nombrado libremente por S M., y cias de Cataluña , Aragón y Valencia. removido á su libre voluntad: será inviolable respecto de la sección de Las mismas recib…</t>
  </si>
  <si>
    <t>…ta cu:-a. Para sentencia. Providencia de visita: s:ga. tual es el célebre profesor Gottlieb Fischer. Se ha unido desde 18x5 4 Pedro Villalba, alias ei Manco, remitido por el mismo juez Don la-de botánica de Horenky.Las memorias que publica, y de las que ha Francisco Belloc en 26 de Abril de 1820 por individuo de la cuadrilla dado ya 4 luz cinco volúmenes en 4.0 en francés, contienen observa de ladrones conocida por ios Niños de Ecija. Estado de…</t>
  </si>
  <si>
    <t>…fidelidad á los principios constitucionales, que sabe con la cultura de las bellas artes; y citaré, por ejemplo, el ramo de conciliar con el mas acendrado amor y respeto al Rey el Sr. Don. platería, en que somos tan superiores. Permítaseme hacer presente que Juan vr y á su augusta Familia. El porte egemplar del heroico pueblo litis xtv expendió cantidades inmensas en fomentar á un mismo tiem de Lisboa , y de los valientes militares de la prime…</t>
  </si>
  <si>
    <t>: 14~ religión, y la sagrada persona de nuestro buen Rey el Sr. Don nes del dia; y nos complacemos sumamente al saber que las autoridades Juan vi. emplean con eficacia todos ios medios que están u su alcance , y que los ” SoldadosI Esta es la felicidad que se os prepara; es preciso que os milicianos nacionales de Cataluña se…</t>
  </si>
  <si>
    <t>…nstancias necesarias para op - el año de 1802. tar á dicho empleo, y que gocen de mas sueldo por sus retiros que los j Presidió el acto la sociedad en cuerpo, y abrió la sesión el Sr. Don tenientes del egército que pretendan sor empleados,decapitares del res Tiburcio Hernández, auditor de guerra honorario de los egrreitos nacio guardo; en el concepto de que no concurriendo el requisitp de mayor nales, vice-ditector de la misma, con un discurso…</t>
  </si>
  <si>
    <t>…ió, y dstuéó hasta hoy queda condujo é hizo fondear en Constitución: y no hay prusiano alguno quero sepa que se esta espe este puerto. Batea corsario S. Miguel (alias-) Cigüeña ,■ capitán Don rando ,.r.GS y años el cumplimiento de la ptlaLra y p.'r.:-,.u ¡indas y Miguel Ballester, dé Málaga, y el crucero en 16 dias. Este buque es el repetidas muchas veces, sin que se vea jamas el resultado que todos que se expresa arriba. Ayer á g leguas NS.-del'c…</t>
  </si>
  <si>
    <t>…co Jovcr; polacra francesa Josefina , capitán D. Pedro Francisco Fernandez Gaseo, diputado secretario. =Pablc de la Llave, Esteban Simón. Se está sumergiendo la polacra Santiago , capitán Don diputado secretario.” — Por tanto mandamos á todos los tribunales, jus Francisco Romaguera, y se ha mandado sumergir el bergantin S. Josef ticias , gefes, gobernadores y demas autoridades , asi civiles como milita y la goleta Estrella. En el muelle nuevo, laz…</t>
  </si>
  <si>
    <t>1284</t>
  </si>
  <si>
    <t>…o que se avisa al público para su inteligencia. dres se figuraron estar en las de Constantinopla, y que volvieron á Fran En el juzgado de primera instancia de esta M. H. villa del Sr. Don cia sin haber olvidado nada y sin haber aprendido nada, para impug Julián de Sojo, y escriban a de número de la misma de D. Tomas Ma nar las ideas liberales ó ponerlas en ridículo, estas no han podido me ría Manrique, pende la dimisión de bienes hecha por D.…</t>
  </si>
  <si>
    <t>…o algunos de los enfermos existentes en el lazare era alférez del i-a de coraceros, el grado de teniente, y al menor pla to, que con sospechas de contagio se hallan al cuidado del doctor Don za de cadete en el cuerpo de artillería á expensas de la Nación; y por Salvador Capmany , y habiendo en seguida inspeccionado seis enfermos último ofreció para mejor Tiempo derramar abundantes gracias sobre los de dos casas distintas de la Barceloneia con igu…</t>
  </si>
  <si>
    <t>…bárbaramente en Mistra á los ancianos, á las mugeres y i los niños turcos ó judíos. Asi es que lós momitas los detestan, y las Por decreto de ayer se ha servido S. M. conferir ai brigadier Don turcos repiten la deprecación con que el geógrafo líadgi-lChalfa termi Josef Martínez de San Martin la propiedad del empleo de gefe político na la descripción del pais de Maina: j&gt; Plegue á Dios suscitar un héroe superior de la provincia de Madrid, que servia…</t>
  </si>
  <si>
    <t>…ANUNCIOS. po el medio de evitarla! ¡Felizmente para nosotros, y aun. para los ra binos , no le halló! (Qué seria de nosotros3” Suplemento al diccionario de medicina y cirugía del profesor Don ' ¡Qué oración’hace el judío todas las mañanas ? La disertación de Antonio Vailano: por los Dres. D. Manuel Hurtado de Mendoza y Mr. Gregoire lo indica. El judío da gracias á Dios, no de haberle D. Celedonio Martinez Caballero: tomo »-.° Este,suplemento; adem…</t>
  </si>
  <si>
    <t>…entes voluntarios de Bilbao, granaderos provincia de las gracias y beneficios de que se hallaba colmada, y ha preferido se les de León é individuos del resguardo, que al mando del coronel Don guir la"senda de la ingratitud, y sublevarse contra el Gobierno oíorna- Joaquín de Pablo , dieron principio en la altura de Ubidea á la derrota de los facciosos de Salvatierra , se podrá formar una idea cabal de la fi) Este es uno de los títulos del Sultán, q…</t>
  </si>
  <si>
    <t>…che, y continuará en los dias lunes, miércoles y sábados Josielectores-de los partidos que compongan dicha provincia, inclu de seis á siete y media de la misma, al cargo del socio secretario Don yendo-á los que tengan el mayor número de vecinos dentro de su de Faustino Rodríguez Monroy, abogado de los tribunales nacionales. marcación , aunque la capital corresponda á otra provincia.” Aprobado. Los ciudadanos que quieran disfrutar de estas lecciones a…</t>
  </si>
  <si>
    <t>…ca ,-en- el-cual Opinaban ;que en atención á las sóli cadetes, disfruten desde el dia i." de Enero de 18as el haber corres das razones expuestas en'lá’proposicion hecha por el Sr. diputado Don pondiente-á la clase de.subtenientes. Josef Rodríguez * era d* parecer, que las Cortes se-sirviesen acordar se - Se leyó en seguida.el voto particular del Sr. Sánchez Salvador, in admitiesen por ahora'con absoluta -libertad de derechos, . excepto el- dividuo…</t>
  </si>
  <si>
    <t>Don'</t>
  </si>
  <si>
    <t>…muy justo no se privase el Con-: mientos constitucionales. greso de las luces que podían darle sus ideas; pero otros opinaron que Alá comisión de Guerra se pasó una instancia del'brigadier Don' solo al dar su. voto podria fundarlo;y se resolvió que quedase esta' Carlos Caravantes, destinado de cuartel en la plaza de Málaga ,con goO • punto pendiente-para otra sesión, habiendo ya pedido el Sr. presidente rs., en que solicita su retiro. ' . .. por mod…</t>
  </si>
  <si>
    <t>Donata</t>
  </si>
  <si>
    <t>…y perentorio de x 5- días comparezca á usar del derecho que le se complete el número de los 24.religiosos que requiere la ley; en .Hor asista en el juicio de testismentaría de la Doña Donata, pendiente en el nos, en Tarifa y en Puerto Reai los de descalzos; en S. Fernando el de juzgado de primera instancia del Sr.-D,. Julián de Sojo, y escribanía -observantes y el de carmelitas descalzos , trasladando al primero la co del número de D. Bernardo Dí…</t>
  </si>
  <si>
    <t>Donato</t>
  </si>
  <si>
    <t>…festivos. Igualmente se dará principio el dia 5 á la misma ooosicion-, hace dejación de su empleo, ó el Gobierno le despide; prue hora á las lecciones de mineralogía al cargo del profesor D. Donato ba reciente de esto es lo sucedido con el general Wilson, despedido por García , quien las continuará todos los lunes, miércoles y viernes que el Gobierno, al parecer por haberse declarado demasiado abiertamente no sean festivos. en favor de los partidarios d…</t>
  </si>
  <si>
    <t>Dondement, Josef</t>
  </si>
  <si>
    <t>Josef Dondement</t>
  </si>
  <si>
    <t>…libres de la tiranía que acordó dar una medalla de dos onzas de plata, y certificación que lo Jos oprime actualmente , nó se borrarían con facilidad las señales de su acredite, ¡1 D. Josef Dondement, y certificación honorífica á D. Felicia esclavitud. No solo han sido educados bajo el peso del despotismo, sino no Vigas, D. Josef Sánchez y D. llamón del Palacio. El secretario ■que hace 2S) años que existen como un pueblo envejecido y degradaanunció al púb…</t>
  </si>
  <si>
    <t>Donesteve, Josef</t>
  </si>
  <si>
    <t>Josef Donesteve</t>
  </si>
  <si>
    <t>…ran te, que se ha de verificar en la ciudad de Logroño, cisco y D. Antonio Falcó, D. Antonio Arévato, D. Josef esta señalado el dia 24 del presente. Aguilar, D. Santiago Irazabal, D. Josef Donesteve, Don Una casa en el arco de la Compañía de la ciudad de Baltasar Salomón y D. Joaquín Roca; y con la de 6 del Logroño, en 2,200 rs. mismo Febrero á D. Eusebio Salcedo, D. Fernando Freire, Un corral existente en el término nombrado PeñalogroD. Antonio Garnica…</t>
  </si>
  <si>
    <t>Doneto</t>
  </si>
  <si>
    <t>…n relieve. Es imposible lograr con mas economía resulta nifestar de nuevo al Rey los sentimientos que animan á to dos tan importantes para la agricultura. do el Parlamento. El Sr. diputado Doneto tuvo la honra de .— La gaceta píamentesa del 28 de Diciembre anuncia dirigir á S. M. las siguientes palabras: haberse recibido en Turin por un extraordinario noticias «Señor: El viage de V. M. ha producido en los cora del viage del Rey de Ñapóles: que S. M. h…</t>
  </si>
  <si>
    <t>Donnadieu</t>
  </si>
  <si>
    <t>…e á su ceguedad. No deshon sobre las bases del año pasado, y además,de esto un crédi réis el triunfo que ha conseguido la libertad con insultos y to de 200 millones de francos. El general Donnadieu se de veng.uizas contra sus enemigos; mas estad prontos para si claró contra el proyecto, valiéndose, en su largo discurso, de nuevo os llamase en su auxilio. Sed justos y benéficos , y de los términos mas fuertes, pronunciados con la animosi -fieles deposita…</t>
  </si>
  <si>
    <t>…comisión ordinaria de Hacienda con urgencia. -. radora discusión. Lo restante de la sesión fue de poco ínteres. A. la misma pasó una exposición del contador general de distribuEl general Donnadieu puso sobre, la mesa una propuestaaextendida 1 ;ciones, en que ’ propone las reglas que' deben seguirse Tin la liquidacioa en los términos siguientes: „Tengo el honor de dejar sobre la mesa una y expedición de. certificaciones de juros. A la misrna.se .inundó…</t>
  </si>
  <si>
    <t>…s de aquellas provincias, re Lo restante de esta sesión se pasó en tratar de negocios de Hacien pitiendo ia Real orden de 3 de Agosto de 1812. „■ da, y esta materia dió ocasión al general Donnadieu para que pronun Se mandó pasar á la comisión especial de Hacienda, imprimir y ciase contra los ministros la filípica mas furibunda de que hay me repartir el informe y documentos que por Real orden de 17 de Febre moria. ro último dirigió al ministerio de dicho…</t>
  </si>
  <si>
    <t>…mitivo de la nación , y por ir conformando peco a poco sus nni, se pjede juzgar dsi espíritu de los ultras. costumbres á las que tuvieron nuestros antepasados. Es también indis Ei general Donnadieu, aunque protestante, habló á favor del pro pensable que los ministros del imperio, los empleados y encargados de yecto, y después de haber desahogado su odio maniático contra los las oficinas renuncien á toda disipación , se preparen a esta mudanza ministros,…</t>
  </si>
  <si>
    <t>…afuera de toda discusión, dijo que se retiraba, lo cual causó grandísima — Un periódico extrangero del 28 del pasado incluye ei artículo sigu.ente-. En seguida-pidió la palabra el general Donnadieu; pero el presi Siempre habíamos dudado de la autenticidad de la noticia de haber dente tocó la campanilla, y expuso las razones por que no había empe zado sus tareas la comisión de Peticiones, con lo que quedó ai parecer se rendido Lima; y efectivamente está…</t>
  </si>
  <si>
    <t>Donoso, Juan-Antonio</t>
  </si>
  <si>
    <t>Juan-Antonio Donoso</t>
  </si>
  <si>
    <t>…del golpe que ha recibido: el resto de la función consiste La Serena■ D. Pedro Lujan , vecino de Castuera. en la lucha de gladiadores, y en la de un enorme oso con varios perros . D. Juan-Antonio Donoso, vecino de Campanario. dogos ó de presa &amp;c. D. Tomas Martinez del Hortal, vecino de Cabeza del Buey,. Truj’llo. D. Josef Atocha. CORTES EXTRAORDINARIAS DEL AÑO DE iBai. . D- Juan Muñana Broncano , vecino del Campo. Mé&gt;-¡da. D. Fabián de la Barrera, de AUnendr…</t>
  </si>
  <si>
    <t>Donoughmore</t>
  </si>
  <si>
    <t>…e debia autori zarse á la Regencia para la elección de los empleados que hubiesen de CAMARA DE LOS PARES. substituir á los cesantes, sin atender á su antigüedad y graduación, sino lord Donoughmore presentó una petición del obispo y del clero á sus talentos y adhesión al sistema. Por último se decidió que volvie católico de Limerick. se el decreto á la comisión, para que con presencia de las ¡deas que se El lord canciller dijo que no se oponia á la admi…</t>
  </si>
  <si>
    <t>…o iba des aprobado este crimen! La iglesia católica de hoy no exigiria Ta revo CAMARA DE LOS P A RES. ' ' ~ cación del edicto de Nantes; ¿perocuándo condenó aquella revocación? El conde Donoughmore propuso sehiciese ¡a segunda lectura del El noble lord hizo después una exposición de las doctrinas ultra bilí sobre la emancipación de,los católicos, y recordó ias actas legisla-’ montanas (_it los teólogos dé Roma) sobre el imperio universal del Pa tivas.de…</t>
  </si>
  <si>
    <t>Donriadieu</t>
  </si>
  <si>
    <t>…a sesión del dia 1. se dió principio á la discusión del presu bían manifestado vivamente arrepentidos de su conducta, habian en puesto de gastos, sobre el cual habló'largamente e! general Donriadieu, tregado los libelos que les quedaban, y dado palabra de no volver á y voto contra el proyecto después de haber desahogado en mil invecti venderlos. vas su odio furioso contra los ministros. En la sesión del dia 2 tomó Mr. Brougham habló con mucha vehemencia…</t>
  </si>
  <si>
    <t>Dorado, Ana</t>
  </si>
  <si>
    <t>Ana Dorado</t>
  </si>
  <si>
    <t>…us poderes sobre estos y otros objetos &amp;c. &amp;c. « He dado cuenta al Rey de la instancia dirigida á las Cortes por Concluida la lectura, dijo el Sr. Moura que aquella era Ja opinión Doña Ana Dorado, viuda de D. Josef Romero, alcalde mayor que de un hombre solo; el cual fuese quien fuese, podia dejar de valerse de fue en 810 de la villa de Montellano, provincia de Sevilla, y que este medio,cuando podia escribir é imprimir su opinión , y aun firmar V. E.…</t>
  </si>
  <si>
    <t>…érita familia , acréedotá por tan justos títulos á la gratitud de la la cuín se libr.non otras muchas provincias,de. la Turquía. Al princi patria-, se ha servido resolver que a la Doña Ana Dorado y sus cuáro piarse i.i caniji.iúa por ia paite de! norte, son 'siempre la Valaquia y la hijos se les satisfagan las pensiones que les concedió la Regencia con Moldavia el punto adonde se dirigen los egércitos otomanos. Si estos los atrasos que tuvieren deveng…</t>
  </si>
  <si>
    <t>…ndo que un paisano suyo hacia en Cádiz las diligencias que una pequeña relación. pedia el caso para que se la premiase, se fugó por Algeclras, á fin de D. Josef Romero, casado con Doña Ana Dorado y con siete hijos, evitar la persecución que la amenazaba. Halló en Cádiz la buena aco era un labrador rico de la villa de Montellano, á la que hacia honor gida que se prometia, y tuvo la casa de su paisano por suya dos años, por su conducta y.bienes. Cuando…</t>
  </si>
  <si>
    <t>Doria, Josef María</t>
  </si>
  <si>
    <t>Josef María Doria</t>
  </si>
  <si>
    <t>…ria Painphili, que. nació en Ñapóles ci, y el príncipe de Monforte. el 28 de Marzo de 1749, y murió en Roma el 31 de Enerol Era Lord Stewart salió en posta para Viena. hermano del cardenal Josef María Doria, que murió hace cinco años. El príncipe Antonio habia sido capellán de la Cámara apostólica, y AlfiXASM. después gentilhombre del Papa; fue creado cardenal diácono, juntamente con su hermano, en la promoción de 14 de Febrero de 1785. Desde StuttgarH (Wurtembe…</t>
  </si>
  <si>
    <t>Dornas</t>
  </si>
  <si>
    <t>…es arbitrios, y que p.° y 10 de la obra francesa intitulada: Precie des evcnemens militaires, pertenecía á aquel examinar las cuentas y entender en este asunto, se por el teniente general Dornas. Sin duda que el autor habrá dicho co declaró el punto suficientemente discutido, y no hubo lugar á votar el sas desagradables al Austria, pues á no haber dicho mas que cosas fal art. 2.0 sas , el medio mejor, á lo menos en paises donde el raciocinio tiene al…</t>
  </si>
  <si>
    <t>Dorotea-Martinez</t>
  </si>
  <si>
    <t>…as generales de 14 del corta causa de la Nación , cupo en suerte del primer extracto de la de este • riente, relativa á este negocio, que quiere S. M.se adicionen á la circu día á Doña Dorotea-Martinez, comprendida en las de los víctimas del lar para su exacto cumplimiento; y finalmente, consultada la conveDos de Mayo. • - : niencia de las consultas de 23 y 30 de Mayo último, dirigidas A que lo mandado en la instrucción de 5 de Febrero de 1820 para la forma…</t>
  </si>
  <si>
    <t>Dosal, Francisco Josef de</t>
  </si>
  <si>
    <t>Francisco Josef de Dosal</t>
  </si>
  <si>
    <t>…el dia siguiente, y conso larse con que entonces tendrian mejor apetito. ANUNCIOS. Alt Agá. Ah I eso no: yo aseguro por lo que á mí toca que no será mejor que él juzgado del Sr-. D. Francisco Josef de Dosal, juez de .primera «1 que tengo hoy. instancia dé Córdoba, y por su escribano de número D. Josef Henriquez, El barón. insiguen autos de inventario,' formados en virtud del fallecimiento de Vos teneis la culpa: ¡por qué nos habéis hecho parar en un lugar Doña J…</t>
  </si>
  <si>
    <t>Dosi</t>
  </si>
  <si>
    <t>…almente subsistirán en ia proconvenio de alojamientos y demas cargas que trae consigo el tránsito de pia,ciudad de Toro el de capuchinos, con tal de que se complete eL tropas.__El Sr. Dosi, sustituto del teniente del tribunal del vicario, número de. los 24 religiosos que exige la ley con los de igual instituto habia sido arrestado por orden del Papa, é iba á ser juzgado por el san de otra provincia; en Tab.ira el de dominicos, agregándole los 1…</t>
  </si>
  <si>
    <t>Dr</t>
  </si>
  <si>
    <t>…amente ; y que el ge bo , suplente por Oajaca ; el Sr. D. Francisco- Pablo- Vázquez, diputa neral Carrascosa se adelantó hasta Spoleto. Siendo esto cierto, la po do por Puebla; el Sr. Dr. D. Antonio Manuel Couto, diputado por sición de los austríacos, que pretendían internarse hasta Sul mona, como Veracruz ; el Sr. sargento mayor D. Ignacio García Iilueca, suplente consta por. relaciones que publica el Monitor, puede llegar á serles por Méxic…</t>
  </si>
  <si>
    <t>…reparación de cuantu ha hecho, Diputados por la provincia de Nueva-Galieia. y cierta seguridad de que en adelante no se excederá en tales borr-.-res'y Los señores: Kxcmo. é limo. Sr. Dr. D, Juan Cruz Ruiz de Cabañas, uitrages; que la Rusia pedirá ser protectora de todas las provincias grie obispo de Guadalajara ■; Dr D. Toribio González, racionero de la mis gas, como ya lo es tiempo ha de la Moldavia y Valaquia; que harán que ma ¿anta iglesi…</t>
  </si>
  <si>
    <t>…para él. venientes no se empeñarían en obras y empresas de esta especie. Se in ANUNCIOS. dican de este modo algunos medios de los que podrán facilitar la egecu Por previdencia del Sr. Dr. D. Francisco Belloc y Navarro, juez de cion de lo que se propone; y S. M. desea que dando V. S. la mayor primera instancia de la ciudad de Sevilla, acordada en 31 de Julio del atención á objeto de tanta trascendencia á la prosperidad de la nación, presente a…</t>
  </si>
  <si>
    <t>Dragonetti</t>
  </si>
  <si>
    <t>…á anunciarle con cierto aire de satisfacción, más '{aplausos)', los Sre?. Giofdano y Mazzioti fueron del que ya se habia abandonado el proyecto de asesinarle. En mismo parecer; el Sr. Dragonetti dijo que no consentiría ja tonces le hizo asegurar Rothschild , y conducirle á presencia mas en que fuese condenado el duque de Campochíaro: el del corregidor, quien le hizo varías preguntas acerca de quién Sr. Morici propuso que no se hablare mas del asunto…</t>
  </si>
  <si>
    <t>…la tesorería en provisiones era la extinción de guientes losSres. diputados Dragonetti y Poerio: las comisarías ; que en lo que ocurría duda era solo en el modo de ha 1.“ Del Sr. diputado Dragonetti: „Es necesario que nuestras sesiones</t>
  </si>
  <si>
    <t>Drata</t>
  </si>
  <si>
    <t>…os Catalani, Rossi, Saponara y Donato, y se habían expe yor parte de las islas del Archipiélago han sacudido el yugo de la Puer dido órdenes á Aquila para prender igualmente al ex-diputado Drata, y que la escuadra que se arma en Constantinopla va destinada á re gonetti. ducirlas ¿ la obediencia. Dos días antes de la llegada de S. Al. á aquella capital habia publi JNuremberg 2£ de Mayo. cado el Diario de las Dos Sicd'-as un decreto del marques de Circ…</t>
  </si>
  <si>
    <t>Drccsta, Manuel</t>
  </si>
  <si>
    <t>Manuel Drccsta</t>
  </si>
  <si>
    <t>…o espacio para los parisienses deseosos de ver tan nuevo y extraor ral del egercito inglés D. Carlos Dalrimple con fecha de doce de Mar dinario espectáculo. zo de 1814. á orden de D. Manuel Drccsta, y cargo dei referido Duff, El 17 de Agosto de 1782 era el famoso dia en que los Sres. Fin pagadera á 40 días; en los cuales á instancia del citado D. Juan Josef de jas de St. Fond y compañía debían quedar coronados por la famaósil — Inarte y por providencia…</t>
  </si>
  <si>
    <t>Driguet, Baltasar</t>
  </si>
  <si>
    <t>Baltasar Driguet</t>
  </si>
  <si>
    <t>…debe ser géneral en la armada.” siglo xviii madama Gómez , y traducidas libremente dél francés al cas Los Sres. VitorícaSancho y Ramonet hicieron ver las dificultades, tellano por D. Baltasar Driguet: 8 tomos eti 4.0, adornados con gg lá que se seguirían de que en Ultramar no estuviesen sujetas ias fuerzas minas finas. La admirable doctrina de esta obra , los muchos egémplos marítimas y terrestres á una misma persona ; y después de haberse ma morales, las…</t>
  </si>
  <si>
    <t>Duat, Juan</t>
  </si>
  <si>
    <t>Juan Duat</t>
  </si>
  <si>
    <t>…leguas, y á la costa de San la de Juan Pablo , en la platería de Gaseo , calle de las Carretas, en tander de bastante extensión , y que á pesar de lo que ha dicho el señor casa de D. Juan Duat, Red de S. Luis, en la lonja de chocolate de la preopinante es muy interesante y de mucha importancia, particularmente plazuela de Antón Martin, y en la plazuela de Sto. Domingo, lonja de el punto de Santoña. La diferencia está en solos des distritos: puede r…</t>
  </si>
  <si>
    <t>Dubouchage</t>
  </si>
  <si>
    <t>…uditor en las atribuciones que tenían ames del ron, nombrados el; marques de Clermont-Tonnerre, el du huevo-.sistema de Gobierno, supuesto que el art. 250 de la que de Damas , ,el vizconde Dubouchage y él'¡vizconde Constitución preserva ,el fuero militaren los términos que Digepn, los: cuales, ,á imitación del presidente,: ocuparon previene la ordenánza , ó en adelante previnieíe, siguiendo los asientos correspondientes. . en su virtud como, antes, todos…</t>
  </si>
  <si>
    <t>Duchen, Salvador</t>
  </si>
  <si>
    <t>Salvador Duchen</t>
  </si>
  <si>
    <t>…nece. Palacio 8 de Mayo de i8ax.’? . . • artículo no estaba bastante claro, se podria añadir alguna palabra mas. El Sr. Ramírez Cid se opuso á que el repartimiento se hiciera bajo Don Salvador Duchen, profesor .-de Historia natural, y grabador -ia base que proponía la comisión, porque 1 legaría el caso de que mu de cámara de S. M., ha .descubierto un específico para preservar de la chos labradores no pagasen diezmos para que-se les impusiera menos polilla…</t>
  </si>
  <si>
    <t>Dueñas-y, Domingo</t>
  </si>
  <si>
    <t>Domingo Dueñas-y</t>
  </si>
  <si>
    <t>…quiera , sino que todos eran propietarios El Rey, á consulta del Consejo de Estado/se ha servido; nombrar directos , á los cuales ios había sujetado el Rey D. Jaime á partir ios á D. Domingo Dueñas-y á D. Miguel Soria para dos ¡plazas de magis-, frutos que. recogian con.su trabajo con los señores de que se trataba. irados vacantes en'el1 tribunal supremo de Justicia. El Sr. Calatrava;manifestó que los señores diputados debian ceñirse en esta discusión á h…</t>
  </si>
  <si>
    <t>Duffó, Francisco</t>
  </si>
  <si>
    <t>Francisco Duffó</t>
  </si>
  <si>
    <t>…trastornar la Constitución española. A la comisión del Gobierno interior de Cortes se mandó pasar un» » La España, Hice el diarista ,■ experimenta ya ¡a suerte que ha solicitud de D. Francisco Duffó, director de la compañía de Seguros bían previsto hace mucho tiempo todos los entendimientos claros, y coge contra incendios, manifestando la utilidad que se seguiría de asegurar el fruto de una revolución criminal en su principio, y abandonada á el palacio d…</t>
  </si>
  <si>
    <t>Duigman</t>
  </si>
  <si>
    <t>…e la iglesia protestante, y debe cuidar de la estos cálculos no están comprobados de una manera auténtica. observancia de las leyes que la favorecen, como también de las que li El doctor Duigman ha intentado demostrar que el número de ha mitan las relaciones del clero católico con la Sede romana. Estas leyes bitantes qne contiene la Irlanda no pasa de 3.500,000 , de los cuales so no gustarán ciertamente al clero católico, y procurará por medio de su…</t>
  </si>
  <si>
    <t>Dupor.t, Pedro</t>
  </si>
  <si>
    <t>Pedro Dupor.t</t>
  </si>
  <si>
    <t>…o de Málaga, y á D. Bartolomé N. y Picardo, vecino y del se trató) de discutida Constitución no se dio el Carácter de representan comercio de Cádiz; y se la riegaroa al presbítero D. Pedro Dupor.t, tes á los eclesiásticos, sino bajo la condición de que cada uno que vinie cura de la parroquia de Sha. María de la ciudad de Cartagena, por ca se a las Cortes renunciase su propio fuero, se sujetase á todas las res recer del requisito expresado terminantemen…</t>
  </si>
  <si>
    <t>Duque</t>
  </si>
  <si>
    <t>…I as Cortes oyeron con satisfacción el estado dí salud de SS. MM. especie de autoridad para interpretar las leyes de este establecimiento; y AA. , y con sentimiento la muerte del Sr. Duque. y siendo los mismos individuos de la junta los sugetós á quienes se les Se levantó la sesión. deben ofrecer las dudas, parecia que no debian consultarse á sí mismos; sino á otras autoridades. ' ARTICULO DE OFICIO. El Sr. Azaola dijo que esta observación era…</t>
  </si>
  <si>
    <t>Duque, Francisco Javier López</t>
  </si>
  <si>
    <t>Francisco Javier López Duque</t>
  </si>
  <si>
    <t>…mismo término para otra del partido las mas nobles ¡deas de nuestra primera edad. de Colmenar, provincia de Malaga, que también se halla vacante por renuncia que ha hecho de ella D. Francisco Javier López Duque. Pala cambios. Madrid J9 de Julio de 1821 cio 18 de Julio de 1821. Ióndres................................................... á j Paris.................................................................. 16..4 VARIEDADES. Cádiz..................................…</t>
  </si>
  <si>
    <t>Duran, Diego Sánchez</t>
  </si>
  <si>
    <t>Diego Sánchez Duran</t>
  </si>
  <si>
    <t>…de bandoleros). Allí es donde se cantan con libertad las ha dro, cuyo capital es perteneciente á la vinculación que en la misma po zañas de los guerreros valientes. blación fundó D. Diego Sánchez Duran, y poseyó hasta el 6 de Enero de » Los ecos del Olimpo , dice Mr. de Pouqueville, repiten todavía 1798 en que falleció , D. Juan Abela Dávalos; cualquiera persona que el nombre de Nicolás Cosani, á quien la Alemania contaba poco há se crea con derecho al cita…</t>
  </si>
  <si>
    <t>Duran, Francisco</t>
  </si>
  <si>
    <t>Francisco Duran</t>
  </si>
  <si>
    <t>…ginación, ó tal vez en sus da Ovidio, en prosa, escrita en francés por el abate Ragois, y traduci ñadas intenciones : sin tener arreglados los neaocios de su casa , se me- dos por'D. Francisco Duran; en rústica á 6 , y en pasta a 8. EN LA IMPREN V NACIONAL.</t>
  </si>
  <si>
    <t>Duran, Juana</t>
  </si>
  <si>
    <t>Juana Duran</t>
  </si>
  <si>
    <t>…ano de número D. Josef Henriquez, El barón. insiguen autos de inventario,' formados en virtud del fallecimiento de Vos teneis la culpa: ¡por qué nos habéis hecho parar en un lugar Doña Juana Duran, natural que fue de la ciudad de Baza, provincia de tan malo, que ni aun siquiera hay pan l Pero vos pagareis vuestra cul Granada, y vecina de esta ciudad, á la colación de S. Lorenzo , viuda pa ayunando. de D. Pedro Ameos, natural que fue de Zeron, en la mis…</t>
  </si>
  <si>
    <t>Duran, Vicente Ortiz</t>
  </si>
  <si>
    <t>Vicente Ortiz Duran</t>
  </si>
  <si>
    <t>…cos desde Platón y Aristóteles has Brozas, con fecha 19 de Enero último, en el pleito que se si ta Montesquíeu y Rousseau han/ predicado la máxima de gue en la misma audiencia por D. Vicente Ortiz Duran , mari que el árbol de la libertad no es para todos los países; lo co y conjunta persona de Doña Vicenta de Vera Motezuma, cual equivale á decir que Dios ha criado de intento algunas sobre liquidación de cuentas y otras cosas. regiones para recreo del despoti…</t>
  </si>
  <si>
    <t>Durana, Josef Vicente</t>
  </si>
  <si>
    <t>Josef Vicente Durana</t>
  </si>
  <si>
    <t>…nten leyendo bien en prosa, sabiendo doctrina Bayo é hijo , de Bdbao. ceres. cristiana y con conocimiento de los principios de escritura se adjudi D. Benito Felipe de Gaminde é hi D. Josef Vicente Durana, de Cá cará una colección de poesías de la sociedad , encuadernada á la inglesa. jo , id. diz. Se adjudicará un premio de 60 rs. vn. al alumno de esta escuela que D. Clemente Fernandez de Elias, D. Juan Nepomuceno Escurdia, de sobresalga en conocimientos del…</t>
  </si>
  <si>
    <t>Durao, Gouvea</t>
  </si>
  <si>
    <t>Gouvea Durao</t>
  </si>
  <si>
    <t>…men , y luego leyó el presidente algunas adiciones ó modificaciones tículo en los términos que se hallaba. propuestas por varios diputados, las cuales se fueron desechando suce El Sr. Gouvea Durao sostuvo enérgicamente el principio : » La ca sivamente, quedando pendiente la de Mr. de Courtarvel; y se levantó sa del ciudadano, dijo el ilustre diputado, es uñ asilo inviolable para la sesión. - élla comparé) con los derechos cívicos de los griegos, romano…</t>
  </si>
  <si>
    <t>Gaceta de Madrid n.º 225</t>
  </si>
  <si>
    <t>…te dos adi riAMOUTE. ciones al, título "i.-. dé -lá 'Constitución, y se tuvieron por ,primera lectura; ... . ...* — Türin 77 de Julio. Se hizo la segunda lectura de la adición del Sr. Gouvea Durao so En virtud de un Real decreto publicado el día 14 de este mes para bre que entre ios pretendientes á los. empleos sean preferidos los casados conservar el buen orden, se prohíbe a todos los Habitantes que no sean á los' solteros. . militares que usen en su…</t>
  </si>
  <si>
    <t>…continuó la discusión del proyecto de Constitución, y se em tocan a! fruto vedado.” El orador demuestra que esto no es mas que dar pezó por el artículo adicional propuesto por el Sr. Gouvea Durao , y fomento á los periódicos intitulados literarios, en perjuicio de los que relativo á que en iguales circunstancias sean preferidos para los empleos con el título de políticos hablan también de iiteiatura. los pretendientes casados. &gt;&gt; VV. ven señores , pro…</t>
  </si>
  <si>
    <t>Duraourier</t>
  </si>
  <si>
    <t>…, podían hacerlo, como lo ha Princesa Regente, han entregado sus diamantes para la patria. Asegu bían hecho los de la Madera , se acordó oficiar á la Regencia. ran que el plan del general Duraourier para la defensa di* Ñapóles coin Se leyó el decreto relativo á los oficiales ingleses , en el cual se aña cide casi en todo con el que anteriormente habia formado el ex-mi- dió que las gratificaciones por el tiempo que hubiesen servido (fuesen nistro de Guerr…</t>
  </si>
  <si>
    <t>Durnlev</t>
  </si>
  <si>
    <t>…divisiones del egército, como entre ios Estados de la Con de 25 años habla constituido á la Europa en una posición falsa. E! no ble lord na respondió á tedas las observaciones de lord Durnlev , vfederación. El egército de la Confederación germánica, según la organización por vu di adición propuso una exposición semejante con poca diiercn*</t>
  </si>
  <si>
    <t>Duroc</t>
  </si>
  <si>
    <t>…, con ¡a guas de Constantinopla, ha sido conquistada por los griegos» quienes 'confianza de que S. M. las apoyará para que se realice la egecucion. Si han perdido 69 hombres, y al general Duroc que los mandaba. La ver Lis obras fuesen de tal costo é importancia que los empresarios no pu dad , en su lugar. Otro hace llegar -él, 25 de Julio á Viena al mediador diesen reunir los fondos suficientes para realizarlas, ó que hubiese tai tgles lord Waipole…</t>
  </si>
  <si>
    <t>Duvergier</t>
  </si>
  <si>
    <t>…entantes; y niente; con cuyo motivo Mr. Girardin se quejó también de que no que el método para la y lección de estos debia dejarse paira la Constise hubiese informado sobre la del coronel Duvergier , una de las pri tución.meras , reclamando contra el horrible abuso que se hacia por los agen El Sr. Barrozo quería que se añadiese la palabra con sanción Real-,tes del Gobierno de la incomunicación de los presos. Mr. Etienne á lo que se opuso el Sr. Manuel A…</t>
  </si>
  <si>
    <t>Dyer, DcTomas</t>
  </si>
  <si>
    <t>DcTomas Dyer</t>
  </si>
  <si>
    <t>…■ ■ ... 1 -i ■.. ' ' preso núrn. 5.' Tenemos el mayor placer en anunciar que ha; llegado á esta capi ' Cuando un Príncipe ocúltalos sentimientos de síi corazoñ, y se tal el Excmo. Sr. DcTomas Dyer, teniente general de los egércitos riá- presenta á su pueblo cual no es, y debia ser , animándole y comprome . cionales Seo., que fue el-primer tómisiohado ingles que se-presentó ¿ir tiéndole ¿n úna empresa,}' empresa tan legítimas y. heróicá'cohJa ia de Espa…</t>
  </si>
  <si>
    <t>Ealjnerston</t>
  </si>
  <si>
    <t>…uatro profesores de las cátedras de fortificación fran brantes después de sostener el; culto divino, y de pagar su congrua á los. cesa, uno de los cuales era oficial de marina. El lord Ealjnerston aseguró; que actualmente la tienen, no pueden tener ningún destino mas pro-, que la elección de profesores y maestros se-hacia por oposición pública, pío de su instituto que el de ser aplicados con preferencia al pago de ia previa la fijacion -de -carteles. L…</t>
  </si>
  <si>
    <t>Eanqueri</t>
  </si>
  <si>
    <t>…leza que la del Sr. Ro tema , no avanzó ninguna proposición arriesgada: fácil seria hacer ver mero Alpuente. á ias Cortes cuánto se trabaja dentro y fuera de España sobre esto. El Sr. Eanqueri manifestó que bastaba que hablasen tres Sres. dipu- - Cuando la comisión habla acerca de una circular que se expidió por el tados en cada uno de los sentidos que se habían propuesto hacerlo, para ministerio de mi cargo acerca de las elecciones de diputados á…</t>
  </si>
  <si>
    <t>Eapéleta</t>
  </si>
  <si>
    <t>…e él cuando se tratara de este asunto. ■ - —■ D. Carlos, el. Excnio. Sr. duque del Infantado, y el Sr. marques de - Adrrstithi a discusion;l:t:cftlcL. éhuicaciorr:,-.Ia ¡tpqjrá el Sr. Eapéleta, CastHárl £1 secreto y el sigilo son el alma de ¡as grandes emeretarañidiendo:,que el Gobierno jMabia: obradacdmo&gt; debía, y que.se; le.manv la noche que se determine harí llamar S. M. á los consejeros dé Esta dase suspenderlas órdeúesoque ip.¡bié»e expedido .…</t>
  </si>
  <si>
    <t>Earrie, Juan Francisco</t>
  </si>
  <si>
    <t>Juan Francisco Earrie</t>
  </si>
  <si>
    <t>r9x5 para qu; los compre, se me tendfá por auxLliaJqí' óeuna cosa que no es diente promovido por D. Juan Francisco Earrie, del comercio do la delito. Porque conviniendo;todo el mundo en que ia fuga no es delito Coruña, que les remitió el antecesor de V. E. en 16 de Octubre sobre d que auxilie esta , auxilia una cosa que no esdelitó, En, este supuesto que se te. permitiese extrae…</t>
  </si>
  <si>
    <t>Easanta</t>
  </si>
  <si>
    <t>…o io que se proponía en palabra en esta cuestión , que después de haberse ocupado en ella vanos célebres criminalista» y los hombres de mayor nota, no había podido el artículo. Ei Sr. Easanta índice &gt; que mediante á que Jos Sres. de la comisión decidirse; y haciendo la debida justicia á los ores, de la cumis;on que</t>
  </si>
  <si>
    <t>Ecbegoyen</t>
  </si>
  <si>
    <t>…ón del contagio den las autoridades el juramento á la Constitución á las cinco de la tarde, j tro del círculo donde ha aparecido ; y que en el propio sentido se esti tn seguida el coronel Ecbegoyen, primer alcalde constitucional, diri men de patente sospechosa los buques procedentes del Adriático, de gió á S. E. un corto, pero enérgico discurso, manifestando la fidelidad Sicilia y de todos los puertos al poniente del reino de Ñapóles. Lo co de aquellos…</t>
  </si>
  <si>
    <t>Echavarria</t>
  </si>
  <si>
    <t>…os grandes y de los particulares, sobre los cuales tendrían 1800 rs. sin duda mas influjo sus respectivos amos. Otra en el mismo pago, de 4 obradas , de tercera calidad id., en E¡ Sr. Echavarria, individuo de la comisión, manifestó que esta se I 200 rs. había fundado para dar su dictamen en los principios sentados en el Otra en dicho "pago , de 4 obradas id. , en 1:00 rs. art. 18 de la Constitución, que se leyó; sin embargo de lo cual, y Otra en dich…</t>
  </si>
  <si>
    <t>Échavarria</t>
  </si>
  <si>
    <t>…habido en Espa suministran con cuanto aseo y comodidad es posible los remedios de ña en tiempo de los árabes. estufa, baños, agua potable y demas que se juzgan convenientes. Lo El Sr. Échavarria apoyó esta indicación , y quedó aprobada. j que se anuncia al público para noticia de los que gusten concurrir á Se leyó la siguiente indicación del Sr. Medina, que decía asi: disfrutar unas aguas tan saludables, y cuyos buenos efectos, con espe «Habiéndose n…</t>
  </si>
  <si>
    <t>Echenique, Josef de</t>
  </si>
  <si>
    <t>Josef de Echenique</t>
  </si>
  <si>
    <t>1792</t>
  </si>
  <si>
    <t>…to hasta que se trate ea Las mismas comisiones, informando sobre las observaciones dirigía- das Corres. El-Gobierno, procurando escoger oficiales generales qu» das at Congreso por D. Josef de Echenique acerca del-comercio de la puedan por sus conocimientos desempeñar este encargo, y no dejándolo nas, fueron de parecer que no se hiciese novedad en lo que las Cortes ó la casualidad , espera se consigan muchas ventajas en el mando de una habían .determinado co…</t>
  </si>
  <si>
    <t>Echevarri, Francisco</t>
  </si>
  <si>
    <t>Francisco Echevarri</t>
  </si>
  <si>
    <t>…el sueldo á los indi- Ha entrado en este puertojel.bergantin goleta española Cometa ,.$M viduos nombrados para entender en este asunto^ I capitán el: alférez de fragata; graduado D. Francisco Echevarri ,de Ve A la comisión del Código civil se mandaron pasar varios egemplara cruz y la Havana, en cjcy.dias:; :con grana; añil , café, .ponienta de res de ía, obra compuesta por D. Miguel Sancho, abogado de Granada, Tabasco, y t; 1,000 pesos fuertes á D. Joaquín,…</t>
  </si>
  <si>
    <t>Echevarría</t>
  </si>
  <si>
    <t>…Constitución. - mación de causa;y habiéndose procedido á la votación, quedó aprobado. Acto continuo se leyeron los extractos de! algunos expedientes, Se aprobó una indicación del Sr. Echevarría para que se declarase que según el dictamen de la diputación debían pasar á las comisio que los Sres. Zavas y Benitez, diputados suplentes por la Harana, de nes de Infracción de Constitución , Hacienda , Guerra , Ultramar , Po bía:; -continuar en este concept…</t>
  </si>
  <si>
    <t>Echevarriá</t>
  </si>
  <si>
    <t>…s números del periódico la Mi Alpuente por 76: 4/ el Sr. Gira Ido por 75: 5.’ el Sr. Caiatrava nerva, que hasta el dia tiene publicados el coronel D. Miguel Tenorio. por 72: 6. el Sr. Echevarriá por 85: 7.' el Sr. Manesc.ui por 81: En seguida el Sr. ministro de la Gobernación de Ultramar pasó á 8.J el Sr. Navarro (D. Felipe) por '77.: 9.° el Sr. Larriba por 85: la tribuna y principió la lectura de su memoria; la que á poco tiempo 10 el Sr. Snbrié por…</t>
  </si>
  <si>
    <t>…asiento entre los demas diputados. á las comisiones de los que necesitaren. 27. El presidente nombrará la diputación que ha de dar parte al Fue aprobado, añadiendo á petición del Sr. Echevarría después de Rey .de la instalación de las Cortes , y del nombramiento de presiden la palabra ,, propondrán” estas ,,á las Cortes.” te, haciéndose esta comunicación por.escrito. Si el Rey estuviere au También se aprobaron el 47 y 48 , concebidos en estos términ…</t>
  </si>
  <si>
    <t>…to humano, era necesario entrar en el ma, Charcas, Caracas, Santiago y Santa Fe. examen particular de las ciencias' para enseñarla, y que ei que sin po Leido el art. 35 , pidió el Sr. Echevarría que se determinase el puntó seerlas muya fondo creyese poder llegará tratar de todas, lograría sola en que deberla colocarse la universidad de Canarias, piles en su con mente acaso acreditar su pedantismo , razón entre otras porque se ha cepto debia ser en la…</t>
  </si>
  <si>
    <t>…e ser juzgados por esta ley, debia refundirse toda ella en auxilio de las autoridades civiles, tocará eL conocimiento de la causa i la jurisdicción ordinaria.” solo el art. r.° El Sr. Echevarría dijo que expresándose en el articulo ge8 de la Se leyó el art. 3.0, y el Sr. secretario de la Gobernación de la Pe Constitución que la suspensión de algunas formalidades prescritas en la nínsula dijo que este artículo trataba del desafuero por la resisten mis…</t>
  </si>
  <si>
    <t>…provincia que no tienen recursos para ¡cubrir comisión. {Véase ¡a ¿aceta de ayer.) sus mas urgentes gastos; yopinabá que no sabiéndose todavíasi' hay as-' Se leyó el art. go,.y el Sr. Echevarría. fue de opinión que debería* brames en los propios, se paguen dichos gastos por medio de rcpsrtos decirse en lugar de ,, ser derogadas las leyes,” que fuesen solo ,',sus vecinales. pendidas;” y habiendo contestado el Sr. Gareli, haciendo varias relie-' A la d…</t>
  </si>
  <si>
    <t>…abusos de los escri 4.° de este decreto. . v banos y notarios , y se mandó pasar- á la comisión de Legislación. Í.J, «No siendo posible facilitar desde lúegó el considerable nú El Sr. Echevarría hizo una indicación, en la qué pedia que en mero de fusiles que se neceáitan para el completo armamento da todaT¡i atención á hallarse en el archivo de Simancas las causas del obispo de milicia nacional en las capitáles y púébioS'donde hubiere batallones, Zam…</t>
  </si>
  <si>
    <t>…en ellas la dirección general de contribución directa entre las diócesis, con arre imposición de las damas contribuciones. glo á los productos que arroje el último quinquenio. El Sr. Echevarría manifestó no hallaba inconveniente en que se i(5. « La ¡unta diocesana pagara por mesada, en la tesorería de la pro aprobase el dictamen de la comisión; pero que fuera con igualdad á vincia respectiva el contingente que le corresponda, y si no lo hiciere, tod…</t>
  </si>
  <si>
    <t>…o á todos los que no citando á las Cortes por su segunda instalación. La oyeron estas coneran tan blancos como ellos El medio que inventaron fue poner una agrado; y í petición del Sr. Echevarría mandaron se publicase íntegra porción de materias inflamables cerca del sitio donde reposaba el león, en el diario de Cortes y gaceta. y pegarles fuego. La explosión se verificó; hizo un estruendo horroro El Sr. Pan manifestó á las Cortes en nombre de la prov…</t>
  </si>
  <si>
    <t>Se leyó por primera'vez una proposición del Sr. Echevarría, relati El Sr. Silves manifestó que podía ocurrir la duda de que hubiese va al modo con qué pueda cubrir sus mas precisas obligaciones el ca algunos señoríos territoriales y solariegos que no fuesen incorporables bildo de Ja gran Canaria. á la Nación, y no se…</t>
  </si>
  <si>
    <t>…ación.” 2.* Que el fomento de este establecimiento se encargue á la dipu A la comisión segunda de Legislación se pasó la siguiente propues tación provincial de Guadalajara. ta del Sr. Echevarría: ’» Hallándose el cabildo de la santa iglesia cate Se mandó pasar á la comisión especial de Hacienda cou urgencia dral de la Gran Canaria, como administrador que es de las casas deci una indicación del Sr. Marín Tauste , relativa á qus las Cortes manden males…</t>
  </si>
  <si>
    <t>…./ debía reintegrar á dichos interesados, áiiñque á ¿l ié parecía debia ser Art. 9? ,,Se establecerá una.junta, diocesana en .laícapital .de cada .esta; y habiendo manifestado el Sr. Echevarría que esto era lo que ha- .objspado- para hacer la distribución, da las dotaciones al clero y á las .bia acordado la comisión , quedó aprobado el dictamen', con la adición iglesias, con arreglo á las bases que propusiere la comisión Eclesiástica. de que fuesen…</t>
  </si>
  <si>
    <t>…‘la orSferí.* del "ín tendente que contenga está tasa' será impresa y fijada en lós el pago'de los dozavos pendientes de los contribuyentes ya apremiados.” Habiendo manifestado el Sr. Echevarría que deberían sustituirse á las públicos. «tíos ...... 'palabras „eri la forma ordinaria” las siguientes „con arreglo á lias leyes.’* 152. ” Eos portadores de apremios no podrán pedir nada por , .Art. Quedó aprobado este artículo con esta sustitución. los dias…</t>
  </si>
  <si>
    <t>…cuya proporción se aumentará existentes en la visita.” La comisión adopta esta adición. Aprobado. ó disminuirá según el resultado del'primer tercio. Quedó aprobada. Indicación del Sr. Echevarría: ,,Que las Cortes tengan á bien deses La comisión opinaba debía aprobarse la adición á los artículos 8.5 y tancar y permitir etcomercio libre del ramo de orchilla , en las isias to del Sr. Ledesma , que decía asi: » Que se declare que las huertas, Canarias ,…</t>
  </si>
  <si>
    <t>…da lares é infames quieren separar los intereses del Rey de los de la Na en la forma siguiente: ción, me ha mandado que yo prevenga á V. como lo. egecuto. ene Sobre la adición del Sr. Echevarría al art. 4.0 de la nota núm. 8.% sin perder momento procure por cuantos medios le dicte su zelo y co gue dice asi: « Las cartas de pago, reembolsos ó reducciones, de cual nocimientos de esa provincia, de su mando persuadir ¿ todos sus habi quiera especie que s…</t>
  </si>
  <si>
    <t>…viene en el ci La comisión ordinaria de Hacienda presentó á ¡a resolución de las tado artículo. Aprobado. , Cortes favorablemente informados los expedientes que se expresan, y Del Sr. Echevarría al mismo art.: » Que á las palabras sufran des fueron aprobados. • : cuentos se añada, ni pierdan las pensiones si'se casaren.” La comisión El de Juan déla Rosa, solicitando rebaja en el arrendamiento de adoptaba esta adición en cuanto á la mitad de la pensió…</t>
  </si>
  <si>
    <t>…ó á jurar el Sr. Basilio Guerra, cuyos poderes fueron aproba creen que solo será de 800ÍS á i.coo,ooode reales'la diferencia entre Jos dos en la sesión de ayer; y acto continuo el Sr. Echevarría leyó por" gastos de ¡a división actual y la que se propone. Sin embargo, cada una primera vez el proyecto de código de procedimientos, que se mandó de estas debe tener un gefe político, un intendente y todo lo cenias imprimir. correspondiente. Los intendentes…</t>
  </si>
  <si>
    <t>…carácter de capital. Tengo ademas entendido mucho en ensayar esta medida tan conciliatoria como política. que el gefe político de aquellas islas ha hecho una representación al El Sr. Echevarría dijo que prescindía por ahora de los defectos Gobierno, haciendo presentes los inconvenientes que resultarían de qae que se habian atribuido al honrado y benemérito vecindario de S. Cris fuese la capital 5. Cristóbal de la Laguna ; y por ío mismo sería muy tó…</t>
  </si>
  <si>
    <t>…Cortes malignas esparcieron sospechas de epidemia en Murcia: mas parece que con respecto á Aragón y Asturias. luego se aseguró aquel pueblo de no haber motivo alguno de temer, El Sr. Echevarría manifestó que de aprobarse esta provincia ponien í nla gaceia del 6 publicamos el resultado de la correspondencia de do la capital en donde proponía la comisión, se seguían infinitos per Málaga, refiriendo la muerte de varias personas como sospechosas, la jui…</t>
  </si>
  <si>
    <t>…gunas objeciones, respon corte de gala con uniforme, y ha habido besamanos general, al que deré á ellas. han asistido los embajadores y ministros extrangeros, los grandes de Es El Sr. Echevarría manifestó que no se debia discutir este expedien paña , títulos, magistrados, generales y ge fes militares, y otras varias te sin que estuviese en la mesa algunos días para instrucción de los personas, que con tan p ausible motivo han cumplimentado á S. M., S…</t>
  </si>
  <si>
    <t>…ue ocurriese tamen de ia comisión, no porque me oponga á él, sino porque tengo en el curso de la discusión. que hacer algunas observaciones; y como en cumplimiento del art. 101 El Sr. Echevarría dijo: No he podido menos de extrañar que en todos los Sres.diputados tienen que expresar si es en pro ó en contra, este plan no se haya hecho la menor mención de las Sras. de la pri me he visto obligado á decir que es en contra. Cuando se discute un mera nobl…</t>
  </si>
  <si>
    <t>…o que ha manifestado S. S. Resulta pues que si las de la manera que se hallan ínterin aquella se decida.” Cortes hacen mérito para fijar la capitalidad de esta provincia de los El Sr. Echevarría manifestó los motivos que habia tenido para opi principios que ha sentado el Sr. Cabezas, esto es, de que sea en el pun nar que la capital de las Canarias fuese San Cristóbal de la Laguna, to donde han residido las autoridades , tanto políticas como militares…</t>
  </si>
  <si>
    <t>…ca de la Gran Canaria están muy unidas, y que sus comunica - Varios Sres. diputados pidieron la palabra en pro y en contra del ciones recíprocas son muy frecuentes. dictamen; y el Sr. Echevarría dijo: Que sentado el argumento de capitalidad, como lo habla bocho el » No es mi ánimo abusar de la paciencia del Congreso acerca de Sr. islilla , debia tenerse presente que la ciudad de las ) almas había si un. asunto que se ha repetido tantas veces. En la ú…</t>
  </si>
  <si>
    <t>…l fuego de Cortes, en qíie se trató de lá división de partidos de aquella pro por ambas partes, y á las primeras descargas cayó muerto aquel, y vincia , se vió por un discurso del Sr. Echevarría que este Sr. diputa los otros dos lo continuaron hasta que se les concluyó la munición. Al do habla'leído dos cartas. La diputación había concluido sus tareas ; y ver el-dura esta catástrofe salió á noticiársela; pero no satisfechos le habiéndose creído por a…</t>
  </si>
  <si>
    <t>…rso del Sr. Navarrete es relativa á que ss guientes al en que se concluya la vista.” instruyese por separadq cada uno de los defensores; ¿pero no se podrán Habiendo manifestado el Sr. Echevarría que debería discutirse este instruir todos al mismo tiempo que lo hace uno solo 2 ¡A qué hemos proyecto artículo por artículo, y no en^su totalidad, porque no era de permitir que haya esas dilaciones! Debiéndose leer el proceso por una ley, se leyó el art. J.…</t>
  </si>
  <si>
    <t>…eben tener presente que cuantos me mentos en España , y por lo mismo debe bajarse ai mínimum este derecho. nos derechos tenga este algodón, tanto mas seintroduclrá , y de consi El Sr. Echevarría: No sé que haya ninguna fabrica en España de guiente tanto menos se consumirá del nuestro. los instrumentos de que se trata para poder proveer á la Marina, y El Sr. Oliver: El Sr. preopinante padece uná equivocación en creer por eso dice el Sr. Alaman que pag…</t>
  </si>
  <si>
    <t>…vos de guerra, y se trabajaba de día y de noche en el arsenal. Se tra marítimos. taba de la próxima salida de muchos trenes de artillería y convoyes de El Sr. presidente nombró al Sr. Echevarría para individuo de Ii municiones de guerra para el Danubio, y se aseguraba también que no ^comisión que ha de entender en la formación del proyecto sobre casas tardarían mucho en ponerse en marcha qo3 genízaros para ir á juntar correccionales.. se con el egérc…</t>
  </si>
  <si>
    <t>…a comisión dice que las conjuraciones centra la libertad nacional, cuales contestó el Sr. Calatrava. serán castigadas aunque sean sin tentativa, y yo lo considero muy justo, .; El Sr. Echevarría dijo: Conociendo que es muy corto el tiempo que porque ; adonde ¡riamos á parar si se permitieran hacer proposiciones no* queda para discutir este y otros aiuntos, y que cada dia se hace por contra la Constitución! Y esta pena i por qué se impone en este caso…</t>
  </si>
  <si>
    <t>…una res, y le da al que verificó el robo una pierna, el cual se la- ló en los términos que se presenta. | come. Pregunto ; el hombre que estaba hecho pn papanatas viendo en- • El Sr. Echevarría manifestó que siendo una de las circunstancias que | irar al ladrón, y que no tenia valor para decirle nada, por solo el- debe tener la‘redacción de las leyes la de que r.o sea equivoca , observó^ 1 hecho de comer un pedazo de carnero se le ha de considerar c…</t>
  </si>
  <si>
    <t>…de la patria , debió dar funda bado el párrafo primero de este artículo. mento á las sospechas deque e! ministerio, ó no conocía en toda ¡u Se procedió á la del párrafo a.°; y el Sr. Echevarría dijo que si se extensión los males que nos amenazaban, ó que sus insinuaciones para hacia distinción entre la embriaguez natural y la personal se conforma con el Monarca no tenian todo el carácter de imparcialidad , ni todo el ría cen el párrafo, que se limit…</t>
  </si>
  <si>
    <t>…les, en los cuales puede el producía risa, sino que causaba una fuerte impresión en los espectadores. gefe del estado señalar penas, revocarías, señalar otras, ó dejarlas de se El Sr. Echevarría opinó que no debian existir estas penas en una ñalar, lo que no puede suceder en ios pueblos libres que tienen una re nación libre ó ilustrada. presentación nacional; y después de haber manifestado la Opinión de El Sr. Calatrava contestó que entonces debian b…</t>
  </si>
  <si>
    <t>…en mas vigor. Resplandezca la vara de la justicia plona, audiencia de Valladolid, universidad de Salamanca &amp;c. desplegando V. M. toda su autoridad, y no dude un instante de que El Sr. Echevarría se opuso á este artículo, manifestando que no desaparecerá el desorden y males que nos amenazan , pues los malos se creta conveniente el que después de muerto el reo se le llevase al pa anonadan con el castigo. Estos son, Señor, los sentimientos de la mi tíbu…</t>
  </si>
  <si>
    <t>…hora primera, y la tercera se horas de tomarlos, y todo lo demas perteneciente al régimen interior, gunda. como también el orden y ascenso de los facultativos, sus atribuciones El Sr. Echevarría dijo, que tanto la comisión corno Jos informan y su autoridad sobre los empleados del hospital, la admisión y obliga - tes habrían olvidado un caso muy interesante, en que debía suspen cienes de los practicantes , el tiempo y modo de las visitas, serán obje d…</t>
  </si>
  <si>
    <t>…en los térmi que los sumarios solo debían emplearse en las causas , en cuya pronta nos que lo habia hecho. sustanciacion se interesase la segundad del hstado, ó en aquellas que El Sr. Echevarría impugnó este artículo, y manifestó que en su por su poca gravedad bastasen para la averiguación de ia persona delin concepto era mas filantrópico lo que se establecia en la ley de Partidas, cuente ; deduciendo de todo esto que ó se creían supertíuas las forma…</t>
  </si>
  <si>
    <t>Echevarría, Manuel de</t>
  </si>
  <si>
    <t>Manuel de Echevarría</t>
  </si>
  <si>
    <t>…io de una tempestad, siguiente: 1." Formarán el tribunal de las Cortes en sala de primera lo que da lugar á contrastes pintorescos, y á una admirable mezcla de instancia los Sres. D. Manuel de Echevarría , diputado por la provin tintas. : cia de Canarias; D. Pedro Antonio Cosío, por la de Granada; Don Cuadros Ae Eyck. Un ingles ha comprado, en Aquisgran dos her Francisco Javier Caro, por la de'Sto. Domingo, y D. Josef Mariano mosos cuadros de Eyck- ( Hubertva…</t>
  </si>
  <si>
    <t>…la universidad central.” gido ios artículos 294 y 296 de la Constitución en la causa del alcal El Sr. Tapia manifestó deseaba que antes de continuar la discusión de constitucional D. Manuel de Echevarría, y solicita se le indemni pendiente desde ayer, se tomasen en consideración las. tres indicacio cen los daños que ha sufrido, y que pase dicha causa al tribunal supre nes siguientes que presentaba. . mo de Justicia. i.’ Que estando ya aprobada por las Cortes…</t>
  </si>
  <si>
    <t>Eertial, Bartolomé Romero García</t>
  </si>
  <si>
    <t>Bartolomé Romero García Eertial</t>
  </si>
  <si>
    <t>jgió nar.do; D. Bartolomé Romero García Eertial, secretario de la diputa por razón de utilidades, y á la Hacienda pública sus derechos sobre ti ción provincial. Suplentes-. D. Mahuel Varcanel, vecino deCazalla y mayor valor que resulte de la subasta. elector de su partido, y D. Joséf María Gonztlez , cura…</t>
  </si>
  <si>
    <t>Egafia, Quirico Antonio</t>
  </si>
  <si>
    <t>Quirico Antonio Egafia</t>
  </si>
  <si>
    <t>…o se contarán efectivamente Domingo Bacas P»oj-.: para la Puebla de Sanabria á D. Josef Maroto; del modo siguiente: dos diputados que hayan votado, uno por la afir para Gradefes á D. Quirico Antonio Egafia; y para Benavente á Don mativa y otro por la negxiiva, contarán el número de los diputados que Antonio Vitini Villamarin. •,tan en pie, y otros dos de igual clase los que están sentados. Estos Asimismo en la provincia de Guipúzcoa: para S. Sebastian á Don cua…</t>
  </si>
  <si>
    <t>Egea, Bruno</t>
  </si>
  <si>
    <t>Bruno Egea</t>
  </si>
  <si>
    <t>…r los contadores. ría ,&lt;¿n Calahorra D. Miguel Abadía, en Canarias D. Francisco Guer . 10. Las lincas que estuvieren arrendadas continuarán por todo el ra Betcncour, en Cartagena -D. Bruno Egea, en Ceuta D. Francesco' presente año; y para el siguiente de 1822 se sacarán á nueva subasta, Iznardi , en Ciudad-Rodrigo D. Pedro Nicasio Domínguez, en Cór precediendo avisó de la junta con presencia de las noticias que á este doba O: Antonio Meras i en Cori…</t>
  </si>
  <si>
    <t>Egidio, Gaspár</t>
  </si>
  <si>
    <t>Gaspár Egidio</t>
  </si>
  <si>
    <t>…J Otra con el mismo objeto hecha por los oficiales del mismo de solamente la décima; y cuando excedan de esta cantidad se practica pósito que á continuación se expresan: capitanes D. Gaspár Egidio de rá lo prevenido en el art. 2.0” Se aprobó. Aragón, D. Agustín Muñoz y D. Bartolomé Caballero: tenientes Don Se leyeron y aprobaron los arts. 7.0 y 8.°, que son como sigue-- Francisco Guerrero, D. Pascual Climent, D. Juan Sta. María y Don 7. » Se exceptúan…</t>
  </si>
  <si>
    <t>Eguia, Claudio Santos de</t>
  </si>
  <si>
    <t>Claudio Santos de Eguia</t>
  </si>
  <si>
    <t>…tro hospodar á la Moldavia. da, quedando bajo la vigilancia de la justicia. Se absuelve a D. vlanuel » Al mismo tiempo encargó el divan á los labradores de los distri de Landaida, D. Claudio Santos de Eguia, Josef de Uriarte y D. Ma tos de la Moldavia, en donde se hallan soldados del príncipe Ipsilanti, nuel Cayetano de Abasólo,.y se declara que la prisión que han sufrido que los persiguiesen en el caso que se hallasen todavía en su territo no debe ofender á su…</t>
  </si>
  <si>
    <t>Eguizabal, Josef Matías</t>
  </si>
  <si>
    <t>Josef Matías Eguizabal</t>
  </si>
  <si>
    <t>…ectificaciones de límites de las provincias se pasen directamente á En la de la Mancha: para el juzgado de Almódovar del Campo i la comisión , como se ha hecho con otros asuntas.” D. Josef Matías Eguizabal. Después de un breve debate no se admitió á discusión. En la de Granada: para la judicatura de Torbiscon á D. Francisco El Sr. presidente nombró para la comisión de Hacienda al Sr. conde Gómez Jalón. de Toreno. En la de Vizcaya: para el partido de Guernics á…</t>
  </si>
  <si>
    <t>Ei</t>
  </si>
  <si>
    <t>…do entre los go rador, se despachó-ayer un correo extraordinario á Petersburgo, el cual biernos de Wün^'y de Minsk!. lleva pliegos de la mayor importancia para nuestro ministro el barón Ei general Wlodeck, ayudante general de S. M., y general de ca de Lebzelteru. No se duda que sean relativos á los.asuntos de Turquía ballería del cuerpo de Lithuania, se halla con sus tropas en Nieseviez y á la marcha de las tropas rusas hacia el territorio otom…</t>
  </si>
  <si>
    <t>EÍellenghi, Aíbertino</t>
  </si>
  <si>
    <t>Aíbertino EÍellenghi</t>
  </si>
  <si>
    <t>…ortó la cabeza, y de algunos otros sugetos, y La misma academia se reunió el jueves 7 de Junio, y el R. P. abad también por lo respectivo á la falta de cumplimiento de muchos artí D. Aíbertino EÍellenghi, vicario general de los monges catnaldulenses, culos de los tratados posteriores entre la Rusia y la Puerta, en los últi censor de la academia , trató el tema siguiente : La separación y combi mos dias del mes de Junio pasó Mr. de Strogonoff al Reis-EfFendi v…</t>
  </si>
  <si>
    <t>Eiio</t>
  </si>
  <si>
    <t>…Sanz. ce saber que se ha prohibido á los periodistas de Madrid hablar de los Memoria sobre las aguas medicinales de los hervideros de Fuensan asuntos del cura Merino; dice que al general Eiio se le juzga por una ta : por D. Josef Torres, capitán de infantería, y médico director de los ley de 1821, pues no habia ley alguna preexistente; hace huir de Ma baños de dichos hervideros. Se hallará en ia librería de Tieso, y en el drid al Rey de España; ab…</t>
  </si>
  <si>
    <t>Eilenborough</t>
  </si>
  <si>
    <t>…persistirían esperando auxilios de Inglaterra; y que de este modo el re mirado de Ja proposición seria dar falsas esperanzas, que no tendrían ITALIA. ningun efecto positivo. r. 1 lord Eilenborough apoyó la proposición; persuadido á que si Tarín 6 de Marzo. se examinaba este asunto en todas sus partes, es! remecer ia el peligro á que estaban, expuestas , no solo el Austria , sino también la Inglater Las noticias mas positivas que tenemos aqui de Itaíia…</t>
  </si>
  <si>
    <t>Einard, J. G.</t>
  </si>
  <si>
    <t>J. G. Einard</t>
  </si>
  <si>
    <t>…elona. para exponer sus quejas á la autoridad suprema, que debe protegerlos y D. Joaquin Gutiérrez Vial, de D. Andrés Gautier, de Barcelona. defenderlos de todo agravio. Bilbao. . D. J. G. Einard , de Ginebra. Si en la libertad de imprenta vemos abusos escandalosos, también Los interesados en dicho empréstito acudirán desde el 19 del cor por desgracia para la buena causa los vemos irse introduciendo en el tiente á la cantaduría del mismo, sita en la c…</t>
  </si>
  <si>
    <t>Einbite, Manuel Andrés y</t>
  </si>
  <si>
    <t>Manuel Andrés y Einbite</t>
  </si>
  <si>
    <t>…extinguid'-' reos los magistrados de aquella audiencia territorial D. Fernando Car- monasterio de Ntra. Sra. de Mejorada, orden de S. Gerónimo, anun V¡a , D. Joaquín Lorenzo Mozo, D. Manuel Andrés y Einbite, Don ciadas en el suplemento de i.° del presente mes de Setiembre, bajo la Manuel Martin Berna!, D. Salvador Fernandez Torres, D. Antonio relación número 284 , debe verificarse en ia villa de Olmedo. EN LA IMPRENTA. NACIONAL.</t>
  </si>
  <si>
    <t>EÍuñez, Hipólito</t>
  </si>
  <si>
    <t>Hipólito EÍuñez</t>
  </si>
  <si>
    <t>…spendió la lectura de la memoria;.para,.idar cuenta deL .expeinfracciones de Constitución cometidas por aquel, por haberle puesto diente que estaba señalado para .hoy, en el ,cual.D. Hipólito EÍuñez preso sin causa ni motivo , no haberle tomado declaración en el térmi Montesinos , alcalde primero constitucional, dé,.la villa de Helím , se no dé 24 horas , ni dado libertad bajo caución. quejaba del Gefe político de Murcia D. Tomas O-Donojú, por ha A la co…</t>
  </si>
  <si>
    <t>Eizaguirre, Agustín</t>
  </si>
  <si>
    <t>Agustín Eizaguirre</t>
  </si>
  <si>
    <t>…nazando la iglesia parroquial de Azpilcueta, donde se celebro una misa solemne seriamente dar fuego al pueblo por ios cuatro costados. Se han tomado con Te Deum, y el cura párroco D. Agustín Eizaguirre hizo ¡i los mi al punto las medidas necesarias para descubrir esta trama , y asegurar licianos en lengua vascongada una plática llena de unción y de ideas la tranquilidad pública. muy propias á mantener su entusiasmo. Concluida, la función, y for FRANCIA. mad…</t>
  </si>
  <si>
    <t>Eizaguirre, N.</t>
  </si>
  <si>
    <t>N. Eizaguirre</t>
  </si>
  <si>
    <t>…mites en las-causas criminales. Estrada: para las tres plazas correspondientes á naturales de Ultramar á : Las Cortes oyeron ion agrado, y mandaron sé hiciese mención en los Sres. D. N. Eizaguirre, D. Francisco Montalvo , y conde de San ' la gaceta de una exposición dé los sargentos de la milicia provin Javier; y para la plaza vacante por muerte del Sr. marques de Villacial de Segcsvia, manifestando su agradecimiento por los’ favores que franca al Sr.…</t>
  </si>
  <si>
    <t>Ekano, Ignacio Jacobo y</t>
  </si>
  <si>
    <t>Ignacio Jacobo y Ekano</t>
  </si>
  <si>
    <t>…ulación aseguraba habér quemado los tiircos aquella D. Ignacio Perez Sarrio. Marquesa viuda de Villafranca, ciudad, y asesinado á todos los griegos; no permitieron álos'francos re D. Ignacio Jacobo y Ekano. por sí y sus hijos. fugiarse á bordo de los buques, ni á dicha fragata entrar en el puerto D- Ignacio Uranga. D. Aíateo de la Quintana. á recibir pliegos del cónsul francés D. Juan Bolado. D. Matilde Vincenti de Castro. La Rusia, Austria y Prusia parecen irs…</t>
  </si>
  <si>
    <t>Eldon</t>
  </si>
  <si>
    <t>…l mediodía, y desde dición que deberían continuar en-él el cqnde.de Liverpool, el oriente al ocaso , ha reconocido ia Constitución cíel Esta el duque de' Wellíngton y el canciller lord Eldon. Añaden do; y la república cuenta con sus ciudadanos como con las mismas cartas que el marques no ha creído conveniente unos hombres consagrados á defender su independencia. aceptar la propuesta que se 1¿ hacia. «N. &gt; os traeré ,á la memoria los males que hab…</t>
  </si>
  <si>
    <t>…á muy larga-, dichos sugetos son los siguientes: S. A. R. el duque pas sí van acercando sucesivamente á las fronteras meridionales; y que de Yorcfc, el arzobispo de Cantorbery, el lord Eldon, el lord Harrowla parte septentrional de este vasto imperio se halla ademas indefensa, by, el conde de Westmorelanü, el duque de Montrose, él deWepues qué ya no existen alli los regimientos que antes la guarnecían. Aña llington, el marques de Winchester, el d…</t>
  </si>
  <si>
    <t>Elejaburu, Lilis</t>
  </si>
  <si>
    <t>Lilis Elejaburu</t>
  </si>
  <si>
    <t>…s tiranos, sí la Guarnía al teniente D. Genaro Sanz, subteniente retirado. La tenencia portentosa fertilidad de su suelo no les hubiera suministrado los medios: de Rey de Mahon al coronel D. Lilis Elejaburu, sargento mayor de la Sus vaivodas ó príncipes , como acostumbran todavía á llamarlos, plaza de Cartagena; la de Peñíscola al teniente’coronel D. Manuel Mu eran griegos, que compraban sus empleos por dinero. La Puerta recibía ñoz Cevallos, capitán del regimie…</t>
  </si>
  <si>
    <t>Elejaveitia, Juan Josef Moro de</t>
  </si>
  <si>
    <t>Juan Josef Moro de Elejaveitia</t>
  </si>
  <si>
    <t>…antropía ei buscar un atajo para huir de ¡os Milla Fernandez : para el de Toro á D. Diego Antonio González: caminos públicos , y librarse de salteadores. para el de Fuente-Sauco á D. Juan Josef Moro de Elejaveitia : para el Es bien cierto que no está en manos de los hombres sustraerse al de Fermosellc á D. Francisco María Ortiz: para el de Carvajales á torrente del espíritu general, ei cual arrastra á los mismos hombres pa D. Alejandro Cilleruelo : para el de Viilalpan…</t>
  </si>
  <si>
    <t>Elexpuru, Francisco Javier de</t>
  </si>
  <si>
    <t>Francisco Javier de Elexpuru</t>
  </si>
  <si>
    <t>…, y que tienen interes Provincia de Vizcaya. Para el de Bilbao á D. Juan Orduña y An en que continúen ; y he aquí precisamente los que un Gobierno vigi gel : para el de Durango á D. Francisco Javier de Elexpuru: para el de lante debe separar de los cargos públicos , si quiere consolidar su obra; Guernica á D. Manuel Aizpuru: para el de Sopuerta á D. Mariano la cual valdría mas no haberla principiado, que permitir sufra retroce Ambrosio Morales. so. ¡Y á quién deberi…</t>
  </si>
  <si>
    <t>Elfo</t>
  </si>
  <si>
    <t>…tados.... ¡qué vasto campo para el cal terior conducta con clérigos constitucionales de su diócesi, culador reflexivo, justo é imparcíal! ¡qué inmenso cúmulo ■ atropellados por el general Elfo. Errores políticos de la repre-: de beneficios, sobre que generalmente no se piensa! Los bie sentacion en este punto. Explicación católica dé los concilios y, constituciones pontificias que en ellas se alegan. Máximas de sunes negativos no están comunmente en…</t>
  </si>
  <si>
    <t>Elguizabal, Anselmo</t>
  </si>
  <si>
    <t>Anselmo Elguizabal</t>
  </si>
  <si>
    <t>…irre, de NOTICIAS DE ESPAÑA. D. Andrés García del Hoyo, de Bilbao. Bilbao. D. Josef Ruet y la Torre, id. Sevilla 4 de Agosto. D. Angel Martínez, id. D. Josef Perez Marañon, de San D. Anselmo Elguizabal, id. tander. (Continua el artículo de ayer.) D. Antonio Coma, de Cádiz. D. Josef García Carrasco, de CáA los .que se presenten leyendo bien en prosa, sabiendo doctrina Bayo é hijo , de Bdbao. ceres. cristiana y con conocimiento de los principios de escritura…</t>
  </si>
  <si>
    <t>Elias, Clemente Fernandez de</t>
  </si>
  <si>
    <t>Clemente Fernandez de Elias</t>
  </si>
  <si>
    <t>…f Vicente Durana, de Cá cará una colección de poesías de la sociedad , encuadernada á la inglesa. jo , id. diz. Se adjudicará un premio de 60 rs. vn. al alumno de esta escuela que D. Clemente Fernandez de Elias, D. Juan Nepomuceno Escurdia, de sobresalga en conocimientos del catecismo político. de Cádiz. la Coruña. Se adjudicarán seis premios de 60 rs. vn. cada uno en la forma D. Diego Mac-Mahon, de Bilbao. T&gt;. Juan Francisco Barrie, id. siguiente : D. Dionisio Anto…</t>
  </si>
  <si>
    <t>Elias, Josef</t>
  </si>
  <si>
    <t>Josef Elias</t>
  </si>
  <si>
    <t>…• — Han sido nombrados electores de partido en esta ciudad D. Narc:s« Sans y Rius, ex-alcaide const'tucional de Barcelona; D. Ramón Lisboa zS di Octubre. Salvato,, id. de Tortosa; D. Josef Elias., abogado; D: Francisco Serra Sesión del 26. y Fra'nch, del comercio, y D. Agustín Yañez, catedrático de Farmacia. Se empezó la discusión del proyecto de Constitución por la adición ^ Valencia 8 de Noviembre. que liizo al urt. 82 el Sr. Guerreiro, la cual dec…</t>
  </si>
  <si>
    <t>…e 30 de Mayo último y el art- 46 de ¡a ley Barcelona D. Narciso Sanz v de Rius. D. Ramón Saivato, abo orgánica del egército. Ei Sr. presidente dijo que quedaba sobre la mesa gado. D. Josef Elias, abogado. D. Francisco Serra y Franch. D. Agustín este expediente para la instrucción de ios Sres. diputados. Yañez. Igualada D. Josef Pascual, hacendado de Esparraguera. Maurera Entro i jurar y tomó asiento -n el Congreso ei Sr. la Bodega. D. Rimon Busar.ya,…</t>
  </si>
  <si>
    <t>…ales. * Bartolomé de Amat, coronel de ingenieros ; D. Bernardo de Borjas y 7.’ Las planas mayores de los cuerpos se establecerán en los pue Tarrins, director del Crédito público ; D. Josef Elias , promotor fiscal; blos que á cada uno señala el estado, debiendo considerarse esta medida p. Mateo Esta ni, hacendado. como provisional hasta que el Gobierno adquiera ¡os conocimientos Por Galicia. Ademas de los que se pusieron en la gaceta del g los necesar…</t>
  </si>
  <si>
    <t>Elias, Pedro</t>
  </si>
  <si>
    <t>Pedro Elias</t>
  </si>
  <si>
    <t>…efecto en tiempo de paz. En D. Jenas Hayerman, de Bilbao. D. Miguel Zabaleta. tiempo de guerra interior ó exterior, después que las Cortes hubieren D. Josef Sigler Bustamante, de D. Pedro Elias. declarado por los votos de dos terceras partes de sus diputados estar ¡a ValladoLd. D. Pedro Ricardo. patria en peligro, podrán suspender la egecucion de aquellos artículos de D. Josef Manuel de Aniz. Sres. Sánchez y Lozano. la Constitución relativos á la di…</t>
  </si>
  <si>
    <t>Elío</t>
  </si>
  <si>
    <t>…', el juramento juez de primera instancia de-Valencia, manifestando que en la causa debía-entenderse solamente con respecto al reconocimiento de un po que está siguiendo contra el-general Elío, resultaba que era uno de-loa der, jurisdicción, preeminencia 6 autoridad que sea ó pueda ser incom .que aconsejaron mal á S. M. para que aboliese la Constitución , y publica patible con los deberes civiles, y la adhesión debida á S. M. y sus su se el decreto…</t>
  </si>
  <si>
    <t>Ellemborough</t>
  </si>
  <si>
    <t>198</t>
  </si>
  <si>
    <t>…ol repitió en pocas palabras su á Dios. Esta es la suerte de todos los tiranos; y si se con anterior contestación. sulta la historia, se hallará que la suspicacia y el continuo El lord Ellemborough preguntó al lord Holland en qué sobresalto han sido tan comunes en ellos como en el opre términos consideraba que se podía hacer la citada represen sor de Haiti. tación ; pues por lo que hacia á S. S. consideraba que el úni -—El estado que se ha publicado del…</t>
  </si>
  <si>
    <t>goB sentasen á la Cámara copias ó extractos de las notas que se han pasado El lord Ellemborough impugnó la propuesta', y el conde de Grey mutuamente la Gran Bretaña y las potencias extrangeras respecto de le contestó con un largo razonamiento , diciendo entre otras cosas que la revolución de Nápoles. El noble lord pronunció en apoyo de su pro tenia por…</t>
  </si>
  <si>
    <t>Ellen-</t>
  </si>
  <si>
    <t>…ores en su sesión del martes se dedicó á discutir nes se había dado permiso anteriormente para alistarse én ios ejércitos ios asuntos de Ñipóles. Al principio de la sesión tomó el lord Ellen- extrangeros, y por consiguiente deberán retirarse á su pais. borough la palabra para proponer que r.e presentase al Rey una respe .— La Reina ha escrito al conde de Liverpool, haciéndole saber su in tuosa exposición, suplicándole que S. M. ofreciese su mediac…</t>
  </si>
  <si>
    <t>Ellenborough</t>
  </si>
  <si>
    <t>…sus desavenencias de un modo amistoso y conforme á los derechos res la Reina, y los agentes de S. M. tomaron posesión. S. AI. habitará lue pectivos y al honor de ambas partes. El lord Ellenborough habló poca go este palacio. mas ó menos de esta manera. •— La propuesta de Mr. Wertarn pira que se le permitiera presentar » Cuando el marques de Lansdown hizo poco tiempo há una pro ún bill, Con el objeto de que se suprima el derecho alicional que se puesta…</t>
  </si>
  <si>
    <t>Ello, Francisco Javier</t>
  </si>
  <si>
    <t>Francisco Javier Ello</t>
  </si>
  <si>
    <t>…as, y que se van al egército contrario. No hubo lugar á votar sobre una exposición de Doña Lorenza N., Por egemplo, los armetalis del cuerpo de Odisea y los 800 zqgo- consorte del general D. Francisco Javier Ello, en la que se quejaba de ries que Alejo Noutza separó de la causa del Gran Señor , reunidos con varias infracciones de Constitución cometidas en la causa seguida á su los valientes suliotas reconciliados con Alí-Tebalen , bajá que fue de marido en la ciudad d…</t>
  </si>
  <si>
    <t>Eltre, Josef</t>
  </si>
  <si>
    <t>Josef Eltre</t>
  </si>
  <si>
    <t>;1D. Josef Eltre, del comercio de Mahon, procedentes de suminis Por otra partí estos caudillos han tratado de hacer feliz á la pa tros; y con urgencia una instancia del ayuntamiento de Almonacid, so tria, que estaba oprimida y próxima á su total ruina, y el género de bre que…</t>
  </si>
  <si>
    <t>Emilio</t>
  </si>
  <si>
    <t>…de los griegos. En Bonn ya habia mas de 200 estudiantes de un escrito titulado » El bendito sea Dios de palacio” , entre cuyas dispuestos para marchar á la Grecia por Marsella. El príncipe Emilio estrofas la última principia ¡sabe vmd. amiguito, y concluye ¡y es el de Hesse-Darmstadt ha escrito á Aschafenburgo, comunicando que si tesorero del Rey i ¡ qué bribón!, en el que recayó haber lugar á la for los jóvenes que quieren ir á Grecia desearen tener…</t>
  </si>
  <si>
    <t>Empecinado</t>
  </si>
  <si>
    <t>…una cosa muy extraña. tomado todas las medidas que han estado en su mano, habiendo llega El Gobierno pasado debió ya haber tomado una providencia coa do el caso de pedir el mismo general Empecinado que se quitaran algu los obispos de Búrgos y Osma por los perjuicios que estaban causando, nas tropas de las que allí se habian enviado, á io cual no se habia con y esto mismo debían haber hecho los secretarios actuales. Si el espíritu descendido. se ha de cu…</t>
  </si>
  <si>
    <t>…ue salió á cubrir su retaguar no exceda de 8o9 rs.” Aprobado. dia;}’ finalmente decía que con esta misma fecha daba parte igual Se suprimieron los artículos.siguientes: , mente al general Empecinado de este encuentro. Art. 130. ,,Se procederá á esta división con la mayor igualdad posi Las Cortes quedaron enteradas. ble por el director de provincia y tesorero principal, sometiéndola á Se continuó la discusión del plan de Hacienda, y se aprobaron loj la.ap…</t>
  </si>
  <si>
    <t>Emperador</t>
  </si>
  <si>
    <t>…cuanto el ba mente en una posada de esta ciudad por tin teniente badés, rón de Lehzelrern , ministro plenipotenciario de S. M. el el cual fue inmediatamente arrestado de orden del general Emperador, desde los-primeros dias de su llegada a Roma comandante , que trata de formarie causa , porque el emplea lottró ajustar un convenio con el Gobierno de la Santa da suizo no había dado motivo á la mas leve queja. Sede , por el cual concede este el paso á nuest…</t>
  </si>
  <si>
    <t>Encina, Juan Tomas</t>
  </si>
  <si>
    <t>Juan Tomas Encina</t>
  </si>
  <si>
    <t>…Usada la primera en á D. Blas Josef de Manos: para la de Eclja á D. Bartolomé Vega y I3®&gt;3-14 rs- &gt; y subastada en 68o3, y la segunda en 88,992 , y rema Agudo: para la de Estepa á D. Juan Tomas Encina: para la de Fre- tada en 560,500, rebajados 4$ rs. que tienen de carga cada una de genal á D. Martin Al varezSotomayor: p3ra la deMarchena i D. Manuel farol y sereno , á.pagar en créditos contra el Estado, y con sujeción al Moraño: para la de Moran í D. LuisO…</t>
  </si>
  <si>
    <t>Encina, Manuel</t>
  </si>
  <si>
    <t>Manuel Encina</t>
  </si>
  <si>
    <t>…a sostenerse contra la opinión de un cuerpo el de la de Ultramar á D. Antonio de;Gilleman5 él de la de-Gracia y legislativo tan claramente manifestada? Justicia al gefe de sección D. Manuel Encina, y él de la de Hacienda Por otra pártelos que han aconsejado al Rey ;á qué le han ex al oficial mayor D. Luis Sorela. ■ puesto? A que siigamos nosotros que las'personas que merecen la con Concluida la lectura dijó el Sr. presidente- que por la del artículo fi…</t>
  </si>
  <si>
    <t>…personal contribuyan, con de Anduaga para la secretaría de Estado; D. Ignacio Balanzat para la los cinco reales mensuales que prescribe eL art. 73; y que se amplíe eL de Guerra, y D. Manuel Encina para la de Gracia y Justicia. art. 78, pudiendo disponer de los fondos para la compra de armas por Se pasó á la comisión de Hacienda un expediente remitido por el la primera vez. Admitidas á discusión, se mandaron pasar á la comi Sr. secretario del Despacho d…</t>
  </si>
  <si>
    <t>…Scenery.) según los dibujos del ma cule. = Esiá rubricado de.la Real mano.— Palacio á 11 de Marzo de yor Cokburn, de La artillería real. La primera entrega se compone de 1821. = A D. Manuel Encina. las vistas: i.° De Ginebra: 2.' De S. Martin y de Monte-Blanco: 3.* Del lugar de Servos: 4.°-Del lugar de.Ghamuny5.' De una vista de Continuación de la lista núm. 3(1 de las Jincas que se están subastando ventisqueros, tomada de .la. montana Verde: :. • - de…</t>
  </si>
  <si>
    <t>Enciso, Joaqorn Luis</t>
  </si>
  <si>
    <t>Joaqorn Luis Enciso</t>
  </si>
  <si>
    <t>…á intervenir én los negocios de aquel imperio. No dudando Muría Luciano Bicerra, cura de Tecali. deest: hecho, ahíje, que no puede asegurar el modo cómo ¿e hará se Suplentes. Lie. D. Joaqorn Luis Enciso; Lie. D. Josef Castillo mejante intervención; y fundándose en meros rumores dice que los d yS Rósete. Emperadores ex¡g&gt;r,n de ja Puerta una reparación de cuantu ha hecho, Diputados por la provincia de Nueva-Galieia. y cierta seguridad de que en adelante no se…</t>
  </si>
  <si>
    <t>Enderica, Apolinar</t>
  </si>
  <si>
    <t>Apolinar Enderica</t>
  </si>
  <si>
    <t>…veiga de Cancela, en venta gún el orden de la numeración, de D. Manuel Ortizde Taranco á Don. 625 rs., y en renta 2 ferrados y medio de trigo__ Otras 2 heredades, Lázaro Sanz: de D. Apolinar Enderica á D. Simón María Rebolledo: que hacen 5 ferrados y 26 cuartillos de labor y prado, las que lleva en de D. Antonio Brusi á Dofi3 Eulalia Brusi, en Barcelona : del Dón' arriendo Benito García, y radican en las veigas de Amieiro y Figuei- Martin de Ocio á D. Ang…</t>
  </si>
  <si>
    <t>Enfrch</t>
  </si>
  <si>
    <t>…reunirse ; pero se han • Carsolt; atacó las alturas, y cogió un cañón. Tres bata! ion es del rcri- dispersado por las montanas. miento de cazadores núin. 11, a! mando del teniente coronel Enfrch, fuer •" En"ésré‘egériito se -halIaban los cuerpos de voluntarios de Avelltno, : ron destacados desde Rieti por Colle-Alto sobreCapra-d’Ossoy Cirsoii, ‘qué'suscitafon la' iñsirrreceida del mes-de Julios pero no hemos podido - con la mira dé proteger el movimi…</t>
  </si>
  <si>
    <t>Enguídanos, Juan Manuel</t>
  </si>
  <si>
    <t>Juan Manuel Enguídanos</t>
  </si>
  <si>
    <t>…campaña, fiados en el entusiasmo nacional, Por Avila. D. Leandro Ladrón de Guevara; .D. Josef Cano. Su que por todos los medios posibles procuran estimular; de manera que plente. D. Juan Manuel Enguídanos. si se rompe la guerra no podrá menos de ser cruel y sangrienta. Los principados de Moldavia y Valaquia continúan contra el tenor Extracto de ¡as noticias de los periódicos extranjeros. de los tratados con Rusia llenos de tropas turcas. Las disposiciones to L…</t>
  </si>
  <si>
    <t>Enguídanos, T. López</t>
  </si>
  <si>
    <t>T. López Enguídanos</t>
  </si>
  <si>
    <t>…el exterior é interior del Real monasterio d« S. Lorenzo del Escorial, dibujadas por D. Josef Gómez Navia,Ocrubre anuncian haber causado allí dicha noticia bastante y grabadas por D. T. López Enguídanos y D. M. Alegre: daagitación y alguna confusión: que se propagaban rumores estas seis son de 12 pulg. y 8 lín. de alto , y 19 y 2 de ancho:acerca de la venida del Príncipe Real á Portugal; pero que cuatro de 19 y 3 de alto , y 12 y 9 de ancho, y dos de 15 y 6luego se habia d…</t>
  </si>
  <si>
    <t>Enrique</t>
  </si>
  <si>
    <t>…proponia á la de Turin. que to marquesados de los mejores y mas pingües de la Nación habia sido da maría á sueldo xpiamonteses para las guarniciones délos estados he do por el Rey D. Enrique al año siguiente de haber muerto á su her reditarios del Austria, y que los reemplazaría con otros ig0 austríacos, mano D. Pedro, en cuyo tiempo no se mataban moros, porque hacia destinados a guarnecer tres fortalezas del Piamonte; pero que no habia 20 años q…</t>
  </si>
  <si>
    <t>Entillac, Berna'rdino</t>
  </si>
  <si>
    <t>Berna'rdino Entillac</t>
  </si>
  <si>
    <t>…..... 0...... ...... 2.............. I.... ....... 2..... Parroquia de S. Luis , i,j electores. Dia 20............. ...... 2:..... ....... O.............. .. I...» ....... 3...... D. Berna'rdino Entillac, D. Domingo Fernandez Angulo, D. Fran cisco Orea, D. Josef Larreategui, D. Josef Perez Morales, D. Josef 7■ 5- 3- 34- Pío de Molina, D. Manuel García del Barrio, D. Marcos Cubilio, D. Mariano Valero, D. Nicolás de Puga, D. Pedro Matute, D. Ra Hay ademas cuatr…</t>
  </si>
  <si>
    <t>Entre</t>
  </si>
  <si>
    <t>…cuando lleguen Mazo; el Sr. coronel D. Pedro Acevedo, diputado por Querétaro; el las noticias directas de Ñapóles. Sr. D'r. D. Josef Angel Gazano, diputado por México; el Sr. Lie. Don Entre tanto por el artículo de Paris arriba expresado se ve que la Josef María Daza, diputado por Tiaxcala; el Sr. D. Juan Bautista Loa derecha .de.los austríacos ha sido batida completamente ; y que el ge bo , suplente por Oajaca ; el Sr. D. Francisco- Pablo- Vázq…</t>
  </si>
  <si>
    <t>Entró</t>
  </si>
  <si>
    <t>…nsarle de esta fal dían menos de convenir las fricciones mercuriales con el ácido nítri ta; lo que se le concedió. co. E11 efecto, fue de la misma opinión su apasionado el célebre barón Entró á jurar otro Sr. diputado', 7 acto continuo se hizo la tercera de Humboldt, que viajaba también á ¡a sazón por aquellos paises Con su lectura del proyecto de decreto de división del territorio. Concluida compañera Mr. Bomplund ; y habiendo puesto en práctica…</t>
  </si>
  <si>
    <t>Entsch</t>
  </si>
  <si>
    <t>…conscripciones, no. El enemigo las abandonó, y nuestra vanguardia ha entrado hoy en los impuestos, las miserias de toda especie, la aniquilación de vuestro S. Germano. El tenienre coronel Entsch, al frente de su columna, estado político son cosas ciertas y verdaderas. En tal estado de envi después de haber forzado y tomado á Sora, que estaba ocupada por 28 lecimiento no podéis tener representación alguna, ni estar en paz, ni hombres, y de haber cogid…</t>
  </si>
  <si>
    <t>Éraamcamp</t>
  </si>
  <si>
    <t>…e se suspendiese Nuestra resolución está tomada ya: perpetuamente constitucionales provisionalmente su egecucion. marchemos todos de mancomún, cooperemos lodos para promover ¡a Ei Sr. Éraamcamp dijo que este asunto se discutiría con mas acier felicidad pública de una nación, que tantos y tan infructuosos sacrificios to y detención cuando la comisión de Constitución presentase el decre tiene hechos para lograrla; de una nación tan dócil, que varía so…</t>
  </si>
  <si>
    <t>Eraso, Josef Joaquín de</t>
  </si>
  <si>
    <t>Josef Joaquín de Eraso</t>
  </si>
  <si>
    <t>…para la de Villena á D. Pablo Blanco Caballero : para la de Totana á Ja sublevación de los servios y búlgaros contra el Sultán; se afirmaba D. Francisco Rivas: para la de Lorca á D. Josef Joaquín de Eraso: ya la entera decisión de Teodoro , por haberse negado el divan á las para la de Segura de la Sierra á D. Josef Jorge del Molino; y para la propuestas que le remitió el Gobierno provisional de Valaquia: hallá de Caravaca á D. Bernardo Josef de Hervás. base di…</t>
  </si>
  <si>
    <t>Ercilla, Alonso de</t>
  </si>
  <si>
    <t>Alonso de Ercilla</t>
  </si>
  <si>
    <t>…nes , la mecánica aplicada, y las nociones fundamen- Ferreras---- 3.-“ cuaderno. Hernán Cortés , Garcilaso de la Vega, tsics de tísica, química y mineralogía., con la arquitectura D. Alonso de Ercilla, D. Pedro Calderón d‘ la Barca; Aligueí civil y el dibujo; y por último, la topografía y geodesia y de Cervantes Saavedra y D. Joseí Patino.continuará') SUPLEMENTO</t>
  </si>
  <si>
    <t>Erezuma, Manuel de</t>
  </si>
  <si>
    <t>Manuel de Erezuma</t>
  </si>
  <si>
    <t>…angeros', que tolo alcanzan á un nú D. Angel Martínez. D. Manuel Victoriano Cáscales. mero trias de los que ya habián llegado .por extraordinario: las noticias í&gt;. Antonio Albani. D. Manuel de Erezuma. de Alemania llegan hasta el 16; las de'Lóiiílfés hasta el 17, y las de D. Blas Lamota. D. .Manuel Luciano de la Torre. Páris hasta el 22................... ” D. Bernardo Bonáv'a. D Manuel Villano. La atención de la Europa está fija; sobre la Turquía, y no si…</t>
  </si>
  <si>
    <t>Es, Josef</t>
  </si>
  <si>
    <t>Josef Es</t>
  </si>
  <si>
    <t>…a quema de hombres en el brasero fue cia de visita: siga. ra de la puerta de Fuencarral desde las cinco de la tarde hasta las diez Fr. Martin Estaper, religioso servíla, por dicho juez D. Josef Es de 'a mañana siguiente, y para cuya solemnidad no se perdonó gasto teve y Morato. Preso en 5 de Noviembre de 1820 por haber predicado ni diligencia, pues se alzó un suntuoso teatro en la Plaza mayor, 7 ■ un sermón subversivo en la iglesia parroquial de S. Jai…</t>
  </si>
  <si>
    <t>Es, Olivert</t>
  </si>
  <si>
    <t>Olivert Es</t>
  </si>
  <si>
    <t>…la comisión, habiendo meditado anoche sobre lo que ha cual produciría daños, que las Cortes debían evitar. bía dicho ei Sr. Cuesta en la sesión de ayer, tuvo por conveniente ha El Sr. Olivert Es menester aclarar una expresión que ha dicho el cer en el artículo la variación que se lia leído; y asi ahora dice que Sr. preopinante. La primera solicitud y la primera representación que el Gobierno formará un reglamento para los depósitos , el cual deberá t…</t>
  </si>
  <si>
    <t>Es, Ramón Luis</t>
  </si>
  <si>
    <t>Ramón Luis Es</t>
  </si>
  <si>
    <t>…situación del pueblo de Sevilla, no obstante la idea que se meras autoridades de Sevilla eran responsables de la falta de cumpli presenta ya por las mismas observaciones que hace D. Ramón Luis Es miento de las órdenes expedidas por el GcJnírno , no siendo contra covedo: ia comisión cree poder decir que aquel pueblo, que era distin rias á la Constitución ni á las leyes; y que sobre este supuesto solo po _ efectiva la responsabilidad del gefe político y…</t>
  </si>
  <si>
    <t>Es-</t>
  </si>
  <si>
    <t>…el Rey de Inglaterra vendrá á Viena desde sus estados nas del Archipiélago se hallan en fermentación. Tratados solemnes y de Hannóver. Se le espera para el dia 28 de Setiembre. El príncipe Es- reciprocamente ventajosos unen el imperio otomano con las potencias therazy ,al mismo tiempo que ha participado esta noticia, ha dado tam europeas de primer orden. E¡ estado actual d. cosas es evidentemente bién órdenes para que en sus tierras de Eissenstadt…</t>
  </si>
  <si>
    <t>Esain, Victoriano</t>
  </si>
  <si>
    <t>Victoriano Esain</t>
  </si>
  <si>
    <t>…de diezmos un Couder, en Plasencia D. Modesto Galban , en Patencia D. Isidro Gó 3 por too de rédito anual sobre el cap.tal líquido que arrojen las liqui mez Catnaleño, en Pamplona D. Victoriano Esain, en Salamanca daciones de que se tratará, ínterin no se les indemnice con fincas equi el Dr. D. Toribio Nuñez Sesé, én Santander D. Josef María Hoz, en valentes; pero para egecutar el citado pago obtendrán antes orden ex Santiago D................ Barros, en…</t>
  </si>
  <si>
    <t>Esca, Antonio</t>
  </si>
  <si>
    <t>Antonio Esca</t>
  </si>
  <si>
    <t>…Idem en la vega de la Redonda de Solabio , un prado de que á título de bien público y de urgencias del Estado, os exijan con 6 carros y tres cuartos de tierra, linda con prado de D. Antonio Esca tribuciones y tributos de todas denominaciones para pagar nuestras en lante y Josef López Carriedo__ Idem en dicha vega de la Redonda, comiendas y pensiones, nuestras rentas y sueldos de generales dé para un prado suelo de tres carros de tierra, linda con pra…</t>
  </si>
  <si>
    <t>Escalera, Ines</t>
  </si>
  <si>
    <t>Ines Escalera</t>
  </si>
  <si>
    <t>….” obscuridad é intemperie, logró por fin descubrirlos antes de amanecer En la sesión del ¿o resolvió el Parlamento en sesión secreta que encerrados en la hacienda conocida por de Doña Ines Escalera, y aun la protesta no se firmara por diputado alguno; sino que, como en las que trataron de su defensa, apagando las luces y disparando tiros que demas resoluciones del Parlamento, bastaba que estuviese estampada en pasaron muy cerca del alcalde, consiguió la…</t>
  </si>
  <si>
    <t>Escalera, Saturio Ceballos</t>
  </si>
  <si>
    <t>Saturio Ceballos Escalera</t>
  </si>
  <si>
    <t>…resi e'n Mánsiüa de las Muías el de agustinos calzados, y en Villalon el de dente que dice ser en esta corte. S. Francisco de Paula y el de dominicos, todos cuatro en la provincia Don Saturio Ceballos Escalera, natural de la villa del Burgo, y de Valladolid; habiendo procedido el Gefe político de León á com soldado que fue del batallón Ligero de Barbastro. prenderlos en este arreglo en virtud de delegación del de Valladolid; Don Antonio Luis de Ascarate, cadete.que…</t>
  </si>
  <si>
    <t>Escanden, Francisco Javier Moreno y</t>
  </si>
  <si>
    <t>Francisco Javier Moreno y Escanden</t>
  </si>
  <si>
    <t>…juicio conve gente de la audiencia de Lima D. Francisco Tomas de Ansótegui , y niente sobre la crítica situación en que se hallan los negocios de Rusia del magistrado de Ja misma D. Francisco Javier Moreno y Escanden, y Turquía. ha venido en concederles los honores de ministros del supremo tribunal Los servios se han declarado ya en Peski á favor de la causa de los de Justicia griegos; y esta noticia hace mas probable la declaración de guerra, que se tiene por cierta, y a…</t>
  </si>
  <si>
    <t>Escandon, Diego</t>
  </si>
  <si>
    <t>Diego Escandon</t>
  </si>
  <si>
    <t>…emprender á Irlanda; y se tenian noticias de ñamo una materia igual al mejor lino; y finalmente dos á favor ds estarse preparando en Rio-Janeiro una expedición para traer á Europa D. Diego Escandon , por la invención de una máquina hidro-neumáal Infante D. Pedro, como virey de Portugal. rico-mecáníca para elevar el agua á grandes alturas, y por haber inven En París continúan las Cámaras en sus tareas-, la del tribunal délos tado unos remos de mayor impu…</t>
  </si>
  <si>
    <t>Escaño, Antonio</t>
  </si>
  <si>
    <t>Antonio Escaño</t>
  </si>
  <si>
    <t>…isco Martinez de la Rosa. Se hallan de venta en la Otra calle de Tintares, núm. 41 , en 13,298 rs. librería de Paz. Otra en la misma calle, núm. 42 , en 6848 rs. Ideas del Exento. Sr. D. Antonio Escaño sobre un plan de reforma Otra en la plaza de la Constitución, núm. 5 2, en 30,436 re. para la marina militar de España. Publícalas en honor de aquel ge Otra en la Cottanilla , núm. 30, en 27,486 rs. neral su ayudante que fue en el almirantazgo, y actual tenie…</t>
  </si>
  <si>
    <t>Escarate, Joaquín</t>
  </si>
  <si>
    <t>Joaquín Escarate</t>
  </si>
  <si>
    <t>…mnizado te sobre la ¡.admisión á grados .mayores en las universidades.. con anticipación en la forma que lo establecieren las leyes. ■ , A la Eclesiástica se pasó una solicitud de D. Joaquín Escarate, pi 8.° » La libre comunicación de los pensamientos es uno de los mas diendo se le dispense la ley cm que se prohíbe la posesión de mas de preciosos derechos del hombre. En su consecuencia puede todo ciuda un beneficio , pues con el que tiene no puede atender…</t>
  </si>
  <si>
    <t>Escario</t>
  </si>
  <si>
    <t>…l Gobierno sobre si Toro debia tener En seguida leyó el orador una representación que habia hecho al 1.2 regidores, ó debia tener 8 como cabeza de partido..El Gobierno Gobierno el Sr. Escario cuando era gefe político de Zamora, en la contestó que,Toro era Considerado como cabeza de provincia, y que que exponía las circunstancias particulares de la provincia, y asimismo debia tener tí individuos de ayuntamiento. Pues no se conformaron las del parti…</t>
  </si>
  <si>
    <t>Escario, Jacobo</t>
  </si>
  <si>
    <t>Jacobo Escario</t>
  </si>
  <si>
    <t>…alevosía, que se vituperan cisco Arnaiz y Bringas, D. Francisco López Olavarrieta , D. Ignacio en la generalidad de las gentes, parecen mas odiosos, mas indignos en María Aguirre, D. Jacobo Escario, D. Josef Fermín Gil, D. Josef el magistrado, el prelado, el sacerdote, el militar , el hacendado, que María Santiago, D. Josef Mariano Vallejo, D. Juan Angel Ortiz, por su educación, su carácter ó su rango en la sociedad debieran ser D. Juan Antonio Sánchez,…</t>
  </si>
  <si>
    <t>Escobe-, K-mon Luis de</t>
  </si>
  <si>
    <t>K-mon Luis de Escobe-</t>
  </si>
  <si>
    <t>…•be leyó un oficio de la diputación 'permanente'’de Corles, remitien disculpa , ni creo entre en Ja imaginación de nadie el disculparle. do los documentos siguientes; un oficio de D. K-mon Luis de Escobe- Las mismas palabra» d« que te valen en este documenta que te uoi</t>
  </si>
  <si>
    <t>Escofet, Ignacio de</t>
  </si>
  <si>
    <t>Ignacio de Escofet</t>
  </si>
  <si>
    <t>…Diputados en sus debates cu la que ha fijado el 16 de Agosto. ' . . . . : riosos á veces, y siempre capaces de dar motivo á serias reflexiones so Interesando saber el paradero de D. Ignacio de Escofet, oficial del bre la situación en que se va poniendo aquel reino, en el que parece primer batallón de voluntarios de Valencia, que se cree fue hecho pri que á muchas personas nada ha enseñado la experiencia, y que la terri sionero por los franceses en la ciuda…</t>
  </si>
  <si>
    <t>Escoin, Pedro</t>
  </si>
  <si>
    <t>Pedro Escoin</t>
  </si>
  <si>
    <t>…para el servicio de la artillería y zaNoviembre por medio de su comisionado al intento el canónigo ma pactares en la forma que demuestra el estado, ss considerarán siempre gistral D. Pedro Escoin en los términos siguientes: supernumerarios y como parte de sus respectivos batallones y compa » Señor: Al considerar, el cabildo eclesiástico de la ciudad da Játi- ñías; pero Jas asambleas deberán tenerlas en las capitales de ios departa va los desvelos y cu…</t>
  </si>
  <si>
    <t>Escolá, Juan Pagés y</t>
  </si>
  <si>
    <t>Juan Pagés y Escolá</t>
  </si>
  <si>
    <t>…y 8 mrs_ Paz á ifi rs----Nuevo método de curar el mal veñereo seguí; los descu Ofra en lá Ladera del Vejo j dé ¿ fanegas , en venta'300 xs., y en ren brimientos mas modernos , por D. Juan Pagés y Escolá , individuo del ta 9.—.Otra junto.3 las Viñas d.-,l Mónte , de uña fanega, 4 celemines colegio de médicos de.esta corte. Et método que el autor presenta ca f x cuartillos, en venta, i 1-2 rs. y 17 mrs., y en renta 6 rs. y 13 mrs. rece d? ios inconvenientes de…</t>
  </si>
  <si>
    <t>Escovedo, Ramón Luis de</t>
  </si>
  <si>
    <t>Ramón Luis de Escovedo</t>
  </si>
  <si>
    <t>…ación dirigida á las Cortes : fi la comisión opina que ha lugar á la formación de causa á D. Manuel nalmente por resultado de todo Ja mayoría de la comisión presentará de Velasco, D. Ramón Luis de Escovedo, y demás autoridades y susu opinión sobre el punto de responsabilidad, que es el que las Cortes getos que han firmado la representación. le lian cometido. El voto particular del Sr. Subrié estaba reducido á que solo las pri Sobre la situación del pueblo de Se…</t>
  </si>
  <si>
    <t>Escribano, Angel</t>
  </si>
  <si>
    <t>Angel Escribano</t>
  </si>
  <si>
    <t>…, se presentó duReai orden el ministro de Esta Por los comisionados del ayuntamiento constitucional de Cuenca do de S. AL, y leyó el discurso, el cual se acordóque pasaseá la comi D. Angel Escribano y D. Benito Canales. sión de Constitución para que al día siguiente diese su dictamen. 4. a » Señor: El ayuntamiento constitucional deCuenca tiene el honor Se recibió un oficio de la Regencia, diciendo que esperaban la or de ratificar ante V. M. los sentimientos de respetó y amo…</t>
  </si>
  <si>
    <t>Escribano, Victoriano</t>
  </si>
  <si>
    <t>Victoriano Escribano</t>
  </si>
  <si>
    <t>…aprobar el que Alicante tín Rica: para el de Cárrión'á D. Julián Bringas : para el de Cer'vera fuese provincia ó nó lo fuese, mientras no viese que por las Cortes se de Pisuerga á D. Victoriano Escribano: para el de Saldaría á D. Luis hubiesen aprobado algunas bases, como la de extensión, población &amp;c., Antonio del Campo; y para el de Reinosa á D. Pedro Diez. á las cuales se hubiese contraído k comisión. En lá provincia de Santander: para el juzgado de la Cap…</t>
  </si>
  <si>
    <t>Escu, Francisco de Paula</t>
  </si>
  <si>
    <t>Francisco de Paula Escu</t>
  </si>
  <si>
    <t>…que se pusiese inmediatamente en marcha , con igual comisión cerca de los Que este administrador para conseguir sus fines se habia coligado listados-Unidos, y que habia nombrado á D. Francisco de Paula Escu con aquellas familias nobles, en quienes estuvo siempre vinculado el dero pava que le reemplazase en el cargo que obtenia aquel de la secre gobierno del pueblo, cuyos fondos administraban como un peculio taría de Estado hasta que se presentase el secretario e…</t>
  </si>
  <si>
    <t>Escúdelo, Teotuno</t>
  </si>
  <si>
    <t>Teotuno Escúdelo</t>
  </si>
  <si>
    <t>…gzr-íeráentc nombrado por el Josef María de Zuasna; ar y Francia y D. Fermín Sanz y López: en la Rey en unión con un consejo de ministros. En la 4.'' y 5.a se crean 2 de Sevilla á D. Teotuno Escúdelo, D. Josef Gírela Infante y D. Jo cuerpos con el nombre de consultores de Estado, uno para Ñapóles y sef Villanueva; y en la de Valencia a D. Francisco Berenguer y á otro para Sicilia, los cuales decidirán á la mayoría sobre los proyectos D. A nconio Saenz de…</t>
  </si>
  <si>
    <t>Escudero, Antonio</t>
  </si>
  <si>
    <t>Antonio Escudero</t>
  </si>
  <si>
    <t>…larea indicó que tratándose aquí de la formación de una liente , residente en I3 Havana, contra el gobernador de aquella plaza nueva ley , debia considerarse como primera lectura. D. Antonio Escudero, por haberle puesto preso en el castillo del Después de una corta discusión se aprobó míe pasase á una comi iviorro , por solo haber hablado y escrito contra las elecciones parro sión especial para que informe sobre este asunto. quiales de la misma. Se dió cu…</t>
  </si>
  <si>
    <t>Escudero, Clemente García</t>
  </si>
  <si>
    <t>Clemente García Escudero</t>
  </si>
  <si>
    <t>…que en Zaragoza, y haciendo ra tres plazas de magistrados de la audiencia de Navarra á D. Joaquín que cundiese todo el efecto hasta en los países extrangeros por la im Paz Merino, D. Clemente García Escudero y D. Juan Antonio Gu becilidad del ministerio. tiérrez Varona Ortiz; y para dos fiscalías de la misma ¿ D. Santiago Da osle modo se ha logrado que el ministerio por su imprevisión Amatriain y D. Pedro García del Valle. EN LA IMPRENTA NACIONAL.</t>
  </si>
  <si>
    <t>Escudero, Francisco de Paula</t>
  </si>
  <si>
    <t>Francisco de Paula Escudero</t>
  </si>
  <si>
    <t>…aballo , en 16,134 rs. el de Hacienda á D. Antonio Barata; para el-de Guerra a D. a-ornas Otra núm. .5, en la misma calle de Caraballo, en 20,696 rs. Moreno, y para el de Marina á D. Francisco de Paula Escudero. Ten- Otra núm. 2 2 , callejuela de :S. Francisco de Paula, en 26,508 rs. dreislo entendido,-y lo comunicareis á quien corresponda.=Palacio 4 Otra núm. 48, calle.de Mesones, en 19,599 rs* de Marzo de i8zt.=Esti rubricado de la Real mano.’* Otra núm. 51 , call…</t>
  </si>
  <si>
    <t>…iegos prófugos, armados blique y circule.czEstá rubricado de la Real mano.ccEn palacio á 26 de ó sin armas, y que un gobernador ruso lo había negado á algunos que Junio de'i82i.=A D. Francisco de Paula Escudero. iban perseguidos por los turcos. La correspondencia entre los Gabinetes -de Rusia y Austria habia, tomado una actividad extraordinaria. Los Los Sres. secretarios de las Cortes han remitido en .30 de Junio turcos pasaron el Danubio, y entraron en Bucharest, a…</t>
  </si>
  <si>
    <t>Escurdia, Juan Nepomuceno</t>
  </si>
  <si>
    <t>Juan Nepomuceno Escurdia</t>
  </si>
  <si>
    <t>…colección de poesías de la sociedad , encuadernada á la inglesa. jo , id. diz. Se adjudicará un premio de 60 rs. vn. al alumno de esta escuela que D. Clemente Fernandez de Elias, D. Juan Nepomuceno Escurdia, de sobresalga en conocimientos del catecismo político. de Cádiz. la Coruña. Se adjudicarán seis premios de 60 rs. vn. cada uno en la forma D. Diego Mac-Mahon, de Bilbao. T&gt;. Juan Francisco Barrie, id. siguiente : D. Dionisio Antonio de Ariz- D. Juan Tomas de…</t>
  </si>
  <si>
    <t>ESPAÑA, Mens NOTICIAS DE</t>
  </si>
  <si>
    <t>Mens NOTICIAS DE ESPAÑA</t>
  </si>
  <si>
    <t>Los despachos enviados al barón de Ramdhor y al caballero Mens NOTICIAS DE ESPAÑA. A son del mismo tenor que; el presente. Por copia conforme , el enviado. de Rusia conde de Staclcelberg.=El enviado de Prusia Barcn delLamd- -- ~ - ’ - • ~ -.....—Plasencia 17 de Marzo hor. =.E1 encargado de negocios de Austria C. de Mens. Sigue manifestándo…</t>
  </si>
  <si>
    <t>ESPAÑA, Pascual Juan NOTICIAS DE</t>
  </si>
  <si>
    <t>Pascual Juan NOTICIAS DE ESPAÑA</t>
  </si>
  <si>
    <t>…u y D. Juan Bautista Risa ñbr ¡presidente levantó la sesión. En dijoña: D. Ascensión Campis, alcalde primero constitucional de Elche *, D. Josef Soler y Garrigos, id. de Gijona, y D. Pascual Juan NOTICIAS DE ESPAÑA. y Servent, vecino de Onili__En Denla: D. Joaquin Abargues, de Benisa; D. Josef Ciscar, de Gandía, y D. Pablo-Sala , de Denla. f-'u ' Earcelona 7 de Noviembre. Alcira: D. Jaime Carpí , presbítero de Alginete; D. Pedro Fuster, abogado de Albalat dePardines, y…</t>
  </si>
  <si>
    <t>Esparza, Antonio</t>
  </si>
  <si>
    <t>Antonio Esparza</t>
  </si>
  <si>
    <t>…consideración á la importan rón de Torrefiel. z=D. josef Paniagua. zz D. Josef Yarza. zzL). Fran cia y extensión de su cargo gozarán doble sueldo.” Aprobado. ' cisco Lafuente. zz: D. Antonio Esparza. z=D. Valero-Roces.zz D. Juan El Sr. secretario de Marina fue dé-parecer que debía ponerse en lu Ester, zz D. Jacobo Peré.zzD. Francisco Morelln. zzT&gt;. Josef Cortés.z: gar de las palabras los oficiales de cargo de artillería ias siguientes: los "D. Miguel Rom…</t>
  </si>
  <si>
    <t>Espejo, Antonio Marqués y</t>
  </si>
  <si>
    <t>Antonio Marqués y Espejo</t>
  </si>
  <si>
    <t>…y mezquina, y la importancia mientos críticos, eruditos y curiosos, Utilísimos al pueblo, para quien de que no se atienda á ella muy grande. le dispuso por orden alfabético el Dr. D. Antonio Marqués y Espejo, El Sr. Golfin dijo que la división que proponía la comisión era presbítero: dos tomos en 8. J Se hallará en la librería de Hurtado á 20 muy acertada, y que el haber distritos de mucha extensión no debia reales en pasta. servir de obstáculo, pues en ellos no…</t>
  </si>
  <si>
    <t>Espiga</t>
  </si>
  <si>
    <t>…rgo, las'dé'S Estando hablando'el Sr.' Vitorica regresó la diputación que, habia conjeturas formadas presentan cierto aspecto favorable, pues habiendo ido á felicitar al Rey; y él Sr. Espiga, presidente de ella, manifestó estado el cuartel'general austríaco el 18 de Febrero en Florencia, si que S. M. habia oido con particular agradólos generosos sentimientos han adelantado mucho las tropas austríacas, no era de presumir qué de las Cortes; á lo qu…</t>
  </si>
  <si>
    <t>…s términos siguientes: aquello se verificaría siempre que fuera posible. «Para impedir la celebración de las Cortes eu las épocas y casos que Volvió la diputación de palacio, y el Sr. Espiga dijo , que S. M. ha previene la Constitución.” bía recibido con mucha satisfacción la ley de sociedades patrióticas, y El Sr. presidente dijo que los Sres. que componian la diputación que que había manifestado que la tomaría en consideración para su sanción;:…</t>
  </si>
  <si>
    <t>…de la comisión de Bene embargo de que puede ser por el sistema lancasteriano , pero débe "haber ficencia'. ■ un gran número de maestros. Acaso se me contestará que en un esrábleEl Sr. Espiga hizo varias reflexiones en apoyo del dictamen de la cimiento de esta especie importa algo lo que trabajan los recogidos; comisión , manifestando que muchos de sus artículos , aunque eran pu- pero yo creo que será muy poco, y que harto será que el de las niñas…</t>
  </si>
  <si>
    <t>Espinosa, Ambrosio’ Josef</t>
  </si>
  <si>
    <t>Ambrosio’ Josef Espinosa</t>
  </si>
  <si>
    <t>…. Los ule- La comisión de Agricultura, después de haber examinado .la me mas pidieron Su cabeza , y fue ahorcado sin" forma' dé proceso i la puer moria presentada á las Cortés'por D. Ambrosio’ Josef Espinosa jde lo* ta de ia metrópoli, igualmente que tres obispos y los padres dé fami Monterós ¿opinaba que el Congreso, si lo tenia á bien, podía- recibir lias griegos mas ricos. Todos cuantos cristianos opulentos había en "este escrito, colocarle en su biblioteca, y…</t>
  </si>
  <si>
    <t>Espinosa, Antonio Noreña y</t>
  </si>
  <si>
    <t>Antonio Noreña y Espinosa</t>
  </si>
  <si>
    <t>…iduos, á faltar á los A la comisión de Hacienda se mandó pasar una solicitud de Doña preceptos de Dios , y que la autoridad eclesiástica no debia consentir Josefa Veiler, viuda de D. Antonio Noreña y Espinosa, cónsul que en semejante escándalo; que ninguna potencia extrangera tenia derecho fue de la isla de la Madera, eu que pide se le satisfaga la viudedad que para establecer impedimentos en una cosa tan sagrada , porque esto 110 en consideración á los servicios…</t>
  </si>
  <si>
    <t>Espinosa, Carlos</t>
  </si>
  <si>
    <t>Carlos Espinosa</t>
  </si>
  <si>
    <t>…tablecido un cen de su ministerio conduce al precipicio. Recibida la Real orden citada tro común de oposición y de examen , se aseguraba mayor concurrencia de por este Sr. espitan general D. Carlos Espinosa para que se les diese aspirantes , y con ella una oportunidad y facilidad mayor de hacer bue un banquete patriótico, y comunicada á las tropas de esta guarnición, nas elecciones: no hay duda que seria asi si’tuviesen mayor concurrencia que afortunadamente se…</t>
  </si>
  <si>
    <t>…los mariscales de bienes después los podrían distribuir los interesados entre sus descen campo D. Felipe de Arco Agüero, D. Miguel López Baños, D. De dientes. . , metrio O-Daly y D. Carlos Espinosa, y aL brigadier Vázquez, se les Después de haber hecho el Sr. Ezpeleta algunas observaciones sobre concediese una renta de 401) rs. en los mismos términos que á los an que estos bienes no debian pasar á sus sucesores, y solo disfrutarles tecedentes: que las C…</t>
  </si>
  <si>
    <t>Espinosa, Francisco García de</t>
  </si>
  <si>
    <t>Francisco García de Espinosa</t>
  </si>
  <si>
    <t>…se publica ya la entrada de los austríacos en aquella ciudad , sin saber méritos contraídos por el-ministro del tribunal especial de Gu-rra y se todavía semejante convenio. Marina D. Francisco García de Espinosa, se ha servido concederle los Los dos boletines son imitación de los de antaño. El Monitor pu— honores de consejero de Estado. SUPLEMENTO</t>
  </si>
  <si>
    <t>Espinosa, Joscf</t>
  </si>
  <si>
    <t>Joscf Espinosa</t>
  </si>
  <si>
    <t>…rden de S. M. de la memoria impresa sobre la marina inglesa por valecerá la media luna sobre la cruz: ; los intereses mercantiles tendrán el teniente general de la armada española D. Joscf Espinosa , á conse .Biasicónsideracion en los Gabinetes de Europa que los de la humani- cuencia de lo decretado por las Cortes en 28 de Junio último. Se leye tdad y del cristianismol Nada hay aun decidido; siguen las dudas; con- ron dos dictámenes de la comisión espec…</t>
  </si>
  <si>
    <t>Espinosa, Josef</t>
  </si>
  <si>
    <t>Josef Espinosa</t>
  </si>
  <si>
    <t>…las mugeres asistir á las sesiones de Cortes, teniendo la apostólica con el sistema constitucional. debida separación de los hombres. A la de Legislación se pasó una instancia de D. Josef Espinosa pa El Sr. Moscoso apoyó esta indicación, y el Sr. Sancho manifestó ra que se le dispense un año y meses que le faltan de práctica para re que las señoras no debían intervenir de ningún modo en la forma validarse de abogado. ción de las leyes ni en los negocio…</t>
  </si>
  <si>
    <t>Espinosa, Josef Nicolás</t>
  </si>
  <si>
    <t>Josef Nicolás Espinosa</t>
  </si>
  <si>
    <t>…o Marin, suplicando se le Se aprobó el dictamen.de ia comisión de Legislación, relativo á que recomiende al Go.biernQ .para que se le destine á Ja persecución y extinse dispense á D. Josef Nicolás Espinosa un año que le falta para reci ' cion de los-facciosos, L. " . Jbirse de abogado. . También mandaron pasar al Gobierno una solicitud de D. VicenAsimismo se aprobó el dictamen deja comisión de.Infracciones de , te Domínguez ,. vecino-,dc Larcelona, para que se…</t>
  </si>
  <si>
    <t>Esquerra, Juan</t>
  </si>
  <si>
    <t>Juan Esquerra</t>
  </si>
  <si>
    <t>…sado no estaba comprendido en el pensión que había obtenido por el empleo que desempeñaba su difunto decreto de 9 de Noviembre; pero podia preguntársele si los contratistas marido D. Juan Esquerra, y asimismo los atrasos que ha sufrido; y de esta clase habian hecho en alguna ocasión contratas con el Gobier otra de D. Francisco del Castillo, capellán agregado al batallón ligero no que no hayan sido con esta condición. Por otra parte en esta soli segundo…</t>
  </si>
  <si>
    <t>Esta, R. C.</t>
  </si>
  <si>
    <t>R. C. Esta</t>
  </si>
  <si>
    <t>…Empezó desde luego á notarse una cional de Nápoles: escrita en francés por Mr. Bignon , y tradu respiración fuerte y trabajosa, el pecho se elevaba y volvía cida al castellano por D. R. C. Esta obrita, verdaderamente in á caer, el vientre subia y bajaba alternativamente, el dia teresante - por su asunto , no lo es menos por su desempeño. fragma se dilataba y se contraia , y todos estos movimien Contiene algunas observaciones acerca de lo que la Euro…</t>
  </si>
  <si>
    <t>Estanis</t>
  </si>
  <si>
    <t>…do procedido las Cortes á la renovación de su presidente, Sólanot he. sabido por él mismo que estaba en poder de uno de los vice-presidente y secretario mas antiguo, que lo era el Sr. D. Estanis señores de la comisión dé Premios, y que en ella se halla también lao de,Peñafiel, han sido elegidos para presidente e! Sr. D. Josef María otro presentado por mí á las Cortes á nombre de varios ciudadanos be Moscoso, diputado por la provincia de Galicia.; par…</t>
  </si>
  <si>
    <t>Estany, Mateo</t>
  </si>
  <si>
    <t>Mateo Estany</t>
  </si>
  <si>
    <t>…facción Anguera y Riera. Granollers D. Josef Valionesta, abogado. La Bis- del mismo fiscal y de los defensores.- y en este trabajo invertirán a io bal D. Pedro Camps. Seo de Urgel D. Mateo Estany. Tremo D. An menos ocho horas cada dia, poniendo diligencias que lo acrediten , co tonio de Monner, hacendado de Itona. Balaguer D- Ramón de Sisear mo también si faltaren alguno ó algunos en las horas señaladas, sin que y de Calderón, hacendado de Agramunt. T…</t>
  </si>
  <si>
    <t>Este</t>
  </si>
  <si>
    <t>…rados proceden del campamento del lazareto: uno pertenece están las familias nobles que lian de gobernar la Morea? á la tripulación de la polacra S. Francisco de Paula, su cap-iun Don Este texto, sea cual fuere su moderación, es solamente una traduc Juan Bautista Gali; ctro á la del bergantin Eucaris, su capitán D. Jo ción .exagerada y adulterada de la Gaceta universal de Augjburgo, cu sef Mauri, y los dos restantes á la de la polacra las Almas…</t>
  </si>
  <si>
    <t>Este, Pereira do</t>
  </si>
  <si>
    <t>Pereira do Este</t>
  </si>
  <si>
    <t>…llamamiento al orden del Sr. Borges Carneiro; y después se. pasó á art. 351 del código de procedimientos: criminales., _ continuar la disensión sobré diezmos, i en la cual hizo el Sr. Pereira do Este proyecto no contenía mas que un artículo , que decía as»: » En Carmo un largo' y elocuente discurso, en qué manifestó el origen de lo sucesivo, y cuando en el taso' previsto por el. are. 351 del código los diezmos, su objeto y abusos concluyendo con apoyar él…</t>
  </si>
  <si>
    <t>Este-, Josef</t>
  </si>
  <si>
    <t>Josef Este-</t>
  </si>
  <si>
    <t>…óá sus respectivos he lona , hecha en ay de Diciembre de 1820. rederos y representantes legítimos, á fin de que concurran á dicho juz Pablo Valero y Lucía Morera , procedentes del juez D. Josef Este- gado y escribanía por sí ó por medio de personas competentemente au ve y Morato. Presos en 9 de Octubre de 1820 sobre robo de 50 duros torizadas , á percibir las sumas que conforme al dividendo que se hall» cometido á Salvador Sicart. Estado de esta causa. Co…</t>
  </si>
  <si>
    <t>Esteban</t>
  </si>
  <si>
    <t>…e Mier y D. Pedro Simó López de Haro: en la de Astúrias á Don vaciones hechas por un amante de la Constitución y de las leyes sobre Francisco A yuso y Mena: en la de Extremadura á D. Esteban de un discurso pronunciado en la reunión patriótica de la Fontana de Oro Asta y D. Juan Modesto de la Mota. de esta corte. Se vende en las librerías de Sanz, Paz y Minutria. SUPLEMENTO</t>
  </si>
  <si>
    <t>…iciones de la sociedad eco nando 2 rs. mas en volumen por su porte. La obra concluye con el nómica de Madrid; el tratado de la Huerta, el de las Flores y del In tomo 4.0 gerto, de D. Esteban y D. Claudio Boutelou; el Ensayo sobre Ja vid de Los suscriptores á la obra Elocuencia militar ó Arte de entusiasmar Andalucía dei Sr. Rojas Clemente;el del To.aldo , meténologia apli y mover á las tropas, traducida al castellano por el teniente coronel cada á ia agricultura, y la…</t>
  </si>
  <si>
    <t>…o í.ezcauo; para Peúafiel á D. Juan García Barba; para Medi que queden sentados reprueban. El secretario que hubiere hecho Ja pre na deL Campo á D. Ramón Manzanares; para Olmedo á D. Esteban gunta publicará el resultado, si no tuviere duda alguna; mas si la hu Sánchez de la Iglesia; para Tordesiilas á D. Eugenio Hernández Borbiere, ó pidiere algún diputada que se cuenten los votos, aunque sea bon; paraRioteco á D. Zacarías Romero Velez; para Vill…</t>
  </si>
  <si>
    <t>Esteban, Cipriano Antonio</t>
  </si>
  <si>
    <t>Cipriano Antonio Esteban</t>
  </si>
  <si>
    <t>…de Bobadilla Ciudad-Rodrigo D. Manuel Francisco Sánchez, labrador en la alque hasta las paredes de Mollina, en donde fue forzoso detenerse para dar ría de Sepúlveda. Ledesma Lie. D. Cipriano Antonio Esteban , aboga algún descanso á los caballos, por ser entrada la noche. Por la mañana do. Miranda D. Juan Pacheco, cura párroco de Sequeros. Mirón Don continuó ia milicia la persecución de los ladrones por las pisadas de los Manuel Díaz , vecino de Sta. María de Ber…</t>
  </si>
  <si>
    <t>Esteban, Epifanio</t>
  </si>
  <si>
    <t>Epifanio Esteban</t>
  </si>
  <si>
    <t>…en prin en dos actos, representada en el teatro de Granada , por primera vez cipio de 1820, fue la memoria de los que por no sucumbir al yugo del el i.° de Marzo de 1821: su autor D. Epifanio Esteban , capitán del tirano invasor perecieron denodadamente bajo su feroz cuchilla" en el a cuerpo nacional de ingenieros. Se vende en la librería de Matute. SUPLEMENTO</t>
  </si>
  <si>
    <t>Estéban, Juan</t>
  </si>
  <si>
    <t>Juan Estéban</t>
  </si>
  <si>
    <t>…de Poderes los presentados por los Sres. D. Felipe Pau, dipu al Rey de los siguientes partes; los que habia visto S. M. con la ma tado electo por la provincia de Caracas, y los de D. Juan Estéban yor satisfacción, y le había mandado Los participase inmediatamente á Villa, que lo es por Goatemala. las Cortes para su conocimiento, asegurándolas que seguirá disponien A la de Hacienda una exposición de los habilitados de los regi do Jas medidas mas enérgi…</t>
  </si>
  <si>
    <t>Esteban, Juan</t>
  </si>
  <si>
    <t>Juan Esteban</t>
  </si>
  <si>
    <t>…robaron ios dictámenes de la comisión de Poderes acerca de facultades que no le competian, debiéndose dar crédito á la represen qne se podían aprobar Jos presentados por ios Sres. D. Juan Esteban tación de la diputación de Alava , corporación que merece la confianza Milla , diputado electo por la provincia de Honduras, en Goatemala, de la provincia siendo elegida por el voto de todos los ciudadanos de y D. Felipe Fermín Pau, que lo es por la de Caraca…</t>
  </si>
  <si>
    <t>Ester, Andrés</t>
  </si>
  <si>
    <t>Andrés Ester</t>
  </si>
  <si>
    <t>…ia. prendidos eu ias jubilaciones y reformas de que trata el título de ofi =z D. Pedro Vidal. = Di Andrés Roces. sD. Josef Benito' Chlvo.‘=: ciales.” Aprobado. D. Narciso Olivas. =D. Andrés Ester. ^D. Juan Anel.zzD. Blas- Añ Art. 108. » El Gobierno señalará el uniforme que deba'usar, em ónela. zzD. Ramón Marco.z=D. Manuel Sierra. =D. Serapio Marin.zzr pleándose en él solo géneyos nacionales.” Aprobado. D. Eugenio Lopez.zzD. Josef Percz.=D. Luis Zueco.…</t>
  </si>
  <si>
    <t>Esterazhy</t>
  </si>
  <si>
    <t>…fe hombres, y al esc.adrnn de la Union de 160. S. M. se ha rencias de Troppau. S. S. despachó inmediatamente un cor enterado de todo, y ha quedado satisfecho de la actividad reos! príncipe Esterazhy, el cual se trasladó inmediata y acierto con que se han practicado éstas operaciones, man mente á dicha quinta. dando se de noticia de ellas en la gaceta para conocimiento 7*1 mismo día de la llegada del mensagero ingles vino del público. 'y,. también un ruso…</t>
  </si>
  <si>
    <t>Esterhazy</t>
  </si>
  <si>
    <t>…eos y sus dotaciones con gran Siciliana para Laibach, y se pondrá en viage á primeros de des sueldos. 13. La compra de primeras materias se ha de Enero. Ayer salió para Laibach el conde Esterhazy, que va egecutar sin perjudicar á los demas artesanos. 14. E! p3ao á servir al Rdy de Nápoles en clase de gentilhombre, y le de los jornales ha de ser algo menos de lá cantidad que se saldrá .al encuentro mas allá de aquella ciudad. El i.° de dé generalmente…</t>
  </si>
  <si>
    <t>…stán en poder de los turcos, ha impe decido mucho; pero con especialidad el palacio Grillon, ocupado por dido la huida de los infelices cristianos , ios cuales han sido asesina el príncipe Esterhazy y su comitiva. Algunos destacamentos d-_ ia guar dos. Las costas de la Natolia y de la Acarnania están llenas de fugiti dia de caballería pudieron dispersar la canalla que cometía estos exce vos cristianos, que están esperando los buques de los helenos del Ar…</t>
  </si>
  <si>
    <t>Esterhazy, Josef de</t>
  </si>
  <si>
    <t>Josef de Esterhazy</t>
  </si>
  <si>
    <t>…e. Mr. Ganning admitió tirá á la coronación de Jorge iv en calidad de embajador extraordi esta explicación, y no pasó adelante el asunto. nario, y le acompañarán los Sres. Flonet, conde Josef de Esterhazy y -..Los negros siguen siempre conspirando contra el presidente Boyer. conde de Guttemburgo. Habiendo sabido el general Magny, comandante del Cabo-Frailees, _Se va á señalar muy luego al general conde de Bubna una conside que el general negro Romain habia pro…</t>
  </si>
  <si>
    <t>Esteva, Rafael</t>
  </si>
  <si>
    <t>Rafael Esteva</t>
  </si>
  <si>
    <t>…rimentado enfermedades. Audiencias. I pertenecientes á Gracia y (presupuesto de GraEn consecuencia de esto, y de lo expuesto en seguida por el Doc f Justicia. j cia y Jnsihia. tor D. Rafael Esteva acerca del reconocimiento de las enfermedades de la Barceloneta, acordó la junta : Madrid. 504,700 89,932 i.° Que los Sres. Bahí y Esteva, como secretarios el uno y censor Valladolidi 209,800 68,902-16 el otro de la academia, tomasen á su cargo el prevenirla…</t>
  </si>
  <si>
    <t>Esteve, Josef</t>
  </si>
  <si>
    <t>Josef Esteve</t>
  </si>
  <si>
    <t>…der la'obra de miss Wakefield, y mas propia’para la inspara la segunda á D. Josef Mariano Márquez: para la ter ■ truccion de los niños próximos á la adolescencia. En 18 04 cera á D. Josef Esteve; y para la cuarta á D. Nicolás Ma- publicó el á Family tour througk the British empire , viage latesta y Mayor: para la de Tarrasa á D. Juan Barata: para ae una familia por la Gran Bretaña, y fue tan bien recibido la de Gerona á D. Francisco Juan Cantarella:…</t>
  </si>
  <si>
    <t>…á derecho; en el bien entendido de que Providencia de visita: siga. pasado el indicado término de los seis meses sin haber acreditado justa Juan Martí y Vicente Manich , por dicho juez D. Josef Esteve y y legítima causa que les impida su comparecencia, sin ulterior citación Morato. Preso en 12 de Noviembre de 1820 por robo intentado. Esta •se procederá á repartir la cantidad depositada entre los demas acreedo do de esta causa. El de recibirse la confesión…</t>
  </si>
  <si>
    <t>Esteve, Ramón Salvató de</t>
  </si>
  <si>
    <t>Ramón Salvató de Esteve</t>
  </si>
  <si>
    <t>…en doble número món Adan , oficial de la secretaría de Hacienda; D. llemeterio Martí, de tropas del que se había pedido; la declaración de estar en riesgo el cura párroco de Grup; D. Ramón Salvató de Esteve , abogado; Don islamismo, añadiendo que no puede salvaise sino acudiendo en su de Magín Tdrner, fabricante de tejidos de algndon ; D. Francisco Paula fensa lodos los musulmanes ; y por último añade: « Pretenden que si Rosct y Babi, comerciante; D. Josef Melch…</t>
  </si>
  <si>
    <t>Esteve, Rulael</t>
  </si>
  <si>
    <t>Rulael Esteve</t>
  </si>
  <si>
    <t>…ofesor italiano, mitiva procedencia de todos fue de las embarcaciones. quien dijo que la dolencia del (lijo dai capitán de ¡a polacra era e( tifo Entraron en esto los facultativos D. Rulael Esteve, D. Lorenzo Grafttechi.il; y en virtud de ello otra vez comisionó á ios facultativos set y D vt-tonio Pellicer; pidióles el Sr. gefe político noticia cir para que inspeccionasen el cadáver del que acababa de fallecer, y de cunstanciad:! de lo que hubies.-; y…</t>
  </si>
  <si>
    <t>Esteve, Vicente</t>
  </si>
  <si>
    <t>Vicente Esteve</t>
  </si>
  <si>
    <t>…¡ cuántos dis Araguetes: para la de Astriñas á D. Fernando Pinuaga y D. Pascual gustos y males nos hubiera ahorrado el Gobierno, haciendo por su Aipuente: para la de Extremadura á D. Vicente Esteve: para la de parte lo posible para desembarazar el terreno de los estorbos que impi Aragón á D. Vicente Lago Robles : para la de Valencia á D. Vicen den qne la estatua del bien público , levantada por el Congreso , pue te Fuster: para la de Cataluña á D. Josef…</t>
  </si>
  <si>
    <t>Estor, Trifon</t>
  </si>
  <si>
    <t>Trifon Estor</t>
  </si>
  <si>
    <t>…da con tierra que Treinta y una fanegas y 2 celemines de tierra de labor, administra D. Rafael Perez, con las de D. Pedro Racho, del éñ Viliaseca, en 8164 rs. Crédito público y de D. Trifon Estor, en 2656 rs. y 8 mrs. Otro trozó ae tierra riego moreral, en el partido de la VARIEDADES. Era alta, stí cabida 2 tahullas, una ochava y 20 brazas, lin da con las de D. Isidro Campos , D. Fernando Perez y Sobre la propagación de la Biblia. Doña Josefa Salinas,…</t>
  </si>
  <si>
    <t>Estos, Laureano Antonio</t>
  </si>
  <si>
    <t>Laureano Antonio Estos</t>
  </si>
  <si>
    <t>…. Facundo Infantes, coronel de ingenieros; D. Manuel de Silva, y tomadas por el ministerio y la lealtad de los habitantes, vemos distri Ayanz, racionero de la catedral de Badajoz, D. Laureano Antonio Estos enteros en plena insurrección! Seda bien estraño que los ingleses camilla , hacendado D. Diego Antonio González, juez de primera insy viesen con indiferencia sucesos tan extraordinarios; pero todavía Jo es tan cía de Toro; D. Pablo Montesino, médico. mas, que…</t>
  </si>
  <si>
    <t>Estrada, Alvaro Florez</t>
  </si>
  <si>
    <t>Alvaro Florez Estrada</t>
  </si>
  <si>
    <t>…8 celemines, en 240 rs'. Representacion hecha á S. M. C. el Sr. D. Fernando vn en defen Fincas que se rematan el dia tí), y radican en término de la villa de sa de las Cortes por D. Alvaro Florez Estrada. Siendo muy defec Campillo. tuosas todas las diferentes reimpresiones hechas de esta obra, tanto en Una dehesa llamada de Zafra, de 1380 fanegas de tierra, las 900 España como en países extranjeros, el autor la publica ahora tal cual de buenos pastos en prade…</t>
  </si>
  <si>
    <t>Estrada, Fiorez</t>
  </si>
  <si>
    <t>Fiorez Estrada</t>
  </si>
  <si>
    <t>…e dijo que se continuase Ja discusión relativa á la jar el día en que ya’no puedan circular-estas monedas. circulación de la' moneda extrangera.. :. -• El Sr. Yandioi*-dijo que el Sr. Fiorez Estrada habia convenido^ El Sr. Olrver dijo que .habia oidóxonmuoho sentimiento que como la mayor1 parte de los Sres. diputadas, en la necesidad de que-se el empréstito decretado en.el año 20 lo.fue en la inteligencia que po drían entrar luises y medios luises, y que…</t>
  </si>
  <si>
    <t>Estrada, Florea</t>
  </si>
  <si>
    <t>Florea Estrada</t>
  </si>
  <si>
    <t>…o , razón entre otras porque se ha cepto debia ser en la ciudad de Laguna, capital de lá isla de Tenerife. bia suprimido en otro tiempo, la cátedra de historia literaria én los El Sr. Florea Estrada pidió se conservase la universidad de Oviedo. estudios de S. Isidro. E! Sr. Gisbert, creyendo que no se habia llenado uno de los ob El Sr.Tapia, contestando al'Sr. preopinante, expuso no ser tan difícil jetos que se proponía la comisión en el establecimiento…</t>
  </si>
  <si>
    <t>Estrada, Florez</t>
  </si>
  <si>
    <t>Florez Estrada</t>
  </si>
  <si>
    <t>…v principal delito, es dejar impune deliberado , y no sí admitió á discusión la indicación. aquel: yo veo otro segundo delito en el no reconocimiento; pe Se leyó) la siguiente del Sr. Florez Estrada: „Hallándose el obispo ro quedando impune el primero , repito que para mí es una injusticia; c'.e Tarazona comprendido en uno de los dos casos expresados por la y si nos fijamos en solo el último, será un egemplar escandaloso para determinación de las Cortes,…</t>
  </si>
  <si>
    <t>…cipales que para su gobierno ha formado el ayuntamiento constitucio decir que apoyaba la indicación.del Sr. Robira. nal de Marchena, remitidas por el Gefe político de Sevilla. El Sr. Florez Estrada fue del mismo dictamen , y dijo que todo el •\ la de Legislación una exposición del ayuntamiento de Valencia, mundo sabia que las señoras venian disfrazadas, y que era mas decen relativa á que se decida por el Congreso si los oficiales de la milicia te que vi…</t>
  </si>
  <si>
    <t>Estrada, Flórez</t>
  </si>
  <si>
    <t>Flórez Estrada</t>
  </si>
  <si>
    <t>400</t>
  </si>
  <si>
    <t>…opinión, qué sin reparar en ello, agrado dicha felicitación, y en cuanto á la segunda parte , á petición y cuando trataba de reformar a los demas había' infringido abiertamen del Sr. Flórez Estrada, pasó á la comisión de Guerra. • . : ;. / te e! arríenlo del; reglamento que prohíbe las personalidades. ■ Y notad, El Sr. González -Allende hizo la siguiente indicación , qus fue adSeñores (continuó el oradór) ; que no fue con palabras pronunciadas en mítida…</t>
  </si>
  <si>
    <t>…lo que creía no debia haber lugar á votar sobre el dictamen de la mismo asunto acerca de si habia de seguirse ó no su discusión. comisión , y que se mandara volver á la misma. El Sr. Florez Estrada indicó que las Cortes debian cumplir exacta Se suspendió esta discusión para que el Sr. secretario del Despacho mente sus resoluciones: y que estando ya aprobado que no se diese este de la Gobernación de la Península leyese un oficio del Gefe político asunto…</t>
  </si>
  <si>
    <t>…ucedia según lo presentaba la por cualquiera autoridad civil ó militar á este efecto, serán juzgados comisión. militarmente en el consejo de guerra ordinario, según previene la El Sr. Florez Estrada manifestó que si la comisión no tenia incon ley 8.1, tít. 17, lib. 12 de la Novísima Recopilación , aprobando la veniente , podría ponerse , que ei presidente reconviniera el extravío de sentencia el capitán general con acuerdo de su asesor: que también se aq…</t>
  </si>
  <si>
    <t>…ncipios benéficos , disfrutan de .un Go de estos- dos casos para ac arar el espíritu de dicho artículo. ! bierno liberal y de una representación nacional. ¡ Qué espectáculo tan El Sr. Florez Estrada manifestó no creia que los señores de la co asombroso el que actualmente nos présenla --la Europa al ver en el dia misión tuvieran incon veniente en que se sustituyese á la palabra sin que á Inglaterra, Francia, Hojanda, Noruega, Hinnóvcr , Brunswick, la hast…</t>
  </si>
  <si>
    <t>…no se acceda á la solicitud que hicieron varios les ordenanzas, y orden del ir. D. Carlos iv del año i800.” ciudadanos procesados y castigados por su adhesión al sistema consti El Sr. Florez Estrada dijo que de nada servia hacer leyes , si no ha tucional , para que se quemasen sus procesos por mano de verdugo &amp;e. bían de egecutarse; y que no dimanando estos males sino de la mala Las Cortes mandaron pasarla á la comisión especial que se nom administración…</t>
  </si>
  <si>
    <t>…bierta y propiedad ú oficio, .con taller paca subsistir j"ó~s¿Y convenientes. • •-■ - &gt; • . - ■ •.........- \ hijo dét que renga estas.'circunstancias: ' ....... '• •’ ' " " ' •El Sr. Florez Estrada entregó una representación del ayuntamiento ' 4&lt;9 » Sin embargo de ló prevenido anteriormente respecto á ta miéva constitucional de -Oviedo-, en que-manifestaba que todavía no sé habia admisión dé. voluntarios por él téiím-no indicado , continuara el 'aífsíáv…</t>
  </si>
  <si>
    <t>…ados tesoreros de rentas en las provincias y Oíros empleos de orden , á cuyo fin hizo una indicación. esta naturaleza , para que se les exima de la prestación de fianzas que se El Sr. Florez Estrada dijo que no deduciéndose esta queja sino det íes exige: otra del Gefe político de Guadalajara y alcalde constitucio contenido de un papel, le parecía debía pedirse informe al Gobierno. nal de Alcalá df Henares, acerca de los perjuicios que causa la nueva El S…</t>
  </si>
  <si>
    <t>…ya opinión Acto continuo la reprodujo el Sr. Romero Alpuente en estos tér— se conformó el Sr. Vi 1,1 anuí va. minos: «Se declare que en la palabra empleado público civil de que El Sr. Florez Estrada dijo que no podia ser extensiva ¿ ningún su haola el decreto de 11 de Noviembre de 18ti se entienden comprendi geto por notoriamente desafecto al sistema constitucional, sin que hu dos los eclesiásticos.” El Sr. Moreno Guerra dijo que no era necesaria la bies…</t>
  </si>
  <si>
    <t>…e la compañía por su honor debían tener Se mandó pasar á la comisión especial de Hacienda otra indicación un ínteres en que se mandase lo que indicaba el Sr. preopinante , por del Sr. Florez Estrada acerca de la admisión de la deuda consolidada que si no, se podría decir que habían defraudado á la Nación; siendo y no consolidada. ademas un principio de justicia y de orden el que rindiese cuentas todo Se aprobó otra del Sr. conde de Toreno relativa á que…</t>
  </si>
  <si>
    <t>…después que saliesen.” mino preciso de dos meses, contados desde la publicación de este de Se declaró, no haber lugar á deliberar sobre la adición ál artí creto. ' . culo g.“ del Sr. Florez Estrada , que decía asi: «Quedarán sin derecho - Art. 15. » Los reclutas destinados á reemplazar el egército, y los de ciudadanía durante cuatro años.” regimientos y brigadas de artillería de Marina, en virtud del presente Se empezó la discusión sobre el reemplazo, y…</t>
  </si>
  <si>
    <t>…o que restaba para, respectivos. : • entrar en ella, y asimismo que había otros negocios de mas interes, 2.0 » Que al comunicarse esta resolución al Gobierno se incluya la hizo el Sr. Florez Estrada, la siguiente indicación: „P¡do que no se dis adjunta exposición de los empresarios de Barcelona D. Simón Lines y cuta en esta legislatura el dictamen de la comisión acerca de la ley or D. Juan.Elias y compañía, para los efectos, convenientes con arreglo gáni…</t>
  </si>
  <si>
    <t>…calá la Real el convento de dominicos ben convocarse las Cortes extraordinarias el arreglo del clero. y el de capuchinos, agregando á este los cinco religiosos del del castillo El Sr. Florez Estrada dijo, r Yo. estoy tan convencido como la co , de Locubin de la misma orden, que se suprime, y con tal de que en ca misión de la necesidad que hay de Cortes extraordinarias; pero me pa da uno de los dos primeros se complete el número de jos 24 indivi rece que…</t>
  </si>
  <si>
    <t>…severad en infundir £ vuestros próximos el extrangera con proporción á la española. santo temor de Dios y el respeto y subordinación debidos á las auto Después de haber apoyado el Sr. Florez Estrada lo que habla dicho ridades públicas, y rec.bid con esto nuestra pastoral bendición. Dado el Sr. Rovira, se declaró este asunto suficientemente discutido; y que en S. Baudilio del Llusenés á io de Octubre, firmado de nuestra mano dó aprobado el artículo , supr…</t>
  </si>
  <si>
    <t>…omo n©;podría prohibirse'Wéircí¡lacion, compañía, y algunas otras órdenes del Gobierno: ■*■■: ■ -se daría lugar á que entrasen todos los luises y medios iuiSes.qiie-circu -■' f ¿I Sr. Florez Estrada dijo:.‘Hasta-el presente todos los Sres. que lan en el departamento de ia Vendeey eii ltalia. ■ '"■&lt;-[ - 2 han impugnado el dictamen dé la comisión no. han dejado, de convenir - ¿ Habiendo manifestado los inconvenientes que ofrecería un nuevo em •en'dos punto…</t>
  </si>
  <si>
    <t>…billetes, por cuyo medio resultaba completa El Sr. Zapata apoyó la opinión del Sr. Sancho. mente recompensado. El Sr. López (D. Marcial) dijo que la comisión convenía en quese El Sr. Florez Estrada: Yo creo que hay otro medio mejor que el que estableciese por mínimum la cantidad do 6 marcos; y después de una se propone , y es el que se dé á cada interesado en el mismo momento corta discusion se aprobó el artículo en éstos términos: que entregue su moned…</t>
  </si>
  <si>
    <t>…ían las Cor Las comisiones iie Hacienda y Comercio presentaron su dicta tes sucesivas tomarla en consideración. men acerca del expediente remitido por el ministerio de Hacienda El Sr. Florez Estrada: Aunque soy de la comisión no puedo menos en 14 de Octubre último , relativo á la representación que hicieron de oponerme 3 este artículo. Quisiera que las Cortes tuvieran en consi al Gobierno tres diputados á Cortes por la provincia de Yucatán, deración que…</t>
  </si>
  <si>
    <t>…, debe admitirse esta pena en ge La comisión al contrario , cree que por lo mismo que dice la Cons neral. titución, está determinada la pérdida ó suspensión de los derechos de El Sr. Florez Estrada manifestó que esta pena no debia colocarse ciudadanos á los casos que la Constitución señala. entre las penas no corporales, puesto que generalmente se apocaba con Art. 30. » Para todos los efectos civiles se considerará como pena alguna otra pena corporal ,…</t>
  </si>
  <si>
    <t>…a juzgaron y convinieron en des sentación, contestó: *&gt; Eso no lo sabia yo , ó eso no lo he dicho yo.” aprobaría. Si se dice que este es un nuevo delito, y que por tal le ha in El Sr. Florez Estrada dió nuevas explicaciones sobte este pasage, troducido la Diputación permanente de Cortes, digo que si se mira co remitiéndose al Sr. Subrié; y este último hizo presente que habiendo mo consecuencia de¡ primero no dubió venir al Congreso, puesto que dicho á lo…</t>
  </si>
  <si>
    <t>…la de la jeciones que se han hecho contra él. La primera presentada como revolución francesa ■ y; ei ñprendizage de Ja española ., en el- siglo xm principal es la propuesta.por «1 Sr. Florez Estrada, adoptada por el Se Pr evió el sabio Rey D.. Alfonso que podía llegar el caso en que el ñor Cortés, y robustecida por el Sr. Romero Alpuente, á saber, que ínteres particular hallase pretextos.en semejantes nombramientos pira Jas Cortes actuales en su calidad…</t>
  </si>
  <si>
    <t>…valor en Ultramar Cuando hablé ayer en las Cortes antes de principiarse la sesión sobre que en la Península, pues no se adquiría allí con un peso fuerte lo el voto particular del Sr. Florez Estrada dije: Que después de haber m'smo que aqui con 20 rs.; y por lo mismo si las penas fuesen iguales, manifestado á la comisión su dictamen particular el Sr. secretario del resultaría que igual deiito en la Península seria castigado conmayor pe despacho de la Gob…</t>
  </si>
  <si>
    <t>Estrada.firmada</t>
  </si>
  <si>
    <t>…, y que por su par Rosa, Florez Estrada, Calatrava y Feliú, no se admitió á discusión la te deseaba que el público tuviese noticia de que dicha indicación fue proposición de dicho Sr. Estrada.firmada poi todos los individuos de la comisión eclesiástica. Se leyó) una indicación del Sr. Calatrava, que decía: » Para que las El Sr. Golfín dijo que en la discusión sobre sociedades patrióticas Cortes puedan con el debido conocimiento usar en su caso de las facu…</t>
  </si>
  <si>
    <t>Esvolá, Juan Pagés y</t>
  </si>
  <si>
    <t>Juan Pagés y Esvolá</t>
  </si>
  <si>
    <t>…. de curar sin ios inconvenientes del mercurio las enfermedades venéreas nota. Sobre el núnii 3‘del margen se paga un tributo de 4 reales y demas del sistema linfático: por el Dr. D. Juan Pagés y Esvolá, mé y 24 mrs. al hospital de-Si’ Bernardo: sobre el 4 otro de 2 rs. y 12 dico del colegio de esta corte. Se hallará en las librerías de Paz y en mrs. á los curas de la iglesia mayor , y otro de igual cantidad á los de la de Quiroga. Sta. Marina y S. Pedro de…</t>
  </si>
  <si>
    <t>Eüenborough</t>
  </si>
  <si>
    <t>…ducta, fuese cual fuese la determinación que tu viésemos por conveniente tomar en adelante.” Parts 4 de Abril. El conde de Aberdeen impugnó la propuesta , y dijo: la oniniort del' lord Eüenborough parece mas bien una reconvencional Austria - Con fecha Je 6 de Marzo escriben de Petersburgo lo siguiente: -* He quelu propuesti.de una mediación franca , pues es imposible intervenir aquí algunos pormenores que se acaban de recibir con respecto a! nue como n…</t>
  </si>
  <si>
    <t>Euge</t>
  </si>
  <si>
    <t>…para -Piedrahita á D. -Pedro Remolí y Zalduendo; para caso decidirán las Cortes si lo ha de ser ó no. La que recaiga sobre Xedesma á D. Juan Luxigo de i’edrosa; para Vitigudino á D. Euge elección ó propuesta de personas se liara por escrutinio secreto. Ar nio Arizmendi; y para Be¡ar á D. Francisco de Paula Grande. tículo I i-j. Los secretarios para la vc-tacion de la primera ciase usarán Igualmente para k provincia de Valladolid: para Vallado…</t>
  </si>
  <si>
    <t>Eugenia</t>
  </si>
  <si>
    <t>…igua ley. baco en polvo, que vendió á la Hacienda pública en el año 1812 su Y en cuanto á las dudas ocurridas al ayuntamiento de Málaga apoderado en Cád:z D. Andrés Ochoa. Otra de Doña Eugenia riel era la i.'1 si habiendo sido los denunciadores algunos individuos de Aguila, viuda de D. .Manuel Díaz Bernardo, administrador que fue Ja guarnición y cuerpo de milicias de aquella plaza del núm. i.° dei</t>
  </si>
  <si>
    <t>Eugenio</t>
  </si>
  <si>
    <t>…o tras muchísimos inconvenientes, y es perjudicial á ia industria na las mismas. En este obrador se muestra ya construido por el menciona cional y á los intereses de la Nación. do D. Eugenio un juego envero de máquinas por el sistema de las mas El Sr. Oliver dijo que esto depende de los tratados estipulados con modernas que se conocen en Francia, con la ventaja de haber simplifi las naciones extrangeras ; y que si las comisiones hubiesen podido p…</t>
  </si>
  <si>
    <t>Eulofen, Narciso</t>
  </si>
  <si>
    <t>Narciso Eulofen</t>
  </si>
  <si>
    <t>…s por el Apóstol S. Pablo, y sean conoci Ha entrado en este puerta la goleta española Dulce hombre de Ma damente amantes de la Constitución ; -que caso que dichos prelados no ría, capitán D. Narciso Eulofen, de Nuevavita, en ia Havana, con. quieran renunciar sus dignidades . declare el-Gobierno por vacantes-suá guayacan., caoba, cedro y cueros. Dice este capitán que ayer á las 12 sillas por muerte civil de los prelados, y pase á nombrar otros en la del día vió u…</t>
  </si>
  <si>
    <t>Eusebiosubalternas</t>
  </si>
  <si>
    <t>…antes ydeljubilados.....................................................Despacho........................................... 36,549—29!i,76,696- 8 Gobernación deJ AldependenciasSr. D. Eusebiosubalternas..........................Bardaxí como ministro.............en París 47,236-30 'I 1 S Asignacionespor ayuda adeestablecimientoscosta y establecimiento..................piadosos y otros. 140,285-12120,000 &gt; 394.759” 7 "" l GobiernosA D. ManuelpolíticosLuquetdeá…</t>
  </si>
  <si>
    <t>Eusemeses</t>
  </si>
  <si>
    <t>…co' de Canarias : D.Elias Alvarez, abogado de Mel sidente, pero sí el secretario, el cual también se nombraría todos io* gar: D. Tomas Albear, propietario de Colindres. Suplentes: D. Eusemeses. - L bio López Polo , capitán de artillería , empleado en la secretaría de las En seguida se aprobó el art. 99, que decía asi: Cortes: D. Lorenzo Escolar de Navas, canónigo de S. Isidro. » A la diputación le corresponde: i.° Promover la reunión de las Por la…</t>
  </si>
  <si>
    <t>Eutron</t>
  </si>
  <si>
    <t>…ra del ministerio de-la todas las clases del pueblo , y hasta en Ceuta habia visto á su dignísi ■ Gobernación de la Península, para el cual he tenido á bien nomhri-le mo general y gobernador Eutron (que ha sido Guardia de Corps) brin por decreto de ayer; he venido en elegir para que le despache interinadar, porque aquella importantísima plaza fuese una ciudad libre y an • mente á D. Ramón Felíü, secretario del despacho de la Gobernación seática antes qu…</t>
  </si>
  <si>
    <t>Evaristo</t>
  </si>
  <si>
    <t>…arduña á la manz. 497, y está entre di D. Francisco Olavarrieta y á D. Eugenio de Larrnmbide.=En Extre cho monasterio, que tiene el núm. 1, y tiene de sitio 6417 pies cua madura á D. Evaristo de la Dehesa y D. Josef Antonio Serrano. drados superficiales, y tasada en la cantidad de 374,944 rs. Quien qui En la de Aragón á Don Josef Ramón Sirera. = En la de-Valencia á siere hacer postura y mejoras acuda dentro de dicho término ante S. S. D. Fernando…</t>
  </si>
  <si>
    <t>Evrz, Simón Antonio de</t>
  </si>
  <si>
    <t>Simón Antonio de Evrz</t>
  </si>
  <si>
    <t>…entes ge Doña María Manuela de Goicoechea , de Fuenterrabía, remitió por nerales y 14 mariscales de campo, cuyos nombres se citan. Las colum el correo de 13 de Abril de este año á D. Simón Antonio de Evrz, de nas de los periódicos de París están llenas de la relación de Ja augusta Madrid, 19 vales consolidados de á 100 pesos, núins. 18,850, 18,851, ceremonia del bautizo. 18,852, 18,853, 18,854, 18,855, 18,855, 18,857, 18,858, 18,859, 18,860, 18,8&lt;5t, 18,862,18…</t>
  </si>
  <si>
    <t>Excelencia, Vicente Satuctratamiento de</t>
  </si>
  <si>
    <t>Vicente Satuctratamiento de Excelencia</t>
  </si>
  <si>
    <t>…Mostrencos contra el F.xcmo. Sr. D. Josef María Carvajal, bramiento. Art. 5.0 La junta tendrá en la correspondencia de oficio el teniente general délos egércitos nacionales, y el Sr. D. Vicente Satuctratamiento de Excelencia. Art. 6.a El secretario deberá ser sugeto de ci, marques de Salucci, y en su nombre con los síndicos de su quie probidad y conocida instrucción, y digno por todas sus circunstancias bra, sobre denuncia de los bienes y efectos de que se compone el vín: de la c…</t>
  </si>
  <si>
    <t>Excrno</t>
  </si>
  <si>
    <t>…mismo da q ien se ha Ja isla de Mallorca; y re ha acordado lo conveniente para bla ; que hicieron con él varios tratados de paz y alianza. y que renga efecto la intención de dicho Sr. Excrno, pactos Je familia; q.w se gloriaban de llamarse sus intimas amiras r alia las, y que desempeñaron para con ¿1 todas Madrid zj de Enero. las obligaciones que estos tirulos les imponían S;c. Scc. Seo. SS. MM. y AA. continúan sin novedad en su impor ¿ Por qué e…</t>
  </si>
  <si>
    <t>Exinoulh</t>
  </si>
  <si>
    <t>…rior Constantinopla no produciría mejores efectos que los que produjo el por uña carta dirigida al subsecretario de Estado con un correo par- bombardeo de Argel por Luis xtv y por lord Exinoulh. t cu'ár , é igualmente se avisó esta funesta ocurrencia al lord corregidor. Por otra parte ¡qué potencia de Europa querrá consentir en qué la Parece qde no se han oficiado el ministro del luterior y el lord corre Rusta se estab ezca sobre las orillas del Bos…</t>
  </si>
  <si>
    <t>Exmonvh</t>
  </si>
  <si>
    <t>…le ha escrito la siguiente carta: ses, quienes luego que tuvieron noticia de aquellos sucesos habian he Lúea y de Junio de 1821. Mi querido Desgeneys: cedo en fin con cho salir al lord Exmonvh ( el mismo que bombardeó á Argel) con mucho sentimiento á las reiteradas instancias que me habéis hecho para cinco navios de línea y gran número de fragatas, corbetas y transportes que os relevara del gobierno de Genova, que habéis estado desempe para estar á…</t>
  </si>
  <si>
    <t>Exmouth</t>
  </si>
  <si>
    <t>…recibieron con agrado. fue puesto en libertad en el año 16 por la expedición que contra aque A la de Caminos y Canales una exposición del capitán general de lla Regencia mandó el lord Exmouth, se le considere como empleado Cataluña, en que acompañaba un plano de una carretera en la misma público todo el tiempo que no ha estado en egercicio, y se le satisfaga provincia, formado por D. Antonio'Baza. por la tesorería general el sueldo de i3í)rs. que…</t>
  </si>
  <si>
    <t>…por la incuria del ministerio francés, sujetos á esa __Hoy corre en esta ciudad la noticia de-que la escuadra inglesa , man Austria, que se ha hecho señora de la Italia. dada por lord Exmouth , se ha.apoderado de Alejandría. Por el con « Luego queréis la guerra, me responderá el ministerio, porque solo trario, en el periódico ingles The Times se dice: « Que en Lóndres se la guerra podía impedir que se llevasen á efecto las resoluciones de ignoraba…</t>
  </si>
  <si>
    <t>Eyck, Cuadros Ae</t>
  </si>
  <si>
    <t>Cuadros Ae Eyck</t>
  </si>
  <si>
    <t>…pintorescos, y á una admirable mezcla de instancia los Sres. D. Manuel de Echevarría , diputado por la provin tintas. : cia de Canarias; D. Pedro Antonio Cosío, por la de Granada; Don Cuadros Ae Eyck. Un ingles ha comprado, en Aquisgran dos her Francisco Javier Caro, por la de'Sto. Domingo, y D. Josef Mariano mosos cuadros de Eyck- ( Hubertvan.); que adornaban en otro tiempo Michelena, por la de Nueva-España. 2.°La sala de segunda instancia la la catedral…</t>
  </si>
  <si>
    <t>Éyriz, Simon.Antonio de</t>
  </si>
  <si>
    <t>Simon.Antonio de Éyriz</t>
  </si>
  <si>
    <t>…cumplimiento, en Está rubricado de la Real mano.=Pa- rabía á la expresada Doña María Manuela di Goicoechea , ó á Madrid lacio 30 de Abril de 1820. = A D. Antonio Barata.” á dicho D. Simon.Antonio de Éyriz, que vive calle alta de S. Vicente; número 6. A consulta del consejo de Estado se ha servido nombrar el Rey Por providencia del Sr. D. Angel Fernandez de los Ríos, magis para las judicaturas de la provincia de.Granada, inclusas las de Mála trado honorario de…</t>
  </si>
  <si>
    <t>Ezcurrá, Silvestre</t>
  </si>
  <si>
    <t>Silvestre Ezcurrá</t>
  </si>
  <si>
    <t>…ián Ruiz nota. En la gaceta del domingo 13 del corriente , sesión de Cortes, Marín; para la de Nerja i D. Juan Sahagun Vicente j para la pri lía. 14, donde dice D. Silvestre léase D. Silvestre Ezcurrá, SUPLEMENTO</t>
  </si>
  <si>
    <t>Ezeiza, Josef-María</t>
  </si>
  <si>
    <t>Josef-María Ezeiza</t>
  </si>
  <si>
    <t>…e ella.dos criados del env'tadoholantilputáciori provincial. ‘ .....[ ■■■- - : ¡■ ^ des. Lá Dieta polaca comenzó sus sesiones a principias-de iGctubre^; &gt; ",' i¡ Sebastián; 'El SE D. Josef-María Ezeiza, propietario:'y comer- Un periódico de está''¿abilál'ha anunciado: hoy haber llegado, ayer -cíaiite: ~ ; ! uhrsugetó con pliegoS'de'tmestró- embajador de Párisl u Se-’asegura ,áfia'• 'Azfeitia. JE! Sr. 'D.’Josef María Závala, própiétárib y vocal de la de v ’i…</t>
  </si>
  <si>
    <t>Ezpe'eta</t>
  </si>
  <si>
    <t>…; existencia anterior 1 50 : entrados ó aco pidió que se mandase pasar á la comisión el citado oficio. ja :i¡dos 41: salidos ó curados 3 ; convalecientes J4 : muertos 32 ¡ exis El Sr. Ezpe'eta dijo: Algunos Sres.diputados están en la inteligen tentes- 164. cia de que estas dotacioaes son excesivas; pero yo puedo demostrar que Ciudad, existencia anterior 322 : entrados ó acometidos 31-. salidas son demasiado moderadas, y prueba de esto es el máximum…</t>
  </si>
  <si>
    <t>Ezpeieta</t>
  </si>
  <si>
    <t>…. 5.0 del que están ya aprobados por las Cortes. sistema genera! ds Hacienda sobre tabaco y sal. Art. 16. &gt;» Lo dispuesto en el art. i.° se ha de realizar , igualmente Adición de! Sr. Ezpeieta al art. 9-0.-,, Teniendo entendido haberse que en todas las diócesis; en los territorios y pueblos correspondien establecido en la ciudad de S- Sebastian de Guipúzcoa una fábrica de tes á las encomiendas de las cuatro órdenes militares y de S. Juan, tabacos ,…</t>
  </si>
  <si>
    <t>…e los Pares. Sr. Sancho, 5 cada uno de los Sres. Janer y Gareli ,"3 respectivamente «Señor: no hay súbdito vuestro-, no hay extrangero que viajando los Sres. Novoa y Mediano, 2 el Sr. Ezpeieta, otros, yel Sr. Navarro por vuestro imperio no haya visto y admirado ese rápido desarrollo de (D. Felipe), y uno cada uno de los Sres. Rovira , Aivarez Guerra, nuestras riquezas y de nuestra felicidad interior, cuya descripción no ha Zubia, Manescau , Quintan…</t>
  </si>
  <si>
    <t>Ezpelcta</t>
  </si>
  <si>
    <t>…ó brigadieres, será uno de ellos al Motril , AJhambra de Granada, Saulúcar de Birrameda, Puerto de propio tiempo comandante de la provincia.” Sta. María y Ayamonte.” Aprobado. El Sr. Ezpelcta: Me ocurre .una dificultad para aprobar este artícu Art._9,° «Los gobiernos del castillo de Monzon, ciudadela de lo, y es que si se reúnen en un sugeto las dos autoridades que se citan, Barcelona, Seu de Urgel , Murviedro y Denla, quedan reducidos á [as no sé…</t>
  </si>
  <si>
    <t>Ezpelera</t>
  </si>
  <si>
    <t>…emás la propuestaróet Gobierno en esta parte , y que era evidente que el agregadas , que eran otras tres. Gübicrnoiilé estas plazas iria recayendo en los tenientes de rey y sar El Sr. Ezpelera manifestó que cuando había sucedido lo que decía gento, uta votes. * ti Sr. preopinante no tenían los comandantes generales los cargos que - JSlfor: Zorraquin manifestó.que ó debería suprimirse este artículo , ó teman en el dia. . i : expresarse- en éi que es…</t>
  </si>
  <si>
    <t>Ezpeleta</t>
  </si>
  <si>
    <t>…diputado. u gefes ;de palacio” -se añadiera'» secretarios del Despacho y.” 32. Podrá el presidente imponer silencio, y mandar guardar mo No se admitió ávdfScúsion otra adición del Sr. Ezpeleta al artículo deración á los diputados que durante la sesión cometan algún exceso, 7.0, en-la que pedia qfié-'dfespues de la palabra « clase” se dijera « ex en cuyo caso será obedecido; pero si el diputado rehusare obedecer, cepto los militares y demas enipleaa…</t>
  </si>
  <si>
    <t>…mi Art. x 1. „ La base para la formación del egército permanente será la nos que previene la Constitución.” población, determinada por los mismos censos que sirvan para la elec El Sr. Ezpeleta dijo que habiendo tenido presente esa misma obser ción de diputados, dé Cortes.” ■ * vación, -debería ponerse el artículo en estos términos: ,,La guarnieron An. 12. ,^Segun esta base señalarán las Cortes á cada provincia la. de cada distrito militar se compon…</t>
  </si>
  <si>
    <t>…ia poner . esta cir que ha impuesto aquel ayuntamiento sobre cierta clase de géneros, c.on . cunstancia. devolución de lo que haya cobrado. El Sr. Serrallach apoyó el-dictamen del Sr. Ezpeleta, manifestando A la de Hacienda y Guerra unidas una exposición del inspector-, que no estando, acostumbrados los individuos.de que se trataba á esta general de milicias para que se aumente él sueldo á los oficiales , sal- . práctica, se debían hallar perplejos…</t>
  </si>
  <si>
    <t>…por la libertad de sus pueblos, y por el bien de su patria. La fa forme que tuviesen por mas convenjéAtei. ... milia Real del Piamonte es incapaz de semejantes máximas y detes El Sr. Ezpeleta dijo que lá comisión había creido debia parar poco tables principios; y asi cuantos documentos veamos en su nombre que la consideración sobre los uniformes; ;.qúe cada pueblo adaptarle'.el que las encierren, los tendremos si no por apócrifos, á 1® menos por o…</t>
  </si>
  <si>
    <t>…Sr. Muñoz Torrero; y á S. S. le pareció que no era contrario plazo se verificase como mas conveniente fuera. ni se oponía á la Constitución. La comisión ha tomado todas las pre El Sr. Ezpeleta dijo que el asunto principal consistía en fijar por cauciones para no menoscabar la autoridad Real; pero desde luego este año la.base del reemplazo del egército; y.que siendo necesario en creyó que las facultades que á esta da la Constitución tenían algún ob…</t>
  </si>
  <si>
    <t>…tos naba que debían pasar estas representaciones al Gobierno, con urgencia, que correspondan á ellos.” á .efecto de rectificar dkho artículo,, y dar á los tapones’de corcho el .El Sr. Ezpeleta manifestó que desearía saber por qué se adjudicaban .valor más aproximado que se pudiese-; y este dictamen fue aprobado. . al Crédito público los bienes de 'que se ./trataba; á lo que contestó el La de. Legislación presentó el, suyo acerca de las. representac…</t>
  </si>
  <si>
    <t>…do por tesorería general los en la causa del general Porlier. 401; millones que le adeudaba la Hacienda nacional. A la comisión de Pod res se mandaron pasar los presentados por El Sr. Ezpeleta manifestó que no debia fundarse e! paco de este ir.-" D Josef María Quirós y Míllan , diputado electo para Jos años de th20 leresado en la contrata que había hecho, porque se verificaba en las es y 21 por la provincia de Sonora y Sinalo». crituras de los capi…</t>
  </si>
  <si>
    <t>;80O zon de no tener que pagar empleados para el resguardo ni para las de ARTICULO DE OFICIO. más oficinas que son consiguientes al estancamiento cíe este género. Él Sr. Ezpeleta preguntó si se indemnizaría , como era justo , i los Circuitsr tiel ministerio de la Gobernación de la Península. que hubiesen empezado á fomentar alguna fábrica , como creía que su El Sr. secretario del Despacho de Hacienda con fecha de 13 del cedía en S. Se…</t>
  </si>
  <si>
    <t>…hospital de taba entendiéndose solamente respecto de los empleados actuales. Apro la plaza de Alhucemas, solicitando la ración’de presidio de 68 mara bado. vedises diarios. " Del Sr. Ezpeleta al art. 77: » Que se añada al filial estas palabras, El dé la Real casa de Penitencia (vulgo Recogidas ) sobre que se expresando que son de regadío 6 secanoLa comisión la adoptaba en le continúe la consignación de 23 rs. en cada .extracción de lotería, ó los…</t>
  </si>
  <si>
    <t>…e sus descen campo D. Felipe de Arco Agüero, D. Miguel López Baños, D. De dientes. . , metrio O-Daly y D. Carlos Espinosa, y aL brigadier Vázquez, se les Después de haber hecho el Sr. Ezpeleta algunas observaciones sobre concediese una renta de 401) rs. en los mismos términos que á los an que estos bienes no debian pasar á sus sucesores, y solo disfrutarles tecedentes: que las Cortes los recomendasen á S. M. para que les conce aquellos que hubiesen…</t>
  </si>
  <si>
    <t>…NALES. en virtud de la Real orden de 29 de Diciembre de .1814, y no hayan En la extracción de la primitiva lotería nacional, egecutada en la, sido pagados; cuya adición propuso el Sr. Ezpeleta, y adoptó la co tarde de este dia , han salido por el mismo orden con que aqui se ano misión. tan los cinco números siguientes: 77, 67, 49, 90 y 73. El Sr, Sánchez Salvador hizo una indicación á consecuencia de, El premio de 2500 rs. vn., concedido en todas l…</t>
  </si>
  <si>
    <t>…uientes: nombra rado (al discutirse el art. 192) al clero de España independiente, como dos por el Gobierno.” • •lo habia manifestado el Sr. Muñoz Torrero cuando dijo en dichas El Sr. Ezpeleta hizo una indicación relativa á que él pago de sesiones: « El clero de España se halla en este caso, debe ser indepen correo dé oficio que se proponía para Jos empleados de las aduanas y diente, porque no recibe su subsistencia del Gobierno, sino délos mis- de…</t>
  </si>
  <si>
    <t>…mplemento, que se verificará en i.° de Enero de 1828, para llas -representaciones. lo que en cada uno de los primeros cuatro años se pagarán go millo Se aprobó otra indicación del Sr. Ezpeleta , relativa á que se dijese nes de reales , y en los dos últimos años se pagarán 40 millones de al ministerio de Estado que en el dia pasase á la comisión de Política reales ; estos plazos podrán abreviarse poniéndose de acuerdo con la el expediente relativo á…</t>
  </si>
  <si>
    <t>…po Cantolla y Rovira para sa Se leyeron, y mandaron pasar á las comisiones de Guerra y Ha lir fuera de Madrid luego que las Cortes cierren sus sesiones. cienda, una indicación del Sr. Ezpeleta .y otro Sr. diputado, relativas Se dió cuenta de una exposición del ayuntamiento constitucional á que las Cortes decreten la observancia de la contrata celebrada entre de esta corte, en la que pedia se le concediese echar mano de varios re el Gobierno y las p…</t>
  </si>
  <si>
    <t>…tro apro habrá tiempo mas oportuno de presentarías al Congreso : que este pro badas aumentar la desaprobada. yectó después de estar conforme con la propuesta del Gobierno, esta El Sr. Ezpeleta hizo la siguiente indicación, que no se admitió á blece un sistema provisional é indispensable, paia que en algún tiempo discusión : » Que previamente se determine el número de provincias pueda ser hecho con la mas severa y puntual exactitud como corres que d…</t>
  </si>
  <si>
    <t>…rense, del mismo modo que los de Lérida catalanes &amp;c. .; y "asi penetración de los demás Sres. diputados. ; por mas que en ¡a división se diga provincia de Barcelona, provincia El Sr. Ezpeleta manifestó creia imposible el que aprobada una pro de Lérida, y asi sucesivamente, Lérida será Cataluña lo mismo quevincia se pudiesen desaprobar las demas, y con mayor motivo hacién Barcelona loes. Si esto se quisiese llevar adelante , seria el resultado dose…</t>
  </si>
  <si>
    <t>…ilitares, y otras varias te sin que estuviese en la mesa algunos días para instrucción de los personas, que con tan p ausible motivo han cumplimentado á S. M., Sres. diputados. El Sr. Ezpeleta expuso que nada se adelantaría con que qu.en se lia dignado admitir con su bondad característica á los que han se quedase sobre la mesa , en razón de que después de pasado el tiempo tenido la honra de besar su Real mano__ \simismo ha recibido S. M. correspond…</t>
  </si>
  <si>
    <t>…n necesidad de alterar la regla precaver males. El magistrado de sanidad del puente de Ancona ha general. participado al ¡cónsul de España que todo cuanto proceda de Cataluña • El Sr. Ezpeleta dijo que conveníase fijase sobre esto una regla ge quedará sometido al sistema de patente sucia, y al de sospechosa lo que neral , y que a los gefes de ciertas provincias, como v. gr. Cádiz , Co proceda de los pueblos comarcanos; quedando todos los demas que…</t>
  </si>
  <si>
    <t>…reflexiones sobre esle asunto, y manifestó sino á sus compañeros), sino á los mismos cuerpos de milicias.” que la comisión al proponer este artículo habia tenido presente la ra El Sr. Ezpeleta dijo que á pesar de ser individuo de la comisión, y zón que habia dado el Sr. Romero Alpuente , que los oficiales agrega de haber firmado este dictamen, conocía que el artículo de que se tra do; á un cuerpo no servían á la Nación sino á sus compañeros, y que…</t>
  </si>
  <si>
    <t>…o tanto que pasaban por ban que están en sus casas con licencia , tampoco creo que los deben obte deras. ner los oficiales del egército permanente que pasen.á la milicia activa El Sr. Ezpeleta apoyó el dictamen del Sr. secretario del Despacho, con las dos terceras partes de su sueldo. £1 dictamen de la comisión da y con este motivo hizo presente lo que había sucedido en la última una exclusión á estos individuos cuando se hallen en campiña; pero ca…</t>
  </si>
  <si>
    <t>…los guardias marinas destinados seguridad que no la posibilidad de que un ministro atendiese á sus en ellas. Art. 51 «Cuidarán los comandantes de las corbetas de que los hijos.El Sr. Ezpeleta dijo que asi como se había opuesto antes al art. 45-, guardias marinas tengan los instrumentos, libros y cartas necesarias y había votado en contra , porque se establecía un privilegio que no para la egecucion de lo que deben practicar.” debia existir, ahora…</t>
  </si>
  <si>
    <t>…Lallave, y no lijar de expresiones tan chocantes, ninguna razón para que se dejase de aprobar el artículo. podría decirse- que será despedido el guardia-marina que se muestre 1:1 Sr. Ezpeleta dijo que dfseaba hacer algunas observaciones en pro ■incorregible: en lo que convino el Sr. Obver en nombre de ¡a comisión. y en contra del artículo: que apoyaba el dictamen de la comisión en El Sr. Díaz del .Vloral dijo que se estaba en el momento de poner c…</t>
  </si>
  <si>
    <t>…rminos que habia Art. 83. Ei segundo comandante de. cualquier buqLe seré, ei en indicado el Sr. Golfín. cantado prietamente de llevar laderrouiy dtsernp: ñ.ir las .«nugaciones F.l Sr. Ezpeleta: Puesto que les Cortes han aprobado el art. 76, no que hasta ahora eran propias de los: primeros pilotos, y tendrá- para tendría inconveniente en aprobar el art. 77 tal como se levó la prime ayudarle en e! desempeño de este-encargo la. facultad deeegr uno de…</t>
  </si>
  <si>
    <t>…se mas desgraciada del egército, esto es, en mucho menos tiempo que el que se designa si fuese necesario. con los pocos tenientes que llevan 12 anos de servicio, siendo asi que El Sr. Ezpeleta apoyó el dictamen de Ja comisión haciendo varias todos los demas del egército, y aun los gefes, no han tenido este atraso observaciones acerca de los perjuicios que se seguirían si se adoptase la tan considerable? ; Se ha de dar esta regla en atención á los m…</t>
  </si>
  <si>
    <t>…en de la comisión de Guerra, relativo á la duda aquellas los mariscales de campo que no los brigadieres. propuesta por la junta general de inspectores sobre la incompatibilidad El Sr. Ezpeleta observó que se debía tener presente la diferencia que parecía existir entre el decreto de 30 de Mayo último r el artí que habia entre el sueldo de un mariscal de campo y el de un briga culo 46 del proyecto orgánico del egército, á lo que habia dado origen die…</t>
  </si>
  <si>
    <t>…preopinante se sustituyesen en vez de ta ninguno. Total 39. ■ coche, la comisión, ó á'io menos él por su parte, no tenia ningún in conveniente. Madrid Viernes 0.3 de Noviembre. El Sr. Ezpeleta indicó que era necesario se expresase el peso de la maleta ó cofres; y.después de una corta discusión, se acordó que vol CORTES EXTRAORDINARIAS DEL AÑO DE i8»i. viese el artículo 4 la comisión. Art. 9.0 r&gt; En la comprensión del término de dicha línea no se PR…</t>
  </si>
  <si>
    <t>…sujetasen al derecho de 10 por roo en su entrada: esto ine parece comprendiesen en esta disposición. ' " -"i' muv razonable; y 3.1 quedas máquinas que no son conocidas en Espa El Sr. Ezpeleta dijo que debían añadirse las demas que estaban etr ña, como v. gr., la de moler aceitunas que ha dicho el Sr. Gisbert,' igual caso , á cuyo fin hizo una adición para que después de la palabr* sean libres de entrada que éralo mismo que deseabaS. S.; y luego co…</t>
  </si>
  <si>
    <t>F'ernandez, Angel</t>
  </si>
  <si>
    <t>Angel F'ernandez</t>
  </si>
  <si>
    <t>…, acuda al juzgado del expresado Sr. juez por la es cribanía de número de cargo de D. Feliciano del Corral.ledad y casas de la misma procedencia, en 18,757 rs. Por providencia del Sr. D. Angel F'ernandez de los Ríos, Otra casa contigua á la anterior, situada en el patio de ministro togado, y juez de primera instancia en esta M. H. villa,la Soledad, inhabitable, en 7226 rs. refrendada del escribano de número D. Vicente de la Costa, Otra casa frente del hospita…</t>
  </si>
  <si>
    <t>Fabeck</t>
  </si>
  <si>
    <t>…iba á atacar y á castigar á los rebeldes. Choumourli-Agá hizo ciegos, 'piensa y escribe de otro modo. que se levantaran en masa todos los habitantes de sus feudos, tanto El nu ;vo capitán Fabeck, que se dedicó por mucho tiempo y con griegos como turcos , en número de unos 5O hombres; pero cuando rande zelo á organizar y enseñar el egercicio militar á los heunstas de se avistaron los dos egércitos, el bey, que hacia mucho tiempo man Í assy, y de quien…</t>
  </si>
  <si>
    <t>Fabián</t>
  </si>
  <si>
    <t>…D. Tomas Martinez del Hortal, vecino de Cabeza del Buey,. Truj’llo. D. Josef Atocha. CORTES EXTRAORDINARIAS DEL AÑO DE iBai. . D- Juan Muñana Broncano , vecino del Campo. Mé&gt;-¡da. D. Fabián de la Barrera, de AUnendralejo. ÍRB5IDENCIA DEL SEílOR. MARTINEZ DB IA ROSA, 'D. Francisco Quintano, de la Fuente. Llerena. Se ignora. Sesión del zt de Noviembre. Vizcaya. Aprobada el acta de la sesión anterior, se dió cuenta de una ex Bilbao. D. Pedro Novia.…</t>
  </si>
  <si>
    <t>Fabian, Francisco</t>
  </si>
  <si>
    <t>Francisco Fabian</t>
  </si>
  <si>
    <t>…a Escalera , ministro ho raba n te : para el de Logroño á D. Francisco del Castillo: para el de Ca norario de la audiencia territorial, y juez interino de primera instan lahorra á D. Francisco Fabian: para el de A a reda á D Manuel Mateo cia , en los autos de testamentaría de D. Juan Rodrrguez, radicados en Gentico; y para el de Arnedo á D. Tomas Rebert y Pauló. la escribanía de D. Francisco de Paula Ribera y Lozano, se convoca á todas y cualesqiera perso…</t>
  </si>
  <si>
    <t>Fabre, Francisco Josef de</t>
  </si>
  <si>
    <t>Francisco Josef de Fabre</t>
  </si>
  <si>
    <t>…rtirá deudora á las ilustradas investigaciones de Mr. Delalande. el número de estas que permita el local. Aprovechóse especialmente de su estancia en la Cafrería pa . ... El socio D. Francisco Josef de Fabre abre'una cátedra ra proporcionarse esqueletos y cabezas ás algunos indivi de. historia.de España, y empezará sus lecciones el dia 3 duos de las tribus de aquel pais, cuyas castas son tan no del .próximo mes de Marzo, continuándolas los mártes y tables por su…</t>
  </si>
  <si>
    <t>Fabre, Josef</t>
  </si>
  <si>
    <t>Josef Fabre</t>
  </si>
  <si>
    <t>…d¡3rio con secundo batallón de! de la Princesa:» D. Pedro Baradiu, del primer tiene las mismas noticias particulares de Madrid que el antiguo , ios batallón .leí de Extremadura: á D. Josef Fabre, del segundo batallón bandos y órdenes del Gobierno político y ayuntamiento, las vacantes d.l de Malaga: a U. Francisco Castañera, del primer batallón del de y órdenes dei ministerio , noticias extrangeras las que mas interesan, y Ordenes Militares: ál). Joaq…</t>
  </si>
  <si>
    <t>Fabrega, Gregorio</t>
  </si>
  <si>
    <t>Gregorio Fabrega</t>
  </si>
  <si>
    <t>…da, y su calle que lla ear ál). Agustín Lozano; para la de Velez-Rubio á D. Juan Torre man del Barranco, perteneciente á Esteban Perez, tasada en la canti cilla; para la de Vera á D. Gregorio Fabrega; para la de Cantoria á dad de 5532 rs. vn. Quien quisiere comprarla acuda á dicha hora en el D, Luis López Rozas; para la de Purcherna, á D, Francisco Fernan mencionado sitio y dia. dez López; para la de Tabernas á D. Melchor Cortés Llamas; paro la María Mone…</t>
  </si>
  <si>
    <t>Fado</t>
  </si>
  <si>
    <t>…ardenales de la creación de Pío vi, que son el cardenal List. El Sr. de Fenerlein impugnó-el’primero esta exposición, declaran* de la Somaglia, que recibió el capelo en 1795, y e! cardenal Fado que los principios establecidos en ella, asi como ios manifestados en el bricio Ruffo, que fue reservado in pecUre en 1791, y declarado en escrito del Sr. List, debían ser por precisión altamente desaprobados. 1794, el cual es el mas antiguo de los cardenales…</t>
  </si>
  <si>
    <t>Fadrique</t>
  </si>
  <si>
    <t>…s. en escudo que resulte de la paga de Huesear los de la misma orden de franciscos observantes; en la Puebla un mes del sueldo que el individuo acaba de gozar al que nuevamente de D. Fadrique el de la Purísima Concepción de S. Pedro de Alcántara, seles señala. Bajo estos datos procederá V. S. á rectificar los pagos que agregándole los religiosos del de Caniles de igual instituto, que se su se hayan realizado sin sujeción á ellos, sirviéndose avisa…</t>
  </si>
  <si>
    <t>Fagel</t>
  </si>
  <si>
    <t>…mpedir que el Aus la orden de los Guelfos al general conde de Lieven, embajador de Ru tria poseyese algunos distritos de ella, y aun le quitó varios territorios sia en Londres: al barón Fagel, embajador de los Paises-Bajos: al con para dárselos á iá casa de Saboya. de Woronzow, ex-embajador de Rusia eír- Lóndres: al general conde « Bien diferente es la conducta del Gobierno actual, pues mira con Miguel de-Woronzow; al conde de Nesselrode , conseje…</t>
  </si>
  <si>
    <t>Fagoaga</t>
  </si>
  <si>
    <t>…para establecer una ley habian usa tomen en consideración los decretos sobre jurados. do precisamente de un modo de hablar que presenta un sentido dia Se aprobó una indicación del Sr. Fagoaga , para que por medio del metralmente opuesto ál que la ley tendria por objeto. Si el artículo tie Gobierna se pida informe á la junta nacional del Crédito público de ne el sentido que se quiere darle, ¡había mas que decir: ningún señorío las medidas que haya…</t>
  </si>
  <si>
    <t>…que prevención al vírey de que la comunique sencillamente á los disidentes.” las presentes vieren y entendieren, sabed: Que las Cortes han decretado jSe aprobó otra indicación del Sr. Fagoaga concebida en estos térmi lo siguiente: » Las Cortes, usando de la facultad que,se íes concede por nos: Que el ministro de Ultramar, en atención á lás circunstancias en Ja Constitución, han decretado: Se declara nula y de ningún valor toda que se halla la Nuev…</t>
  </si>
  <si>
    <t>1473</t>
  </si>
  <si>
    <t>…electores d: par Se prosiguió la lectura del código penal. tido para el nombramiento de lo» diputados de provincia, para desem Entró á jurar, y tomó asiento en el Congreso el Sr. diputado Fagoaga. peñar las atribuciones de la diputación provincia! , con sujeción en un Se procedió á ia discusión en su totalidad del dictamen de la co todo á esta. misión sobre división del territorio español. 3/ o Que la provincia de Aragón se divida, con arreglo al art.…</t>
  </si>
  <si>
    <t>Fagundes</t>
  </si>
  <si>
    <t>…ney fue muerto de un tiro, es decir, el martes 14 de Agosto de 1821.”* podía menos 'de decir que no comprendía como podía ser culpado te niendo las ya indicadas ideas. FIANCÍA. El Sr. Fagundes dijo que el conde de Arcos era demasiado astuto para que dejase de manejar un asunto semejante de modo que no se le Parts 18 de Setiembre. pudiese probar. Se ha recibido una carta de Roma, de la cual hemos extractado lo El Sr. ALves do Rio dijo que no corresp…</t>
  </si>
  <si>
    <t>Fajardo, Diego Saavedra</t>
  </si>
  <si>
    <t>Diego Saavedra Fajardo</t>
  </si>
  <si>
    <t>…r cuán per pere: el g.1' Varios escritos dei licenciado Gerónimo de Cevallos.Don niciosos son estos hombres, y cuán detestable es la hipocresía con que Guillen Barbón y Castañeda, D. Diego Saavedra Fajardo, D. Juan de traidoramente se ocultan para socavar, minar y trastornar el orden pú Palafox , D. Josef Pellicer de Ossau , Francisco Martínez de la Mata, blico. Los pueblos, al mismo tiempo que los aborrecen y temen su fa P- Fr. Juan de Castro &amp;c.; y el 4.0, qu…</t>
  </si>
  <si>
    <t>Falarca</t>
  </si>
  <si>
    <t>…cretario, y otro las de contador, ambos elegidos por ia mis su pronta venida á las Coites. ma junta, y aprobados por el ayuntamiento. Igualmente se aprobó la siguiente adición del Sr. Falarca á la se- Art. 8.^j,7ifSi por haber en un pueblo muchos establecimientos de gur.d.1 de dichas disposiciones: w Sin perjuicio de las leyes sanitarias.” beneficencia-fuesen tantas las ocupaciones de estos cargos, que la ¡un ha mandó agregar al acta de la sesión…</t>
  </si>
  <si>
    <t>Falbe</t>
  </si>
  <si>
    <t>…l de estaño. Estas piezas de metal distaban una pulgada una tener un conocimiento perfecto de los puertos de Alejan de- otra, ... y todo el aparato estaba en comunicación dría. El Sr. Falbe , teniente de la marina dinamarquesa, apro por medio de una cadena metálica, con el' conduc vechándose dé su mansión en aquel puerto en 1817, levan tor de una máquina eléctrica, de modo que cada chispa de tó un plano de los dos puertos antiguo y moderno; y gr…</t>
  </si>
  <si>
    <t>Falca</t>
  </si>
  <si>
    <t>…sido lla mado; que como la discusión fue muy interesante no hubo lugar á Lisboa 24 de Mayo.__Sesión del 14. preguntar al Sr. ministro qué noticias eran las de Nueva-España; que El Sr. Falca» hizo la proposición de que no se presentas’eii proyec habian trascurrido ya algunos "días sin que se hubiese dado cuenta de tos ni se hiciesen proposiciones en los días destinados á leer los dictá ellas á las Cortes , y que según decián los papeles públicos…</t>
  </si>
  <si>
    <t>Falces, Pío</t>
  </si>
  <si>
    <t>Pío Falces</t>
  </si>
  <si>
    <t>…término de Vargas, al sitio que llaman de Varillo», que se dicen aprendidas en.la casa de D. Domingo Carbajo. de cabida 8 fanegas y un celemín de marco real de á 500 estadales, 87 D. Pío Falces, coronel del regimiento de infantería de la Co con 6 olivas, procedentes del monasterio del Escorial, en 4793 rs. rona en Jaén, preso en 3 de Abril á virtud de despachos librados en 10 y 30 de Marzo, por indicios y vehementes sospechas de conspira Estación de…</t>
  </si>
  <si>
    <t>Falcó, Antonio</t>
  </si>
  <si>
    <t>Antonio Falcó</t>
  </si>
  <si>
    <t>…Florez, D. Cesáreo monasterio de S. Prudencio, para cuyo primé'r rema Ampuero, D. Eduardo Pose, D. Ramón Hacha, D. Fran te, que se ha de verificar en la ciudad de Logroño, cisco y D. Antonio Falcó, D. Antonio Arévato, D. Josef esta señalado el dia 24 del presente. Aguilar, D. Santiago Irazabal, D. Josef Donesteve, Don Una casa en el arco de la Compañía de la ciudad de Baltasar Salomón y D. Joaquín Roca; y con la de 6 del Logroño, en 2,200 rs. mismo Feb…</t>
  </si>
  <si>
    <t>Falcó, Bernardo</t>
  </si>
  <si>
    <t>Bernardo Falcó</t>
  </si>
  <si>
    <t>…seo que manifiestan de come do de la audiencia territorial de Madrid; D. Vicente Navarro Tejeiro, ter escandalosos y funestos excesos en el saqueo y asesinato de los cris abogado; D. Bernardo Falcó, presbítero; D. Manuel Beltran de Lis, tianos, y por el descontento que han mostrado al partir para et Da capitán retirado; D. Jaime Gil, presbítero; D. Juan Rico, vicario genubio, no menos que su voluntad de volverse al Asía. Enmedio de n. ral castrense; D.…</t>
  </si>
  <si>
    <t>Falcón, Joaquín Nuñez</t>
  </si>
  <si>
    <t>Joaquín Nuñez Falcón</t>
  </si>
  <si>
    <t>…ido. í.° Son dueños de Santiago;¡..el"Dr. Rey, ídem; el Dr. Pedralbes, ídem en medicina; Don -Jamayor parte de las plazas, 3.0 El Sultán puede proporcionarse mucho Josef Alcalde-, D. Joaquín Nuñez Falcón, capitán de navio; D..Josef -dinero' si obra con prudencia.-.4.*’ Tiene mas recursos que. los-griegos Taboada, oficial de la secretaría de la Gobernación de la PenínsuIa; -para-fabricar armas y municiones. La absoluta ignoranciadel arte.de la D.-Josef Santiag…</t>
  </si>
  <si>
    <t>Falé, Antonio</t>
  </si>
  <si>
    <t>Antonio Falé</t>
  </si>
  <si>
    <t>…petado demasiado escrupulosamente los principios! Confieso Sesión Je Cortes del TO. que no las veo en ninguna parte, y los egemplos contrarios se encuen Se tntó de lo* papeles del Sr. Antonio Falé y del antiguo mi tran en todas.... nistro de Negocios extranjeros, y se dijo que era ya iníitil que la co« Debemos notar ademas que aunque en el intervalo que medió s.iiiion diese su dictamen sobre el ex-ministro, pues que no tenia otro desde Mayo de i di y h…</t>
  </si>
  <si>
    <t>Faliño</t>
  </si>
  <si>
    <t>…a, '.y que tantas vepuede extenderse la libertad de escribir sobre las opiniones de los Sres. -ces ha egercitado en estas provincias con millares de extraviados, nó diputados__ El Sr. Faliño opinaba que no debía tratarse mas de este queda esperanza en lo humano de sacar á este hombre de! caos en que asunto; y que si el Sr. diputado autor de la proposición se hallaba-ofen- se ha sumergido voluntariamente. Por lo tanto está fuera de la pro dido, po…</t>
  </si>
  <si>
    <t>Fallí, Luccheri</t>
  </si>
  <si>
    <t>Luccheri Fallí</t>
  </si>
  <si>
    <t>…on un entusias - ballero Rafael de San Giorgio , el marques de Andria, el teniente ge ino casi igual al de estos. Parece que los arnautas y todas las tropas que neral Fardella, el mariscal Luccheri Fallí, monseñor Carlos María 110 profesan el mahometismo se lian pasado al partido de los insur Rossini, el presidente Marrano, el abate Samo, el príncipe de Scílla, gentes 1 y por esta conducta ha quedado el bajá de Morea privado de el marques de Spaccaforno, el c…</t>
  </si>
  <si>
    <t>Falvier</t>
  </si>
  <si>
    <t>…ia y en una de sus sesrones presentó el general Lafayette una petición fir de la coronación, cuya fiesta duró desde las diez de la mañana hasta la mada por el general Gourgaud, el coronel Falvier y otros muchos ciu una , se presentó S. M. á las dos- puertas de Westminster, y en ambas dadanos con el objeto de que se pidiese al Gobierno que reclamase el se le negó la entrada. I.a solemnidad se verificó con el mayor orden,y cadáver de Napoleón en Sta. El…</t>
  </si>
  <si>
    <t>Falzetti</t>
  </si>
  <si>
    <t>…la na mientos .expresados en su carta. Mr. Fradieu, de Senlis, en Francia, ción, sino en’sn" favor v defensa. Y por último dijo que ni podía remitió también otra obra. El teniente coronel Falzetti pide se le au faltar á la fe de sus iuramentos, ni mudar la resolución que había to torizase para levantar un escuadrón, de caballería equipado á expensas mado d: dar parre de todo a-la nación, para que esta pud-.ese juzgar de suyas. Se declaran válidos los m…</t>
  </si>
  <si>
    <t>Fan, Josefa y</t>
  </si>
  <si>
    <t>Josefa y Fan</t>
  </si>
  <si>
    <t>…aprobada el acta de la sesión anterior, se mandó agregar i ios católicos; este consiste en una declaración firmada por el Dr. Mi- ella el voto de los Sres. Diaz Morales , Romero (D. Josefa y Fan 11er y otros dos eclesiásticos romanos. Declaran estos francamente que farria, contrario á la adición del Sr. Martínez de la Rosa al ait. g.' los bilis presentados por Mr. Plunkett á la C unara de los Comunes no del proyecto de ley sobre sociedad.es patriótic…</t>
  </si>
  <si>
    <t>Fano, Mariano</t>
  </si>
  <si>
    <t>Mariano Fano</t>
  </si>
  <si>
    <t>…á esta solicitud. separado de él, fue apresada el 4 del corriente en la lat. g&lt;5’ 51' y long. Se leyó por segunda vez el proyecto de ley sobre división de terri4' O. de Cádiz: el capitán D. Mariano Fano y tripulación del torio esnañol. bergantín español Mira. Sra. de! Carmen, que salió de Tarragona para Se leyó el dictamen de la comisión Eclesiástica, en la que propo la Cortina el i.° de Abril con carga de aceite, vino y otros efectos, y, nía las bases que i…</t>
  </si>
  <si>
    <t>Fansarte, Manuel</t>
  </si>
  <si>
    <t>Manuel Fansarte</t>
  </si>
  <si>
    <t>…ts. 109, 110 &amp;c. hasta el 121 in Dionisio Larrosa. = D. Pedro Aznar.ez:Di Manuel Vallen. zzD. lo clusive , y los 125 ,,129 , ,13o y 135 , poniendo en su lugar los dos mas Bailo.zz D. Manuel Fansarte. = D.‘ Vicente Gracia. = D. Manuel siguientes: 1«L-a fuerza de este cuerpo será la que se estime necesaria Pascual.zrzD. Mariano Ferrcr.zzD. Pedro Milian.zz D. Manuel Ma para las atenciones de Ja armada; y i.u El Gobierno presentará los re ría.zrD. Mariano An…</t>
  </si>
  <si>
    <t>Far-</t>
  </si>
  <si>
    <t>…o publican los periódicos extrangeros acerca de los palabra de este Príncipe es tan verídica é. inmutable como pura: el cie acontecimientos de Ñapóles, añadiendo que con efecto el general Far- lo mismo habla por su boca. Nada temáis, si sois ¡tálanos... Venimos della habia ido á Florencia á comunicar con el Rey Fernando sobre la a redimiros, á daros la libertad... Vosotros, pueblos de Milán , da Tossituación de su reino, y que volvió á la capital c…</t>
  </si>
  <si>
    <t>Fardella</t>
  </si>
  <si>
    <t>…cartas que no encontraría resistencia en les napolitanos; qué dad la nobleza, emigraron á porfia para la Su iza .y Francia. La junta se el Principe' Regente ltabia enviado con ei general Fardella un mea» acobardó, y hubieran desaparecido todos- ó casi, lodos sus individuos, sage á su augusto Padre pidiendo un armisticio y una amnistía general: si el abate Marentini, vocal de ella, imperturbable y sincero consti que lo primero se había negado , y lo se…</t>
  </si>
  <si>
    <t>…n empicado nuevo. -Hacienda; el caballero Giorgío para el de Justicia; el Sr. VecchioArt. 2.0 » Que se supriman todas Jas direcciones protectoras parti n¡ para el del Interior; el general Fardella para el- de Guerra, y para culares de canales y caminos nacionales, encargando la continuación de el de Marina al Sr. Luccapalli. .dichas obras á los ingenieros de canales y caminos que tengan á su cui El Emperador de Rusia se ha dignado premiar los méritos d…</t>
  </si>
  <si>
    <t>…do; de ningu y señaladlos sitios donde deben depositarse las armas y vestidos: se ha na manera quieren confesar que podra romperse la guerra entre estas dos* lla refrendado por el Sr. Fardella. potencias; y no pudi.endo hacerse ilusión en cuanto a la conducta ob : Por otro decreto de la misma fecha se resuelve la organlz. -Ion del servada cotí el embajador ruso Strogonoff, hacen grandes cargos a este Egército,que debe reemplazar, aunque mas tarde,…</t>
  </si>
  <si>
    <t>Farkas, Francisco</t>
  </si>
  <si>
    <t>Francisco Farkas</t>
  </si>
  <si>
    <t>…ama ia pelienzos de algodón, la que tal vez podria ser útil para las fabricas de reza. Para vencer pues este efecto tan pernicioso del clima seria mepintados de Cataluña.__Otro al caballero D. Francisco Farkas por su nester que las leyes procurasen quitar todos los medios de vivir sin 1». invención, que consiste en poder echarse en el agua, y resistir á su bajar: ahora pues en algunos países las leyes han hecho rodo lo contra presión y penetración usando de un vest…</t>
  </si>
  <si>
    <t>Farmaki</t>
  </si>
  <si>
    <t>…os aquí,'y á 30 de ellos se les cortó ayer la cabeza en podrá aliviar á lo menos. Es una máxima sabida que el sistema de los diferentes barrios de la ciudad y de los arrabales. El capitán Farmaki gobernantes debe encaminarse á reunir á los gobernados, por mas que fue degollado en la calle principal de P. ra. haya personas que sigan la máxima perniciosa de dividir para reinar, y Las noticias de la isla de Candía son poco gratas para la Puerta. que espe…</t>
  </si>
  <si>
    <t>Fasquier, Cárlos</t>
  </si>
  <si>
    <t>Cárlos Fasquier</t>
  </si>
  <si>
    <t>…apítulo provin Art. 29. » Estando aprobado por S. M. el proyecto de nuevas po cial de los dominicos de Aragón, en que el vicario general de dicha blaciones en Tejas, propuesto por D. Cárlos Fasquier, y otro de los orden censuraba "agriamente á las Cortes y al P. Vilianueva, aunque compañeros suyos naturales de Suiza, el Gobierno podrá arreglarse í sin nombrar expresamente á aquellas, pero de un modo que no dejaba esta ley, designar en general la comarca…</t>
  </si>
  <si>
    <t>Faura, Josef</t>
  </si>
  <si>
    <t>Josef Faura</t>
  </si>
  <si>
    <t>…ayudante de cirugía de la plaza de Barcelona; D. Luis Ramón, cirujano del primer es parras, en 6674 rs. . En la misma provincia de Granada, procedentes del cuadrón de Artillería; D. Josef Faura, cirujano del re gimiento infantería de Jaén; D. Josef Alarcon, cirujano extinguido monasterio de la Cartuja, para cuyo pri del regimiento infantería de Málaga; D. Josef Vergara, mer remate, que se ha de verificar en aquella ciudad, primer ayudante de cirugía…</t>
  </si>
  <si>
    <t>FaUrea</t>
  </si>
  <si>
    <t>…sean en lo sucesivo los siguientes: La com da la pasará al contralor, y este la entregará á ios alcaldes.” posición y lectura de una disertación canónica ó. dogmático-moral, seEl Sr. FaUrea manifestó que debería expresarse en este artículo lo un la Carrera literaria de los opositores, y un detenido examen sobre mismo que en todos los demas; á saber: que se pasasen las nóminas á E1 disertación y materias canónicas y dogmático-morales. Asimismo la…</t>
  </si>
  <si>
    <t>Fazos, Jacinto Alvarez de</t>
  </si>
  <si>
    <t>Jacinto Alvarez de Fazos</t>
  </si>
  <si>
    <t>…n las cuales medicinas, podrán servirse hacerlo á los señores que se expresan á con eran todavía muy frecuentes en el mes de Agosto las prisiones y supli tinuación. Señores curas: D. Jacinto Alvarez de Fazos, calle de la Pe cios de los sacerdotes y prelados griegos. Los misioneros de la Sociedad lota , núm. 171. D.Luis Gargollo , calle del Calvario , núm. 134. Don Bíblica, á quienes los turcos han respetado por miramientos á lord Stran- Josef Veamurguia, calle An…</t>
  </si>
  <si>
    <t>Fclgu</t>
  </si>
  <si>
    <t>…14 de Ar ista.__Gabinete oe lord chimbelan. tes, é indirecta cuando á estos lo, elegían los electores. __El 10 á ia un., -ce bit i ci Rey corte eu el palacio Reai: al otro día El Sr. Fclgu aíras dió cuenta del decreto sobre la escarapela nacio por ia .noche habrá tertulia y reunión. nal , el cual fue aprobado, declarándose en éi que empezaría á regir en</t>
  </si>
  <si>
    <t>Fclgueiras</t>
  </si>
  <si>
    <t>…para continuar mas leyes de que se haría uso para oíros individuos que se Kal-asen en la en otra sesión. las mismas circunstancias ,ües decir , que no se les debe mirar sino co El Sr. Fclgueiras leyó un oficio en que sé participaba al Congreso mo ciudadanos armados Ahora bien , supongamos á un hombre ar haber llegado los diputados de Fernambuco, y otros varios documentos: mado , y que se halla rodeado por un populacho irritado; supongamos todo lo cua…</t>
  </si>
  <si>
    <t>Fcliu, Ramón</t>
  </si>
  <si>
    <t>Ramón Fcliu</t>
  </si>
  <si>
    <t>Gaceta de Madrid n.º 197</t>
  </si>
  <si>
    <t>…e á recogerle, ma, publique y circule. = Está rubricado de la Real mano.=En Pala y se avisa á los aficionados que se hallará de venta en la tienda in cio á 5 de Julio de 1821.2= A D. Ramón Fcliu. mediata al cafe de Lorencini y en la librería de Ortega. Plan eclesiástico sobre arreglo de parroquias, dándole tendencia al Circular del ministerio de la Gobernación de la Península. clero hacia la beneficencia pública. Este proyecto es un sistema parro Los…</t>
  </si>
  <si>
    <t>Fcrrer, Joaquín</t>
  </si>
  <si>
    <t>Joaquín Fcrrer</t>
  </si>
  <si>
    <t>…es, pues han resucito prestar atención á una fuerte represen León de J.u.’regui. tación del Senado de Caianrala , y enviar á dicho principe algunos Por l¡e provincia de Guipúzcoa. D. Joaquín Fcrrer. Suplente. El li. diputados, proponiéndole egecutar fielmente.todas las condiciones cu cenciado D. Josef Jjaqüih de Garmendia,'abogado y hacendado. yo cumplimiento exija..... . ,.t Este paso ha tenido el mas ventajoso resultado, pues Ipsilanti se diri CORTES…</t>
  </si>
  <si>
    <t>Fe</t>
  </si>
  <si>
    <t>…a Andalucía al mariscal de campo D. Manuel "Velatcc, que servía igual modificación hecha y una cláusula añadida. ■ ' destino en ExtiCmadura ; para este empleo al de la misma clase D. Fe Las noticias de Alemania hasta el 30 de Marzo anuncian ser bas lipe de Arco Agüero, comandante general de la provindcia de luy , y ' tante senas las turbulencias de la Moldavia y Valaquia. Parece que hay para su resulta al coronel D. Manuel Latre, comandante dtl…</t>
  </si>
  <si>
    <t>…ello , Milla , Freire, Solana , Ugarte y Ale , y los medios ordinarios no alcanzan á evitarla , es necesario acudirá me gría , Moreno , Desprat, Murfi, O-Gaban , Gaseo, Navar-.o £ D. Fe dios extraordinarios y dificiles: es pues preciso ver el origen de donde lipe), Yuste, Romero £D. Josef), CamtisHerrera, D-.az^Morales , So nace la falca.de obediencia, y que sé distingan ias prerogativas de la sa , Fernandez, López Constante, Guerra (D- Jose…</t>
  </si>
  <si>
    <t>Fe, Pedro Santa</t>
  </si>
  <si>
    <t>Pedro Santa Fe</t>
  </si>
  <si>
    <t>…orial de Castilla la servido nombrar para cuatro plazas de magistrados de la audiencia ter Nueva ai proyecto del código penal, remitido por el Gobierno de or ritorial de Sevilla á D. Pedro Santa Fe, D. Luis Huarte, D. Fran den de las Cortes en r8 de Junio de este año. Se hallará en las libre cisco García Chaves y D. Manuel Acosta; y parala segunda-fiscalía rías de Sari'z , de Novillo, de Brun y de Villa. del mismo tribunal á D. Antonio Osteret y Nario.…</t>
  </si>
  <si>
    <t>Fede</t>
  </si>
  <si>
    <t>…ante, pues de^salirse clarado en estado de contagio. al a're libre son pequeñísimos los inconvenientes, y por el contrario __Ha entrado en este pu.rto la fragata sueca.S. Felipe , capitán Fede son horrorosos [os que se siguen de entretener al pueblo con vanas espe rico Ciaussen, cíe ia Ilavana en 52 días, en lastre. Dice este capitán ranzas, haciéndole creer que la enfermedad no es contagiosa.” que el 27 de Agosto salió el convoy para la Península…</t>
  </si>
  <si>
    <t>Federico</t>
  </si>
  <si>
    <t>…convenido. POLONIA. gocios eclesiásticos de Alemania. El nuevo arzobispado de la Alemania meridional y occidental se establecerá en Ma Varsoviet 20 de Eneró. guncia. Dicen que el príncipe Federico, hijo del gran duque de Hesse Darmstad, está destinado para arzobispo^ de Ma El prontuario de leyes del reino contiene un decreto de S M I y R. del 15 de Octubre delaño último, en que guncia. Este príncipe, que reside hace ya''derto número de años en Romo , a…</t>
  </si>
  <si>
    <t>…yecto de ley Mr. Vandoeuvre de l’Aube. Primeramente quiso probar con argumentos bastante especiosos, ócipe Guillermo y el príncipe Federico de Prusia , el Gian-Duque Ni colás y el príncipe Federico de los Países-Bajos han salido con S. AI. por mejor decir sofísticos, que ia ley de censura no era contraria á la para Dusseldorff. S. A. S. el duque de Nassau ha vuelto a Ericb-rich. Carta, porque en esta se contenía el principio de las leyes de precau ción;…</t>
  </si>
  <si>
    <t>…Ja tarde llegó ¿ esta ciudad el príncipe Real, de Eru- - gundo lugar Jos griegos, tienen un patriarca; pero este reside en Cons sia , y le acompañaban el príncipe-de-Orange -y el príncipe Federico dff tan tinopla, y solamente los armenios son los que tienen un patriarcalos Países-Bajos: ayer noche asistió al teatro con la Reina, y hoy a en Jerusalen. medio dia -ha marchado á JLieja. ■ . . Si fuese cierto que .se hubiese1 encendido' la persecución , con…</t>
  </si>
  <si>
    <t>…as consecuencias. campo de Oosterhoutssk , cerca de Breda, las grandes evoluciones en —.Liemos copiado de los diarios holandeses un artículo, en que se pre presencia de S A. R. el príncipe Federico, y de orden suya. tende dar lo sustancial de la nota dirigida por la Rusia á la Puerta oto Nuestra infantería había estado hasta ahora armada de fusiles in mana. Las condiciones exigidas por la nota, en Ja suposición de que gleses • pero se le van á dar fusil…</t>
  </si>
  <si>
    <t>Fedici</t>
  </si>
  <si>
    <t>…a fuerza nacional, que no habia adquirido to tratos á lady Ana Hamilton; otro al marques Antaldi, y otros dos al davía en tiempo de Voltaire. Habiendo penetrado en ella los conoci Sr. Fedici y al jóven Austin; al Dr. Lushmgton su coche y un retrato; mientos de los europeos, cuentan con nuestros recursos. Es seguro que un coche pequeño y su repa blanca á Gerónimo; su guardaropa á la si Voltaire viviera todavia haria votos por que prevaleciera la G…</t>
  </si>
  <si>
    <t>Fedrara, Josef María</t>
  </si>
  <si>
    <t>Josef María Fedrara</t>
  </si>
  <si>
    <t>…ticia- ¡Por qué no tonta el ministerio en este caso una aquella provincia. generosa iniciativa? ¡Por ventura tendrá la desgracia de pensar que le A la de Hacienda una solicitud de D. Josef María Fedrara, vecino ‘es precisó sujetar la justicia para asegurarse el poder: ¡Error funesto que de Córdoba, sobre que no se le prive del cobro de unas alcabalas que obceca á los Gobiernos, y que los despeña en el abismo! Peligro terri adquir ó por título oneroso en Cádi…</t>
  </si>
  <si>
    <t>Fehcano</t>
  </si>
  <si>
    <t>…de ella una carta cada uno, y resultó el respecbiendo capitanes, tenientes y subtenientes efectivos de egército que quie . tivo lugar pera el ejercicio en el orden siguiente:^—1.° D. Fehcano ran pasar en estas mismas clases al resguardo , sean preferidos respecti- "■ V¡gas 2.■ D. Jc»ef Dondement.—g.* D. Josef Villaseñor y Ras-</t>
  </si>
  <si>
    <t>Feigueiras</t>
  </si>
  <si>
    <t>…onal de Játiva; el barón de Casanova , de Bocairenre, giochi , para secretarios los Sres. Queiroga, Riveiro Costa, Freire y y D. Baltasar Fusrer , de Enguera—En Alicante el Excmo: Sr. Don Feigueiras, y suplentes los Sres. Miranda y Pinto Magalhaes; y el se- Cayetano Valdés; D, Rafael Bernabeu y D. Juan Bautista Risa ñbr ¡presidente levantó la sesión. En dijoña: D. Ascensión Campis, alcalde primero constitucional de Elche *, D. Josef Soler y Garrigos, id.…</t>
  </si>
  <si>
    <t>Feiici, Toniaso</t>
  </si>
  <si>
    <t>Toniaso Feiici</t>
  </si>
  <si>
    <t>…n agradecidas á estas disposiciones. viembre fue asesinado el prelado Monseñor Tomas!--- El marques An- Haré también una ligera advertencia acerca de una suposición que taldi y el Sr. Toniaso Feiici han publicado en los periódicos el acta se baila en el dictamen de la comisión. Supone este que el ministerio por la que renuncian á la sucesión da la Reina Carolina de Inglaterra, ha perdido ¡a confianza pública. Esta proposición es á mi parecer muy de que e…</t>
  </si>
  <si>
    <t>Feió</t>
  </si>
  <si>
    <t>…ecto al del se Escriben de Ñapóles el 31 de Marzo lo siguiente: ñor Seabrá sobre congruas para su discusión. Se van juntando y se reorganizan en Salerno los restos del egércitó El Sr. Feió presentó una solicitud de ¡os habitantes de la ciudad de napolitano bajo las órdenes de los oficiales que con este fin ha enviado Yelves, relativa á establecer en ella una sociedad patriótica. el Gobierno á nombre del Rey. Ademas de los regimientos de la guar…</t>
  </si>
  <si>
    <t>Feio</t>
  </si>
  <si>
    <t>…us súbditos: que aquel Soberano ha ad- , otros muchos adornados con coronas de flores y de laurel. -• quirido mayor respeto y- afecto de parte de sus pueblos por el tesón con . El Sr. Feio propuso que se declarase que Portugal era Uñ asilo pa-_que ha eludido ó resistido varias peticiones del Austria; pero que to ra todos aquellos que fuesen perseguidos por opiniones políticas ó ideas ' davía podía considerársele domo bajo el dominio de esta pot…</t>
  </si>
  <si>
    <t>…nsable el concurso de las dos Cámaras. Aun considerando i la Cá jos públicos seria quizá dar motivo á suicidios. mara de los Diputados, como lp hace vuestra comisión, solo como El Sr. Feio dijo que en los Gobiernos despóticos pudieran usarse yoder pecuniario, es necesario su consentimiento para hacer nuevos gas estas penas ; pero en ur. Gobierno liberal debían ser muy diversas , y tos, porque es muy ageno de toda ¡dea de .orden y de libertad qu…</t>
  </si>
  <si>
    <t>…manifestar los mismos deseos que desde el prin contra 30. cipio tuvimos nosotros de la independencia de ¡os griegos. Según el El Sr. Freire leyó por segunda vez la proposición del Sr. Feio so lenguage de ciertos papeles que suelen consultarse para poder pene bre que se pidiesen los antecedentes de Alontevideo; y se acordó que trar los misterios de la diplomacia , se podrá aun creer que la emanci se pasase la correspondiente orden al ministro, p…</t>
  </si>
  <si>
    <t>Feio-</t>
  </si>
  <si>
    <t>…z acarrear una insur todas las naciones, ni de hacer cuanto le inspira su amor paternal á los. rección. ..... pueblos que la divina Providencia ha puesto á su cuidado y bajo su El Sr. Feio-, discurriendo sobre los fines que se proponían los que gobierno temporal.,,-para proteger y asegurar todos sus intereses en las pensaban en favor de una segunda Cámara, preguntó: ¡podría oponer circunstancias actuales. se esta á las decisiones de la: nación:…</t>
  </si>
  <si>
    <t>Feiodijo, Barreto</t>
  </si>
  <si>
    <t>Barreto Feiodijo</t>
  </si>
  <si>
    <t>…ncias en qiie se divida aquel El Sr. Freire leyó el dictamen de la comisión de Hacienda sobre principado ; y otra de la diputación provincial de Avila, manifestan •omisarios; y el Sr. Barreto Feiodijo: Cuando en este augusto Congreso do ios perjuicios que se seguirán en aquella provincia si se la separa la ae trató de este asunto se presentó la cuestión bajo todos los aspectos; población de Peñaranda, pidiendo por lo mismo se reforme el dictamen *e alegaro…</t>
  </si>
  <si>
    <t>Felgueiras</t>
  </si>
  <si>
    <t>179 el Sr. Felgueiras, secretario, leyó el acta del día anterior, Janeiro . La noticia de los gloriosos acontecimientos de esta que se aprobó. ciudad hasta el día &gt;6, que llevaba dicho correo, causó en El Sr. Soaves Franco propuso que las Cortes decretasen: general la mayor satisf…</t>
  </si>
  <si>
    <t>…ará á dicho periodista la lectura del si tener palabras que no eran propias del lenguage consíitucional. guiente párrafo, que pubUcó^ayer uno de nuestros periódicos, y dice El Sr. secretario Felgueiras leyó has relaciones que habían presenta asi: Hemos recibido la carta siguiente de uno de nuestros corresponsa do las respectivas comisiones de lo ocurrido, tanto en el día 4 del cor les de Inglaterra , y la publicamos con tanto mayor placer , cuanto que rient…</t>
  </si>
  <si>
    <t>…una mínima parte, errores que ocasio tículo por artículo , y se fuesen aprobando; y asi se verificó. naron tan grandes calamidades, la posteridad, que empezó ya para ella, El Sr. secretario Felgueiras expuso que habiéndose dado providen le atribuye la gloria de haber sentado las bases de nuestro nuevo dere cia acerca de las expediciones que debian enviarse á América , conven cho público; y el augusto autor de la Carta , este Rey digno de la Fran dría se le…</t>
  </si>
  <si>
    <t>…vice-secretarlo. Aunque en los diario; del sábado último en la relación de la pro Sesión de Cortes del 7. videncia en orden á salud pública se haya leído jy concluyófinalmente El secretario Felgueiras leyó un oficio de la junta provisional -del refiriendo la confesión de uno de los facultativos de que se notaban en, gobierno de Bahía, en que incluia otro del conde de Arcos , secreta Barceloneta señales cuasi ciertas del contagio, afortunadamente no há' rio…</t>
  </si>
  <si>
    <t>…gosto. Sr. gefe superior politic», poniendo en noticia de la municipal que ya Sesión de Cortes del 9. estaba á su disposición el convento de Jesús, situado extramuros de la El Sr. secretario Felgueiras dió cuenta de u:i oficio del mimstro de ciudad , par3 que pudiesen hacerlo servir vi? lazareto limpio. Marina, en que participaba ia llegada del bergantín Trece de Majo , y Eligióse en consecuencia una comisión dei seno del ayuntamiento que.el auditor de mari…</t>
  </si>
  <si>
    <t>Felgueiras-dijo</t>
  </si>
  <si>
    <t>…poniéndose de acuerdo á fin de «rganizár en toda la línea los medios de correspondencia; ' Sesión del va. Art. 16. o Si en contravención de la presenté orden se íntroduge» • • El' Sr. Felgueiras-dijo; Do» españoles expooea que si lés refugiado</t>
  </si>
  <si>
    <t>Feli</t>
  </si>
  <si>
    <t>…dado el Sr. D. Josef Martinez Moscoso, juez de Cehegin , provincia de Murcia, y en vista del informe de la diputación primera instancia, en arito de 27 del corriente, dictado ante D. Feli provincial, se ha servido concederle el permiso que solicitaba para ce ciano del Corral, escribano de número, se publiquen dichos terminas lebrar en aquella villa un mercado en el domingo de cada semana, y por edictos, gaceta y diario de esta capital, empezan…</t>
  </si>
  <si>
    <t>…hombres de milicias provinciales &amp;c.: uno de los las respectivas casillas en que está dividido,y reduciéndose en'la parte .Sres. Gaseo, Cosío, García (D. Antonio), Paul, Navarro (D. Feli— 6 casilla de observaciones á unas netas sumarí.imas sobre la aptitud y • pe), Romero (D. Josef), García (D. Justo), Romero Alpuente, Za servicios de cada uno.” pata, Solana y Vadillo: otro del Sr. Solanot: otro del Sr. Díaz Mo- DeRealorden lo comunico á V. p…</t>
  </si>
  <si>
    <t>Felice</t>
  </si>
  <si>
    <t>…nto debe enterrarse en Brunswiclt. (.os albaceas son el doc una guerra como la que va á estallar, nos hallamos perdidos en un la tor'Lushington, Mr. Wiide, el'marques Ansaldi y el Sr. Felice; ios berinto de dudas é incertidumbres; y si hay alguna cosa mas difícil de dos últimos son extrangeros, que gozan de alto concepto ; el uno es un prever que el éxito de una guerra, lo es seguramente el saber el géne literato y el 'otro un juez y ambos de Pés…</t>
  </si>
  <si>
    <t>Felicia</t>
  </si>
  <si>
    <t>…e dos onzas de plata, y certificación que lo Jos oprime actualmente , nó se borrarían con facilidad las señales de su acredite, ¡1 D. Josef Dondement, y certificación honorífica á D. Felicia esclavitud. No solo han sido educados bajo el peso del despotismo, sino no Vigas, D. Josef Sánchez y D. llamón del Palacio. El secretario ■que hace 2S) años que existen como un pueblo envejecido y degradaanunció al público esta resolución, y en consecuencia r…</t>
  </si>
  <si>
    <t>Feliciano</t>
  </si>
  <si>
    <t>…tes hacer, postura, y enterarse de su tasación , acuda ante el expresado teoremas y apreciables aclaraciones á la obrá de Mr; Mon señor, .por la escribanía del número del cargo da D. Feliciano del.Corral.! ge. Mr. Carnot comprendió en fórmulas simétricás y muy Por providencia del tribunal del consulado nacional de co curiosas todas las cuestiones relativas á cinco puntos cua mercio de Cádiz , refrendada por D. Elias Izquierdo y Payan, lesquiera tom…</t>
  </si>
  <si>
    <t>Gaceta del Gobierno n.º 15</t>
  </si>
  <si>
    <t>…on el enterarse de su tasación ,'acuda'ál juzgado del expresado señor gusto que hábian introducido los felices y brillantes viages. •juez por la escribanía del número del cargo de D. Feliciano dé'Bóügaíiívílle y dé Cook. Aprovechándose los ingleses de dei Corral. , . _ su. posición, al tiempo misino que su sociedad africana se Acaba de publicarse el número i.° de las Décadas médico— internaba én países enteramente desconocidosque Horn- quirúrgicas.…</t>
  </si>
  <si>
    <t>…o de la media, enterarse ¡de su tasación , acuda al juzgado del expresado señor luna puede llamarse constituido Icgalmentc en anarquía juez por la escribanía de número de cargo de D. Feliciano del tranquila , aunque turbada de cuando en cuando por aque Corral.' llos que vulgarmente se llaman los enemigos del buen orden. Ignorándose el paradero de D. Manuel Antonio Gonzalo Por consiguiente la libertad , no la que se arrogan los del Río, vecino que f…</t>
  </si>
  <si>
    <t>Felipe</t>
  </si>
  <si>
    <t>…bertad ; harán que los hombres reflexionen sobre sus dere lemnidad de estilo las exequias anuales de su fundador el chos y sobre los medios de recobrarlos, y asegurarlos sobre Bey D. Felipe v. El Dr. D. Lorenzo Puig.en una elegan otros fundamentos mas seguros que los que hasta aquí han te oración latina , acomodada á las actuales circunstancias, tenido Scc. Scc. Nápoles será invadida , y los españoles no manifestó que desterrando aquel Monarca,…</t>
  </si>
  <si>
    <t>…el coronel D. Miguel Tenorio. por 72: 6. el Sr. Echevarriá por 85: 7.' el Sr. Manesc.ui por 81: En seguida el Sr. ministro de la Gobernación de Ultramar pasó á 8.J el Sr. Navarro (D. Felipe) por '77.: 9.° el Sr. Larriba por 85: la tribuna y principió la lectura de su memoria; la que á poco tiempo 10 el Sr. Snbrié por 67: r 1 el Sr. Govantes por 70: 12 el Sr. Va- se suspendió con motivo de tenerse que Jeér la contestación al discurso dillo por 72…</t>
  </si>
  <si>
    <t>…o habían estado en la comisión, á la que habían dado algunas no el diario. ticias; pero que esta ilabia pedido otras , las que se-le darían quizá en Acto continuo el Sr. Navarro ( D. Felipe) dijo llamaba la aten este mismo día. ción del Congreso acerca de lo ocurrido en Alcoy, para que se tomasen El Sr. conde de Toreno opinó que estos antecedentes debían agre las oportunas providencias. Una turba numerosa ([ prosiguió]) de ha garse á los que tuv…</t>
  </si>
  <si>
    <t>…comisión especial, para la que fueron nombrados los señores caudales en las tesorerías, la cual no es posible se verifique , cobrándo Gareli, González Allende, Giraldo, Navarro ( D. Felipe) y Ma- se puntualmente loí'presupiiestos de entradas decretados por las Cortes. nescau. En vista de estas razones, y teniendo presentes los males que pudieran El Sr. secretario de la Gobernación participó á las Cortes que se seguirse de consentir por mas tiem…</t>
  </si>
  <si>
    <t>…, Calatrava, Fondebllay Pierola, y la del secretario de Sobre el art. ti hubo alguna discusión, en la que dijo el Sr, Luis Gracia y Justicia los Sres. la Bodega, Moscoso, Navarro (D. Felipe), Monteiro que no debía concederse privilegio de fuero á los extran- Lasanta y Valle. . ¡ ". geros, y sí seguir con ellos las reglas que observasen las otras na A la comisión de Legislación se pasó un expediente instruido á ciones ; y que en caso de que hubie…</t>
  </si>
  <si>
    <t>…s pueblos, que en todas partes se manifestarían re llos señoríos. ' conocidos á sus resoluciones. , El Sr. Gaseo manifestó que habia tomado la palabra para hacer á El Sr. Navarro (D. Felipe), despees de haber manifestado se ar las Cortes no una retractación, sino una ratificación del dictamen que redraba al entrar en una cuestión tan espinosa, dijo que aquella dis la comisión habia dado , porque estaba convencido de ser el menos cusión la consid…</t>
  </si>
  <si>
    <t>…stintos religio-, la espada-, que era el título mas sagrado que podía darse en aquel.tiempo.. sos, quejándose de cierto obispo; y con las mismas iban los decretos El Sr. Navarro ( D. Felipe) dijo que daban los hombres continua jde S. lima. , que en el uno decia que por no ser hijo de aquella dió mente en obras y patabíás testimonió de su. fragilidad, como se veía en cesis acudiese á la de su naturaleza , sin embargo que estaba domi aquel momento…</t>
  </si>
  <si>
    <t>…voto que presentaron los Sres. González Allende, Palarea y la Carta los que decían que era ilegitímala venta dé los bienes naciona Dolarea, Banqueri, San Juan Ccrominas, Navarro ¿D. Felipe), Ylis les, ni Jos que querían que se indemnizase á los antiguos propietarios; te , Gaseo , Desprat, Magariños, Cortés y Díaz Morales, contrario á la se irritaron de tal modo los del lado derecho, que uno de ellos le dijo resolución que tomó ayer el Congreso…</t>
  </si>
  <si>
    <t>…idieron la palabra para hablar en favor del art. 2.® los Sres. Mo tador general de Distribuciones expuso en 14 de Abril último haber reno Guerra, Quintana , Puigblanch , Navarro C D. Felipe), Cuesta, manifestado al contador principal de Hacienda de esta provincia, que Villanueva , Sierra Parobley , Romero Alpuente , Berdug , García, varios pueblos solicitaban ciertas cantidades procedentes de atrasos de Diaz Morales, Sotomayor, Solanot, Cortés,…</t>
  </si>
  <si>
    <t>…rda: esto es una indignidad. Se leyó la siguiente indicación de los Sres. Desprat, Romero , Quin Ei orador esperó que cesase la gritería pava proseguir su discurso, tana, Navarro ¿D. Felipe), Díaz Atórales y Marino Guerra: » Que se ¿je continuará.') excite al Gobierno para que. dé orden á todos los directores de fábricas NOTICIAS DE ESPAÑA. de armas en la Península para que aceleren la fabricación de ellas en cuanto lo permitan los fondos que ha…</t>
  </si>
  <si>
    <t>…ión sobre señoríos, y después de. leído al ar ca que se sacó , fue para contrarestar á las razones que seoponian á que tículo 2.0 ( véase la ¿aceta de ayer ), dijo ei Sr. Navarro (D. Felipe): se adoptase la base que la comisión creia mas conveniente para el reem la prolijidad con que se ha tratado esta discusión tan interesante , ha plazo , hallándose esta muy lejos de pedir que se adopte ei sistema de dado motivos para que se hayan expuesto ide…</t>
  </si>
  <si>
    <t>…ernardo Castillon: para el de Fraga á D Martin ves, Fondevila, Moreno, Couto, Amati , Castro, Cepeda, Navarro Cabrera: para el de Borja á D. Manuel Uc las lleras: para el de Tara( D. Felipe), Yuste , Desprat, Romero ( D. Josef), Moreno Guerra, zona á D. Juan Ortega: para el de Calatayud á D. Fabián Lorente; pa Díaz Morales , Fernandez , Pierola , Zavala, López Constant , Medra- ra el de Ateca á D. Agustín Palacios: para el de Daroca á D. Juan no…</t>
  </si>
  <si>
    <t>…s medi tiéndoseles el personal, á lo que la comisión opinaba no debía acceder dores de granos de Barcelona, suplicando se deroguen las gracias con se ; y se aprobó. cedidas por el Sr. D. Felipe v á varios particulares para que nombra La misma presentó su dictamen acerca de la solicitud de un ayun sen los fieles medidores, siendo en adelante el ayuntamiento de dicha tamiento de las islas Canarias, sobre que en atención á ser escaso el paño ciudad el…</t>
  </si>
  <si>
    <t>…ente, que de-; fueron nombrados los Sres.'Golfín-, Muñoz Torrero, Marte! j Cano cía asi: ,,Que se amplíe la contestación á los sentimientos de S. M. al Manuel, Manescau y Navarro (D. Felipe); y se levantó la sesión. tiempo del suceso, manifestándole la falta de causas para poner cañones en las avenidas de palacio, asegurándoselo asi á S. M. cuantas veces convenga para su tranquilidad; y que se temple algo cuanto se dice so Se han recibido periód…</t>
  </si>
  <si>
    <t>…al reemplazó, y la segunda pata que se abone á los milicianos nacio mente el de los últimos. nales, que estuvieren comprendidos en el reemplazo, todo el tiempo en El Sr.. Navarro (D. Felipe) dijo: yo encuentro que el art. 4° que que hayan servido en dicha milicia. se discute es. absolutamente conforme á los principios y teorías en que La comisión de Poderes presentó su dictamen acerca de los presen se ha fundado la comisión. En primer' lugar es…</t>
  </si>
  <si>
    <t>…reo que habrá dificul verifica con los de cirugía y medicina, por lo que pedían la derogación tad ninguna en que se concedan. La segunda , que es proponer por terna de una ley del Sr. D. Felipe ir. La comisión opinaba debía accederse á para los empleos vacantes de la clase de gefes hasta mariscal de campó esta solicitud. inclusive-, es bien evidente, que no se opone á la facultad que tiene La comisión de Legislación presentó su dictamen acerca de la…</t>
  </si>
  <si>
    <t>…nes el enfiteuSe mandó pasar á una comisión especial la proposición de los se ta , el colono, el arrendatario ó el poseedor del dominio útil hasta ñores Romero Alpuente, Navarro ( D. Felipe) y Gaseo, relativa á la que recaiga sentencia que cause egecutoria; y no sé qué razón hay pa creación de una orden distinguida llamada de la Constitución , fijándo ra que se suspendan los efectos de la-posesión, que son la continuación se en el anverso de la…</t>
  </si>
  <si>
    <t>…o general habian quemado los títulos de dos escribanías públicas, que concedie de este arzobispado, quien ha mandado no se exijan derechos en la se ron á sus antepasados los Reyes D. Felipe ív y D. Carlos 11 , y habian cretaría. sido confirmadas por sus sucesores; y pedia que se le resarciese según se Madrid Viernes 18 de Mayo. . previene en el decreto de 6 de Agosto de 1811. La comisión dijo que SS. MM. y AA. continúan sin novedad en su importa…</t>
  </si>
  <si>
    <t>…tan vasto y complicado como este No se admitió á discusión una indicación de los Sres. Puigblanch, con la detención correspondiente; pero ya que por la declaración de ias Navarro (D. Felipe ), Gaseo, Moreno Guerra, Romero Alpuente y Cortes hemos de instruirnos en él, al pa,o que se vaya discutiendo, Quintana, que decía: » En atención á hacer pocos dias que se han re haré algunas reflexiones. partido á los Sres. diputados los impresos del plan ge…</t>
  </si>
  <si>
    <t>…ne uca obligación pesada y Carlos de esta capital, para que se derogase la ley 1.“, tír. 13, lib. 18, la desempeña. El dignísimo y desgraciado diputado Aníiilon en su y la r.'1 de D. Felipe ix, tít. 13 , ambas de la Novísima Recopilación.. Geografía dice , refiriéndose á las cartas de Cabarrus á Jovellanos: Se leyó por primera vez la siguiente proposición del Sr. Larriba. » Abro el censo español, hecho en 1788, y hallo que tenemos- i/s&gt; „ Que de…</t>
  </si>
  <si>
    <t>…n comunicación directa con todas las comuni Se leyó por segunda vez la proposición de los Sres. Sancho, Navar dades de la Nación, y que muchos obispos de España habían acudido ro (D. Felipe), López , Gutiérrez Acuña, Lastarria, Quintana, Gas H Ios- prelados superiores de las órdenes religiosas á pedir permiso para eo , Hermo5illa y Couto,.relativa á la resolución tomada acerca de la poder gobernarlos conforme á lo decretado, esto es , para cumpl…</t>
  </si>
  <si>
    <t>…dos artículos. .. Se levantó la sesioná las once. ■ * El Sr. presidente nombró para la comisión que se acordó en la séSeíion ordinaria del ap. . sion anterior á los Sres. Navarro (D. Felipe),Sancho , Ramonet, Villa - .Leída y aprobada el acta dé Ja anterior , se mandó que se agregaran y Canabal; y para la que debe ir al dia siguiente á palacio á felicitar á ella losvotos particulares de Jos Sres. García (D. Antonio), Díaz - á S. M. por la celebr…</t>
  </si>
  <si>
    <t>…ombre de los procurahijo D. Claudio Ramón de la Calle habian adquirido por compra en dijres síndicos, curas párrocos y cabildo de Sta. María de la ciudad los reinados de los Sres. D. Felipe iv y D. Carlos 11, y habian sido con de Calatayud , para que tomándolas en consideración, asi como, otra firmadas por los Reyes sucesores hasta el Sr. D. Carlos iv. Y como pa- indicación que el Sr.- Gisnert y dicho Sr. -López tenian hecha sóbre •ra sacar el t…</t>
  </si>
  <si>
    <t>…para que se les permita hacer'sus exámenes en ios mismos términos que La misma comisión convenía en que en el art. i.° del decreto so los de cifugía-médica, derogándose la ley de D. Felipe 11, que prohíbe bre registros, en lugar del remo se pusiese Península í islas adyacentes el pasarse de farmacéutico hasta la edad de 25 años: la comisión en í propuesta del Sr. Urruela; y el articulo quedaría en estos términos: vista de todo lo expuesto no ha…</t>
  </si>
  <si>
    <t>…las Cortes declarasen que los mariscales decampo D. Antonio que habria por parte de otros muchos héroes que habian cooperado al Quiroga, D. -Rafael del Riego, D. Demetrio O-Daly, D. Felipe de restablecimiento de ¡a Constitución, se suspendió la discusión de esteArco Agüero, D. Miguel López Baños y D. Miguel Espinosa, y el asunto para continuaría mañana á primera hora. brigadier Vázquez habian mérecido la gratitud de la patria, en-cuyo Se proced…</t>
  </si>
  <si>
    <t>…rata de un negocio de huér- esto un nuevo timbre á su gloria; pero que las Cortes no debían acce fanos y menores.” Aprobado. _ , der de ningún modo á su solicitud. El Sr. Navarro (D. Felipe) apoyó, Habiéndose procedido á la discusión del dictamen de la comisión es la opinión de los dos señores preopinantes, y manifestó que el Sr. ge pecial de Hacienda acerca de ia consulta que hizo el Sr. ministro de neral Quiroga no tenia un derecho para hacers…</t>
  </si>
  <si>
    <t>…uio fuese con respecto á los remates de dios. de las fincas que saliesen desde ahora en adelante. Se mandó quedar este expediente sobre la mesa para su discusión. El Sr. Navarro ( D. Felipe) dijo: Este artículo anula ios efectos . Se continuó la discusión del dictamen de la comisión especiar so prevenidos en el art. 8.“ Ya está resuelto que las capitalizaciones se pa bre Crédito público. - . • guen con créditos sin interes, sin embargo de que el…</t>
  </si>
  <si>
    <t>…oriedad de sus hazañas. 5.0 Se declara que los mariscales los impresos de Lisboa que nos llegaron ayer, demuestran cuánto se va de campo D. Antonio Quiroga , D. Rafael del Riego , D. Felipe de mejorando el espíritu público en toda la Península. Arco-Agüero , D. Miguel López Baños , D. Demetrio O-Daly y Don Los sabios decretos de las Cortes, y las disposiciones eficaces que Carlos Espinosa, y el brigadier D. Manuel Latre , con sus dignos com el G…</t>
  </si>
  <si>
    <t>…Vicente Lago Robles : para la de Valencia á D. Vicen den qne la estatua del bien público , levantada por el Congreso , pue te Fuster: para la de Cataluña á D. Josef Víctor Oñaie, D. Felipe da ser vista en tod3 su pureza , sin que haya entre ella y el espectador Martin Igual y D. Francisco Rey. otro cuerpo intermedio mas' que el aire! VARIEDADES. Treinta años estuvo luchando la Inglaterra con estas oposiciones, hasta que el régimen constituciona…</t>
  </si>
  <si>
    <t>…el segundo, por haber reunido mavor número de votos, __El dia 2"2 entró en esta capital S M. el Sr. D. Fernando vti . Rey los Síes. Ezpeleta , Paul, López (D. Marcial) y Navarro (D. Felipe); constitucional de ia Monarquía española. En ninguna de »us entradas</t>
  </si>
  <si>
    <t>…o nos preguntemos en el División del territorio español. Sres. Alvarez Guerra, Serrallac, Rodia si podemos ser útiles á nuestros semejantes: tal es ia situación pre vira, Navarro (D. Felipe), Villa, Argaiz y Zorraquin. sante, que remediando la infelicidad de! prógimp, remediamos la de ■Establecimientos de Beneficencia. Sres. Fraile, Espiga , Gisbert, Do nosotros mismos, pues que su desventurada suerte, acarrearía la nuestra mínguez , Martel, Cas…</t>
  </si>
  <si>
    <t>mérito general D. Felipe dé Arco Agüero. Eí concurso fue lucidísimo', llas fábricas, y solicitando que se tomen medidas prohibitivas non-res pues asistieron las autoridades civiles, militares y eclesiásticas, ias cor pecto á ios géneros extrangeros de esta ciase para el foniento de a…</t>
  </si>
  <si>
    <t>…la sesión de ayer indicó algo el Sr. Yandiola acerca de las in alli hay una buena calle,que puede extenderse bastante ; no tiene pobla dagaciones que se hicieron en el reinado de D. Felipe it para empe ción ni en este ni en los demas puntos como puede tenería: Chinchilla zar los trabajos estadísticos de la Península; allí se puede ver en el ha sido ciudad de 63 vecinos: en las guerras de sucesión estuvieron ios artículo de Chinchilla lo que era…</t>
  </si>
  <si>
    <t>…este tiempo ya ha llegado, y que no se ha Sres. Cano Manuel, Silves, Hinojosa, Cuesta, San Miguel, Navarro bla una palabra de tales liquidaciones. Es preciso conocer bien lo que ( D. Felipe) y Gareli. resulta del expediente para que todos los acreedores sean satisfechas de Las Cortes oyeron con agrado la felicitación que Ies hacia por su un mismo modo , porque si no resultará que unos lo serán en metálico deseada reunión la diputación provincial…</t>
  </si>
  <si>
    <t>…utará en las próximas elecciones; por lo tan debe desaprobarse el artículo que se discute. to en las actuales provincias que correspondan á la tercera y cuarta cla El Sr. Navarro (D. Felipe): No podré menos de reproducir algu se se elegirán dos individuos para la diputación provincial.” nas de las observaciones que se han hecho para manifestar ¡as razones El Sr. Clemencin dijo que este artículo era inútil, porque no ha en que la comisión se ha f…</t>
  </si>
  <si>
    <t>…...... .... ag... Parroquia de S. Josef, 8 electores. Dia 20 ........... ........ 2....... ....... 2....... ....... O...» ...... 2(5... D. Clemente Noguera, D. Evaristo S. Miguel, D. Felipe de 1 a i6. 6. 2. 91. Calle, D. Gabriel Josef García, D. Gregorio Sainz de Villavieja,. L&gt;, Josef Espinosa, D. Josef Ruiz de Porras, el marques de Espinardo Lebrija. Parroquia de S. Lorenzo, 20, electores. Del 13 al ao... ....... 63..... •• 3*...... ...... 46.…</t>
  </si>
  <si>
    <t>…de las mismas provincias, escrita de orden del Sr. secreta que de Angulema en un viage que va á hacer á varios puntos del reino. rio de la Gobernación de ultramar. El Sr. Navarro (D. Felipe.) .expuso los servicios patrióticos del in NOTICIAS DE ESP A,Ñ A. teresado, desprendimiento,de sus intereses en favor d¿ la .causa, de la li bertad, y los padecimientos que ha sufrido por ella,, y pidió-por lo. mis Madrid Miércoles 14 de Noviembre. mo que se…</t>
  </si>
  <si>
    <t>…uestro-, no hay extrangero que viajando los Sres. Novoa y Mediano, 2 el Sr. Ezpeieta, otros, yel Sr. Navarro por vuestro imperio no haya visto y admirado ese rápido desarrollo de (D. Felipe), y uno cada uno de los Sres. Rovira , Aivarez Guerra, nuestras riquezas y de nuestra felicidad interior, cuya descripción no ha Zubia, Manescau , Quintana y Argaiz. .- ' podido menos de hacer V. M. con la mayor satisfacción. Para secretario saiió erecto lamb…</t>
  </si>
  <si>
    <t>…á los cuales aun después de calificada Divida , Navarro ( D. Andrés), Muñoz, Vadilio, Quiroga, Yuste, Ja ignorancia se Íes impone toda la pena. Ademas se dice que la igno Navarro (D. Felipe), Pierda, Hermosilla , Moreno, Méndez, Solana, rancia ha de ser cierta ó verosímil: ¡y es io mismo probar una igno Romero (D. Josef) y Diaz Morales. rancia que otra! Yo creo que admitida la ignorancia , siendo cierta, de » Pedimos á las Cortes se sirvan recom…</t>
  </si>
  <si>
    <t>…nte en esto será siempre que la des sesión el conocimiento y resolución de la segunda parte. obediencia á tpdoGobierqo constitucional., siempre que no se separe .• El Sr. Navarro (D. Felipe) dijo:Esta cuestión se1 va haciendo ca de los límites que la ley le.presoribe, es.el egemplo mas funesto que se da vez mas interesante, porque interesados ios Sres. de la comisión y puede presentar. Estas doctrinas con que se ha querido cohonestar un Otros di…</t>
  </si>
  <si>
    <t>…aseo, Florez Estrada, Gutiérrez Acuña, Laliave (|D. Pablo), á su consideración ; pero no creo muy oportuna {a proposición que. ss Guerra ( D. Josef Basilio), Sotomayor , Navarro ( D. Felipe), Camus discute, porque no la hallo conforme al reglamento que las Cortes y Herrera, Cortés, Quiroga, García (D, Antonio), García Page, aprobaron al fin de la legi-latura pasada) para cuya modificación - no esGallegos , González Allende y Banquerí; y en pro l…</t>
  </si>
  <si>
    <t>…tades se dignará tomar las providencias que tan Moreno, Murfi, Cristo y Conde, Temes, Murguia, Gaseo, Navarro imperiosamente exige la situación del Estado.” La comisión ha tenido (D. Felipe), Yuste , Desprat, Romero (D. Josef), Camus Herrera la docilidad de accederá las observaciones hechas por varios Sres. di Fernandez (D. Anselmo), López Constante, Muñoz Arroyo, Guerra putados, con el fin de ganar tiempo y zanjar este asunto, porque mien (D. J…</t>
  </si>
  <si>
    <t>…me manda la traslade á V. H. para su inteligencia y fines que Se mandaron agregar al acta los votos particulares de los Sres. Des- correspondan.” prat, Quintana , Gaseo , Navarro (D. Felipe) , Romero , Yuste y Diaz Y la inserto á V. S. para lo* mismos fines. Madrid 10 de Diciem dei Moral contrarios á la aprobación de la pena de muerte y trabajos bre de 1821. perpetuos, y los de los Sres. Ramirez Cid, Lagrava y Gil de Linares, Circular del minist…</t>
  </si>
  <si>
    <t>…Admitida á discusión, pidieron la palabra en contra los Sres. Qui- causado tanto á las libertades públicas , como á las prerogativas del roga, Calatrava, Palarea, Gaseo, Navarro ( D. Felipe), Fiorez Es Trono. Si ias Cortes extraordinarias, reducidas al último extremo de ia trada y Navas; en pro ios Sres. Martínez de la Rosa, Zapata, Ccpero, Península, hubieran sucumbido al poder colosal de Napoleón después Cavaleri, Fraile, Murtei, Ezpelera , Ra…</t>
  </si>
  <si>
    <t>…como reli y Cavaleri; y para hablar en contra los Sres. Cortés, Romero Al- á todos los dtmas que han firmado la representación, y el crimen que puente, Lastarrfa, Gaseo, Navarro (D. Felipe) y Quintana. aparece para hacer esta declaración es sin duda el de desobediencia á las El Sr. Sancho pidió qu: se leyese la exposición que motivaba esta Cortes. Pero en primer lugar las autoridades de Sevilla no desconocen discusión, por no haber asistido aye…</t>
  </si>
  <si>
    <t>…o pasado que se d¡6 contra los facciosos que las Cortes han dado pasos colosales al efecto. de Burgos , hubiera estado cncatgada su egecucion,á los jurados que se El Sr. Navarro ( D. Felipe): Desde que ee empezó esta discusión hubiesen nombrado: pregunto yo: ;se hubiera aplicado esta ley con la conocí que no pudiéndose dar un ataque por principios generales ai imparcialidad que se aplicó! Mas ¡sien algunos pueblos de Aragón, establecimiento de q…</t>
  </si>
  <si>
    <t>…sta manera sin reconocer ni delitof .de que se haga mérito en el código de procedimientos. pesar pasarán á un depósito con tres llaves, de las que tendían una los El Sr. Navarro ( D. Felipe) deshizo algunas equivocaciones que di Sres. individuos de ayuntamiento, otra el Sr. encargado de la Hacienda jo haber padecido el Sr. Zapata. pública, y otra la junta general directiva. Al mismo tiempo traerán Jos Ei Sr. Gaseo: No creo que habrá necesidad de…</t>
  </si>
  <si>
    <t>Feliú</t>
  </si>
  <si>
    <t>…r. Navar de! Despacho de Hacienda á proseguir la lectura de su memoria. ro, que.habia estado en la provincia en el medio de la legislatura, pa . Habiendo entrado en el Congreso el Sr. Feliú, encargado interina ra que diese su parecer acerca de las personas que hubiesen podido in mente del Despacho de la Gobernación de ia Península, se suspendió fluir en estos acontecimientos; dió gracias al Sr. conde de Toreno por la la lectura de la memoria de…</t>
  </si>
  <si>
    <t>Feliu</t>
  </si>
  <si>
    <t>tí en los sucesos tíri día, hay otras causas que han influido poderosa-, lar, rae atrevería 4 decir al Sr. Feliu que jamas aprobaría un ps - ¡e mente en ellos , y que no se deben perder de vista ¡d tomar en consi esta ciase , no porque lo considerase contrario , ia tey ni fuera de c¿., fa deración ci estado actual de !a España. cultades del poder ejecutivo , sirio porqu…</t>
  </si>
  <si>
    <t>…o por los que entien des po de las representaciones que vinieron dirigidas á favor del ministe pués en el ministerio; que es, como ya he dicho, la mayor desgracia rio ; pero si el Sr. Feliu reconoce la franqueza con que la comisión ha que puede suceder á un hombre, porque en el desempeño de estos des procedido con el ministerio , no há debido tomar de aquí ningún mo tinos, no solo peligra el honor de los que los obtienen, sino aun. su se tivo de…</t>
  </si>
  <si>
    <t>Feliu, Rameó</t>
  </si>
  <si>
    <t>Rameó Feliu</t>
  </si>
  <si>
    <t>…ido para su cumplimiento, y dispohdreis se imprima’,' publi gobernantes y gobernados, d‘genera inmediatamente el eobierno ó en que y circule. = Está rubricado de la Real nuflo.rcA D. Rameó Feliu. na desenfrenado despotismo de !a anarquía, ó en una opresora arbitra riedad de uno ó mus individuos La división del pod.-r es lo que pue 2. '"' D. Fernando vn por la gracia de Dio6 y por la Constimc-on da de solamente precaver esta degeneración; es la única…</t>
  </si>
  <si>
    <t>Feliú, Ramón</t>
  </si>
  <si>
    <t>Ramón Feliú</t>
  </si>
  <si>
    <t>…r el juramento prescrito por la Constitución antes de en el Sr. presidente que se habían Jrecllo también ofras dos sobre el mis trar á servir sus respectivas secretarías los Sres. D. Ramón Feliú, mo objeto, las que.en su opinión deberían quedar aprobadas en el ac D. Antonio Barata y D. Francisco de Paula Escudero; de ¡o que las. to de leerlas. ... :::,! _. Cortes quedaron enteradas; y se levantó la sesión. Efectivamente. se leyeron; .tres indicacione…</t>
  </si>
  <si>
    <t>Feliu, Ramón</t>
  </si>
  <si>
    <t>Ramón Feliu</t>
  </si>
  <si>
    <t>…corresponda para su cumplimiento.cnEstá rubricado de la Real ínano.s'- existir fuera de-sú clausura sin licencia de su prelado local, dada por' En palacio á 8 de Mayo de 1821.= A D. Ramón Feliu.” justa causa, por mas tiempo que el de un mes. 10. Las licencias de mayor término serán dadas por los vicarios de V. Erna, con infor Circular del ministerio de la Guerra. me, de los prelados locales, ó por'V. Erna. ti. Todos los que han profesado institutos…</t>
  </si>
  <si>
    <t>…y cumplimiento en dréis lo conveniente para su cumpliento—Rubricado de ia Real mano.=s ,1a parte que le loca. Madrid 18 de Mayo, de 1821. - : En.Palacio á.jta de Mayo de i8j[. = A Don Ramón Feliu. ' Circular del ministerio de Gracia y Justicia. cambios. Madrid 23 deMayo de z8ar. , ... . Por el ministerio;dé Gracia y Justicia se ha comunicado al de la Londres,............................................................ 37J ■ : Gobernación de la Penínsu…</t>
  </si>
  <si>
    <t>…dose con otros dos di cia y Justicia, en el que participaba que S. M., atendiendo á las repe putados que harán de hombres buenos, para terminar por medio dé la tidas instancias de D. Ramón Feliu para que le exonerase del encargo conciliación, en los casos que esta se admita según la ley, todas las di de secretario de la Gobernación de Ultramar, había tenido á bien nom ferencias en que tengan parte los diputados á Cortes.” Habiéndose leído brar p^a di…</t>
  </si>
  <si>
    <t>…eformados, y imprima, publique y circule. = Está rubricado de la Real mano. =2En son: una en la calle de Cantarranas, núm 8, manz. 228 , tasada en Palacio á 4 de Julio de 1821. =A D. Ramón Feliu. 50,267 rs.: otra en la calle de la Inquisición, núm. 7, manz. 508, tasada en 60,568 rs.: otra en la calle de S. Onofre, núm. 21, man __Habiéndose observado los trámites prevenidos por la ley, y declara zana 346 , en 35,709: otra en la calle de la Ballesta, n…</t>
  </si>
  <si>
    <t>…arán cuen Burdugo, en Sigiienza D. Benito Ciruelos do Rojo, en Sobona Don ta, parcial á cada partícipe en libros proporcionados, en los cuales sen Ramón ¿erra y Orio, en Tarragona D. Ramón Feliu , en Tarazona tarán el capital líquido que haya resultado de las liquidaciones, y ios D. Mariano Lafuente ,'en'Teruel D Isidro Capilla, en Toledo Don pagos que hiciesen por el rédito anual del 3 por xoo. Luciano de Casas, en Tortosa D. Josef Antonio Cid, en T…</t>
  </si>
  <si>
    <t>Félix, Carlos</t>
  </si>
  <si>
    <t>Carlos Félix</t>
  </si>
  <si>
    <t>…ar de Berlín se se pueda entregar la administración del reino á otras personas autori inserta un plan de defensa muy circunstanciado para el reino de Ñapó zadas ó por S. M. el Rey D. Carlos Félix, ó por S. A. S. el Prínci les. Este artículo, cuyo autor parece que es ün hombre consumado en el pe Regente. arte de la guerra, no podrá ser conocido de los napolitanos s’no cuan Por tanto ha determinado y determina: do ya no esten en estado de sacar partido…</t>
  </si>
  <si>
    <t>…s retirados útiles para hacer el servicio. ,. de hicieron su, entrada pública en Xurin los nuevos Reyes el señor 4. a Los individuos del egército permanente que pidan pasar con un D. Carlos Félix y su esposa Doña Marta Cristina. La ciudad de Turin, mismo ascenso. que se titula condesa de Grugliasco y Sra.de Bemiasco, quisó cele 5.a Los retirados útiles que lo soliciten del mismo modo. brar este memorable dia con fiestas públicas; pero habiéndolo prohi…</t>
  </si>
  <si>
    <t>Félix, D Juan</t>
  </si>
  <si>
    <t>D Juan Félix</t>
  </si>
  <si>
    <t>…yor desaliento entre las gentes del videncia de visita : siga. campo que se habian declarado en favor de Teodoro, porque habían visto Francisco de Paula Monferrin, remitido por el juez D Juan Félix burladas sus esperanzas. Se les habia prometido hacer valer en Bucha Maruri en 3 de Setiembre por malos tratamientos á su madre , é indi rest sus imaginados derechos, y darles libertad para saquear las casas de cios ds deserción de presidio. Estado de esta ca…</t>
  </si>
  <si>
    <t>Félix, Juan</t>
  </si>
  <si>
    <t>Juan Félix</t>
  </si>
  <si>
    <t>…ia el estudio Estado de esta causa. Recibida á prueba: srga. de estas ciencias, proponiendo todos los años asuntos de premio sobre Antonio Jordán, remitido por el juez mas antiguo D. Juan Félix objetos correspondientes á ellas. Maruri en 4 de Enero de x818 por robos en despoblado. Estado de. 2.” La sociedad mineralógica, presidida pór el estimable filántropo Csta causa. Para sentencia definitiva: siga. el barón de Victingloff. El presbítero D- Juan…</t>
  </si>
  <si>
    <t>…ada del cuerpo de Ipsilanti se retiraron de visita: siga. las tropas de Teodoro al monasterio de Cotretsiani, y él se quedó en Bu Felipe Pichardo, remitido por el juez mas antiguo D. Juan Félix charest con 50 hombres; pero el 12 salió de la ciudad, y se fue tam Maruri en 17 de Octubre de 1820 por robo de unas prendas de r :psbién al monasterio. Estado de esta causa. El de traslado al reo de la acusación fiscal. Pro » En la Valaquia reinaba el mayor…</t>
  </si>
  <si>
    <t>Fellú, Ramón</t>
  </si>
  <si>
    <t>Ramón Fellú</t>
  </si>
  <si>
    <t>…seis proposiciones presentadas por ción de la Península á D. Mateo Valdemoros; para el de la de Ul el Sr. Zorraquin en la sesión del dia 2 del corriente; á saber: que se tramar á D. Ramón Fellú ; para el. de Gracia y justicia á D. Vicente suspenda por ahora en Madrid el alistamiento general que previene eL Cano Manuel: para el de Hacienda á D- Antonio barata; para el de art. i.° del reglamento de milicias nacionales; que se suspenda el artí Guerra á…</t>
  </si>
  <si>
    <t>Felpe</t>
  </si>
  <si>
    <t>…tración á aquellos habitantes. Valcafcel, Sánchez Resa, Cavaleri, Zavaia, Cepeda , Mora , Torrens, No se admitió á discusión la indicación referida. marques de! Apartado, Navarro (D. Felpe), Quirosa, conde da Se leyó ia siguiente adición deL Sr. F.igoaga al art. z.° aprobado Montenegro, Ligarte ( D. Agustín), Calderón , Pino, Losada, Valle por las Cortes; «De modo que basta que se llenen las necesidades de y Latlave (,D. Pablo ). Filipinas no v…</t>
  </si>
  <si>
    <t>Felpueiras</t>
  </si>
  <si>
    <t>…s asuntos y expedientes que se les habian pasado. y el marques de Londonderry asistieron á la función. Idem del 26. Inglaterra. Noticias de América buenas y malas. Muchas cruel El Sr. Felpueiras leyó una proposición para que el día x.° de Octu dades y saqueos cometidos en los mares de América , particularmente bre fuese festividad nacional , y se decidió que el dia i.° de Octubre en los mares de laliavana: los corsarios, aunque pequeñosy débiles,son…</t>
  </si>
  <si>
    <t>FemandesThomas</t>
  </si>
  <si>
    <t>…us convenciones que les hizo dijo que era una cosa dolorosa que en la mis car la orden del juez competente. ma coyuntura en que el Austria, la Prusia y la Rufeia obligaban á la El Sr. FemandesThomas, hablando de este asunto, apoyó la idea de Suiza á censurar ¡os periódicos, hubiesen podido los ministros hacer que se hiciese una ley reglamentaria que fijase los casos en que debia creer á algunos franceses qúe su. Gobierno había recibido también de haber e…</t>
  </si>
  <si>
    <t>Femando</t>
  </si>
  <si>
    <t>…misión , á fin de que no Para hacer esto mas palpable citó la ley hecha en Barcelona el año se tratase el asunto diplomáticamente, y no se retardase la egecucion .148.1 por el Rey D. Femando el Católico, que: decia que si alguno de uña 'de lás medidas qué había propuesto la comisión especial non- • hubiese poseído ó en adelante poseyere por tiempo de 80 años cual brada para informar á las Cortes sobre el estado político de la Na quier cosaque hub…</t>
  </si>
  <si>
    <t>Fer</t>
  </si>
  <si>
    <t>…ucción de la juventud.. A este fin nombró por ins El orador: la palabra monarquía significa la monarquía constitucio pector de escuelas públicas á su primer alcalde constitucional D. Fer nal con el Gobierno representativo, establecido por la Carta. nando Antonio de Cos, quien á los 24 días de haber tomado este en A la derecha: enhorabuena, &gt; • : cargo logró que los niños de primeras letras fuesen, examinados por-el El orador:.pero no signific…</t>
  </si>
  <si>
    <t>…r empleadas en la persecución de los enemigos del sis ,,Supongo pues que entrase en el plan de un orador contaros una Tabula tema, sin otro distintivo que sus espadas; y otrti del coronel D. Fer bien conocida, la del lobo y el cordero (movimiento de sorpresa en el lado nando Marín , para que se le recomendase al Gobierno' para el mismo izquierdo y en el centro), que se divirtiese en referiros todos los por- ■ objeto, pues deseaba ser útil á la patria…</t>
  </si>
  <si>
    <t>…enteradas del oficio deWE. y del del gefe político tario de Estado y del Despacho de la Guerra, y al inmediato mando de Valladolid, en que recomienda á la viuda y siete hijos de. D. Fer del intendente general militar. Art. 2.0 Las principales atribuciones de nando Ríos , capitán comandante de la milicia nacional de Vaideras, este trefe serán: id Formar anualmente el presupuesto general de los muerto á manos de unos bandidos en e! momento de…</t>
  </si>
  <si>
    <t>…es cronológicos, y hallé que eran cabalmente c¡ mis ma¡ económica y severa administración, proponiendo al Gobierno ¡a» ino dia y hora que en el año 1808 nuestro augusto Monarca el Sr. D. Fer ¡reformas y mejoras que crean mas convenientes, y á las diputaciones nando vil tuvo que hacer en Bayona la violenta abdicación de su corona. provinciales las cantidades que se necesiten para cubrir sus precisos gas Para que no se tenga por libré mi aserción,…</t>
  </si>
  <si>
    <t>…ntos debidos. r= I Eos guarde á V. E. muchos años. Jaufroi, digno concolega de ios editores de la. Gaceta de 'Francia , no . Tánger 18 de Julio de t8ai. = Zinon de Oíue. = Excrno. Sr. D. Fer podiendo por esta vez meterse á Quijote , se mete á tonto; y pretende el. nando de Butrón.” buen hombre probar que el discurso del príncipe Taillerand es una. so Cádiz i.° de Agosto. lemne ironía: los sensatos compadecen ai tai A quilos , y se ríen del Ha. en…</t>
  </si>
  <si>
    <t>…Josef Nuñez de Arenas, capitán del cuerpo de artillería. cuya subasta se haya empezado y concluido desde la ejecución del ci Por la provincia de háavarra. D. Josíf Luis Munarriz; D. Fer tado decreto de 29 de Junio hasta la de este, aunque no estén pagadas, mín Alvarez Enlate, penitenciario de Santiago de Galicia; D. Miguel tomada posesión ni otorgadas las escrituras. Escudero. Suplente. D. Angel bata&gt;eta de Jlurdoz. 4. " y por úitirno que no…</t>
  </si>
  <si>
    <t>Fer, Joaquín María</t>
  </si>
  <si>
    <t>Joaquín María Fer</t>
  </si>
  <si>
    <t>…ara desempeñar la comisión que se expresa en el art. 14 ha nom man de este modo una nación enteramente distinta, y asi conservan el brado S. M. á los directores del referido Banco D. Joaquín María Fer d.-recho de sacudir el yugo de los opresores de su pais, loi cuales rar, D. Manuel de la Turre y Rauri, D. Gabriel B.iiez, D. Andrés con su conducta para con los pueblos que han vencido , se han atraído Caballero , D. Fraile sco Crespo de Tejada; y por parte…</t>
  </si>
  <si>
    <t>Fer, Pedro Jacinto</t>
  </si>
  <si>
    <t>Pedro Jacinto Fer</t>
  </si>
  <si>
    <t>…esente se cita, llama y emplaza á todas las personas que se en su crasa ignorancia lo.s que ahora desaprueban la Constitución espa crean con derecho á ser herederos abintcstato de D. Pedro Jacinto Fer ñola por no haberla entendido en 1812 , ó se verán precisados á con nandez de Villareal y Gopegui, natural que fue de la villa de Haro, fesar que los Reyes no hacen caso de la palabra que dieron en aquel en la Rioja, vecino de esta corte , hijo legítimo de D.…</t>
  </si>
  <si>
    <t>Fer-'</t>
  </si>
  <si>
    <t>…ón de sangre costaría ‘ de grasa de arder, ó 3ain. poca á los liberales; que la derraman en todas sus tentativas, y que se Escuela de dibuja. Primer premio da figuras de 300 rs. á D. Fer-' podria decir, di ver su ardor siempre en aumento, que hallan un placer nando Suarez. Ei segundo de cabezas de 200 á D. Fraa-cisco Gutiérrez, tan particular, que no se sacia nunca la atrocidad de sus almas, 'En y el tercero de 100 á D. Vicente Vigil, todos tre…</t>
  </si>
  <si>
    <t>Fergola</t>
  </si>
  <si>
    <t>…egular que la historia de las matemáticas no se vea en la diá en que constare su elección en la diputación permanente, no po precisión de hacer saber á las edades venideras que el Sr. Fergola haya drán los diputados aceptar ni solicitar para otros pensiones ó conde resuelto, por egemplo, el problema de la rectificación general de las coraciones que sean de provisión Real ; y lo mismo se entenderá con curvas ú otro semejante, porque según el anunci…</t>
  </si>
  <si>
    <t>Fergola, Nicolás</t>
  </si>
  <si>
    <t>Nicolás Fergola</t>
  </si>
  <si>
    <t>ipio célebre matemático D. Nicolás Fergola, no menos insigne por su saber Se aprobó el artículo coh solo la variación de decirse n último año* ^ que por el mérito de una profunda y tierna piedad, se emplea actual en lugar de » segundo año.’” mente en componer una disertación sobre este maravilloso obj…</t>
  </si>
  <si>
    <t>Ferjan</t>
  </si>
  <si>
    <t>…s provinciales de Galicia, ¡el Dr. D. Joaquín Pa y otros -, pero los griegos conocen que .adolecen de este defecto, y traba- tino . bibliotecario de la universidad de Santiago; el coronel D. Ferjan/por corregirlo , cuya, circunstancia aumenta extraordinariamente sus nanrto .Saravia; D. Ramón Lamas y Menendez-, D. Domingo Somoza, r tuerzas. De ésta suerte tienen los griegos nueve ventajís capitales con- provisor» y gobernador del- obispado de Oviedo.. tr…</t>
  </si>
  <si>
    <t>FérmíiíiTOiflj, Josef</t>
  </si>
  <si>
    <t>Josef FérmíiíiTOiflj</t>
  </si>
  <si>
    <t>…nes de varias autoridades, Para primer comandante dei regimienip infabteríadigera 2.“Vo y que por consiguiente aunque no hablasen masque tres Sres. diputados luntarios de Aragón á D. Josef FérmíiíiTOiflj¡Éf, segundo comandanta en favor y tres en contra, habiendo alguno, cuyo discurso pudiese du del 1.° del mismo nombre .--para tenientes coroneles mayores: del regi rar tal vez mas de upa hora , resultaba qué la discusión se baria suma miento infantería de la R…</t>
  </si>
  <si>
    <t>Fermín</t>
  </si>
  <si>
    <t>…ión especial de nueva, Bernabeu, Nóvoa, Vecino , Sándino, Rodríguez ( D. Jasef), Hacienda sobre la deuda contraída en Holanda, y los votos contrarios -Maniau, Coraminas, Clemente (D. Fermín), Gisbert, Manescau, que sobre lo mismo hicieron los Sres, Gliver, Calderón y Subrié, y a -Azaola , Terán, Sabariego , Subercase , Cabezas , Sancho , Manzanilla, petición del Sr. conde deí.Toreno se mandaron imprimir. Bahatnonde, Sánchez' Salvador, Puigblanch…</t>
  </si>
  <si>
    <t>Fermin</t>
  </si>
  <si>
    <t>…OS. de milicias pasará cada dos años revista á su cuerpo para conocer el es tado da instrucción, disciplina tkc., y para egercitailo en la escuela de Se desea saber el paradero de D. Fermin ds Perruchena y Olaverri, batallón. administrador general ds salinas en demisión en la Mancha por los Propone mas adelante la comisión que esta revista dure 15 dias; años de 1804, poco mas ó menos, y pYr su fallecimiento el de alguno que sea dentro del distri…</t>
  </si>
  <si>
    <t>Fermin, Josef</t>
  </si>
  <si>
    <t>Josef Fermin</t>
  </si>
  <si>
    <t>…que tuviesen por conducente. La presentación de los referi procedan á los aforos de los géneros de algodón introducidos, y que dos títulos deberá hacerse en el estudio del síndico D. Josef Fermin concluidas las liquidaciones se pasen á la contaduría mayor: que no se Gil, abogado de los del ilustre colegio de esta corte, que lo tiene en permita ya expedición alguna ádicha casa en virtud de las transaciones el cuarto principal de la casa núm. 21 en la c…</t>
  </si>
  <si>
    <t>Fermoso, Josef</t>
  </si>
  <si>
    <t>Josef Fermoso</t>
  </si>
  <si>
    <t>…dem de Maañon. Orense ; \ Jo Cortes las tuviesen presentes en la discusión del proyecto de bene sef Feijoo y Marquina y D. Pedro Fernandez Cid, propietarios. Rlva- ficencia. davia D. Josef Fermoso, abogado. Carv.illino D. Antonio Monroe , al El Sr. Martel pidió que quedara este expediente sobra la mesa para calde constitucional de Brues. Celanova D. Ramón íieuriquez , propie que los Sres. diputados io examinasen , y viesen la urgentísima necesi tario.…</t>
  </si>
  <si>
    <t>Fernan</t>
  </si>
  <si>
    <t>…empleados , era necesario que se hiciese distinción. metidos 130: salidos ó curados 13: convalecientes 86: muertos 74: 3&gt; Házanse todas las distinciones que se quieran (replicó el Sr. Fernan existentes 303. dez Tilomas); pero des-.: de comer á esos infelices que andan pidiendo De orden de la M. I. ¡unta municipal de San ¡dad. = Francisco limo.na v muriéndose de hambre." Por último se acordó que pasase la Subirach, habilitado para su secretario. p…</t>
  </si>
  <si>
    <t>Fernan, Antonio</t>
  </si>
  <si>
    <t>Antonio Fernan</t>
  </si>
  <si>
    <t>…bién se aprobó el dictamen de la comisión de Legislación, rela Art. 126. „Todo delito ó falta militar será castigado con mayor pe tivo á que podía dispensarse un año de práctica á D. Antonio Fernan na en campaña que en tiempo de paz, inclusos los abusos de libertad de dez, capitán de infantería, para recibirse de abogado según solicitaba. imprenta. Entró á jurar, y tomó asiento un Sr. diputado por Ultramar. Art. [2/. ,,E1 vicioso incorregible será expel…</t>
  </si>
  <si>
    <t>Fernan, Joaquín</t>
  </si>
  <si>
    <t>Joaquín Fernan</t>
  </si>
  <si>
    <t>…l comprador la obligación de haber de emplear á algunos ciuda .del actual orden de cosas. Este egempio fue seguido por los otros ba danos qúe han sido colonos de la misma; otra de D. Joaquín Fernan tallones. Pasé al puesto donde acaecía tal desorden para reunir á los dez, solicitando dispensa de edad para recibirse de abogado; otra del desbandados ; pero ya iban dispersos por las alturas. Dispuse que se re Gefe político de Guipúzcoa, pidiendo una declar…</t>
  </si>
  <si>
    <t>Fernan, Manuel</t>
  </si>
  <si>
    <t>Manuel Fernan</t>
  </si>
  <si>
    <t>…Caracas D. Juan Rodríguez se repitió la votación, reducida al señor Francisco Simoens Toro, y D. Francisco González de Linares; y S. E. el pre Margiochi, que tuvo 20 votos , y al señor Manuel Fernan sidente de Colombia Simón Bolívar, como gefe de la repú dez Tomas, que salió electo vice-presidentc por 49. Siguió blica, de parre de ella á los señores general de brigada An se á esto una discusión sobre el número de los secretarios, tonio Josef Sucre, coron…</t>
  </si>
  <si>
    <t>Fernan, Miguel</t>
  </si>
  <si>
    <t>Miguel Fernan</t>
  </si>
  <si>
    <t>…que aun para escribirle en esta de en desdoro del lustre de la Nacían. Asimismo he ente ocasión me veo precisado á valerme de mano agena, cono rado al Rey de una representación de D. Miguel Fernan cerá fácilmente que sobre este particular me es imposible se dez y otros presbíteros secul rizados con auregreior. a! cle guir los impulsos de mi corazón. ro romano, fecha 30 de Abril del año próximo pasado, re «Puedo sin embárgo asegurar áV.M. que los minist…</t>
  </si>
  <si>
    <t>FernanBragge-Bathurst, Manuel</t>
  </si>
  <si>
    <t>Manuel FernanBragge-Bathurst</t>
  </si>
  <si>
    <t>…nciller del Echtquier, Mr. Robinson, bispo , que lo era de la junta preparatoria : quedaron lue Mr- Wellesley Pole, el duque de Wellington y Mr. go electos para vice-presidenre el Sr. D. Manuel FernanBragge-Bathurst. Esta junta permaneció deliberando des des Tomaz; y para secretarios los Sres. D. Juan Bautista de las tres de la tarde hasta las seis y media; y en las Filgueiras, D. Josef Joaquín Rodríguez de Bastos, D. Jo circunstancias actuales no ha podido menos de exci…</t>
  </si>
  <si>
    <t>Fernandez</t>
  </si>
  <si>
    <t>…Francia, del Monarca , y de la paz pública; y caerá sobre misión había omitido una muy importante, cual era la de él la execración general. las peticiones ; á lo que respondió el Sr. Fernandez que si Sigue en mucha estimación el papel del empréstito de se aprobaba su proyecto, no era necesaria, porque pertene España, pues gana 2 i por 100 en lugar de perder 30 co cía á cada una de las respectivas secretarías por la parte que mo lo aseguraba antes d…</t>
  </si>
  <si>
    <t>…s aliados han para formar la ley constitutiva del egército de Ultramar. publicado al tiempo de separarse del Congreso, en la que declaran No se admitió á discusión una adición del Sr. Fernandez, que decía abiertamente su siniestro sistema político ;,y se reduce á decir que de asi: «Que las adiciones presentadas por la comisión especial de Ha resultas de la revolución de Ñapóles se vieron precisados á reunirse en cienda se impriman.” Troppau á tratar…</t>
  </si>
  <si>
    <t>…roble ma de la guerra entre rusos y tuteos: sin duda las negociaciones sobre Sesión di Cortes del dia i.° el particular tienen todo aquel carácter diplomático de los tiempos an El Sr. Fernandez 'lomas pidió que el ministro de Marina diese tiguos , perfeccionado por la ciencia de los Congresos , y que hacen que cuenta del balance de sus ingresos y gastos en el término de ocho dias, todo sea sigilo , y que corno hemos visto en Ñapóles , se obre hostil…</t>
  </si>
  <si>
    <t>…á ti rra una compañía de guardias de á caballo, carapela de la nación había de ser distinta de ía del Rey. á quien sostenía un escuadrón montado; esta primera fila, después de El Sr. Fernandez íí omas dijo que en tal caso debía preferirse la es disparar sus carabinas y pistolas, se arrojó sable en mano sobre los de- carapela nacional, pues los sueldos los pagaba la nación misma. moledores, dándoles mas bien de plano que de corte. Se leyó y discutió…</t>
  </si>
  <si>
    <t>…la caza ordinaria de Jos que hacen el comercio de esclavos en el beneficencia. Fezzan. También los tibbous son ladrones, salteadores y traficantes , se El Sr. presidente nombró al Sr. Fernandez en lugar del Sr. Gaseo gún se les presenta la ocasión, y la mayor parte de ellos adoran los para la diputación que habia de ir á llevar á S. M. la contestación por ídolos ó fetiches. Los árabes dicen que los de la provincia de Bornon no escrito á su discurso.…</t>
  </si>
  <si>
    <t>…seria de los ocupa el centro. Es necesario tener presente que esta provincia en su que trabajan en ellas. dimensión y área es muy irregular, y de consiguiente aunque razones de El Sr. Fernandez apoyó el dictamen de la comisión , y demostró política y conveniencia pública se opusieran á que fuese la capital Gua la mayor centralidad de Guadalajara con respecto á los partidos mas dalajara, y el no ocupar el Centro fuese motivo para no erigirla en pingü…</t>
  </si>
  <si>
    <t>…contra este artículo, que me parece que no puede Del Sr. López acerca de los de la provincia de Calatayud. oponerse á ellas razón alguna. La desigualdad que se advierte en Ja Del Sr. Fernandez acerca de los de la de Guadalajara. asignación de gefes políticos, puesta en el número 3° del apéndice, es Los Sres. Desprat, Oliver, Rey, Quintana, Puigbiancti y Janer tal, que á primera vista no quería duda de ella. Desde luego se ha dicho, presentaron algu…</t>
  </si>
  <si>
    <t>Fernandez'-</t>
  </si>
  <si>
    <t>…á su entender, en el- primer, cúso, y que negándose de ia introducción de granos extranjeros, y-que el ¡nodo de proterzef á ser ciudadano deberla ser extrañado del reino; pero el Sr. Fernandez'- aquella era prohibir estos.Pero se notó que no era posib'e hacer exten-' Tomas manifestó que estaba én el segundo caso , pues que habia jurado siva esta medida á todas las islas; y después de otras muchas objeciones anteriormente la Constitución que hiciesen…</t>
  </si>
  <si>
    <t>Fernandez, Agustín</t>
  </si>
  <si>
    <t>Agustín Fernandez</t>
  </si>
  <si>
    <t>…cion sin ninguna va Cádiz g de Agosto. riación.” Pía entrado en este puerto h¡ goleta española Graciola, de Cádiz, __Escriben de Cronstadt con fecha 15 del pasado que entre las mu capitán D. Agustín Fernandez, de Honduras y la Havan-a en ge» dias. chas calamidades que han afligido á la desgraciada ciudad de Bucharesc Dice este capitán que i su salida quedaban embarcándose en tres tras no es la menor la de un temblor de tierra, que ha destruido gran parte portes 50…</t>
  </si>
  <si>
    <t>Fernandez, Alonso</t>
  </si>
  <si>
    <t>Alonso Fernandez</t>
  </si>
  <si>
    <t>…cillo telar, ir.-r nente y de la Morca , adonde los barbaros del Africa no podrán apro vención suya. ximarse sm una manifiesta violación de dicho tratado. Trescientos veinte rs. á D. Alonso Fernandez, alumno del institu-</t>
  </si>
  <si>
    <t>Fernandez, Amonio</t>
  </si>
  <si>
    <t>Amonio Fernandez</t>
  </si>
  <si>
    <t>…onicle, dice que en las dos Cámaras de juez de primera instancia en esta capital , pende causa á pedimento de Hannóver ha habido violentas discusiones; que los ministros se vieron D. Amonio Fernandez, pensionado de mérito por S. M., contra Don precisados á interponer la autoridad Real, y que han sido disueltas las Juan Isidoro Dabejan , regente de la botica sita en la calle de Alcalá, Camaras; que el pueblo desea con ansia la abolición de los privilegios…</t>
  </si>
  <si>
    <t>Fernandez, Andrés</t>
  </si>
  <si>
    <t>Andrés Fernandez</t>
  </si>
  <si>
    <t>…r me dicen los Sres. secretarios de las Cortes loCaudal recibido.............;........................................... 10.205,802..TO» £ que copio: El capitán de navio retirado D. Andrés Fernandez deCaudal empleado y existente en fin de Mayo. 10.20;,802..10.. f Viedma, vecino de Jaén , ocurrió á las Cortes pidiendo permiso para Igual;................................................................................ disponer del total de las vinculaciones…</t>
  </si>
  <si>
    <t>Fernandez, Angel</t>
  </si>
  <si>
    <t>Angel Fernandez</t>
  </si>
  <si>
    <t>…a de Cazalla, tasadas en la can ANUNCIOS. tidad de* 8© rs. vn., las cuales se incluyeron para su anun cio en la relación núm. 4, pasada á v . E. en 22 de Noviem Por providencia de D. Angel Fernandez de los Ríos, mi bre último, se ha pror&amp;gado la subasta por término de ty nistro honorario de la audiencia territorial de Castilla la Nue va, y juez letrado de primera! instancia dé ésta M. H. villa de días, señalando su remate para el día 20 del presente mes.…</t>
  </si>
  <si>
    <t>…canto del célebre Bor nifacio Assioli, la escuela de violin del p-ofesor Rolla, y los ANUNCIOS. elementos de flauta del profesor Weiss, que acaban de llegar de Por providencia del Sr. D. Angel Fernandez de los Ríos, Milán, con un abundante surtido de música vocal é instrumen ministro togado honorario de la audiencia territorial de Castilla tal , que se dará á precios muy equitativos. la Nueva , y juez de primera instancia de esta heroica villa , dada Los sus…</t>
  </si>
  <si>
    <t>468</t>
  </si>
  <si>
    <t>…rio-de la. aduana de Zarza? veniente, y parará el perjuicio que haya lugar. - . . en 6,500 ts. Contador de id.: en 5500 rs. Administrador de la aduana En virtud de providencia del Sr. D. Angel Fernandez de los Rio;, de Cheles: en 5500 rs. magistrado honorario de la audiencia de Castilla la Vieja, y juez de Galicia. Contador de la aduana de Puente las Bar jas: en 5500 rs. primera instancia en esta M. II. villa , se cita , llama y emplaza i os Sevilla. Adminis…</t>
  </si>
  <si>
    <t>…la tranquilidad en Grenoble, ~ ANUNCIOS. «n donde paseando el estandarte tricolor habian gritado: abajo la Car*aj Constitución. El Monitor, fundándose en un párrafo de! pe Ante el Sr. D. Angel Fernandez de los Rios, ministro togado, riódico ingles el Morning-Chronicle, dice que en las dos Cámaras de juez de primera instancia en esta capital , pende causa á pedimento de Hannóver ha habido violentas discusiones; que los ministros se vieron D. Amonio Fernandez,…</t>
  </si>
  <si>
    <t>…la queja que dió D. Gabriel Serrano , vecino de esta corte, contra el plares remitidos por el Sr. secretario del Despacho de la Guerra de la juez de primera instancia de la misma D. Angel Fernandez de lo» circular que se expidió en 4 del corriente, comunicando la resolución Ríos. Opinaba que no debia haber lugar á la formación de causa con de las Cortes sobre que los vireinatos y otros empleos que nombraba tra dicho juez , puesto que se deducía de la so…</t>
  </si>
  <si>
    <t>…s. ANUNCIOS. La misma Gazette publica que en Pariría han asesinado al general austríaco conde de Nieberg; not'cia, que aunque no sea cierta, puede En virtud de providencia del Sr- D. Angel Fernandez de los Ríos, servir mucho á las miras que siempre se han propuesto aquellos perio juez de primera instancia de esta M. H. villa, de 31 de Ocubre últi distas. También anuncia que el conde.de Bubna ha cogido en Milán mo, refrendada por el escribano de número D.…</t>
  </si>
  <si>
    <t>614</t>
  </si>
  <si>
    <t>…la gaceta pletamente egecutado. Todo lo que participo á V. E. para su inteli inclusive. gencia, y que se sirva disponer su cumplimiento en la parte corres Por providencia del Sr, D. Angel Fernandez de los Ríos , minis pondiente al ministerio de su cargo; en el concepto de que con esta tro togado, y juez de primera instancia de esta M. H. villa, refrendada fecha lo traslado á dicho R. obispo y á los gobernadores del obispado por el escribano de su número…</t>
  </si>
  <si>
    <t>…Antonio Barata.” á dicho D. Simon.Antonio de Éyriz, que vive calle alta de S. Vicente; número 6. A consulta del consejo de Estado se ha servido nombrar el Rey Por providencia del Sr. D. Angel Fernandez de los Ríos, magis para las judicaturas de la provincia de.Granada, inclusas las de Mála trado honorario de la audiencia de Castilla la Vieja, y juez letrado en ga , á los sugetos siguientes: primera instancia de esta M. H. villa, refrendada de su escribano d…</t>
  </si>
  <si>
    <t>…e el altamente la distinguen, y á las que la Europa (volvemos'i decirlo) reglamento acordado por las Cortesen 3 de Setiembre último. es deudora de su libertad. Por providencia del Sr. D. Angel Fernandez de los Ríos, magistra La gaceta de Francia, que siempre está hablando de legitimidad, ig do honorario de la audiencia de Castilla la Vieja ; y juez letrado de pri nora , ó afecta ignorar , que la legitimidad ma» buen. comprobada, la mera instancia de esta M.…</t>
  </si>
  <si>
    <t>…ción d« cer dichas mejoras, á pagar en créditos contra el Estado, acudirá ai la Monarquía española, Rey de las Espadas, á todos los que las presen juzgado de primera instancia del Sr. D. Angel Fernandez de los Ríos, tes vieren y entendieren,- sabed: Que Jas Cortes han decretado lo si y escribanía de D. Martin Santin y Vázquez; en el concepto de que su guiente : » Las Cortes, habiendo examinado la propuesta de S. M. so último remate se ha de celebrar en una d…</t>
  </si>
  <si>
    <t>Fernández, Angel</t>
  </si>
  <si>
    <t>Angel Fernández</t>
  </si>
  <si>
    <t>…dar una declaración en el .expediente que se actúa ante el juez de pri-, tisfaciese á estos interesados con los materiales que puedan serles útiles inera instancia, de esta corte D. Angel Fernández de los Ríos para- para aquella fabricación. acreditar su adhesión al sistema: constitucional. : Asimismo se aprobó el dé la dé Diputaciones provinciales acerca de Se leyó una exposición del regimiento de infantería ligera primero de la exposición del ayuntami…</t>
  </si>
  <si>
    <t>…los que las presen Barreda y D. Francisco Nebot, cuyos papeles se le han mandado ocu tes vieren y entendieren, sabed: Que las Cortes han decretado lo si par por un requisitorio de D. Angel Fernandez de los Ríos, juez de guiente: -&gt; Las Cortes, usando de la facultad que se les concede por Ja primera instancia de esta corte , que sigue causa contra los autores de Constitución , han decretado. Artículo i.° Las Cortes nombrarán en una proyectada conspiración…</t>
  </si>
  <si>
    <t>…que Quien quisiere hacer dichas mejoras, á pagar en créditos contra el lista sí trasladarán al convento de su instituto de la propia ciudad; la capilla do, acudirá al juzgado del Sr. D. Angel Fernandez de los Ríos, m¡de Sta. Agueda de mercenarios, y ei único religioso que hay en él pa nistro'togado , y juez de primera instancia de esta M. H. villa, por la es sará adonde los anteriores; el colegio de trinitarios calzados, que se cribanía del número de D. Mar…</t>
  </si>
  <si>
    <t>…d de ellos; cualidades de que no hemos te en que se anuncie este aviso en-la gaceta de Madrid. En su vista sacado partida por el espíritu de monopolio y leyes fiscales que nos el. Sr. D. Angel Fernandez dé los Ríos, magistrado honorario de la han regido, é impedido el desarrollo de este ramo, privándonos por lo audiencia de Castilla la Vieja, y juez letrado en primera instancia de mismo de las ventajas y utilidades que puede proporcionarnos la in esta M. H.…</t>
  </si>
  <si>
    <t>…egadas de que se hallaren en ella sin licencia obtenida por el medio referido, se correos. ñalándoles á este fin el término prudente mas breve y perentorio que Por providencia del Sr. D. Angel Fernandez de los Ríos, minis V. juzgue suficiente para verificarlo; que cerciorándose de todos los tro togado honorario de la audiencia territorial de Castilla la Vieja, qued-b;endo residir en su diócesis se hallen fuera de ella sin haber ob y juez de primera instancia…</t>
  </si>
  <si>
    <t>…laMayor de Sar, A instancia del comisionado principal del Crédito público de esta S. Martin de Lalin, Beinposta, Caldas de Reyes, S. Salvador de La provincia, por providencia del Sr. D. Angel Fernandez de los Ríos, ma , Rivadavia, Carvallino, Orense, Celanova , Maceda de Limia, magistrado honorario de la audiencia de Castilla la Vieja, y juez letra Castro de. Cuídelas, Monforte de Lemos, Sarria , Lugo y Chantada. do de primera instancia de esta M. H. villa…</t>
  </si>
  <si>
    <t>…os egércitos rusos á lo interior del imperio otomano por tres diferentes puntos. ANUNCIOS. Si las circunstancias no apresuran los acontecimientos, se deberá te Por providencia del Sr. D. Angel Fernandez de los Ríos , magis ner en Presburgo un Congreso para tratar los asuntos de griegos y tur trado honorario de la audiencia de Castilla la Vieja, y juez letrado de cos; pero era de temer que hasta la época de Setiembre, en que debe primera instancia de esta M.…</t>
  </si>
  <si>
    <t>…n , el presidente le llamará al orden. Consecuente á la solicitud introducida en el juzgado de primera Art. 106. Ninguno podrá hablat dos veces sobre un mismo asunto Instancia del Sr. D. Angel Fernandez de los Ríos, que actualmente sino para aclarar hechos, ó deshacer equivocaciones, cifrándose preci y á virtud del repartimiento de negocios despacha su compañero el se samente á esto , y sin que les sea permitido entrar de nuevo en la dis ñor D. Josef Martíne…</t>
  </si>
  <si>
    <t>…notan en esta causa; y se pon Véndese á 14 rs. en el despacho de la imprenta Nacional. ga esta providencia en noticia del Gobierno y del consejo de Estado, Por providencia del Sf. D. Angel Fernandez de los Ríos, magis y se archiven los autos. Madrid 25 de Octubre de 1821” trado honorario de la audiencia de Castilla la Vieja, y juez letrado en primera instancia de esta M. H. villa, refrendada en este dia por el es VARIEDADES. cribano del número D. Jacinto…</t>
  </si>
  <si>
    <t>…e Enero de 1819. ANUNCIOS. jo. Dos procesados por heridas de que resultó muerte. Principió en 26 de Enerods 1818: en libertad. Ultimo estado de esta causa. Sus Por providencia del Sr. D. Angel Fernandez de los Ríos, juez en tanciándose la apelación interpuesta de un auto del inferior dado en 1/ primera instancia de esta M. H. villa, refrendada de su escribano del de Junio de 1820. número D. Jacinto Gaona y Loeches, se ha señalado el dia 2 ds Ene 1 r. Un proc…</t>
  </si>
  <si>
    <t>…concepto, ANUNCIOS. es compatible con todos los sistemas de Gobierno, sean los que quieran. Después de haber hecho varias reflexiones sobre este asunto los se Por providencia del Sr. D. Angel Fernandez de los Ríos, juez de ñores Fraile y Vitorica, se declaró suficientemente discutida la proposi primera instancia de esta M. H. villa, se cita y emplaza por la escriba ción referida , y quedó aprobada en estos términos: habrá jueces de he nía de D. Tomas de San…</t>
  </si>
  <si>
    <t>Fernandez, Antonio</t>
  </si>
  <si>
    <t>Antonio Fernandez</t>
  </si>
  <si>
    <t>…ías palabras del san «dignísimo genera! D. Rafael del Riego;” dijo S. S. debía de to hombre arraigan sobre ellas el espíritu que debe tamb'trt condenar y condenaba á los referidos D. Antonio Fernandez inspirarlas. En vano emplean los eclesiásticos su zelo v sus de Castro y Bosque y Rainon Pomares en dos años de des esfuerzos para hacer cesar estos, abusos que, ultrajan la tierro de esta capital, y en las costas causadas mancómuna- religión y al buen sentid…</t>
  </si>
  <si>
    <t>…arina, leyó la comisión Ecle El Sr. Cepeda presentó) una exposición de D. Ramón Díaz, Don siástica su dictamen sobre diversos asuntos , siendo uno de ellos los ma Francisco Perez, D. Antonio Fernandez y otros, sargentos primeros trimonios que se contraen en Ja patriarcal entre personas de diversas que fueron del batallón de Asturias, en que manifestaban que por el provincias, que están obligadas á hacer gastos en la curia eclesiástica. mérito que habían co…</t>
  </si>
  <si>
    <t>…de Lleopart: en la de Valladolid á D. Josef Martinez Areta: en la de fuego y patriotismo en medio de las intrigas y convulsiones políticas Granada á D. Josef de la Vega Carballo, D. Antonio Fernandez del que agitaban aquel imperio: un tomo en 8.° Se hallará á 8 rs. en la Castillo y D. Francisco Verea y Cornejo: en la de Navarra á D. Jo librería de Hurtado. sef Rodríguez Biedma y D. Felipe Baraibar: en la de Aragón á Don - Exposición presentada á las Corte…</t>
  </si>
  <si>
    <t>Fernandez, Antonio Anselmo</t>
  </si>
  <si>
    <t>Antonio Anselmo Fernandez</t>
  </si>
  <si>
    <t>…mos sean mas felices, pondrán á los diputa El expresado Sr. Couto dio. cuenta de haber presentado dos en ¡a venturosa disposición de hacer todo lo posible en sus poderes los Sres. D. Antonio Anselmo Fernandez, di beneficio del pueblo, bien seguros de verse apoyados por la putado suplente por Guadalajara; D. josef Cabeza y Mora, eficaz cooperación de V. A. R.” diputado suplente por Canarias ; D. AgustinTorres, diputado suplente por Cataluña ; D. Mariano Zorraquín ,…</t>
  </si>
  <si>
    <t>Fernandez, Bartolomé</t>
  </si>
  <si>
    <t>Bartolomé Fernandez</t>
  </si>
  <si>
    <t>…el estado Armontia: para Búrgos á D. Modesto Cortazar: para Castrojeriz á Don de repartición visado por el intendente , enviarán á los alcaldes cons Josef Calleja: para Villaoz á D. Bartolomé Fernandez: para Miranda titucionales la orden que fija el contingente de su pueblo ó distrito. de Ebro á D. Domingo de San. Martin: para Sto. Domingo de la Cal El Sr. Bahamonde manifestó que parecia se oponía á la Constitu zada á D. Félix María Manso de Velasco: para S…</t>
  </si>
  <si>
    <t>Fernandez, Félix</t>
  </si>
  <si>
    <t>Félix Fernandez</t>
  </si>
  <si>
    <t>…y Gómez, individuo del colegio nacional de profesores farma preciso aparentar que creíamos que el indigno Godoy era un hombre céuticos de esta corte. Se hallará en la droguería de D. Félix Fernandez, dotado de un mérito eminente, volvamos ios ojos á nuestra época de bajada de Sta. Cruz, inmediato á la iglesia , núm. i, al equitativo precio gloria y de libertad, y veamos si es posible dar á los electores una re de 12 rs. el frasquito, cavida de lina onza,…</t>
  </si>
  <si>
    <t>Fernandez, Fermín</t>
  </si>
  <si>
    <t>Fermín Fernandez</t>
  </si>
  <si>
    <t>…en Europa. nada á D- Josef Francisco Morejon de León : en la de Navarra á Don De todos modos como el divan no ha de ceder voluntariamente, G-rónimo Zemborain: en la de Astúrias á D. Fermín Fernandez de la Ja fuerza será necesaria para ejecutar los planes que haya en planta; y Cuesta y á D. Nicolás Gómez Villaboa: en la de Extremadura á Don la.guerra se tiene por inevitable. llamón Píanella de Fiballer : en la de Cataluña á D. Francisco Avuso "Parece que…</t>
  </si>
  <si>
    <t>Fernandez, Francisco</t>
  </si>
  <si>
    <t>Francisco Fernandez</t>
  </si>
  <si>
    <t>…bie A la de Fuerza armada pasaron unas observaciones sobre la ley nes, la infamia, los azotes, la horca, la marca de. hierro candente, el constitutiva de egército , dirigidas por D. Francisco Fernandez. tormento y todas las demas penas crueles é infamatorias quedan por A la especial de Hacienda pasaron tres egcmplares de una memo consiguiente abolidas. ria que sobre el modo de satisfacer la deuda nacional ha remitido Don .13. « Todos los ciudadanos pueden s…</t>
  </si>
  <si>
    <t>Fernandez, Francisco de Paula</t>
  </si>
  <si>
    <t>Francisco de Paula Fernandez</t>
  </si>
  <si>
    <t>…ro de los destinos de una Fermín del Rio y de la Vega, D. Francisco Acebal y Arratia, D. Fran patria adorada, tanto mas repugna á sus comitentes el haber de desnu cisco Fernandez, D. Francisco de Paula Fernandez, D. Juan Antonio darse del-prestigio que los hizo mirar como los hijos predilectos de la Isusi, D. Juan de la Cruz González, D. Manuel Ovaldia , D. Manuel Virtud y de la sabiduría , descubriendo en ellos todos los defectos que Rodríguez, D. Pedro Agar , D. Ra…</t>
  </si>
  <si>
    <t>Fernandez, Fulgencio</t>
  </si>
  <si>
    <t>Fulgencio Fernandez</t>
  </si>
  <si>
    <t>…obre casas calle del Sol por di fincas en el reino de Murcia. Quien quisiere hacer postura á cho plazo 708 rs. 28 mrs. dicha casa de baños y censos, junto o separado , acuda en el D. Fulgencio Fernandez sobre casas plazuela de la Do término de 30 dias, que correrán desde el en que se anuncie nosa r.por idem 147 rs. 2 mrs. al público, por la escribanía del número de D. Casimiro An D. Sebastian García sobre casas calle de Arcos por tonio Gómez, que se le admit…</t>
  </si>
  <si>
    <t>Fernandez, Joaquín Nuñez y</t>
  </si>
  <si>
    <t>Joaquín Nuñez y Fernandez</t>
  </si>
  <si>
    <t>…numeración tan imperfecta, si se compara con la nuestra. Ramón Musitu y Wostér, D. Indalecio González del Va La geometría antigua ño admitía en sus demostraciones lle y Fernandez, D. Joaquín Nuñez y Fernandez , Don sino lo que podía egecutarse con la regla y el compás. MasAgustin de Sesma y Landa , D. Ignacio Ve! unza y Gadea, chsroni, todavía mas severo, quiso no hacer uso de la re D. Francisco Alvarez Reyeró de Reyero, D. Antonio gla. Es de admirar el gran númer…</t>
  </si>
  <si>
    <t>Fernandez, Josef</t>
  </si>
  <si>
    <t>Josef Fernandez</t>
  </si>
  <si>
    <t>…ue inmediatamente pasase al salón villa de Junquera, por haber sido allanada su casa con fractura de de Cortes una guardia con el competente número de oficiales; y que puertas por D. Josef Fernandez, escr.bano en comisión, y á instancia aquella falta debia atribuirse á una equivocación involuntaria délos ba de un canónigo de aquella colegiata; por lo que pide se tome infor tallones destinados á este objetó. También se dió cuenta como en aquel me del obis…</t>
  </si>
  <si>
    <t>…s derechos de su Rey y juez de primera instancia del partido de N., vindicándose también de de los suyos propios, y mostraron aquella constancia heroica que re otra queja dada por D. Josef Fernandez. cuerda las mas célebres épocas de su historia. Este es el origen de aque Se mandó pasar al Gobierno para que informase una exposición d» lla Constitución; y es menester estar obcecado por el espíritu de par D. Francisco López, teniente de Reales Guardias de…</t>
  </si>
  <si>
    <t>Fernandez, Josef María</t>
  </si>
  <si>
    <t>Josef María Fernandez</t>
  </si>
  <si>
    <t>…UNCIOS. ra el de agustinos calzados, reuniéndole los religiosos del de. Paiporta, del de Culleru y del de Aguas vivas de Carcagente de la misma orden, En virtud de providencia del Sr. D. Josef María Fernandez de que se suprimen; y el de franciscos observantes, agregándole tres reli Córdoba, caballero pensionado de la Real y distinguida orden españo giosos del de Castiel-favit de igual instituto, que se suprime, y los cua la de Carlos ni, asesor de la dirección gen…</t>
  </si>
  <si>
    <t>Fernandez, Josef Melendez y</t>
  </si>
  <si>
    <t>Josef Melendez y Fernandez</t>
  </si>
  <si>
    <t>…ente. Parts 34 de Noviembre. Por Córdoba. D. Angel Saavedra Ramirez de Baquedano, coro Según unos reina en Constantinopla la tranquilidad, según otros nel de caballería retirado ; D. Josef Melendez y Fernandez , canónigo continúan los desórdenes, ios asesinatos y las crueldades^, si no manda de Ja iglesia colegiata de S. Hipólito; D. Antonio Eamirez de Arelladas por el Gobierno, á lo menos egecutadas impunemente- Las tropas no , juez de primera instancia de Málaga;…</t>
  </si>
  <si>
    <t>Fernandez, Josel</t>
  </si>
  <si>
    <t>Josel Fernandez</t>
  </si>
  <si>
    <t>…tas d las observaciones del español ¡pie no es ime.11 cinc sclre la :nindicada por el mismo Monarca, y hemos desempeñado, nuestras fun dependencia de Buenos-Aires , denunciado por D. Josel Fernandez de ciones conforme lo exijian nuestros poderes, los juramentos del Rey, Castro en 17 del mismo; ia ley absolvió á D. Josef Joaquín de Ciaráy los nuestros. Pero la presencia dé un egército extrangero en el reino,. rosa responsable de dicho impreso; ,)' en su c…</t>
  </si>
  <si>
    <t>Fernandez, Juan</t>
  </si>
  <si>
    <t>Juan Fernandez</t>
  </si>
  <si>
    <t>…geles de las faldas del C meaco; D. Manuel Macho Fernandez , !\ Casimiro Zaya«, D- Ga por manera que aquel dilatado imperio reúne ios piramos briel Fernandez , D. Bernardo Toca ,' D. Juan Fernandez, inas tristes coa las paises inas amenos, y los horrores del</t>
  </si>
  <si>
    <t>Fernandez, Juan Manuel</t>
  </si>
  <si>
    <t>Juan Manuel Fernandez</t>
  </si>
  <si>
    <t>…injurien á algún particular; da Las Cortes oyeron con agrado, y mandaron pasar al Gobierno, una modo que las expresiones snbversivas, por egemplo, ó dirigidas á tras exposición de D. Juan Manuel Fernandez , capitán del regimiento de tornar el sistema constitucional, ó bien han de quedar impunes, ó han infantería ligera de Cataluña , en que felicitaba á las Cortes por su ins de ser castigadas con una pena arbitraria, lo cual seria perjudicialísimo. talación, y…</t>
  </si>
  <si>
    <t>Fernandez, Juana</t>
  </si>
  <si>
    <t>Juana Fernandez</t>
  </si>
  <si>
    <t>…que por Real El Rey, en vista de la solicitud del ayuntamiento del orden de 19 de Febrero de 1812 se concedió á sü madre valle de Camargo, de iá provincia de Santander, ha tenido' Doña Juana Fernandez de la Portilla, como viuda del ci á bien concederle perrriiso para celebrar lina feria en. el diá tado oficial, y dejó de percibir por haber pasado á segun 16 v los dos siguientes de Abril de cada año en S. Tirso das nupcias: que con este motivo, y teniendo p…</t>
  </si>
  <si>
    <t>Fernandez, Julián</t>
  </si>
  <si>
    <t>Julián Fernandez</t>
  </si>
  <si>
    <t>…as semejantes en todos los puntos del reino. Uno de'Doña María Teresa Michelena , viuda'del tesorero géne__¡Algunas .personas dicen que .Nápoles no puede por falta de rentas y raL D. Julián Fernandez,¡en solicitud de que á mas de la pensión que de. crédito ,-lévantarcy anantener un egército. Lo mismo decía Pitt aL goza en virtud de Real orden, se la pague la viudedad correspondien principio,de la guerra con Francia , y sin embargo esta potencia llegó te a…</t>
  </si>
  <si>
    <t>Fernandez, Lorenzo</t>
  </si>
  <si>
    <t>Lorenzo Fernandez</t>
  </si>
  <si>
    <t>…er toda comunicación, con Guerra, seis egemplares de un impreso de observaciones sobre el pro los que aun no han evacuado este requisito. yecto de ley constitutiva del egército de D. Lorenzo Fernandez de la Ademas se hallan bien artillados y municionados los puestos, y Ribera , teniente de infantería del regimiento de Córdoba. el cuidado y observación respecto á los presos extendido hasta las perso Se pasó á la comisión de Legíslaoion una memoria de cuatro…</t>
  </si>
  <si>
    <t>Fernandez, Lucas Iscio</t>
  </si>
  <si>
    <t>Lucas Iscio Fernandez</t>
  </si>
  <si>
    <t>…oeches, se han manpara plazas de regentes en las-audiencias de Navarra y Mallorca ¿Don dado sacar á pública subasta por término de 30 dias, contados desde Juan Garrido y López y á D. Lucas Iscio Fernandez. el en que se inserte este anuncio en la gaceta de Madrid, con habilita Igualmente se ha servido nombrar para las de magistrados en pro ción de los festivos, dos casas que pertenecieron al extinguido monaste piedad, en esta forma: En la de Castilla la Vieja á…</t>
  </si>
  <si>
    <t>Fernandez, Manuel</t>
  </si>
  <si>
    <t>Manuel Fernandez</t>
  </si>
  <si>
    <t>…1.° del mismo nombre .--para tenientes coroneles mayores: del regi rar tal vez mas de upa hora , resultaba qué la discusión se baria suma miento infantería de la Reina al cbyonel D. Manuel Fernandez, co mente larga. Por íntimo, que haciéndole-'cargo los Sres. diputados de mandante supernumerario; del de -infarv.;ría del Príncipe al brigadier que no se atacaba por-esto el objeto principal dé la cuestión, le,parecía D. Pablo Casamayor, teniente coróngjLsup…</t>
  </si>
  <si>
    <t>Fernandez, Manuel Macho</t>
  </si>
  <si>
    <t>Manuel Macho Fernandez</t>
  </si>
  <si>
    <t>…s davía cubiertos de nieve cuando ya los ardores del estío han González Barona , D. Ramón At area. IJ. Manuel González, marchitado los floridos vergeles de las faldas del C meaco; D. Manuel Macho Fernandez , !\ Casimiro Zaya«, D- Ga por manera que aquel dilatado imperio reúne ios piramos briel Fernandez , D. Bernardo Toca ,' D. Juan Fernandez, inas tristes coa las paises inas amenos, y los horrores del</t>
  </si>
  <si>
    <t>Fernandez, Melchor</t>
  </si>
  <si>
    <t>Melchor Fernandez</t>
  </si>
  <si>
    <t>…otación vieso, ayudante: D. Antonio Valverde, id.: D. Rafael Correa, Ídem: del clero, que dice asi: » Las pensiones ó cargas impuestas sobre cual D. Eugenio Laude, sargento i.°, y D. Melchor Fernandez /sargento 2.a quier beneficio eclesiástico que no excedan de 200 millones reís pagarán 2. J Otra con el mismo objeto hecha por los oficiales del mismo de solamente la décima; y cuando excedan de esta cantidad se practica pósito que á continuación se expresan:…</t>
  </si>
  <si>
    <t>Fernández, Miguel</t>
  </si>
  <si>
    <t>Miguel Fernández</t>
  </si>
  <si>
    <t>…entrar en ellos. Los corresponder a tan laudable inquietud: Dos dias antes dispuso su díg—., griegos trataban de.llevarlos á las islas del Archipiélago. no comandante el ciudadano D. Miguel Fernández, teniente capitán-, Muchos, habitantes de Aivaly, desesperados con estas .escenas de'hor dé artillería,’ que se reuniese e!. batallón por la tarde.para hacer el eger-. ror.y de confusión, se arrojaron ál mar, y, los turcos se retiraron lle cició de fuego. 'To…</t>
  </si>
  <si>
    <t>Fernandez, Miguel Ramos</t>
  </si>
  <si>
    <t>Miguel Ramos Fernandez</t>
  </si>
  <si>
    <t>…qye nos hallamos de fa Fran El director del fomento general del reino lia excedido cia ( lá facilidad que tenemos de' adquirir sus obras , y de tras certificado de introducción á D. Miguel Ramos Fernandez ladarlas á nuestro lenguaje castellano-, y ha nnaiogiii r e nués^ por haber introducido en estos reinos la nueva invención de tras producciones cóh las de aquel pSis y ños ponen en dis las ollas y cafeteras á Lautoclave, é igualmente oLro áDbh posición dé apr…</t>
  </si>
  <si>
    <t>…té 82 Otra id., núm 10, en 8541 rs. certificación de introducción de la máquina para mejorar la -fermenta 83 Otra calle de Colcheros , núm;'.39 , en 19,571 rs. ción de los vinos á D. Miguel Ramos Fernandez, vecino de esta cor 84 Otra calle de la Sierpe, núm 4, en 10,012 rs. te. == Andrés de Moya y Luzuriagá.-.-. 85 Otra id., que está reedificándose, núm. 70, en .16,482 rs. -.. 86 Otra calle de ¡a Carpintería , núm. 12 , en 11,844 rs* A solicitud-del procurador…</t>
  </si>
  <si>
    <t>Fernandez, Pedro</t>
  </si>
  <si>
    <t>Pedro Fernandez</t>
  </si>
  <si>
    <t>…ión de los Sres. Calatrava, Gaseo, A la comisión de infracciones de Constitución se mandaron pasar: una Desprat, Vecino, Lallave (D. Pablo), Vitorica, Moreno Guerra, exposición de D. Pedro Fernandez contra un juez de primera instan Cortazar, Mora, Calderón, Sancho, Torres, Villa, Merino, Cano’ cia de la provincia-de Santander, por haber infringido los artículos 245 Manuel, Quintana, San Miguel, Gareli, Linares, López, Alt ¡en y y 246 de la Constitución;…</t>
  </si>
  <si>
    <t>Fernandez, Prudencio</t>
  </si>
  <si>
    <t>Prudencio Fernandez</t>
  </si>
  <si>
    <t>…arse los para Jas orlio judicaturas de la provincia de Salamanca á los stigetos si que aprueben , y quedar sentados los que reprueben: 2.0 por la expre guientes: para t-alamanca'á D. Prudencio Fernandez de la Pelilla; pa sión individual de sí ó no: 3.' por escrutinio. Art. 114. La votación ra Ciudad-Rodrigo a D. Fclix Aviles; para Alba de Tormes á D. Josobre los asuntos discutidos se hará por regla general por el primer »ef Catalin y Calderón; para Miranda d…</t>
  </si>
  <si>
    <t>Fernandez, Santiago</t>
  </si>
  <si>
    <t>Santiago Fernandez</t>
  </si>
  <si>
    <t>…menoría, continuó el orador con voz mas Han entrado en este puerto: i.u El bergantín-goleta español Africa, animada, esto es lo que querrá, y lo que defenderá-hasta el último ins capitán D. Santiago Fernandez. David, de Bayona de Galicia, en cinco tante. , dias. Dice este capitán que el buque de su mando fue apresado por un Señores, si es esto ló que queréis, unios á ella para conseguirlo, y bergantín corsario insurgente, el dia 9-del corriente cuatro millas al N.…</t>
  </si>
  <si>
    <t>Fernandez, Teodoro</t>
  </si>
  <si>
    <t>Teodoro Fernandez</t>
  </si>
  <si>
    <t>…' María. año por una partida del regimiento de caballería de Lusitania, ai man Cuarterada y medía de tierra . cercada'de pared , contigua al expre do del capitán del-mismo, cuerpo D. Teodoro Fernandez, en. unión sado convento, con 2 censos, uno de capital de 35,8 is. y un marave con otra del regimiento de caballería del Infante , contra 6o facciosos dí y réditos de 11 rs. y 3 2 mrs.anuos , valor de una bircilla de trigo que vagaban por entre los pueblos de…</t>
  </si>
  <si>
    <t>Fernandez, Teresa Dorotea</t>
  </si>
  <si>
    <t>Teresa Dorotea Fernandez</t>
  </si>
  <si>
    <t>…goza, Córdoba, Lima y lativa al decreto Be 28 de Mayo último. México. A la comisión segunda de Legislación se mandó pasar una exposi Se leyó el artículo 57, que decía asi: ción de Doña Teresa Dorotea Fernandez, en la que pedia se dispensase Art. 57 ,, Para la de Agricultura experimental en Valladol id, San- á su hijo la edad que le faltaba para poder administrar sus bienes. lúcar de Barrameda, Canarias, Havana , Aguascaliéñtés f en Nueva-Es A la de Instrucción públ…</t>
  </si>
  <si>
    <t>Fernando</t>
  </si>
  <si>
    <t>…don precioso de su nueva Constitución. rales Frimont, príncipe Lichtenstein y principe de SchwarPortugal continúa con tesón en Su nueva reforma, y zemberg, todos á las órdenes del príncipe Fernando duque muy en breve estará reunido el Congreso en Lisboa, donde de Parma. Pero por ser dicho periódico et conducto que sus Cortes van á tratar de la felicidad de la nación portu propaga esta noticia, yen virtud de que en aquella época guesa. se negociaba con N…</t>
  </si>
  <si>
    <t>…me con fecha de 18 del cuando es sabido que los Sres. príncipe de Hardemberg y corriente el decreto siguiente-. . . . de BernstorfF, que representarán á S. M. en aquella ciudad, ■ Don Fernando vir por la gracia de Dios, y por la no llevan poderes ilimitados.” Constitución de la Monarquía española, Rey de las Españas, El mismo periódico publica otro artículo de Francfort- á todos los que las presentes vieren y entendieren , sabed: del 12, cuyo conte…</t>
  </si>
  <si>
    <t>…uestas en el catálogo, y Continúa el artículo de ayer. están venales en el despacho de la imprenta Nacional. Parece pues que la energía galvánica puede reemplazar Decretos del Rey D. Fernando vtt desde 4 de Mayo de á la influencia nerviosa, de manera que por la acción de 1814 hasta fin de Diciembre de 1819 : 6 tomos en 4.0, y uno aquella un estómago falto de actividad digiere los alimen de apéndice: en pasta á 224 rs., y en rústica á 186. También…</t>
  </si>
  <si>
    <t>…ha derramado sobre la desgra yenda, por la sola razon.de que no pudiendo ser eternamente Rey de ciada Italia las legiones austríacas, que continúan atravesando Esta España el Sr, D. Fernando v¡i, í quien convenia aquel sobrenombre, dos independientes, los cuales aun osan tomar el título de neutrales; seria preciso en lo sucesivo hacer nuevas variaciones en la moneda, y sirven en algún modo con su aprobación, tal vez forzoia , á la per recomendand…</t>
  </si>
  <si>
    <t>…9 Otra detras del Mirón , de media fanega, en 180 rs. cuartos en la librería de VillarcalOtra en la loma del Orcajo, de 8 celemines, en 240 rs'. Representacion hecha á S. M. C. el Sr. D. Fernando vn en defen Fincas que se rematan el dia tí), y radican en término de la villa de sa de las Cortes por D. Alvaro Florez Estrada. Siendo muy defec Campillo. tuosas todas las diferentes reimpresiones hechas de esta obra, tanto en Una dehesa llamada de Zafra, de…</t>
  </si>
  <si>
    <t>…do su preopi géneros nacionales y extrangeros á América. nante, dijo, que muy lejGs de mandarse en aquella la presentación dó A la comisión de Legislación se pasó una solicitud de D. Fernando títulos, la misma ley mandaba que ninguna persona, de cualquier esta Pons, natural de Mataré, sobre dispensa, de edad para poder examinarse do ó condición que fuese , pusiese impedimento en el goce de aquellos de escribano. bienes; y que en cuanto á lo que ha…</t>
  </si>
  <si>
    <t>…que clama por ser rein el Re/ D. Alonso ei tv por las-instancias de la Reina (que amaba so tegrado en sus derechos; el pueblo que p;de justicia, y no» ha nom bremanera al Infante D. Fernando)/cedió -á este las villas referidas, las- brado para hacerla. Hasta ahora no su han escuchado ¿msrlamores', se cuales tuvieron que reconocer-aquella nueva dominación, y pagar las le imponían penas inicuas'; se le exirian multas arbitrarias , y debía contribuc…</t>
  </si>
  <si>
    <t>…ión de Di Fernando Antonio Cos, alcalde segundo constitu cía haber movimientos , como punto expuesto al contagio, italiano: que cional de Santander, fue de parecer que el referido D. Fernando era rumor común una mudanza de ministerio, citándose para el nuevo Antonio Gos. debía ser repuesto en su plaza de regidor del. ayunta-* á los Sres. Decazes, Camilo Jourdan, Royer Collard, Gouvion St. Cyr tr.iemo de Santander, previo el correspondiente juramen…</t>
  </si>
  <si>
    <t>…rs. ción del tener siguiente: Peale s. En la provincia de Plasencia , procedentes de los hospitales del Espí ritu Santo y de la Caridad, y del colegio de niñas huérfanas de la El Sr. D. Fernando .................................................................... 64» ciudad de Trujillo, y para cuyos primeros remates , que se han de EL Sermo. Sr. Infante D. Carlos................................................ 320 verificar en dicha ciudad de Trujill…</t>
  </si>
  <si>
    <t>480</t>
  </si>
  <si>
    <t>…tír. 5.0 del lib. 3.0 de la Novísima Recopilación, la que decia que per El Rey ha expedido el decreto siguiente: tenecía á los Reyes hacer gracias y mercedes á sus naturales y va Don Fernando vn por la gracia de Dios y por I3 Constitución de sallos, y por esto hicieron donaciones á los susodichos de ciudades, la monarquía española , Rey de las Españas , á todos los que las presen villas y lugares y otras heredades; y porque se habian encontrado du…</t>
  </si>
  <si>
    <t>…asta. nota. En la gaceta del 25 de Marzo, col. 8.a, líu. 72 , donde di El Rey ha expedido el decreto siguiente: ce virtud, léase verdad, y en la siguiente, donde dice Figos, léase D. Fernando yu por la gracia de Dios y por la Constitución de la Figols. SUPLEMENTO</t>
  </si>
  <si>
    <t>…dos manuscritos 'de ún 1 ibelo altamente injurioso, señalada iiidad de su Real corona, ha resuelto S. M. partir para esa corte con mente á ia sagrada é inviolable Persona del Rey D. Fernando vrt, te toda su Real familia luego que S. A. S. la Princesa Real del Reino- niendo presentes las razones „alegadas en el día de la vista por el pro Unido, restablecida de su parto, que se espera dentro de pocos días , se motor fiscal y defensores de los reos,…</t>
  </si>
  <si>
    <t>…gencia , me parece oportuno reencargarle que emplee toda la autori El Rey ha expedido el decreto siguiente: dad fiscal que el Gobierno ha puesto en sus manos con respecto á la dis Don Fernando vil por la gracia de Dios y por la Constitución tribución dé los fondos públicos, á fin de evitar el que se distraigan de la Monarquía española,-Rey de las Españas, á todos los que las pre para objetos que no esten expresamente determinados, y que no pierda s…</t>
  </si>
  <si>
    <t>…n que se comunicó al intendente de la Havana con fecha 20 de Ene El Rey ha expedido el decreto siguiente: ro de este año, previniéndole, entre otras cosas , que en cuanto á las li Don Fernando vil por la gracia de Dios y por la Constitución de branzas expedidas por la indicada comisión de reemplazos, cuidase de 4,- ------ z __ „,j:j--------'JÜV --44 r.........• s.vO-4. ...------1___t„¿ 4'4._ u. — — s- r----. . _:v. e ,Ja Monarquía española, Rey de…</t>
  </si>
  <si>
    <t>…milicianos por el servicio.que hagan dentro.de su pueblo.y término EL Rey ha expedido el decreto siguiente:, respectivo; pero cuando pasaren de es te-,se abonará á; cada sargento, Don Fernando vti por la gracia de Dios y: por la Constitución de cabo y soldado cinco reales de vellón por dia. Art. 16. EL ayudante don la monarquía española, Rey de las Espafias, á todos los que las- presen de lo-haya, y donde.no el segundo comandante; acreditará los di…</t>
  </si>
  <si>
    <t>753</t>
  </si>
  <si>
    <t>…seguida, á petición de algunos señores diputados que no le oian, El Rey ha expedido el decreto siguiente: pasó á la tritmna, y leyó un discurso , en el cual quiso probar que el „ Don Fernando vit por la gracia de Dios y por la Constitución dominio de láiIglesia en estos bienes venia desde ei tiempo de Jesu de la Monarquía española, Rey de las Españas, á todos los que las cristo, y que el clero tenia en ellos un dominio pleno por derecho di present…</t>
  </si>
  <si>
    <t>…erra Pambley dijo: Por la separación de los predios rústi El Rey ha expedido los decretos siguientes: cos y urbanos no se disminuyen las rentas al clero, puesto que se les • I 0 ,,Don Fernando vri por la gracia de Dios y por la Constitución recompensa este despojo Es verdad que el subsidio que anteriormente de la Monarquía española, Rey de Jas Españas, á todos los que las pre pagaba.no era menor que el que actualmente se le impone ; pero tam sentes…</t>
  </si>
  <si>
    <t>…vas órdenes , poniéndose de acuerdo con las competentes • r El Rey ha expedido el decreto siguiente: autoridades; y que para llevar á efecto este arreglo señalen el término mas .. Don Fernando vu por la gracia de Dios y por la Constitución de Ja breve posible y perentorio, dando cuenta luego que se halle completa Monarquía española, Rey de las Españas, á Unios los que las presentes mente ejecutado, á fin de poderlo manifestar á las Cortes antes de…</t>
  </si>
  <si>
    <t>…gocios, y rogar á las Cortes se sirvan hacer las declaraciones ho . El Rey ha expedido los decretos siguientes: noríficas que tanto merecen unos servicios hechos con el mayor he ,,Don Fernando vii por la, gracia de Dios y por la Constitu roísmo , con muy grandes peligros , y que han tenido los más glorio-, ción de la Monarquía española, Rey de la Españas, á todos los que so? resultados, sobre lo que hablaré á su tiempo.” — En la misma , co las.pres…</t>
  </si>
  <si>
    <t>…, y remontándose á ideas mas nobles, cual lo es el conocimiento El Rey ha expedido el decreto siguiente: .del corazón humano, describe varias escenas, ya aflictivas, ya risueñas, Don Fernando vir por la gracia de Dios y por la Constitución de los sucesos mas triviales de la vida y del trato social, los que presen de la Monarquía española, Rey de las Españas , á todos los que las ta con la mayor viveza y gracia , y dan á su obra un barniz de origin…</t>
  </si>
  <si>
    <t>…tra tando, á propuesta de los diputados d.e.Ultramar, de un plan de go El Rey ha expedido el decreto siguiente: bierno que hag3 compatible la observancia de la Constitución con ia Don Fernando vii por la gracia de Dios y por la Constitu enorme distancia que separa aquellas .provincias de la Península, con ción dé la Monarquía española, Rey de las Españas , á todos los que prevención al vírey de que la comunique sencillamente á los disidentes.” las…</t>
  </si>
  <si>
    <t>…a nueva, con su encaje de cuatro dedos de ancho, poco mas ó menos. El Rey ha expedido el decreto siguiente: Cuyas piezas de plata se suplica á los artífices plateros de esta corte Don Fernando vit por Ja gracia de Dios y por la Constitución las detengan si van á venderlas á sus tiendas, y den aviso á D. Josef de la Monarquía española, Rey de las Españas, á todos los que las pre Wals de Roca, que vive calle del Príncipe. sentes vieren y entendieren,…</t>
  </si>
  <si>
    <t>…ULO DE OFICIO. «Teniendo ya adquirido un derecho á percibir su correspon El Rey ha expedido el decreto siguieme.diente viudedad , asi las viudas de los empleados antiauos como las Don Fernando vn por la gracia de Dios y por la Constitución de mugeres de los actuales, por habérseles hecho á unol y otros sus la Monarquía española , Rey de Jas Españas, á todos los que las pre descuentos con este objeto, pido que la disposición del art. 13 no se sentes…</t>
  </si>
  <si>
    <t>…e no haya la del cuarto, y otros 1 o para la del medio diezmo , aun El Rey ha expedido el decreto siguiente: cuando no se verifiquen las del cuarto ni el diezmo. Quien quisiere ha Don Fernando vn por la gracia de Dios y por la Constitución d« cer dichas mejoras, á pagar en créditos contra el Estado, acudirá ai la Monarquía española, Rey de las Espadas, á todos los que las presen juzgado de primera instancia del Sr. D. Angel Fernandez de los Ríos, t…</t>
  </si>
  <si>
    <t>…s.) Que las mudanzas titiles y necesarias en la legislación y en la ad El Rey ha expedido el decreto siguiente: ministración de los Estados no deben dimanar mas que de la voluntad Don Fernando vii por la gracia de Dios y por la Constitución de libre y del impulso reflexivo i ilustrado de aquellos á quienes i ios ha la Monarquía española, Rey de las Espafias, á todos los que las pre hecho responsables del poder. (Por egemplo, los romanos debieron es…</t>
  </si>
  <si>
    <t>…ad de 8oS&gt; rs., con lo cual viviendo en El Rey se ha servido dirigirme para su circulación la ley siguiente: España, pueden adquirir un pingüe patrimonio para sus hijos, ó bien se D. Fernando vn por la gracia de Dios y por la Constitución de la les dé alauna de las encomiendas que vacaren, disfrutándola por toda su Monarquía española, Rey de Jas Españas, á todos los que las presentes vida, que son los únicos medios que yo encuentro asequibles para…</t>
  </si>
  <si>
    <t>…in Serrano se lia pasado oficio al administrador del ramo en aquella El Rey ha expedido el decreto siguiente: ciudad para que le remita á su juzgado las cartas que lleguen á la ad Don Fernando vn por la gracia de Dios y por la Constitución de ministración á nombre de D. Rosendo Joaquín Barreda, Doña Rita la Monarquía española , Rey délas Espaftas , á tqdos los que las presen Barreda y D. Francisco Nebot, cuyos papeles se le han mandado ocu tes vier…</t>
  </si>
  <si>
    <t>…vista se conoce que pertene ras: un tomo en 8.°— Cartas de Gonzalo Ayora, cronista de los ce á España, por los atributos y emblemas que contiene. Reyes Católicos, escritas al Rey D. Fernando desde el Rosellon.- un Para que la obra salga lo mas perfecta posible ha dispuesto que las cuaderno en 8.°—Elogio de Antonio de Lebrija: un cuaderno en 8.“ hojas sean de una cartulina muy fina y bruñida; lo cual, ademas de la ■— Clave de ferias ó prontuario m…</t>
  </si>
  <si>
    <t>…zca ante S. S. y citada escribanía por sí ó por medio dé procurador - ElRev ha expedido el decreto siguiente: con poder bastante á utér del derecho que le competa en el expediente Don Fernando vn por la gracia de Dios y por la Constitución de instaurado por parte del ayuntamiento der la villa de Rubí de'Era^ala Monarquía española, Rey de las Españas, í todos los que las presen- monte, en Castilla la Vieja," sobre reclamación de cierto número de sen…</t>
  </si>
  <si>
    <t>…ar civil se halle satisfecha al menos hasta fin de Marzo. Del recibo y El Rey ha expedido el decreto siguiente; cumplimiento espero aviso. Madrid 15 de Junio de 1821.” = Antonio „ Don Fernando vti por la gracia de Dios y por la Constitución de .Martínez. la Monarquía española, Rey de las Españas, á todos los que las presen tes vieren y entendieren , sabed: Que las Cortes han decretado lo siguien Los interesados que han presentado en la veeduría gen…</t>
  </si>
  <si>
    <t>…ntos de los 4. a Residirá en México una delegación , que egercerá , con arreglo ministros de la Gobernación de la Península y Guerra por haber ad •á Ja Constitución , á nombre del Sr. D. Fernando vit, Rey de las mitido una queja, y por su modo de obrar con respecto á los núme Españas, el poder gubernativo en ¡os territorios expresados en el ar ros 142.y 250 de su periódico. El Sr. secretario Valle dijo que dichos tículo t.° números no venian con la ex…</t>
  </si>
  <si>
    <t>…n, .ss autoric. si Gobierno para que por este año señale los precios del tabaco, haciendo algunas rebajas del precio de las tarifas que habia y reservaron para su amado Monarca e¡ Sr. D. Fernando vil. Identifi cados losintereses de este con los de sus súbditos, que ya sin adula ■presentado á las Cortes, y se han desaprobado.” ción le consideran como'4 Verdadero padre ,•‘removidos tos obstáculos La comisión especial de Hacienda habiendo examinado la mi…</t>
  </si>
  <si>
    <t>…na con la correspon ARTICULO DE OFICIO. dencia. Sevilla 26 efe Junio. El Rey ha expedido el decreto siguiente: En la mañana del di* 14 apareció sobre las puertas de la audiencia » Don Fernando vrr por la gracia de Dios y por la Constitución de territorial de esta ciudad, en lugar de unos versos latinos que había , la la Monarquía española, Rey de las Españas, á todos los que las presenr siguiente inscripción: La potestad de aplicar las leyes en las…</t>
  </si>
  <si>
    <t>…a por el crimen de haber sido cómplices de la cons sejo se reunió después de la salida de Suzzo, y trató de enviar una di piración ; pero no por haber contribuido á la libertad de D. Fernando putación á la Puerta para hacer presente que los habitantes de la Mol de Zavala estando preso, por lo que se les condena á jo años de pre davia no habían tomado las armas contra su legítimo Soberano; que sidio en Ceuta. Al presbítero D. Domingo de Guesala y a…</t>
  </si>
  <si>
    <t>…Esto podría dar lugar á una corta digresión acerca de los españoles El Rey ha expedido el decreto siguiente: de ambos sexos que de algún tiempo á esta parte se han hecho célebres Don Fernando tu por la gracia de Dios y por la Constitución de en Europa por sus talentos artísticos, aunque no fuera mas que por vin la Monarquía española , Rey de las Espartas, á todos los que las presen dicar en esta parte el honor nacional, tantos tiempos hollado por…</t>
  </si>
  <si>
    <t>…e Constitución, constituir, arreglar, arreglo, representación nacional &amp;c. se borrarían de los dic El Rey ha expedido el decreto siguientecionarios de todas las lenguas del mundo. Don Fernando v.n por la gracia de Dios y por la Constitución de la Monarquía española, Rey de las Espinas, á todos los que las pre PORTVGAl. sentes vieren y entendieren, sabed: Que las Cortes han decretado lo siguiente: Lisboa 24 de Junio.----Sesión del 23. » Las Cortes,…</t>
  </si>
  <si>
    <t>…provincia, Las Cortes quedaren enteradas. A.. AA .¡¡-¿.¡v- E! Rey hs.expedido el decreto riguiente: : j '...- n Continuando el -escrutinio, llegó a las , 4.de le tarde otro oficio Don Fernando ytt por la gracia de- Dios y por la Constitución d« dclministro de losFlegocias.de!. reino, preguntando.si la.diputación de la Monarquía española , Rey dedas'Españas , á todos los que las presen la Regencia debía esperar á bordo á¡la de las Cortes, ósidebia r…</t>
  </si>
  <si>
    <t>…continúe en su noble resolución, el Gobierno su esmero por el bien El Rey ha expedido el decreto siguiente : público, las autoridades en su vigilancia y cumplimiento exacto de sus D. Fernando vti por la gracia de Dios y por la Constitución dé la obligaciones: y todos los españoles en la debida obed.encía a las leyes, Monarquía española, Rey de las Españas, á todos los que las presentes y en una íntima y perfecta unión. Bajo estas bases dejemos á l…</t>
  </si>
  <si>
    <t>…eislo entendido para su cumplimiento., y dispondréis se imprima, publi El Rey ha expedido el decreto siguiente: ——■ que y circule. =c Está rubricado de b Real mano.=En Palacio á 2 Don Fernando vtt por la gracia de Dios y por la Constitución de de Julio de 1821.= A D. Tomas Moreno y Daoiz. la Monarquía Española, Rey de las Españas, á todos los que las pre sentes vieren y entendieren, sabed: Que las Cortes han decretado lo Circular del ministerio'de…</t>
  </si>
  <si>
    <t>…s. 8.° Que para el objetó indicado en el. anterior artículo deberá ha El Rey ha expedido el decreto siguiente: cerse dicha presentación por sí ó por medio de procurador habilitado Don Fernando vir por la gracia de Dios y por la Constitución de. con los poderes necesarios para otorgar la ápoca ó escritura de cancela la Monarquía española, Rey de las Españas, á todos los que las presen ción y contenta corespondiente.' tes vieren y^tendíeren, sabed: Q…</t>
  </si>
  <si>
    <t>…n lio de 1821. = A O. Antonio Barata. glaterra y la Francia, y aun todas las de Europa, hayan manifestado hasta ahora una total indiferencia en unos acontecimientos tan intere 2.0 Don Fernando vn por la gracia de Dios y por la Constitución de santes, y se hayan estado mirando á sangre fría los horroresy las cruel la Monarquía española, Rey de las Españas, á todos los que las pre dades que se han cometido contra los cristianos. Casi medio año va ya…</t>
  </si>
  <si>
    <t>…casco negro, con una faja amarilla estrecha, 11 portas por El Rey ha expedido los decretos siguientes: _ banda, estando las 9, empezando de popa, guarnecidas con cañones, ó co i.° Don Fernando vn por la gracia de Dios y por la Constitución de ronados (su propia expresión) de 18, y las dos de proa cerradas: no la Monarquía española, Rey de lasEspañas, á todos los que las pre trae áncoras en ninguno de los lados á proa. No tenia verga de ce sentes vi…</t>
  </si>
  <si>
    <t>…á tomar las aguas termales. mara desechó igualmente esta propuesta. VI ' *J —I, 1-1.'A V. nrhVilln . rnie&gt; íit?i El Rey ha expedido el decreto siguiente:.......................... Don Fernando vri por la gracia da Dios y por la Constitución ds que una palabra eñ apovó de mi oposición. Yó supongo al Congreso la Monarquía Española , Rey de las Españas, á todos los que las pre en presencia del grande'Henrique , i quien da cuenta Sully de las can sente…</t>
  </si>
  <si>
    <t>…í Señor, la augusta solemnidad dé un juramento, pronunciado ante El Rey ha expedido los decretos stgiiientes': Dios y ante los hombres , nunca podrá borrarse de la memoria de 1. ° D. Fernando ynr por la graciá'de Dios y por la Constitución de la aquellos qué tan solemne y espontáneamente lo pronunciaron en-am- Monarquía española, Rey'de las .España», á todos los qüe lis presentes bos mundos! La nación ha jurado, Señor, en las bases.de la Consti vi…</t>
  </si>
  <si>
    <t>…n de 1821.= A IX Vicente Cano Manuel. cias á los griegos, y por consiguiente destruidos al parecer los prin cipios monárquicos, proclamados por la santa alianza. 3.“ El abando 3.0 D. Fernando vrr por la.gracia de Dios y por la Constitución da no de la Grecia á su suerte. Ya hemos indicado algo acerca de los dos la Monarquía española, Rey de las Españas, a todos los que las pre primeros puntos. Por lo que hace á la nueva sujeción de los griegos, si…</t>
  </si>
  <si>
    <t>…que se han trazado los A las 9 de la noche se levantó la sesión. planes de la justa iibestad del mundo entero!” NOTICIAS DE ESPAÑA. El Rey ha expedido los decretos siguientes: i.J Don Fernando vtt por la gracia de Dios y por la Constitución ds Cádiz jr de Julio. la Monarquía Española, Rey de las Españas, a todos los que las pre Se ha publicado en nuestros perióidicos el resumen general de los sentes vieren y entendieren, sabed: Que las Cortes han d…</t>
  </si>
  <si>
    <t>…división 1821.= A D. Vicente Cano Manuel. de aquel imperio, y tuvo la misma suerte que las demás provincias después que los turcos dieron en tierra con el trono de Bizancio. ■ 2o. Don Fernando vn por la gracia de Dios y por la Constitución de Desde e»ta época tan fatal al cristianismo y á la civilización la patria la Monarquía española, Rey de las Espaúas, á todos los que las presen de tiomjro, de Aristides y de Platón no fue ya mas que el asilo de…</t>
  </si>
  <si>
    <t>…del dueño de las cargas; dé incido; sí posible es y qué toda la El Rey ha expedido el decreto siguiente: ' carga gravite sobre una porción, y en tal caso las demas se venderán.li Don Fernando vil por la gracia de Dios y pof íá Constitución dá bres , y aquella con ia carga; Art. 1 2; Cuando las fincas estéir¡siias eá Ja Monarquía española, Rey de las Españas , á todos los que las pre- cotos redondos pertenecientes á lds monasterios suprimidos', y c…</t>
  </si>
  <si>
    <t>…a Que su nombramiento se haga por las Cortes. 4. a Que Ja elección de ios individuos se haga por las respectivas El Rey ha expedido el decreto siguiente: comisiones de las Cortes. Don Fernando va por la gracia de Dios y por la Constitución de 5. a Que se cree una comisión para la redacción del código cri la Monarquía española, Rey de las Españas, á todos los que las presen minal. tes vieren y entendieren, sabed: Que las Cortes han decretado lo si 6…</t>
  </si>
  <si>
    <t>…Manuel de la Muela__Idem en la vega del Palacio, carro y me ques iv, se dejaron alucinar; y prestando su nombre sagrado para sellar dio de tierra poblado de viña, linda herederos conde D. Fernando de los caprichos de la rapiña y de la tiranía, declararon qii’e todo iba Escalada y Dona Manuela Bustillo__Idem en la vega de Villabañes, bien, solo porque ellos no hacían el mal. 2 carros y medio cuarto de tierra labrantía, linda con tierra de Josef Los favo…</t>
  </si>
  <si>
    <t>…or su disciplina y valor.” ■ de Hannóver. Propone la misma academia para el concurso del año corriente los El Rey se ha servido dirigirme el decreto siguiente: asuntos siguientes: Don Fernando vii por la gracia de Dios y por la Constitución de Historia (en lengua sueca): Una memoria sobre la historia ecle la Monarquía española, Rey de las Españas, á todos los que las presen siástica t sobre las ciencias y las artes en Suecia desde el advenimiento t…</t>
  </si>
  <si>
    <t>…drid. Art. 29. Se arreglarán en todo lo demas á lo dispuesto en los El Rey ha expedido el decreto siguiente : artículos contenidos en los capítulos precedentes. Madrid 23 de Junio D. Fernando vu por la gracia de Dios y por la Constitución de la de 18 21.'3 Monarquía española, Rey de las Españas, á todos los que las presen Por tanto mandamos á todos los tribunales, justicias, gefes, gober tes vieren y entendieren, sabed: Que las Cortes han decretad…</t>
  </si>
  <si>
    <t>…sejo militar, del cual él mismo será presidente, y los vocales un El Rey ha expedido el decreto siguiente: oficial de cada cuerpo de la división, elegidos á pluralidad de votos de D. Fernando vir por la gracia de Dios y por la Constitución de la la respectiva oficialidad; debiendo este consejo, luego que se reúna, Monarquía española , Rey de las Españas , á todos los que las presentes nombrar un vice-presidentc y un secretario. • vieren y entendie…</t>
  </si>
  <si>
    <t>…sada en la cantidad de 374,944 rs. Quien qui En la de Aragón á Don Josef Ramón Sirera. = En la de-Valencia á siere hacer postura y mejoras acuda dentro de dicho término ante S. S. D. Fernando josef de Toledo y Corral y D. Pedro de la Puerta-=En la y escribanía citada; en inteligencia de que se admitirán con sujeción de Cataluña á D. Francisco Antonio Calver. al reglamento de las Cortes de g de Setiembre último y posteriores de cretos á pagar en cr…</t>
  </si>
  <si>
    <t>…. » Una religión santa, profesada y sostenida como fundamento de El Rey ha expedido los decretos siguientes: la moral pública, y,como fuente inagotable de las prosperidad gene i-° Don Fernando vn por la gracia de Dios y por la Constitución ral ; un Monarca constitucional como primer magistrado y cabeza de de la Monarquía española, Rey de las Españas, á todos los que las pre ia nación que lo eligió; el derecho de sucesión al trono para evitar los se…</t>
  </si>
  <si>
    <t>No se refieren Jos 50 remos 6 artículos á que debe destinarse la can 2Don Fernando vn por la gracia de Dios 7 por la Constitución tfc tidad que'se. expresa por estar acordada. la nueva organización que ha de la Monarquía española, Rey de las Espinas, á todos ios que las presen ‘darse al egército, por cuyo motivo habrán de variar las consign…</t>
  </si>
  <si>
    <t>…su importante salud.” SS. AA. continúan sin novedad en su importante salud. El Rey ha expedido el decreto siguiente: ” SS. MM. salieron esta mañana de Sacedon con dirección á esta Don Fernando vti por ía gracia de Dios y por la Constitución capital. Han comido en S. Fernando, y esta tarde á las / han entra de la Monarquía española, Rey de las Españas, á todos los que las pre do en esta corte por la puerta de Alcalá, acompañados de los Sres. In sent…</t>
  </si>
  <si>
    <t>…Art. 10. « Se abusa de Ja libertad de la imprenta contra la religión: El Rey ha expedido el decreto siguiente: t.° Cuando se niega la verdad de todos ó alguno de los dogmas recibi Don Fernando vrr por la gracia de Dios j por la Constitución dos por la Iglesia: i.° Cuando se establecen ó defienden dogmas falsos: de la Monarquía española, Rey de las Espadas, a todos los que las pre 3.0 Cuando se blasfema, ó hace burla de Dios, de sus santos, ó del se…</t>
  </si>
  <si>
    <t>…ierta de encarnado: cuya ARTICULO DE OFICIO. noticia servirá de gobierno 4 todos los capitanes y patrones por lo que pueda convenirles. , El Rey ha expedido el decreto siguiente e Don Fernando vn por la gracia de Dios y por la Constitución de Madrid Lunes 6 de Agosto. la Monarquía española, Rey Je las Españas, 4 todos los que Jas pre SS. MM. y AA. continúan sin novedad en su importante salud. sentes vicien y entendieren, sabed: Que las Cortes han d…</t>
  </si>
  <si>
    <t>…ía, y continúan sin la menor novedad en -su importante salud.” VARIEDADES. El Rey ha expedido el decreto siguiente : Un viagero que ha visitado recientemente las ruinas de Pompeya Don Fernando vii por la gracia de Dios y por la Constitución de la hace de ellas la siguiente descripción: Monarquía española, Rey de las Españas, á todos los que las presentes » Esta ciudad está situada á un cuarto de milla escaso de la bahía vieren y entendieren , sabed…</t>
  </si>
  <si>
    <t>…nción por parte de la Rusia. Las desavenencias entre el barón de El Rey ha expedido el decreto siguiente: Strogonoff y el reis-efFendi pueden cortarse fácilmente.......La interven Don Fernando vn por la gracia de Dios y por la Constitución de ción es un paso lleno de mil tropiezos. La Rusia no puede darle sola sin ia Monarquía española, Rey de las Españas, á todos ios que las pre inspirar Sospechas; y por otra parte ; querria acaso imponerse el sac…</t>
  </si>
  <si>
    <t>…re chos, y después de alguna discusión se aprobó el dictamen de la de El Rey ha expedido el decreto siguiente: Hacienda, á excepción de lo relativo á la. manufacturas inglesas, el Don Fernando víi par la gracia de Dios y por la Constitución cual era que se'tomase por base el precio medio de tos ocho años últi de la Monarquía española, Rey de las España,, á todas los que las pre mos en nuestros mercados, rebajados derechos, y calculando ai comer san…</t>
  </si>
  <si>
    <t>…s del lativo.” cnCapítuio 1. = Dc ia elección de d.putados á Cortes. = pri pueblo español , una Constitución sabia, un Rey constitucional en el mero. Modo de hacer las elecciones: Sr. D. Fernando vn , sin pensar en convenciones, en asambleas, en di Luego se leyó el artículo' 32 , que dice: - La nación portuguesa está re.torios, en consulados, en imperios á la JSonaparte , en monarquías á repres altada en sus Cuites, esto es, en U reunión de lo, diputa…</t>
  </si>
  <si>
    <t>…tar su,eta á leyes,,,que él mismo El amor á la patria, á la Constitución y al verdaderamente legíti con toda su grande familia discute, decreta y sanciona libremente mo Monarca ei-Sr. D. Fernando vu; la confianza en ei Gobierno; el como gefe de ella, ó como sí resultase un gran brillo á la autoridad respeto á las leyes; la sumisión y obediencia á las autoridades; el ven-r Real de tener poder aun de hacer, el mal de sus hijos; pues que la cimiento de n…</t>
  </si>
  <si>
    <t>…. donde vive el secretario de la escuela D. Manuel Daroian Perez; adviniéndose que. la matrícula está abierta todo el año. P.l Rey ha expedido el decreto siguiente : VARIEDADES. ” Don Fernando vir por la gracia de Dio» y por la Constitución da la Monarquía española , Rey de las Espafias, á todos los qu¿ las pre Globos aerostáticos.—"Sám. t.° notes vieren y entendieren, sabed: Que ias Cortes han decretado lo El domingo 9 del corriente deberá verific…</t>
  </si>
  <si>
    <t>…ice-presidente no hubo elección , y hacían preparativos para recibirle. entraron en el segundo, por haber reunido mavor número de votos, __El dia 2"2 entró en esta capital S M. el Sr. D. Fernando vti . Rey los Síes. Ezpeleta , Paul, López (D. Marcial) y Navarro (D. Felipe); constitucional de ia Monarquía española. En ninguna de »us entradas</t>
  </si>
  <si>
    <t>…amente satisfechos, y lo capítuco u. , están con efecto.. . .j .. Conocimientos que se deberán exigir de los capitanes que aspiren á ser Repetimos que entró el dia 21 en Madrid el Sr. D. Fernando vir, adictos ai estado mayor. y este hecho es palpable ; pero de Cádiz avisan que el Rey se habia ido Art. 4.0 Los que aspiren á ser adictos al estado mayor deberán sa á Francia*, de Málaga dicen que. el Rey se ha ido á Bayona...... Baste ber la aritmética, i…</t>
  </si>
  <si>
    <t>…, y drés Herrera y Doña Casilda de Salazar, que posee D. Pedro Alcántara ganar,algún dinero publicando invectivas; pero al fin el amor á la ver Quirós y Herrera , se avistarán con D. Fernando" García de Labarga, dad, la. sensatez', el buen discernimiento y la razón llegan por último Caba Baja, núm. 18. á triunfar. - Las cuarenta verdades histérico-políticas al alcance de todo el mun Veamos ahorasi hay mas fundamentó para decir: Yo soy del partido…</t>
  </si>
  <si>
    <t>…medio de los horrores que la cercan, i ella los votos particulares de los Sres. Desprat, Dolarea, Navarro sucumbiese bajo el peso de la miseria, y dejase yermos los talleres qué ( D. Fernando), Torres y Quintana, contrarios á la aprobación del llevan á todas partes la abundancia y la vida. art. 36 de las rectificaciones de las bases orgánicas del arancel, y los ■ » Es desgraciadamente harto notorio que al paso que la mayor parte de los Sres. Zapat…</t>
  </si>
  <si>
    <t>…ecido que sea contada su provincia entre las mas amantes de han sido dictadas por la augusta religión , única verdadera, que por la las nuevas instituciones, de nuestro Monarca el Sr. D. Fernando vit Constitución política profesan los españoles , se pronunciase en un sen y del Soberano Congreso, acudan á satisfacer el cupo de contribución tido contrario á ell3, llevando esto el criminal designio de complicar que se les ha repartido con la puntualidad…</t>
  </si>
  <si>
    <t>…que debía verificarse asi ; demostrando que se seguian infinitas El Rey ha expelido el decreto siguiente! ventajas , tanto en los menores gastos que se causarían , cuanto en que « Don Fernando vit por la gracia de Dios y por la Constitución ds sería mucho mas fácil el que se formase una junta en un pueblo, que la Monarquía española, Rey de las Españas', á todos ios que jas pre no dos distintas en ia apaiirnca, y dirigidas á un mismo fin; y que sent…</t>
  </si>
  <si>
    <t>…e de 1821.= A D. Estanislao Bagigas, 2 carros y 2 octavos de prado, en venta 90 rs__ En id., ó Salvador.” cetros y 5 octavos de prado, en venta 265 rs__ En id., un carro y 7 i.° » Don Fernando vtt por la gracia de Dios y por la Constitución octavos de id., en venta 75 rs—En id., sitio de Vallad oso, y carros de la Monarquía española, Rey de las Espafias, á todos los que las de prado, en venta t6sí rs—En id., 3 carros de prado, en venta 264 presente…</t>
  </si>
  <si>
    <t>…en los que fueren de fundación particular; esto es , dealguna per El Rey ha expedido el decreto-siguiente. sona , familia ó corporaeion: por donde se ve que mas cuidado ó facultad D. Fernando vit por la gracia de Dios y por la Constitución de la se da con respecto á los primeros que á los segundos, pues respecto de estos Monarquía española Rey de las Españas, á todos los- que las presentes no tienen tantas atribuciones los ayuntamientos como respe…</t>
  </si>
  <si>
    <t>…s; de consiguiente es preciso, ó que se establezca una definición El Rey ha expedido el decreto siguiente: general del delito, ó que para cada uno de los delitos se establezca una D. Fernando vii por la gracia de Dios y por la Constitución de li definición genérica, que comprenda los caracteres que son comunes á Monarquía española , Rey de las Españas , á todos los que las presentes todos; de manera que no estableciéndose los caracteres, no esta b…</t>
  </si>
  <si>
    <t>…este vacío, y era menester advertir que si se imprimiese la discu El Rey ha expedido el decreto siguientes sión en el diario, y después -por separado-^-se seguirían unos gastos ex D. Fernando vil por lá gracia de Dios y por la Constitución de cesivos. la Monarquía española, Rey de las Españas , a todos los que las presen El Sr. presidente dijo que él Sr. Martel hiciese la proposición por tes vieren y entendieren , sabed: Que las Cortes han decreta…</t>
  </si>
  <si>
    <t>…ección de fomento las da baldíos, y por la dsGobierno las de propios. El Rey ha expedido el decreto siguiente: » Y de Real orden lo traslado á V. S., habiendo resuelto S. M. que n Don Fernando vn por :1a; gracia de Dios y por la Constitución de *e circulen sus anteriores resoluciones por si ocurriesen iguales dudas en la Monarquía española, Rey de las Españas, á todos los que las pre- otras provincias, evitándose asi entorpecimientos y consultas qu…</t>
  </si>
  <si>
    <t>…proposición del Sr. Lastarria ,. y por último se conti nuaría la discusión del código penal. El Rey ha expedido el decreto siguiente 1 Se levantó la sesión á las tres y cuarto. » Don Fernando vir por la gracia dé Dios y ,por la Constitucioá de la monarquía española, Rey de las Españas , á todos los que das pre ARTICULO DE OFÍCIO. sentes vieren y- entendieren, sabed: que las Cortes extraordinarias han decretado lo siguiente : « Las Cortes extraordi…</t>
  </si>
  <si>
    <t>…rri, Ramírez Cid, Ramos García , Espiga, Marlel, Caslrillo, í Cádiz , sino que invita ¿ tomar las medidas conducentes para asegurar Vallejo , García £D. Justo}, Govantes, Ramírez £D. Fernando}, Val.las libertades públicas y las prerogativas del Trono: ningún diputado . dés , Janer, Quintana, Dolaría, Torres, Moragues, Calderón, Vi desconoce la obligación que. tiene de asegurar estas dos garantías del toria, Silves, Hinojosa, Carrasco, Allende, Cre…</t>
  </si>
  <si>
    <t>…o que necesitan mas leyes que las que ya se les ha prescrito; la El Rey ha expedido el decreto siguiente: comisión, repito, no cree que hay necesidad de nuevas leyes, y mucho me n Don Fernando vu por la gracia de Dios y por la Constitución de nos de leyes represivas, sino de autoridades que sepan egecutar las que la Moharquía española, Rey de las Españas, á todos los que las pre se han dado; y asi no se atribuya á los individuos de la comisión in s…</t>
  </si>
  <si>
    <t>…rvicio, darles superfinamente el giro de remitirlos al ministerio.” El P.ev ha expedido el decreto siguiente : Y de orden de S. M. lo traslado á V. S. para su inteligencia y go ,3 D. Fernando vn por la gracia de Dios y por la Constitución de la bierno; haciendo saber á todos los empleados de esa provincia que no Monarquía española, Rey de las Españas, á todos ios que las presen se dará absolutamente curso en la secretaría de mi cargo á instancia n…</t>
  </si>
  <si>
    <t>…ignias para distribuirlas en los varios trofeos que durante Ja fun El Rey ha expedido el decreto siguiente: ción deberán colocarse en la na ¡siria iglesia. Madrid 2 deNoviembre de Don Fernando vil por la gracia de-Dios y por la Constitución de 1821.:= Francisco Martínez déla Rosa , presidente. — Diego Medrala Monarquía española , Rey- de las Españas , á todos los que las presen no , diputado secretario. = Juan l’aiarea diputado secretario.” Por tan…</t>
  </si>
  <si>
    <t>…no era objeto de un reglamento particular, en razón de que era parte Ei Rey ha expedido el decreto siguiente: de Ja pena : que en el código de una nación muy ilustrada no solo se D. Fernando vti por la gracia de Dios, y por la Constitución de hablaba de los pormenores que quedaban referidos, sino también de que la Monarquía española, Rey de las Españas, á todos los que las pre lá cadena tuviese una bola de hierro; y que no se podia seguir el mism…</t>
  </si>
  <si>
    <t>…o. Art. 77. •&gt; El reo d quien sj le imponga la pena de infamia per El Rey-ha expedido el decreto siguiente: derá, hasta obtener la rehabilitación, todos los derechos de ciudadano; Don Fernando vu por la gracia de Dios y por la Constitución de no podrá ser acusador sino en causa propia , ni festivo , ni perito , ni la Monarquía española, Rey de las España», á todos los que las pre albacea, ni tutor ni curador sino de sus hijos ó descendientes en ¡in…</t>
  </si>
  <si>
    <t>…blo y del trono, y resuelta á defenderlos hasta morir sin la mas peque El Rey ha expedido el decreto sigiuente: ña mancilla, no reconoce por legitima otra voz que la Cei Congreso Don Fernando vit por la gracia de Dios y por la Constitución de nacional, ni otras órdenes que ¡3s de V. M. , cuando vensan arreciadas la Monarquía española , Rey de las Españas, á todos los que las pre- * al pacto hermoso é indisoluble que garantizj nuestra recíproca fel…</t>
  </si>
  <si>
    <t>Fernando, Dy</t>
  </si>
  <si>
    <t>Dy Fernando</t>
  </si>
  <si>
    <t>…en este caso romper en el cia de!.. concordato hecho en el año, de 1753 entre el Papa .Benedic principal si le hubiere, y si no en la casa de la autoridad superior po to xiv 'y el Sr. Dy Fernando vi; que das Cortes no debían conceder, lítica local, bajo cuyas.órdenes se hallan. r.°.Los oficiales .terceros del jior via de ofrenda los 20oSj. rs. que la comisión proponía ; y que el ministerio de, cuenta y razón de artillería están exceptuados de ht mi Go…</t>
  </si>
  <si>
    <t>Fernando, Josef</t>
  </si>
  <si>
    <t>Josef Fernando</t>
  </si>
  <si>
    <t>…onventos de Teniendo el Rey en consideración los méritos y servicios del ad lá provincia de León ,- que, en consecuencia-de, la ley de aj de Octubre ministrador de correos de León D. Josef Fernando de la Vega, se ha del año. próximo pasado ha formado el Gafe., político de dicha, provin servidoS. M. concederle los honores de administrador principal, y la cia de acuerdo con los gobernadores del.¡obispado; en su vista, y con opcion cuando vaque alguna plaz…</t>
  </si>
  <si>
    <t>Fernando.vir</t>
  </si>
  <si>
    <t>…pañolase pasó una ex Cortes en cuanto á la leyenda aprueban solo el nombre constitucional posición del ayuntamiento constitucional de. Lumbreras (en Navarra), del Rey; á saber: •&gt; D. Fernando.vir por la gracia de Dios y ia Consen qué éjtpbne las razones de iconyeniénciai pública-que hay para que » titucion, Rey de las Españas.”. , . . . . , dicho puébjjp.'sca nombrado. cabe*a,de partido con.preferencia á otios. Se leyó una adición del Sr. Valle.al dic…</t>
  </si>
  <si>
    <t>Ferran, Josef</t>
  </si>
  <si>
    <t>Josef Ferran</t>
  </si>
  <si>
    <t>…itán Celestino Aribert. Buques que se han sumergido con to Suma total.................... ... .. . .............. 100.000,000 dos sus pertrechos y equipajes: bergantín gran Turco, capitán D. Josef Ferran; fragata Esperanza, alias Paraguaya, capitán D. Tomas Colli; De la cantidad que se fija á las provincias Vascongadas el Gobierno polacra S. Francisco de Paula, capitán D. Bautista Gali; polacra Dul señalará la que haya de satisfacer cada una de las tres provi…</t>
  </si>
  <si>
    <t>Ferrand</t>
  </si>
  <si>
    <t>…e Malilla, que manifiestan la triste situa eclesiásticas, se compone de los señores arzobispo de Besanzon, el ción en que se ha hallado aquella ciudad. En una de ellas se dice que conde Ferrand, el conde Julio de Polignac, el vizconde de Chateau en poco tiempo se han sentido mas de 8o terremotos, y en otra del briand y el duque de Doudeanville. 29 de Mayo se lee lo siguiente: » Poco ha faltado para que la Pro Según el periódico intitulado le Narrate…</t>
  </si>
  <si>
    <t>Ferrao</t>
  </si>
  <si>
    <t>…l cordero. egército y al actual-estado del Tesoro público, se licencia FRANCIA. se á todos los soldados que lo deseasen , y- tuviesen medios para subsistir. París 4 de Febrero. El Sr. Ferrao hizo una adición al proyecto de decreto Las noticias de Viena están en contradicción con las de sobre- la abolición del.tribunal de la Inquisición, concebida Berlín sobre el viage del Rey de Prusía á Laibach. Las pri sobre poco mas ó menos en estos términos:…</t>
  </si>
  <si>
    <t>…si el Gobiernq, como es de esperar, llega á El Sr. Filgueiras leyó por segunda vez el proyecto de decreto del apoyarlos, bien pronto será Montilla el objeto de la admiración y res Sr. Ferrao sobre que se permita la entrada de los judíos; presentando peto de los demas pueblos de la provincia. también un proyecto de Constitución formado sobre'las bases de la es Calatayud 12 de Febrero. pañola , que habia sido remitido á las Cortes. Se trató del nom…</t>
  </si>
  <si>
    <t>…vantó la de este día. sociedades; no obstante, la historia de todos los tiempos nos ensena que Sesión del todas las guerras, todas las disensiones que han causado hasta hoy las El Sr. Ferrao presentó una memoria sobre amortización del papeldesgracias de los pueblos, no han tenido otro origen que la ambición moneda, que pasó á la comisión de Hacienda. Se empezó la discusión sobre el artículo de las encomiendas, quede los que han aspirado á goberna…</t>
  </si>
  <si>
    <t>…sus in de algunos habitantes de las Islas Terceras, quejándose de que conti dividuos como á perturbadores de la paz pública, y amigos de todas nuaban alii las persecuciones; y el Sr. Ferrao dijo que últimamente se las revoluciones. había impedido que saliese la procesión del Corpus en aquella isla por Sociedad de los heteristas ó amigos. evitar nuevas conmociones; lo que probaba la inquietud que aun rei Líndres 5 de Julio, de 1S21. « ¡Qué tierra…</t>
  </si>
  <si>
    <t>…e9 de todos por virtud de lá elección en que se compro Lisboa di}de Setiembre. ^.Sesión de Cortes del 34. mete la voluntad general en vuestra particular voluntad. ; Prerogativa £1 Sr. Ferrao dijo: Anoche al’retirarme.4 mi casa encontré í la tan augusta como terrible es el deber que ella os impone! Colocaos pues puerta á un hombre que me eptrcg4 un pliego;preguntóle de donde ve entre lo pasado y lo futuro para acertar en-lo presente: considerad qu…</t>
  </si>
  <si>
    <t>…presente las sesiones de los jueves para asuntos de Hacienda. ministerio como en el anterior, ha dado á este expediente toda la acla Se hizo segunda lectura de la proposición del Sr. Ferrao paraquese ración que corresponde , y ha tomado todas los medidas que ha debido: manifestasen al público las cárceles de la Inquisición en la ciudad de á cuya consecuencia se han mandado rendir las cuentas correspondien Lisboa, y para que sus edificios y renta…</t>
  </si>
  <si>
    <t>Ferrar, Juan</t>
  </si>
  <si>
    <t>Juan Ferrar</t>
  </si>
  <si>
    <t>…ga. D. Aíateo de la Quintana. á recibir pliegos del cónsul francés D. Juan Bolado. D. Matilde Vincenti de Castro. La Rusia, Austria y Prusia parecen irsé preparando para grandes - D. Juan Ferrar. D. Aíiguel Balseira. acontecimientos: la apatía dé la Prusia se convierte en vigilancia, y po D. Juan Luque. Dona Teresa, Doña Josefa y ne en movimiento alguiias tropas. De la Rusia ya se decía haber entra D. Justo Josef de Binqueri. Doña Tomasa Ravasa. do e…</t>
  </si>
  <si>
    <t>Ferrara, Genaro</t>
  </si>
  <si>
    <t>Genaro Ferrara</t>
  </si>
  <si>
    <t>…males, y sobre ello había informado 1* El mariscal de campo D. Miguel El juez D. Agustín CappelU. dirección de la Balanza; y que las Cortes no: debían permitir que si Candrían. El barón D. Genaro Ferrara. guieran estos abusos, sino cortarlos de raiz á la mayor brevedad; por El mariscal de campo D Edmon- El barón Don Genaro Bamma- lo cual, y no dependiendo, como se había dicho, este artículo de lo* do O’ Fanis. ' caro.' . , anteriores, debía aprobarse. El coro…</t>
  </si>
  <si>
    <t>Ferrari, Andrés</t>
  </si>
  <si>
    <t>Andrés Ferrari</t>
  </si>
  <si>
    <t>…insultos hechos a la humanidad y á la religión cristiana ! LaTurquía , con cía de la Mata, de Sevilla. bao. fiada en parte en las disensiones diplomáticas y en los mútuos zelos de D. Andrés Ferrari, de Genova. D. Francisco García, de esta los Gabinetes europeos, no conoce límites en sus actos arbitrarios; pero D. Cristian .Stemberghe, de Bru- corte. tampoco se fia enteramente, y se prepata á una lucha, que podrá ser muy sélas. D. Antonio Cañero Hidalgo,…</t>
  </si>
  <si>
    <t>Ferreica, Pmheiro</t>
  </si>
  <si>
    <t>Pmheiro Ferreica</t>
  </si>
  <si>
    <t>…á la dig das las Rusias , se habia propuesto prevenir oficialmente en ia víspera nidad y consideración de S: M. I., que S. S. considera inevitables en del 24 de Agosto á S, E. el Sr. Pmheiro Ferreica, ministro y secreta consecuencia de los principios manifestados por el ministerio de S. M. rio de Estado dei departamento de los Negocios sxtrangeros , que habia Fidelísima. Estos principios se hallan expresados en la citada nota del determinado no iluminar l…</t>
  </si>
  <si>
    <t>Ferreira, Pinheiro</t>
  </si>
  <si>
    <t>Pinheiro Ferreira</t>
  </si>
  <si>
    <t>…guerra, por la hambre, por la peste y por el sistema nicarle. del Sultán reinante, que ha establecido en esta provincia bajaes en lu » Por tanto tiene el honor de rogar á S. E. el Sr. Pinheiro Ferreira, gar de los ayanes (i). La población entera del imperio otomano se ha tenga á bien mandar se te expidan con la posible prontitud dos pasa disminuido en una quinta parte en el espacio de una generación, con portes para Londres; uno para él y demas individuos d…</t>
  </si>
  <si>
    <t>Ferreira, Silvestre Pinheiro</t>
  </si>
  <si>
    <t>Silvestre Pinheiro Ferreira</t>
  </si>
  <si>
    <t>…á V. S. para su inteligencia, gobier bacana de su empleo de ministro de Negocios extranjeros, y de que no y cumplimiento. Madrid 24 de Junio de 1821. había nombrado en su lugar al Sr. Silvestre Pinheiro Ferreira. El Sr. presidente propuso que hubiese el dia siguiente unasesionex- Continúa la lista de los suscr iptores al empréstito nacional. traordinarut desde las 5 hasta las 8 de la tarde , para oir los dictámenes D. Agustín Gómez de Zaragoza.. D. Joaquin Miguel de…</t>
  </si>
  <si>
    <t>Ferrer, Antonio</t>
  </si>
  <si>
    <t>Antonio Ferrer</t>
  </si>
  <si>
    <t>…lase de cabos primeros Hilario Barata—Por la de ca mero 19. bos segundos Francisco Rojas—Por la clase de sargentos primeros de Madrid Sábado 10 de Noviembre. Gerona el graduado de teniente Antonio Ferrer—í'or la clase de cabos primeros de Gerona Antonio Rodriguez.=Idem por la de segundos Exposición dirigida á S. M. por los ge}es , oficiales y tropa de los regi Marcelo Delgado.=Idem por la de sargentos segundos de Ídem Josef mientos que se hallan de guarnición…</t>
  </si>
  <si>
    <t>Ferrer, Francisco de Paula</t>
  </si>
  <si>
    <t>Francisco de Paula Ferrer</t>
  </si>
  <si>
    <t>…á discutir el dictamen de la co A la comisión de infracciones de Constitución se mandó pasai misión de Marina sobre establecimiento de correos marítimos, y se le una exposición de D. Francisco de Paula Ferrer, oficial del archivo yó el artículo siguiente : de la secretaría del despacho de Hacienda, eft la que presentaba un i.° *&gt; Que el. cargo de conducir la correspondencia pública desde la cgemplar de una memoria suya titulada: £1 patriotismo castigado de Penínsu…</t>
  </si>
  <si>
    <t>Ferrer, Jaime</t>
  </si>
  <si>
    <t>Jaime Ferrer</t>
  </si>
  <si>
    <t>…s súbditos; y de aqui la forma al capitán del regimiento del Infante D. Carlos D. Juan Romero de Te ción de multitud de Gobiernos representativos, y la reforma admirable, jada y a D. Jaime Ferrer que en lo sucesivo, procediendo con mas cir- que á pesar de tanto Congreso se advierte en muchos Estados de Euro cunspccion, no se dejen arrastrar por noticias de hombres sospechosos, pa. Por el contrario, otros Príncipes no conocieron, ó no quisieron y á tít…</t>
  </si>
  <si>
    <t>…, titulado de Polaina , en 2/5 rs. se publicó en la gaceta de Madrid de 14 del corriente, en que se aper Otro de 2 fanegas á ,1a mano izquierda de dicho carril, en 160 rs. cibe á D. Jaime Ferrer; se hace notorio al público que este sugeto no • ' Otro de una fanega, 3 celemines, quiñón, á la mano derecha del es el Dr. D. Jaime Ferrer, abogado del colegio de ésta corté, y sí otro . mismo carril, en '3 jo rs. . ' - - • de igual nombre y apellido, vecino…</t>
  </si>
  <si>
    <t>Ferrer, Joaquín María</t>
  </si>
  <si>
    <t>Joaquín María Ferrer</t>
  </si>
  <si>
    <t>…En iguales términos quedaron también electos para directores entre bles, no dan sin embargo escarmiento á sus editores, y con la-máyoí fres otra lista de nueve sugetos los Sites. D. Joaquín María Ferrer, D Ga cura continúa alucinando a los incautos, y siendo la befa de los hein'» briel Bulez y D. Francisco Crespo de Tejada: habiendo sido-tal la uni ■bres juiciosos. He aqui sus últimos anuncios. formidad de ideas y de sentimientos de todos los concurrentes ,…</t>
  </si>
  <si>
    <t>Ferrer, Juan</t>
  </si>
  <si>
    <t>Juan Ferrer</t>
  </si>
  <si>
    <t>…D. Teodoro de la Calle. Galatz, y que el egército ruso llevaba orden-de no detenerse hasta Constantinopla. Hablábase de la evacuación deBucharest por los turcos; (1) Este sugeto y D. Juan Ferrer á las primeras noticias que tu de un encuentro de los puestos avanzados rusos con los de los turcos; vieron en Paris acerca del empréstito se apresuraron i dar orden para de una victoria de Ipsilanti contra el bajá de Silistria, y que avanzaba suscribirse , s…</t>
  </si>
  <si>
    <t>Ferrer.zz, Mariano</t>
  </si>
  <si>
    <t>Mariano Ferrer.zz</t>
  </si>
  <si>
    <t>…esempeño de sus funciones, que ra. — D. Mariano Bonaz.zzD. Diego Vicente.zzD. Lorenzo Monta dando por consiguiente suprimido aquel empleo.” Aprobado. : ñés.zzD. Cayetano Gíbete zz D. Mariano Ferrer.zz D. Pedro de Gra Art. 114. «Habrá una brigada de oficiales en cada deparlamento, cia.= D. Cosme Sánchez.zzD. Julián Borruel. zz:D. Antonio-de Gra ademas de ios de los batallones, dedicados principalmente á desempe cia, zzD. Pascual Perez. zzD. Valentín Jópe. ziD. Josef Ferrer.— ñ…</t>
  </si>
  <si>
    <t>Ferreras, Marcos</t>
  </si>
  <si>
    <t>Marcos Ferreras</t>
  </si>
  <si>
    <t>…son individuos, y atendiendo por otra parte í señale el Gobierno. las circunstancias particulares de estos interesados, opinaba que pór re El de Doña Esperanza Casanova, viuda dé D. Marcos Ferreras, gla general debia adoptarse una medida respecto de los créditos que soldado que fue de Reales guardias de infantería , solicitando nná pen proceden de vestuarios y suministros hechos como los de estos asentistas; sión para concluir sin mendigar el resto de s…</t>
  </si>
  <si>
    <t>Fi, Cados</t>
  </si>
  <si>
    <t>Cados Fi</t>
  </si>
  <si>
    <t>…ud,:¡d.11UJS son SI!meja11tes ti lU!S",t/"(U, J todos son caso sobre H:l1nhu rgo en numerario está al 99f, Y las accio- paces de prifedr-../.,rmueru á 1.1 ~gllomini~_" El teniente general D. Cados Fi!anoieri acaba de hacer nesde banco al ',4 t:-. ' , ' El Cong.re~o de ~ibach será, segun todas las apariencias, dimision de su empleo, y hl e-criro :r. Príncipe ReQente de la mayor importancia. Se dice aqui q,¡.das grand~s po-: una carta, con fecha de 23 de es…</t>
  </si>
  <si>
    <t>Fidelísima</t>
  </si>
  <si>
    <t>…co es fácil concebir cómo llama S. S. principio nuevo nota. Parecióle que podría lisonjearse de que el Gobierno de S. M. á ia obligación hasta aqui reconocida de deber.respetar el embajador Fidelísima, deseando evitar cuidadosamente todos los motivos de que en una nación extrangera , sus opiniones y sus costumbres , sin atribuir ja, se apresuraría á tomar todas las medidas necesarias puraque la se el derecho de juzgar de ellas, y mucho menos el de poder so…</t>
  </si>
  <si>
    <t>Fíeihecke</t>
  </si>
  <si>
    <t>…ma ciudad d¿‘Granada, estd, - ; VARIEDADES. -, señalado el dia tí del citado mes de Febrero. , i. Una casa en dicha ciudad de Granada y,placerá efe San- Memoria--publicada por- él profesor Fíeihecke, saxon, Gil.s nújtn. i.° ,, manz. u,78,,:del monasterio de S. Geró sobre el descubrimiento del alumbrado por medio de nimo, en 7S80 rs. .; la electricidad. Otra casa en la misma ciudad y callejon.de S. Geróni mo, núm. 13, mana. 679’, de idem , en 9© rs. ¡ ■ E…</t>
  </si>
  <si>
    <t>Fiérralas.', Diego</t>
  </si>
  <si>
    <t>Diego Fiérralas.'</t>
  </si>
  <si>
    <t>…La atención de la Europa está fija; sobre la Turquía, y no sin mo Conde de Guaqui. D. Aíanuel Ramón da Villativo; puestos acontecirhiehtos pueden ser tales, qiietodo el continente D. Diego Fiérralas.' chica. sufra nuevas desdichas,,y qué la huniímídad resienta los efectos de la D. Domingo Hilario Ibaceta, Doña María de Loreto Rodrí ambición , ó los de la injusticia contra un pueblo que reclama lo que vecino de Bilbao. guez. todos han reclamado en diferente…</t>
  </si>
  <si>
    <t>Fierro, Josef García</t>
  </si>
  <si>
    <t>Josef García Fierro</t>
  </si>
  <si>
    <t>…fábricas de Limoux y de Chalabre, cuyo* productos han sido áujar D. Josef Garzón. también muy considerables , no tienen menos actividad que las de Car- Provincia de Zamora. Zamora D. Josef García Fierro, canóniga casona; y no es fácil formar un cálculo exacto de los grandes capita de aquella Sta. iglesia catedral. Villas del Vino D. Tomas Roguez Ga les que están en acción,, y vivifican actualmente el departamento del go , cura párroco de Argugillo. Lagares d…</t>
  </si>
  <si>
    <t>Fife</t>
  </si>
  <si>
    <t>…entre ellos 49 rrtfeños; llobhouse apoyó la propuesta por parecerle muy constitucional. y que se decia que baja á unírsele otro hermano con 89 montaraces Lord Castlereagh dijo que lord Fife haoia hablado muy bien de su para pasar á Alarruecos, llevando consigo dos morteros y seis cañones separación; pero que no había alegado por razón el voto que habia dado. de pequeño calibre. Mr. Tierney, quien se creia habia abandonado la dirección del Al mis…</t>
  </si>
  <si>
    <t>Figueiredo</t>
  </si>
  <si>
    <t>…ión.) Mr. Benjamín Cónstant prosiguió hablando en medio de los gri ta y otras pequeñas variaciones. tos y de la agitación, y concluyó su discurso con estas expresiones: Propuso el Sr. Figueiredo que se incluyese, en las bases la dotación ,, Cuando nos quitéis la palabra , cuando cerréis las discusiones sin oír que deberá darse al Rey y su Real familia; pero el Sr. presidente dijo, nos , diremos á toda la Francia, diremos al Rey mismo, que estamos que…</t>
  </si>
  <si>
    <t>…an ademas de ser decla vación de mi patria y su felicidad han sido siempre el único objeto de rados beneméritos de la patria. mis deseos , el solo blanco de todas mis acciones. El Sr. Figueiredo presentó el proyecto que habia anunciado en la Estos mis votos por la prosperidad de la Francia se extienden á to sesión anterior sobre la dotación del Rey.y Real Familia. das las sociedades humanas; asi es que no puedo contemplar sin un ver Se pasó i tratar…</t>
  </si>
  <si>
    <t>Figuelmont</t>
  </si>
  <si>
    <t>…lord Milton, y la impugnaron Mr. B. Bathurst, Mres. Benkes. Peel y TwifF. Mr. Bennet propuso se difiriese esta discusión, por cuanto había muchos- Nápoles 09 de Enero. El general barón Figuelmont ha sido nombrado minis individuos que deseaban exponer su modo de pensar. Aun tro plenipotenciario y enviado extraordinario de S. M. el que lord Castlereagh había hecho presente qua si parecía Emperador de Austria cerca de nuestra corte. Durante el posible fi…</t>
  </si>
  <si>
    <t>Filangieri</t>
  </si>
  <si>
    <t>…permitido todavía egecutarlo. ARTICULO DE OFICIO. Ñapóles iz de Diciembre. El.-egército que se junta en los Abruzzos, al mando del Circular de la tesorería de la Nación. teniente general Filangieri, se compone de 30 batallones de »&gt;A fin de acomodar al sistema de unidad , prescrito en el infantería y 16 escuadrones de caballería, con 48 piezas de decreto de las Cortes de 7 de Agosto de 1813 y en la Real artillería de campaña. Estas sondas mejores tropas…</t>
  </si>
  <si>
    <t>…la misma ciudad de Barcelona. las guardias nacionales; el general Carrascosa para el de las tropas de El colegio de S. Pablo, sito en la propia ciudad, en 437,151 rs. línea; y el general Filangieri para el de la guardia Real, la cual de y 15 mrs. bía pasar á formar el 4." egército activo. El 12 habian dado la vela Una hacienda llamada Masran con un molino aceitero dentro de para Sicilia varios buques á traer á la Pulla las tropas que no fuesen ne ella ,…</t>
  </si>
  <si>
    <t>…adoptado un plan de campaña puramente defensivo. El, general en gefe Pepe había , según las mismas , hecho renuncia de su NOTICIAS DEL REINO. mando, y este habia sido conferido al general Filangieri, bajo cu yas órdenes servia Pepé. ' alicántara 8 de Marzo. Entre los persoñages extrangeros que existen en el dia en esta ca El pueblo de Alcántara, que fue uno de los que levantaron an pital se halla el general DasvídofF, consejero íntimo de S. M. el tes en…</t>
  </si>
  <si>
    <t>…ierno y exa- El general Arcoi’ito manda una división en Terracina. .ininar los suceso? ocurridos en Alcoy, después de haber evacuado sus in El mando de la feserva está al cargóMef general Filangieri. /. formes decia ¿lo haber sido los enemigos del sistema Jo: que habían cau Antes de salir pata el egéTcito todos estos generales tuvieron en sado semejantes males, y solo sí enemigos de que prosperasen aquellas Nápoles una reunión, y banqueteen que reinó la…</t>
  </si>
  <si>
    <t>File</t>
  </si>
  <si>
    <t>…un hijo suyo, abusos sobre una infinidad de hechos, remediando la penuria general, Muley Alí, habia salido de Rabat con hombres contra su primo v haciendo administrar justicia al lord File, gentilhombre de Cámara Zeid, y que se habia vuelto acobardado de la mitad del camino. Que del Rey &gt; el cual lúe depuesto por haber votado en favor de la supre Zeid está proclamado en Fez, Meqninez, el Riff y el país de Luigdelli: sión del impuesto sobre la c…</t>
  </si>
  <si>
    <t>Filgueira</t>
  </si>
  <si>
    <t>…or- la -diputación provincial Sesión de Cortes del .21. de. Murcia ¡ sobre que se decida* eré qué clase.se lian de considerar los Se leyó y aprobó el acta de la anterior, y el Sr. secretario Filgueira empleados municipales cesantes r, .por haber solicitado el secretario se presentó diversas solicitudes y proyectos quesee habían dirigido á las gundo del ayuntamiento perpetuo: de aquella ciudad la continuación de Cortes, los cuales pasaron á sus comisiones r…</t>
  </si>
  <si>
    <t>Filgueiras</t>
  </si>
  <si>
    <t>…ha subido un ¿ por ioo en el último en el día 24 el Exento, y Rían. Sr. Arzobispo de Bahía, día de bolsa» pues desde 70 \ ha llegado á 71, y todo hace y el de secretario el señor diputado Filgueiras. Sentados creer que continuará progresivamente adquiriendo crédito todos, é impuesto silencio, el limo, y Excmo Sr. conde de un papel que presenta tantas garantías. Prescindiendo de va Sampayo leyó con voz clara y enérgica el bien concebido rías circunstancia…</t>
  </si>
  <si>
    <t>…po de Beja y el señor menos cuarto de la tarde, una fuerte explosión , ocasionada Vicente Antonio da Silva Correa. por un barril de pólvora, que, según reconocimiento quede El Sr. secretario Filgueiras manifestó que estaba señala él se hizo, tendría como unas seis -libras de cabida. Este da para aquella sesión la discusión sobre la proclama ó barril se puso entre la pared y una arca en una meseta manifiesto de las Cortes, propuesta por el Sr. CastoJIode ¡a…</t>
  </si>
  <si>
    <t>…utados de Corres no FRANCIA. había tenido resultado alguno, volvía á hacerla, presentán París jo de Enero. dola por escrito. Continúa el articulo 'de ayer. Habiendo llegado el Sr. secretario Filgueiras leyó el ac Habiéndose retirado la gran diputación de la Cámara ta de lai sesión anterior, y una exposición del' ministro de de los Pares, se presentó la de los diputados de los depar Marina, en la que hacia presente que la salida del correo tamentos, cuyo pre…</t>
  </si>
  <si>
    <t>…los actos ciones : á los representantes de la nación únicamente perte de los días 24 de Agosto y 15 de Setiembre. nece formar las leyes. En las Cortes reside el poder legis El Sr. secretario Filgueiras leyó un proyecto de decre lativo con la sanción del Rey ; pero este no tiene veto ab to para que las autoridades eclesiásticas y militares recono soluto ; y á las Cortes pertenece el nombramiento de quién ciesen á las Cortes, y se cantase un Fe Denmen acción…</t>
  </si>
  <si>
    <t>…ncia, para que la autoridad civil, en Sesión de Cortes del 19. unión con la eclesiástica, vuelvan á enterar á dichas religiosas del leida y aprobada el acta de la anterior, el Sr¡ secretario Filgueiras contenido expreso de dicha ley, y se entregue un egemplar á ca leyó una porción de solicitudes y reclamaciones, las cuales se decidió da una, prohibiéndose que al acto de esta diligencia se pongan las que pasasen,..unas á lá Regencia, y otras á'las respectiva…</t>
  </si>
  <si>
    <t>…ontingente de luces , y egercer su derecho de censura y de apelación al Monarca. Sesión de Cortes del 20. •El artículo 66 del reglamento, que el Parlamento ha adoptado pa ■ El Sr. secretario Filgueiras leyó el acta de la anterior f que fue ra el orden de proceder , prescribe que &gt;, apenas un acto sea aprobado^ aprobada ) , y deis protestas hechas por algunos- Sres. diputados, y re y esté, firmado por.el presidente y ¡os secretarios, se hará imprimir, lativa…</t>
  </si>
  <si>
    <t>…onales no tenian más objeto que el bien de Cortes, que pasaron á sus comisiones respectivas. su Nación; que sin embargo la Inglaterra habia guardado una exacta Después leyó el Sr. secretario Filgueiras el proyecto de decreto so neutralidad respecto de Nápoles, y que po sé''había creido autorizada bre la venta de los bienes de la corona. para tomar medidas hostiles. El Sr, Fernandes Tomaz dijo, entre otras cosas, que era indispen El lord Holland apoyó con en…</t>
  </si>
  <si>
    <t>…e imprenta, y se le contestó que la comisión de Legis la verdad. (Movimiento expresivo de aprobación en el centro y á la lación la presentaría muy pronto á discusión. derecha.) El Sr. Filgueiras leyó una representación del conde de Sampayo, en El general Foy tomó la palabra después que acabó de hablar el mi que manifestaba su agradecimiento al Congreso por la buena acogida nistro , y dijo asi: que habia merecido su renuncia, lo cual era un nuevo estí…</t>
  </si>
  <si>
    <t>…0 de Junto. Se aprobóla siguiente indicación del Sr. López ( D. Marcial): » Pi cortes___Sesión del 14. do á las Cortes autoricen al Gobierno para que pueda aprobar interina El Sr. secretario Filgueiras dió cuenta de un oficio de la Regencia, mente , sin perjuicio de dar cuenta á las Cortes, los arbitrios que le en que trasladaba otro que acababa de recibir de Rio-Janeiro por ma propongan las diputaciones provinciales para la dotación de las escue no del con…</t>
  </si>
  <si>
    <t>…teneciente á un bergantin que tenia inmediato, y era al pa Lisboa 24 de Junio.—Sesión de Cortes del 22. recer de guerra , con bandera y gallardete ingles , á distancia de ¡5 le El Sr. Filgueiras leyó el dictamen de la comisión de Artes sobre el guas al E. del cabo de Sta. María , al cual se le veían de 1 2 á 14 pie edificio incendiado, y se reducía á aprobar la propuesta hecha por eL zas de cañón montadas , y algunas portas para mas, que no pudo con…</t>
  </si>
  <si>
    <t>…io de las discurso á S. M., y cuando no, que se pidiese la aclaración al ministro. Dos-Sicilias es digno de la recomendación de todos aquellos que. pre Con este motivo dijo el Sr. secretario Filgueiras que se habia hallado fieren 115 cadenas i la libertad, la adulación á la verdad , y el bien de presente cuardo S. M. habia determinado que fuese el mir-stro á leer pocos individuos al de cuatro millones de almas. Un rasgo singular de el discurso , y que le ha…</t>
  </si>
  <si>
    <t>Fillippis</t>
  </si>
  <si>
    <t>…ales, los habitantes de aquella provincia, deseosos de sar en seguida al acto preparatorio de la ordinaria. atacar á ios enemigos de su felicidad, habian abandonado sus hogares El Sr. Fillippis leyó y se mandó pasar á la comisión una carta para correr, los unos á las fronteras, y los otros á ¡os Estados romanos, del diputado Conciliis, en que informaba al Parlamento del gran nú resueltos todos á vencer ó morir por la causa de Ja independencia y de m…</t>
  </si>
  <si>
    <t>Fink</t>
  </si>
  <si>
    <t>…or el contrario de su buen de tenian. Nada pudo contenerlas: las 13 han vuelto peores de lo que fue recho en ciertos artículos, apoyados terminantemente en el texto de los ron. El Sr. Fink , fabricante de telas, murió antes de poder volver á sus tratados. hogares; y la Sra. Osvald consiguió volver á su casa, y al siguiente Aunque parece pues superfino que la Sublime Puerta haga nuevas repeti dia espiró. Estos nuevos egemplares deberán desengaña…</t>
  </si>
  <si>
    <t>Fischer, Gottlieb</t>
  </si>
  <si>
    <t>Gottlieb Fischer</t>
  </si>
  <si>
    <t>…de Julio de 1820 por robos. Estado en moskow. 7.0 La sociedad de los Naturalistas , cuyo director ac de esta cu:-a. Para sentencia. Providencia de visita: s:ga. tual es el célebre profesor Gottlieb Fischer. Se ha unido desde 18x5 4 Pedro Villalba, alias ei Manco, remitido por el mismo juez Don la-de botánica de Horenky.Las memorias que publica, y de las que ha Francisco Belloc en 26 de Abril de 1820 por individuo de la cuadrilla dado ya 4 luz cinco volúmenes en…</t>
  </si>
  <si>
    <t>Fitzer</t>
  </si>
  <si>
    <t>…del capotan de bandidos Josei Aunque en los boletines no se hace mención de la toma de Fundí Arija con 3^ de su comitiva, que hall sido conducidos a ís mistna por y de ltri por el capitán Fitzer ,ii frente de tres compañías, no' por eso la tropa que los aprisionó-</t>
  </si>
  <si>
    <t>FKAKCIA</t>
  </si>
  <si>
    <t>…salada, y no se duda del cargo pronunciar el discurso análogo á la función, sea por lo que quie buen éxito de la empresa. ra, vimos (y no nos pesa) que por último se acudió al ex-gobernador FKAKCIA. arcediano de Ledesma y magistral de esta Sta. iglesia D. Manuel Del gado Valie, el cual ha cumplido este encargo del modo que se podía Parts 6 de Noviembre. ^ esperar con una exhortación, en que con estilo sencillo y claro, y fun Se sabe por noticias de Nápo…</t>
  </si>
  <si>
    <t>Flanchuriani</t>
  </si>
  <si>
    <t>…. Al propio tiempo se ha servido providencias rigorosas: se ha arrestado á varias personas , y entre ellas mandar S. M. que el R. obispo y el Gefe político destinen los religio al Sr. Flanchuriani, individuo del Parlamento. Parece que el motivo sos de los conventos que se suprimen , y no tienen agregación determi de estas providencias, tomadas por los ingleses, ha sido el haber cogi nada , á los de la misma orden en la provincia; y en caso de no ha do…</t>
  </si>
  <si>
    <t>Fleuri</t>
  </si>
  <si>
    <t>…ar sin tropas, y de que es muy probable que si el 7, 8 y 9 dicho ayuntamiento, francos de porte. habia sido dispersado el egército del general Pepe, se supiera ya en Discursos del abad Fleuri sobre la Historia eclesiástica, la poesía aquella capital, y produgera alguna sensación, si con efecto el resulta délos hebreos, la escritura santa, la predicación, las libertades de la do habia sido tal cual la liga europea contra la libertad del mundo lo ha…</t>
  </si>
  <si>
    <t>Flllimore</t>
  </si>
  <si>
    <t>…sos de ¡n— tido de Grenville, y que en consecuencia han acordado las mudanzas verosímil; pero sí algo de impolítica en dar a conocer con tanta anti siguientes en el ministerio: el doctor Flllimore sucederá á Sir Jorge Wacipación las miras ulteriores del Gabinete austriaco , particularmente render como uno de los lores del almirantazgo; Air. Ch. YViram cuando el Padre Santo puede vivir aun algunos años, bien que se ha reemplazará á Mr. Sturges Bourne en…</t>
  </si>
  <si>
    <t>Flode</t>
  </si>
  <si>
    <t>…a del propio instituto; el de carmelitas descalzos, trasladándolos al de Murcia de la misma orden, el de dominicos y el Guillermo Tell, ó la Suiza libre: escrito en francés por el Sr. Flode agustinos; en Alumbres el de franciscos observantes, destinándolos rian, y traducido por una señorita. Un labrador forma el proyecal de Murciaren Lorca el de dominicos y el de.carmelitas descalzos, -to de restituir la libertad á su amada patria, oprimida con…</t>
  </si>
  <si>
    <t>Flom, Josef Martínez</t>
  </si>
  <si>
    <t>Josef Martínez Flom</t>
  </si>
  <si>
    <t>…una oiden dada por Ja audiencia Josef Aiberni, pidiendo una recompensa por sus servicios, y una ex de Valladolid, se haya apoderado de la persona del Farolero, que coa posición de D. Josef Martínez Flom y diferentes oficiales de artillería, su compañía habia hecho resistencia al tiempo de cogerlos aquella guar á la que acompañaban algunas observaciones para la organización de las nición, por haber atentado contra el sistema, infringiendo las ordenan compañía…</t>
  </si>
  <si>
    <t>Flore, Rodrigo Alfonso</t>
  </si>
  <si>
    <t>Rodrigo Alfonso Flore</t>
  </si>
  <si>
    <t>…Rosa, Calatrava,. Vadillo , Rey y Gareli... hagun á D. Juan Antonio Facón También se aprobó.otra indicación del Sr.Martínez déla Rosa, en Suarez Cuenllas : para el de Ponferrada a D. Rodrigo Alfonso Flore,.que ademas del objeto de la anterior pedia se ocupase la misma co para eí de la Bañeza á D. Juan Hevia Arguelles: para el de Omaña á misión en examinar y proponer á las Cortes si era llegado el tiempo D. Francisco Plácido Cabrera; y para el de Toreno á D. An…</t>
  </si>
  <si>
    <t>Florencia, Pedesde</t>
  </si>
  <si>
    <t>Pedesde Florencia</t>
  </si>
  <si>
    <t>…sición fortificada de Mignano sobre el camino de Ca sido manifestadas plenamente por las últimas cartas que me escribió pua. El mismo espíritu que habia dispersado el egército del general Pedesde Florencia con fecha de 19 dei corriente, y que trajo el general pé en los Abruzos se manifestó en el campo de Mignano ; pero de un Fardelia. Creo no solamente glorioso para S. M., sino también propio modo mucho mas violento. No queriendo batirse las tropas por la causa…</t>
  </si>
  <si>
    <t>Florez</t>
  </si>
  <si>
    <t>…rsos sistemas de los sabios que florecie *e trataba. ron en todos tiempos y países, sus útiles inventos, y las ventajas que El Sr. conde de Toreno apoyó y esforzó la- petición del Sr. Florez con ellos ha recibido la sociedad. El análisis de las ciencias y los de Estrada. mas pormenores que ha indicado el Sr. preopinante corresponden ya En este estado, y habiendo llegado la hora señalada porS. M. para á la historia literaria d* cada'ciencia, que d…</t>
  </si>
  <si>
    <t>Florez, Juan Fernandez</t>
  </si>
  <si>
    <t>Juan Fernandez Florez</t>
  </si>
  <si>
    <t>…en promover á alféreces de fragata en 178,957 rs. de la armada naval nacional, con la fecha de 4 del presente En la provincia de Soria, procedentes del suprimido mes de Febrero, á D. Juan Fernandez Florez, D. Cesáreo monasterio de S. Prudencio, para cuyo primé'r rema Ampuero, D. Eduardo Pose, D. Ramón Hacha, D. Fran te, que se ha de verificar en la ciudad de Logroño, cisco y D. Antonio Falcó, D. Antonio Arévato, D. Josef esta señalado el dia 24 del presente. A…</t>
  </si>
  <si>
    <t>Florez, Vicente</t>
  </si>
  <si>
    <t>Vicente Florez</t>
  </si>
  <si>
    <t>…astarria ai art. r.°, que désp'ues la te-i ayuntamiento ^e Molina, vindicándose de la queja que dió contra él tiró su autor, y decia: « Que en el centro de dicho artículo se:supri D. Vicente Florez, médico, 'vecino de la misma , y pidendo se le im ma la calificación de directa, ó que se añada la de indirecta.” póngala pena que merezcan los falsos delatores, y se publique en la ga Habiendo manifestado el Sr. secretario de la Gobernación de Ul ceta: otra…</t>
  </si>
  <si>
    <t>Florian</t>
  </si>
  <si>
    <t>…en Chinchilla el.de domi su digna muger. Esta es la historia del héroe Guillermo Tell; cuya nicos, en Villena el de agustinos y el de franciscos descalzos, agregan vida escribe el Sr. Florian del modo mas llorido y ameno, haciendo do los religiosos de este convento al.de Yecla, de igual instituto; en asi que su lectura sea útil y agradable. :Bellas españolas! nuestra joven Caudete el de carmelitas calzados, en Jumilla el de Sta. Ana de fran traduc…</t>
  </si>
  <si>
    <t>Florilli, Domingo</t>
  </si>
  <si>
    <t>Domingo Florilli</t>
  </si>
  <si>
    <t>…os 1 El Sr. Tra zione política per tute le genti sul calcólo di ragione ,” y dirigida por ver conocerá que seria abrir una brecha muy grande para echar abajo el prófugo romano Dr. D. Domingo Florilli; la cual fue presentada á lo que las Cortes han aprobado. Si se trata de que las ejecutorias legí las Cortes por el Sr. Calatrava. timas tengan el valor de cosa juzgada, los tribunales competentes harán El Sr. Sancho presentó reformados los artículos siguient…</t>
  </si>
  <si>
    <t>Florin, Josef</t>
  </si>
  <si>
    <t>Josef Florin</t>
  </si>
  <si>
    <t>…nulidad. Monacales y regulares. . ■■ A fines del mes de Junio próximo pasado remitió por el correo Los monacales y demas regulares extinguidos, que según la ley de desde Valencia D. Josef Florin á D. Román López , ó acaso por equi 25 de Octubre de 1820 gozan pensión en'el Crédito público, presen vocación puso en el sobre Ramón López, una certificación dada en la tarán en ia contaduría general de recaudación con su correspondiente, contaduría de,aquel…</t>
  </si>
  <si>
    <t>Florio, Lúeas</t>
  </si>
  <si>
    <t>Lúeas Florio</t>
  </si>
  <si>
    <t>…ropagar las doctrinas liberales. los dos bergantines austríacos el Juan, capitán Domingo Besnasich, y Uno de los milagros de la libertad es el trasformar á los hombres, el Qv.dio, capitán Lúeas Florio, habian sido acometidos en las aguas y hacer que aquellos mismos que por su educación, por su ignorancia de Scio por un corsario turco. Los capitanes, para legitimar su pro y por sus preocupaciones políticas y religiosas eren-sus mayores enemi cedencia, le ma…</t>
  </si>
  <si>
    <t>Florit, Antonio</t>
  </si>
  <si>
    <t>Antonio Florit</t>
  </si>
  <si>
    <t>…........... 9966 tándose para salir al mismo.destino: el bergantín español patriota Lacy, Zamora......................................................................... 1.321,461 capitán D. Antonio Florit; bergantín ingles Armonía, capitán Tomas Uniop: salidos para el lazareto de Marsella la tartana francesa la Ma Provincias Vascongadas. ........................................... 3-°69)312 rta , capitán Celestino Aribert. Buques que se han sumergido con to Su…</t>
  </si>
  <si>
    <t>Florit, Sebastian</t>
  </si>
  <si>
    <t>Sebastian Florit</t>
  </si>
  <si>
    <t>…ro me inclino á creer que el medio mas con 83 rs. cada facultativo de los cuatro nombrados en Cartagena; y seguro de impedir á los hombres que se maten es dejarles ser buenos, son D. Sebastian Florit, D. Manuel de Navas, D. Josef {Lancé y Don ayudarles á ser justos y racionales , y hacerles felices..... ¡Ah! Si el úl JosefFurio; habiendo quedado en poder del ayuntamiento constitucio timo pensamiento de los desgraciados que cortan el hilo de su vida sí nal…</t>
  </si>
  <si>
    <t>Fo, Valentín de</t>
  </si>
  <si>
    <t>Valentín de Fo</t>
  </si>
  <si>
    <t>…S. M. á los distinguidos servicios y padecimientos por prolongase mucho, porque conocía la necesidad que había de que se jo- - el sistema constitucional del intendente de egército D. Valentín de Fo xnasan prontas medidas; pero que, como habia dicho el Sr. conde dé ronda , se ha dignado concederle honores del tribunal especial de Guer Toreno , habría Sr. diputado cuyo discurso podía durar mas de una ra y Marina. hora. . En seguida manifestó la necesidad…</t>
  </si>
  <si>
    <t>Focca, Dionisio</t>
  </si>
  <si>
    <t>Dionisio Focca</t>
  </si>
  <si>
    <t>…blico, y la multa caigan en poder de la marjna Real británica. Como es bien sabido que de 100 rs. por cada milagro no debe contener al príncipe, pues uno un buque de Cefalonia, su capitán Dionisio Focca, y otro de Zante, que no ve y reciba la vista por intercesión Suya, no tendrá reparo eü su capitán Giannachiessi, han infringido las leyes de esta manera, pagar el doble de la multa que se le impone* $. E. el lord, alto comisario, de acuerdo con el presidente…</t>
  </si>
  <si>
    <t>FohdeviIa</t>
  </si>
  <si>
    <t>• EfSr. Peñífiel: Há dicho el Sr. FohdeviIa: que el Gobierno no se días,y las órdenes,que.sé hayan de dar ó comunicar á, estos.pueblos debe establecer para fomentar, sino para gobernar; en este supuesto no ycoii qué atrasó no llegarán ? ; Cómo pues puede decir la comisión que, hay motivo para que Santi…</t>
  </si>
  <si>
    <t>Folgüeras, Ramón</t>
  </si>
  <si>
    <t>Ramón Folgüeras</t>
  </si>
  <si>
    <t>…cto de ley Arica para entregarlos en el Janeiro. (Redactor general de Cádiz.'} constitutiva del egército un proyectoque trata de esta materia, formado por el coronel de ingenieros D. Ramón Folgüeras, y presentado por península.__Cádiz 16 de Marzo. el mismo Sr. diputado Serrallach. Las Cortes lo recibieron con agradoA Por extraordinario de Gibraltar se sabe la llegada ayer 14 á aquel A la misma comisión se mandó pasar un proyecto de navegación puerto: de…</t>
  </si>
  <si>
    <t>Fondevila</t>
  </si>
  <si>
    <t>…ido una de cuarta clase con los pueblos que la rodean; pero esto no estando en la Coruña. nó sé ha verificado ni se verificará: en esta ciudad y en algunos pue También ha dicho el Sr. Fondevila que la Cortina es puerto y pla blos de la serranía lo que se necesita (que * mi modo de entender es za de armas , que no pueden entrar ni salir las gentes cuando mas lo hacerles un verdadero bien) es agregarlos, á otras provincias, y en necesitan ; pero es ne…</t>
  </si>
  <si>
    <t>…jónicas, que en adelante inten cía Page se haga extensiva al dia de Reyes.” ......... te tener la menor comunicación con los expresados buques, sea con Se leyó una proposición del Sr. Fondevila , en la que manifestaba siderado como reo de rebelión contra el Gobierno , y castigado como que habiendo resuelto las Cortes en 24 de Noviembre próximo pasado Jal. En lleca y Cérigo parece que ha habido escenas sangrientas, en el informe dado por la comisión…</t>
  </si>
  <si>
    <t>Fondevlla</t>
  </si>
  <si>
    <t>…, Castilla y Cataluña. Las Cortes tuvieron á bien declarar puerto de depósito de primera Su capital Coruña. clase á la Coruña y Vigo, y habilitar para el comercio nacional y ex El Sr. Fondevlla: Siento no deber conformarme en esta parte con tranjero de entrada y salida á BJbadeo, Ferrol y Carril. De aqui re el parecer de la comisión, á pesar de la justa consideración que me me sulta que la mayor parte de la provincia que acaba de aprobarse ni ne rec…</t>
  </si>
  <si>
    <t>Fonfreda, Pedrq</t>
  </si>
  <si>
    <t>Pedrq Fonfreda</t>
  </si>
  <si>
    <t>…ciones oportunas, y auxilia alguna en el descontento iascualidades del barón ; y también manifestó á do de las tropas que le facilitase el general Moreno, á quien igualmen este el comandante D. Pedrq Fonfreda, quele detuvo en la Cartuja de te sé prevenía que le hiciera reconocer en .Córdoba , pasase í la ciudad Jerez, que su persona no le insp ira¡» desconfianza; y que lo propio ié de Ecija ó á cualquiera otro punto-de su provincia, desde el cual re dijeron circun…</t>
  </si>
  <si>
    <t>Fonseca, Manuel Antonio da</t>
  </si>
  <si>
    <t>Manuel Antonio da Fonseca</t>
  </si>
  <si>
    <t>…go que S. M. se sentó en el solio, fue el ugier, lla por 41; y el Sr. Souto-Mayor, el cual habiendo salido em mado de ia vara negra, á avisar á ia Cámara de los Comu patado con el Sr. Manuel Antonio da Fonseca, decidió la nes para que ptea-e á ¡a de los Lores, y al cabo de pocos suerte á favor de aquel. minutos se presentó el orador acompañado de muchos vo cales de aquella Cámara, y entonces pronunció S. M. el NOTICIAS DEL REINO. discurso siguiente: «Milores y Seño…</t>
  </si>
  <si>
    <t>Fontanar, Cosme</t>
  </si>
  <si>
    <t>Cosme Fontanar</t>
  </si>
  <si>
    <t>…Las Cortes recibieron con agrado la felicitación que les hacia por procedido el alcalde constitucional sin estar censurado el papel á que el decreto de la abolición de mayorazgos D. Cosme Fontanar, teniente se refería contra lo expresamente prevenido por la ley de^ libertad de coronel retirado en la plaza de Cartagena. imprenta de 1813, habia lugar á la formación d,e causa contra el al A la comisión de Infracciones de Constitución se pasó una queja cal…</t>
  </si>
  <si>
    <t>Fonton</t>
  </si>
  <si>
    <t>…timiento deí gefedel Estado para formar una Constitución que cree pro-, sin haber conseguido cosa alguna. pia á cimentar su dicha y felicidad: pero no agrada esta Constitución El Sr. Fonton, primer consejero de la legación rusa, fue el dia 4 ni á la Rusia ni al Austria; y envia esta, con consentimiento de aque de orden del embajador á presentar dicha exposición al Gran Señor lla , un egército para destruirla, y restablecer al Rey en su primitivo…</t>
  </si>
  <si>
    <t>For, Cristóbal</t>
  </si>
  <si>
    <t>Cristóbal For</t>
  </si>
  <si>
    <t>…Rosario, D. Juan Bautista Colombino; laudes , Carmen, D. Martin do peligra su vida matar á los que le acometen , también deben tener Caner; Carmen, D. Barto!omé Font; S. Antonio, D. Cristóbal For— los soldados el privilegio de tomar por su parte venganza. ¡Quién po ner; S. Josef, D. Manuel Maílol; Santa Faz, D-’Antonio Scrdá; Eccedrá señalar (dice) en medio de tanto peligro y confusión el momento Homo, D. Jacinto Amengua!. preciso en que debe vengarse…</t>
  </si>
  <si>
    <t>Forneils, Josef</t>
  </si>
  <si>
    <t>Josef Forneils</t>
  </si>
  <si>
    <t>…s. Creemos su intención, y dudamos nado Sr. D. Claudio Boutelou, calle del Puerco , núm. 28; en Arande su egecucioñ. Los Austríacos y Iás(trc)pas.clel:Papa andaban á vuel juez del Sr. D. Josef Forneils, ingeniero hidráulico, y en Málaga de tas con los malhechores ; pero eu términos de guerra , pues se trató de Jos Sres. Josias YWeks y compañía. -■ dar un asalto &amp;c. Sin duda quenosse trata de «salto4 Civita-del Tron-: Cálculo del ¿asta diario de 6 norias tra…</t>
  </si>
  <si>
    <t>Foroaasimismo, Valentin de</t>
  </si>
  <si>
    <t>Valentin de Foroaasimismo</t>
  </si>
  <si>
    <t>…; D. Pablo Iglesias , de,.Madrid;• Sres. Paul, dé Cádiz; D. Pedro da ía Península en mayor número de provincias á proporción. Se opuso Ochoa, de id; D. Pedro de Lapuente, de id.; D. Valentin de Foroaasimismo 4 que se creasen cuatro clases de provincias ,'y manifestó que da, de Pamplona. ■ ; habia algunas que merecerían mas bien el nombre de corregimientos; . ■ ■ . i» tal era la del Vierzo , á la cual para hacerla algo mas grande, se la . A mediados del prese.nte…</t>
  </si>
  <si>
    <t>Foronda, Martin de</t>
  </si>
  <si>
    <t>Martin de Foronda</t>
  </si>
  <si>
    <t>…ichos interesados. ramo; concluida la cual, manifestó el Sr. presidente que las Cortes que daban enteradas, y habían oído con,agrado todos los medios que.el po Habiendo denunciado D. Martin de Foronda el escrito titulado « der egecutivo proponía para proteger la marina española y fomentarla; Censor, núm. 28, pág. 310, artículo carta del Madrileño , señalada con y que tomarian en consideración la memoria leída, á cuyo efecto se pa el núm. 13 , desde el párr…</t>
  </si>
  <si>
    <t>Foronda, Valentín</t>
  </si>
  <si>
    <t>Valentín Foronda</t>
  </si>
  <si>
    <t>…entrado á servir yn-el egército desde el x.° de Enere propios, ' .... " de i3i7, y de consiguiente recibirán con exactitud sus licencias abso---A larde Hacienda úna exposición efe D. Valentín Foronda, ex lutas, en la forma quese previene en el artículo 32. cónsul y encargado de Negocios que fue en los Estados-Unidos de Amé ’ Art. 3.0 ” Las notas de los gefes de que trata el art. 79 se pon rica, pidiendo se le declare como de servicio activo todo el tiempo…</t>
  </si>
  <si>
    <t>Forte, Camello</t>
  </si>
  <si>
    <t>Camello Forte</t>
  </si>
  <si>
    <t>…a que fuesen castigados los cul llaba mal herido el principal ministro de Solimán, hizo que aquellos pados. habitantes se lo entregaran, prometiéndolos no lo sacarían, y que ha El Sr. Camello Forte pidió.que se. tomasen mas informaciones so biéndolo verificado, le mandó cortar la cabeza, la cual ha sido nueva bre los crímenes de que se acusaba á los monges, y que se les oyese: mente colocada en las inmediaciones mas públicas de Tetuan para ter otro Sr.…</t>
  </si>
  <si>
    <t>Fortes, Camello</t>
  </si>
  <si>
    <t>Camello Fortes</t>
  </si>
  <si>
    <t>…iria En seguida recorriendo diversas épocas de la historia, hizo presen que era lícito matar , hurtar &amp;c. tes las eternas usurpaciones de los Papas, los cuales no cesaron de ex El Sr. Camello Fortes dijo que no era lícito se escribiese contra tender y aumentar su poder en menoscabo de los tronos, y por último ninguna ley , fuese justa ó injusta, porque siempre se suponía que era lograron disponer de las coronas; que el clero, que estuvo casi siempre just…</t>
  </si>
  <si>
    <t>Fortun, Josef</t>
  </si>
  <si>
    <t>Josef Fortun</t>
  </si>
  <si>
    <t>…ebren honras en la iglesia catedral con A la misma comision .de Hacienda se pasó un expedienté promo asistencia del ayuntamiento , avisando con tiempo al limo, cabildo pu vido por D. Josef Fortun para que se le continúe la'asignación he raque se sirva disponerlas con toda solemnidad; que se pase oficio al cha por su padre antes de embarcarse. Excmo. Sr. Gefe superior político de la provincia para que se si:va dis . Se pasó a la comisión de Gobierno an…</t>
  </si>
  <si>
    <t>Foy</t>
  </si>
  <si>
    <t>…de estécréditosuperíluo que pide con de decisiones entre las de los eclesiásticos y las .dejos militares-: y el tanto empeño. Si los inmensos medios- que ponéis- incónstitueionál- general Foy habló en: el mismo sentido', recordando la violencia con tnente en manos de un ministro sirviesen para algunas empresas, acerca que hacia pocos dias se había procedido respecto de la petición del code las cuales fuese sorprendida la sabiduría y la rectitud de…</t>
  </si>
  <si>
    <t>…ón mismo sitio. La comisión proponía que pasase esta solicitud al minis se discutiera el decreto sobre aguardientes; levantando la de este dia. tro del Interior. Sesión del 16. El general Foy subió á la tribuna, y dijo: Señores, el general Algunos Sres. diputados hicieron varias proposiciones. Marceau feneció joven de edad , y viejo de gloria en el campo de ba El Sr. Borges Garneiro presentó una solicitud de varios labrado talla cerca de Altenkirc…</t>
  </si>
  <si>
    <t>…ra ¿ozar de sión de Diputaciones provinciales la resolución qtie tomó el Gobier-? los beneficios de la Carta. no acerca de la solicitud de la diputación provincial de Jaén, qu? El general Foy tomó la palabra, y pronunció un elocuente discur exponía que el pueblo de Velmar, destinado para cabeza de partido eti so, en que probó con la mayor evidencia que la Carta estaba violada; aquella provincia, carecía de muchas cosas indispensables, y principal…</t>
  </si>
  <si>
    <t>…lon, natural de Francia , solici litanos en Rieti, y que Jos austríacos habían, entrabo en los Abruzos, tando carta de ciudadanos. ir.,' hubo un gran alboroto en el Congreso; y el general Foy, levantando ... Las Cortes recibieron con agradoy mandaron;repartir a50 egemsu. voz por encima de todas las demas , se dirigió con la mayor Vehe plares remitidos por el inspector, general de ¡infantería, eje algunas ob mencia á los ministros, y les dijo:.voso…</t>
  </si>
  <si>
    <t>…os inconvenientes, esto consistía en la inipeifeccion de orador que cuando iba á entrar en la cuestión.- ■ • las cosas humanas; que impropiamente se alegaba el egemplp de lajn- El general Foy prosiguió su discurso, diciendo que no era difícil de glaterra , pues las circunstancias en que; se hallaban, ambos países no creer lo que había dicho el ministro de .Estado de que. en Inglaterra eran las: mismas; que. si en Inglaterra bastaha salirse del sal…</t>
  </si>
  <si>
    <t>…, que ño se publicó hasta . cascará DB ios diputados___Continúa !a sesión del 14. el 17, se anuncia su inmediata salida pata Europa. Dice que su princi Después t»mó la pa abra ei general Foy, y é,te d-giio m.iitar, í pal objeto es facilitar la egecuc on de las leyes y reglamentos de las quien la Francia, cuenta entré lo, ¿.Tensores de su libertad , impuzr.ó Cortes, presentándose eñ la capital. Sin embargo , asi que este decreto el proyectó de ley…</t>
  </si>
  <si>
    <t>…omentado por medio de leyes prohibitivas. Si ahora se El presidente: el ministro de Estado tiene la palabra, adoptase otro sistema mejor, llegaría con el tiempo este ramo impor El general Foy: pero el orador no ha concluido, y es menester tante de comercio á un grado de perfección, igual acaso al que tiene en que Vuelva á subir á Ja tribuna á acabar su discurso. (Un grito general Francia. á ia izquierda : sí, sí: mantened la palabra al orador. ) E…</t>
  </si>
  <si>
    <t>…uerra: ese es un sofisma diplo lord Exmouth, y que esta noticia la habían sabido solamente por el mático. S¡ la Francia tuviese la voluntad que corresponde i una gran discurso del general Foy.” potencia; si sus armamentos fuesen de tal naturaleza que le asegurasen en Europa la fuerza moral y política que debe tener, la guerra estaría NOTICIAS DE ESPAÑA. muy distante, y seria mas -sólida la paz. Deseo que esta paz dure mucho tiempo; pero cuando veo…</t>
  </si>
  <si>
    <t>…as de Bombay se ha sabido que el Gobierno ha fletado 15 Real politécnica 2260 francos (904© rs. de vn.). buques de trasporte para llevar al golfo pérsico 59 hombres de tropas-, El general Foy tomó la palabra, y se quejó fuertemente de la co destinados á reparar la pérdida que ha experimentado el destacamento misión-, porque proponía que se aumentase el coste de las pensiones que sir William Kier dejó allí á Jas órdenes de un inozalvete. Man llamad…</t>
  </si>
  <si>
    <t>…áni que han de salir á recibir á S. M., si asistiere á la sesión; y entre los me que el que calcula como el ingles lo que cuesta un cañonazo. sugetos se advierte ser el primero el general Foy; también es del nú La Francia es como el campo de Agramante, en que las opiniones mero el general Sebastíani y otros de la oposición. je pueden contar casi por el número de individuos; y en gran parte es H 16 del pasado llegaron á Tolosa otras varias hermanas…</t>
  </si>
  <si>
    <t>Fr</t>
  </si>
  <si>
    <t>…en Madrid. para que le postuló el capítulo provincial de Aragpn de 1815, y Añade luego, para dar nías que reir , que los guardias de Corps debían cuya postulación anuló »1 vicario general Fr. Ramón Guerrero ; y que reunirse al pasar el Rey ; apoderarse de su persona sin mucha resisten circule V. S. aviso á los conventos de dominicos existentes en ese ar cia, y ponerle á la cabeza del partido. zobispado, diciendo que se dan por no alegadas las cau…</t>
  </si>
  <si>
    <t>…a para que diese su dic SS. .MM. y AA. continúan,sin novedad en su importante salud. tamen. Se continuó la discusión del art. p.° del, proyecto sobre los aguar- - —El limo, y Rmo. Sr. D. Fr. Domingo Henares., obispo de Fresseiten, dientes para la isla de la Madera que estaba pendiente ; y después de una, coadjutor del vicariato apostólico de las misiones que tiene en el Tunlarca y acalorada discusión , se puso á votación; y habiendo sido des kin…</t>
  </si>
  <si>
    <t>…so libre de sus propiedades, que el va dirigido al venerable clero de su diócesis la pastoral siguiente: lor de sus pastos, el medio diezmo, la abolición de derechos de bor •» Nos D. Fr. Raimundo Strauch y Vidal, por la gracia de Dio»</t>
  </si>
  <si>
    <t>Fra'nciseb-</t>
  </si>
  <si>
    <t>…ronteras’déFPiimonte y del Milanesado. ’ . ’ ’ ’ ;* , , A la comisión de Haciénda se, mandaron pissíryina éxposictpn 3¿ c,~ i* ¡úntaprovisional ha comenzadosuítarea». "• _ - • ‘ ~ D. Fra'nciseb-;Ramos y León) alcalde ordinario que' fue de. la villa, de - -El PríncipeTÍegenteha publicado los dos decretos1 siguientes Monteilaño, í En de qué se le m3hde pagar*poir'lá tesorería, general lo 1.a ,.Garlos Alberto de Saboya &amp;c. Oida la junta provisional , fi…</t>
  </si>
  <si>
    <t>Fraile</t>
  </si>
  <si>
    <t>…Sr. Cepero manifestó) que solo debían hablar ¡os que impugnaran .Se mandó) pasar á la comisión de Milicias nacionales la indicación el dictamen de la comisión. de! Sr. Cepero. El Sr. Fraile, habiendo hecho algunas reflexiones sobre el dicta Jjí comisión de Legislación presentó los artículos relativos i in men de la comisión , fue de opinión que debería haberse pedido que te</t>
  </si>
  <si>
    <t>…y "el dé 19 el 5 de Abril. El 1.° da El Sr. obispo de Mallorca contestó á las reflexiones lieclias por el por casi dispersos los cuerpos de-egército de los. generales Carrascosa, Sr. Fraile. Ambrosio y I-'ilangieri; pero declara como fieles á las guardias Reales, El Sr. Castrillo: La comisión Eclesiástica á nadie cede en .el respe y éti virtud de esta fidelidad se recompensa á dicha tropa con alemanito y obediencia al supremo Pontífice , cuya au…</t>
  </si>
  <si>
    <t>…no hablaba en este plan de las provincias de América, habién cia, debían quitarse todos estos privilegios. dose tenido presentes algunas indicaciones que se habían hecho sobre El Sr. Fraile maniiestó que la comisión estaba en el mismo con este asunto. cepto que habia manifestado el Sr. preopinante; pero que creyendo se El Sr. presidente señaló la hora de las ocho de esta noche para se debia proceder con cierta política en este asunto, habia teni…</t>
  </si>
  <si>
    <t>…tes recibieron con aprecio varios egemplares de uña obra exclusivamente á la dotación del clero y del culto.” que seaba de dar á luz, y dedica á las Cortes, D. Agustín Alcaide, El Sr. Fraile, después de haber hecho algunas reflexiones sobre este vecino de Zaragoza. asunto, manifestó que á pesar de que el clero iba 4 experimentar una A la comisión de Poderes se mandaron pasar los presentados por rebaja en sus rentas, se veían las Cortes en la nece…</t>
  </si>
  <si>
    <t>…dicado el juicio dei derecho de terceroy que quiera reclamar contra determinada ■_señór preo'pinante. : ' persona-daños ó agravios de.cualquierardase con arreglo a las leyes. T El Sr. Fraile dijo : Por lo que. ha dicho el Sr. Sierra Pambley de por tanto.mandamos á todos los tribunales, y justiciasgetes, goberna bo manifestar que yo fui de la comisión Eclesiástica nombrada, para el dores y demás autoridades asi civiles como milituresy eclesiástica…</t>
  </si>
  <si>
    <t>…esolverse por una regla general, y conceda una plaza de teniente del resguardo. no mirarse como caso particular. Ala segunda de Legislación una solicitud de D. Antonio Sánchez, El Sr. Fraile dijo que opinaba que las Cortes debian mandar se pa para que en virtud del decreto de las Cortes de 6 de Agosto último gase á este interesado por la tesorería nacional por dos razones; prime se declare á su favor el grado de bachiller que le ha negado la univ…</t>
  </si>
  <si>
    <t>…que es unpumóifiteresantí- •' í-sDéspues de tma ligera discusión se aprobó este artículo. .simo para el comercio y para Ja marijjáí: : ;t - -Volvió la diputación de palacio , y el Sr. Fraile dijo : » S.. M. ha En Cataluña, Valencia, Andalucía y Galicia se dedica; un exce -recibido á la' diputación de las Cortes- con la bondad que le es ca sivo número de familias á esta industriayyirepartan una utilidad con- racterística.” --&lt;■ '■ siderable á la N…</t>
  </si>
  <si>
    <t>…de sujetarse han recibido los caudales de los respectivos ramos que han sido señala á cada uno de ellos.” dos en los presupuestos, y digan la inversión que se ha dado 4 ellos.” El Sr. Fraile hizo varias observaciones acerca de la naturaleza de Y otra del Sr. Quiroga: esta contribución , manifestando que no eran muy conformes con el ac » Pido 4 las Cortes se sirvan, mandar se diga al Sr. ministro de Ha tual sistema las pesquisas y averiguaciones q…</t>
  </si>
  <si>
    <t>…opresores de su pais, loi cuales rar, D. Manuel de la Turre y Rauri, D. Gabriel B.iiez, D. Andrés con su conducta para con los pueblos que han vencido , se han atraído Caballero , D. Fraile sco Crespo de Tejada; y por parte de este ayunta la execración eterna del género humano.” . miento á su regidor I). Joscf Francisco Muguiro Iribarren. La verdadera religión de Jesucristo, que reprueba la esclavitud, y en El Rey, satisfecho de la noble decisió…</t>
  </si>
  <si>
    <t>J ^£2 "Él Sr. Fraile apoyó el dictamen de la comisión, y para ello se fun ción de la Península , no para satisfacer-al Espectador , sino para im . dó en que el aborro de los gastos de dos ó tres provincias que podrían pedir que la Opinión pública pueda ser extraviada con noticias…</t>
  </si>
  <si>
    <t>…ijo haber padecido el se Gobierno, y que se conocen muchos abusos; mas sin embargo es bien ñor Yandiola. de notar que las Cortes en las dos últimas legislaturas han decretado suEl Sr. Fraile , despue» de haber expresado los gravísimos perjuicio* perabundantemente los medios para remediar sus necesidades, de ma que censaba la circulación de la moneda extrangera, se opuso al dicta nera que en lo que ha sido menester 70 las Cortes han decretado zoo.…</t>
  </si>
  <si>
    <t>…* del mismo justiprecio, es claro que el comprador con el 4 por 100 de 2y de junio. que paga en dinero podría pagar en papel un ; por too; ¡: .ro - -: es Se leyó el art. i.", y el Sr. Fraile dijo que en su opinión el eximir vti el.caso de que se rematé Ja .-&gt;.¡„:t por .t preci-, ¡oslo; y en ios Camas á las fincas adjudicadas ni Crédito público del derecho de 4 por-100 casos en .que no se remate la finta por .i m-,;. precio ei Dapai que se com era…</t>
  </si>
  <si>
    <t>Fraircistrazgos</t>
  </si>
  <si>
    <t>…00 rs. 7 : época en que sólo ios españoles se oponías £ sus' barbaros desig fin la provincia de la Mancha, procedentes dé maes nios,.'en este mismo láni'énfáble tíempóí ¿I español D. Fraircistrazgos , para cuyo primer remate, que se ha de efec- - éo Fomárés, residente e¿, lá 'ciudad de .Reúna,entregado aí es tuar en la ciudad de Almagro, se halla señalado el tudio deia geográfia y grabado ,;ie hallaba trabajando un inápa 21 del corriente. • ó ca7tá geogr…</t>
  </si>
  <si>
    <t>Fran</t>
  </si>
  <si>
    <t>…mio, y ei deseo que excitaron de ren y Ortuño, D. Ramón López y Arce, D. Josef Pul conocer la obra por entero produjo muy pronto una tra gar y Molina, D. Josef Pavía y Bermingham, D. Fran ducción francesa. cisco Tuero y Badillo, D. Mariano Lobéy Rabina, Don Muchos modernos se habían ya valido con buen suceso Joaquín Vallarino y Alaminos, D. Juan Alcalá Galiano y del método que refiere- á tres coordinadas triangulares ;a Be.mudez , D. Vicente S…</t>
  </si>
  <si>
    <t>…oria, procedentes del suprimido mes de Febrero, á D. Juan Fernandez Florez, D. Cesáreo monasterio de S. Prudencio, para cuyo primé'r rema Ampuero, D. Eduardo Pose, D. Ramón Hacha, D. Fran te, que se ha de verificar en la ciudad de Logroño, cisco y D. Antonio Falcó, D. Antonio Arévato, D. Josef esta señalado el dia 24 del presente. Aguilar, D. Santiago Irazabal, D. Josef Donesteve, Don Una casa en el arco de la Compañía de la ciudad de Baltasar…</t>
  </si>
  <si>
    <t>…ole parage del reino donde deba presentarse. la siguiente indicación: „Pido, que el informe de la comisión de• Bellas "Sé pasó i'li» de Legislación, con urgencia, una solicitud de D. Fran* arte, vuelva á la misma, para que con arreglo á las observaciones que cisco ^lop.so ..Caballero, nuevamente, nombrado juqz de primera ins hoy se han hecho, y oyendo á las personas qúe tuviere por convenien tancia de/^fpmblanc, en la provincia de Cataluña,. p…</t>
  </si>
  <si>
    <t>…liacia presente que estando dispuesto para los dias 23 siciones que hacia esta, y estaban concebidas en estos términos: y 24 del corriente celebrar honras por D. Juan de Padilla , D. Fran 1.1 Cesará de todo punto la prestación de dinero á Roma con mo cisco Maldonado y Juan Bravo en el pueblo de Villalar, y deseando tivo de bulas de arzobispados y obispados, de dispensas matrimoniales, los milicianos locales de dicha ciudad asistir armados á ¡a…</t>
  </si>
  <si>
    <t>…', profesor sustituto del derecho natural y de gen sus ligeros pies serán propios para la danza, y su blanda mano para tes en el colegió" de Francia, y traducidos por el ciudadanó D. Fran acariciar al objeto de su amor; pero-ni usará de aquéllo»para dar lar cisco Rodríguez de Ledesma, abogado del colegio de Madrid, ex-digas y penosas carreras, ni empleará estas en trabajos demasiado ásperos. putado de las primeras Cortes "ordinarias, y diputad…</t>
  </si>
  <si>
    <t>…salí al momento á rio hasta que salga a oficial. sostenerla. El enemigo-no resistió , sino se puso en precipitada fuga: ser A ¡a de Infracciones de Constitución una exposición de D. Fran guí su alcance, yen la venta de Gomiláz completé su derrota, logran cisco Rabo, quejándose de infracción cometida por la audiencia de do su total dispersión, después de haberles muerto como unos 25 Granada. hombro, y hecho prisionero» sobre 70, cogiéndoles 5…</t>
  </si>
  <si>
    <t>…de dicha ciencia, y la segunda solicitando la leyes. Entonces volvereis á vuestras montañas , valientes suliotas , y supresión de un tribunal; á la segunda de Legislación otra de D. Fran desde el levante de los meteoros de ICapha asistiréis al funeral del cisco Galido; á la especial de Hacienda otra de los fabricantes de taba imperio otomano.” En efecto parece que los suliotas son dueños ya de co de esta corte , relativa á su fabricación; y á…</t>
  </si>
  <si>
    <t>…IO. cho en Lóndres, y no fue reconocido por legítimo ni suficiente para el efecto en vista de lo que expuso el consejo de Estado. Atendiendo á los méritos y servicios del teniente general D. Fran En cuanto á la transacion que la comisión quiere dar por válida cisco Copons y Navia , y á su constante adhesión al sistema constitu para que la referida casa pueda continuar las seis espediciones, tiene cional, se ha servido S. M. , por decreto de 9 de este mes…</t>
  </si>
  <si>
    <t>…obó el dictamen de la comisión especial encargada disciplina de los escuadrones con la misma responsabilidad que los co del asunto de los 69 ex-diputados acerca de la solicitud de D. Fran mandantes de batallón en la infantería. cisco López Lisperguer, sobre que en atención á su deplorable estado y Art. 6.° » Que ios regimientos de Ultramar á su regreso formarán á los méritos contraídos antes de haber firmado la representación dirigi el quinto…</t>
  </si>
  <si>
    <t>…siderable en Rusia. No se videncia de visita: siga. darán á conocer por ahora mas que las sociedades sabias, propiamente Josef Figueroa, alias Peluca, remitido por el juez segundo D. Fran dichas, que trabajan en difundir los conocimientos útiles , y en per cisco Belloc en 20 de Octubre de 1820 por raterías y escándalos. Es feccionar la literatura nacional, sin que el Gobierno intervenga e» sus tado de esta causa. Recibida 4 prueba, y tomada po…</t>
  </si>
  <si>
    <t>…ución. Sus nombres y apellidos son D. Ramón Quintana, capitán: D. Dionisio Angulo , te Lisboa 26 de Junio-Sesión del 20. niente: D. Ildefonso Martínez, id : D. Juan Baricher, id.: D. Fran El Sr. Maldonado propuso que se crease una orden con el título de cisco García Aicaráz, id.: D. Josef López Pareja, id.: D. Josef Mar Orden de la Constitución para premiar á los beneméritos de la patria tínez Camacho, id.: D. Juan Megías, id.: D. Josef Abellan , id…</t>
  </si>
  <si>
    <t>…ural y el social, y de los de las naciones entre cimientos han tomado tal giro, que ya á la guerra política se ha agre sí: escrito para instrucción de la juventud por el ciudadano D. Fran gado el fanatismo religioso. Con efecto , las atrocidades cometidas por los cisco Rodríguez de Ledesma, ex-diputado de las primeras Cortes or turcos, no solo en gran número de griegos de distinción, sino también dinarias , y diputado en las actuales. .Esta ob…</t>
  </si>
  <si>
    <t>…rmada O. Diego Contador para la fhfstna secretaría sivamente, y el modo bárbaro de hacer la guerra, llevando por todas«le la Guerra, que hasta su llegada desempeñará interinamente D. Fran partes el latrocinio y la desolación han convencido al generoso ycisco de Paula Escudero; mi secretario de Estado y del tírspacha de magnánimo Alejandro que debia constituirse protector de la libertad yMarisa. Tcndreislo entendido, y lo comunicareis á quien c…</t>
  </si>
  <si>
    <t>…do para que no se aprobase el tonio Gallego Valcarcel; Doña Catalina Josefa de Paul , de Cádiz: proyecto que se discutía. el duque de S. Carlos; D. Henrique Croese, de Anisterdám; D. Fran El Sr. Moscoso impugnó el dictamen de la comisión en general, y cisco Joaquín Inarte, de Pamplona-, D. Francisco de Gorbea y sobri manifestó que las Cortes no debían discutir provincia por provincia, nos, de Madrid; D. Francisco Lozano; D. Francisco Javier García;…</t>
  </si>
  <si>
    <t>…. Josef Soiano, D. Josef María Salomón, D. Juan Mu necesidad y obligación en que se hallan de concurrir á impedir ios ma ñoz, D. Rafael Morete, D. Josef Saavedra, D. Josef Zafra , D. Fran les que ocasiona el contrabando; en la inteligencia de que cumpliendo cisco Manuel González, D. Juan Valderas, D. Pedro Gazapo , D Pe V. S. con esta resolución dará al Rey una nueva prueba de su zelo por dro Antonio Fernandez, D. Lino Castelo, D. Ramón Valgue…</t>
  </si>
  <si>
    <t>…... Parroquia de S. Luis , i,j electores. Dia 20............. ...... 2:..... ....... O.............. .. I...» ....... 3...... D. Berna'rdino Entillac, D. Domingo Fernandez Angulo, D. Fran cisco Orea, D. Josef Larreategui, D. Josef Perez Morales, D. Josef 7■ 5- 3- 34- Pío de Molina, D. Manuel García del Barrio, D. Marcos Cubilio, D. Mariano Valero, D. Nicolás de Puga, D. Pedro Matute, D. Ra Hay ademas cuatro sospechosos. fael Costa y D. Tomas P…</t>
  </si>
  <si>
    <t>…nombrados en este partido para elegir diputados á llamado el diputado en circunstancias extraordinarias para desempeñar Cortes para la siguiente legislatura son D. Martin Serrano, D. Fran otras funciones, y por una petición del poder egecutivo.” cisco Ferrer , presbítero; D. Juan Bautista Alber y D. Tomas Almenír. Varios Sres. diputados hablaren en pro y. en contra de esta .adición; Orihuela 8 de Noviembre. y p'ór'último se decidió que sé susp…</t>
  </si>
  <si>
    <t>…e la Hacienda nacional: obra escrita en italiano medio de circulares y carteles, suplicándoles en nombre del bien publi por el conde Verrl, y traducida al español por el ciudadano D. Fran co que no diesen ya limosna alguna por las calles, sino que enviasen cisco Rodriguez de Ledesma ,ex-diputado de las primeras Cortes ordi á la administración de la sociedad las cantidades que quisiesen emplear narias, y diputado en las actuales. Un lomo en 8.°…</t>
  </si>
  <si>
    <t>…, ^piares de las obseivaciones que rXrst.au en ei tribunal especial de Or todas las dificultades que podían ofrecerse. denes acerca dei código crimina;, remitidos por su individuo D. Fran El Sr. Zipata opino que podría decirse en el artículo : » Si la visi cisco Javier AJed. ta o registro se p acticase i virtud de denuncia, que se drberz hacer | Se mandaron pasar á la comisión de División de territorio una ex— por escr.to, constando el dia y hora en…</t>
  </si>
  <si>
    <t>…r para cuatro plazas de magistrados de la audiencia ter Nueva ai proyecto del código penal, remitido por el Gobierno de or ritorial de Sevilla á D. Pedro Santa Fe, D. Luis Huarte, D. Fran den de las Cortes en r8 de Junio de este año. Se hallará en las libre cisco García Chaves y D. Manuel Acosta; y parala segunda-fiscalía rías de Sari'z , de Novillo, de Brun y de Villa. del mismo tribunal á D. Antonio Osteret y Nario. Carta 20 del Compadre. Vé…</t>
  </si>
  <si>
    <t>Fran, Juan</t>
  </si>
  <si>
    <t>Juan Fran</t>
  </si>
  <si>
    <t>…r haber puesto preso á su (marido sin preceder las se celebrará muy pronto. La Princesa y su padre están ya en Florencia. formalidades prescritas por las leyes vigentes; y otra de D. Juan Fran cisco N., oficial retirado de la armada, quejándose de infracciones co PORTUGAL. metidas por el juzgado de Marina de Cartagena de Indias. A la de Legislación se mandó pasar otra exposición de varios far Lisboa y de Mayo. macéuticos de Zaragoza, proponiendo al…</t>
  </si>
  <si>
    <t>Fran-a</t>
  </si>
  <si>
    <t>…rancisco. Josef-Rodríguez Barata. =2 Comerciar e! un armamento general.” Se ve aquí ya que treinta mil napolitanos, pien teniente coronel de infamer-ia Francisco Josef de Faria-,. capitán Fran-a san disparar tiros contra cien mil austriacos; y que estos cien mil se mi cisco González Lima. Agricultura: -Juan, de Fonseca Freitás , Joséf ran muy,bien antes de llegar á las manos-con los treinta mil. No debe Rodriguez de Castro.= Nobleza: el .coronel de l…</t>
  </si>
  <si>
    <t>Francesco'</t>
  </si>
  <si>
    <t>…¿n Calahorra D. Miguel Abadía, en Canarias D. Francisco Guer . 10. Las lincas que estuvieren arrendadas continuarán por todo el ra Betcncour, en Cartagena -D. Bruno Egea, en Ceuta D. Francesco' presente año; y para el siguiente de 1822 se sacarán á nueva subasta, Iznardi , en Ciudad-Rodrigo D. Pedro Nicasio Domínguez, en Cór precediendo avisó de la junta con presencia de las noticias que á este doba O: Antonio Meras i en Coria D.. Tomas Sánchez del…</t>
  </si>
  <si>
    <t>Franch, Francisco Serra y</t>
  </si>
  <si>
    <t>Francisco Serra y Franch</t>
  </si>
  <si>
    <t>…art- 46 de ¡a ley Barcelona D. Narciso Sanz v de Rius. D. Ramón Saivato, abo orgánica del egército. Ei Sr. presidente dijo que quedaba sobre la mesa gado. D. Josef Elias, abogado. D. Francisco Serra y Franch. D. Agustín este expediente para la instrucción de ios Sres. diputados. Yañez. Igualada D. Josef Pascual, hacendado de Esparraguera. Maurera Entro i jurar y tomó asiento -n el Congreso ei Sr. la Bodega. D. Rimon Busar.ya, escribano de Alo y A Tarrasa D. Juan…</t>
  </si>
  <si>
    <t>Francini</t>
  </si>
  <si>
    <t>…n mente antes que se anuncie haber dejado de ser amigos. do si alguno tenia la culpa para que fuese castigado. El estado de Constantinopla continuaba siendo peligroso , particu El Sr. Francini expuso que hacia muy poco tiempo que el ministro larmente para los cristianos de todos los cultos, y aun páralos mismos ocupaba el ministerio, por cuya razón no era tan culpado como se le musulmanes, por los desórdenes que eran consiguientes. Ademas de que su…</t>
  </si>
  <si>
    <t>Francis</t>
  </si>
  <si>
    <t>…de sonatas alusivas al objeto, fue colocada la bande dictamen que habian manifestado algunos Sres. diputados acerca del ra en el balcón del ayuntamiento, el alcalde constitucional D. Francis asunto que se discutía, dijo que todavía se dudaba del estado de la dis co López Ingles arengó á la milicia y a! pueblo; y en seguida se sir cusión, y que no convendría con lo que indicó el Sr. Martínez de la vió á los milicianos un agasajo, prevenido por el…</t>
  </si>
  <si>
    <t>…sidente del tribunal civil de Ñipóles: D. Francisco Nicola tendido por ultimo "sus alas triunfantes y magestuosas, y llama para de Matteis , juez del tribunal civil de Ñapóles: el caballero D. Francis que se reúnan bajo su sombra á sus dóciles y queridos hijos. co Patrón!, secretario. :r » Nuestra cara patria tremola ya victoriosamente sus antiguas in Art. 3.0 « El secretario llevará el registro dé las deliberaciones de signias. la comisión, y escribirá én…</t>
  </si>
  <si>
    <t>…puesto se quejaba amargamente; pero todo Cádiz iy de Agosto. esto lo dice como anterior al nuevo virey, y concluye ¿dando esperan Ha entrado en este puerto el místico S. Cayetano, capitán Francis zas de ver frustrados los planes de S. Martin. co Perez, de Ayamonte, en lastre. Dice este patrón que enfrente de la En Francia no ocurre novedad, pues los asuntos de Turquía atraen barra de lluelva vió una goleta-insurgente, que traia un jabeque y un toda la…</t>
  </si>
  <si>
    <t>…con la misma claridad que la escritura conuin, que se en 1 ¡asley. (Véase gaceta de la Regencia del viernes 17 de Agosto de seña de orden y á expensas del Gobierno, compnesra por D. Francis 181c', núm 57, pag. 544). co (Te Paula Martí, catedrático del establecimiento público de Madrid: El Gobierno ruso, es decir, el Emperador Alejandro , después de re tercera edición , aumentada por el mismo autor con varias observacio conocer las ideas liberale…</t>
  </si>
  <si>
    <t>…S. para el debido cumplimiento. 29 mrs., remitida á la propia casa de Miquiiitorena hermanos, dada Madrid 19 de Agosto de 1821. en Hamburgo á 23 del próximo Marzo á uso y medio de D. Francis co Dormán, y su propia orden y cargo de los Sres. Vallaren y Viman VARIEDADES. hermanos, de Pamplona, al domicilio de los Sres. Galarza y Goicochea, también del comercio de giro de esta corte. Estas cuatro letras se En la gaceta de 30 de Agosto de 1820 public…</t>
  </si>
  <si>
    <t>Francis, Carlos</t>
  </si>
  <si>
    <t>Carlos Francis</t>
  </si>
  <si>
    <t>…a adhesión de los’ franceses, y recibimos las mas releva-tes quienes se halla felizmente en relación por los intereses de comercio y pruebas de su zelo por la causa de su legítimo príncipe Carlos Francis de alianza. co Napoleón; pero la presencia de vuestro^ egércitos nos impidió el -&gt; En fin, el infrascrito, remitiendo á S. S. los pasaportes pedidos, corresponder á ios deseos de aquella nación fiel. le reitera las protestas de los sentimientos de aItn consid…</t>
  </si>
  <si>
    <t>Francis, Casimiro</t>
  </si>
  <si>
    <t>Casimiro Francis</t>
  </si>
  <si>
    <t>…Seminario 29: en el de la D. Mateo Razóla, cura párroco de Navalmoral de Pusa; D. Fran Vireina .... en la Barceloneta .... Total 97. cisco Blas Garoz, vecino de Yébenes de Toledo; D. Casimiro Francis De orden de la M. I. junta municipal de Sanidad. = Francisco Su- co Benayas , vecino de Noves; D. Josef Sánchez Berrio, vecino de Vibirach, habilitado para su secretario. llalueaga ; D. Miguel Martínez Villaescusa, cura párroco de Guadamur. Parte del lazareto su…</t>
  </si>
  <si>
    <t>Francisca</t>
  </si>
  <si>
    <t>…antemano la memoria escrita por el general D. Josef Por la consignación del Sermo. Sr. Infante D. Carlos María 1.6509 rs. Espinosa. 4-° gastos de Cámara, de la Serma. Sra. Infanta Doña Francisca de Las Cortes quedaron enteradas de varias exposiciones que se han Asís 600© rs. 5.0 Por la consignación del Sermo. Sr. Infante D. Fran dirigido á las mismas participando haber pedido a S. M. se quedasen cisco de Paula 1.650© rs. 7.0 Para gastos de Cámara de la Serma. Seño…</t>
  </si>
  <si>
    <t>Francisca, María</t>
  </si>
  <si>
    <t>María Francisca</t>
  </si>
  <si>
    <t>…rporaciones que iban á cumplimentarlos, en la cual entró S. M., acompañada de las Serenísimas Señoras Infantas y que esto ocuparía mucho tiempo &amp;c., salieron dos Sres. diputados á Doña María Francisca y Doña Luisa Carlota y su respectiva comitiva. manifestar á la oficialidad que el Congreso agradecía su atención; con Un viva general del inmenso gentío que ocupaba las galerías salu lo que se levantó la sesión. dó la entrada del Rey en el Congreso; y habiéndose en seguida senta</t>
  </si>
  <si>
    <t>…falte á su pago ni en un solicitud del Sermo. Sr. Infante D Carlos María, para que se pagasen ápice? Habrá hombre que pagará mas de lo que debe soto por el desti á su Sra. Esposa Doña María Francisca los 8o9 pesos para joyas esti no que se le da á esta contribución. Y si no podemos qu-tar esta es pulados en las contratas matrimoniales : la comisión opinaba que debía pecie de opinión de los pueblos, y Van á pagar tal vez, tal vez tanto abonarse esta cantid…</t>
  </si>
  <si>
    <t>Francisca, Maria</t>
  </si>
  <si>
    <t>Maria Francisca</t>
  </si>
  <si>
    <t>…n " AI mismo Sr. Infame 80,000 pesos fuertes por la dote ofrecida en social y horrorosa invención de los déspotas, ya no existen. La huma el contrato matrimonial á la Sra. Infanta Doña Maria Francisca de nidad y Ja razón han recobrado sus privilegios. As ts. « Los diversos ramos de la administración pública van tomando ya Al Sermo. Sr. Infante D. Francisco de Paula el alcance que resul un nuevo aspecto, y la marcha de los negociases ya enteramente di te de…</t>
  </si>
  <si>
    <t>Francisco</t>
  </si>
  <si>
    <t>…e Borda acababa de inventaren Ja de D. Juan Giral; en Gibrahar en la del Dr. Don no prometía por su figura tatito como el teodolito; pero en Joaquín Robadelia; en Sevilla en la de D. Francisco su construcción . encerraba él principio de una precisión á Claucel; en Granada -en la de la viuda de Palacios; eri lo menos igual á la de aquel ; pero mas independiente de l»s Murcia en la de -D. Domingo Arco ; en Lorca en la de habilidad y talento del artis…</t>
  </si>
  <si>
    <t>…ra Rey la de constitucional. ma'eño, D. Juan Saíz Lastra, 1). Franeí-co Casarietto y Se procedió al nombramiento de cinco diputados para D. Mannel Gutiérrez; y ademas el ciudadano D. Francisco la comisión que debe establecer las bases de la Constitución, Serrano. y salieron electos los Sres. Fernandes Thomaz por 58 vo Y enterado S. M. del particular mérito contraído por tos, Ferreira de Moura por 47, Borges Carneiro por 23, todos los que han tenido…</t>
  </si>
  <si>
    <t>…Manuel: para el de Hacienda á D- Antonio barata; para el de art. i.° del reglamento de milicias nacionales; que se suspenda el artí Guerra á D. Tomas Moreno, y para el de Marina á D. Francisco de culo 13, abriéndose de nuevo el alistamiento voluntario; que las nue Paula Escudero. vas compañías que se formen, asi como las formadas hasta el dia, se Asimismo se leyó otro oficio del mismo Sr. encargado del minis completen con el número de oficiales, sa…</t>
  </si>
  <si>
    <t>…ue las tropas de la guarni . A la comision .de Hacienda se pasó una solicitud de Doña María ción uniformen sus sentimientos con el del vecindario y milicia 11a-. Saavedra, hija de D. Francisco, consejero que fue de Estado, sobre cional; que se pida al mismo señor gobernador de la plaza, oficie con que se la continúe la pensión que tiene asignada hasta" que las Cortes el señor comandante general del departamento para que los buques de señalen la viu…</t>
  </si>
  <si>
    <t>…isión de Hacienda se pasó el expediente sobre ciertas cial, por la cual se juzguen las .causas de atentados cometidos contra ■ ’ cantidades prometidas á los Sevmos. Sres. Infantes D. Francisco, de Pau la Constitución. A la y Doña Luisa Carlota en sus contratos matrimoniales. - . E! Sr, Cortés indicó que todos.los habitantes de Aragón , asi como Se pasó á la misma comisión un expediente promovido, por el se-, los de Valencia , pensaban de. aquel mis…</t>
  </si>
  <si>
    <t>…smo se aprobaron otros dos de la misma comisión: en el donde se hallan, su situación, procedencia, cantidades en que han sido uno proponía se accediese á la exoneración pedida por D. Francisco tasadas fiar ¡os peritos , días de los primeros remates, y pueblos Perez D__ del cargo de individuo de la diputación provincial por donde se verifican j d saber: sus notorias enfermedades , mandando que se presentase en su lugar el suplente; y en el otro prop…</t>
  </si>
  <si>
    <t>…ue deben subsistir en esta cia de los partidos de la provincia de Córdoba, en esta forma: para el villa y corte los conventos de Dominicqs.de nuestra señora de Ato de la capital á D. Francisco Do,a! y D. Josef Ruiz Manzano; para el cha ; de Carmelitas calzados, de S. Dámaso; de Carmelitas descalzos, de Bujalance á D. Andrés Gamez y Plata; para el de Baena á Don de S. Hermenegildo; de Trinitarios calzados, de la Santísima Trinidad; Antonio Pardo; para…</t>
  </si>
  <si>
    <t>…anías de \Van, Se mandaron pasar á la comisión de Legislación tres solicitudes: y tienen en cierto modo sitiada aquella fortaleza.' - una de I&gt;. Vicente Lorenzo Martinete; otra de D. Francisco -y-Doña Alaria del Carmen Olave, y otra de D. Víctor Xagandara y Rivas so PORTUGAl. bre dispensa de edad para manejar sus bienes. Se mandó insertar en las actas el voto del Sr. Carrasco, contrario Lisboa 10 de Marzo. i lo dispuesto por las Cortes acerca de se…</t>
  </si>
  <si>
    <t>…ándose de infracción contra el alcalde de dicho pueblo D.- Zeferino señoríos, y que de los 573 que-componen*, la provincia de Valencia, Abad. -' los 500 son de señorío. *; Otra de D. Francisco de la Vegaj cura, -y D. Ignacio González/ Dijo'asimismo que el estado en.rq.ue quedaban los pueblos cuando boticario de la villa de Pedro Bernardo , en que se quejan de infracción eran de señorío era* el de esclavos;.y:de. hombres, inútiles * para la so de Co…</t>
  </si>
  <si>
    <t>…o que está adeudando de lerías. la contribución del año de 1814. Se procedió á la ¿lección de presidente y secretarios, y quedaron A la especial de Hacienda pasó una exposición de D. Francisco elegidos para presidente el Sr. obispo de Beja, y para secretarios los Jiménez, contador principal de rentas de aquella provincia , propo Sres. l'olgueiras, Barroso y Mendoza Falcao; con lo que se levantó la niendo un plan administrativo de rentas, conforme á…</t>
  </si>
  <si>
    <t>…le continúe pagando una pensión que le concedió S. M.garantías que en favor del-: rito protestante deben acompañar á la con por la muerterde su primer marido el teniente de navio D. Francisco cesión que se haga á los católicos, hará desvanecer enteramente esta me Javier Quiroga en. el naufragio del bergantín Descubridor \ y otra de dida. Varios rumores se esparcen ya contra estas garantías; pero el lord D. Pedro. Layarria:, del comercio de Bilbao,…</t>
  </si>
  <si>
    <t>…de las aceñas 4.a Don Manuel Cesa, coronel, preso en 13 de Febrero; D. Juan indicadas, con su puente de piedra sillería de 6 ojos; una casa donde se Antonio Carrera en 15 de id.; D. Francisco de la Peña y IX Josef 7.aabriga el que lo posee , y efectos del mismo cañal, en 30® rs. gasti en 16 id.; D. Gerónimo Navarrete en 18 id.; D. Gregorio Gon Otro cañal mas abajo de las aceñas, titulado Valmayor, corriente zález Conde en 20 id ; D. Pedro Josef Co…</t>
  </si>
  <si>
    <t>…proramo sobre premios en las academias y colegios militares. dmeia de Búrgos se dijese á todos los distritos &lt;5 pueblos; y habiéndo A la de Hacienda una exposición de la viuda de D. Francisco se admitido á discusión quedó) aprobada. González Reinal, solicitando que en atención á los méritos de su No se admitió á discusión otra del Sr. Romero Alpuente, relativa difunto marido, ya su' avanzada edad, se le asigne alguna pensión con a que diesen cuent…</t>
  </si>
  <si>
    <t>…r esta exposición á la comidro: una consulta déla junta nacional del Crédito público, relativa ■&amp; sion’de Hacienda, para que oyendo al Gobierno, proponga lo que esuna solicitud de D. Francisco^ Fustagueras , vecino de Zaragoza, sobre - time conveniente á fin de evitar tamaños males; y asi se acordó. arriendo de encomiendas: otra de la misma junta, relativa á la solici Se mandó pasar á la comisión de Poderes una exposición de D. Jotud de D. Francisc…</t>
  </si>
  <si>
    <t>…rme á los principios y teorías en que La comisión de Poderes presentó su dictamen acerca de los presen se ha fundado la comisión. En primer' lugar es una consecuencia ab tados'por D. Francisco .Arroyo, diputado electo por la provincia de soluta v necesaria de los artículos que están ya aprobados; y en se Nueva Galicia, y opinaba deban aprobarse. gundo es de una necesidad indispensable. Aprobada la exhibición cíe Se aprobó el dictamen de ¡a comisión…</t>
  </si>
  <si>
    <t>…no que es menester tenar fortaleza rándose no estar estas comprínd-das en el decreto de 9 de Noviembre. para preservarlos de él. A la primera de Legislación otra representación de D. Francisco</t>
  </si>
  <si>
    <t>…ería, los pleitos de extrangería pendientes en ceta inclusive. el mismo tribunal por recursos de apelación ó súplica, han aprobado Pastoral que en 1797 dirigió á su clero el limo. Sr. D. Francisco dicha propuesta. Madrid az de Mayo de 1821.“Antonio de la Cuesta Javier Cabrera , obispo de Avila. Se vende en la librería de Sojo á 5 rs. y Torre, presidente. — Estanislao de Peñafiel, diputado secretario. — Diccionario de medicina y cirugía por D. Antonio V…</t>
  </si>
  <si>
    <t>…cienda el expediente dirigido al Gobierno por la ¡unta El Sr. Cepero apoyó el dictamen de la comisión , manifestando que nacional del Crédito público, y relativo á la solicitud de D. Francisco si las Cortes declaraban que estos canónigos eran regulares, y que esta Sánchez sobre que se comprenda en el decreto de supresión un hospi ban por consiguiente comprendidos en el decreto de la extinción de tal llamado de Belen. monacales, habría que cerrar la…</t>
  </si>
  <si>
    <t>…n, be le-un ñor ministro de la Guerra, relativo á la instancia del subteniente re tarán los diputados al entrar, permaneciendo sentado el presidente tirado con calidad de disperso D. Francisco z\vila, sobre que se le hasta que los Regentes lleguen al medio del salón. Delante y fuera del pagase lo que se le debia de sus sueldos en el año anterior. trono se colocarán las sillas correspondientes para el presidente de las El Sr. ministro de Ultramar re…</t>
  </si>
  <si>
    <t>…. El rigor leño , su compátíerol Providencia de visita: siga. . continuaba siempre contra las personas que hicieron tantas cosas apro Rafael Avala y Manuel Pinto, remitidos por el juez D. Francisco badas por el F-ey en una época , y consideradas como criminales en la Belloc en Abril de 1814 por robos en despoblados. Estado de esta cam actual. El príncipe Canosa, director de policía, era el dueño absoluto, sa. Recibida á pnieba. Providencia de visita: si…</t>
  </si>
  <si>
    <t>…causa. Para recibirse 4 prueba. Providencia de visita : siga. de Julio próximo, á las 12 en punto de su mañana, en una de las sa Francisco Rodríguez, remitido por el juez segundo D. Francisco las consistoriales de esta villa. Belloc en 2 de Agosto de 1810 por robo de unas bestias. Estado de Se halla vacante el magisterio de primeras letras del lugar de Naesta causa. Para recibirse á prueba. Providencia de visita: siga. (Se con- vahermosa, en la pr…</t>
  </si>
  <si>
    <t>…Pedron, 3 ferra Beleña, D. Pedro Otamendi, D. Juan Francisco Leston y Peña, Don dos y 4 cuartillos dí heredad , en venta 720 rs., y en renta 4 ferrados Francisco de las Barreras, D. Francisco -Címbrelo Rubio, D. LLamon de cebaba. En la veiga de tita. Cruz de Arriba, 4 ferrados de labor y de la Cruz y D. Beltran de Beaumont; ha determinado la junta guber monte, en venta 720 rs., y en renta 4 ferrados de cebada.__En la vet- nativa del mismo establec…</t>
  </si>
  <si>
    <t>…ntamiento, y de D. Manuel de lá Torre y Rauri, por lleguen á conseguirla, parece complacerse en publicar noticias desfavo el Banco nacional de S. Cirios, y para suplentes los Síes D. Francisco rables á los progresos de la insurrección griega: ella forja cartas de Sainz y D. Andrés Cantero. Vieni, que aunque desmentidas á cada paso por hechos incontesta En iguales términos quedaron también electos para directores entre bles, no dan sin embargo escar…</t>
  </si>
  <si>
    <t>…a D-Francisco Sánchez de Arco j en Badajoz O. Juán Amonio de aquella fecha , entregando las existencias i los comisionados prin Gallardo, en Earbastrb D. Pedro Coma , en Barcelona D. Francisco cipales en las provincias, con nota de los adeudos, de quienes recoge, Vasora, en Burgos-D. Miguel Pedrorena, en.Cádiz D. Josef.de,Ma rán cartas de pago intervenidas por los contadores. ría ,&lt;¿n Calahorra D. Miguel Abadía, en Canarias D. Francisco Guer . 10.…</t>
  </si>
  <si>
    <t>…Sojo, y escriban a de número de la misma de D. Tomas Ma nar las ideas liberales ó ponerlas en ridículo, estas no han podido me ría Manrique, pende la dimisión de bienes hecha por D. Francisco nos de cundir por todos los pueblos cultos de la Europa , tomando el Ameller, vecino y d i comercio de esta corte, en la que á instancia ascendiente que les daban las luces de! siglo. El amor á la justa libertad de uno de los acreedores, se ha señalado para c…</t>
  </si>
  <si>
    <t>…aun. hoy en, dia el mejor parage para fun cuyo poder se hallen ó sepa su paradero los entregue en la tesorería dar una capital. mayor de la Nación , ó á su apoderado en usía corte D. Francisco de El puerta .de Navarino, en la Mesenia, iguala ó sopera.al de.Nápo- Paula Fernandez y Rosees , ministro honorario de la hacienda pública les en extensión, en seguridad y en ventajas militares; pero sus con de Ultramar , y oficial de la principal de renovación y e…</t>
  </si>
  <si>
    <t>…, relativa al estable cio apostólico , acreditado al efecto por S S. cerca de mi corte, en la cimiento de cumisiunes de vecindario en todos los distritos, causa en los persona del Sr. Francisco cerra, de la familia ducal de Cassano, arzo habitantes la mayor satisfacción , y presenta otra prueba mas de las dis bispo de Nicea &amp;c. posiciones verdaderamente populares que caracterizan á nuestro Go jj Al mismo tiempo para evitar cualquiera mala interpreta…</t>
  </si>
  <si>
    <t>…perfumes orientales, le vistieron una rica pelliza de samur, que concluyo que las Cortes deben preferir á Vigo para capital de esta y haciéndolo de otras cuatro algo inferiores al secretario D. Francisco provincia. Pvrez , al caballero D. Juan Mazarredo, que se halla en aquel país co El Sr. Quiroga dijo: Que apelaba á los mas imparciales para que mo viajante, á D. Salvador de Cea Bermudez, hermano del ministro</t>
  </si>
  <si>
    <t>…omisión , como se ha hecho con otros asuntas.” D. Josef Matías Eguizabal. Después de un breve debate no se admitió á discusión. En la de Granada: para la judicatura de Torbiscon á D. Francisco El Sr. presidente nombró para la comisión de Hacienda al Sr. conde Gómez Jalón. de Toreno. En la de Vizcaya: para el partido de Guernics á D. Vicente An El Sr. presidente dijo que mañana se seguiria la discusión de fa tonio de Oquendo. nueva división del territorio…</t>
  </si>
  <si>
    <t>…a ciudad de Jerez de la Frontera D. Antonio Basilio de Acos aflicadas al Crédito público para pago de ia dezeda nacional en la ta, librado por la escribanía déla misma al cargo de D. Francisco de provincia de Burgos , cztyo primer remate se ha de verificar en la villa Paula Ardisone , se ha mandado por providencia de 22 del corriente, de Briviesca, trascurridos 30 dias, contados desde hoy. refrendada por el escribano del número D. Donato Nuñez, cit…</t>
  </si>
  <si>
    <t>…notan en el hombre más vulgar. Parroquia de S. Gines, 8 electores. ¡Qué marcha tan augusta es la de un corto número de ciudadanos, Don Antonio Osteret, D. Francisco de Travesedo, D. Francisco depositarios ya de la confianza de sus convecinos , caminando al tem Antonio Pando, D. Francisco Izquierdo, D. Josef Brun, D. Matías plo á implorar del Altísimo que ilumine su entendimiento y separe de lavin, D. Ramón Adan y D. Ventura Rubio. él la pasión ó e…</t>
  </si>
  <si>
    <t>…y para evitar mayores licencia entraron en la sala consistorial los dos comandantes de Ja mi males , cesaba en todas sus funciones con el mayor gusto , consideran licia voluntaria D. Francisco dei Rey y D. Pat ic o Domínguez, do este pequeño sacrificio en muy poco .cuando de él resulte ia paz y acompañados de algunos oficiales é individuos de la misma milicia vo tranquilidad, tanto de los que lo han solicitado, como de este heroico luntaria, tanto…</t>
  </si>
  <si>
    <t>…• Li-En la junta, electoral de partido han sido’ electos lós Sre».- D.Joa-J » En Cuanto 'i ios jprbgresos dé la guerra: entré:turcos y griegos paquin'de Frías, por S. Fernando; y D. Francisco delTÍbarren-,:D. Se^ rece-que esta se^ostierieeon vent,aja:i favor dedoa últimos. : jgismundo Moret y’D. Josef Benjumeda, por Cádiz. .- ' ! ‘ n En Sicilia continúa el espírítuode-rermiutaoron yi descOntento ge-r ;_Ha entrado en este puerto el místico S. C.tyt…</t>
  </si>
  <si>
    <t>…de ministro de la audiencia de Aragón á D. Josef María en renta uno__ Otra en el mismo término y sitio , de cabida 1 hemiPuig: para una de las dos fiscalías de la de Valladolid á D. Francisco nas, en venta 24 rs., y en renta un real y 17 mrs—Otra tierra en el Crespo Rascón; y para otra de las dos fiscalías de la de Sevilla á Don mismo término, al sitio de las Quemadas, de cabida una fanega , en Manuel Antonio Caballero del Pozo. venta 60 rs., y en…</t>
  </si>
  <si>
    <t>…se aprueba por esta vez la providencia dada por el de Portugal, hacemos saber á todos nuestros súbditos que las Cortes han intendente de Galicia, cancelándose la fianza que prestó D. Francisco decretado, y Nos sancionado la siguiente ley ó decreto, f Aqui el texto Barrier. literal de ella.) Por tanto mandamos á todas las autoridades civiles, Quedó aprobado este dictamen, y continuó la discusión del pro militares y eclesiásticas que cumplan y hagan…</t>
  </si>
  <si>
    <t>…la provincia de Jaén. D. Manuel Ventura Gómez , prior del iP La revocación del art. 20 del decreto de 29 de Junio que trata Castellar; D. Pedro Litio, capitán del i.° de Cataluña; D. Francisco del derecho de registro. Javier Perez de Vargas, marques de la Merced. Suplente-. D. Juan 2.0 Que en el art. 97 del mismo decreto está comprendida la ex Francisco Martínez de Albear, magistral de la colegiata de Ubeda. cepción absoluta dei derecho de registro…</t>
  </si>
  <si>
    <t>…a yo figurarme que en el Congreso nacional se me hiciese viendo al general Copons, gefe político en aquella época, poTque pare cargo de haberse removido al gefe político de Madrid D. Francisco ce no accedia á su» intenciones , y nombrando al Sr. S. Martin , que no Copons. Jamas dije al general Copons que cerrase la sociedad de la solo accedió , cerrándose la sociedad patriótica de la Fontana, sino que Fontana; y si le hubiese dado orden para ello ,…</t>
  </si>
  <si>
    <t>…usa recibael exhor ■Filero; cuyo impreso se denunció el día 3 de Agosto próximo pasado to mandará entregar ios autos al procurador que hubiese nombrado el por D. Bartolomé Oteíza, D. Francisco i’au'a Navascues, D. Norberto reo , y no habiéndolo hecho este , al que le nombrará de oficio inme del Valle, D. Ignacio Armendariz, D. Blas Martínez y D. Basilio diatamente, con encargo de que en el correo próximo siguiente remita Torres, encargados de la cu…</t>
  </si>
  <si>
    <t>…erra, se ha mandado citar á los herederos é interesa te constitucionales y patrióticos de la misma corporación y de los ha dos que puedan resultar en la referida herencia de dicho D. Francisco bitantes de aquella población. Sierra, abad que fue en el extinguido monasterio de S. Pedro de Te » Dios guarde i V. E. muchos años. Zaragoza t8 de Diciembre de norio en el referido partido, para que dentro de 30 dias concurran á i 821—Excmo. Sr—P. A. del G.…</t>
  </si>
  <si>
    <t>…uyo privilegio original ti ARTICULO DE OFICIO. ha extraviado; y por tanto se suplica á la persona en cuyo poderse halle •se sirva remitirlo, ó avisar para que se recoja , al mismo D. Francisco en El Rey ha expedido el decreto siguiente: la ciudad de S. Lucar de Barrameda, ó en Madrid á D. Manuel Hila D. Fernando vil por la gracia de Dios y por la Constitución de rio de Zapatero, secretario contador del mónte-pio de oficinas naciola Monarquía españo…</t>
  </si>
  <si>
    <t>Francisco, Félix</t>
  </si>
  <si>
    <t>Félix Francisco</t>
  </si>
  <si>
    <t>…su patria , y merecie En el juzgado de primera instancia de k ciudad de Coria , en Ex ron el nombre glorioso de héroes ; y los últimos tienen todavía que re tremadura, por ante mi D. Félix Francisco de la Peña se ha denuncia conquistarla. Su territorio está reducido como el de los primeros godos do por mostrencos un capital de censo importante io® rs. vn., impues refugiados, á algunos pueblecitos de la Tesalia, llamados clefta charla to sobre una casa, s…</t>
  </si>
  <si>
    <t>Francisco, Josef</t>
  </si>
  <si>
    <t>Josef Francisco</t>
  </si>
  <si>
    <t>…o La comisión de Poderes presentó su dictamen acerca.de los pode nes presentadas en las Cortes al tiempo de discutirle, no solamente los res de los Sres. Navarrete, Reyes, Guerra (D. Josef Francisco) y atrasos que;podian ocasionar á las respectivas-carreras de los diputa Sánchez Pareja, diputados por las provincias de Ultramar; y habiéndo dos, sino el perjuicio que podría sufrir el público, porque muchasdé los examinado, era de parecer podían aprobarse.;…</t>
  </si>
  <si>
    <t>…les no podría subyugar á aquellos ha te, Arroyo , Montoya, Apartado, Ramírez (_ D. Josef Miguel), bitantes, cansados ya del despotismo. Hacían presentes ademas los varios Guerra f D. Josef Francisco), Sánchez ( D. Josef Domingo), Ayestaartículos de la Constitución que eran impracticables en las provincias rán, Mendez, Dávila, Sánchez Pareja, Castoreña, Conde, Arguello, de Ultramar, y en su consecuencia proponían á las Cortes las proposi Castro, Amati, Pu…</t>
  </si>
  <si>
    <t>Francisco, Juan</t>
  </si>
  <si>
    <t>Juan Francisco</t>
  </si>
  <si>
    <t>…ra Instancia de Hinojosa de la Serena, vindicándose de la queja respondiente del monte pío, á cada uno de los ex-secretarios del Des dada contra él por D. Manuel Suarez; y otra de D. Juan Francisco pacho consejeros honorarios de Estado D. Evaristo Perez de Castro, Aguado y D. Esteban Cabañez, vindicándose de una queja dada contra D, Agustín Argfieiles, D. Ramón Gil de la Cuadra , D. Manuel Gar ellos por D. Tiburcio López. cía Herreros, D. Josef Canga Ar…</t>
  </si>
  <si>
    <t>Franco, Castalio</t>
  </si>
  <si>
    <t>Castalio Franco</t>
  </si>
  <si>
    <t>…sus hijos! ben avergonzarse de ceder &amp; 10, ni io a 50; concluyendo con decir Gloríense pues do estas medidas tan justas como piadosas; y espe que se conformaba con el parecer del Sr. Castalio Franco. rando el tribunal se instruya cada uno del ofrecimiento ingenuo -y Algunos Sres. diputados manifestaron que no se habia adoptado la sincero que tiene sancionado con su comercio en la enunciada junta palabra única antes de la de religión, porque se deseava ha…</t>
  </si>
  <si>
    <t>Franco, Castillo</t>
  </si>
  <si>
    <t>Castillo Franco</t>
  </si>
  <si>
    <t>…rto. niendo varias dudas sobre la calidad y naturaleza de ¡es híenes en » Estamos por consiguiente llenos de aflicción en todos sentidos, cuestión. La discusión fue muy viva, y el Sr. Castillo Franco d lo y lo peor es que no esperamos consuelo si no nos viene de ese país.'” entreoirás cosas , que se trataba ya de la venta de lo« bienes, sin sa El contenido de esta carta demuestra bastante lo» patrióticos y lea berse aun cuáles habían de ser, y llamó la at…</t>
  </si>
  <si>
    <t>Franco, Francisco</t>
  </si>
  <si>
    <t>Francisco Franco</t>
  </si>
  <si>
    <t>…imaros dél mismo Josef-Aguile nicado inserto en el núm. 98 del Espectador, denunciado en 21 de Ju ra.^: Antonio Béch—Por la-de cabos segundos1 Franco G^niez:=Sebas- nio último por D. Francisco Franco la ley absolvió á D. Cayetano tiaií Marijues.zrPor lá dé soldados Pedro SaIazar.=Juán ValIes.énCapi- Mordella, responsable de dicho artículo; en cuya consecuencia se mandó tari -Joiquin de Córdoba.mPor lá clasede soldados de Gerona Manuel alzar la fianza que…</t>
  </si>
  <si>
    <t>Franco, Joaquin</t>
  </si>
  <si>
    <t>Joaquin Franco</t>
  </si>
  <si>
    <t>…a clase de profesiones. los premios á que se han hecho acreedores varios ciudadanos, relativo i.J » El que pretendiera dar á su enseñanza privada la autorización á la solicitud de D. Joaquin Franco: opinaba la comisión debía reco conveniente para: la recepción de grados y egercicios de profesiones con mendársele al Gobierno para que le diese , un destino conforme á sus sola lá condición de examen y aprobación, se presentará previamente circunstancias, y…</t>
  </si>
  <si>
    <t>Franco, Pedro</t>
  </si>
  <si>
    <t>Pedro Franco</t>
  </si>
  <si>
    <t>…stritos ó pueblos que permitiesen en su seno la permanencia de ios A la de Guerra un plan para arreglo de academias, presentado por facciosos, cuya circunstancia debia expresarse. D. Pedro Franco, y varios trabajos hechos por el Sr. ministro de este El Sr, conde de Toreno convino en que en lugar de decirse la proramo sobre premios en las academias y colegios militares. dmeia de Búrgos se dijese á todos los distritos &lt;5 pueblos; y habiéndo A la de Haci…</t>
  </si>
  <si>
    <t>Franco, Soares</t>
  </si>
  <si>
    <t>Soares Franco</t>
  </si>
  <si>
    <t>…mañana, y durarían cuatro horas, y mas si fuese ne habia sido de Negocios del reino en el anterior gobierno, cesario. le parecía conveniente hacer una exposición del estado en El Sr. Soares Franco presentó y leyó un proyecto de que se hallaba el país, y pidió licencia para leerla, pues ley sobre la libertad de imprenta. habia varias circunstancias que podían ilustrar ia discusión También leyó el Sr. Fernandez Thomaz la segunda Dar por las relaciones me…</t>
  </si>
  <si>
    <t>…iese consejo de niéndoles las reglas que con arreglo á la ley de 2; de Octubre próximo Estado. ' - ■ - pasado deben observar para la elección de sus prelados, y exhortándolos ; El Sr. Soares Franco propuso que el consejo no fuese tan- numeroso ■ á la paz y á la tranquilidad, propias de su'profesión',' yáMá'jüsti obe como el de España; y que siendo éste-de 40 personas; debería ser eE diencia alas sabias-disposiciones del ilustrado Gobierno da S. M. nuest…</t>
  </si>
  <si>
    <t>…negociaciones importantísimas. Aseguran que el objeto de una los límites eutre el imperio y el sacerdocio. de estas proposiciones es que se den al público todos los documentos El Sr. Soares Franco, explicando el título i.° de dicho reglamento presentados en la Dieta. El nuevo presidente de la comisión dd Elba, llamó la atención sobre el art. 45 , en el que dijo se habían previsto que es el plenipotenciario de Austria, ha recibido órdenes terminantes lo…</t>
  </si>
  <si>
    <t>…S.----Sesión del 20. La comisión militar dió su dictamen sobre varias solicitudes que Leída y aprobada el acta, se continuó 1^ discusión de los proyectos se le habían pasado, y el Sr. Soares Franco presentó en nombre de la de ley relativos á Hacienda. comisión un plan relativo á cómo se ha de recibir á S. M. ó á algu ' Mr. de Vil lele tomó la palabra, y pronunció un largo discurso en na persona de la Real familia cuando se presenten, y reducido á que re…</t>
  </si>
  <si>
    <t>…Janeíro. torios al reglamento. El Sr. Travásos presentó un proyecto sobre estadística del reino de Air Glivier iba á subir á la tribuna, cuándo el centro y lá dere Portugal, y el Sr. Soares Franco leyó un proyecto de decreto para pro cha pidieron que se cerrase la discusión; y asi sé acordó. hibir lá introducción de aceite en el reino. En seguida dijo el presidente que estaba reservada Ja palabra para Uno de los señores individuos de la comisión de Leg…</t>
  </si>
  <si>
    <t>…imprimir vas exclamaciones á la derecha y en el centro; muelles vocales clan vo en ei diario de Cortes. ces confusas, y varios diputados del lado izquierdo piden que se guarde El Sr. Soares Franco presentó un proyecto para que se extinguiese silencio.) el tributo llamado voto de Santiago, en ¡a provincia di Tras ios Sien El orador prosiguió diciendo: No es de admirar que los pueblos que tes, el cual se creia establecido por el lLey .Ramiro 1, y era una…</t>
  </si>
  <si>
    <t>766 da del examen del proyecto de ley sobre la organización municipal. El Sr. Soares Franco dudaba en qué tribunal debería ser juzgado Mr. Gira'rdin se opuso á la petición, diciendo que no podía menos el delincuente, y á quién correspondía mayor castigo, si al escritor de-admirarse de que se-propusiese ‘ el restablecimiento de los gremios, - ó -al-J…</t>
  </si>
  <si>
    <t>…í. « Este fatal Se continuó la discucion delart. 59 del proyecto de Constitución, suceso, le dijo, está escrito en el libro del destino: ¡qué podemos ha que estaba pendiente, y el Sr. Soares Franco demostró que sobre la cer nosotros, míseros mortales, contra la voluntad de Dios:” época en que se habían de instalar las Cortes se habían manifestado dos Selim .le oyó con serenidad , v viendo,que era Inútil'toda' resisten opiniones , pues unos querían que f…</t>
  </si>
  <si>
    <t>Franco, Soaves</t>
  </si>
  <si>
    <t>Soaves Franco</t>
  </si>
  <si>
    <t>…cretario, leyó el acta del día anterior, Janeiro . La noticia de los gloriosos acontecimientos de esta que se aprobó. ciudad hasta el día &gt;6, que llevaba dicho correo, causó en El Sr. Soaves Franco propuso que las Cortes decretasen: general la mayor satisfacción, y todos se abrazaban unos á i.° Que los actos de los días 24.de Agosto y 15 de Setiem otros como si fueran hermanos. —— Dícese que se apresta el bre se declaraban legítimos. 2.0 Que los héroes…</t>
  </si>
  <si>
    <t>Franco, Suarez</t>
  </si>
  <si>
    <t>Suarez Franco</t>
  </si>
  <si>
    <t>…quisiera poder manifestar,con toda la clari del Sr. Alvés^del Rio sobre abolición de ciertos privilegios, dad y energía que desea los sentimientos de gratitud y reco manifestó el Sr. Suarez Franco que habla formado un pro nocimiento por el alto y dtiicil encargo que V. M. se ha ser yecto mas extenso, que leyó, y comprendía los privilegios da vido confiarle, el cual les haría estremecer á vista de sus hornos, molinos, lagares , aguas &amp;c.; el cual se pas…</t>
  </si>
  <si>
    <t>…estro no tenia otro .obje NOTICIAS DEL REINO. to que el de obligarles á pagar los perjuicios que habian causado á las propiedades y comercio de la nación. Madrid 17 de Febrero. El Sr. Suarez Franco pidió que el poder egecutivo diese SS. MM. y AA. continúan sin novedad en su Impor una razón de los males que habian causado para obligar á tante salud. los referidos enviados á que pagasen lo correspondiente. S, M. ha despachado hoy con el Sr. secretario del…</t>
  </si>
  <si>
    <t>…urango, en que rancia, y votando contra el veto absoluto y contra la segunda Cámara. dice han sido contrariadas en Vizcaya las órdenes del Gobierno, que Siguió la misma opinión el Sr. Suarez Franco , manifestando que mandan no haya puestos públicos , y que no se entierren los cadáveres el veto absoluto no se le daba al Rey, sino á sus ministros, los cua en las iglesias, á pesar de haberlo hecho presente al Gefe político de les podrían inducirle á que ab…</t>
  </si>
  <si>
    <t>Franklin</t>
  </si>
  <si>
    <t>…o. Ni ha habido __Se ha sabido en el almirantazgo que la expedición del Norte , envia personas que me hayan propuesto pedir á S. M. la deposición del mi da por tierra al mando del teniente Franklin, habia regresado á la nisterio, ni por consiguiente he tenido que darlas respuesta de ninguna misma costa en donde desembarcó la primera vez. Dícese que ha he especie. Fui al sitio porque deseaba ver aquel suntuoso edificio , y en élá cho descubrimientos muy…</t>
  </si>
  <si>
    <t>Franklin, Bub-</t>
  </si>
  <si>
    <t>Bub- Franklin</t>
  </si>
  <si>
    <t>…ía resistirles con sus g3,.aun cuando estos le fuesen me á que la probara. Contestóle Mr. Hume, recordándole el asunto de adictos, y habiéndose puesto de acuerdo algo antes con el general Bub- Franklin y la conducta del Gobierno en aquel caso , y le preguntó si na, cuyas tropas se hallaban al otro lado del Tesino, hizo que llegasen se podría creer que Mr. Sydmouth no conociese á Franlcliu ni sus pro los austríacos. Los 83 piainonteses , en lugar de hallar e…</t>
  </si>
  <si>
    <t>Franpublicación</t>
  </si>
  <si>
    <t>…líadalid. A D. Domingo de Santa Alaría ,X&gt;.An■ de ocho los que'permanezcan fuera de ella'; contados desde eL día de su -tonio Apéllaniz , :D; Santiago Zapata., D. Antonio Bringas, D. Franpublicación y por conducto de siis gefés; á lós-inspectores de las armas, -cisco Vicente Yáñez y D.; Tomas Arizmendi. ,quienes remitirán relaciones nominales á-esta secretaría dél Despacho de Idem de Granada.. D. Josef López de Gozar, D. Juan Agustin de mi cargo al fin d…</t>
  </si>
  <si>
    <t>Franques, Lorenzo</t>
  </si>
  <si>
    <t>Lorenzo Franques</t>
  </si>
  <si>
    <t>…er aquellos que intenten cerrar las Encalados. Bergantín Esperanza, D Pablo Domerech ; polacras, puertas del templo de la justicia á las reclamaciones sagradas de todo S. Antonio, D. Lorenzo Franques; Carmen, D. Valero Buera; bom un purblo , y á la hollada magestad de las leyes! (_ Morning Cronicle.) barda Virgen del Buen tire, D. Juan 'íriay: pingüe sardo Virgen .—Parece que el Courrier cree que porque es lícito á un particular cuan del Rosario, D. Juan…</t>
  </si>
  <si>
    <t>Fransini</t>
  </si>
  <si>
    <t>…dos seguir una su*" Gabinete , son para ellos otras tantas lecciones sangrientas. Por otra misma suerte. parte, escribiendo al mismo tiempo para tantas naciones rivales , y por El Sr. Fransini manifestó que el asunto era arduo y de mucho tra decirlo asi, á gusto de sus magistrados , Ies debe ser imposible la ma bajo , porque liabia que combinar los intereses de la Hacienda con la yor parte del tiempo el hacer rellexlon/s políticas, que acaso desagr…</t>
  </si>
  <si>
    <t>…to es sumamente interesante á una por Sesión de Cortes del 27. ción de familias que tienen varios créditos procedentes de caudales que Se empezó la discusión de la proposición del Sr. Fransini, para que entregaron á esta junta, y que Jos reclaman con justicia. El origen fue se suspendiese la providencia d.ada arbitrariamente sobre pensiones. EL que en el año de 1811, no-bailándose con caudales el Gobierno para Sr. Alves do Icio habló largamente-en…</t>
  </si>
  <si>
    <t>Franz, Juan</t>
  </si>
  <si>
    <t>Juan Franz</t>
  </si>
  <si>
    <t>…a hasta otro recargo que el de ios precisos gastos y derechos hasta ei almacén, que los han molido á palos! ¡Creeis acaso que vuestro coche hubiera á cuyo efecto se entenderán con D. Juan Franz, dueño de dicha fonda. pasado el Pruth, si yo no los hubiera estado apaleando toda la noche __A mas de las calidades anotadas se fabricarán por cuenta de quien hasta vuestra llegada á la orilla del rio ? los pida todas las clases que se quieran en lá de fino…</t>
  </si>
  <si>
    <t>Franzini</t>
  </si>
  <si>
    <t>…cias para para dicho establecimiento; y conociendo que puede ser de mucha uti« descubrir los incendiarios. tidad , opina que se le debe autorizar para que lo ponga en planta. : El Sr. Franzini, después de pintar el horror del incendio,, y de ex El de la de Guerra, relativo á una indicación del Sr. Solaíiot! la poner que aunque se había manifestado por cuatro puntos distintossu Comisión opinaba que las Cortes podían servirse declarar que han oido ma…</t>
  </si>
  <si>
    <t>…raso considerable, y es tanto mas dia que no se tocasen estas alhajas que S. M. habia dado para el banco. perjudicial cuanto que el sistema de Hacienda depende en gran parte da Él Sr. Franzini manifestó que si podia haber algunos diamantes la actividad y energía que sedé al Crédito público; por estas razones que fuesen de la nación, también se veia por el decreto de S. Al. de he hecho la siguiente indicación: v Que las Cortes, con suspensión pot 23…</t>
  </si>
  <si>
    <t>…en Jimio con muchas copias dd mismo libro ; con una obra greso de lo que hubiera pasado i asi se aprobó. intitulada'Deberes sociales, qué sédió á luz ert ¡816, á expensas déla El Sr. Franzini hÍ2o una proposición para qüe se declarasen dignos instrucción pública; con ciertas cartas manuscritas ¡ con varias obras del mayor aprecio ei pueblo y tropa de Lisboa y sus gefes; pbr la con de autores franceses, sin exceptuar cuatro tomos del Buffbri, y con…</t>
  </si>
  <si>
    <t>…la comisión per 64 votos llas expresiones enérgicas que caracterizaron después la elocuencia de contra 24. Bonaparte. El segundo,tomo de las obras podrá darse al público en ios El Sr. Franzini dijo que habiendo deliberado el soberano Congreso primeros días de Agosto. con tanta justicia sobre este asunto, era también justo que señalase aho __El establecimiento del regimen constitucional en Portugal ha con ra una pensión al citado ex-brigadier mientr…</t>
  </si>
  <si>
    <t>Frar</t>
  </si>
  <si>
    <t>…te año; res D. Joaquín Somoza , D. Jaime Prito, D. Antonio Vázquez , D. Jo S. M. ha tenido á bien mandar que V. S. recuerde de continuo á las sef de la Torre, D. Hilario Nogueras, D. Frar cisco Balct, D. Cipria autoridades dependientes de ese gobierno político de su cargo la urgente no Aragón, D. Josef Soiano, D. Josef María Salomón, D. Juan Mu necesidad y obligación en que se hallan de concurrir á impedir ios ma ñoz, D. Rafael Morete, D. Jose…</t>
  </si>
  <si>
    <t>Frei</t>
  </si>
  <si>
    <t>…o qué esto era un nuevo motivo de júbilo pa á principiar de r.nevóla"Instarla de nuestras calamidades! ¡Tendremos ra celebrar la publicación de las bases de la Constitución ; y el Sr. Frei un nuevo 31 de Mayo, un 18 Fructidor, un.18 Brtnnario! No, semer ré añadió: q-Démonbs el fatablen por haber librado en este momento jantes atentados son ya imposibles, porque'‘és'blen sabido que la yto- á la nación de un gran mal; y ya es tiempo que la librem…</t>
  </si>
  <si>
    <t>Freí-</t>
  </si>
  <si>
    <t>…des Thomaz dijo que convenía pasar á tratar de las y liberales. í.a néndijo y celebró' la misa con asistencia de todos bases de'la Constitución, como el objeto mas interesante. El Sr. Freí- los ri capitulares, del ayuntamiento constitucional, del clero se re indicó que seria necesario hubiese sesiones extraordinarias, como ya cular y regular de toda la ciudad , y de un inmenso concurso, el doc lo habia dicho en otra ocasión , y el Sr. Al ves do…</t>
  </si>
  <si>
    <t>Freile, Juana Caldera</t>
  </si>
  <si>
    <t>Juana Caldera Freile</t>
  </si>
  <si>
    <t>…deses, boticario. En Córdoba en la de D. Josef Parroldo, les sobre qué se fuñdáron los dos patronatos, mandados fundar del comercio. En Toja en la de Francisco Sargatal , id. por Doña Juana Caldera Freile, hija de la Doña Beatriz, en el En Burgos en la de D. Paulino Alegría, de id. En Santia convento que fue de Sta. Clara de esta corte; y á cuyo goce y go en la de D. Antonio Stolle, de id. En Barbastro en la obtención de dichos patronatos está reservado igualm…</t>
  </si>
  <si>
    <t>Freir-e</t>
  </si>
  <si>
    <t>…dictamen de la comi de ceñir la corona.” Hemos dicho en algún modo, porque aun no nos sión sobre señoríos. atrevemos á d.ir asenso á una determinación que lleva en sí;.todo el El Sr. Freir-e dijo: á pesar de lo mucho que se ha expuesto por los carácter de la mas detestable injusticia, y.que solo tendría egenipk- en Sres. de la comisión, no se necesita la presentación de los títulos para la historia mas vergonzosa de la época pasada de la desgraci…</t>
  </si>
  <si>
    <t>Freire</t>
  </si>
  <si>
    <t>…una y media , salió esta para palacio á aquella hora; En cuyo estado, declarado el asunto por disentido á y á su regreso el Sr. obispo de Mallorca hizo presente que propuesta del Sr. Freire, se procedió á votación nomi dar S. M. enterado, y haber señalado la hora de las diez nal , y en ella quedó primeramente aprobado por 69 votos de la mañana para'pasar al Congreso, indicando al mismo contra 8 que no hubiese previa censura; y pasando á nue- tie…</t>
  </si>
  <si>
    <t>…oteger la egecucion de las de-- no se le deberla conceder ni aun el veto suspensivo. terminaciones que S. M. Siciliana ha hecho saber á sus pueblos, y que Exponiendo su parecer el Sr. Freire, dijo que no hallaba funda se han tomado por dichos Soberanos para conservar la paz y la tran mento alguno para que se adoptasen dos Cámaras , las cuales no po quilidad de la Italia y de la Europa, quiere que sus amados súbditos drían nunca remediar los ntalé…</t>
  </si>
  <si>
    <t>…biendo hablado otros varios Sres. diputados sobre el mencionado ciudades de Grecia acerca del nacimiento del divino Hornero- asunto, y pasádose á tratar del fuero militar, dijo el Sr. Freire que un Seria cosa muy ociosa el manifestar ia ninguna necesidad de seme egército como el portugués, que habia dado tantas pruebas de valor, jante Cámara, después de todo lo que se alegó con tanta elocuencia en de. lealtad y de adhesión á la causa de la patria…</t>
  </si>
  <si>
    <t>…ncipe ó- de alguna otra Per El doctor Phillimore anunció que el 14 de este mes haría una pro sona Real. puesta para que se le permitiese presentar un bilí, relativo á que se ha El Sr. Freire manifestó lo que era el juramento de los tribunales y gan algunas variaciones en la ley sobre el matrimonio. el del pueblo, diciendo que el primero se obligaba á cumplir y hacer Mr. Curwen pidió que se presentase un estado de todos los endo cumplir, y el segu…</t>
  </si>
  <si>
    <t>…anuncian la próxima suspensión del Par sometiéndose sin embargo al dictamen de los demas señores diputados. lamento hasta mediados de Junio: hablan de revoluciones en los Estar El Sr. Freire, después de haber manifestado la gravedad del asunto dos portugueses del.Brasil; y de haberse proclamado la Constitución en. de que se trataba , dijo que los propietarios de los señoríos territo las islas Azores. Un periódico publica la siguiente carta de Fer…</t>
  </si>
  <si>
    <t>…cuanto sea posible: que á fin de dirlo, participándolo á la misma autoridad, é impartiendo su auxilio.” que no se retarde la sentencia bastará que los reos resulten confesos ó El Sr. Freire manifestó que era mejor que hubiese libertad, aunque convictos: que los delincuentes que sean aprehendidos por la autoridad se cometiera algún abuso: que por el citado artículo se exigía una res civil, ó por la fuerza armada de orden de la dicha autoridad , s…</t>
  </si>
  <si>
    <t>Freíre</t>
  </si>
  <si>
    <t>…deban ser reformados que la venta de muebles y de fincas én los días del Señor era una gra según la ley. ‘ vísima ofensa de la religión católica apostólica romana, y un egemplo El Sr. Freíre leyó el decreto para la extinción del tribunal de la In-' perniciosísimo; que era cierto que las leyes permitían estas ventas; pe- quisicion, y sobre su preámbulo hubo una viva discusión; pero fu¿ roque. las leyes debían corregirse y mejorarse; y asi pedia .e…</t>
  </si>
  <si>
    <t>…oda la legión teramaque habian hecho durante la guerra, y pedían que se les conservase su na, compuesta de 62 hombres, se hallaba pronta á seguir las opera sueldo. ciones. Leyó el Sr. Freire el proyecto sobre extinción de las comisarías, y El 19 habla dado el Príncipe Regente un decreto, anulando el del el Sr. Margiochi, comparando los gastos de estas con lo que podian emburgo de buques austríacos. El 23 se publicó un bando del consejo importar l…</t>
  </si>
  <si>
    <t>…ovidencias en el asunto in presentado un informe acerca del plan general de este ramo , y que de dicado. seaba se diese cuenta á Ja mayor brevedad; í lo que contestó el Sr. pre Ei Sr. Freire leyó el decreto sobre la extinción de las comisarías de sidente que se baria en el dia de mañana. Guerra; y quedó aprobado. ¿as Coites quedaron enteradas de un oficio del Sr. ministro de Gra-</t>
  </si>
  <si>
    <t>…nerse á participar de las fatigas dad para abrirla,como le pirecia indudablemente según todas las señales. de la guerra , contribuyendo á desviar los males que amenazaban á sus El Sr. Freire dijo: la violación del secreto de las cartas debe mirar conciudadanos , cuando el Excmo. Sr. virey D. Joaquín de la Pezuela, se bajo dos distintos puntos de vista; á saber: cuando se hace por el accediendo á los votos del egército, resignó en mí el mando que…</t>
  </si>
  <si>
    <t>1019</t>
  </si>
  <si>
    <t>…precipitadamente el convenio de Sobre este artículo hicieron algunas reflexiones varios Sres. diputa Cotroeseni y á Bucharest, cuyos habitantes temían un saqueo general. dos; y el Sr. Freire propuso que se estableciese el mínimum para los con » La tranquil dad pública no se ha conservado en Bucharest durante ventos, desde el cual deberían pagar asi como se habia hecho para las muchos dias' sino á beneficio de las providencias tomadas por el señor…</t>
  </si>
  <si>
    <t>Freiré</t>
  </si>
  <si>
    <t>…ldo» sa , Josef Máximo Pinto da Fottseca y Maouel: Josef Ccrreia da Sérra; déla guardia de policía..... El Sr, presidente anunció para - la -sesiem del día- siguiente e! 'réci» EL Sr. Freiré hizo, la ¡ lectura nom.inal .de los Sres,. diputados ,y. b.mientó de-S. M., adviniendo á los Sres. diputados qué componian Id se hallaron 98, faltando solamente,4. ... ........... diputación., que saldrían del salón de Cortes rasi que avisase S. M. es-j » Dió…</t>
  </si>
  <si>
    <t>…entos de respetó y amor que ya en den de las Cortes para entregar el Gobierno á S. M. ; y habiendo dicho el año pasado y en este mismo sitio presentó á vuestra sagrada Persona. el Sr. Freiré que el ministro del Rey le habia manifestado que S. .VI; » Ahora, Señor, es excitada su obediencia y lealtad por motivos estaba ocupado en el nombramiento de ministros., se pasó á formar un todavía mas fuertes. La marcha noble de V. M. por la senda constitu d…</t>
  </si>
  <si>
    <t>…cabeza ert el pais en que antes se habia es S. M. había jurado de todo'corazón y sin la menor violencia. tablecido uta Gobierno paternal ¿ fundado sbbré una sólida instrucción, El Sr. Freire pidió qüe el Srl arzobispo de Bahía, Como presidente de sobre el saber, sobre la despreocupación, sobre la justicia, sobre los ía diputación que habia ido á cumplimentar á S. M. presentase una rela verdaderos derechos de los Príncipes y súbditos, y en fin sob…</t>
  </si>
  <si>
    <t>…ítimamente mani prenta , cstrañandó que no se hubiese publicado después de tantos dias; festada por estas Cortes ,, á las cuales resolví que enviasen diputados á loque contestó el Sr. Freire que no liabia habido el menor retraso de elegidos por el método adoptado en este reino. Muy pronto vinieron á parte del Gobierno , pues hacia muy pocos dias que se le había pasado. reunirse á este augusto Congreso representantes de todos aquellos Esta; El Sr.…</t>
  </si>
  <si>
    <t>…, y declaró que lo habia oido y el zelo mas desinteresado. (Bravo ¿ la derecha.) con el mayor agrado. » Es fácil á ciertos caracteres y á ciertas conciencias dar á la fidelidad El Sr. Freire leyó por segunda vez la proposición del Sr. Borges el nombre de exageración. Carneiro sobre que se enviasen tropas á América con la escuadra que « Es cierto que también exagerábamos nosotros el realismo cuan habia acompañado á S. M., y sobre que se evacuase á…</t>
  </si>
  <si>
    <t>…a la proposición por 43 votos de los otomanos, y á manifestar los mismos deseos que desde el prin contra 30. cipio tuvimos nosotros de la independencia de ¡os griegos. Según el El Sr. Freire leyó por segunda vez la proposición del Sr. Feio so lenguage de ciertos papeles que suelen consultarse para poder pene bre que se pidiesen los antecedentes de Alontevideo; y se acordó que trar los misterios de la diplomacia , se podrá aun creer que la emanci…</t>
  </si>
  <si>
    <t>…junta superior de sanidad, es Juan López, ídem, = Ramón debía ser admitida la diputación; y asi se aprobó. Merli, ídem, se Ignacio Ameller y Ros , Ídem, teeígnacio Carbó, ídem. El Sr. Freire leyó un plan de repartición de los negociados en el — Francisco Colon, vice-presidente de Ja academia médica.—Rafael ministerio del Interior, que habia remitido el ministro, y con el cual Steva, vocal de la junta municipal de sanidad. — Antonio de San Ger se…</t>
  </si>
  <si>
    <t>…radores dé Oriente. No se duda ya que los príncipes de la cristiandad se hayan de Sesión de Cortes del 20. cidido por último á valerse de este único y ségúro medio de conciliar El Sr. Freire leyó el artículo 29 del proyecto de Constitución, los derechos de la humanidad con la causa de-ladegitimidad.” concebido en estos términos: » El Gobierno de la nación portuguesa En apoyo de esta importante noticia el diario de León y del Medio es una monarquí…</t>
  </si>
  <si>
    <t>…en la importante salud deSS. MAL todos de que no se necesitaba en aquel pais ninguna fuerza para soste y A A.” ■ • • ner el sistema constitucional. Continua el decreto de ayer. El Sr. Freiré, combinando las diversas opiniones de los Sres. dipu Capítulo x. De los decretos. Art. 1 27. Los decretos de las Cortes tados, opinó que las tropas de Montevideo, que tantas pruebas .habían que tengan el carácter de ley se extenderán en la forma siguiente par…</t>
  </si>
  <si>
    <t>…te dificil conciliar con la verdad sido desechados , se estaba trabajando incesantemente en este asunto. tanto, intereses opuestos, y esto se echa de ver fácilmente si se obser El Sr. Freire propuso que las cintas de las cruces de los militares va cuan tortuosa es la marcha del Espectador, el cual aun por la ex fuesen todas blancas y azules ", que eran los colores nacionales. Se re presión mas inocente esti siempre expuesto i las reconvenciones ó…</t>
  </si>
  <si>
    <t>…e Cataluña, solicitando se apruebe á la ciudad de Tar bastaba que hubiese mas de la mitad de los diputados. ragona para capital de una de las provincias en qiie se divida aquel El Sr. Freire leyó el dictamen de la comisión de Hacienda sobre principado ; y otra de la diputación provincial de Avila, manifestan •omisarios; y el Sr. Barreto Feiodijo: Cuando en este augusto Congreso do ios perjuicios que se seguirán en aquella provincia si se la separ…</t>
  </si>
  <si>
    <t>…inistro suspendiendo. reemplazos, hasta que cesó por el restablecimiento de la Constitución, Lis pensiones. creyéndola incompatible con el actual sistema) tanto porque no debia El Sr. Freiré pidió que se designase un dia cada semana para tratar haber mas que una tesorería, cuanto porque muchos de los arbitrios da de los asuntos de Hacienda, manifestando que antes se habían señalado dos á la junta la hacían un cuerpo recaudador sin objeto, puesto…</t>
  </si>
  <si>
    <t>…adra austríaca; pero aun no se sabe si AJgunos Sres. diputados hablaron en pro yen contra de este artícu se compondrá la mayor parte de buques napolitanos—Parece que este lo; y el Sr. Freiré dijo que este asunto se habia señalado para la dis gabinete ha convidado al de Petersburgo á un Congreso para tratar de cusión de este dia casi por sorpresa, sin haber tiempo suficiente para los asuntos de Turquía; pero se creía que la Rusia tomará su resolu…</t>
  </si>
  <si>
    <t>…El Sr.-Fernandez Tbomas pronunció un largo discurso, oponiéndo todos ; pero nos abstendremos muy bien de indicar sugetos., como en. le á esta adición,'-que consideraba injusta.^Ei Sr. Freiré y otros Sres.di otras partes se ha hecho. Aj, Gobierno solamente toca expresar li putados hahlaroD.árniyoi; de ella ¡y-despues de una larga discusión, y de bremente su voluntad en este punto , y á los pueblos representar si el haberse,desechado algunas.propos…</t>
  </si>
  <si>
    <t>…guerra á lo menos hasta después de pasado el invierno. ■ « a proyectos para que sigan el curso de estos.” « Según noticias del interior de Alemania no es cierto que los em El Sr. secretario Freiré leyó la primera parte del art. 86, que fue bajadores de Austria é Inglaterra hubiesen conseguido la revocación de aprobada en la forma siguiente; » El proyecto se leerá primera y se la orden del Sultán para el armamento general de los turcos; aseguran gunda v…</t>
  </si>
  <si>
    <t>Freire, Fernando</t>
  </si>
  <si>
    <t>Fernando Freire</t>
  </si>
  <si>
    <t>…f Donesteve, Don Una casa en el arco de la Compañía de la ciudad de Baltasar Salomón y D. Joaquín Roca; y con la de 6 del Logroño, en 2,200 rs. mismo Febrero á D. Eusebio Salcedo, D. Fernando Freire, Un corral existente en el término nombrado PeñalogroD. Antonio Garnica , D. Bedro Talens, D. Josef Varona, ño, con solo las cuatro paredes de piedra y su puerta vie D. Miguel Gardoqui, D. Antonio Butrón, D. MiguelPaa- ja , en 1,200 rs. din y D. Joaquín Rubal…</t>
  </si>
  <si>
    <t>Freire, Josef de Mello</t>
  </si>
  <si>
    <t>Josef de Mello Freire</t>
  </si>
  <si>
    <t>…. Josef María de Antas Pereira, D. Juan Antonio Fexreira de Moura, D. Joaquín Pe -¿Aviso á los labradores , fabricantes y otros artistas españole: que nece dro-Gómez de Oliveira y D. Josef de Mello Freire. siten sisar de una porción considerable de agua. ■En. virtud de una orden de ia misma fecha debian aprontarse a la Ha llegado á Sevilla D. Guillermo Whiting, maquinista de mayor brevedad, y;con dos meses de víveres y demas pertrechos, la Londres, á colocar e…</t>
  </si>
  <si>
    <t>Freire, Manuel</t>
  </si>
  <si>
    <t>Manuel Freire</t>
  </si>
  <si>
    <t>…cional, según su mismo comandante general me A la de Infracciones de Constitución- se pasó una exposición de ha expresado, al paso que dan una idea de las medidas que he adoptado, D. Manuel Freire, de la provincia de Granada, en que manifiesta que evidencian el ningún valor que merecen las especies que propalan los en las elecciones de ayuntamiento para el presente año se procedió en malévolos, los mal avenidos con las reformas, y los descontentos y am…</t>
  </si>
  <si>
    <t>Freiréopinó</t>
  </si>
  <si>
    <t>…en la había de quitar al rector, y que la Regencia estaba autorizada-para hacer misma contra 1&gt;. Francisco del Campo. .......... todas las reformas que juzgase hecesaYias/peró el Sr. Freiréopinó que Se acordó ^ tuviese' presente una solicitud de t&gt;. Antonio Fernan los primeros empleos-debériari-darse todos por el Congreso, porque dez , pensionado de mérito , y ayudante agregado al laboratorio de quí este nunca podría.conformarse con las providencias…</t>
  </si>
  <si>
    <t>Fri-</t>
  </si>
  <si>
    <t>…ura acuda ar.re do el primero libertad ! y el segundo cadenas ! . dicho señor por la.escribanía del número de D. Pascual Seco. Otro contraste nos presenta el general Church con el general Fri- El partido de médico y el de cirujano de Navalmoral de Plisa de mont, aunque de diversa clase. Inglaterra, cuna de la libertad , aborta un Toledo se hallan vacantes: al primero se le pagan de salario al año Church; Francia, primogénita de la libertad, ofrece un…</t>
  </si>
  <si>
    <t>Frías, Gregorio Quiroga y</t>
  </si>
  <si>
    <t>Gregorio Quiroga y Frías</t>
  </si>
  <si>
    <t>…on y curiosas que ha sabido encontrar en una materia agotada Luis Soler y Gómez de Cárdenas, D. Juan O-DonelL y' al parecer. Sus principales teoremas pasaron á Francia con Fe ris, D. Gregorio Quiroga y Frías, Di Miguel Irribar- el tratado de Campo-Formio, y ei deseo que excitaron de ren y Ortuño, D. Ramón López y Arce, D. Josef Pul conocer la obra por entero produjo muy pronto una tra gar y Molina, D. Josef Pavía y Bermingham, D. Fran ducción francesa. cisco Tuer…</t>
  </si>
  <si>
    <t>Frigoso</t>
  </si>
  <si>
    <t>…en fin veo al egército mutilado por asunto pendiente para cuando se tratase del reglamento de la Regencia. .el ministerio, me parecen bien fundados los temares de la mayoría de El Sr. Frigoso leyó el dictamen de la comisión de -nstruccion pú Jos franceses. ( En el centro y á la derecha: á la cuestión , al orden, al blica sobre la solicitud de un ciudadano , que pedia licencia para que se orden,:el reglamento. A la izquierda: deiad hablar, dejad re…</t>
  </si>
  <si>
    <t>…oñadas de varios calibres ymas los diputados de Rio 7 Janeiro para deliberar ségun ellos opinasen ; pero de too hombres, hace tres meses que cruza desde.las islas Terceras.has. el Sr. Frigoso fue de distinto dictamen, y dijo qué no hallaba acerta tu estas inmediaciones do el detener la resolución por estos dos hombres, y mucho menos JCWTA SUPERIOR DE SAJíTDAD. * cuando ellos.no podían tener tantas noticias como el ministerio; á lo Esta junta super…</t>
  </si>
  <si>
    <t>…y abría el cunstancia al patriotismo y á la generosidad; tiempo hace que las na camino al despotismo. ciones tienen fijas sus miradas en esta capital , pues la han visto desco EL Sr. Frigoso habló también contra esté párrafo del artículo: lo llar en la época feliz que se han abierto las puertas á los derechos y primero, porque seria dar una nueva ¿propiedad: lo segundo, porque virtudes del pueblo español, encerradas en la morada de la antigüedad.…</t>
  </si>
  <si>
    <t>Frigpso</t>
  </si>
  <si>
    <t>…ctar-bajá, que estaba encerrado con él en Janina , y competía á las Cortes la iniciativa de las leyes. que estos le habian enviado ocho de sus principales gefes. El plan de los El Sr. Frigpso, despees de rendir el debido homenage á S. M.,.y re suliotas y demas parciales de Ali era-apoderarse de los caminos, cor cordar sus obligaciones como representante de la nación, dijo que ha tar las comunicaciones del egército otomano con las ciudades que pue…</t>
  </si>
  <si>
    <t>Fríi</t>
  </si>
  <si>
    <t>…erca de la situa _T'r , ' ■ * ción de la parte meridional del reino. Algunos creían-que existiesen • . Trieste 6 de Mayo. ; muchas reuniones de gente armada en las Gil abrías. -El general Fríi -Todo el Peloponeso ha sacudido el .yugo de los turcos. -Docí gefes monthabia salido apresuradamente para Laybach, reemplazándole en el principales de la insurceccion.se han juntado en el centro de lá antigua mando el príncipe de Hesse-Honiburgo; y la guarnic…</t>
  </si>
  <si>
    <t>Frimanera</t>
  </si>
  <si>
    <t>…y de Nápoles; y el que empieza esta proclum# "presentaran los títulos, hieran privados de ellos; pero que de ninguna nos truc frii C| coyrtspondi,e.nte al íiaal de la proclama del general Frimanera fuesen despojados, como opina la comisión , i ¿izo ver lo que Wftt. - ... ■ ... SUPLEMENTO</t>
  </si>
  <si>
    <t>Frimonc</t>
  </si>
  <si>
    <t>…ada, deL monasterio de Poblet, en como querían suponerle los partidarios del Austria. El cuartel general ,3°»S5C’ rs- &gt;' 33 mrs. se hallaba aun el 13 en Florencia; y parece que el general Frimonc ha Un almacén con solo paredes y tejados, sito en el puerto de dicha bía tenido por conveniente mandar á sus tropas hacer alto en Siena, ciudad, del misino monasterio de Poblet, en 22,853 rs. y 3 mrs. aunque se anadia que con esperanzas de reconciliación-, ci…</t>
  </si>
  <si>
    <t>Frimont</t>
  </si>
  <si>
    <t>…ará glorioso sobre cuantos hay en el mundo.” Nuestras tropas acantonadas en Italia recibirán pronto S. A. R. el Príncipe Regente respondió: . refuerzos considerables. Dicen que el general Frimont tiene «Asistiré' al acto de cerrarse las sesiones. El desear yo orden de concentrar todas sus tuerzas á las orillas del :Pó; y -que permanezcan en Ñapóles los diputados no es con el aun añaden que el dia i.° de Febrero pasará este rio gran -objeto solamente d…</t>
  </si>
  <si>
    <t>…ó mi’sangré por la patria, por la Coas-, Cor.za, en el Abruzo citerior. titucion y por el Principe que la había jurado." __La fuerza total de las cinco divisiones del egército del general Frimont que se han puesto en marcha se regula en 503 hombres, y la . INGLATERRA. reserva consta de otro número igual. A la fecha de las últimas noticias ocupaban los austríacos las tres legaciones de herrara, Bolonia y Rave- Líndres 25 de Febrero. m, y se adelantaban…</t>
  </si>
  <si>
    <t>…, que parecia estar dispuestos á perseguirlos en su marcha á table resistencia-, pero tenia presente el egemplo de la España, y no se los Abruzos. Se confirma la noticia de que el general Frimont ha escrito atrevía á pronosticar los resultados que tendria la ocupación de Ñapó á Milán para que avance su reserva. Las fuerzas de los napolitanos se les por los austriacos. En otro tiempo.("dijo)-los pueblos de Inglaterra gradúan en ioo3 hombres-de tropa de…</t>
  </si>
  <si>
    <t>…noticias de la deserción dé muchas terior de Co tes. tropas austríacas por el-descontento que en tilas ocasiona, ia li.encia que se da á machos oficiales, de quienes parece que el general Frimont La correspondencia y periódicos que se han recibido de los diferen tiene sospechas; el haber.disensiones entre el Austria y Turquía, y que tes pueblos de la Península en toda esta semana confirman siempre la Pritsia se halla en la precisión de observar i.i miyor…</t>
  </si>
  <si>
    <t>…ticias, únicamente del diaypunto en que derrotaria a) enemigo: si estas esperanzas se realizan, Circular del ministerio de la Guerra. como lo prometen todas las circunstancias, el general Frimont podrá Al Sr. secretario del Despacho de Hacienda digo con esta fecha lo decir: ■vine, vi,y caí. ¡Crueles desengaños suele dar á los hombres la ex siguiente: periencia! No ha mucho tiempo que el Observador austríaco llamaba „ Con presencia de cuanto expuso el…</t>
  </si>
  <si>
    <t>Frímont</t>
  </si>
  <si>
    <t>…\V.Gboletines del famoso Bonaparte, cuya conducta procuran remedar, y moden; y el teniente general Mohr hizo marchar la división del pr.'nmalamente, la diplomacia -del norte y el general Frímont; solo que -cipé Wied. A las diez ’dé&gt; la mañana el general Villata bajó de las ni aun son para ello. Frimont se vale, sí, de frases á la Bonaparte, -montar.as.aL paso de Corno-; llevando consigo algunos oficiales, y un pues para inspirar odio contra los napol…</t>
  </si>
  <si>
    <t>…a qué en las causas en que según la, ley deba admitirse la ape dados le habían vendido. lación en ambos efectos, se remitan los, autos originales á los tribuna S. E. el comandante general Frimont, apenas llegó al paso de Cor les de apelación sin exigir derechos con .el; nombre de compulsa; las no, envió á sus casas á un centenar de prisioneros y á algunos oficialas. cuatro sufragáneas de aquel vicariato, á saber , Avila, Badajoz , ElasenEl dia to á la…</t>
  </si>
  <si>
    <t>…sensación en Florencia. Anadea las. mismas cartas qué curaban tomar providencias á favor de la buena'causa, ínterin llegaba el general Carrascosa estaba dispuesto á batirse con el general Frimont, la declaración del Príncipe, cuyo contenido era lacil preveer. Llegó y que de un dia á otro re esperaba- la noticia de haberse dado la batalla. esta en efecto la noche del 24, que es el núm. 2.° adjunto , rr.aniícs- Én la que están contestes'todas las notici…</t>
  </si>
  <si>
    <t>…as. Bonaparte mismo no solia acudir á esta estratagema; de que la censura de Paris es su protectora habla de la facción furiosa, y como este lia de ser nuestra guia para seguir al Sr. Frimont y ála déla facción de anarquistas españoles que procura-sublevar los es santa alianza , que en su conducta ha reemplazado al usurpador y nive píritus contra el Rey ájin de perderle. El ministerio francés ve , oye y lador de tronos , diremos que Bonaparte no i…</t>
  </si>
  <si>
    <t>…ar &amp;c.” ( y 1° acabó de neral austríaco en Antrodocco; y después de tantas ventajas conseguidas leer) lo consideraba muy justo, porque muchos señoríos, que estaban como expresa el general Frimont, se hallaba el mismo cuartel general concedidas solo por dos ó tres generaciones, se habian poseído por el dia doce en Frascati; es decir, unas 20 leguas mas atras. No pode veinte ó treinta, y que otros lo habian sido con la condición de pa mos menos de admir…</t>
  </si>
  <si>
    <t>…espetuoso, y.al instante, casi sin que pre 33 El castillo de Gaéta se rindió en efecto el 25.” ■ ceda, debate, se decreta la prisión del periodista que ha'degradado su __Cuando el general Frimont recibió la noticia de la insurrección dél empleo. Este es un privilegio que os falta, y por lo mismo debáis ssc ■ Piamonte, ofreció destacar ioS&gt; hombres de su egército para defender mas severos. • - .. r *. la' LombardÍR , asegurando que esto en nada perjudi…</t>
  </si>
  <si>
    <t>…, y ha estado á la vista toda la noche, pero esta mañana ya naturaleza de Jas cosas, carecerá de principio, y no será mas que un no se la descubre. Se acaban de enviar pliegos al general Frimont para poder arbitrario. excitarle á reclamar nuestros buques cuando entre en Ñapóles. Si es contraria á los principios constitucionales, será una usurpación. Voy á examinar este punto. SUIZA. Toda ley debe ser discutida. (Artículo t3 de la Carta.) La discusión…</t>
  </si>
  <si>
    <t>…nducto de estos, instruyendo nada puede hacerse sin lii voluntad , el consentimiento y la aprobación el expediente en los términos que prescriben los dos artículos anteriores, del general Frimont, á quien debe mirarse como Rey absoluto interino tomando Jos informes de los contadores respectivos de las fábricas, de las Dos Sicilias; y S. M. Siciliana, denominado Rey, haría el papel en lugar de los principales de las provincias, como se previene en los…</t>
  </si>
  <si>
    <t>…triste experiencia, parecía haber competente; asistirá á la tal junta un oficial austríaco, designado por el hallado el escarmiento bien á pesar suyo. Sin embargo, con admiración general Frimont; pero no tomará parte en las deliberaciones, sino que se ha visto que el Gabinete de las Fullerías nada ha aprendido, y nada aclarará los motivos de la prisión. Por un decreto algo largo se man ha olvidado. Seria trabajo harto penoso ir describiendo la conduc…</t>
  </si>
  <si>
    <t>…ia, no debe haber lugar i Se lee en un periódico extrangero que el opresor de la libertad na la aprobación de este artículo ; que se necesitaría para que lo produjese politana, el barón Frimont, ha enviado parlamentarios á la Sicilia y una nueva consulta del Gobierno, del mismo modo que ayer se con á las demas partes del reino. Esto hace presumir que los austríacos se testó al Sr. Cepero , pidiendo la interpretación de una ley; que era in han conten…</t>
  </si>
  <si>
    <t>614 el general Frimont y iodos los sectarios' de la esclavitud se contradicen provincia de Cataluña: y para teniente de la de Aragón D. Vicente en hechos y palabras : superfiuo era desarmar hasta de hierros con punta Camaño; y no habiéndose presentado estos interesados á recoger su…</t>
  </si>
  <si>
    <t>…bai La tranquilidad de Italia tiene al parecer tan poca necesidad del nue lones con regatón de hierro; y los que contravinieren á esta disposi vo refuerzo de tropas rusas, que el general Frimont tiene facultad de su ción serán castigados pronta y rigurosamente. Gobierno para mandar volver parte de su egército á los Estados austría Se ha mandado asimismo que nadie retenga en su poder caballos, cos de la Italij alta. Tres columnas de este egército está…</t>
  </si>
  <si>
    <t>…ros fueron tratados con la mayor admitirán consideraciones particulares de ninguna especie. crueldad por los que iban en la goleta, los cuales con pistola en mano Asegúrase que el general Frimont se ha quejado ai Gobierno napo les obligaron á declarar donde estaba el dinero , del que se apoderaron, litano de que no se procede con bastante energía. igualmente que de algunos efectos y mercancías, y en seguida abando Hemos dicho que creíamos se trataría…</t>
  </si>
  <si>
    <t>…cación de esta fie querido afectar, ocupará 13 Servia luego que los rusos pasen el Danubio. bre después de tan incesantes trabajos empleados en este objeto por un ” Se dice que el general Frimont va á dejar el mando de las tropas de sin número de observadores asi nacionales como extrangeros; debiendo Italia para reemplazar al príncipe de Lichtenstein en el de ios xco9 por consiguiente atenernos en particular á ia curación indirecta. Tan hombres que oc…</t>
  </si>
  <si>
    <t>…sita Austria. Sin embargo seria muy extraño que sin previo conocimiento de las Cortes se proponía á estas una reforma del establecimiento del ¿al Austria hubiese dado este paso el general Frimont. Ya hemos indi Crédito público, la euj; se pudiera extender á Variar ó suspender la cado otra V.-Z que el Austria procurará sacar tropas de Italia, porque decretada renovación. Mas rio siendo- en manera alguna causa suficien &lt;jU¡á 1. s necesitará en otra part…</t>
  </si>
  <si>
    <t>…a escuadrilla griega estaba en el NOTICIAS DE ESPAÑA. puerto de Navarino , y la de los turcos habia salido de Patrás, con di rección á Zante. Cádiz. 16 de Noviembre. Parece que el general Frimont ha propuesto al Gobierno napolitano Se han sepultado eu el eetosuterio de esta ciudad los cadáveres si reducir á 308 el egército austríaco ds ocupación , cucar.lándo.e ¿1 de la guientes : provisión de municiones de boa» y guerra, por cuatro millones de da-</t>
  </si>
  <si>
    <t>Núm. 368. ( 7 cuartos.) GACETA DE MADRID. MARTES a¡ DE DICIEMBRE DE i8ai. NOTICIAS EXTRANGERAS. restituirse á la Italia alta. La segunda división del egército del general Frimont será la que evacúe la Italia inferior, porque hace ya muchos RUSIA. meses que la división dal general Stutterheim se puso en marcha para el Pó, donde está acantonada. El egército de dicho general Frimont queda Odesa 14 de Noviembre. de este modo reducido eñ e…</t>
  </si>
  <si>
    <t>Fromista</t>
  </si>
  <si>
    <t>…spondiente.medicina de número, y del comercio. En Alicante en la de 'á Doña' Beatriz Freile, contra el estado del-marquesado de D. Josef Sirvent, del comercio. En Bilbao en la. de Don Fromista, y á los réditos vencidos y mandados pagar por la Juan Barrelli, de idem. En Calatayud en la .de D. Tomas sentencia, cuya cantidad, unida á la antecedente, asciende á Navarro, de idem. En Oviedo en.la de D.. Marcos Saran- y mrs., de que deberán deducirse 89,1…</t>
  </si>
  <si>
    <t>Frutos, Manuel</t>
  </si>
  <si>
    <t>Manuel Frutos</t>
  </si>
  <si>
    <t>…iéndose hecho ya 8 ediciones. Solsona á D. Domingo del Rey: para la de Olot á D.'Jo Esta obra da á conocer á los jóvenes las riquezas, tanto sef Vera y Pantoja: para la de V ích á D. Manuel Frutos: naturales como industriales, de la Gran Bretaña, sus anti para la de Manresa á D. Ildefonso Gonzalo Moron: para la güedades, y los objetos principales con relación á su histo de Cervera á D. Gines María Serrano : para la de Berga á ria ; y está sembrada adem…</t>
  </si>
  <si>
    <t>Fuelles, Domingo Miguel</t>
  </si>
  <si>
    <t>Domingo Miguel Fuelles</t>
  </si>
  <si>
    <t>…des de las provincias. sota. En la gaceta del 23 de Mayo, col. 4.*, lín. i/, donde dice Por la secretaría del-Despacho de Gracia y Justicia se ha dirigido Zi. Antonio Guell, léase D. Domingo Miguel Fuelles. suplemento</t>
  </si>
  <si>
    <t>Fuentes, Josef Mor de</t>
  </si>
  <si>
    <t>Josef Mor de Fuentes</t>
  </si>
  <si>
    <t>…sente mes de la fecha La Serafina: novela original en cartas escritas de Zaragoza á en adelante. Búrgos: tercera edición. Poesías varias. El egoísta, comedia por CIENCIAS EXACTAS. D. Josef Mor de Fuentes. Se hallarán con el poema de Jas Es taciones en las librerías de Ramos y én la de Matute, como también el poema de la Constitución en la librería de Calleja.Continúa el artículo de ayer sobre las ciencias exactas. Targetas familiares, que contienen dos contra…</t>
  </si>
  <si>
    <t>…es de, 1 2. sotros, y dando el: parabién a nuestro augusto Monarca por’sú'feliz La junta que se mantiene en esta ciudad , porc vestá enteramento permanencia y consolidación : por D. Josef Mor de Fuentes: edición he* libre de contagio, no perdona fatiga ni desvelo para llenar sus atribu cha con esmero en 16, y se hallará en Ja librería de Matute. ciones ; se lisonjea de que el mal quedará, sufocado en su origen, y Clamores de la Constitución contra-el diálogo…</t>
  </si>
  <si>
    <t>Fuertes, Francisco</t>
  </si>
  <si>
    <t>Francisco Fuertes</t>
  </si>
  <si>
    <t>…cer la necesidad de aprobar lo que se proponía , á no ser que se hallaran los ANUNCIOS. encargados interinamente del Despacho en disposición de contestarle á En 23 de Enero último D. Francisco Fuertes, contador del Crédi las preguntas que pudiera hacerles; concluyendo con pedir que si no to público en la ciudad de Sevilla , puso denuncia contra D. Loren se acordaba la venida de los seis ministros por no parecer necesario, zo Zamora, por haber insertado en…</t>
  </si>
  <si>
    <t>Fuertes, Ignacio</t>
  </si>
  <si>
    <t>Ignacio Fuertes</t>
  </si>
  <si>
    <t>…idea del todo de la obra; nota. En la gaceta del 17, col. 6.*, lía. 2a, donde dice D. Juan lo que igualmente se verificará en las provincias donde se ha abierto la Flores , léase D. Ignacio Fuertes. EN LA IMPRENTA NACIONAL,</t>
  </si>
  <si>
    <t>Fumigados</t>
  </si>
  <si>
    <t>…mayor firmeza á las instituciones que habían puesto un termino tr Sumergidos. Ninguno, por haberlo sido ya todos. á los males de la revolución, confió el pueblo francés al primer cónsul Fumigados. Idem. Bonaparte el poder consular durante su vida. Esta nueva organización Achicados. Idem. del estado que se conformaba con el genio di su primer magistrado, Encalados. Fragatas Perla, S. Francisco; bergantines Diana, Con hubiera llenado las esperanzas que…</t>
  </si>
  <si>
    <t>Furió, Josef</t>
  </si>
  <si>
    <t>Josef Furió</t>
  </si>
  <si>
    <t>…. Su límite meridional es el mar Mediterráneo. nisterio se hicieron en Andalucía de tamañas necesidades, los benemé Límite oriental. ritos profesores de Cartagena D. Josef Raneé , D. Josef Furió , D. Se Su límite oriental da principio en S. Juan de los Terreros: sigue al bastian Florit y D. Manuel Navas se presentaron gustosos á sacrificar E. del Campo de Pulpi á la sierra del Medió , cabeza de la Jara , tor la quietud de sus destinos en alivio de lo…</t>
  </si>
  <si>
    <t>Fusrer, Baltasar</t>
  </si>
  <si>
    <t>Baltasar Fusrer</t>
  </si>
  <si>
    <t>…osó, para vice-presidente el Sr. Mar- calde constitucional de Játiva; el barón de Casanova , de Bocairenre, giochi , para secretarios los Sres. Queiroga, Riveiro Costa, Freire y y D. Baltasar Fusrer , de Enguera—En Alicante el Excmo: Sr. Don Feigueiras, y suplentes los Sres. Miranda y Pinto Magalhaes; y el se- Cayetano Valdés; D, Rafael Bernabeu y D. Juan Bautista Risa ñbr ¡presidente levantó la sesión. En dijoña: D. Ascensión Campis, alcalde primero con…</t>
  </si>
  <si>
    <t>Fuster, Pedro</t>
  </si>
  <si>
    <t>Pedro Fuster</t>
  </si>
  <si>
    <t>…En Denla: D. Joaquin Abargues, de Benisa; D. Josef Ciscar, de Gandía, y D. Pablo-Sala , de Denla. f-'u ' Earcelona 7 de Noviembre. Alcira: D. Jaime Carpí , presbítero de Alginete; D. Pedro Fuster, abogado de Albalat dePardines, y D. Calixto Gómez, farmacéutico , . - SALUD PUBLICA. ^ de Alcira—En Cartagena: D. Pedro Molla Sartorio y D. Isidoro .NaParte del lazareto sucio de todo el dia 3. varrete. Bárceloneta, existencia anterior 45: entrados ó acometi…</t>
  </si>
  <si>
    <t>Fveitas, Manuel Pedro de</t>
  </si>
  <si>
    <t>Manuel Pedro de Fveitas</t>
  </si>
  <si>
    <t>…e la Bahía 1de Marzo. buena acogida que habia merecido á las mismas en 19 de Setiembre úl A las seis de la mañana salió de los cuarteles el bizarro teniente timo otro modelo suyo. coronel Manuel Pedro de Fveitas con su regimiento de artillería y to A la de Marina una contestación del Sr. ministro de este ramo, do el parque, habiendo dejado detenido en su casa al coronel coman acerca de la pregunta que se le habia hecho en 24 de Marzo de este dante del mismo regimient…</t>
  </si>
  <si>
    <t>F’ernandez, Angel</t>
  </si>
  <si>
    <t>Angel F’ernandez</t>
  </si>
  <si>
    <t>…orancia ó su malicia; su deseo de adu cirle en el térniir.0 de 20 dias en el juzgado de primera instancia d*l lar y engañar á los españoles en 1812 , y su ansia de cometer injusti Sr. D. Angel F’ernandez de los Ríos, y escribanía del número de Don cias en 182 1 : su solapada política en la primera época de su abatimien Bernardo Diaz de Antoñana. to , y su prurito de dominar por todas partes en la época actual de su Se halla vacante la escuela de primeras letr…</t>
  </si>
  <si>
    <t>G, Fermín</t>
  </si>
  <si>
    <t>Fermín G</t>
  </si>
  <si>
    <t>…dec:a: si mando pasar, con u-rgíneja ¿.Incitada comisión. . ; : „Que las gracias que ¡as Cortes han acordado se den al ejercito y mili lA.la.comision de,Poderes sopesaron Jos1 de. D. Fermín G,«l de Li cia local se entiendan también con las milicias provinciales.55 nares, diputado por AragonlenHugar de. D. Antonio López de Artieda. No hubo lugar á votar sobre una adición del Sr. Bar.qucri á la me A.las comisiones de Bínéfieíacia, -Eclesiástica y Gu…</t>
  </si>
  <si>
    <t>G, Francisco</t>
  </si>
  <si>
    <t>Francisco G</t>
  </si>
  <si>
    <t>…ión y délas figuras de esta lengua, con un.bocavúlario mitarnos á la propuesta de la comisión. Por otra parte si se pide infor alfabético mercantil, fe;. y frases idiomíticas: por D. Francisco G. ..Feme á ¡a diputación provincial anies.de resolver en esta materia, no sa raud, catedrático de lengua inglesa en las escuelas establecidas i expen bemos las circunstancias que pueden ocurrir para que este se evacúe sas del ilustre consulado de Bilbao. Se hal…</t>
  </si>
  <si>
    <t>G, R.</t>
  </si>
  <si>
    <t>R. G</t>
  </si>
  <si>
    <t>…soste minada por la batalla de Mont-Saint-Jean, llamada también de W- niendo la religión de nuesiros padres , garantiza nuestra iiberiad civil, terloo; traducida al castellano por D. R. G.i un tomo en 3.3 con dos premia nuestras fatigas, recompensa el mérito, y castiga el vicio. Solda planos; de los cuales el uno presenta el conjunto de las operaciones, dos de la patria: vuestras bayonetas rompieron las cadenas de Ja escla y el otro las disposi…</t>
  </si>
  <si>
    <t>G-, M. L.</t>
  </si>
  <si>
    <t>M. L. G-</t>
  </si>
  <si>
    <t>…ntre ellos 4 de guerra, de los cuales se ha de aquel eií que se inserte este anuncio en la gaceta inclusive. bía separado el 24 de Mayo. Eponina: traducción libre del francés, por D. M. L. G-: dos volú Los periódicos de Londres han publicado la conquista de Lima por menes en 8.° Esta preciosa obra del célebre escritor Delisle de Sales, el aventurero Cochrane y S. Martin, fundándose en noticias esparcidas tan conocido en Europa por su filosofia de…</t>
  </si>
  <si>
    <t>G-ireli</t>
  </si>
  <si>
    <t>…á tran en sí mismos los principios de ciertas leyes sociales para ver y co impugnar el modo con que se ha presentido á discusión. El señor nocer si este es bien y aquel es mal. El Sr. G-ireli dijo ayer que cuando laüave , suponiendo que el código estribaba en que las cu’pns re el hombre se mine en sociedad es legislador de sí mismo, y se impo cibían mayor pena que los delitos, y en que se castigaba igualmen ne una obligación de perder parte de su…</t>
  </si>
  <si>
    <t>G., A. P. Z.</t>
  </si>
  <si>
    <t>A. P. Z. G.</t>
  </si>
  <si>
    <t>…Nuñez de Cases, juez de primera instancia de dicha ciudad tada en una mitad por el autor, y adicionada por el traductor de Sto. Domingo, ha mandado citar y emplazar á la prevenida Doña D. A. P. Z. G. El tomo i.° se halla ya impreso y venal en las libre María Josefa ó su legítima representación con término ultramarino, rías de Sanz y viuda de Quiroga, i 9 rs en rústica; y se advierte que á para que acudan é su [uzeado á usar de su derecho; en el concepto de l…</t>
  </si>
  <si>
    <t>Ga</t>
  </si>
  <si>
    <t>…alguno , y satisfarán á la parte agraviada prevenido. Estas cantidades serán también dobles en Ultramar.” todos los perjuicios que hubiere sufrido.” Se aprobó como lo proponía El Sr. Ga reli manifestó que la comisión había creído debía supri la comisión. mirse este artículo, considerándose sus individuos como vocales de Se leyó el art. 36, que decía: » Las Cortes en este último caso ha Cortes: que Ja razón era porque ei espíritu de este arti…</t>
  </si>
  <si>
    <t>…a de Burgos', la cual se ha declarado vacante lento durante muchos siglos, por adoptar el to’sco desaliño de la poesía por no haber acudido á sacar el título en el tiempo señalado D. Ga de los siglos mas incultos. Sin embargo , sin que esto sea comparar los briel Gutiérrez, provisto para dicha judicatura, varoniles y groseros cantos de Ossian á la sublime armonía de Homero, y las coplas de los romanceros con la deliciosa poesía de Racine, cr…</t>
  </si>
  <si>
    <t>Ga, Tomas Roguez</t>
  </si>
  <si>
    <t>Tomas Roguez Ga</t>
  </si>
  <si>
    <t>…Provincia de Zamora. Zamora D. Josef García Fierro, canóniga casona; y no es fácil formar un cálculo exacto de los grandes capita de aquella Sta. iglesia catedral. Villas del Vino D. Tomas Roguez Ga les que están en acción,, y vivifican actualmente el departamento del go , cura párroco de Argugillo. Lagares del Pan D. Luis Tadeo Ro Audc.” ... • " dríguez, cura párroco de Almaraz. Carbajales D- Juan Manuel Lla 1 Idem 10. .... mas, cura párroco del Pino..…</t>
  </si>
  <si>
    <t>Ga-</t>
  </si>
  <si>
    <t>…e esta ciudad que habían tenido parte en la rebelión. policía francesa no ha podido hacer que se descubriese si el RjJtur ille n Aun no han llegado á Bucharest ios ícaimacanes del príncipe Ga- vaba ó no esclavos á bordo. llimachi, nuevo hospodar de la Valaquia. » En cuanto á la Jeune Estelh , que ha sido apresada por un cruce » Las tropas del bajá de Widdin ocupan ya á Crajowa, y sus avan ro ingles, hay motivo de rezelar que habrán sido arrojados a…</t>
  </si>
  <si>
    <t>Gabarda, Esteban</t>
  </si>
  <si>
    <t>Esteban Gabarda</t>
  </si>
  <si>
    <t>…ni religión.,, ó-morir y supernumerarios. Disertaron sobre varias proposiciones de tan útil •mártir p^p. Jesucristo 5 juroen fin por el misssrip.^de-i* Eucaristia.no acet- ciencia D. Esteban Gabarda, D. Esteban Orcariz , D. Fernando Arcarme á este santísimo sacramento aun en el ultimo .trance de ia,m.u.ei/ did,.P., .Amero Echarri:, D. Josef..Joaquín Ermo . D. Manuel Laredo, -te sj no '.ctlufiplo enteramente lodo lo que acabo de jurar delante/de la D. Ped…</t>
  </si>
  <si>
    <t>Gabriel</t>
  </si>
  <si>
    <t>…s especiosas objeciones que secreta y ma cial), Ctemencin, Toreno, La-Llave (D. Pablo), Tiñan, Janer y liciosamente suelen esparcir los infames enemigos de nuestra adorada Ugarie (D. Gabriel). Constitución; y demostró casi matemáticamente que nuestra sagrada re Para la de Diputaciones provinciales. ligión queda con las nuevas leyes inas afianzada y arraigada que antes. Sres. Subrié, Verdú, Martínez (D. Javier), Lasanta, Ramos Merece todo elogio e…</t>
  </si>
  <si>
    <t>…Loizaaa , Azaóla, Torre Marin, Marín Tauste , conde de Mon zas , y es la economía; pues estando estos dotados , y debiendo poseer tenegro, lobato, Cepero, Arrieta, Cabeza, Ugarte (D. Gabriel), los referidos conocimientos , parece -muy justo que á ellos se confie esta Couto y Traver. parte de la instrucción pública. Siguió después la discusión, en la que el Sr. Martínez de la Rosa Quedó en seguida aprobado el artículo. manifestó las razones que ha…</t>
  </si>
  <si>
    <t>…votos particulares de los Sres. Cabalen, Si I ves, Ramos ^García, Le- tura, Hacienda y Comercio acerca de la solicitud de D. Pedro Ma cumberri, Cabrera ,Carrasco, Larribay Ugarte (D. Gabriel) &gt; contra nuel Folgueras sobre que se le perdonasen ciertos derechos que debia rios á la aprobación de los artículos 3. y 4.0 del plan de Hacienda, y satisfacer según la ordenanza de minas del año 84, y los cuales hacían el del Sr. Linares, contrario á la apr…</t>
  </si>
  <si>
    <t>…Ebro á D. Domingo de San. Martin: para Sto. Domingo de la Cal El Sr. Bahamonde manifestó que parecia se oponía á la Constitu zada á D. Félix María Manso de Velasco: para Sedaño á D. Gabriel ción el que se enviase la orden de repartimiento á los alcaldes consti Gutiérrez; y para Villarcayo á D. Pablo Arispe. tucionales, puesto que á los ayuntamientos correspondía el conoci miento de esta orden. El Rey; á;consulta del consejo de Estado, se ha serv…</t>
  </si>
  <si>
    <t>…en otro medio de amar las instituciones cargo.El Sr. secretario empeaó i leer un largo discurso del Sr. Ligarte que experimentando sus beneficios, haciendo comparaciones, y pasan (D. Gabriel), en que se oponia al dictamen de la comisión; y ha do de peor á mejor. Es indispensable para esto la división, por la cual biéndole suspendido á poco tiempo su lectura , dijo el Sr. presidente hay mas gefes políticos , mas autoridades locales, y los interese…</t>
  </si>
  <si>
    <t>…cusión de división de territorio; y el Sr. secreta ■ o” .Según..el. Aforning-C/trunicle la Inglaterra ha influido para que la rio continuó la Lectura del discurso del Sr. Ugarte f D. Gabriel), en Rusia, no intervenga en los asuntos dejos griegos, temerosa de que es- el cual manifestaba que la Nación como estaba cargada de empleados, rta;. potencia prepondere demasiado, y se alce con el mando del Medi- -según lo. habia manifestado con tanta razón…</t>
  </si>
  <si>
    <t>Gabrielli, Maximiliano</t>
  </si>
  <si>
    <t>Maximiliano Gabrielli</t>
  </si>
  <si>
    <t>…sabido los acontecimientos del te en Cádiz, por la invención de un alambique para destilar aguardien Piamonte, semejante novedad produjo la mayor sensación en la bolsa; te: 3.“'á D. Maximiliano Gabrielli, ingeniero arquitecto de Toscana, y los fondos del Austria sufrieron uña baja extraordinaria. de introducción para la elaboración y purificación de la potasa: 4.0 í Decíase en Londres que S. M. iria á hacer un viage á Hannóver á D. Carlos Xarrie Rifa y compañ…</t>
  </si>
  <si>
    <t>Gaiiano, Antonio Alcalá</t>
  </si>
  <si>
    <t>Antonio Alcalá Gaiiano</t>
  </si>
  <si>
    <t>…es gozaron de un espectáculo, á que no es ídolo y nuestra defensa, y prenda de la gloría y felicidad taban acostumbrados. Nuestro digno Gefe político interino de las Españas. ” el intendente D. Antonio Alcalá Gaiiano dispuso que en la Madrid 24 de Febrero. mañana de dicho día se forma-eu ios tres batallones de La mi SS. MM. y A A. continúan sin novedad en su impor licia nacional local, y la compañía de volunrarios-.de la mis tante salud. ma milicia: desde bien temprano la…</t>
  </si>
  <si>
    <t>Gaisla, Francisco</t>
  </si>
  <si>
    <t>Francisco Gaisla</t>
  </si>
  <si>
    <t>…eron con agrado varias observaciones sobre la ley castigo , y de que se estrellaría á los pies de la valiente guarnición de la constitutiva del egército del teniente de infantería D. Francisco Gaisla gaditana, que tengo el honor de mandar; y cuyas sentimientos, -iindo y Ferrer, y mandaron se pasase á la comisión de Guerra. identificados con los de la distinguida milicia y heroico vecindario, me También recibieron con agrado, y mandaron pasar á su bibliote…</t>
  </si>
  <si>
    <t>Gaitía, Diego</t>
  </si>
  <si>
    <t>Diego Gaitía</t>
  </si>
  <si>
    <t>…lord Stran- Josef Veamurguia, calle Ancha, núm. igi. D. Miguel de Robles, ford, lian auxiliado en cuanto les ha sido posible á los ' eclesiásticos calle del Sacramento, núm. 223. D. Diego Gaitía, extramuros. Cá griegos. diz 16 de Octubre de 1821. = Jaureguí. Las últimas cartas de Rusia no indican con certeza el resultado de Idem 26. Desde las ocho de la mañana de ayer á las de hoy se han las deliberaciones del Gabinete con respecto á los asuntos de T…</t>
  </si>
  <si>
    <t>Gal, Jpsef Costa y</t>
  </si>
  <si>
    <t>Jpsef Costa y Gal</t>
  </si>
  <si>
    <t>…l nues sufre aquella provincia desde que se-hallan establecidas las aduanas de tra es mucho menor de jo que podíamos al.pronto imaginar. Mien la primera línea; otra de la viuda de D. Jpsef Costa y Gal i .magistra tras en lo interior se preparan los medios de resistir y de atacar, hemos do que fue de la audiencia territorial de Cataluña ,n ia que exponía recibido de lo exterior noticias, que han tranquilizado sumamente los que habiendo solicitado el pago de…</t>
  </si>
  <si>
    <t>Galaridad, Martin de</t>
  </si>
  <si>
    <t>Martin de Galaridad</t>
  </si>
  <si>
    <t>…e el año de 1813 fue comisionado D. Felipe Bauza, v calla á 40 ieguas de.jargo sobre 12 leguas de ancho; y no tiene casi irregu que lo fueron igualmente el Sr. consejero de Estado D. Martin de Galaridad ninguna. taparte de Teruel no tiene nada de montuosa mas ray y Lastarria. Ademas cuando se hizo ¡a división de la provincia de que la parte de-Albarracin. Hay varias carreteras que ponen en comu Malaga , presenté varios trabajos que la facilitaron , lo que ta…</t>
  </si>
  <si>
    <t>Galatrava</t>
  </si>
  <si>
    <t>…tulos se añada ú otras pruebas le para que se le perdonase una pequeña cantidad que adeudaba á la Ha gales.” cienda pública. La comisión , observando que continuamente se ocupa El Sr. Galatrava dijo que era menester saber lo qu» el Sr. Navas enba la atención d&lt;r las Cortes en solicitudes de esta naturaleza, opinaba, tendia'por pruebas legales. que seria conveniente establecer una regla general; en cuya consecuen El Sr. Navas contestó que por pruebas…</t>
  </si>
  <si>
    <t>Galban, Modesto</t>
  </si>
  <si>
    <t>Modesto Galban</t>
  </si>
  <si>
    <t>…garán los comisionados del presbítero, en Osma D. Angel Itero, en Oviedo L&gt;. Ramón Gil, establecimiento en las provincias á los partícipes legos de diezmos un Couder, en Plasencia D. Modesto Galban , en Patencia D. Isidro Gó 3 por too de rédito anual sobre el cap.tal líquido que arrojen las liqui mez Catnaleño, en Pamplona D. Victoriano Esain, en Salamanca daciones de que se tratará, ínterin no se les indemnice con fincas equi el Dr. D. Toribio Nuñez Se…</t>
  </si>
  <si>
    <t>Galdi</t>
  </si>
  <si>
    <t>…......... 135.©.'..'. . 990..... - 156 ,Nafoles 12 de Diciembre. ~ : . •' 5.f96©... 17990 . Sesión del 21 dé'Noviembre. Cotejando el Sr.,Orazi las partidas de esta tabla, y las El Sr. Galdi desmintió la noticia , que había divulgado mayores ó menores, ventajas de unas provinclas con! respec por la ciudad el capitan de un buque. procedente.de. Tries tó á .otras por la&gt;calidad del terreno, proporción y utilite, el cual habia asegurado que' 40® aus…</t>
  </si>
  <si>
    <t>…” habréis persuadido que sería obrar contra la dignidad del Los individuos de la comisión extraordinaria fueron los pueblo que representáis^ y contra la fortaleza que debéis Sres. caballero Galdi, general Beyani , coronel Bausan , co mo-trar, el mendigar la intervención de una potencia ex ronel Yisconti, Bernt, di Donato, barón Poerio, presiden tranjera para comprar la paz, pagándola con la libertad. te Ricciardi, y Borrelli secretario. nRecibisteis p…</t>
  </si>
  <si>
    <t>…enes, puesto que la mayor parte de sus d na — En la sesión del Parlamento napolitano del 13 de Marzo hizo éí ciones han sido injustas! Bien sé que esto se niega apelando al preten diputado Galdi un elocuente discurso acerca de la situación del egérci dido y antisocial derecho de conquista; pero yo creo que mas son los to , concluyendo con estas espresiones : » Imitemos al Senado de Ro que están a ¡fivbf de los primeros' que á favor de los segundos. -…</t>
  </si>
  <si>
    <t>Galerones, Watson y</t>
  </si>
  <si>
    <t>Watson y Galerones</t>
  </si>
  <si>
    <t>…ia;.pero es muy regular que la política del Gabinete ruí&gt; hubieran pedido presentar media docena de heridos! Los boticarios y inutilizará sus efectos. . , cirujanos radicales (_el doctor Watson y Galerones entre otros) se hu El.correo de Mr. de Lebzeltern, nuestro enviado cerca de la corte- bieran apresurado á demostrar que las heridas eran incurables. Convie de Rusia, llegó á esta ciudad anteayer con una declaración muy im ne pues que las personas despreocupad…</t>
  </si>
  <si>
    <t>Gali, Bautista</t>
  </si>
  <si>
    <t>Bautista Gali</t>
  </si>
  <si>
    <t>…tán D. Josef Ferran; fragata Esperanza, alias Paraguaya, capitán D. Tomas Colli; De la cantidad que se fija á las provincias Vascongadas el Gobierno polacra S. Francisco de Paula, capitán D. Bautista Gali; polacra Dul señalará la que haya de satisfacer cada una de las tres provincias, sin ad ce Nombre de María, capitán D. Josef Castalio, polacra Virgen del mitir reclamación alguna después de señaladas las cuotas. Madrid 29 de Carmen , capitán D. Mariano Ricomá…</t>
  </si>
  <si>
    <t>Gali, Gabriel</t>
  </si>
  <si>
    <t>Gabriel Gali</t>
  </si>
  <si>
    <t>…ias nido los diezmos. que tuviesen por convenientes; y otra de D. Manuel Serrano , en nom El Sr. López (D. Marcial) dijo que el tomar por base el'valor qus bre de su hijo político D. Gabriel Gali, pidiendo el reintegro de cier hasta ahora han tenido los diezmos-, expondría á grandes equivocacio tas multas que se habían exigido al padre de dicho Gali por adicto al nes por la desigualdad con que se pagan estos, y porque el pagarlos sistema constituciona…</t>
  </si>
  <si>
    <t>Galiano, Antonio Alcalá</t>
  </si>
  <si>
    <t>Antonio Alcalá Galiano</t>
  </si>
  <si>
    <t>…los títulos de adquisición; explicó cuan nu clies, provincia de Córdoba, contra el gefe político de la misma y el las eran la mayor parte de Lis donaciones que se hicieron en aque intendente D. Antonio Alcalá Galiano, por sus procedimientos en las llos tiempos , y para comprobarlo citó la del marquesado de Prie elecciones de ayuntamiento. go, y | la del ducado de Osuna: manifestó que no eran de terre A la misma una queja de Alejandro Mendez, Manuel González y nos incultos…</t>
  </si>
  <si>
    <t>Galiano, Juan Alcalá</t>
  </si>
  <si>
    <t>Juan Alcalá Galiano</t>
  </si>
  <si>
    <t>…Pavía y Bermingham, D. Fran ducción francesa. cisco Tuero y Badillo, D. Mariano Lobéy Rabina, Don Muchos modernos se habían ya valido con buen suceso Joaquín Vallarino y Alaminos, D. Juan Alcalá Galiano y del método que refiere- á tres coordinadas triangulares ;a Be.mudez , D. Vicente Sobrino de la Peña, D. Antonio posición de un punto cualquiera del espacio. Mr. Mouge Lobé y Rabina, D. Miguel Bonanza y Roca, D. Juan sacó de este principio el fundamento de u…</t>
  </si>
  <si>
    <t>Galiino, Amonio Alcali</t>
  </si>
  <si>
    <t>Amonio Alcali Galiino</t>
  </si>
  <si>
    <t>…todos los Por hr provincia de Cádiz. D. Francisco Javier Isturiz; D. Pedro regimientos, y provisto de toda clase de municiones, de suerte que es Juan de Zulueta; D. Joaquín Abreu; D. Amonio Alcali Galiino» tán prontos para entrar en acción desde luego. Las fuerzas rusas reuni Suplente: D. Josef Resusta. ( Diario mercantil de Cádiz.') das actualmente en nuestras provincias fronterizas, no solo se hallan Por la provincia de Sevilla. El teniente general de la arm…</t>
  </si>
  <si>
    <t>Galio</t>
  </si>
  <si>
    <t>…de Enero á la reunión de los demas ministros, en que se determi- fracción de los derechos del pueblo, y de su dispersión por medio de .nó la especie de ultimátum que se entregó a! duque Galio. la fuerza armada. o Los movimientos que se notan en el egército austríaco son conformes Que no había esperanza de recobrar los derechos y libertades per al plan de operaciones que ha de egecutar, si llega el caso de que obre didas , ni de conservar las que q…</t>
  </si>
  <si>
    <t>Galizin</t>
  </si>
  <si>
    <t>…Murawjeú y el secretario de Estado de Barcelona........... ........................................................... 5- beneficio á pss. "VVituiviow ; su actual presidente es el príncipe Galizin, y vice-presi- Zaragoza............ ............................................. tí dente el conde Tolstoy, Su objeto es emplear desde luego todos los Bilbao................ ........................................................... i medios posibles para p…</t>
  </si>
  <si>
    <t>Gallardo, Francisco</t>
  </si>
  <si>
    <t>Francisco Gallardo</t>
  </si>
  <si>
    <t>…e decida ¿ori- respectó á. Nípólés, ya ia paz ó ya uñé Continuación y conclusión del plan de organización del guerra, que pudiéra ser muy sangrienta; y propaga? siii ^gérctto, por D. Francisco Gallardo. fuego en otras partes de Europa; Memoria sobre el modo de aplicar la Constitución poli- La Prusiá -partee que rio pretende introducirse éri ¡d¿rica á la fuerza armada, sin incurrir en !a necesidad de una aSuntós interiores dé otrós Gobiernos , y que sé dedic…</t>
  </si>
  <si>
    <t>Gallarza, Antonio</t>
  </si>
  <si>
    <t>Antonio Gallarza</t>
  </si>
  <si>
    <t>…asignación de sueldos que la población, ó D. Epifanio Combay, D. Manuel Muñoz Vaca, comandante de es sea el número de diputados que le corresponda; bases que en mi con cuadrón, y D. Antonio Gallarza, capitán, todos del regimiento da cepto no son suficientes, porque hay razones muy fuertes para que el caballería del Príncipe, habia acollado en su vista el tribunal hacer ge fe político de Cádiz, por egemplo, tenga mayor sueldo que el da presente que su con…</t>
  </si>
  <si>
    <t>Gallego, Bartolomé</t>
  </si>
  <si>
    <t>Bartolomé Gallego</t>
  </si>
  <si>
    <t>…ro Montehermoso, cirujano de egército Ocho marjales en dicho término , pago del Martes, en retirado ; D. Juan de Dios Miranda , idem ; D. Joset An 5600 rs. tonio Córdoba y López ; D. Bartolomé Gallego , cirujano Siete marjales en dicho término, pago del v ternes, en del regimiento infante ría Ordenas Militare* ; los cirujanos 5250 rs.</t>
  </si>
  <si>
    <t>Gallego, Josef Ensebio</t>
  </si>
  <si>
    <t>Josef Ensebio Gallego</t>
  </si>
  <si>
    <t>…e se iba i tratar en el Congreso los asuntos mas im ron aprobados : 1Que habiendo examinado los poderes de tos señores portantes, y que mas pueden interesar á aquellos habitantes. D. Josef Ensebio Gallego , diputado por Vera-Paz de Goatemala , y Después de haber hecho varias observaciones sobre este asunto, los de D. Juan Muñoz Alamin , por la provincia de Sevilla, los ha concluyó manifestando que no podía aprobarse el dictamen de la co llaba enteramente confo…</t>
  </si>
  <si>
    <t>Gallego, Josef Eusebio</t>
  </si>
  <si>
    <t>Josef Eusebio Gallego</t>
  </si>
  <si>
    <t>…Teran. término entero con sus cosechas y ganados. También se dió cuenta de los poderes presentados por los señores Compadecido'de semejantes calamidades y de la frecuencia con que D. Josef Eusebio Gallego, electo diputado por Vera-Paz de Goate- se repiten.á causa del modo con qae se techan los edificios rurales, un mala ,y D. Juan Muñoz Aiamin, por la provincia de Sevilla, los cua ciudadano del Pas-de-Calais se ha dedicado por espacio de dos años i les habían…</t>
  </si>
  <si>
    <t>Gallego, Juan Nicasio</t>
  </si>
  <si>
    <t>Juan Nicasio Gallego</t>
  </si>
  <si>
    <t>…bres 2: mugeres 2 : niños o: niñas 1. Total 5. presente en la discusión de dicho proyecto. ' Dia 29 hombres 3: mugeres 1 : niños 3: niñas 1. Total 8. Se dió cuenta de un oficio de D. Juan Nicasio Gallego, en el que JUNTA SUSERIOR DE SANIDAD. manifestaba haber fallecido en Valencia la n'cGhe del 3 del corriente Ultimos partes recibidos del Puerto de Sta. María mes el .yr. diputado D. Fernando Navarro , y que en testimonio de En U poblaclcc. Invadidos de Muerto…</t>
  </si>
  <si>
    <t>Gallego, Vitoriano María</t>
  </si>
  <si>
    <t>Vitoriano María Gallego</t>
  </si>
  <si>
    <t>…ar y tomó asiento el Sr. D. Juan Esteban Milla, dipu tamen de la mayoría de la comisión estaba arreglado á justicia. tado por Honduras, en Goatemala. Se leyó una representación de D. Vitoriano María Gallego, con Del dictamen de las comisiones reunidas de Hacienda y Comercio, tador de primera clase de la contaduría mayor de la Nación , en que cuya discusión se señaló en 25 del corriente (véase en la ¿aceta del 26) manifestaba que habiendo visto que algunos Sres.…</t>
  </si>
  <si>
    <t>Gallegos</t>
  </si>
  <si>
    <t>…He visto que en esta discusión un arroyuelo , un cerro , el menor que el Gobierno se lo hubiese mandado. obstáculo que se ha opuesto, todo se ha tenido en consideración ; pero El Sr. Gallegos dijo asi: Creo que debe aproharse el'dictamen ahora se trata de cosas de mayor importancia, y por lo mismo espero de la comisión, esto es, que Sta. Cruz de Tenerife sea la capital de Ca que las Cortes tendrán en consideración todas las razones que se han ale…</t>
  </si>
  <si>
    <t>…uso de las armas modernas , y aun de lá artillería, que ya alean-, artículo.,, sino del siguiente, .... . zó y supcj..aprovechar muy bien esté ilustre caudillo. En la gaceta de El Sr. Gallegos dijo que convendría hacer alguna excepción con, Madrid de , 14 de Noviembre de 1812 se hizo ún ’r’ecuerdo de está obra respecto á las islas Canarias, en atención á que .tocaban en la isla de, rara, anunciando que en la.biblioteca del se.minar.ififiefifiTobl.e…</t>
  </si>
  <si>
    <t>…oy á hablar no contra el ar consignatarios de los generos, estar á las resultas de lo que se resolviere. tículo , sino contra las aduanas de tercera y cuarta clase, que son mu Del Sr. Gallegos al artículo 19 para que se añada, á excepción de chas, y que rio son mas que el asilo del contrabando. Con motivo de las islas Canarias, en las que se rebajaran lo mas posible el derecho de haber ido á mi país en el intermedio de las Cortes ordinarias últimas…</t>
  </si>
  <si>
    <t>Gallo</t>
  </si>
  <si>
    <t>…e para gloría de los pueblos y Se calcula que la respuesta-de Ñapóles al ultimátum de que ha sido satisfacción de su amor paternal se ha conservado siempre bajo la sal portador el duque Gallo llegará á Laibach sobre el 18 de este mes. vaguardia de las leyes; pero si algún espíritu turbulento se atreviese á Entre tanto nuestras tropas se aproximarán mas á las fronteras , y el Rey mirar los actuales acontecimientos como una ocasión oportuna para fra…</t>
  </si>
  <si>
    <t>Galvaní’</t>
  </si>
  <si>
    <t>266</t>
  </si>
  <si>
    <t>…festado con la mayor claridad su influjo en los fenómeno* • ' monasterio de S. Gerónimo del Valle de Hebron , pa- químicos. ra cuyo primer remate, que se ha de' celebrar en la El doctor Galvaní’ fue el primero que observó en 1764 propia ciudad de Barcelona, está señalado el dia 3 que los órganos nerviosos ó "musculares, puestos en contactó del citado tries de Marzo. ' con los" metales, experimentaban una irritación, que se ma■ Una casa llamada procur…</t>
  </si>
  <si>
    <t>Galvez, Andrés</t>
  </si>
  <si>
    <t>Andrés Galvez</t>
  </si>
  <si>
    <t>…o de Santander: al intendente de Soria por t .ucional una orden de la misma. haber levantado el cordon del Ebro, contraviniendo á las ordene* Se concedió el permiso que solicitaba D. Andrés Galvez , juez elec que habia sobre el particular ; y al intendente de Vizcaya por su* to de primera instancia de Antequera, para que pudiese prestar su ju procedimientos, en este asunto; y, que se digese al mismo tiempo al ramento ante otra audiencia que la de Grana…</t>
  </si>
  <si>
    <t>Gamboa, Manuel Fernandez</t>
  </si>
  <si>
    <t>Manuel Fernandez Gamboa</t>
  </si>
  <si>
    <t>…icitud de Secretaría del Despacho. D. Gregorio Martínez contra el juez de primera instancia de esta cor-, Secretaría del Despacho , oficiales, escribientes y porteros 1.019,500 te D. Manuel Fernandez Gamboa, por haberle tenido detenido mas reales. Gastos de la misma 1209. Para impresión de decretos y circula -' de 24 horas, pidiendo en su consecuencia haber lugar á la formación res 70U. Individuos que cobran por ahora en la nómina de la secreta de causa contra e…</t>
  </si>
  <si>
    <t>Gamez.ee, Juan María</t>
  </si>
  <si>
    <t>Juan María Gamez.ee</t>
  </si>
  <si>
    <t>…an Bre Diego Valdivia—El brigadier coronel de Astúrias Pedro Dejoui.réEl taña ;-Ján~ célebre por la sabiduría de su Gobierno, por su cultura y brigadier Juan Josef de Sardeño.—Til coronel Juan María Gamez.ee: Ei por'sú”ilustración ; se halle todavía un pueblo en un estado tan lasti capitán del primer batallón de Astúrias Francisco de Paula de Luna.=; moso ó de opresión , pues que necesita recurrir al asesinato para ven Capitán de Astúrias Alfonso Lopez.zzEl tenie…</t>
  </si>
  <si>
    <t>Gaminde, Benito Felipe de</t>
  </si>
  <si>
    <t>Benito Felipe de Gaminde</t>
  </si>
  <si>
    <t>…arrasco, de CáA los .que se presenten leyendo bien en prosa, sabiendo doctrina Bayo é hijo , de Bdbao. ceres. cristiana y con conocimiento de los principios de escritura se adjudi D. Benito Felipe de Gaminde é hi D. Josef Vicente Durana, de Cá cará una colección de poesías de la sociedad , encuadernada á la inglesa. jo , id. diz. Se adjudicará un premio de 60 rs. vn. al alumno de esta escuela que D. Clemente Fernandez de Elias, D. Juan Nepomuceno Escurdia, de sob…</t>
  </si>
  <si>
    <t>Ganancias, Josef Josef</t>
  </si>
  <si>
    <t>Josef Josef Ganancias</t>
  </si>
  <si>
    <t>…intruso. Quien supiere su paradero se servirá avi de Dalias á D. Joaquín María Márquez; para la de Torbiscon á Don sarlo a) notario mayor de la vicaría eclesiástica de esta corte D. Josef Josef Ganancias; para la. de Oriiba á D. Luis Muñoz Palao ; para María Patón, en cuyo oficio está radicada la solicitud de Rivero para ja de Motril á D. Josef Alegría Quilchano; para la de Aihama á Don que se publique este aviso. .Mateo Miguel A.illon, paa ía de Velez-Málága…</t>
  </si>
  <si>
    <t>Gandásegui, Matías de</t>
  </si>
  <si>
    <t>Matías de Gandásegui</t>
  </si>
  <si>
    <t>…eriódicos la gaceta y diario á los acreedores de la misma Do ña María Fraga, D. Tomas Perez, D. Juan Antonio de! Cerro, seño AUDIENCIA DE CATALUÑA. res Cock, Sres.-Oterhr Windsor, D. Matías de Gandásegui, Doa Juan Augustus, D. Gaspar Gómez de Alia, D. Julián de Leis, Do* Concluye la visita general de la cárcel pública de la ciudad de Barce Manuel de la Peña Rodrigo y D. Francisco Ruiz, óá sus respectivos he lona , hecha en ay de Diciembre de 1820. rederos y r…</t>
  </si>
  <si>
    <t>Gandía, Antonio Rojo y</t>
  </si>
  <si>
    <t>Antonio Rojo y Gandía</t>
  </si>
  <si>
    <t>…eta: para Aranzo de Miel á D. Juan nes directas.” María de Vivanco: para Aillon á D. Juan Angel González de Navas: Se leyó el art. 57, concebido en estos términos: para Belorado á D. Antonio Rojo y Gandía: paraBriviesca á D. Hilario Art. 57. »Inmediatamente que los subdelegados reciban el estado Armontia: para Búrgos á D. Modesto Cortazar: para Castrojeriz á Don de repartición visado por el intendente , enviarán á los alcaldes cons Josef Calleja: para Villaoz…</t>
  </si>
  <si>
    <t>Gaona, Jacinto</t>
  </si>
  <si>
    <t>Jacinto Gaona</t>
  </si>
  <si>
    <t>…remate. Quien quisiere hacer las expresadas mejoras acuda anta Con este fin. y siendo Barcelona el puerto mas á propósito por las dicho señor juez por la escribanía del número de D. Jacinto Gaona y comunicaciones con el extrangero, y qns facilita la rapidez y brevedad loeches. en las operaciones mercantiles, ha nombrado la junta á IX Mariano A instancia de distintos interesados en el patronato que en la villa Gil, vecino y del comercio de aquella.ciud…</t>
  </si>
  <si>
    <t>Gaoquez, Jacinto</t>
  </si>
  <si>
    <t>Jacinto Gaoquez</t>
  </si>
  <si>
    <t>…úm. 1 , lin nistro togado, y juez letrado de primera instancia de esta M. H. da con otras de la capellanía que administra D. Luis Vaz- villa, refrendada por su escribano de número D. Jacinto Gaoquez y marques de Castromonte, en 3693 rs. na y Loeches , se ha señalado el domingo 18 de este mes, en su Otra casa á ¡a colación de S. Bartolomé, titulada cole posada y hora de Jas 10 de su mañana , para una junta general gio Viejo, linda con la casa escuela, con…</t>
  </si>
  <si>
    <t>Gar</t>
  </si>
  <si>
    <t>…que las provincias fuesen pequeñas , y asimis lidad del artículo la connsion ha hablado ya en el discurso preliminar mo rebatiendo algunas de las observaciones que había hecho el Sr. Gar de su informe délas dificultades que lleva en sí la minuciosa descripción cía Page, y entre ellas la de que si el contrabando lo podía impedir una de los límites: la comisión no capera mas que el acierto; no tiene ape diputación provincial estando unidas las…</t>
  </si>
  <si>
    <t>…uya descripción no ha Zubia, Manescau , Quintana y Argaiz. .- ' podido menos de hacer V. M. con la mayor satisfacción. Para secretario saiió erecto lambien en primer escrutinio el Sr. Gar «Y nosotros, ¡señor, hemos oído á lodos los que disfrutan de estos cía Page por 82 votos de 111 ; teniendo 8 el Sr. San Miguel, 6 el se beneficios atribuírselos á aquel.i quien se los ha proporcionado , llenán ñor Priego, 4 el Sr. AzaoU,.2 el Sr. Sancho, y un…</t>
  </si>
  <si>
    <t>…colegias de instrucción para ciegos y sordo-raudos.” representantes ¡de la Nación van i corresponder de nuevo á la augusta Y á consecuencia de algunas observaciones hechas por el Sr. Gar confianza de V. M., manifestándole con la franqueza que deben el re cía (D. Antonio ) , y después de una corta discusión , se aprobó el ar sultado de sus observaciones , para que el paternal amor de V. M. se tículo en estos términos: sirva proveer á las' nece…</t>
  </si>
  <si>
    <t>…usión la siguiente adición del Sr. Marte! á’ la nados del Gobierno jónico nombrados para el efecto ; y manda que todo proposición anterior aprobada: &gt;&gt; Pido que la proposición del Sr. Gar individuo siibdito ó residente en las islas jónicas, que en adelante inten cía Page se haga extensiva al dia de Reyes.” ......... te tener la menor comunicación con los expresados buques, sea con Se leyó una proposición del Sr. Fondevila , en la que manifesta…</t>
  </si>
  <si>
    <t>Gar, Félix</t>
  </si>
  <si>
    <t>Félix Gar</t>
  </si>
  <si>
    <t>…rta, y aun el principio de las hostilidades, de que ya se habla. Los bosniacos no podrán menos de seguir la conducta de los ser se halla vacante, por renuncia del capitán graduado D. Félix Gar vios; y ios valacos , á:-pesar de la disolución del egército de Ipsilanti, cía Cuerva , la plaza de oficial segundo de la secretaría de la diputa continúan haciendo mucho daño á los turcos, estando al frente de las ción provincial de Toledo. En el término de…</t>
  </si>
  <si>
    <t>Gar, Juan Gerónimo</t>
  </si>
  <si>
    <t>Juan Gerónimo Gar</t>
  </si>
  <si>
    <t>…ín. Sánchez y Ferriz; para Gijona D. Alonso Vil lasante; para Ca ser inagenables los.bienes de la Nación, y que la mayor parte de los llosa de Ensarna D. Vicente Cerda; para Denia D. Juan Gerónimo Gar que se habian enagenado no eran de los patrimonios de los Reyes, co- rido; para Onteniente D. Josef de los Ríos Mira; para Albaida Don mo.había supuesto el Sr. Lobato, sino del de la Nación. Juan Perez Cebrian; para Gandía D. Julián .Gardeta; para Játiva Don…</t>
  </si>
  <si>
    <t>Gar, Juan Justo</t>
  </si>
  <si>
    <t>Juan Justo Gar</t>
  </si>
  <si>
    <t>…de verdadera lógica, ó sea extracto de los elementos del coraciones y honores á que sea acreedor, tanto por los servicios pasados senador Destutt-Traci, formado por el presbítero D. Juan Justo Gar como por los presentes y futuros ;. y que.á las autoridades de aquellos cía, catedrático jubilado de matemáticas de la universidad de Salaman dominios se les oiga con respecto á no haber prestado,i Capaz las noti ca, diputado por la provincia de Extremadura á…</t>
  </si>
  <si>
    <t>Gar, Justo</t>
  </si>
  <si>
    <t>Justo Gar</t>
  </si>
  <si>
    <t>…er ANUNCIOS. minarlo mas conveniente acerca de éste punto', se mandó volver á la' comisión él artículo y lo restante del título. '; En el Juzgado interino de primera instancia del Sr. D. Justo Gar cía dé la Mata, alcalde primero constitucional de la ciudad de Sevilla, ......... . TITU. O xvr. ’ y ante D. Manuel de Sousa y Agilitar, se han formado autos á'instan cia de Dona Ana María de Guerra y Torres, sobre.que se le'declaren Almirantes de escuadras y…</t>
  </si>
  <si>
    <t>Gar, Manuel</t>
  </si>
  <si>
    <t>Manuel Gar</t>
  </si>
  <si>
    <t>…consejeros honorarios de Estado D. Evaristo Perez de Castro, Aguado y D. Esteban Cabañez, vindicándose de una queja dada contra D, Agustín Argfieiles, D. Ramón Gil de la Cuadra , D. Manuel Gar ellos por D. Tiburcio López. cía Herreros, D. Josef Canga Argíielles , D. Cayetano Valdes y Don Se dió cuenta de una exposición de D. Luis Sánchez Prieto, vecino Juan Jabaí, en atención al estado en que se hallaban, á los distinguí-</t>
  </si>
  <si>
    <t>Gar, Vicente</t>
  </si>
  <si>
    <t>Vicente Gar</t>
  </si>
  <si>
    <t>…, en 12,550 rs. flujo, componen" úna de "estas partes,’ que se llama arco Otra heredad en el mismo' sitio , de 2 yugadas escasas, animal.. de primera calidad; linda con tierras de D. Vicente Gar Los instrumentos que sirven para egercer este influjo cía de Mnrquina y de Guzman, en 150c rs. forman la otra parte del círculo , que se ¡lama arco exci Otra ídem en la senda. Muerta dé yugada y medía de tador. pri mera calidad ; linda con dicha senda , tieirrd d…</t>
  </si>
  <si>
    <t>Gar-, Vicente</t>
  </si>
  <si>
    <t>Vicente Gar-</t>
  </si>
  <si>
    <t>…ir los detalles por falta de tiempo: que el número de pri- jera que las Cortes no habian hecho sitio decir que quedaban enteradas. »sioneros hasta ahora era de 40 , entre ellos el sargento Vicente Gar- "Hace dos meses, continuó, sé trátó de tomar una medida mur ra «cía, dos eclesiásticos y" cinco granaderos provinciales; que el cura dical ; y los Sres. secretarios dei Despacho manifestaron que no habia &gt;1 Merino se habia escapado con 29 caballos, habiendo s…</t>
  </si>
  <si>
    <t>Gárate, Francisco</t>
  </si>
  <si>
    <t>Francisco Gárate</t>
  </si>
  <si>
    <t>…ausa seguida por el juzgado de primera instancia del Sr. Don de 3 de Setiembre último , á saber: Julián de Sojo, y escribanía cartularia de D. Pedro Josef de Ibube, á instancia de D. Francisco Gárate , secretario de S. M., comisario de En la provincia de Extremadura, procedentes de la encomienda va Guerra, y administrador general de aduanas y sus agregados de San cante del Castillo, para cuyo remate, que se ha de verificar en la tander , y otros empleados…</t>
  </si>
  <si>
    <t>Garay</t>
  </si>
  <si>
    <t>…llones, puesto que ya pagaba la misma cantidad desde que se esta mente su muerte; añadiendo que estuvo muchos dias sin dársele sepul tu bleció. en el año de 18 el.plan llamado del Sr. Garay.: yo entiendo, ra fice. &amp;c.; en cuya consecuencia pedia que le fuese confirmado el gra continuó, que de ninguna manera se perjudica al clero en general; y si do de coronel dado por el expresado general, y se le concediese, á ella á algunos individuos se les d…</t>
  </si>
  <si>
    <t>…aco , su producto para Ja Hacienda pública fue nulo ; com cio que había contraido este interesado , su crédito estaba comprendí-- parando esto con lo que se verificó en tiempo del Sr. Garay, en el que rio en el corte de cuerna de ia tesorería general; y el segundo que de produjo esta renta 69 millones, se ven las ventajas que produce el te acceder á lo que solicitaba se infringiria una disposición que no admi norio estancado , y la necesidad que…</t>
  </si>
  <si>
    <t>Garay, Josef de</t>
  </si>
  <si>
    <t>Josef de Garay</t>
  </si>
  <si>
    <t>…onal del Crédito público, han venido en nombrar para contador ge cuento que corresponda á sus respectivos sueldos, para que sus mu- neral de Recaudación de dicho establecimiento á D. Josef de Garay, geres puedan percibir cuando enviuden, no una pensión arbitraría , si contador honorario de egército. Madrid 25 de Mayo de 1821.^An no lo que en razón de tales descuentos debia corresponderles según el tonio de la Cuesta y Torre ; presidente. r= Francisco Fe…</t>
  </si>
  <si>
    <t>…an. servándose dar el nombre del Sobre la extensión de la libertad de imprenta. D. Josef Batanero. empresario. Art. r.° « Sfesde el dia en que se publique esta ley podrá todo indi D. Josef de Garay. viduo imprimir, publicar, comprar y vender en los Estados portugue- - Empréstito nacional de ^41.880,000 rs. ses cualesquiera libros descritos sin previa censura, y solamente con Estando formalizado con el Gobierno el convenio de empresa del las condiciones…</t>
  </si>
  <si>
    <t>Garay, Sandalio Orne y</t>
  </si>
  <si>
    <t>Sandalio Orne y Garay</t>
  </si>
  <si>
    <t>…ma; á pronuncia: la santidad del objeto se propaga; y.vuestro D* Andrés Leandro Recuelia de la villa de Viilacastin ; á carscier impertérrito todo lo facilita, todo lo alcanza, to D. Sandalio Orne y Garay de la de Sepúlveda ; y de .la do lo vence. Un solo problema hubo de resolverse : el genio •de Cuellar á D. Manuel del Pozo. u . tutelar iluminó á Fernando; y la gloria de la Nación en-r tera se fijó por siempre en las generaciones futuras. ¡Gloria A propuesta…</t>
  </si>
  <si>
    <t>Garbayo, Casimiro Javier-</t>
  </si>
  <si>
    <t>Casimiro Javier- Garbayo</t>
  </si>
  <si>
    <t>…illa. los Licurgos y So'ones, y ya que tan felizmente desempeñaron su en Parroquia de S. Pedro, 2 electores. cargo vuestros comitentes , trasmitid vuestro careo al mas sabio y mas D. Casimiro Javier- Garbayo y D. Pedro Corral. virtuoso , sea quien fuere, para que os podáis gozar en la prosperidad y Parroquia de S. Salvador, un elector. gloria de nuestra patria! D. Julián Díaz de Yela. Presentamos aqui la lista de los electores que han de concurrir á las Parroquia de Santiago, un e…</t>
  </si>
  <si>
    <t>Garbayo, Rafael</t>
  </si>
  <si>
    <t>Rafael Garbayo</t>
  </si>
  <si>
    <t>…ual del 3 por xoo. Luciano de Casas, en Tortosa D. Josef Antonio Cid, en Tuy D. Si 15. Los comisionados especiales de obispados exigirán de los partí món Vázquez Freire, en Tudela D. Rafael Garbayo, en UrgeL Don cipes de diezmos, sin perjuicio de adquirir los demás datos y noticias Antonio Castelló, en Valladolid D. Fermín Urien de Salas, en Va que conceptúen oportunas, las pruebas y documentos que sean necesa lencia D. Martin Serrano, en Vich D. Antoni…</t>
  </si>
  <si>
    <t>Garcés, Pedro</t>
  </si>
  <si>
    <t>Pedro Garcés</t>
  </si>
  <si>
    <t>…ado el Sr. Rovira. ... D. Valero Javierre.zz D. Alejandro Lera.— D. Agustín de Gracia. = Art. 122. m Los oficiales de cargo de artillería de los buques serán D. Carlos Serrano, zz D. Pedro Garcés. z=D. Bernardo Rodrigo.=Don nombrados de entre aquellos del grado que pida el reglamento mas ap Mariano Siles. zz D. Miguel Juanton. — D. Josef Collados. = Sr. ba tos para desempeñar estos destinos; y en consideración á la importan rón de Torrefiel. z=D. jose…</t>
  </si>
  <si>
    <t>Garces, Severo</t>
  </si>
  <si>
    <t>Severo Garces</t>
  </si>
  <si>
    <t>…los destinos de parque, laboratorio de mixtos, .fundiciones;y otros D. Manuel Noballas.zzD. Francisco Perez.zzD. Vicente Ibañez.z^ facultativos.” Aprobado. D. Domingo Ciaveria. zz D. Severo Garces. = D. Nicolás Gutierrez.zz La comisión retiró el artículo 125. D. Mariano Lison.zzD. Manuel lisoni =: D. Pedro Tomas.zzDon Art. 126. » A los oficiales de este cuerpo no se les dará ningún Manuel Diego, zz D. Francisco Ssforcada. zz Y yo el infrascrito secre d…</t>
  </si>
  <si>
    <t>García</t>
  </si>
  <si>
    <t>…a. Otra al camino de la Zapata, de 2 obradas y media, de primera ca Se dió cuenta del dictamen de la cómísion de Legislación sobre una lidad, de secano, en 3210 rs. indicación del'Sr. García (D. Antonio), en que pedia se fijase el ver Otra al camino de la Herrada, de una obrada, de segunda calidad, dadero sentido de la palabra sirvientes domésticos, que no debían tener de secano, en 800 rs. voto activo ni pasivo en las juntas electorales de parro…</t>
  </si>
  <si>
    <t>…a indicación de los Sres. ¡LailaYe-.fDon correspondiente; por cuyas razones aprobaba en un todo la adición del Pablo) y Couto que decia: « Distando centenares de leguas la capital Sr. García. —---------------del nuevo: Méjico .de'las villas de Chiguagua ;y Santilla;,¡ pedimos que Dada por suficientemente discutida, se aprobó. se establezca en Santa Fe, que es la capital, una universidad de pro En seguida se leyó el art.-g-q, que d&amp;cia: vincia;” s…</t>
  </si>
  <si>
    <t>…e siga la ley de Felipe iv, sin perjui en la que á consecuencia de la presentada en la sesión de ayer por el cio de examinarla, y .que se oiga .de nuevo al citado. Pedro Villaiba. Sr. García, que fue aprobada, proponía se obligase á seguir en los es Quedó aprobado. . . ' tudios privados el mismo sistema de enseñanza que en las escuelas pú La misma comisión informó no debía accederse a la solicitud de blicas para que produjesen igual efecto. Anton…</t>
  </si>
  <si>
    <t>…, individuo de la comisión de Legislación, propuso rarios ó universidades, sino que se modificasen ó'rectificasen sus ense la duda de si habiéndose aprobado ayer la indicación del Sr. García, de ñanzas: y concluyó manifestando era de opinión que tanto este artícu berían referirse á esta resolución los expedientes que sobre permutas y! lo como el que le seguia se pasaran á la comisión, para que ¿ido el dispensas de anos en las carreras literarias…</t>
  </si>
  <si>
    <t>…ió la comisión especial encargada de este' Aheeiras 22 de Marzo. negocio, y se declaró ser primera lectura. " 1 En carta de Mahon de 3 del corriente se dice lo que sigue: » Hoy El Sr. García! Bage hizo presente el retraso que sufrían' todos losha fondeado en este puerto el bergantín de guerra español Jasan , su negocios por la larga discusión de señoríos, que actualmente ocupaba comandante el teniente de navio D. Pablo Micheo , que salió de Car a…</t>
  </si>
  <si>
    <t>…titucional, y cuyas luces y religión sean conocidas. Después de haberse declarado I’RESIDKNCIA SEL SÉSÍOR GUTIERREZ DB TURAN. eran proposiciones, se reputó por primera lectura. El Sr. García ( D. Antonio ) dijo que con el mayor sentimiento Sesión del dia 23 de Abril. habia visto en los papeles públicos que la tropa que salió de Logroño en Se leyó y aprobó el acta de la sesión anterior. persecución de los malhechores, y que tanto deseo manifestaba…</t>
  </si>
  <si>
    <t>…equidad con que la comisión había propuesto su dic “se proponia. Quedó aprobado el artículo. tamen. : i -: . Art. 15. ¿.Además dé lá precaución que se previene en el decreto &gt; El Sr. García (D. Antonio ) manifestó que parecía chocar con el '•citado dé 9 de Noviembre de 1820 para evitar"eL abuso que los fabrt-derecho de libertad que tiene todo ciudadano.ei querer que.un ramo ‘'cantes pueden hacer , dando por consumidas en salazones sales que aca…</t>
  </si>
  <si>
    <t>…otestad exterior que Leidl y aprobada el acta de la anterior , se mandó agregar á ella el respeta , pero que atenta continuamente contra ellas. La contienda es voto particular del Sr. García (D. Antonio) contrario á la aprobación tan antigua como el cristianismo en-Francia. Nuestra Iglesia no ha ce de varios artículos del plan de Hacienda. sado nunca de defender lo que la Santa Sede no ha cesado de atacar, Las Cortes quedaron enteradas, y mandaro…</t>
  </si>
  <si>
    <t>…icial y lesiva El Sr. Traver pidió que se leyera el informe de la junta nacional que era para la Nación ; pero al fin esta se verificó , y yo creo que de del Crédito público,}' el Sr. García (D. Antonio) el acta de la se be cumplirse. Asi que , las Cortes deben determinar si se aprueba el sión de Cortes del dia 26 de Junio de 1820. Verificada la lectura, el primer articulo que propone la comisión, porque en el caso de no apro Sr. Traver dijo : es…</t>
  </si>
  <si>
    <t>…s, sujetándose después á las reglas granos , harinas ó; instrumentos de labbr. establecidas en la materia.” El de la especial de Hacienda acerca de la solicitud de Doña María . El Sr. García (D. Antonio) hizo varias reflexiones acerca de l* del Carmen Elias, en la que pedia que en virtud de los distinguidos ser circunstancia de que fuesen examinados los que tratasen de establéese vicios de su marido á favor de la causa de la libertad, se la conce…</t>
  </si>
  <si>
    <t>…ntó para después del art. 10 el siguiente adicional: palabra religión las de y ambos derechos, en lo que convino. » Cualquiera persona de ambos sexos de las comprendidas en las El Sr. García (D. Antonio) dijo que no debia haber lugar á votar nuevas poblaciones de América , que se casare con indio ó&gt; india , ten acerca de dicha indicación, porque era contraria á la base cuarta del drá no solo la parte de terreno que se concede en los artículos pre…</t>
  </si>
  <si>
    <t>…tiempo. La; fragata ingle vincias de. Cádiz y Sevilla.” sa Andromaca, que habia vuelto de las costas del Perú , no habia po No hubo lugar i votar sobre la siguiente indicación del Sr. García dido entrar eri el Callao , por haberse opuesto el virey, á causa de que • Page; „ Que las Cortes rebajen las cuotas de contribuciones de consu llevaba á bordo a Ladi Cochrane. mos á la provincia de Cuenca, ó autoricen al Gobierno para que lo haga por sí.” TR…</t>
  </si>
  <si>
    <t>…mas severas providencias para precaveré! contagio, y las cuales de los pueblos á Plasencia que á Caceres. iremos publicando para que el comercio se arregle ¿ellas, y los viajan El Sr. García ( D. Justo ) manifestó que era mas conveniente el tes no aleguen ignorancia. que fuese Cáceres la capital que no el que lo fuese Plasencia : y una de Jas razones en que se fundó fue el estar ya instalada alli la audiencia, CORTES EXTRAORDINARIAS DEL AÑO DE 18…</t>
  </si>
  <si>
    <t>…l la propensa á enfermedades-, nodo era'desde que,Provincia.deAprobada. -■ ; Su capital Huelva. .. .. estaba co.nstruido el magnífico canul.de: que, habia hablado : que otro de El Sr. García (D.;Antonio) dijo: La comisión ha tenido pre los motivos que la comisión .alegaba en favor deChinchillaeral el de; ser, sente para .establecer las. capitales el . que esten en .caminos' fá.ciles, de, residencia dé un juez de primera instancia ; pero que no er…</t>
  </si>
  <si>
    <t>…rán á manera de sus vocales cada año por mitad ; resul mismo justo título para disponer de ella, podrán los intendentes habi tando que proponiéndose en el proyecto lo que el mismo Sr. García litarla igualmente para su exportación, precediendo la justificación y Page fue de opinión que debia proponerse, quedan deshechos todos los formalidades que se exigen respecto á los géneros introducidos en el argumentos de S. S. La otra equivocación que tengo…</t>
  </si>
  <si>
    <t>…sumadas que constituyén-el delito ;«nel acMas acciones perfectas y -peras i y no haberlo egecütado.” consumadas hechas en ciertas circunstancia» que. constituyen, iá ¿hipa, - , El Sr. García (D. Antonio), después de.haber manifestado la necesi:y.^fcel art&amp;ulmsmdiceique » la tentativa ¡del delito esi el designio de ,dad absoluta de que en el código penal subsistiesen ciertas definiciones, •cometerlo, minifestadoporalgunactoexterior que prepare la,…</t>
  </si>
  <si>
    <t>…creo que el ar Nuevos apuntes del diputado Vilianuei'a sobre las cartas del Sr. Al tículo debe aprobarse. calá Galiano: níun. 4° Se hallará con las anteriores en la librería da El Sr. García ( D. Antonio ) insistió en que era necesario se seña Hurtado. lase ei máximo ..supuesto que la ley señala los diversos grados en el Discurso sobre aumentar la población, la riqueza pública, la mari dciíto- na y las virtudes civiles: por J. B. y L. Sí hallará…</t>
  </si>
  <si>
    <t>…que, poniendo el artículo en los términos que he indicado, no creo Se declaró este asunto por suficientemente discutido , y quedó apro qué d-.be desaprobarse. bado el artículo. El Sr. García f D. Antonio ): A dos clases se pueden reducir los . Art. 13 . Son delincuentes ó culpables, sujetos, á la responsabili delitos que cometa un español en países extrangeros, ó delitos contra dad que les imponga la ley, no solamente los autores del delito ó de.…</t>
  </si>
  <si>
    <t>…cho el argumento del Sr. Linares respecto al artículo qué El Sr. Calatrava hizo presentes los informes, que habia recibido Ih se discute. comisión acerca de este ártícúfo. ' ■” El Sr. García (D. Antonio} manifestó que podrian suprimirse al ■ • El Sr. Casaseca dijo que enia parte cuarta de este artículo se decía gunos nombres de ¡os que se ponían en este artículo, y puesto que se que era cómplice de delito ó culpa: » El que espontáneamente y á sa…</t>
  </si>
  <si>
    <t>…tículo., que decía: » los quévoluntaria el ártículo &lt;f guardan espaldas. mente y i sabiendas,' por sus discursos , sugestiones, consejos , ins- En atención á las observaciones dtl Sr. García (D. Antonio)se «onfruccíones , órdenes amenazas ú otros artificios culpables ¡ aunque no fbrmáron los Sres. de la comisioncon que sepusíeseen lugar de provoquen directátnehteá cometer eí delito ó culpa . contribuyen efi no lltgueti lo siguiente: no llegando j…</t>
  </si>
  <si>
    <t>…, Art. o.a ” El administrador dará cuenta al intendente de la adqui á las cuales contestó el Sr. Paul. sición hecha del t nteo, expresando la cantidad y calidad de los géneros. El Sr. García (D. AntonioMe parece muy justa la considera Art. 4.0 « Ei intendente anunciará desde luego al público por me ción que ha tenido la comisión respecto del amor y la amistad para dio de carteles los géneros tanteados, señalando el día que se han da hacer rebaja…</t>
  </si>
  <si>
    <t>…no se abre al que persigue con la guno pudiera fingirse en este estado pira eludir la pena deWfcielito. vara de la ley al delincuente, sino al que adu • y se prosterna ante el El Sr. García ( D. Antonio) dijo que se conformaba con esta pri poder. mera parte del artículo por ser indudable que los somnámbulos egecutaban « F.I espíritu público , agitado de rezelos y temores , se manifestó muchas acciones que'podían ser muy perjudiciales, sin embarg…</t>
  </si>
  <si>
    <t>…to £ otros para Se'mandaron pasar £ La comisión una adición del Sr. López (Don alarmar y para zaherir al Gobierno. Entonces se ha visto á personas Marcial) al art. 132, y otra del Sr. García (D. Antonio) al i-.¡g. de todas clases pedir á V. M. la separación del ministerio, y de las pe Habiéndose concluido el plan de beneficencia, continuó la discusión ticiones pasar al desacato, y de este á una inesperada desobediencia. dd código penal. ' Entonce…</t>
  </si>
  <si>
    <t>García, Andrés</t>
  </si>
  <si>
    <t>Andrés García</t>
  </si>
  <si>
    <t>…contramarcha del egército ruso; y cional ; y en ella por repetidos autos se ha mandado proceder á la pri que unos 254 30© hombres se dejarán á la disposición del Austria.” sión de D. Andrés García , oficial que dice haber sido de cuerpos fran La insurrección griega es cada dia un asunto mas serio, pues parece cos , y cuyas señas son: cojo y manco del pie y mano izquierdos ; y í que casi toda la Morea se ha declarado, y que los griegos de Patras la de I…</t>
  </si>
  <si>
    <t>García, Antolin</t>
  </si>
  <si>
    <t>Antolin García</t>
  </si>
  <si>
    <t>tnaiul« pasar una solicitud de D. Antolin García, vecino de Golme- tas cattsas :á-imitación de lo .-que se practica en la -jurisdicción ordin*-¡ fiór,,;. viejo., provincia ¿de Madrid, reiterando la queja que , hizo ¡.en'el ría,, con arreglo á -la .Real orden á que se refiere este- articulóaño.pasadocoiurael…</t>
  </si>
  <si>
    <t>García, Antonio</t>
  </si>
  <si>
    <t>Antonio García</t>
  </si>
  <si>
    <t>…, Villa, López (D. Marcial), El de la comisión de Instrucción pública , relativo á la memoria Marin Tauste y Lobato, contrarios á la aprobación de varios artículos presentada por D. Antonio García sobre enseñanza de medicina, re Ael plan de Hacienda. glamento y organización de las academias de esta ciencia. La comisión A las comisiones de Guerra y Hacienda unidas se mandó pasar una opinaba que ia memoria y reglamento de este ciudadano pasase al Go expo…</t>
  </si>
  <si>
    <t>…cir en Tortosa. T.a sola refle Y á la de División del territorio español una exposición de Don xión de que en aquella ciudad se notan, cinco grados de calor mas qu# Antonio Macla, D. Antonio García y D. JosefCarús en nombre ds</t>
  </si>
  <si>
    <t>…as mer número: prospecto. De la peste. Refutación del sistema de Don ta aqui habia habido; y por último que respecto á Ja objeción que habia Mariano Lagasca, y del de su contrario D. Antonio García , sobre el puesto el Sr. Martínez de la Rosa, comparando esta pena con la de de carácter y método curativo de la calentura amarilla. Los médicos, según portación, habia respondido muy bien el Sr. Calatrava, que habia di el sistema que nos rige, no están oblig…</t>
  </si>
  <si>
    <t>García, Antonio Fernandez</t>
  </si>
  <si>
    <t>Antonio Fernandez García</t>
  </si>
  <si>
    <t>…ue solicitaba se le diese una patente para A la comisión de División del territorio español se pasó una soli vender un jarabe pectoral corroborante .que. habia inventado. citud de D. Antonio Fernandez García para que el puerto de Gara- Se aprobó el dictamen de la comisión de Legislación con relación chico, en la isla de Tenerife, sea cabeza de partido. á la exposición de D. Pedro Belardo, vecino y del comercio de la CoA la de Diputaciones provinciales se pasó una…</t>
  </si>
  <si>
    <t>García, Antonio Josef</t>
  </si>
  <si>
    <t>Antonio Josef García</t>
  </si>
  <si>
    <t>…or haber regalado á esta sociedad tres dibujos ejecuta Gabriel de Zavaía. Manuel Gil fantibanez. dos por é¡. Gelnrza y Goic &gt;echea. Mar.u-íl Rui/ de ¡a Prada. Ciento sesenta rs. á D. Antonio Josef García , maestro de prime Gallardo y Usategui. Manuel de Vivanco. ras letras del puerto de Cudillero, por una memoria que presentó pa Gertrudis'MazcayaiJO. Muraul Díez-Imbrcchs. ra mejorar la agricultura, y por el zelo y actividad que ha manifesta Gregorio Esputa.”…</t>
  </si>
  <si>
    <t>García, Domingo</t>
  </si>
  <si>
    <t>Domingo García</t>
  </si>
  <si>
    <t>…0 millones del empréstito Conformándose las Cortes con el dictamen de la comisión de Po deL mismo año; por cuya razón me parece que debía hacerse una reba deres , aprobaron los de D. Domingo García, diputado por la provin ja en esta contribución, pues da lo contrario ocasionará un desconten cia de Vera-Paz, en el reino de Goatemala. to rabioso, tanto por la cantidad como por el modo inquisitorial con Se leyó el dictamen de la comisión de Diputaciones pr…</t>
  </si>
  <si>
    <t>García, Elias</t>
  </si>
  <si>
    <t>Elias García</t>
  </si>
  <si>
    <t>…Dia 17................. .......... 6......... ......... a...’... ......... 4........... *...... 5°— Parroquia de S. Andrés, 12 electores. D. Alfonso Urquiza, D. Baltasar Umitia-, D. Elias García, Don Dia 18................ ......... 4—•• ....... 1....... «..»»«« IO.... *• .... 47.... Dia 19................ ......... 6......... ....... 1....... ......... 0........... .... 48.... Francisco Jaquete, D. Francisco de Paula Martínez, D. Josef Mari.» Torrij…</t>
  </si>
  <si>
    <t>García, Francisco</t>
  </si>
  <si>
    <t>Francisco García</t>
  </si>
  <si>
    <t>…la necesidad de aprobarlo. D. Juan Bautista Valdés, diputado electo por la provincia del Nuevo El Sr. Cepero dijo: por el art. i.° que han aprobado Jas Cortes se Reino de Teon, y D. Francisco García por la de Vera-Paz. manda no pagar mas que la mitad de los diezmos, y esta se aplica ex A la comisión de Tegislacion se mandaron pasar varias solicitudes, clusivamente por el art. 2.0 al clero, y yo deseo saber si están in una de algunos cursantes de farmacia…</t>
  </si>
  <si>
    <t>…y á la religión cristiana ! LaTurquía , con cía de la Mata, de Sevilla. bao. fiada en parte en las disensiones diplomáticas y en los mútuos zelos de D. Andrés Ferrari, de Genova. D. Francisco García, de esta los Gabinetes europeos, no conoce límites en sus actos arbitrarios; pero D. Cristian .Stemberghe, de Bru- corte. tampoco se fia enteramente, y se prepata á una lucha, que podrá ser muy sélas. D. Antonio Cañero Hidalgo, de sangrienta si consigue fanat…</t>
  </si>
  <si>
    <t>García, Francisco Javier</t>
  </si>
  <si>
    <t>Francisco Javier García</t>
  </si>
  <si>
    <t>…ral, y cisco Joaquín Inarte, de Pamplona-, D. Francisco de Gorbea y sobri manifestó que las Cortes no debían discutir provincia por provincia, nos, de Madrid; D. Francisco Lozano; D. Francisco Javier García; porque en este caso resultana la necesidad de atender á mil circunstan D. Gabriel Odier y compañía^ de Paris ; Doña Graciosa de Meoqui, d* cías indispensables, pues cada Sr. diputado querria que aquel pueblo á Pamplona; D. Joaquin de Meñaca y Batiz, de Bilba…</t>
  </si>
  <si>
    <t>García, Gabriel Josef</t>
  </si>
  <si>
    <t>Gabriel Josef García</t>
  </si>
  <si>
    <t>…f, 8 electores. Dia 20 ........... ........ 2....... ....... 2....... ....... O...» ...... 2(5... D. Clemente Noguera, D. Evaristo S. Miguel, D. Felipe de 1 a i6. 6. 2. 91. Calle, D. Gabriel Josef García, D. Gregorio Sainz de Villavieja,. L&gt;, Josef Espinosa, D. Josef Ruiz de Porras, el marques de Espinardo Lebrija. Parroquia de S. Lorenzo, 20, electores. Del 13 al ao... ....... 63..... •• 3*...... ...... 46... D. Aníbnio González, D, Antonio de la Iglesia, D.…</t>
  </si>
  <si>
    <t>García, Higinio</t>
  </si>
  <si>
    <t>Higinio García</t>
  </si>
  <si>
    <t>…amplo discusión del Código penal; y se levantó la sesión á las trxay cuarto. • na 30 de Noviembre de i8n.=Señor.=:A. L. R. P. de V. M. Por au sencia del gefe superior político, el intendente Higinio García de liuARTICULO DE OFICIO. runda. = Juan Crisóstomo de Vidaondo yMendinueta, diputado. s= Cristóbal María de Ripa Jaureguizar, diputado.zxManuel Josef Lom Circular del ministerio de ia Gobernación de la Península. bardo de Tejada, diputado.=Matías Octavio de T…</t>
  </si>
  <si>
    <t>García, Josef Alartinez</t>
  </si>
  <si>
    <t>Josef Alartinez García</t>
  </si>
  <si>
    <t>…aun cuando se establece que para una plaza de magitrado de la audiencia territorial de Castilla la se puedan pedir y dar, no se dice que sea un requisito esencial para ir Nueva á D. Josef Alartinez García, fiscal interino de la misma. con seguridad y Libertad, puesto que este acto es puramente voluntario, y siendo una medida para el fomento de la industria, creo que Las Cortes deben aprobar el artículo. Relación Je fincas a ue se están subastan Jo Je ias aplic…</t>
  </si>
  <si>
    <t>García, Josefa</t>
  </si>
  <si>
    <t>Josefa García</t>
  </si>
  <si>
    <t>…en estos términos: ción general de Correos, haciendo algunas observaciones sobre el plan Art. 58. ,, Para la de nobles Artes habrá en la Península seis aca de Hacienda; y otra de Doña Josefa García, dueña de una fábrica de demias , situadas en Madrid , Sevilla, Valencia , Zaragoza , Barcelona cigarros en Cádiz, manifestando la miseria á que se verán reducidas y Valladoiid; y cuatro en Ultramar, á saber: en Mp-xico, Guadalajara, 700 ú 800 mugeres , la ma…</t>
  </si>
  <si>
    <t>García, Juan</t>
  </si>
  <si>
    <t>Juan García</t>
  </si>
  <si>
    <t>…el citado pago obtendrán antes orden ex Santiago D................ Barros, en Segorve L&gt;. Josef Cuevas, en Sego- presa de la junta. via D. Roque y D. Francisco Delgado, en Sevilla D. Juan García 14- Las oficinas del establecimiento en las provincias llevarán cuen Burdugo, en Sigiienza D. Benito Ciruelos do Rojo, en Sobona Don ta, parcial á cada partícipe en libros proporcionados, en los cuales sen Ramón ¿erra y Orio, en Tarragona D. Ramón Feliu , en…</t>
  </si>
  <si>
    <t>…Fernando Ramas, labrador. Coruña D. Andrés Rojo , comerciante to de los nuevos aranceles; y la otra relativa al arreglo de aduanas de é intendente honorario de provincia. Betanzos D. Juan García. Lugo aquellas islas. D. Josef Gabriel Somoza , propietario , y D. Nicolás de Prado, aba Se dió cuenta de una exposición que remitia á las -Cortes el Sr. mi te. Ferrol D. Juan Cardcmil, escribano. Paulo D. Pedro Martínez nistro de la Gobernación de la Penínsu…</t>
  </si>
  <si>
    <t>García, Juan Angel</t>
  </si>
  <si>
    <t>Juan Angel García</t>
  </si>
  <si>
    <t>…cargas: un prado de pasto id D. Matías Vinuesa, capellán de honor de S. M.; D. Norberto tieso., llamado la Ribera, de cabida de 272 cargas da terreno, de pri Llorenci, impresor, y D. Juan Angel García , id., presos en 28 de mera calidad; y una casa con su oratorio y habitación para el guarda: Enero por abuso de libertad de imprenta con la proclama del general &lt;1 monte es ameno de caza, y en la alameda se hallan 420 pies de ála ruso al egército que ha de ve…</t>
  </si>
  <si>
    <t>García, Juan Antonio</t>
  </si>
  <si>
    <t>Juan Antonio García</t>
  </si>
  <si>
    <t>…y Desde que Hipócrates imaginó la teoría de la diferencia ministros de la audiencia de Extremadura, librada á instancia moral de los hombres fundada en la diversidad de los cli de D. Juan Antonio García, presbítero, y consortes , vecinos de mas, casi todos los políticos desde Platón y Aristóteles has Brozas, con fecha 19 de Enero último, en el pleito que se si ta Montesquíeu y Rousseau han/ predicado la máxima de gue en la misma audiencia por D. Vicente Orti…</t>
  </si>
  <si>
    <t>García, Juan Becerra y</t>
  </si>
  <si>
    <t>Juan Becerra y García</t>
  </si>
  <si>
    <t>…nglaterra hará al Hannóver le acompa relativos á.qué podía áccedérsé á las solicitudes de D. Antonio del ñarán el lord Castiereagh y el conde de Liverpool. Pando, D. Manuel’Ayala, D. Juan Becerra y García, D. Andrés Garrido y D. Manuel Nasarre sobre dispensa de edad y permuta de rOKTUGAl. estudios para recibirse de abogados. La comisión de Hacienda presentó su dictamen acerca de las di " Lisboa a de Mayo, ferentes solicitudes que le habían sido remitidas, unas…</t>
  </si>
  <si>
    <t>García, Juan Justo</t>
  </si>
  <si>
    <t>Juan Justo García</t>
  </si>
  <si>
    <t>…remente y en A la comisión de Instrucción pública se mandaron pasar tres to todo tiempo de los terrenos citados por esta ley, si al disponer asi de mos de una obra que presentó el Sr. D. Juan Justo García. ellos los tienen ya cultivados y ocupados, según su naturaleza y obje Se leyó una indicación deL Sr. Puigblanch, que decía : « Habiendo tos para que se les cedieron: exceptúanse de esta regíalos capitulantes de las Cortes aprobado en su reglamento interior,…</t>
  </si>
  <si>
    <t>…sentará á la aprobación de las Cortes los re Moragues , Gaseo y González Allende. glamentos concernientes á dichos establecimientos científicos y litera Se concedió permiso al Sr. diputado D. Juan Justo García para sa rios , y entonces vendrán oportunamente todas las reflexiones que quie lir fuera de Madrid asi que se cierren las sesiones. ran hacerse sobre ellos. A la comisión especial de Hacienda pasó una indicación del señor En seguida quedó aprobada esta partid…</t>
  </si>
  <si>
    <t>García, Juan Oliver y</t>
  </si>
  <si>
    <t>Juan Oliver y García</t>
  </si>
  <si>
    <t>…a artillería de á pie de la guardia en Dokezyc, Glemboko -las personas siguientes: Veleyka. Toda la infantería de la guardia ba tomado cuarteles en los Por la provincia de Málaga. D. Juan Oliver y García , abogado y gobiernos de Minsk y Wilno-Grodno. También se halla en estos vecino de Málaga ; D. Josef Alcántara Navarro, canónigo del Sacromismos puntos una parte de la caballería, y el resto está situado con Monte de Granada, natural de Archidona; D. Áliguel…</t>
  </si>
  <si>
    <t>García, Justo</t>
  </si>
  <si>
    <t>Justo García</t>
  </si>
  <si>
    <t>…dó Julián Esteban bado el dictamen de la mayoría de la comisión , lo quedó el voto par Ramos, deberá presentarse en el juzgado de primera instancia de Sevi ticular. lla á cargo de D. Justo García dé la Mata, y por’Ií escribanía de Don Se leyó el decreto sobre habilitación del puerto del Ferrol, que ha Josef de Lafuente y Basar, en el término de 30 dias; bajo apercibimiento bia devuelto la comisión de Corrección de estilo. de que pasado sin haberlo hec…</t>
  </si>
  <si>
    <t>García, Manuel</t>
  </si>
  <si>
    <t>Manuel García</t>
  </si>
  <si>
    <t>…no hay También se aprobó el parecer de la comisión de Hacienda acerca noticias del Emperador Muley-Soliman, y se ignora si permanece en de que se perdonase á D. Rafael Serrano , á D. Manuel García, veci Rabat. no de Villanueva del Cardillo , y á D. Domingo López , vecino deMadrid 2 de Abril. . Guadarrama, las cantidades que adeudaban á la Hacienda pública, en SS. MM. y AA. continúan sin novedad en su importante salud. atención á los muchos perjuicios q…</t>
  </si>
  <si>
    <t>…prendidas en los decretos de 6 de Agosto de i8í i y 13 de Setiembre el decreto de las Cortes de 31 de Agosto último, se dejase al arbitrio de 1813; y otra de D. Joaquín ligarte y D. Manuel García, maestros de aquellos ayuntamientos la elección de telas para los uniformes. La de postas , quejándose del Gobierno y dirección de correos por los pri comisión fue de parecer que se accediese á la solicitud, y las Cortes vilegios concedidos á la diligencia y…</t>
  </si>
  <si>
    <t>….............. .. O.,.. ...... 7-- renzo Arias, D.'Mamerto Landaburu , D. Manuel Cavero y Garay Dia io..t........ ....... 0....... ....... O...... ....... 1...» ........ 6........ D. Manuel García de la Madrid , D. Manuel de la Lastra, D. Mamid Dia 17............. ....... 0...... I** ...* .... .. 0.... ....... 5..... López Malo, D. Pedro Sainz Castellanos, D.Ramón Toriño, y D. Ra Dia i3............. ....... 1...... ....... I.............. .. 0.... ....…</t>
  </si>
  <si>
    <t>García, Mariano</t>
  </si>
  <si>
    <t>Mariano García</t>
  </si>
  <si>
    <t>…de este consejo, aunque fuess- ■ -Murcia 6 de Marzo. - - •........... - . - ; propuesto por el poder legislativo:; que el verdadero consejo del Rey El gobernador de este obispado D. Mariano García de' Zamora, hs' eran las Cortés; .y cuando estas no:estuviesen reunidasla diputación dirigido una circular á los religiosos-y religiosas de la diócesis, previ-, permanente, y que por lo tanto no aprobaba que hubiese consejo de niéndoles las reglas que con arr…</t>
  </si>
  <si>
    <t>García, Matías</t>
  </si>
  <si>
    <t>Matías García</t>
  </si>
  <si>
    <t>…go contra sus propios oficiales. cencia del diocesano. . . : _ ■; » Un momento después fueron atacados los cuarteles generales del El de la misma sobre el expediento instruido por D. Matías García general Ambrosio y el mió ; el general Ambrosio fue libertado por una Rada , vecino de Torrubia, sobre Ja emancipación de-.su hijo D. Tomas, compañía de zapadores, y yo lo fui por unos 20 gendarmas, que hicie de edad de 3!! años, y abogado; que.la comisión er…</t>
  </si>
  <si>
    <t>García, Miguel</t>
  </si>
  <si>
    <t>Miguel García</t>
  </si>
  <si>
    <t>…s derechos civil romano , canónico y español: escritas en la ventajas á un pueblo comerciante. Pero el capitán del Wi— tín y castellano'por el ciudadano y doctor en ambos derechos D. Miguel García de la Madrid. Obra útil a todos ios españo-lliam era demasiado buen ingles para contribuir al éxito de les , y especialmente á los jóvenes que se dedican al estudio de sus especulaciones, revelándoles aquella parte de su secreto, i a jurisprudencia. Comprende…</t>
  </si>
  <si>
    <t>…es monte pío: una obra sobre el derecho civil , romano y canónico/pre taban incluidos los de ganadería; y habiendo respondido algunos indi sentada por el doctor en ambos derechos D. Miguel García de la Ma viduos de la comisión que el espíritu del artículo era que debían estar drid , pidiendo que Iás Cortes ’ la examinen , y caso que la consideren inclusos, quedó aprobado el referido artículo bajo este concepto. de algún mérito, manden sirvan de texto…</t>
  </si>
  <si>
    <t>…de Instrucción pública, el egemplar de una obra intitulada 7 rutado de potestad del poseedor actual, deberá prestar su consentimiento el sín las Ideas, presentado por el ciudadano D. Miguel García de la Madrid, dico procurador del lugar en que se hallase la finca, con arreglo al; para que pueda servir en el nuevo plan de estudios para la instrucción art. 3.'“ del decreto sobre vinculaciones , cuyo consentimiento presen pública, si las Cortes lo.tienen…</t>
  </si>
  <si>
    <t>…civil romano, canónico y español, escritas en latín y castella de las páginas, quedando solo las viñetas y la letra de negro, lo cual no por el ciudano y doctor en ambos derechos D. Miguel García de la proporcionará mejor su lectura; lo que también se podrá hacer con las Madrid: obra útil á todos los españoles, y especialmente á los jóvenes que se estampen en papel blanco. Cada egemplar llevará una cajita ó que se dedican al estudio de la jurisprudenc…</t>
  </si>
  <si>
    <t>García, Miguel Gómez</t>
  </si>
  <si>
    <t>Miguel Gómez García</t>
  </si>
  <si>
    <t>…debía servir de disculpa la ignorancia El Rey , á consulta de! consejo dé Estado , sé ha servido nombrar de una ley , ni todas las demas objeciones propuestas por S. S., porque á D. Miguel Gómez García , para una plaza de magistrado de la au á ser asi se abría.una puerta á la arbitrariedad., y que pór lo mismo* diencia territorial de Castilla laNáeva. todo español á cierta edad debia saber las leyes’, sin que su ignorancia Asimismo ha tenido á bien S. M. co…</t>
  </si>
  <si>
    <t>García, N. Moreno</t>
  </si>
  <si>
    <t>N. Moreno García</t>
  </si>
  <si>
    <t>…!,qué no pensase sino pronto castigo de los que atentasen contra la seguridad del Estado. Otra en el interes de la monarquía, y que contemplase la Europa y la noble del presbítero D. N. Moreno García, de la provincia de- Búrgos-, para conducta de los Monarcas, que no hacían uso de su poder sino para dar que en atención aL notorio servicio que hizo en la prisión dél canóni la paz. a lus pueblos, no pudo menos ^el; lado. izquie do de echarse á go Barrio, y…</t>
  </si>
  <si>
    <t>García, Ramona</t>
  </si>
  <si>
    <t>Ramona García</t>
  </si>
  <si>
    <t>…' esas bandas,: esas órdenes, esos empleos de comisión dé Guerra. :! : corte!.esos,privilegios de;toda especie , que nunca han cundido tanto co Se dio cuenta de otra solicitud, de-Doña Ramona García ..consor mo. ahora. ■. te de D., Gregorio N.!&gt; vecino de Salvatierra, en la provincia de Ala Clero privilegiado; egército privilegiado (risa ,á la' derecha: sí, muy va, en la que manifestaba la causa de haber sido su marido, unode los hiep-á Ja izquierda);.cu…</t>
  </si>
  <si>
    <t>García, Tomas</t>
  </si>
  <si>
    <t>Tomas García</t>
  </si>
  <si>
    <t>…o del ¿eta , un carro y sef Pereira: á la de coronel del regimiento de Valencey expedicionario 6 octavos id., en venía 115 rs----En id. , sitio del Cueto , 2 carros de al teniente coronel D. Tomas García; y á la de teniente coronel de prado, enverna I54rs__ En id. .sitio de las Portillas, un carro de caballería á D. León Iiurbe, comandante de escuadrón; en atención á piado, en venta 77 rs----En id. , 3 carros de pr„do, en venta 398 r&lt;---los señalados méritos…</t>
  </si>
  <si>
    <t>García.Page</t>
  </si>
  <si>
    <t>…uede llevar á efecto lo que propone la El Sr. Castrillo dijo: » Yo abundo en los mismos sentimientos que comisión con respecto á la contribución directa; se ha fundado S. S- en el Sr. García.Page, y me hallo animado de los mismos deseos; pero que gravita esencialmente sobre el propietario, y no sobre el colono. en cuanto á lo que ha indicado con respecto á los egercicios prescri Esta es una verdad demostrada hasta la última evidencia, porque aque tos…</t>
  </si>
  <si>
    <t>Garcii</t>
  </si>
  <si>
    <t>…rmine hacer una injusticia ¡i la Nación española el creer que no estaba tan por las leyes respectivas f ilustrada en este sigio como la Inglaterra en el siglo xnr, y que habien El Sr. Garcii expuso: Están conforme á mis ideas este estableci do cooperado en esta su jurado desde aquella época á qu: atlquirie.e la miento , y a: mismo tiempo le considero tan esencia! , como que sin él ilustración que tiene en el dia , también contribuiría esta Instit…</t>
  </si>
  <si>
    <t>Garcini, Josef</t>
  </si>
  <si>
    <t>Josef Garcini</t>
  </si>
  <si>
    <t>…la el editor de la gaceta de Fran Francisco Jolé, procedente del juez de primera instancia de esta ca cia : que tenga este Ja arrogancia incomprensible de imaginarse que los pital D. Josef Garcini. Preso en 21 de Octubre de 1820 por haberse fu absurdos.de su fantasía han de ser admitidos como verdades demostra gado del presidio de Málaga. Estado de esta causa. Fallado. Providen das en los países donde se encuentre un adarme de razón 1 que quiera cia de…</t>
  </si>
  <si>
    <t>…ar sus encargos, á cobrar el segun Francisco Roig , procedente del juez de primera instancia de esta do tercio del año económico, ó sea el último de! ordinario, y que abra capital D. Josef Garcini. Preso en ig de Mayo de 181 e por haber co za los meses de Noviembre , Diciembre, Enero y Febrero, como tam metido varios tobos y atrocidades. Estada de esta causa. En ci d- E bién auxiliar la cobranza de los atrasos que existan d; los anteriores, hoy devuelt…</t>
  </si>
  <si>
    <t>Garcíni, Josef</t>
  </si>
  <si>
    <t>Josef Garcíni</t>
  </si>
  <si>
    <t>…inguida inquisición tomó en nues Ventura Saurina , procedente del juez de primera instancia de esta tra patria con ofensa de la religión de Jesucristo, que á fuerza de hor capital D. Josef Garcíni. Preso en 21 de Noviembre de 1820 sobre he rores internaba conservar ilesa: teniendo este documento la circuns ridas. Estado de esta causa. En sumario. Providencia de visita: siga. tancia de ser irrecusable-por su autenticidad. En él se da razón tam Jaime Vil…</t>
  </si>
  <si>
    <t>Garcli</t>
  </si>
  <si>
    <t>…s acortaban las defensas, y no se les juzgaba ” quedando todos responsables con arreglo á Ja Constitución.” como á. los demas, lo que le parecía muy contrario á la igualdad que EL Sr. Garcli manifestó que la comisión nada había dicho acerca debía reinar entre todos los españoles; que si se hacia con el fin de de Jas penas que debían imponerse, porque el poco tiempo que habí» abreviar los términos dilatorios en los procesos, ¿porqué no se determi…</t>
  </si>
  <si>
    <t>Gardini, Potnpilio</t>
  </si>
  <si>
    <t>Potnpilio Gardini</t>
  </si>
  <si>
    <t>i8t&lt;5 __E1 conde Potnpilio Gardini, que habita ea Forli, volvía hace algu nistro una nota de los vinos introducido* de este modo en virtud de nos días i su casa de una tertulia, cuando fue herido por una mano su petición. desconocida, rec:b¡endo una-puñalada en un hombro. Felizmente no » Por f…</t>
  </si>
  <si>
    <t>Gárdnet</t>
  </si>
  <si>
    <t>…o, y los acreedores ó interesados recibirán el documento de ' Ayer entró en este puerro la goleta americana iris, sn crédito respectivo á los intereses vencidos hasta fin de 1820; capitán D. Gárdnet, de Baltimore en lo días. Conduce al pero si se egecuta después de este dia, se recibirán ademas piloto D. Carlos ViUamores, el que da la noticia que en los réditos que hubiese devengado el documento desde el dicho puerto se estaba habilitando un!corcário con…</t>
  </si>
  <si>
    <t>Gardoqui, Miguel</t>
  </si>
  <si>
    <t>Miguel Gardoqui</t>
  </si>
  <si>
    <t>…rnando Freire, Un corral existente en el término nombrado PeñalogroD. Antonio Garnica , D. Bedro Talens, D. Josef Varona, ño, con solo las cuatro paredes de piedra y su puerta vie D. Miguel Gardoqui, D. Antonio Butrón, D. MiguelPaa- ja , en 1,200 rs. din y D. Joaquín Rubalcava. Cinco heredades, compuestas de 29 fanegas , 11 celemi nes , en la misma jurisdicción de Logroño, en 5,696^ rs. N5M. 20. Nota. Las tres antecedentes fincas se hallan libres da Rela…</t>
  </si>
  <si>
    <t>Gareii</t>
  </si>
  <si>
    <t>…s, ni los pueblos Se prosiguió la lectura del dictamen del Sr. Marina, y decia: que obligación á pagarlos.” las Cortes que se habian celebrado para aclamar á los Reyes, júranos El Sr. Gareii dijo que habia tomado la palabra para hablar contra y reconocerlos, como las de Valladolid de los años de 1506 y 1 c 1 ¿i el dictamen de la comisión en este artículo, porque observaba en él una exigieron que juraran , no tan solo las antiguas leyes de Castill…</t>
  </si>
  <si>
    <t>Gareli</t>
  </si>
  <si>
    <t>…i sabían dónde estaba la enunciada minuta; y el de la Go para despojarles de esta gracia, ó para otro fin. bernación de la Península dijo existir en su secretaría en la mesa de El Sr. Gareli fue de dictamen de que la libertad de la imprenta Cortes , registrada y firmada por todos los secretarios del Despacho. en nada se oponia á lo manifestado, por el Sr. Zorraquin; que un pe En seguida se puso este á leer la memoria que le correspondía , y riodi…</t>
  </si>
  <si>
    <t>…resol ventar medios para que las leyes no se cumplan, como se verificaría si viesen si debía continuarse. se aprobase el anterior dictamen respecto de la ley por la cual se su El Sr. Gareli, individuo de la comisión, de Legislación , hizo pre primieron los canónigos reglares de S- Agustín, cuyos novicios debían sente que juzgaba esta que teniendo la ley referida conexión tan íntima sin duda seguir la misma suerte, pasó á probar con una porción d…</t>
  </si>
  <si>
    <t>…de enseñanza general ;• no siendo por consi Gracia y Justicia 4 una comisión especial que las, examinase. guiente su objeto la supresión de ninguno.de los establecimientos lite El Sr. Gareli, individuo de la comisión de Legislación, propuso rarios ó universidades, sino que se modificasen ó'rectificasen sus ense la duda de si habiéndose aprobado ayer la indicación del Sr. García, de ñanzas: y concluyó manifestando era de opinión que tanto este art…</t>
  </si>
  <si>
    <t>…abia manifestaplirniento de lo prevenido en el dictamen dé la comisión se seña-e un ■ do ayer. . . , tcrm-.no -perentorio. 2.* Y que las medidas aprobadas ya por las Cortés, -1 ÉÍ Sr. Gareli manifestó la importancia de esta discusión , conside reducidas ‘tí .qué lós regulares de ambos sexos puedan hacer las diligen rando qué desde el 6 de Agosto de 1811 hasta el día las . Cortés esta cias de secularización desde su casa, formen, parte ,de esta're…</t>
  </si>
  <si>
    <t>…ades; á saber: ” serven unos endebles' pergaminos, ó unos papeles aun mas endebles . que para reformar las instituciones civiles, y montar sobre su basa na ” que estos?” Y pues el Sr. Gareli también manifestó ayer en su elo-’ tural los Estados corrompidos por la arbitrariedad de los Gobiernos in cuente discurso que era cosa muy fácil la presentación de dichos títu-. justos, no es necesario derramar sangre ni promover desastres. ¡Cuánta los, que s…</t>
  </si>
  <si>
    <t>…iar los derechos de los pueblos con los de los-seño Geppert, habia recibido la orden de avanzar rápidamente hasta el pun res , teniendo presente las ideas que habia manifestado el Sr. Gareli to en donde hallase-una-resistencia bastante fuerte para determinarse á por creerlas muy fundadas. - esperar el resultado de la marcha de las columnas de derecha é iz Después de haber rebatido él Sf. Vadiilo aleunas reflexiones hechas quierda. porelSr. Martel…</t>
  </si>
  <si>
    <t>…sión que. Palma, felicita á las Cortes por su nueva instalación ; da cuenta del mo se juzgase oportuna. do con que se celebró el dia i.° de Marzo, y solicita que al castillo de EL Sr. Gareli dijo que lo que habia dicho su preopinante acerca de jBellver en aquella isla se le cambie su nombie por el del héroe Lací, que los males radicales se originaban en mucha parte de los malos jue por haber espirado y estado preso alli dicho general. Las Cortes…</t>
  </si>
  <si>
    <t>…iscusión del proyecto de ley sobre infracciones, esta provincia no se arregle por el dei año de 1817, sino por otro pos de Constitución, pendiente desde la última legislatura i el Sr. Gareli terior. dijo que entonces quedaron aprobados la mayor parte de los artículos, A la comisión de Política se mandaron pasar las exposiciones de y se volvieron otros á la comisión con la nota de no haber lugar á vo D. Juan Matías Rodrigo, apoderado del cuerpo de…</t>
  </si>
  <si>
    <t>…comisión, que decia: » Sin perjuicio de las Cortes, ó para impedirla el libre egercicio de sus funciones.” demás penas á que con arreglo á los artículos anteriores y á la misma El Sr. Gareli manifestó que creyendo la comisión que se podía Constitución haya lugar.” añadir á este artículo un caso particular que podría suceder, deteniendo El Sr. Vitorica apoyó dicha adición; pero manifestando que debe á los Sres. diputados para que se reunieran en C…</t>
  </si>
  <si>
    <t>…algunos particular del Sr. Caiairáva tampoco e» del menor mérito.* ¡qué sin facciosos, y los aprehendiese. -embargo que todos los pueblos y todos los Sres. diputados han clama- El Sr. Gareli contestó á la objeción del Sr. secretario, manifestan -do-por esta abreviacion.de causas, las vemos como antes!.... No señor. do que esto estaba salvado por el artículo n del mismo proyecto de Las Cortes saben muy bien que los mismos señores de la comisión es…</t>
  </si>
  <si>
    <t>…ra que estos no podrían excusarse.: . •car el bando en ciertas ocasiones y lugares; y después de haber apoya Se aprobaron este art. y el 16 conforme decia la comision. . - ■ do el Sr. Gareli el dictamen de la comisión, quedó aprobado el articu Leído el art. 1/ dijo el Sr.. Giraldo debería en sq concepto extenlo por Ó4 votos contra 49. .' derse en estos términos: ,, Recibida al acusado-, la confesión, se pasará-la * ■ Se leyó el artículo ^.-focase…</t>
  </si>
  <si>
    <t>…y Tolos»; la primera felicitando á las Cortes por su instalación ,-y ¡a* piritual ni para 1 ó corporal. ' segunda pidiendo setijeel número de milicia nacional que debe haber ;'E1 Sr. Gareli contestó que la comisión habiá .tornado en considera en la Península; completándole- con voluntarios; Las Cortes las récibie- ción lo prevenido en la ordenanza*militar con respecto ál tiempo que. xon con agrado, y acordaron se tuviese presente para la discusi…</t>
  </si>
  <si>
    <t>…l z.p Que para conceder jubilaciones de aquí en adelante se haga la presentación de los títulos originales. ” constar imposibilidad física ó moral, é igualmente haber hecho bue El Sr. Gareli hizo algunas reflexiones sobre este artículo, manifes nos servicios: 3.0 Que en los expedientes informativos de estas cuali tando que con respecto á desirse ,,que este juicio debe ser breve y dades se oiga á las diputaciones provinciales’, para que de este mo…</t>
  </si>
  <si>
    <t>…os se instruya brevemente’ Esta no es ley de ex Entró á jurar, y tomó'asiento un señor diputado de Ultramar. cepción ; es otra cosa muy d reren te, puesto que no es mas que una El Sr. Gareli leyó el dictamen de la comisión encargada de propo regla general adoptada en consideración , no dé las personas, sino de ía ner medidas para el arreglo y sustauciacion de las causas crimínales , y clase de asuntos que permiten se hagan estas abreviaciones. Se…</t>
  </si>
  <si>
    <t>…eno, vecino de Valencia; en la que mani- dei crédíto-de la Nación hacían sus especulaciones mercantiles. foi.ib.i la persecución que sufrió en aquel ano, y pedia que las Corees El Sr. Gareli leyó por primera vez el proyecto de ley sobre susestimasen justos y beneméritos sus servicios. taneiacir.n de causas criminales , el cual se mandó imprimir. Las Cortes recibieron con agrado , y mandaron pasar á la biblioteca Ei Sr. secretario del Despacho de…</t>
  </si>
  <si>
    <t>…urados, tud de' D. Juan Josef de la Cueva, del orden de Calatrava, para que se cómo y cuándo!” La opinión geueid fue de que debía ser el pueblo apruebe la proposición hecha por el Sr. Gareli en. 30 de Setiembre úl quien los eligiese; pero conociendo que esta pregunta tenia una íntima timo acerca de que se conceda facultad de testar á todos les individuos conexión con la anterior, se decidió que iv comisión de Estadística diese comprendidos en los…</t>
  </si>
  <si>
    <t>…Perú se habian aproximado . notas. En la gaceta de 31 del próximo pasado, co!. 4,*, lín. 30, en ya á aquella capital , y que con este refuerzo no se. dudaba qué se ve lugar de «El Sr. Gareli dijo &amp;c.” Se debe sustituir «El Sr. Giraldo ría obligado á reembarcarse San Martin, quien se habia hecho abor- dijo &amp;c.”—En la de ayer&gt; col. 3.a, sesión de Cortes, después- que el -recible por sus excesos, no dominando mas terreno que el que ocupa Sr. Quiroga…</t>
  </si>
  <si>
    <t>…del teniente D. Francisco de Paula Puche, verificaron una pondientes subdirecciones de Lima y México.” ; aprehensión ; y esperamos que si coutinúan las medidas que se adoptan, El Sr. Gareli opinó que no habiendo universidades mayores ni me en breve tendrán que desistir de este tráfico tan perjudicial una porción nores, no debía .crearse una especie de privilegio en favor de la de Ma de hombres desmoralizados que viven de su producto, hechos unos…</t>
  </si>
  <si>
    <t>…r, conservarán durante su vida toda la y cuatro individuos déla academia nacional, nombrados por lamisma.” renta que actualmente disfrutaren, á no ser que obtengan otros, desti El Sr. Gareli hizo varias observaciones sobre este artículo, y sobre nos , para los cuales serán atendidos por el Gobierno.” Jas circunstancias y requisitos que habían de tener los elegidos para di - Art. 8z. «Sin embargo de lo establecido en los dos artículos, si rectores…</t>
  </si>
  <si>
    <t>Garelí</t>
  </si>
  <si>
    <t>…ederse á las Se pasó á ¡a discusión de la dotación que debería señalarse al Rey, respectivas solicitudes. en cuyo asunto se hallaron dificultades para resolver, faltando los da El Sr. Garelí, individuo de la comisión de Legislación, encargada tos de lo que redituaban las casas de Infantado y de Braganza, pues la de examinar la consulta del Sr. secretario de Gracia y Justicia, sobre dotación debería ser mayor ó menor, según se determinase sobre si…</t>
  </si>
  <si>
    <t>…os demás ciudadanos para ser elegidos - g.° yS), el 1 o 6S), y el poi tero 4®. ... •diputados á Cortes. . Art. 327. « Los géfes de las cuatro oficinas destinadas para el. des --El Sr. Gareli, después de haber hecho" varías reflexiones sobre el empeño de la moderña- disfrutará .cada uno el sueido de ioQ- rs.;; Jos dictamen de ría^eomision, y de haber manifestado que los curas parcuatro primeros oficiales 98 , ios cuatro segundos 83), los cuatro te…</t>
  </si>
  <si>
    <t>…Baleares 60 , y para América 123 , y lo* Valencia en cuatro,provincias del modo que sea mas conveniente. números sueltos se venderán á razón de cuatro cuartos cada pliego en di El Sr. Gareli apoyó el dictamen de la comisión, fundándose en que cho despacho, como también los ir tornos de la legislatura de 1820 Castellón estaba mejor situada para ser capital que. no Segorve ; que ¿ en 310 rs. y. 12 mrs., y los 12 de la de 1821 en 353 rs, y 12 mrs. l…</t>
  </si>
  <si>
    <t>…l Sr. Banqueri juzgó inútil este artículo, porque dijo que todos los Gobierno de las personas inteligentes. años debía aprobarse por 1 s Cortes el presupuesto de Marina , en el El Sr. Gareli apoyó lo que habia expuesto el Sr. Moscoso, ma cual podian y debían comprenderse estos gastos. nifestando entre otras cosas que toda obra, cuya protección dependía ds El Sr. Vadillo dijo que este artículo era el mas interesante del plan varias corporaciones,…</t>
  </si>
  <si>
    <t>…que unida á la que existe en el día ói s.para- seguida se continuar a la p lidíente. • examine y revea dicho código y lo presente 1 las Corles. Se levantó la scs¡on á las tres. El Sr. Gareli: He tomado la palabra , no para aprobar un solo artícu'° del provecto, sino para manifestar que se debe proceder ínmedia- ARTICULO DE OFICIO. bmente á la discusión por arricuios de d cho c-d-ao penal. Es inen.stír primer® s*mar la base deque se necesita un có…</t>
  </si>
  <si>
    <t>…, instruirse y dar sentencia. 6° Si por inocencia, porque debia juzgarse según los conocimientos de cada uno. no conformarse el comandante general con el dictamen de su auditor El Sr. Gareli, después de haber hecho varias reflexiones sobre los se remitiesen los autos al tribunal especial de Guerra y Marina, según principios sentados por los Sres. preopinantes, concluyó aprobando el' lo prevenido en el art. 10 de la ley de 17 de Abril de este año,…</t>
  </si>
  <si>
    <t>…aprobar el dictamen de la comisión. El Sr. Romero Al puente habló en favor del voto particular, y ANUNCIOS. opinó que no debia aprobarse el dictamen. Después de 'haber hablado el Sr. Gareli en favor del dictamen, se Si alguno se cree con derecho á los bienes de la capellanía que en fi declaró el punto por suficientemente discutido; y no habiéndose apro villa del Castillo de las Guardias, eñ la sierra, fundó Julián Esteban bado el dictamen de la…</t>
  </si>
  <si>
    <t>…sentaron su y en su consecuencia se mandaron volver toctos a la comisión. dictamen acerca de varias adiciones hechas por algunos Sres. diputados • Se leyó la siguiente adición del Sr. Gareli, que decía así: » p;^ á los artículos que tratan del resguardo marítimo , y después de una que el art. 11 del proyecto del código'penal aprobado por las Cortes ligera discusión fue aprobado el dictamen de la comisión en estos tér pase á la comisión del reglam…</t>
  </si>
  <si>
    <t>…ndicado el Sr. preopinante eran las que deberían practicarse, y Jas cua tículo d&lt;.be quedar eñ los términos que la comisión lo propone. les tocaban al código de procedimientos. El Sr. Garelí dijo que era preciso expresar en el artículo que á los El Sr. Gil de Linares manifestó que ademas de las diligencias indi cadáveres de los reos de que se trataba se les diese sepultura eclesiástica. cadas seria bueno admitir algunas otras, como la de averigua…</t>
  </si>
  <si>
    <t>Gareli.contestó</t>
  </si>
  <si>
    <t>…. lugar á volar sobre esta base. El Sr. Calatrava indicó no se hacia mérito de la causa formada en 1 2. ,, Los salitres extrangeros, bien sean de Europa ó de la India, Avila; y el Sr. Gareli.contestó que se habían pasado á la comisión .de quedan absolutamente prohibidos en el comercio: ios que hubiese in Legislación catorce ó quince oficios ó testimonios de la audiencia da troducido de esta clase Ja compañía con anuencia del Gobierno , se Ig Valladolid, l…</t>
  </si>
  <si>
    <t>Garell</t>
  </si>
  <si>
    <t>…n el presente. dotación competente, cuya cuota respectiva se. señalará en. ios regla El Sr. Martínez de la Rosa contestó á estas observaciones y á las mentos. que había opuesto el Sr. Garell acerca del mismo artículo, y conclu Art. 85. « Los mismos reglamentos señalarán la época en que pue yó diciendo que era indispensable que las oposiciones se celebrasen en dan los catedráticos obtener su jubilación , y la renta que deberán dis la universidad c…</t>
  </si>
  <si>
    <t>Garelt</t>
  </si>
  <si>
    <t>…s1 artículos de la ley de 16 de .ábrii último, y saria para los jueces , como lo reconocían Jos autores mas modernos. luego la del código penal; y levantó Ta sesión á las tres. El Sr. Garelt dijo: He pedido la palabra para manifestar que una definición genérica debe estar concebida con mucha claridad ; el señor ARTICULO DE OFICIO. Traver ha creído conveniente que cada delito tenga una definición; pe ro esta puede estar concebida en tales términos…</t>
  </si>
  <si>
    <t>Gargallo, Miguel</t>
  </si>
  <si>
    <t>Miguel Gargallo</t>
  </si>
  <si>
    <t>…D. Josef Guerra, id. : D. Diego Pulido, id.: D. Feliciano Manse iba á distribuir muy pronto, y debefia tomarse en consideración en silla, ¡d.: D. Antonio Peran Moya, subteniente: D. Miguel Gargallo, todrf la semana próxima, á fin de que pudiese empezarse su discusión id.: D. Tadeo Aresanenaga, id. : D. Domingo de la Rosa, id.: Don el dia 2 de Julio; y qué en este intervalo se discutirían varios asuntos Santiago Torres. id.: D. Manuel Baricher, id.' D. J…</t>
  </si>
  <si>
    <t>Gárgolas, Josef</t>
  </si>
  <si>
    <t>Josef Gárgolas</t>
  </si>
  <si>
    <t>…tores al empréstito. la Constitución para tiempos pacíficos; debia haberse conocido que no «iendo el Regente un Príncipe creado de nuevo, sino un Príncipe here D. Antonio Ram'rez. D. Josef Gárgolas. ditario, ningún interes tenia en conservar el sistema constitucional, y D. Basilio Bayon. D Josef Acosta y Montealegre. que ligado á él por fuerza, debia considerársele como un hombre ofen Sres. Castilla , de Pamplona. D. Josef Antonio Iñana , de Pam dido, y…</t>
  </si>
  <si>
    <t>Garmendia, Josef Jjaqüih de</t>
  </si>
  <si>
    <t>Josef Jjaqüih de Garmendia</t>
  </si>
  <si>
    <t>…y enviar á dicho principe algunos Por l¡e provincia de Guipúzcoa. D. Joaquín Fcrrer. Suplente. El li. diputados, proponiéndole egecutar fielmente.todas las condiciones cu cenciado D. Josef Jjaqüih de Garmendia,'abogado y hacendado. yo cumplimiento exija..... . ,.t Este paso ha tenido el mas ventajoso resultado, pues Ipsilanti se diri CORTES EXTRAORDINARIAS DEL AÑO DB 18*1. gió inmcditamente á Caiamaia, donde aun permanecía el 26 de Se tiembre. Después de la toma de…</t>
  </si>
  <si>
    <t>Garneiro, Borges</t>
  </si>
  <si>
    <t>Borges Garneiro</t>
  </si>
  <si>
    <t>…los Estados pontificios hace indispensa estaba en contradicción con la-idea de soberanía; y se conformó con el ble en este momento el paso de las tropas extrangeras por su territo Sr. Borges Garneiro con alguna modificación. rio, ei Santo Padre no puede oponerse á ello; pero tampoco puede dis El Sr. Ifigoso convino en los graves inconvenientes que podría pensarse de exigir que en el paso inevitable dé las tropas se respe acarrear el veto, estando naciente…</t>
  </si>
  <si>
    <t>…ado nombramiento era el mas inconstitu negado á un juicio de conciliación.; | cional que podía hacerse. &lt;.;77 D. Santiago Moreno, abogado de Goatemala, quejándose de aque- 1 .. El'Sr. Borges Garneiro recordó que todos sabian la necesidad que lia audiencia, y pidiendo'se vuelva á abrir el juicio que siguió en la había de quitar al rector, y que la Regencia estaba autorizada-para hacer misma contra 1&gt;. Francisco del Campo. .......... todas las reformas que…</t>
  </si>
  <si>
    <t>…l Foy subió á la tribuna, y dijo: Señores, el general Algunos Sres. diputados hicieron varias proposiciones. Marceau feneció joven de edad , y viejo de gloria en el campo de ba El Sr. Borges Garneiro presentó una solicitud de varios labrado talla cerca de Altenkirchen. Aunque habia hecho mucho por la Fran res, y habló sobre la necesidad de dar providencias para que puedan cia, aun se esperaba mas de él; sus soldados le lloraron, y también los labradores f…</t>
  </si>
  <si>
    <t>Garrido, Andrés</t>
  </si>
  <si>
    <t>Andrés Garrido</t>
  </si>
  <si>
    <t>…le acompa relativos á.qué podía áccedérsé á las solicitudes de D. Antonio del ñarán el lord Castiereagh y el conde de Liverpool. Pando, D. Manuel’Ayala, D. Juan Becerra y García, D. Andrés Garrido y D. Manuel Nasarre sobre dispensa de edad y permuta de rOKTUGAl. estudios para recibirse de abogados. La comisión de Hacienda presentó su dictamen acerca de las di " Lisboa a de Mayo, ferentes solicitudes que le habían sido remitidas, unas sobre que se de volviesen distintas ca…</t>
  </si>
  <si>
    <t>Garrido, Josef</t>
  </si>
  <si>
    <t>Josef Garrido</t>
  </si>
  <si>
    <t>…o haber lugar á la formación de causad Joaquín Hernández,, ción del Sr. Villanueva, que decía: ,, Excite el Gobierno el- zelci de sargento de milicias nacionales/, solicitada por. D. Josef Garrido, ve- las diputaciones provinciales para que oyendo á los ayuntamientos, pro-; c.no de .Cartagena. ,, . 1 , \ ■. ' ponga en un término perentorio los medios prontos y-efectivos de que, ‘EnféradáJá comisión.de Legislación déla competencia ocurrida:en-t. sin gra…</t>
  </si>
  <si>
    <t>Garrido, Manuel</t>
  </si>
  <si>
    <t>Manuel Garrido</t>
  </si>
  <si>
    <t>…de hecho, que habían de declarar haber 6 nó lugar á ia for ignora esta Cámara, pues no son. opiniones nuevas las que manifiesto. mación de causa, entre los'cuales cupo'la suerte i D. Manuel Garrido, „Sí, señores, el jurado es algo en Francia-desde que fue llamado 4 redactor tercero del Diario de Cortes , y á D. Antonio Llaguno, oficial juzgar de los delitos de la imprenta, pues por este medio lo asociasteis i segundo de la secretaria de las mismas; petó…</t>
  </si>
  <si>
    <t>…ara instruirse vo de haberse excusado bajo su propia responsabilidad á egercer el car en las ciencias del Occidente. Causa admiración ver la aptitud de estos go de jueces de hecho D. Manuel Garrido, redactor tercero del diario alumnos orientales para todos los egercicios científicos, y el excelente de Cortes, y D. Antonio Liaguno, oficial segundo.de la secretaría- de sistema de educación que favorece el desarrollo de sus facultades ¿sicas las mismas , e…</t>
  </si>
  <si>
    <t>Garrido, Mariano Lucas</t>
  </si>
  <si>
    <t>Mariano Lucas Garrido</t>
  </si>
  <si>
    <t>…por’el presente de Principios de-legislación universal, traducidos del francés con, cor creto, será un apremio ordenado por el tesorero ó empleado principal recciones y notas por D. Mariano Lucas Garrido: tomo 2.0 Los susde la administración: y. visado y declarado egecutivo por el alcalde criptores á esta obra podrán acudir á recoger dicho tomo á la librería constitucional del pueblo donde estuviere establecida la oficina, será de Calleja', y en las principal…</t>
  </si>
  <si>
    <t>Garrido, Rafael</t>
  </si>
  <si>
    <t>Rafael Garrido</t>
  </si>
  <si>
    <t>…n vano en hacer brillar nuestros embotados aceros ondo S. M. nombrar juez de primera instancia de laciudad contra el poderoso torrente de .la opinión pública: esta se de Segovia á D. Rafael Garrido, abogado de iatnisma; á pronuncia: la santidad del objeto se propaga; y.vuestro D* Andrés Leandro Recuelia de la villa de Viilacastin ; á carscier impertérrito todo lo facilita, todo lo alcanza, to D. Sandalio Orne y Garay de la de Sepúlveda ; y de .la do lo…</t>
  </si>
  <si>
    <t>Garrigos, Josef Soler y</t>
  </si>
  <si>
    <t>Josef Soler y Garrigos</t>
  </si>
  <si>
    <t>…y el se- Cayetano Valdés; D, Rafael Bernabeu y D. Juan Bautista Risa ñbr ¡presidente levantó la sesión. En dijoña: D. Ascensión Campis, alcalde primero constitucional de Elche *, D. Josef Soler y Garrigos, id. de Gijona, y D. Pascual Juan NOTICIAS DE ESPAÑA. y Servent, vecino de Onili__En Denla: D. Joaquin Abargues, de Benisa; D. Josef Ciscar, de Gandía, y D. Pablo-Sala , de Denla. f-'u ' Earcelona 7 de Noviembre. Alcira: D. Jaime Carpí , presbítero de Alginet…</t>
  </si>
  <si>
    <t>Garviso, Josef Joaquín</t>
  </si>
  <si>
    <t>Josef Joaquín Garviso</t>
  </si>
  <si>
    <t>…podrán suspender la egecucion de aquellos artículos de D. Josef Manuel de Aniz. Sres. Sánchez y Lozano. la Constitución relativos á la división de ¡os poderes políticos que crean D. Josef Joaquín Garviso , de Doña Teresa de Acosta. necesarios, y disponer lo que convenga á la salvación de la causa pú Pamplona. V.1 Hermosa , de Santander. blica.” ' ' ARTICULO DE OFICIO. Se dejó para segunda lectura. Entró y tomó asiento en el Congreso la diputación de las islas…</t>
  </si>
  <si>
    <t>Garzón, Josef</t>
  </si>
  <si>
    <t>Josef Garzón</t>
  </si>
  <si>
    <t>…icolás Vázquez. dio ha sido de 6.7009 francos. Alcalá la Real D. Ildefonso Zejalvo. Martas D. Mateo López. An» Las fábricas de Limoux y de Chalabre, cuyo* productos han sido áujar D. Josef Garzón. también muy considerables , no tienen menos actividad que las de Car- Provincia de Zamora. Zamora D. Josef García Fierro, canóniga casona; y no es fácil formar un cálculo exacto de los grandes capita de aquella Sta. iglesia catedral. Villas del Vino D. Tomas…</t>
  </si>
  <si>
    <t>Gas</t>
  </si>
  <si>
    <t>…icia nacional de esta corte; D. N. Catarina , escri Asimismo se leyeron dos votos particulares, uno de los Sres. Cues biente agregado á la secretaría del Despacho de la Guerra , y D. Gas ta, Zubia y Azaola, que dijeron no consideraban al Tesorero general par Acero, sargento de la milicia nacional de Valencia, que se halla como infractor de lá Constitución, y el otro del Sr. Odver, que uccia en esta corte, en que pedían se les mandase dar pasa…</t>
  </si>
  <si>
    <t>…do por las Cortes, relativo á que informase sobre el ministerio de Estado se examinaran -y-volvieran á verse si convenía resultado de las causas de Búrgos , Avila y otras; el- Sr. secretario Gas por la contaduría mayor, ó&gt; la oficina que determine la secretaría de eo contestó) que habla sido comunicada al Sr. ministro de Gracia y la Gobernación de la Península, que es á quien corresponde. Justicia en oficio del 14 de Abril último, y á propuesta del m…</t>
  </si>
  <si>
    <t>…za, y que por •SU salud. ■ ■' : • ■ - ■ - . ! - .,.11: ^consiguiente si se suponía malo al clero, y que este tenia influjo, no También se concedió el permiso que solicitaba el Sr. secretario Gas se cortaría por este medio el que se suponia tener . porque siempre sal- eo con el mismo objeto'. -. ■ ■ 1 -dria diputado el que quisiesen. Asimismo opinó que no debían estar El Sr. presidente señaló la hora de las nueve &lt;!é esta noche para se -excluidos los…</t>
  </si>
  <si>
    <t>Gas, Baltasar</t>
  </si>
  <si>
    <t>Baltasar Gas</t>
  </si>
  <si>
    <t>…a toda de plata y de buen gusto; y 89 rs. vn. en varias mone i.a Que se obliga á no vender sino í la menuda, y á dar razort das de oro. Los billetes se despachan en la platería de D. Baltasar Gas siempre que se le exija del sugeto de quien haya obtenido los tabacos, eo, calle de las Carretas: en Ja red de S. Luis donde se vende el diario: justificándolo en caso,necesario, y presentando siempre la guia: 2.a en la librería de González : en la de Fuentes…</t>
  </si>
  <si>
    <t>Gasco-.volvió</t>
  </si>
  <si>
    <t>…a, ó que se adoptare cuencias que pudiesen tener los descuidos ó mala intención de los.qus,. para la introducción y exportación de granos y harinas en la Penínsu-' la tuviesen. El Sr. Gasco-.volvió. á leer la, base .9. aprobada por las la, sirva proporcionalmente para la isla de Cuba, en donde no se per-, Cortes , y en su virtud no se admitió á discusión la referida indicación. mitirá la introducción de harinas extrangeras, no excediendo de 20 Lo mismo…</t>
  </si>
  <si>
    <t>Gascón, Antonio</t>
  </si>
  <si>
    <t>Antonio Gascón</t>
  </si>
  <si>
    <t>…imo, el comisario de guerra D. Tomas Ortega, al presbítero pronta justicia Sobre’lás ocurrencias del dia 2 , y se les- diese el valor D. Alejo Acebes, al capitán D. Joaquín Bejar, D. Antonio Gascón de lo que habían perdido , cobrándolo después la Nación de quien hu y D. Josef Mingo , dijo: que debia declarar y declara que por la re biese lugar. tractación de Josef Espelta y Sebastian Fuster, soldado.- del regimiento El Sr. presidente anunció para la ses…</t>
  </si>
  <si>
    <t>Gaseo</t>
  </si>
  <si>
    <t>261 . -Habiendo salido el ministro, pidió el Sr. Vanceller que y Traver; y en lugar del Sr. Gaseo, que se hallaba ausente* se hiciese mención de esto en la exposición á S. M.; y asi al Sr. Clemencin. se acordó Se pasó oficio al Sr. secretario de Estado y del Despa se volvió á continuar la discusión sobre la libertad de cho de Gracia y Jjtiricia para que S…</t>
  </si>
  <si>
    <t>…mo sucede en Cádiz con el de guias , y ciñén debían dar cuenta, y contestar los que S. M. hubiese nombrado. dose únicamente á.la exacción por rentas de los que señala el último El Sr. Gaseo, ciñéndose á hablar de la primera parte de la indi arancel decretado por las Cortes. Eo digo i V. S. de Real orden cación , ár saber, la venida al Congreso de los ex-minisrros, opinó para su inteligencia y cumplimiento. Madrid 11 de Febrero de 1821. que la ne…</t>
  </si>
  <si>
    <t>…1 un Preguntados aquellos por el Sr. presidente, contestaron no haberlo vacío muy grande con referencia á España y Portugal: que sé debía verificado; y .cespite; de haber leído el Sr. Gaseo el art. gá- de la exigir al ministerio informase cuanto antes, con la exien»ion conve ■Constitución , que trata del juramento que debe prestar cualquier indivi niente , del estado de los negocios relativos al Gobierno del Brasil con duo que obtenga destino, r…</t>
  </si>
  <si>
    <t>…ste negocio que se nombrase una comisión ; pero. que.no creia fringido los artículos 46 y 309 de la Constitución. sino que habia sido un acto voluntario del Sr. presidente. , . El Sr. Gaseo, abundando en las ideas.de su preopinante, y redu - El Sr. Sánchez Salvador manifestó que se podia manjar que; ,1a mis ciendo mas la cuestión, hizo presente quf aunque la instrucción para el ma comisión que hizo la propuesta anterior .siga con esté,ejqcárgp.,…</t>
  </si>
  <si>
    <t>…do' del: dictamen de la mayoría , concediendo á za S. M. en medio de las delicias de Laibach. El egército austríaco pare lós Gefes políticos las facultades que les habia negado el Sr. Gaseo, cía que constaba solamente de 508 hombres de tropa efectiva, y todavía dijo que'solo encontraba la' infracción en la convocación hecha por se susurraba algo de cierto typhus, de que se habló hace algún tiempo. un comisionado para las- elecciones, y la presid…</t>
  </si>
  <si>
    <t>…r segunda vez ¿I dictamen de la comisión de Legislación -Después de apoyada por su autor esta proposición, se opuso á ella -sobre aumento de individuos en los ayuntaniientoí. • el Sr. Gaseo, manifestando que aquel Sr. obispo debia considerarse coSe aprobó e! dictamen de la misma comisión acerca de las expo .'2110 ur. subdito de lü Nación cspúuolíi f- vjuíí d-'bía ¡óspeisir las íso siciones de D. Pedro Hurtado de Mendoza, cura en la provincia de…</t>
  </si>
  <si>
    <t>…o para que se verifique en lo porállach y Losada, otra del Sr. Martinez.de la Rosa, y otra del Sr. Na sibla. vas acerca del modo con que han de considerarse los militares en la El Sr. Gaseo, manifestó que el objete que se habia propuesto en elección de diputados á Cortes, fue del mismo dictamen que el dicho sus indicacionesano era la .suspensión del proyecto de instrucción pú Sr. Navas, y era que deben verificarlo en las parroquias castrenses, e…</t>
  </si>
  <si>
    <t>…Africa táculos que vencer, y que no tomándolo las Cortes en consideración, con la bandera española.” • ... podrían resultar infinitos males; que á la comisión le pareció conve El Sr. Gaseo, apoyando la indicación del Sr. conde de Toreno , pi niente ,,que el Gobierno, por medio de los Gefes políticos, informase dió que se nombrase una comisión especial para este asunto. El señor á las Cortes de la conducta de los obispos y cabildos en materias p…</t>
  </si>
  <si>
    <t>…der, pidiendo se la autorizase para hacer un reparto, me fin de que r.o se infringiese la ley referida. diante no ser' suficientes los fondos de propios para satisfacer algunas El Sr. Gaseo pidió que las Cortes tomasen en consideración un caso cargas. ... tan urgente como el que se presentaba; y que prescindiendo de la A la de Hacienda pasó una solicitud de D. Juan Ignacio Asura,- infracción de la ley y de la extiaccion del dinero, las Cortes de…</t>
  </si>
  <si>
    <t>…porque se trataba de si eran Bien ó mal adquiridos aque de Ja gratitud de los pueblos, que en todas partes se manifestarían re llos señoríos. ' conocidos á sus resoluciones. , El Sr. Gaseo manifestó que habia tomado la palabra para hacer á El Sr. Navarro (D. Felipe), despees de haber manifestado se ar las Cortes no una retractación, sino una ratificación del dictamen que redraba al entrar en una cuestión tan espinosa, dijo que aquella dis la co…</t>
  </si>
  <si>
    <t>…onal en esta corte, quejándose de haberse dia sobre el empréstito de los Sres. Ardouin, Laffite y compañía. provisto una administración en la viuda de D. Antonio Cordero; y El Sr. secretario Gaseo leyó el informe del tesorero general, el de otra del Cabildo de Málaga, quejándose de la audiencia territorial de la junta nacional del Crédito público, y el oficio del Sr. ministro de la aquella provincia y juez de primera instancia, por haber mandado vol Gu…</t>
  </si>
  <si>
    <t>…plir los contratos, y los demas diatamente esa muchedumbre. accidentes no son á riesgo del que paga perfectamente lo que ha pro En seguida se prosiguió la discusión anterior; y el Sr. Gaseo, abun metido; por lo que soy de dictamen, como ya he dicho, vuelva á la co dando en las mismas ideas que ios Sres. Ochoa y Palarea, dijo que no misión este asunto , para que atendiendo á lo expuesto por el Gobier podía menos de impugnar el dictamen de la comi…</t>
  </si>
  <si>
    <t>…al art. 2° de que se trataba, suplicaba de la memoria de la junta consultiva , proponiendo las bases para el que el Sr. secretario leyera su dictamen. arreglo de aquel cuerpo. El Sr. Gaseo leyó el discursó del Sr. Marina , en el que hacien El Sr. secretario del Despacho de la Guerra remitió 186 egempla do varias reflexiones sobre la divergencia de opiniones que habia acer res de la memoria publicada por el consejero de Estado ’D. Josef Lu- ca d…</t>
  </si>
  <si>
    <t>…habían, concurrido á nuestra grande nacional festividad. A la para atender á los gastos de estas oficinas. noche hubo iluminación, en la que sobresalió la de la prevención del El Sr. Gaseo dijo que era de contrario dictamen; pues que estos'. expresado cuerpo militar por sus adecuadas alegorías. Los fuegos artifi p9 duros que ahora se decia eran por via de ofrenda al Sumo Pontífi-; ciales y un baile en la plaza de la Constitución completaron el…</t>
  </si>
  <si>
    <t>…en las que se han alistado volunta- zará siempre con los individuos que formen la milicia nacional activa: riámente sugetos de sesenta años de edad, y otros de todo punto exen El Sr. Gaseo preguntó si la base que se proponía para el reemplazo tos cíe la misma. habia de ser perpetua; á lo que contestó el Sr. Palarea que podría ser A la comisión especial de Hacienda una exposición de D. Rai lo si las Cortes no la revocaban con sus decretos poster…</t>
  </si>
  <si>
    <t>…culo, y solo podría tener lugar destino un ai10 hú. mas adelante. El otro oficial ruso es un tal Teodoro , de quien habla ¡a móiii El Sr. Janer apoyó las razones que había dado el Sr. Gaseo para gaceta en estos términos : ,, Poco tiempo después de la muerte de! prin manifestar que el artículo de que se trataba se oponía al 35/ de la Cons cipe Alejandro Suzzo hubo en Valaquia una ¡nsurr.ccion, dirigi titución; añadió que según este debían las Cor…</t>
  </si>
  <si>
    <t>…al verse separa sabiendo que algunos corsarios infestan la costa de este reino con ab dos de sus banderas. soluto daño del comercio , manda poner á disposición de V. la can El Sr. secretario Gaseo dijo que sobre esto habia un expediente ge tidad de 8.ogo,ooo de reís , y ordena que tome V. las mas positivas neral, del que no se habia dado cuenta por los muchos negocios impor -providencias, á fin de que se apronten provisiones para la fragata Pe- tantes…</t>
  </si>
  <si>
    <t>…e. es peculiar del Gobierno , siendo de esta mis Después de haberla apoyado el Sr. Moreno Guerra, manifestó el ma clase otras que tiene encargadas. No pueden, como he dicho, perte Sr. Gaseo que se trataba principalmente de oir á los Sres. secretarios; y necer á las diputaciones, porque estas.no tienen que ver con las ebras elide’Guerra dijo qúe:él Gobierno no tenia inconveniente ninguno en públicas, y corresponde mas bien á la compañía de que se…</t>
  </si>
  <si>
    <t>…n del Sr. secretario del Despacho de pasar d Id comisión especial de Hacienda. Gracia y Justicia, contestando á lo acordado por las Cortes en la se Después de haber manifestado el Sr. Gaseo lo perjudicial que era sión del 24 del pasado (véase en la «aceta del 25) acerca cíe la indi- . que algunos Sres. diputados leyesen las representaciones en el salen cacion del Sr.Romero Álpuente;:que el Gobierno diese_cuenta de! re del Congreso sin haberlas p…</t>
  </si>
  <si>
    <t>…rca ce la contraposición en que ra continua, no pudiendo ellos proceder con la energía que se necesita. dice hallarse los estados del tesorero general y las pagas de los emplea El Sr. Gaseo, abundando en las ideas del Sr. Moreno Guerra, ex dos dé Valiadolid; y debo manifestar que si antes del año económico puso que el art. 353 de la Constitución que se habia citado no decía habia ya dos ó tres meses de atraso, siempre resultarán los mismos, que…</t>
  </si>
  <si>
    <t>…obra de sus propias viles pasiones y de sus negros intereses; cuando llegan ú cieilo punto, son aiimnaies. y los Príncipes incaute: y alucinados con la» palabras traidoramente El Sr. Gaseo manifestó que no enconrr.iba objeto de discusión en alhagiieñas de semejantes consejeros, recompensan la perfidia á costa de este asunto , y que si habia de seguir , era preciso fijar la cuestión sobre su quietud, de su honor, de su gloria, y con ¡as calamida…</t>
  </si>
  <si>
    <t>…uerra sobre mudar las insignias militares á los cuerpos del egércilos empleados de la casa Real. to y milicias. A la de Poderes los presentados por D. Juan Nepomuceno Gómez El Sr. secretario Gaseo, al empezar á leer dicho dictamen, dijo que deNavarrete, diputado por la provincia de Valladolid , y i&gt;. Josef Fran- le parecía conveniente , á fin de ganar tiempo, el que no se leyesen los eisco Guerra y D. Eusebio Sánchez Pareja, diputados por la de Méjico.…</t>
  </si>
  <si>
    <t>…Alva de aquel pueblo si el Congreso no atiende á su solicitud, porque co rez Guerra y Moreno Guerra.” ' mo aquellas tierras en virtud de las nuevas disposiciones deben pasar á El Sr. Gaseo dijo que esta indicación tenia todos los caracteres de venderse, es claro que el nuevo poseedor, usando del derecho de pro interes particular, y por lo tanto estaba muy distante del carácter de piedad, mudará tal vez de colonos y demas dependientes; por lo. q…</t>
  </si>
  <si>
    <t>…a aprobación del dicta el Sr. Yandibla que se habian pasado á la comisión, y que esta las ha men del Sr. Zubia. bia tenido presentes. _ Se continuó la lectura del código penal. El Sr. Gaseo dijo: mi Opinión ha sido que se suspendiese esta dis Se leyó la minuta de decreto sobre los juicios de conciliación; y cusión, á lo menos por ocho dias, para que los señores diputados tu se declaró estar conforme con Jo resuelto por las Cortes. viesen tiempo…</t>
  </si>
  <si>
    <t>…lan general de Hacienda sobre las expresadas bases: y ense islas Baleares sin proceder la correspondiente formación de causa; y guida trató de rebatir las razones expuestas por el Sr. Gaseo en la se otra de D. Antonio N. , predicador general que era del orden dé. San sión de ayer , manifestando que la independencia que la comisión daba .Francisco, en la que haciendo presente el mérito que habia contraído al clero era una ventaja para el Estado,…</t>
  </si>
  <si>
    <t>…ecto este arreglo señalen el término mas .tomará.por base el valor que hasta ahora hayan tenido los diezmos. breve posible y perentorio, dando cuenta á S. M. luego que se halle El Sr. Gaseo manifestó deseaba saber de los señores de lá comisión completamente egecutado, a fin de poderlo manifestar i las Cortes an -si en la base tomada,para el repartimiento de esta contribución se in tes de concluirse el presente mes. Lo que de Real orden participo…</t>
  </si>
  <si>
    <t>…ión y gobier- nantes, y de haberse declarado el punto suficientemente discutido por ,no económico de las compañías cómicas, y establecimiento de un pf votos contra 54, preguntó el Sr. Gaseo si en la base de diezmos es monte pío: una obra sobre el derecho civil , romano y canónico/pre taban incluidos los de ganadería; y habiendo respondido algunos indi sentada por el doctor en ambos derechos D. Miguel García de la Ma viduos de la comisión que el…</t>
  </si>
  <si>
    <t>…ediente general-formado por el Sr. ministro de ia Gober á l:i comisión para que lo presente con la dignidad propia de héroes. nación de la Península sobre supresión de pósitos. El Sr. Gaseo dijo: parece que el Sr. Romero Alpuente ha tratado Se verificó la segunda lectura de una proposición del Sr. Gunzalez de impugnar el art. id del dictamen de la comisión, el que opino de Allende sobre si deben ó no continuar los alcaldes de barrio, y qué be,ap…</t>
  </si>
  <si>
    <t>…rran al jui sus nobles virtudes al restablecimiento de la Constitución cio de conciliación no llevarán por este acto derecho alguno; pero se Asimismo se aprobó otra indicación del Sr. Gaseo, que decia asi: exigirán 2 rs. vn. á las partes para atender á los gastos indispensables si Que Jos beneméritos ciudadanos á quienes se ha concedido por las de papel y formación de libros donde deben extenderse dichos juicios. ' Cortes estas pensiones ó renta…</t>
  </si>
  <si>
    <t>…s del me cia á la comisión que entendió en la ley sobre abreviación de causas. dio diezmo y primicias será privativo de la junta diocesana, cesando en Se aprobó una indicación del Sr. Gaseo, que decía asi: » En Jas esta parte todo privilegio. ausencias y enfermedades de los secretarios de ios ayuntamientos ha Art. 9? » El Gobierno queda autorizado para resolver las dudas que gan sus veces ios oficiales mayores de ¡as mismas secretarías por aho p…</t>
  </si>
  <si>
    <t>…ipoteca de dicho empréstito ; declarando al firma; cuya habilitación podia recaer en el contador mas antiguo. mismo tiempo que el motivo de esta resolución era porque la medida El Sr. Gaseo dijo: Hace algunos dias que se ha mandado al Go del empréstito é hipoteca eran inconstitucionales. bierno presentar á las Cortes la terna para el nombramiento del Crédi El Sr. Francisco Antonio dos Santos dijo que debia averiguarse si to público, de cuya nece…</t>
  </si>
  <si>
    <t>…, colmó de aplausos á los diputados ,-que tantos títulos hall adqui rido á la gratitud nacional,' haciendo felices éh cuanto han podido í to Jugar á votar sobre la indicación del Sr. Gaseo. das las clases de ciudadanos. •■En seguida quedó aprobado lo que proponía en su oficio el Sr. se Cerráronse las sesiones de la legislatura de r8r r en 30 de J.u.r cretario del Despacho de Hacienda. '•alo; segon lo que prefija la Constitución. Cerráronse,'sí;…</t>
  </si>
  <si>
    <t>…e hacen el comercio de esclavos en el beneficencia. Fezzan. También los tibbous son ladrones, salteadores y traficantes , se El Sr. presidente nombró al Sr. Fernandez en lugar del Sr. Gaseo gún se les presenta la ocasión, y la mayor parte de ellos adoran los para la diputación que habia de ir á llevar á S. M. la contestación por ídolos ó fetiches. Los árabes dicen que los de la provincia de Bornon no escrito á su discurso. Con este motivo se pre…</t>
  </si>
  <si>
    <t>…ien hacer las Cortes, sin espirar esa per-’ junta preparatoria; y asi es mi opinión que no se diga nada. feccion tan dific.f de conseguir, pues de otro modo se privará á la Na 'El Sr. Gaseo expuso : Yo advierto que en esta representación se ción de los incalculables bienes que recibirá por este medio. - . ■ , trata de decir á rostro firme al Congreso que no Ira sido suficiente una El br. secretario Ga de Linares leyó un discurso del Sr. Soianoti…</t>
  </si>
  <si>
    <t>…el número de provincias pueda ser hecho con la mas severa y puntual exactitud como corres que debe haber.” ponde: que es un proyecto en que tanta parte tienen las diputaciones El Sr. Gaseo dijo: La comisión propone un número de provin provinciales , establecimiento benéfico , popular, el brazo derecho del cias que en mi concepto es excesivo, y presenta grandes inconve Gobierno , disposición admirable y preciosa de la Constitución: auto nientes.…</t>
  </si>
  <si>
    <t>…osos; paró en el día no se ven sino se erija á este pueblo en- capital de la provincia de que se trata. los solares de las casas ilustres que hubo én otro" tiempo fen-ei diá'to El-Sr. Gaseo dijo: Aunque se han suscitado varias cuestiones con dos han emigrado, y no viven mas que los individuos del comercio, respacto á la provincia de que se trata, me limitaré a hablar de Ja ca los trabajadores de las fabricas, y algunos ciudadanos particulares. E…</t>
  </si>
  <si>
    <t>…rá lo mas acertado! yo sin desatender las demas cargas del Estado.se llenarán estas nuevas aten ciones, no debe aprobarse el dictamen de la comisión; pues si el Go creo que no. El Sr. Gaseo: Toda la discusión que ha habido sobre este asunto bierno está deseoso de llenar sus deberes, pasará á las Cortes dentro ha girado sobre dos principios; á saber: la necesidad de esra proroga de pocos dias este expediente con el grado de claridad que necesita…</t>
  </si>
  <si>
    <t>…er el menor inconveniente en que sigan las didos, de siéíé individuos, del gefe político y del intendente.” putaciones provinciales como prescribe la 'Constitución. Por todo lo El Sr. Gaseo: Dos razones son las que me obligan á oponerme á cual creo que lejos de disminuirse el número de estos individuos, debe este artículo , y las expondré para que las Cortes las den el valor que aumentarse; sobre lo cual he extendido una proposición. juzguen con…</t>
  </si>
  <si>
    <t>…n de provincias, de que habla que se mandase volver este artículo á la comisión para que lo rectificase. ti artículo precedente ,_np produce diferencia. ninguna ni superioridad El Sr. Gaseo dijo que el estado de ia Nación no permit a conser de derechos entre ellas.” var á los empleados unos sueldos tan pingües , y qui por lo mismo era El rr. Clemencin dijo que este artículo debía omitirse, porque preciso reducirlos al mínimum posible: con cuyo m…</t>
  </si>
  <si>
    <t>…Tofo lo que se ha tentes 514. dicho en esta discusión me parece que puede ceñirse ú dos argumentos Resumen del número de muertos e¡t este día. que se han hecho, el primero por el Sr. Gaseo, y el otro por el señor De las notas oficiales remitidas por los reverendos curas párrocos re ministro de la Gobernación de la Península, este diciendo que ei gefe sidí 1 que han fallecido en ¡a ciudad de toda doiencia 88: en el hospital político debía manten…</t>
  </si>
  <si>
    <t>…do que habia indicado el Sr. preopi Se mandó pasar á I3 comisión otra proposición del Sr. Castrillo, nante. concebida en estos términos: » Pido á las Cortes que se ocupen exclu El Sr. Gaseo: Las Corte» aprobaron la división en el número de sivamente en la asignación de los sueldos de los gefes político*, y á lo provincias que saben todos los Sres. diputados. Han conocido la nece mas de los de sus secretarios , dejando á aquellos el nombramiento…</t>
  </si>
  <si>
    <t>tój 1 E! Sr. Gaseo : Las Cortes, al aprobar las nuevas basas que se proao- mismas razones que ha manifestado si Sr. Yandíola, y siendo positivo r;n para i.» reforma de ataaceles, principalmente este artfc&amp;lo, .'no que los depósitos que se proponen no aumentarán el contrabando,…</t>
  </si>
  <si>
    <t>…llas lia presenta egemplo á cualquiera autoridad para conseguir esta certificación , muy ría su dictamen. ■ necesaria para que no se le incomode , mediante la facilidad que hay El Sr. Gaseo observó algunas inexactitudes en este artículo, que para falsificar los artefactos extrangeros , haciéndolos pasar por nacior Oh’jo) podían ocasionar graves consecuencias; y habiéndolas reconocido nales. Las comisiones no tienen un empeño en que subsista este…</t>
  </si>
  <si>
    <t>…locausto á ir á asistir á los contagiados de la desgraciada Tor- sin coartar las facultades del Gobierno. tosa. Se enviaron cuatro porsentonces, y á pesar de haber sido victima El Sr. Gaseo expuso que en este artículo se concedían al almiran del mortífero azote una de ellas , llamada sor María Antonia Bergon, tazgo las facultades de proponer ascensos, hacer reglamentos &amp;c., y y de estar otras dos postradas en el lecho luchando con la maligna en…</t>
  </si>
  <si>
    <t>…cofco dijo: Las obras de que se trata en este artículo, ó desempeñar debidamente tan importantes cargos.” son correspondientes á la armada naval, ó son de lasque no tienert una El Sr. Gaseo dijo: Yo quisiera que lo* señores de la comisión relación íntima con ella. Sí son de las primeras, no tiene nada de par tuvieran la bondad de retirar este articulo, porque en nJi concepto no ticular que el almirantazgo intervenga en ellas; pero si son de aque…</t>
  </si>
  <si>
    <t>…rido Gutiérrez de -Teran la cantidad de 2c&amp; debían r unirse las juntas de beneficencia y de salud pública. reales vellón anuales en calidad de viudedad por el destino que su es Ei Sr. Gaseo: Se trata en esta discusión de un asunto de mucho ín poso obtenía: 2.° á cada uno de sus hijos se señala la pensión anual da teres para la humanidad , y la cuestión se reduce á si la humanidad ha 3© reales, entendiéndose con su hija durante el tiempo de su vi…</t>
  </si>
  <si>
    <t>…blecimientos de be En punto á la economía ya se ha echado el cálculo , que es contra neficencia lo mismo que de ia salud píiblica? &lt;Por qué se les intenta rio á lo que ha dicho el Sr. Gaseo; pues solamente en los hospitales despojar de la mas honrosa de sus facultades? de Madrid se gasta tanto como pudiera hacerse en todos los demas de ■ No sen estos solos los defectos de que adolece este proyecto, pues España, y no se sabe el número de empleado…</t>
  </si>
  <si>
    <t>…opuesta del Gobierno , que sea per mayoría de lacomision, y aprobase el voto particularque se habia leído. mitida la-entrada del extrangero de la misma raíz de valeriana con el El Sr. Gaseo dijo: A mí me es sensible que el Sr. diputado que aca referido derecho, en cuyo concepto se ha incluido este artículo en la ba de hablar haya alegado las circunstancias y calidades personales del rectificación de la nueva tarifa. De orden de las Cortes lo com…</t>
  </si>
  <si>
    <t>…fiel, Lbrenzana, Yandiola , Novoa , Galle , cir que el silencio.en un asunto de tanta gravedad es ominoso. gos , Sandíno , G ¡raido , Moscoso, López £ D. Marcial"}, Queipo, Sal El Sr. Gaseo dijo: Las observaciones que han precedido han des- vador, Cuesta , Tapia, Maníau, Ruiz del Padrón, ¡Rodríguez £D. Jo . cubierto todo el secreto, que para mí lo estaba ya por las observaciones sef}, Mascarefía , Gisbert, Manescau, Liñan , Cano Manuel, Villa, d…</t>
  </si>
  <si>
    <t>…ciso en mente de la que se ha leído , creo que se podrá tomar ahora en con que se deba discutir. ^ - sideración. r El Sr. Martínez de la Rosa: En mi opinión hay grandes inconve El Sr. Gaseo: Dos motivos me han obligado á tomar la palabra en nientes en que se suspenda esta discusión. La resolución de las Cortes de este asunto. Primero el verme reconvenido como uno de los Sres. di que se continúe.esta una hora mas, envuelve implícitamente el deseo…</t>
  </si>
  <si>
    <t>…de Ultramar; cuyas medidas exigen también, como manifes había referido á la orden del mes de Junio último. taré , la reforma del ministerio. En Mayo de este año se hizo una mo El Sr. Gaseo: Niel decoro de la secretaría ni el mió personal me ción por un Sr. diputado, relativa á los asuntos de América, habién permiten que deje de contestar á una especie de inculpación.que se nos dose propuesto que una comisión propusiese medidas para llevará efec…</t>
  </si>
  <si>
    <t>…mérito las objeciones que se ha Bahía Botánica, cuyos buenos efectos eran bastante conocidos. blan hecho contra este artículo por algunos Sres. diputados. Se aprobó esta pena. El Sr. Gaseo manifestó que este articulo no desvanecía las objecio 4.a La de destierro ó extrañamiento perpetuo del territorio español. nes que se habian hecho. El Sr. Calatrava dijo que había impugnado esta pena ja audiencia El Sr. Castrólo dijo que todos los Sres. que h…</t>
  </si>
  <si>
    <t>…leyeron las siguientes adiciones al mismo plan de beneficencia, que se mandaron pasar á ia comisión. mos, sino en los tiempos extraordinarios de epidemia. Se leyó el art. 107. Del Sr. Gaseo al art. 37 : « Que se comprenda en este artículo la superintendencia general de beneficencia, y los demas ramos á ella uni El Sr. Azaola fue de opinión que debería quitarse de este artículo dos con todas sus oficinas.” la palabra epidemia, y se pusiese en cas…</t>
  </si>
  <si>
    <t>…-se ha dado , creo que se de drá tampoco imponer pena de trabajos perpetuos, deportación, obras be resolver en esta sesión aunque se declare permanente. públicas ni presidio.” El Sr. Gaseo dijo que no había propuesto ninguna dilación extraor riablaron sobre este asunto los Sres. Martínez de la Rosa, Caiarradinaria, sino únicamente que se forme un expediente en el caso de que va y Gareli, y se suspedió la sesión mientras se encendían las luces d…</t>
  </si>
  <si>
    <t>…erno, podrá presentar su dictamen Quedó admitida á discusión la proposición referida, y se leyó el ar -con el didjido-conocimiento y seguridad íkc. tículo 15 deleitado decreto. El Sr. Gaseo: A pesar de la contestación que ha dado él Sr. Mar El Sr. Martel: He pedido la palabra para apoyar la proposición del tel , en mi concepto fi. S. ó no ha tenido presente que tiene bastante Sr. Calatrava , y rogar á las Cortes que mediante la importancia de fu…</t>
  </si>
  <si>
    <t>…ceptada por el Gobierno • las que manifiesta el estado núm. 2.0” turco; pero nadie tenia dudas de la certeza de la guerra con el Schah. Después de haberse leído los dos estados el Sr. Gaseo dijo Es in Todos los comerciantes persas que se hallaban en Turquía han sido pre dudable que si se compara la cantidad que actualmente cuesta el go sos y conducidos al palacio del Agá de los genízaros, y se han embar bierno político de las provincias con la q…</t>
  </si>
  <si>
    <t>…de una ligera discusión se puso á votación el artículo, y tía el estado de la Nación. roo habiéndose aprobado, se mandó volver á la comisión. Se leyó la siguiente proposición del Sr. Gaseo: « Que las Cortes Se leyeron las siguientes adiciones: decreten el establecimiento de los jueces de hecho en los ju-cios crírruDel Sr. Calatrava al artículo 21:» Por ahora y hasta que se haga ? nales.” un arreglo general de los sueldos de todos los empleados…</t>
  </si>
  <si>
    <t>…Sres. individuos de ayuntamiento, otra el Sr. encargado de la Hacienda jo haber padecido el Sr. Zapata. pública, y otra la junta general directiva. Al mismo tiempo traerán Jos Ei Sr. Gaseo: No creo que habrá necesidad de prolongar esta discu interesados una factura por duplicado, firmada, encabezada con su sión , porque no he visto que se baya atacado hasta ahora al estableci nombre, y que exprese el número de talegos y el contenido de cada mie…</t>
  </si>
  <si>
    <t>Gaseo, Francisco</t>
  </si>
  <si>
    <t>Francisco Gaseo</t>
  </si>
  <si>
    <t>…hallen en este caso. Sí algún reo mercio de Vinaroz. D. Rafael Querol, alcalde primero constitucional ó reos no hicieren el nombramiento en el término señalado, io ejecu de Onda. D. Francisco Gaseo, abogado de Alcora. Aleoy D. Luis Pas tará el comandante general. cual y Gisbert, vecino y del comercio de la misma. D. Josef Reig Art. g.° «Concluida la lectura’, se concederán á los defensores 10 Martí, abogado , de Concentaina. D. Genaro Bianquez, cura pár…</t>
  </si>
  <si>
    <t>Gaseo, Francisco Fernandez</t>
  </si>
  <si>
    <t>Francisco Fernandez Gaseo</t>
  </si>
  <si>
    <t>…ilitares, y los hayan hecho mas distinguidos. Madrid 2 2 de Junio de i32i.=Josef Alaría Moscoso de Altamira, presidente. =; Real orden comunicada por el ministerio de la Guerra al capitán Francisco Fernandez Gaseo, diputado secretario. == Juan de Valle, di general de Castilla la Nueva. putado secretario.” Con arreglo al decreto de 26 de Abril anterior de las Cortes ha te Por tanto mandamos á todos los tribunales, justicias, gefes, go nido á bren S. M. dictar las provid…</t>
  </si>
  <si>
    <t>Gaseo, Pedro Francisco Fernandez</t>
  </si>
  <si>
    <t>Pedro Francisco Fernandez Gaseo</t>
  </si>
  <si>
    <t>…en , capitán D. Mariano Ricomá; fragata Preciosa Catalana, ca Junio de 1821.2= Josef María Moscoso de Altamira, presidente.;; pitán D. Francisco Jovcr; polacra francesa Josefina , capitán D. Pedro Francisco Fernandez Gaseo, diputado secretario. =Pablc de la Llave, Esteban Simón. Se está sumergiendo la polacra Santiago , capitán Don diputado secretario.” — Por tanto mandamos á todos los tribunales, jus Francisco Romaguera, y se ha mandado sumergir el bergantin S. Josef ticias ,…</t>
  </si>
  <si>
    <t>Gasradon</t>
  </si>
  <si>
    <t>…erte de las do, y contribuirían a conciliarios todos. católicos; pero no por eso desconocía que las actas del 7est y de cor- E-a esta seoon , que duró hasta las dos de ¡a mañana , lord Gasradon eran ios antemurales de la iglesia anglicana. Nuestro célebre tler-agh dio algunas explicaciones acerca de la muerte de Murar, Ras Blackstone no se opone a la reintegración i.e los católicos, con tal que que fue de Ñapóles, las cuales ic habían sido pedidas e…</t>
  </si>
  <si>
    <t>Gateó</t>
  </si>
  <si>
    <t>…res. Carricaburu, Arrieta y compañía de aquella , apode-^ laculiades para allanar las casas de los ciudadanos. rados de la precitada Doña Isabel Clavería; en el concepto de que El Sr. Gateó dijo que era necesario adoptar este medio, y que se pasado dicho término se procederá á la cancelación de dicha hipoteca. SUPLEMENTO</t>
  </si>
  <si>
    <t>Gautier, Andrés</t>
  </si>
  <si>
    <t>Andrés Gautier</t>
  </si>
  <si>
    <t>…cho de petición D. Manuel Orense, de Bilbao. D. Francisco Lesur, de Barcelona. para exponer sus quejas á la autoridad suprema, que debe protegerlos y D. Joaquin Gutiérrez Vial, de D. Andrés Gautier, de Barcelona. defenderlos de todo agravio. Bilbao. . D. J. G. Einard , de Ginebra. Si en la libertad de imprenta vemos abusos escandalosos, también Los interesados en dicho empréstito acudirán desde el 19 del cor por desgracia para la buena causa los vemos i…</t>
  </si>
  <si>
    <t>Gavilán, Eusebio</t>
  </si>
  <si>
    <t>Eusebio Gavilán</t>
  </si>
  <si>
    <t>…siguiente: T&gt;. Felipe y Doña María, para que se declare á su padre benemérito de « En conformidad del art. 21 del reglamento el presidente llamará la patria. Una representación de D. Eusebio Gavilán, en que solicitaba al orden al orador que se separe; no obstante, cualquier vocal de la igual declaración respecto de su difunto hermano el capitán de caballe Cámara podrá llamar al orden, exponiendo los motivos. ría de España D. Román Gavilán, y que se inscr…</t>
  </si>
  <si>
    <t>Gavilán, Román</t>
  </si>
  <si>
    <t>Román Gavilán</t>
  </si>
  <si>
    <t>…pare; no obstante, cualquier vocal de la igual declaración respecto de su difunto hermano el capitán de caballe Cámara podrá llamar al orden, exponiendo los motivos. ría de España D. Román Gavilán, y que se inscribiese su nombre eii » El orador á quien se llamare al orden tendrá siempre derecho de el salón de Cortes. vindicarse. A la Eclesiástica una exposición del ayuntamiento constitucional » El presidente pronunciará inmediatamente y sin mas discusi…</t>
  </si>
  <si>
    <t>Gazano, Josef Angel</t>
  </si>
  <si>
    <t>Josef Angel Gazano</t>
  </si>
  <si>
    <t>…el este documento para que pueda compararse á su tiempo cuando lleguen Mazo; el Sr. coronel D. Pedro Acevedo, diputado por Querétaro; el las noticias directas de Ñapóles. Sr. D'r. D. Josef Angel Gazano, diputado por México; el Sr. Lie. Don Entre tanto por el artículo de Paris arriba expresado se ve que la Josef María Daza, diputado por Tiaxcala; el Sr. D. Juan Bautista Loa derecha .de.los austríacos ha sido batida completamente ; y que el ge bo , suplente p…</t>
  </si>
  <si>
    <t>Gazapo, Pedro</t>
  </si>
  <si>
    <t>Pedro Gazapo</t>
  </si>
  <si>
    <t>…a ñoz, D. Rafael Morete, D. Josef Saavedra, D. Josef Zafra , D. Fran les que ocasiona el contrabando; en la inteligencia de que cumpliendo cisco Manuel González, D. Juan Valderas, D. Pedro Gazapo , D Pe V. S. con esta resolución dará al Rey una nueva prueba de su zelo por dro Antonio Fernandez, D. Lino Castelo, D. Ramón Valguera, Don el servicio nacional.” Juan Faldón, D. Antonio María Maeso, D. Antonia García Liñan, De Real orden lo comunico á V. S.…</t>
  </si>
  <si>
    <t>GázteluzarJ, Josef Joaquín de</t>
  </si>
  <si>
    <t>Josef Joaquín de GázteluzarJ</t>
  </si>
  <si>
    <t>…Jdséf da Sola, propietario y vocal-de la di- te'icorred. •••!■:•ai. a¡&gt;j. eep.V 1 íputácion proVítícíál; -ai;! ,’u-a ..rirr-j q , ...... i!; , í/.¡:u . ;..v :-i o ‘ Segura. ElSr. D. Josef Joaquín de GázteluzarJ, -própsetário y- co- CORTES'EXTRAORDINARIAS DEL AÑO DB A«at. tnaridante de la'iriiHcti'hácionál de Villafrhnca. ' i ■ ■ •i'íu-r Elgoibíff.¿"fc)L §u D. Antonio Ramón de Azcárdte &gt; primer profeso» ' nnnbMcrA'íiit: sáAox MAarmsz db zA xoéM -; "..fw 'de matemátic…</t>
  </si>
  <si>
    <t>Gchoa</t>
  </si>
  <si>
    <t>…&amp;k dicho iobre: diezmos expongait^ti, digt?men, expresando en él el modo de preopinante. ;&gt; '. . , .1 ocurrir á la subsistenciádei cler,;, y al decoro de los templos: que el ■- El Sr. Gchoa dijo que á la comisión le había parecido el.medio más Gobierjio : manifieste tpdó? los obstáculos que hayan impedido hasta conforme el -.dictamen:.-que había propuesto ;á: la .deliberación de- la? ahora U egecucion de la.,ley que trata de los regulares. Corte…</t>
  </si>
  <si>
    <t>Gcsalporcionada</t>
  </si>
  <si>
    <t>…una pública satisfacción qué les reponga en el concep mo la contribución que le había cabido , la cual era sumamente despro to que gozaban entre sus conciudadanos , á cuyo fin el doctor Gcsalporcionada , comparada con la que pagaban otras provincias , y con la ves, recuerda haber avisado en la gaceta del G.birno de 3 de Junio úl riqueza que tenia Ja provincia de Guipúzcoa , cotejada con la de San timo qiie quedaban suprimidos los depósitos de paquetes de fu…</t>
  </si>
  <si>
    <t>Gd, Francisco</t>
  </si>
  <si>
    <t>Francisco Gd</t>
  </si>
  <si>
    <t>…provincia, Se aprobó el dictamen de la comisión Eclesiástica sobre que se ac según se expresaba en el art. 24 deL plan, y las escuelas especiales da ceda á la solicitud hecha por D. Francisco Gd de la Cuadra, canóni nobles artes de que se hablaba en este articuló ; el cual fue aprobado. go de Solsona, para que en atención ú su avanzada edad y quebrantada Asimismo fueron aprobados los artículos siguientes salud se le traslade á una catedral de Castill…</t>
  </si>
  <si>
    <t>Gebrianl, Manuel</t>
  </si>
  <si>
    <t>Manuel Gebrianl</t>
  </si>
  <si>
    <t>…bos cuerpos, y al que lian asistido las personas siguientes: li&gt;. Luis Lapuente.cz D. Jo- ios demás de la armada que se crea á propósito, y no se hallen com sef Fernandez Trebiño.^D. Manuel Gebrianl^D. Joaquín de Gracia. prendidos eu ias jubilaciones y reformas de que trata el título de ofi =z D. Pedro Vidal. = Di Andrés Roces. sD. Josef Benito' Chlvo.‘=: ciales.” Aprobado. D. Narciso Olivas. =D. Andrés Ester. ^D. Juan Anel.zzD. Blas- Añ Art. 108. » El G…</t>
  </si>
  <si>
    <t>Gefe</t>
  </si>
  <si>
    <t>…poder y de D. Manuel García Gaitan de Ayala, teniente de caballe la libertad , la felicidad y prosperidad de aquellos para una ría retirado, leyó la atenga que le había pasado el Sr. Gefe larga serie de generaciones. Yo hubiera acompañado á V. M. político. Himnos patrióticos, músicas marciales, repetidos al augusto Congreso, ti mis enfermedades me lo permitie</t>
  </si>
  <si>
    <t>…S DEL R El N O. presente tratado, que debe ser la primera y mas inviolable regla de ambos Gobiernos. Barcelona 2 "de Enero. 2.0 Todo militar ó dependiente de un egército tomado El Sr. Gefe político superior de esta provincia, con fecha -en el campo de batalla, aun antes de decidirse esta, se con</t>
  </si>
  <si>
    <t>…. de la de S. M. lo comunico á V. para su inteligencia y gobierno. Madrid 6 de Febrero de 182-1.” Zaragoza i.° de Febrero. Oficio de la junta del Crédito público al Sr. secreta El Sr. Gefe político de Aragón recibe todos los correos rio del Despacho de Hacienda. las pruebas mas positivas del zelo que anima á las autorida des , corporaciones y personas de carácter de la provincia «Exorno. Sr.: Ha hecho presente á esta ¡unta el juez por la conser…</t>
  </si>
  <si>
    <t>…modo vago y poco in teligible acerca de la ley sobre monacales y demas regulares, de forma Usboa so de Febrero. que la mayor parte de ellas ignora su contenido, pasó un oficio al Sr. Gefe político de la provincia, para que la autoridad civil, en Sesión de Cortes del 19. unión con la eclesiástica, vuelvan á enterar á dichas religiosas del leida y aprobada el acta de la anterior, el Sr¡ secretario Filgueiras contenido expreso de dicha ley, y se…</t>
  </si>
  <si>
    <t>…ido por D. Josef Fortun para que se le continúe la'asignación he raque se sirva disponerlas con toda solemnidad; que se pase oficio al cha por su padre antes de embarcarse. Excmo. Sr. Gefe superior político de la provincia para que se si:va dis . Se pasó a la comisión de Gobierno anterior de Cortes un expedien poner lo conveniente á efecto de que la milicia nacional concurra á te promovido por el administrador del heredamiento de Aranjuez, sole…</t>
  </si>
  <si>
    <t>…las Cortes por el Sr. Torre Marín. El ayuntamiento constitucional de S. Roque habiendo recibido una El Sr. Vítorica presentó1 otra del ayuntamiento constitucional de circular del Sr. Gefe político del partido para que solemnizase con toda Santander, en que manifestaba algunas exenciones que gozan las pro pompa el día grande en que fue sancionado en Cádiz el sagrado Có vincias vascongadas, y solicitaba la abolición de algunos impuestos. Sa digo…</t>
  </si>
  <si>
    <t>…spiración contra el Estado y sistema constitucio Otro al sitio de Arañuelo, de caber 15 fanegas de i 600 estadales, nal. Esta causa se halla en sumario, y se ha dirigido oficio al Sr. Gefe de la misma procedencia, en 4875 rs. político de esta provincia para que remita un gran número de cananas, Una tierra en término de Vargas, al sitio que llaman de Varillo», que se dicen aprendidas en.la casa de D. Domingo Carbajo. de cabida 8 fanegas y un cel…</t>
  </si>
  <si>
    <t>Gendré</t>
  </si>
  <si>
    <t>…as fronteras para ir á socorrer á los in lido para la Lithuania y la Volhinia con el objeto de pasar revista á felices griegos. las tropas que se hallan en aquellas provincias. El general Gendré acom ■ - Viena 22 de Julio. paña á S. A. Las últimas noticias de Petersburgo contradicen de una manera positi Leipsick 20 de Jul’o. va cuantos Tumores han corrido acerca de una disensión ocurrida entre El oficial sueco LiUekof ha sido entregado al Gobierno pr…</t>
  </si>
  <si>
    <t>Gentz</t>
  </si>
  <si>
    <t>…’Eure subió á la tribuna, y habló asi: rán reemplazados por un Diario político, cuya dirección se encargará al » Señores, si es cierto que el Gobierno representativo no es en últi Sr. Gentz, y serán sus compañeros los Sres. de Schlegel ( Federico), mo resumen mas que el Gobierno de la opinión pública, es preciso Pilar, VVerner, el barón de Haller de Eerna (que actualmente se ha para que exista en la realidad que esta opinión pública pueda manife…</t>
  </si>
  <si>
    <t>Genuino</t>
  </si>
  <si>
    <t>…electo del egército, se compone de y© hombres, los 5© de infan , donde se hallan, su situación, procedencia, cantidades en que kan sida tería y los a© de caballería; y la manda el conde Genuino en ausencia tasadas por los peritos, dias de los primeros remates , y pueblos del príncipe Cariati. liste cuerpo pidió también por favor se le permi donde se verifican; á saber: tiese ir á pelear con el enemigo; pero el Gobierno, al mismo tiempo que ha manife…</t>
  </si>
  <si>
    <t>Geonaga, Juan de</t>
  </si>
  <si>
    <t>Juan de Geonaga</t>
  </si>
  <si>
    <t>…onal y de to nes que estos Soberanos han contraído con sus Estados do el seminario en Ja iglesia de S. Pedro, cuyo digno pár y con el mundo. V. M. conseguirá lá gloria mas pu roco D. Juan de Geonaga pronunció un discurso propio de ra; concurrirá á cimentar en Europa las bases del. orden so un ministro del altar, que sabe hermanar los sagrados inte cial preservará á sus pueblos de la desventura que Ies ame reses de la patria con los de ia religión ; y el…</t>
  </si>
  <si>
    <t>Gepéro</t>
  </si>
  <si>
    <t>…aba de decirse en los Diarios. '• .! ; c chos dé la certificacioh'como está mandado. . Se leyó la indicación de! Sr. Zapata, que decía: ,,Pido que las Cor -*: También la.apoyó-'él Sr. Gepéro ,-minifestinda qúe si eri el día se tes exciten á nuestro- Gobierno - para que* recláme-del- francés una ex «igiári‘ 34 rs. dedértíchós eri los juicios ;de -concili,ic¡on, el año que vieplicación clara del artículo de Madrid en el diario de París de 19 de néí…</t>
  </si>
  <si>
    <t>Gepero</t>
  </si>
  <si>
    <t>…ula á S. S. sin. dilación de nuestras victorias , ha recobrado de nuevo (y lo conservará á pesar alguna. de sus últimas desgracias) aquel gran movimiento hacia la civilización, El Sr. Gepero manifestó la necesidad que habia de que el Gobierno ai frente del cual esta marcado el lugar que corresponde á la nación diese prontamente una contestación acorde á la pregunta que se le ha francesa, y en donde no deberán buscarnos en vano los pueblos libres…</t>
  </si>
  <si>
    <t>…as las fundaciones de i‘»ual men económico de este ramo era vicioso y abusivo; y en cuanto al se clase.” 0 gundo que también era bien fácil probar que la dirección que se había El Sr. Gepero dijo: Yo sé de muchas ermitas que son la guarida de dado á ios negocios exteriores de Francia no era conforme al ínteres tres ó cuatro ermitaños, y seria muy bueno que no se comieran las del Estado, ni menos al ínteres bien entendido de la casa reinante. rent…</t>
  </si>
  <si>
    <t>…pa , asi como los hay en los era autor en los casos en que podía contribuir, incitar ó provocar por delitos. medio de una orden de las que el otro no estuviese obligado á ejecu El Sr. Gepero: En este artículo se envuelve una idea que no he po tar, en los cuales no debía- ser responsable de un delitocomo autor, sino dido apurar. En él se trata á los encubridores como delincuentes ; y yo como cómplice. no convengo en que sea tan general esta dispos…</t>
  </si>
  <si>
    <t>Gepper</t>
  </si>
  <si>
    <t>…enemigo no opuso con un fuego violento, y el ataque fue serio: el general Walmoden resistencia, y un gefé fue-herido y hecho prisionero. ■hizo marchar su reserva para sostener al general Gepper,- y mandó ata El enemigo en vez de hacer su retirada sobre Borghetto, defendien car con fuerzas muy inferiores á las columnas laterales , que fueron re do de este modo las avenidas de Antrodocco, se internó eti los montes, chazadas, y la del centro se retiró…</t>
  </si>
  <si>
    <t>Geppert</t>
  </si>
  <si>
    <t>…con las nación*: que vengan á atacarla, AUSTRIA. INGLATERRA. Viena 28 de Febrero. Lándres 6 de Marzo. Anteayer tomaron nuestras tropas posesión de Ancona, bajo el mando -del mayor general Geppert. La escuadrilla de Venecia había camara i&gt;E los lores__ Concluye ia sesión del S. entrado algunos dias antes; sin embargo, la cindadela está en poder de El conde de Bathurst expuso que las declaraciones de los minis las tropas de S. S. tros habían sido bastan…</t>
  </si>
  <si>
    <t>…intención de las Cortes ge nazaban cercar d nuestra vanguardia , que se hallaba en dicho valle á las nerales v extraordinarias en su decreto de 6 de Agosto de i8ir fue órdenes del general Geppert, al paso que otra columna marchaba di se de que por solo la falta de presentación de títulos quedasen los po rectamente por el camino de Civita-Ducale á Rieti. Estos movimien seedores privados de sus rentas. _ tos se hicieron con ífuicho orden , y los puntos…</t>
  </si>
  <si>
    <t>…nes, y según las intenron1 hacer algunos jprrsié^ ■ . - ciones de S. M. el Rey de las Dos Sicilias. '-“■v ¿as aiturai dé-Antrodocco estaban coronadas de cazadores, y algu El ir el general Geppert, sostenido por la división de Walmoden, nos'tañbnazós que; se oian daban bien a entender que el enemigó tenia . sé adelantó hacia Popoli, y la división Wied acampó cerca de Acalla. '• bastantes Tuerzas. El'mayor d’Aspee ,-que mandaba.la columna izquier ¿ Mien…</t>
  </si>
  <si>
    <t>Gerke</t>
  </si>
  <si>
    <t>…amoso (1) Carecimos ayer del parte del dia 9, y según se publica en un caballo padre árabe que hay en Bonafort, camino de Cassel á Goetin- periódico es como sigue: ga. Mu dueño el Sr. Gerke pide por él nada menos que 38S) rixdalers, SAJ.UX) ÍUELtCA. " (cerca de &lt;5o8£&gt; rs. vn.) roETucAr. Parte del lazareto sucio de todo el dia 9. Barceloneta, existencia anterior 203: entrados ó acometidos 32: Lisboa 8 de Octubre.__ Sesión de Cortes del 4. salidos…</t>
  </si>
  <si>
    <t>Germano</t>
  </si>
  <si>
    <t>…l Ldndres 3-4 de Mayo. refiere que ha sido abrasada aquella ciudad infeliz. Los insurgentes, ca El periódico intitulado Statesman dice que la C’mara ha dispuesto pitaneados por el arzobispo Germano, levantaron en i.° de Abril el se imprima la correspondencia relativa al pago de la deuda que tiene estandarte de la rebelión, gritando vina la libertad, y los jonios de el Austria con la Inglaterra por el préstamo que le hizo en 1795 y Celidonia, de Zante y…</t>
  </si>
  <si>
    <t>…regalado al nuestro un elefante qu» balazos, y se ignoraba si.el cónsul Mr. Mechain había podido lograr se está esperando en Postdam. . . ' . una satisfacción de este insulto.. El arzobispo Germano acaba de apoderarse de Lala , ciudad del Mon- 1 AUSTRIA. te-Foloes, distante cuatro leguas de Olimpia. Parte de sus habitantes,' que son albaneses ó schipetus mahometanos, ha conseguido retirarse Cronstadt (Transilvania') 29 de Julio. ■ .. á Patria., á benefi…</t>
  </si>
  <si>
    <t>…trapesar el neral Demetrio Ipsilanti y O-5 C.intacuceno habían llegarlo el 10 de .poder de estos atrajeron á sí á los gen izaros, que quedaron muy sansJulio al cuartel general del arzobispo Germano para inspeccionar él - lechos de haber logrado lá protección de este cuerpo repet ible. A con ■egército que había de empezar,el sitio de Putr.ís. Se ha leído á los grie secuencia de esta alianza no puede hacer la Puerta ninguna ley, n: im gos reunidos bajo el…</t>
  </si>
  <si>
    <t>…uados fuera dé habiendo'caído los testantes en poder dé los helenos. este radio mientras dure la presente ihcbóíunícacicn. (Jé continuará.y ;' . La victoria de Lala, ganada por el arzobispo Germano , sé confir Pairis ag dé Setiembre. ’ "* ma por cártasTecibidaS de las islas Jónicas. Este suceso, según dicen, es. ' * El Monitor de ayer publica en éí-ártíciito de Linz dé fecha id de Se de mucha importancia. Eh otros tiempos los laliotas, muy adictos al ti…</t>
  </si>
  <si>
    <t>…uir, no quedará alma viviente en esta ciu Reina ¡a tranquilidad en la parte septentrional de la península. El dad. Suben casi á 303 turcos los que han i legado 3 ambos principados arzobispo Germano se haba, según dicen , en las montañas de Vetzera de tres semanas á esta parle, y no hay género de horrores que no co con a'gur.asTrcpas. Las demas, que formaban ¡a mayor parte, leñan metan aquellos barbaros. abandonado á causa de la escasez de víveres, mayor…</t>
  </si>
  <si>
    <t>Geró</t>
  </si>
  <si>
    <t>…Ortiz de Pinedo , juez de primera instancia de la ciudad Se leyó también por primera vez el dictamen y proyecto de ley de Toledo, en que se justifica de la queja que contra él dió D. Geró presentado por la comisión especial nombrada para informar acerca de nimo dé Celanova. la representación de 117 ciudadanos sobre reglamentar las sociedades A ¡a misma se pasó una queja de Cayetano García, vecino de patrióticas, cuyo dictamen se mandó imprimir…</t>
  </si>
  <si>
    <t>Geróni</t>
  </si>
  <si>
    <t>…parativos , nuevos cálculos, disposiciones para ANUNCIOS. enviar mas gente á campaña; conclusión de conferencias de Laybach Cuaresma, pláticas morales y panegíricos del ex-jesuita D. Geróni el 28 de Febrero de los plenipotenciarios de las cortes de Italia; nom mo Trento, traducido del toscano al español por D. Josef Marcos Gu bramiento del príncipe Rutfo por el Rey Fernando r para la embaja tiérrez , en cuatro tomos. Los sermones de Trento , por…</t>
  </si>
  <si>
    <t>Gerstenzweig</t>
  </si>
  <si>
    <t>…scripciones pecunia porte de todo el Cuerpo; pero creyó que hábil merecido sus elogios- par rias tienen el resultado mas feliz , y en Francfort se elegirá una casa de ticulares el coronel Gerstenzweig, comandante de la tercera batería de comercio para que se encargue de recibir las cantidadades que produz la guardia imperial rusa. can Jas suscripciones. Después d«l egercicio de campaña se levantó un fuerte según el sis Hay aquí en la actualidad un gran núm…</t>
  </si>
  <si>
    <t>Gertrudis</t>
  </si>
  <si>
    <t>…M. en las. obras y terreno de la plaza de Oriente con esto no se da por contentb el; tiránico Congrego .ministerial. Para; 'idfrigido porjel miímo Sr. ministro..TIna exposición de Doña Gertrudis llevar al colmo Ja injuria se violenta al Rey á que firme escritos as Tole!, , viuda de D. Jaime Eoleh y Costa , director que era dí la es ignom nía y de impiedad. cuela gratuita de nobles artes en Barcelona , para que se le concédala ,,Yu no teneis nación na…</t>
  </si>
  <si>
    <t>Gervasio</t>
  </si>
  <si>
    <t>…confusión, entró el 6 de Abril en ia ciudad como protector El eclesiástico Inglessi, misionero de la América septentrional, lle de la población griega y enemigo de los turcos, el arzobispo Gervasio, gó aquí hace pocos dias, y ha sido presentado á S. 3. Con este motivo hombre de singular entereza, y conocido pcir su patriotismo y sus iuces, le lia hecho una relación del estado de los asuntos eclesiásticos , y de el cual había salido de ella el dia 30 de…</t>
  </si>
  <si>
    <t>Ghiesa, Flaminio Dalla</t>
  </si>
  <si>
    <t>Flaminio Dalla Ghiesa</t>
  </si>
  <si>
    <t>…dida la redondez de ¡a tierra, una comisión mixta, de la cual ha nombrado el Rey de Cerdeña por y la casi igual elevación máxima de aquellas montañas y las nuestras, individuos al caballero Flaminio Dalla Ghiesa d’Isasca , mayor del cubiertas enteramente como lo pide el equilibrio general de las aguas; cuerpo del estado mayor general, y á 'los señores Porrino y Casalegno, que la diferencia de las lenguás no produce una dificultad particular, no tenientes del mismo cu…</t>
  </si>
  <si>
    <t>Giannachiessi</t>
  </si>
  <si>
    <t>…no debe contener al príncipe, pues uno un buque de Cefalonia, su capitán Dionisio Focca, y otro de Zante, que no ve y reciba la vista por intercesión Suya, no tendrá reparo eü su capitán Giannachiessi, han infringido las leyes de esta manera, pagar el doble de la multa que se le impone* $. E. el lord, alto comisario, de acuerdo con el presidente del Se nado jónio, manduque donde quiera que se encuentren estos buques tTAttA. sean apresados, y sus capitanes…</t>
  </si>
  <si>
    <t>Giannat-, Cayetano</t>
  </si>
  <si>
    <t>Cayetano Giannat-</t>
  </si>
  <si>
    <t>…aciones de estos em Marques dé S. Eramó. El abate D. Domingo Sarno. pleados en los puertos extrangeros para el buen desempeño de su en £l‘ director D. Antonio Spinelli. El párroco D. Cayetano Giannat- cargo. Príncíp'é de Belvedere. tasió. En seguida hizo el orador varias reflexiones sobre lo ocurrrido en Príncipe_de.Supmq. . El sacerdote D. Loreto Abruzzese. la legislatura del año de 1820, en la que se trató ya de este asunto; y títiqüe' üe S. Teodoro- V E…</t>
  </si>
  <si>
    <t>Gibraltar</t>
  </si>
  <si>
    <t>…rta, y se hacen cada vez mas estrechas las relaciones de confianza y puestas á cobrar ánimo y á desmayar. amistad que reinan entre las dos potencias; y como los templos y otras El almirante Gibraltar, á quien una larga experiencia ha ensenado antigüedades de Atenas han arrebatado siempre la admiración de la prácticamente toda la maniobra de que es capaz uri turco, no tiene nin Europaes muy propio de la dignidad de ia Sublime Puerta el tomar gun conocimien…</t>
  </si>
  <si>
    <t>Giflinga</t>
  </si>
  <si>
    <t>…os que deseaban ver feliz a su patria: son muchas las pri fraudulenta en Burdeos, imprenta de Pinatd,' con el año supuesto de siones que se hacen , y entre los presos se cuenta al general Giflinga, 1819, y que les prevenía denunciaría ante los tribunales al que ven que acompañó á Novara al Príncipe de Carinan. diere esta impresión: para evitarlo y confundirla con la segunda edi Parece que se ha publicado en Austria un rescripto, señalando los ción , me…</t>
  </si>
  <si>
    <t>Giialdo</t>
  </si>
  <si>
    <t>…y aunque el Gobierno temó algún ínteres por ella, no pu n.smo la comunidad de pastos, montes y demás. do atenderla ¿ porque carecía de medios para las atenciones generales. El E¡ Sr. Giialdo dijo: Que lo que acaba de manifestar el Sr. Clecomercio y prosperidad de esta ciudad, acaso la hicieron víctima del mencin era uua cosa de eterna verdad; pero era indispensable que se furor extrangero. Pero en el dia va restableciendo sus edificios, y la expr…</t>
  </si>
  <si>
    <t>GÍiires-Goniez</t>
  </si>
  <si>
    <t>…on todas las ceremonias prescritas en.la ordenanza.en. sidad de una nueva expedición . porque aquellos países ‘estaban íntima tán solemne acto. El ilustrado .párroco de esta-vilía D. GÍiires-Goniez*! mente unidos á Portugal y a su causa, y que creía que esta medida no bien conocido por su decisión á favor-dé la libertad , Ies dirigió u¡x eio-r solo'érá anticonstitucional, sino un acto ofensivo'para el Brasil, por lo cuente discurso, en el que presentó l…</t>
  </si>
  <si>
    <t>Gil</t>
  </si>
  <si>
    <t>…público. „ , • . ■ , • i lo cual debería ponerse en otrós términos, haciéndose mérito, no solo El Sr. Vadillo manifestó que la comisión hacia ya la-excepcion de de la adición del Sr. Gil de’Linares, sino también de otra que dijese^ que no debían ser castigados con tanto rigor los extrangeros , en ra que estaban exceptuados los casos en que se atentase centra la religión zón de que verdaderamente . podían alegar ignorancia , partiendo paradel…</t>
  </si>
  <si>
    <t>…orraba por un momento de la me que el artículo dec ia: que tengan bajo su autoridad y en su compañía.' moria, y tenia una ventaja á la de trabajos perpetuos, cual era la de que El Sr. Gil de 1 .inares : Ayer observé que la mayor parte de los se habiendo estado en ellos un individuo de la sociedad por 7 ú 3 años ñores diputados esti iban dispuestos á aprobar el art culo en su esencia, podia lograr escaparse, como muchas veces sucede, para conti…</t>
  </si>
  <si>
    <t>Gil, Diego</t>
  </si>
  <si>
    <t>Diego Gil</t>
  </si>
  <si>
    <t>…nte que á se ha mandado se cite y emplaze por término de go días á los herede los motivos de creencia que resultan de su ilustración y calidades per ros de Julián Martínez Lujan y D. Diego Gil de la Cámara , vecinos sonales puedan agregarse también aquellos otros motivos irrefragables que fueron de esta corte , para que por sí ó procurador con poder bastante que en los cristianos desvanecen hasta la posibilidad de dudar. se presenten á usar del der…</t>
  </si>
  <si>
    <t>Gil, Gabriel Josef</t>
  </si>
  <si>
    <t>Gabriel Josef Gil</t>
  </si>
  <si>
    <t>…ad á quien hubiere lugar.- vo de haber provisto S. S. la dignidad vacante de tesorero de la cate E1 Sr. Azaola manifestó que en el dia la compañía tenia suspendi dral de Cuenca en D. Gabriel Josef Gil en tiempo en que se habia dos los derechos á que se referia el Sr. Oliver , desde que S. M, juró la mandado suspender la provisión de prebendas eclesiásticas; y duda Constitución; y que aunque en Cádiz se cobraban los derechos de ave ocurrida con este motivo…</t>
  </si>
  <si>
    <t>Gil, Jaime</t>
  </si>
  <si>
    <t>Jaime Gil</t>
  </si>
  <si>
    <t>…queo y asesinato de los cris abogado; D. Bernardo Falcó, presbítero; D. Manuel Beltran de Lis, tianos, y por el descontento que han mostrado al partir para et Da capitán retirado; D. Jaime Gil, presbítero; D. Juan Rico, vicario genubio, no menos que su voluntad de volverse al Asía. Enmedio de n. ral castrense; D. Joaquín García Domenech , ex-gefe político da tantos apuros parece imposible que el divan evite catástrofes que com Murcia ; D. Francisco…</t>
  </si>
  <si>
    <t>Gil, Josaf Fermín</t>
  </si>
  <si>
    <t>Josaf Fermín Gil</t>
  </si>
  <si>
    <t>…templos á cantar los himnos el primer plazo, para que se presenten con los documentos sagrados, motivo por el cual todos saben leer: todo este necesarios en el estudio del síndico D. Josaf Fermín Gil, cúmulo de ventajosas circunstancias concurren á que en Ale abogado del ilustre colegio de esta corte, que lo tiene en ei mania esté la ilustración mas propagada; y sea cual fuere la cuarto principal de la caía níim. 2r, calle dei Olivo Alto, para causa, es p…</t>
  </si>
  <si>
    <t>Gil, Josef Díaz</t>
  </si>
  <si>
    <t>Josef Díaz Gil</t>
  </si>
  <si>
    <t>…critores en quienes la adulación pueda nombre y reputación. mas que lá buena fe i „Los liberales de España, dice la Gaceta de Milán, estaban enageHabiendo denunciado el licenciado D. Josef Díaz Gil la nota pri nados de gozo al ver la aurora pasagera de las revoluciones prometerles mera del núm. 48 del periódico titulado el Defensor de ¡a patria en un brillante dia; pero en breve se oscureció el horizonte en las orillas el concepto de injuriosa á dicho D…</t>
  </si>
  <si>
    <t>Gil, Josef Fermín</t>
  </si>
  <si>
    <t>Josef Fermín Gil</t>
  </si>
  <si>
    <t>…tuperan cisco Arnaiz y Bringas, D. Francisco López Olavarrieta , D. Ignacio en la generalidad de las gentes, parecen mas odiosos, mas indignos en María Aguirre, D. Jacobo Escario, D. Josef Fermín Gil, D. Josef el magistrado, el prelado, el sacerdote, el militar , el hacendado, que María Santiago, D. Josef Mariano Vallejo, D. Juan Angel Ortiz, por su educación, su carácter ó su rango en la sociedad debieran ser D. Juan Antonio Sánchez, D. Juan García Becer…</t>
  </si>
  <si>
    <t>Gil, Mariano</t>
  </si>
  <si>
    <t>Mariano Gil</t>
  </si>
  <si>
    <t>…e hace saber al público por medio de .este lidades y medios mas expeditos en las operaciones., ha determinado que periódico paia los efectos correspondientes. ei dicho comisionado D. Mariano Gil pueda disponer que los compra La plaza de cirujano de la villa de Castilblanco, partido de Taladores de estos géneros entreguen el valor de los alcoholes y plomos vera, provincia de Toledo, se halla vacante por impedimento físico que les vendiere á cualquiera…</t>
  </si>
  <si>
    <t>Gil, Ramón</t>
  </si>
  <si>
    <t>Ramón Gil</t>
  </si>
  <si>
    <t>…a de D. Juan Francisco pacho consejeros honorarios de Estado D. Evaristo Perez de Castro, Aguado y D. Esteban Cabañez, vindicándose de una queja dada contra D, Agustín Argfieiles, D. Ramón Gil de la Cuadra , D. Manuel Gar ellos por D. Tiburcio López. cía Herreros, D. Josef Canga Argíielles , D. Cayetano Valdes y Don Se dió cuenta de una exposición de D. Luis Sánchez Prieto, vecino Juan Jabaí, en atención al estado en que se hallaban, á los distingu…</t>
  </si>
  <si>
    <t>…mpo antes que esta plaza se recu abogado del colegio de esta corte. D. Dionisio Valdés, hacendado pro pere de los fatales golpes que su comercio ha recibido. pietario en Illescas. D. Ramón Gil de la Cuadra. « La determinación que tome la Sublime Puerta, respecto de los Suplente. D. Joaquín Lumbreras, catedrático en Alcalá. créditos cuantiosos que tienen los europeos', contra los griegos que han Por la de Toledo. D. Gregorio Sanz de Villavieja, cura…</t>
  </si>
  <si>
    <t>Gilí, Costa y</t>
  </si>
  <si>
    <t>Costa y Gilí</t>
  </si>
  <si>
    <t>…d. Y por fin se ha dado entera libertad á los do por Galicia, y Vargas Ponce por Madrid ; advirtiendo dueños de montes y arbolados para que usen libremente de que no se incluía el Sr. Costa y Gilí, diputado por Cata su propiedad.- luña, por hallarse ya exonerado de este cargo al tiempo de «Las próximas sesiones, Sermo. Sr., y las circunstan su faflecimiento. cias, que esperamos sean mas felices, pondrán á los diputa El expresado Sr. Couto dio. cuenta d…</t>
  </si>
  <si>
    <t>Gilíes, Antonio</t>
  </si>
  <si>
    <t>Antonio Gilíes</t>
  </si>
  <si>
    <t>…una en los dias anteriores. porcion.de minerales volcanizados de la villa de Olot, en Cataluña, El día 2 fondeó en Gibraltar, procedente en 3 dias de Lisboa, el na que le remitió D. Antonio Gilíes, arquitecto en Barcelona , y dos pa vio Seringapatam, de la R. M. B., á cuyo bordo iba Sir Tomas Mait- peles impresos que tratan de aquellos, siendo autor de uno de ellos esre land, gobernador de Malta, y comisionado regio en las islas Jónicas. sugeto, y del…</t>
  </si>
  <si>
    <t>Gillemán, Félix</t>
  </si>
  <si>
    <t>Félix Gillemán</t>
  </si>
  <si>
    <t>…nero. La Puerta recibía ñoz Cevallos, capitán del regimiento de caballería del Príncipe, y la cerca de ocho millones de rs. por cada nombramiento, y no podían de Rosas al teniente coronel D. Félix Gillemán, segundo teniente del conservarse en sus destinos sino haciendo grandes y continuos regalos primer regimiento de guardias de infantería: y la sargentía mayor déla á aquellas personas que podían perjudicarles ó favorecerles en Constanplaza de Denia al teniente…</t>
  </si>
  <si>
    <t>Gin, Félix</t>
  </si>
  <si>
    <t>Félix Gin</t>
  </si>
  <si>
    <t>…íe, Se leyó y aprobó el acta de la sesión anterior. ~ ' . y á fin de qué en lo sucesivo se evifásen scmejaníés retardos’,!1¿ qorniSe mandaron pasar á la comisión de Poderes los de D. Félix Gin, sion presentaba á 'la deliberación de las Cortes los.;',trésisá^ículds,si-D,. Juan Guell, D. Ignacio Mora ,■ D. Josef Alaría Moreno , D. Josef guientes: 7xoc:. íc:--’-v; María Jiménez, D. Joaquin Medina y D. Domingo Sánchez, diputa - i.° Que se diga al Gobie…</t>
  </si>
  <si>
    <t>Giorgío</t>
  </si>
  <si>
    <t>…iva, sirviéndose de los mismos eler los sugetos siguientes: el marques de Andrecca para el ministerio de .meatos que ahora existen, sin añadir ningún empicado nuevo. -Hacienda; el caballero Giorgío para el de Justicia; el Sr. VecchioArt. 2.0 » Que se supriman todas Jas direcciones protectoras parti n¡ para el del Interior; el general Fardella para el- de Guerra, y para culares de canales y caminos nacionales, encargando la continuación de el de Marina a…</t>
  </si>
  <si>
    <t>Giotgio</t>
  </si>
  <si>
    <t>…ia nombrado el Rey de Ñapóles un Gobierno pro\ ision.il, com sen las causas que no se pudiesen probar, para no dejarlo á la arbitra puesto del marques de Circelo , presidente; del caballero Giotgio, co riedad de los tribunales, mo ministro interino de Justicia: del general vaideoa, ídem de Guer Después de una ligera discusión se mandó volver dicho artículo á ra y de Negocios eclesiásticos; dei caballero Luchoi , ídem de Marina; la comisión. del marques…</t>
  </si>
  <si>
    <t>Giral, Juan</t>
  </si>
  <si>
    <t>Juan Giral</t>
  </si>
  <si>
    <t>…entonces ño conocida, los franceses solo tenían que medir casa de D. Pedro Alarbolaza, del comercio; en Badajoz án gulosel círculo repetidor que Borda acababa de inventaren Ja de D. Juan Giral; en Gibrahar en la del Dr. Don no prometía por su figura tatito como el teodolito; pero en Joaquín Robadelia; en Sevilla en la de D. Francisco su construcción . encerraba él principio de una precisión á Claucel; en Granada -en la de la viuda de Palacios; eri…</t>
  </si>
  <si>
    <t>Giralda</t>
  </si>
  <si>
    <t>…habia pensado se concluyera la discusión de la sin tener derecho al vestuario, como previene su instituto. ley sobre infracciones de Constitución ; pero que habiéndosele hecho El Sr. Giralda, creyendo que no habia cosa mas perjudicial que in algunas observaciones, lo habia suspendido hasta que las Cortes resol ventar medios para que las leyes no se cumplan, como se verificaría si viesen si debía continuarse. se aprobase el anterior dictamen respe…</t>
  </si>
  <si>
    <t>…evitar el contrabando. Ademas tiene S. Sebastian ia cualidad de que cutido, se aprobó esta proposición. casi siempre ha tenido allí el capitán general; tiene una fortaleza que El Sr. Giralda hizo otra proposición, relativa á que la comisión ex exige que haya alguna guarnición, y asi los caudales públicos están allí presas: en este artículo que sin embargo de la separación de los pueblos con la mayor seguridad. La situación de S. Sebastian está cl…</t>
  </si>
  <si>
    <t>Giraldo</t>
  </si>
  <si>
    <t>…a por decreto de este dia he tenido á bien habilitar para el desempeño proposición del Sr. Romero Alpuente. de este encargo por exoneración de D. Jos.ef Canga. A‘rgüellc§ j que El Sr. Giraldo expuso que únicamente se trataba de tender un lazo lo tuvo en propiedad; he venido en ..disponer que se'entienda, igual al Congreso, pidiéndole propusiera personas para el ministerio; que si habilitación , por ahora y durante.la. ausencia; de aquel, con D,,Ji…</t>
  </si>
  <si>
    <t>…habiéndose dispuesto nada acerca de lo que se haré la proposición de que se suprima esta oficina como inútil. habia de hacer con las alhajas de las 8 casas de Monacales oue de Ei Sr. Giraldo , presidente de la comisión del Diario, expresó- que bían quedar, habian puesto en depósito las pertenecientes á la casa de en esta noche habian determinado reunirse sus individuos, y tomar co Monserrat en Cataluña: y se pasó a la comisión de Hacienda. nocimi…</t>
  </si>
  <si>
    <t>…en seguida el artículo del reglamento que trata de este cpipisionados de los Gefes políticos , se acabó la libertad españolaf y la asumo: y el Sr. López ( D. Marcial) dijo que el Sr. Giraldo, que era Constitución y todo; y.concluyó pidiendo se declarase haber lugar.á la presidente en la legislatura pasada, propuso á las Cortes cuando se tra formación de causa contra el Gefe político, de Murcia, por haber in tó de este negocio que se nombrase una…</t>
  </si>
  <si>
    <t>…quedará resuelta h queja de! Crédito público, y la excepción que los canónigos exponen.” Otra á los Guitones, de 11 obradas, de tercera calidad , en 2 200 rs. Se a¡ robó otra del Sr. Giraldo sobre el mismo asunto, que decía: Otra que llaman la Lechona, de 7 obradas, de segunda y tercera » Que este expediente pase á la comisión Eclesiástica.” calidad, de secano , en 23 rs. Concluido este negocio, el Sr. Quiroga, refiriéndose al artículo in Otra ll…</t>
  </si>
  <si>
    <t>…s;” debiéndose colo las Cortes, y la del tribunal establecido en la Constitución.” car como primera indicación , y después las dos que se discutian. Admitidas á discusión, dijo el Sr. Giraldo: El amor á la justicia es El Sr. Golfín estimó justo lo propuesto por el Sr. Calatrava. el principal motivo de la diferencia de opiniones que se nota en los Habiéndose puesto después á votación separadamente las dos indi Sres. diputados. Todos quisiéramos exc…</t>
  </si>
  <si>
    <t>…so extraordinario, en que á jui- que á la palabra artes se añadiese: » De canales, caminos y demas obras eio del Sr. presidente sea necesario tenerla.» públicas.” ' : - , Otra del Sr. Giraldo al 83: „Que los secretarios del_ Despacho de v Tarabjen se aprobó otra del Sr.-Giraldo al Jnismo artículo, y jen en.lii secretaría de las-Cortes áma copia con el original de la me erar » estás comisionas se podrán aumentar á juicio -de las Cortes. Si'lá moria…</t>
  </si>
  <si>
    <t>…y creía estar aquel en el mis muy fundado; por lo que esperaba que las Cortes lo aprobarían. mo caso que este. El Sr. López (D. Marcial) dijo tenia muy presentes la grandes re El Sr. Giraldo dijo que el Sr. obispo de Pamplona no fue nombra flexiones que se hicieron cuando se trató del empréstito, por lo que do diputado por Navarra, sino por Galicia.miraría con mucha escrupulosidad cualquiera innovación que se hicie El-.Sr. Cortés indicó que no si…</t>
  </si>
  <si>
    <t>…re se, dando las mas enérgicas, y prontas providencias para contener los será odiosa. ■ . -.i ¡ . . -r. abusos que se experimentan en la venta-pública, tanto de los-libros co , El Sr. Giraldo expuso s yo creo que;nos debemos concretar. ,ál esc mo de las estampas.obscenas é indecentes, como contrarías á nuestra tado de la cuestión,y desentendemos de .-las-doctrinas tan nuevas y. pe religión y buenas costumbres. Y fue. aprobada. ¡ , regrinas como la…</t>
  </si>
  <si>
    <t>…nga.hablar-” ..del Sr. Martel al art. 8.' so rificada la vacante, S. M. usa del derecho ds patronato; y asi conven- No se admitió á discusión una adición go; en lo que ha dicho el Sr. Giraldo; pero cuando hay una represen-, bre la variación de la-materiá¡que se habia de discutir, que decía::;, A tacion dirigida sobre este asunto y en obsequio de la religión no pue menos que ocurra Uoaa novéda'd extraordinaria-, el dia. siguiente, del de, tener. eL…</t>
  </si>
  <si>
    <t>…añedo dijo que habiendo examinado este proyecto de ley y votación , y quedó aprobado. el voto particular del Sr. Calatrava hallaba que su opinión era muy Se leyó el arr. 1. , y el Sr. Giraldo dijo: Que hablando la ley 8‘, contraria á la de dicho «ñor y denlas individuos de la comisión; y qué ftt. 17, lib. 12 de la íxovistnra JRecopilacion de los malhechores y no tratándose en la actualidad de los artículos en particular sino del bandidos, y no señ…</t>
  </si>
  <si>
    <t>…nsulta de la d putácion provincial de Valencia, inanifes- , Quedó aprobado el art. 8.* tando que habiendo muerto uno de sus diputados, llamó al primer su Se leyó el art. 9.', y el Sr. Giraldo manifestó que el deseo de que plente , y este se excusó diciendo no tenia haberes para mantenerse la ley fuese clara, y no tuviese confusión, le obligaba á suplicar á ios en la capital. Pregunta qué debe hacer en este caso. Úna exposición señores de la comisi…</t>
  </si>
  <si>
    <t>…con-una prima'carnal Se aprobó el art. 27 {-véase la.¿aceta de ayer.)\ y después de leí-" suya, por exigírsele para la dispensa una cantidad á que no‘llegad sus. do el 28 dijo el Sr. Giraldo, que con respecto á las 48 horas qué se alcances; y pidiendo-; que atendido su estado determinen las Cortés lo decía hablan de pasar para egecutarse la sentencia de pena capital. creia' que les pareciere mas. acertado.............. que era msjqr, y mas políti…</t>
  </si>
  <si>
    <t>…el de preciso término en que se deberá obligar á todos los habitantes del franciscos recoletos, y en S. Sebastian el de franciscos observantes; y distrito respectivo;” y otra del Sr. Giraldo al artículo final, concebida que se supriman en Azpeitia el de dominicos y el de agustinos calza en estos términos: » Sin que en esta segunda instancia se pueda pro dos, cuyos individuos permanecerán en los conventos de sus respecti poner ni admitir otra prue…</t>
  </si>
  <si>
    <t>…batallón por adicto al sistema constitucional, de cuyas resultas se halla demente igero de Cataluña, ... . mas de tres años hace, y sin mas medio para subsistir él y la familia El Sr. Giraldo dijo .que esta noticia; era tanto mas satisfactoria' para que su corto sueldo; por lo que suplicaba se les concediese una pen el Congreso » cuanto el comandante de las expresadas compañías, Don sión. La comisión no presume que á D. Gregorio Rodríguez, que fir…</t>
  </si>
  <si>
    <t>…éase en la nombrando el Gobierno un intendente, y cuidando de proponerá las ¿aceta de 2.6 del corriente'). Cortes sucesivamente la época en que deban establecerse las demas con El Sr. Giraldo dijo que no habria tomado la palabra en este nego tribuciones; yo apelo al juicio de todos los señores diputados para que cio si no hubiese visto tratar de las provincias V ascongadas del modo d/gau si yo en mis discursos manifesté esa idea vulgar de provinci…</t>
  </si>
  <si>
    <t>…esta deuda por el Cré ¡No le han faltado el tiempo ni los medios para consumar t--das es dito público. tas infracciones de la Carta, que acaso no serán las únicas que tengamos Ei Sr. Giraldo preguntó si en el contrato celebrado con el Go que temer, pues Dios sabe cuál será la suerte venidera que se prepara bierno habia alguna condición relativa al modo dé verificarse el pago; á nuestra desventurada patria! Pero ese ministerio tan ardiente para de…</t>
  </si>
  <si>
    <t>…obernadores de las plazas decimos que los gefes militares tengan las mismas facultades que los sitiadas.” gobernadores de las plazas sitiadas; facultades que aun no abusando de El Sr. Giraldo dijo que le parecia indispensable y-muy conveniente ellas pueden comprometer la seguridad de todos los individuos de que ante todas cosas informasen los Sres. secretarios del Despacho de aquella provincia’ ;Por qué í este arzobispo no se le separa inmediata l…</t>
  </si>
  <si>
    <t>…ceta de 31 del próximo pasado, co!. 4,*, lín. 30, en ya á aquella capital , y que con este refuerzo no se. dudaba qué se ve lugar de «El Sr. Gareli dijo &amp;c.” Se debe sustituir «El Sr. Giraldo ría obligado á reembarcarse San Martin, quien se habia hecho abor- dijo &amp;c.”—En la de ayer&gt; col. 3.a, sesión de Cortes, después- que el -recible por sus excesos, no dominando mas terreno que el que ocupa Sr. Quiroga apoyó la indicación del Sr. Solanot, relati…</t>
  </si>
  <si>
    <t>…n da la misma , según lo solicitaban el gefe político y vo le parecía no debían suspenderse por ahora algunas discusiones pen diputación provincial de dicha provincia. dientes. El Sr. Giraldo dijo que esta determinación le parecía muy acerta Se leyeron por segunda vez tanas proposiciones del Sr. Medina, re da , y deseaba fuese extensiva á las demas audiencias ; y se aprobó el lativas á la abolición del pago de ciertos derechos que se exigen en va…</t>
  </si>
  <si>
    <t>…utar lisis á la geometría descriptiva: elementos de arquitectura civil: geode esta gracia en virtud de dichas Reales órdenes. sia y topografía: dibujo topográfico y de paisage. El Sr. Giraldo expuso que esto era derogar la ley sobre novales, y • n Los jóvenes que pretendan entrar en esta escuela deberán sufrir en que debía seguir los trámites prescritos por la Constitución ; y después ella un examen de las materias siguientes: gramática castellana…</t>
  </si>
  <si>
    <t>…tar el contrabando es un medio, por el cual, extinguiéndo mismo que á los soldados que abandonan su puesto. se este, se fomentarán nuestras fábricas. Yo no lo creo asi , porque El Sr. Giraldo pidió que se leyera el art. 8.; dé lá ley de arance mientras de estas no salgan los géneros suficientes , y que tengan las les; y verificada su lectura se declaró este asunto suficientemente dis mismas cualidades que los extrangeros, es bien evidente que el c…</t>
  </si>
  <si>
    <t>…añada y con los estudios convenientes y conocimientos que en adelante al nombramiento de otros canónigos; exige la ordenanza de farmacia , aunque estos se hallen adquiridos fue El Sr. Giraldo hizo presente que éstos canónigos sé habían llámadó1 ra de los mismos colegios.” Inonges, y la catedral de Pamplona monasterio cuando había conveni El Sr. Quintana se opuso á esta adición por considerarla superflua, do á sus intereses, qúe verdaderamente habi…</t>
  </si>
  <si>
    <t>…ona , pendiente desde la sesión anterior .contestó el señor cusión de este asunto para otro día, y se pasó á leer el decreto sobre la Gareli á las observaciones que habia hecho el Sr. Giraldo, diciendo ley da libertad de imprenta ya discutida; con lo que se levantó la sesión. que la regla que observaban aquellos canónigos era la misma que habiau seguido todas las catedrales de España , y de que se habian ido sustrayendo NOTICIAS DE ESPAÑA. poco á…</t>
  </si>
  <si>
    <t>…el 26 de Junio se esperaba en Aquisgran al Rey de Prusia, El Sr. Sancho pidió que se discutiese el dictamen. después que hubiese pasado revista, cerca de Coblentza, al segunda El Sr. Giraldo dijo: Me parece que debe aprobarse lo que ha indi cuerpo de egército, compuesto de 758 hombres. cado el Sr. Toreno, porque &lt; de qué servirá que el Congreso declare Las tropas rusas se hallaban en movimiento con destino á las fron que ha lugar á la formación d…</t>
  </si>
  <si>
    <t>…star autori to, señores, el sistema, los agentes diplomáticos, el lenguage todo me zado el reverendo Nuncio. parece extraño á la Francia moderna, áquien se impone el vergonzoso Ei Sr. Giraldo dijo que tomándose, este asunto con tanta cachaza, yugo de las doctrinas que ha proscrito, y de las potencias que tantas no se verificaria nunca la intención de las Cortes, é hizo una indica veces ha vencido. Sin embargo, la Europa, llamada por nosotros á la…</t>
  </si>
  <si>
    <t>…n ella el sistema de contribuciones adoptado para el res las cantidades recibidas á cuenta de sus sueldos desde el año 19 para to de la'Monarquía. desvanecer toda equivocación. El Sr. Giraldo apoyó este dictamen, é hizo una indicación para' El Sr. López (D. Marcial) presentó una exposición de la milicia que ínterin se paga aquel denativo continúen ios arbitrios que se es nacional de Daroca, en la que manifestando sus sentimientos patrióti tablecie…</t>
  </si>
  <si>
    <t>…bados los presupuestos en la misma forma que este cesantes. , ■ año, y que por consiguiente era estraño que hubiese de parte deL Señor Después de haber hecho varias reflexiones el Sr. Giraldo en los Ramonee mas delicadeza este año que el anterior para aprobar dichos mismos términos que el Sr. San Miguel, fue de parecer que debería presupuestos. aprobarse el presupuesto por las circunstancias actuales, dejando al Se declaró este asunto suficienteme…</t>
  </si>
  <si>
    <t>…e resolviesen lo que juzgase Ademas de lo que dejo manifestado ueba tenerse presente que aun mas oportuno. ~ que las Cortes aprueben ei dictamen que propone ia comisión, no m—’ El Sr. Giraldo dijo : La secretaría ha de tener presente que no de terrumpirá en manera alguna la marcha de la división, porque ia única be dar cuenta de asuntos de esta naturaleza, que solo sirven para hacer alteración que puede haber sera ia de írasladac ¡os pueblos de un…</t>
  </si>
  <si>
    <t>…pendió para continuar la discusión del proyecto de divi ra los periodistas ,' viles instrumcnfos de estos! hombres, enemigos dé sión territorial; y habiendo obtenido la palabra el Sr. Giraldo , dijo: todo lo bueno y de todo'lo'justo, pait publicar,sin él menor reparo, y : n No he lomado la palabra para hablar contra el dictamen que pro sin temor de ser contenidos por la censura, 'Chamo hay de mas detesta pone en general la comisión encargada de pr…</t>
  </si>
  <si>
    <t>…s, en razón trario seria dar lugar á pleitos lu josos. deque se pueden ir exponiendo razones en la discusión de cada provin El Sr. Clemencia contestó ;í aigunas equivocaciones del Sr. Giraldo. cia , y formar su juicio cada Sr. diputado con mas exactitud. Jor estas El Sr. Sancho dijo : Desearía que esta discusión se abreviase un po razones pido que se lean las proposiciones que tengo hechas relativas í co , porque veo que estamos repitiendo los arg…</t>
  </si>
  <si>
    <t>…presente que no podía el Congreso votar en riores políticas han residido siempre en Sta. Cruz de Tenerife. un asunto tan oscuro, del que no tenia datos la comisión, pues no se El Sr. Giraldo dijo: Sin embargo del talento y laboriosidad de los habia oido como se debía á la diputación provincial. individuos de la comisión de división del territorio, yo creo que todos El Sr. Cabezas dijo: Cuando la comisión propuso que la capital de estamos persuadi…</t>
  </si>
  <si>
    <t>…tan considerable entre el clima de la ciudad de las Palmas y los de la gran Canaria opinan que debe ser Palmas la capital; cuan el de Sta. Cruz de Tenerife; á lo cual contestó el Sr. Giraldo que do ha oido á individuos de Tenerife opinan que en Sta. Cruz de Tene aunque no hubiese residido el capitán general en Palmas, no se echaba rife debe ponerse la capital. De forma que segur, las personas que han de ver que no hubiesen estado las autoridades…</t>
  </si>
  <si>
    <t>…ciamar Jos ge demas ministros, aunque sin voto en los negocios. Los auditores no le nerales contra él. tendrán sino en los negocios judiciales, ya sean civiles ó criminales, , El Sr. Giraldo dijo: Aunque á las observaciones que se han hecho aunque e! almirantazgo podrá pedirles informe en ios casos que crea parece que no debía añadir ninguna, creo que debo manifestar mi opi convenientes , sin sujeción al que diesen. nión , y es que no debe aproba…</t>
  </si>
  <si>
    <t>…a concedió. - misión especial -yen que s¿ ventilasen dichos objetos. »?,!uc.''tis buques llegados de Levante han traído noticias poco favo- Admitido á discusión este dictamen , el Sr. Giraldo fue de Opinión rab es i los er.ejos. he habla de.haber entrado en Morea un numeroso que debería encargarse deteste trabajo la comisión del Código criminal ejército otomano . y también de la disolución de la escuadra griega , y por la conexión íntima qtie teni…</t>
  </si>
  <si>
    <t>Gíraldo</t>
  </si>
  <si>
    <t>…ataban de cen su encargo; es asi que los provisores son empleados públicos de los poderes del Sr. O-Gavan. npinbrami, nto del Rey, porque así lo han declarado las Cortes, luego El Sr. Gíraldo dijo :. No se trata del mérito y demas circunstancias están comprendidos en el attículo 9/ que.se explica en estos términos; dé la persona del Sr. O-Gavan , que son muy apreciables para mí; trá y. por consiguiente-el decreto, que asi. ¡o declara es un decreto…</t>
  </si>
  <si>
    <t>…dotación es la de i3 duros anuales , quieran solicitarlo, lo debían aprobarse los poderes del Sr. O-Gavan. verifiquen en el término de dos meses , contados desde el dia de hoy, El Sr. Giraldo contestó que estos casos no podían ni debían tener dirigiendo sus instancias á este ministerio; en el concepto de que no se presentes , porque lo mas que podrían probar seria una mala inte podrán ser atendidas las que se reciban pasado él expresado tiempo. li…</t>
  </si>
  <si>
    <t>…deposición del ministerio. Vanan en el modo; pe do meditaba á sangre fría en la oscuridad de ia noche. ro Ja alarma ha sido general: de las exposiciones poco respetuosas se ha El Sr. Giraldo: Creo que no puede menos de aprobarse este artícu pasado á las amenazas, y de estas á una inesperada desobediencia, que lo , porque de lo contrario quedaría establecida la impunnidad de todos la comisión quisiera poder borrar con su silencio de la historia de…</t>
  </si>
  <si>
    <t>…s. A esto F1 Sr López f D. Marcial ) apoyo igualmente el dictamen d- la se allega el haberse nombrado para este ministerio i un hombre cuyos comisión i añadiendo á las razones del Sr. Giraldo , que se debía estre conocimientos no son los necesarios para este importantísimo ramo. char á las personas deudoras á estos establecimientos para que pagasen, Convendria que ya que se hiciese la mudanza de ministros , que no fue citando el egemplo dei arzobi…</t>
  </si>
  <si>
    <t>…ste discutirían mañana, y en seguida el proyecto de beneficencia, conti artículo. Respecto de la primera parte soy de ¡a misma opinión que el nuándose después la del código penal. Sr. Giraldo en atención á la humanidadpero creo que chocaría de Se levantó la sesión á las tres y cuarto. masiado con la opinión en esta parte. Se declaró suficientemente discutido este artículo , y quedó aprobado. ARTICULO DE OFICIO, Art. 23. » Desde la notificación de…</t>
  </si>
  <si>
    <t>…lla uni El Sr. Azaola fue de opinión que debería quitarse de este artículo dos con todas sus oficinas.” la palabra epidemia, y se pusiese en casos extraordiñarlos, en razón de Del Sr. Giraldo al art. 40: « Que se extienda á las cárceles.” que está probado ya que conviene mucho en tiempo de epidemia que Del Sr. San Miguel al art. Ó3 : » Que se añada bajo las reglas que se los enfermos esten lo mas separados que sea posible. establecieren en el códi…</t>
  </si>
  <si>
    <t>Giraldo-</t>
  </si>
  <si>
    <t>…cón tal de completarse el número de reli mandó pasar a la comisión. giosos que falten al que exige la ley, en S. Clemente, la Parrilla y Se mandó pasar á la misma otra adición del Sr. Giraldo- al artí-' Escantilla los de S. francisco; en Utiel el hospicio-convento dé culo 12, que decia asi: » Tampoco se admitirán por los jueces de pri-J S. Antonio de Padua; en Torrejoncillo el de menores observantes,' mera instancia ni por las audiencias recursos d…</t>
  </si>
  <si>
    <t>Girao</t>
  </si>
  <si>
    <t>…se hallaba para recibirla una diputación del ayuntamiento, tizando con su producto parte de la deuda pública. compuesta del regidor D. Juan Fernando Corvera y de su síndico 1.“ El Sr. Girao presentó un artículo para que se adicionase a las ba D. Juan Andrés Morcillo; y puesta en el salón , el comandante arengó ses de la Constitución, declarando la inviolabilidad del domicilio de encrgiqsiniente al ayiultaruíento, y este le contestó con igual ene…</t>
  </si>
  <si>
    <t>…las atribuciones .de conocido desde luego la respuesta que aquellos Sres. darían : que los los tres poderes. consideraba como unos hombres particulares, á quienes su delicadeza El Sr. Girao dijo que aunque era muy liberal, conocía que se ne no permitía decir cosas que dirian siendo funcionarios públicos : que si cesitaban nuevos poderes en los diputados para formar, una nueva Cá las Cortes habian resuelto que hubiese sesión extraordinaria, era n…</t>
  </si>
  <si>
    <t>…la S. R. C.; cardenal Gonsalvi, diácono de Sta. María ael Se continuó la discusión del art. u de las bases de la Constitución. Mártires, secretario de Estado de S. S. Pió vrr. El Sr. Girao dijo que siendo muy graves los inconvenientes que re Informado S. S. de que las tropas austríacas que se hallaban reuni sultaban de la adopción de dos Cámaras, era su parecer que no las hu das en las fronteras del reino Lombardo-Véneto han pasado el Pó biese…</t>
  </si>
  <si>
    <t>Núm. 74. C7 cuartos.) 343 GACETA DE MADRID. JUEVES 15 DE MARZO DE 18a 1. NOTICIAS EXTRANGERAS. También fue desechado para las bases el proyecto del Sr. Girao so bre la inviolabilidad de las casas de los ciudadanos, entendiéndose que SAXONIA. se tratará maduramente este asunto en la Constitución. El Sr. presidente, manifestando iu importante que era la publicación Freide 77 de Febrero. de las bases que se hallaban…</t>
  </si>
  <si>
    <t>…tal extremo que no se habla cedía á los propietarios; y quedó pendiente la discusión para otro dia. de otra cosa en todas' ¡as sociedades y concurrencias ; y si ha de juzgarse El Sr. Girao presentó el decreto sobre aguardientes á beneficio de del espíritu publico por lo que se manifiesta en todas las conversaciones los labradores del alto Duero extendido en cuatro artículos ,Ty cuyo con y sociedades ,.París á lo menos hace ver el interes que to…</t>
  </si>
  <si>
    <t>…de los que han aspirado á gobernar las sociedades humanas. Yo no puedo suponer que' los poderosos de la tierra, que por lograr . quedó pendiente en la sesión anterior , y opinó el Sr. Girao que los que este objeto han cometido tantos crímenes y derramado tanta sangré, las habían obtenida por servicios ó títulos onerosos debían conservar hayan sido estimulados por un principio de virtud , por el amor a sus las mientras viviesen. semejantes, ni me…</t>
  </si>
  <si>
    <t>…inmediata la fór Cuando la Cámara esté mas sosegada , di;o Mr. Sebastian!, prosegui mula del juramento. ré; y si esta quiere que me separe totalmente de la cuestión ¡'olítica, El Sr. Girao lleno de júbilo presentó un impreso y una carta de obedeceré; pero no puado persuadirme que semejante injusticia y men la ciudad de Oporto , que anunciaban la plausible noticia de que S. M. gua de nuestras libertades puedau tolerarse en este recinto. habia ap…</t>
  </si>
  <si>
    <t>…posición insolente? ¡ Ah! ¡No era bastante cu necesarias al efecto: asi se aprobó. brir con un velo fúnebre la mayor parte de nuestras libertades? Después Con este motivo pidió el Sr. Girao que la prohibición de dar há de tantos naufragios, ¡ se habrá de ir también á pique la libertad de bitos religiosos se hiciese extensiva á las monjas, y quedó aprobado. nuestras discusiones, que era la única tabla de salvación que nos que Se pasó á tratar de…</t>
  </si>
  <si>
    <t>…en la Bulgaria, y que los servios estaban determinados á favorecerle en Lisboa £ de Mayo. sus empresas. IXQI ATERRA. Sesión de Cortes del 4. Eeida el acta de la anterior, pidió el Sr. Girao que se leyese se Londres i.c de Mayo. gunda vez el artículo relativo al .presidente del primer jurado; y ha Reunida la Cámara de los Comunes en junta de subsidios, en su biéndose leído , manifestó que no debía entenderse que el corregidor ó primera sesión, qu…</t>
  </si>
  <si>
    <t>…a Mr. Woctley pidió se diesen á la Cámara copias auténticas de Jos traiga consigo desórdenes incalculables.” documentos originales publicados en Laybach en nombre del Austria', El Sr. Girao, hablando largamente sobre este asunto , demostró que Rusia y Prusla en 1 2 de Mayo del corriente año, para los efectos con el privilegio concedido á la compañía en su institución estaba ya ex ducentes á la oposición que debe formar la Inglaterra contra las m…</t>
  </si>
  <si>
    <t>…licitud del prefecto y comunidad de padres agonizantes llamaba Procurador de los cosecheros del Alto-Dusro. de la calle de Fuencarral de esta corte, por sí y á nombre de los de El Sr. Girao dijo que en la sesión inmediata presentarla una propo mas de Madrid y Alcalá, de que no se lleve á efecto su exclaustra sición por escrito sobre este asunto. ción hasta que á sus individuas se les señale la pensión que deben Se habló de las representaciones h…</t>
  </si>
  <si>
    <t>…portante salud. PORTUGAI» ARTICULO DE OFICIO. Lisboa 29 de Junio. Los Síes, secretarios de las Cortes me dicen con fecha 26 del ante cortes. ^.Sesión del 25. rior lo que sigue: El Sr. Girao presentó una indicación por escrito para que fuese cas-* « Con fecha 5 del corriente ha acudido á las Cortes la diputación tigado el ciudadano Félix Manuel Borges Pinto , que se titulaba procu provincial de Cataluña, haciendo presente los abusos que han intro…</t>
  </si>
  <si>
    <t>…, donde está su corazón, porque -está el biera , y se reimprimiese. dinero usurpado de los inocentes comerciantes de Manila y de esta ca Se leyó por segunda vez la proposición del Sr. Girao sobre el im pital. ¿Pero cómo va? En plena retirada, con muy pocas tropas, y es preso del llamado Procurador de los pueblos del Alto-Duero; cuya pro tas por haber hecho pasar el Mexcala con engaños anticipadamente sus posición apoyó su autor, exponiendo los m…</t>
  </si>
  <si>
    <t>…el artículo 80 de la Co'nspoderosos Estados generales, presentándoles el-proyecto de lev de 6 de titucion, Marzo de 1818, el cual había quedado-convertido en ley del Estado; • El Sr. Girao dijo que debia también prohibirse el que los diputa* que siendo las excepciones muchas veces perjudiciales en el derecho civil, dos visitasen á S. M. ó Je besasen la mano sin licencia de Jas Cortes: y ¡o eran con mas razón en el derecho criminal; que por cons…</t>
  </si>
  <si>
    <t>Girao.añad</t>
  </si>
  <si>
    <t>…y á nombre de sus sub raría la Constitución que hiciesen las Cortes de Portugal sin restricción alternos , manifestaba los sentimientos patrióticos de que se hallan anialguna.” El Sr. Girao.añad¡ó qne también protestaba contra la palabra madosq .y'el deseo de ser útiles-áp la Nü'eióífl aunqtíe' sea á costa de los vasallos. Se puso 4 votación nominal si debería protestarse contra las mayores sacrificios; igual resolución recayó en otra exposición del…</t>
  </si>
  <si>
    <t>Gireli</t>
  </si>
  <si>
    <t>…de las penas que señalaba; tres y media. porque la comisión, guiada por principios de amor á la humanidad, ARTICULO DE OFICIO. deseaba que el código fuese lo mas suave posible. Ei Sr. Gireli dijo que este artículo-no debía aprobarse, asi por ser El Sr. secretario del Despacho de Marina dice al Sr. secrrtario de contrario á los .arts. 4." y 6." ya aprobados, como porque podía deducir la Gobernación de la Península desde el Real sitio de S. Lo renz…</t>
  </si>
  <si>
    <t>Girón, Isabel de Silva y</t>
  </si>
  <si>
    <t>Isabel de Silva y Girón</t>
  </si>
  <si>
    <t>…secretario.” ■«?, ginales de tres juros que le corresponden ; el uno de 347,450 mrs. de' Por tanto mandamos á todos los tribunales, justicias., gefes, go renta anual en cabeza de Doña Isabel de Silva y Girón, expedido en bernadores y demas autoridades, asi civiles como militares y eclesiásti 23 de Julio de iótío: otro de 307,450 mrs. de i^ual renta , á favor de cas, de cualquiera ciase y dignidad, que guarden y hagan guardar* D. Antonio de la Mora, su fecha 30 de…</t>
  </si>
  <si>
    <t>Gironella, Antonio</t>
  </si>
  <si>
    <t>Antonio Gironella</t>
  </si>
  <si>
    <t>…razón triunfará, la justicia recobrará misionados interinos á los Sres. D. Francisco Larrad, D. Josef Castasu predominio, y la reforma de los Gobiernos seguirá su curso natu Eer y D. Antonio Gironella; pero no bien se habia dado este paso, ral, como lo ha ido siguiendo en la Alemania. cuando no satisfecho el zelo de los concurrentes con haber contribuido Con efecto la Alemania presenta en el dia el contraste mas asom á fijar la marcha de este importante ne…</t>
  </si>
  <si>
    <t>Gisbeit</t>
  </si>
  <si>
    <t>….o» establecimientos de bene ficencia. Podemos asegurar,que es falsa la noticia dada por el Espectador de haberse celebrado uha junta en el Crédito público , computista del se- El Sr. Gisbeit dijo : La comisión no puede menos de quedar satis fecha de la opinión que ha manifestado el Sr. Cortés; pero al mismo cretario del Despacho del Hacienda y de los ministros de aquel esta blecimiento , y que &gt;e había decidido en ella extraer de aquella teso tie…</t>
  </si>
  <si>
    <t>Gisbert</t>
  </si>
  <si>
    <t>…ara la consolidación del sistema, la indemnización pro posible dé las noticias que tenga sobre este asunto. puesta por el Sr. conde de Toreno; pero que esto podria meditarlo la El Sr. Gisbert apoyó en un todo la proposición del Sr. preopinante. comisión , porque si era bueno para los que habian padecido, seria El Sr. conde de Toreno manifestó que el asunto de que se trataba pre malo para la sociedad que de pronto habia de satisfacerla. sentaba uno…</t>
  </si>
  <si>
    <t>…ellos la providencia que haya lugar. Si fuere demasiado el ru PRESIDENCIA DEt SESOR CANO MANUEI. mor ó desorden, el presidente deberá levantar la sesión. Sobre el art. 77 hizo el Sr. Gisbert la observación de que seria útil Sesión extraordinaria del 16 de Marzo. añadir „para quedarse en secreta,” porque si no podrían algunos fac Aprobada el acta, el Sr. Tapia hizo la siguiente indicación: ,,Que ciosos'entorpecer la marcha de los negocios una porc…</t>
  </si>
  <si>
    <t>…la de Tenerife. bia suprimido en otro tiempo, la cátedra de historia literaria én los El Sr. Florea Estrada pidió se conservase la universidad de Oviedo. estudios de S. Isidro. E! Sr. Gisbert, creyendo que no se habia llenado uno de los ob El Sr.Tapia, contestando al'Sr. preopinante, expuso no ser tan difícil jetos que se proponía la comisión en el establecimiento de las univer que los bibliotecarios, siendo buenos, enseñasen la historia literaria…</t>
  </si>
  <si>
    <t>…mismo dia se les intimó la sentencia de muerte, que fue eeecu- testades, que desean conservar las Cortes, tada al siguiente en la mencionada villa; por !o que el dia de su ani El Sr. Gisbert dijo teñía la satisfacción de manifestar al Congreso versario se Ies-tributaba honras fúnebres, y erigia un pequeño monu que había sabido que el M. R. nuncio no se oponia en ninguna mane mento á su digna memoria. Había una nota que decía.: que con motivo ra a…</t>
  </si>
  <si>
    <t>…31 de Agosto último. • pais. Quedó aprobada. .................................. ... A la de Hacienda una exposición de Doña María Medrano, viuda, Lo mismo se verificó con otra del Sr. Gisbert, que decia: Que solicitando el perdón de cierta cantidad que dejó en descubierto su las Cortes declaren que no debe ponerse pedimento para ios juicios de difunto marido, procedente de la venta de bulas; y otra de D. Manuel conciliación, sino que solo debe tra…</t>
  </si>
  <si>
    <t>…ría al mismo S. M. las verdaderas causas que contribuyen á los desórdenes de que se tiempo todas las fortalezas de aquel reino. trata, y.los demas males que afligen al Estado.” El Sr. Gisbert manifestó que convenia en que se debia decir á S. M. ARTICULO DE OFICIO. cuál era el origen de los grandes males que se experimentaban; pero que después de aprobado el dictamen de la comisión, no se podía aumen El Rey sé- iva servido expedir el decreto siguie…</t>
  </si>
  <si>
    <t>…dad de implorar el auxilio del poder judicial ni otra au te no se debe aprobar el art. 4.0 que se discute. toridad. a.° Que con inhibición de ¡as audiencias , jueces y demás ma El Sr. Gisbert rebatió las razones expuestas por el Sr. preopinante, gistrados puedan los mismos intendentes decretar y llevar á efecto los manifestando que aun cuando ú las iglesias se les privaba de sus fincas, apremios que consideren indispensables en los casos precisos,…</t>
  </si>
  <si>
    <t>…esis por el presupuesto que ofrezca el producto del noveno en Quedó aprobado este artículo en los términos en que lo proponía el ano cojnun del último quinquenio.” la comisión. El Sr. Gisbert dijo: Me parece un'poco excesiva la contribución Se aprobó también el artículo 16, que decia asi: o La junta dioce que se impone al clero, porque antes la que pagaba no recaia solamen sana pagará por mesadas en 'a tesorería de la provincia respectiva el te so…</t>
  </si>
  <si>
    <t>779</t>
  </si>
  <si>
    <t>…ones: en seguida se apro egerza. . . . bó el artículo como Jo proponía la comisión. . Art. 10. „E1 título de un pueblo de clase inferior no servirá para Se leyó el art. 5.'’, y el Sr. Gisbert dijo que envolvía una injusti otro de superior, pagando la diferencia del derecho del mismo modo ¿ cia, puesto que no exigia mas que doble derecho de una patente á las que previene el art. 7/ para el que p.ua á egercer una industria de clase, compañías ó soci…</t>
  </si>
  <si>
    <t>…ados á Cortes , y se le apruebe el reparto que incluye para sa mas .oportuna. tisfacer las devengadas hasta el fin de esta legislatura; y én la tercera ' Se aprobó una adición del Sr. Gisbert al art. g.°, relativa á que que se comprendan en los mismos presupuestos los honorarios de los dicha comisión tenga también por objeto de su visita el averiguar el esjueces de primera instancia. lado de las liquidaciones:, por exigirlo .asi él honor de ia. Na…</t>
  </si>
  <si>
    <t>…-xico, Guadalajara, 700 ú 800 mugeres , la mayor parte huérfanas y viudas, si se lleva á Goatemaia y Lima. efecto la supresión de dicha fábrica como lo propone la comisión espe El Sr. Gisbert dijo que habia otras escuelas especiales de dibujo, cial de Hacienda. que no podian verdaderamente llamarse especiales en el sentido que A la de Libertad de imprenta una exposición de la junta protector:* las tomaba la comisión: v. g. la sociedad económica de…</t>
  </si>
  <si>
    <t>…español, podrán todos sin embargo en este caso elegir entre sí los oficios del ayuntamiento bajo Iás reglas prescritas para los demas clon.” j Se leyó la siguiente indicación del Sr. Gisbert: » Pido que respec pueblos." Aprobado. to de los estudios políticos , morales y de religión, las Cortes se sirvan La misma comisión presentó) la adición siguiente al artículo 12.: mandar que por ahora la enseñanza privada sea por los mismos libros n También s…</t>
  </si>
  <si>
    <t>…gnación que se hacia para Jas carreteras, se quirido por mérito, sino por favor. declaró este asunto suficientemente discutido, y se procedió á la vota Déspues de haber apoyado el Sr. Gisbert el dictamen de la comi ción de cada partida separadamente , y quedaron aprobadas todas las sión, manifestando el poco tiempo qu-e habia tenido para extenderlo, correspondientes á la secretaría del Despacho, gobierno político é ins y que lo que habia manifesta…</t>
  </si>
  <si>
    <t>…s den un manifiesto de los géneros que conduzcan dentro de lar auxilio del contrabando. uq horas de su llegada. El Sr. Oliver dijo: La comisión no propone el número de aduanas Del Sr. Gisbert: » Que las comisiones que han entendido en la re que debe haber; únicamente propone aquellas clases que cree necesarias forma de aranceles informen si por ahora convendrá permitir sea libre según lo exige el servicio de ellas: es cierto que hay un excesivo nú…</t>
  </si>
  <si>
    <t>…e aumentar el número de empleados de vista, y para hacer algunas observaciones contra lo que habia di que se cree, porque no ha de haber 403 porteros , 40$ secretarios &amp;c., cho el Sr. Gisbert en su discurso, demostrando que no era convenien sino que las secciones se tendrán en las mismas casas de los ayunta te el que se suspendiera esta resolución hasta que estuviesen discutidos mientos , y no hay necesidad ni de edificio ni de portero, porque ser…</t>
  </si>
  <si>
    <t>…tinuamente expuesto á ser atacado por res últimamente reconocida. medio del derecho de petición. Asi vemos á cada paso representaciones Se leyó por segunda vez una proposición del Sr. Gisbert, para qu« de corporaciones y de ciudadanos ingleses, dirigidas contra el ministerio; se hiciese extensiva á los paños la prohibición de la introducción de y hay épocas en que se acumulan enormerhente, y entran por centenal- géneros de seda extrangeros, y se m…</t>
  </si>
  <si>
    <t>…rio misión deliberada de lo que manda ó prohíbe la ley penal. que de cada delito en particular se dé una definición , y luego se descien No se admitió á discusión la siguiente del Sr. Gisbert: » Que á la da á la caliScacion del delito; pero sin necesidad de entrar en cues definición sustituya la comisión los cánones ó reglas de criterio que tiones metafísicas: mas digo yo, veo en el código la calificación de los distingan circunstanciadamente los…</t>
  </si>
  <si>
    <t>…hecho falta para que las máquinas nacionales llegasen en perfección tiendo su entrada libre de derechos. á las extrangeras era el no haber fábricas de hierro colado; pero abofa El Sr. Gisbert dijo: Este asunto es uno de los mas importantes, se acababan ds establecer en Vizcaya con una perfección admirable; y aunque á primera vista no lo parezca; trataré de las condiciones bajo últimamente que la comisión no formaría empeño eri que el derecho de la…</t>
  </si>
  <si>
    <t>X y yp ( Los griegos que hay en Rusia ansian por el rompimiento de la guef* El Sr. Gisbert pidió se leyese el decrete presentado por la comi tas y en la Besarabia, particularmente en Kischeniow y sus inmedia sión sobre máquinas. Ínterin se buscaban los artículos del arancel , se ciones, se hallan uoo en espectativa, con buenos ánimos y mejor re ley…</t>
  </si>
  <si>
    <t>…cación , quedó el artículo aprobado en estos términos : quiales que corresponden á los respectivos párrocos.” » En los pueblos en que se halla establecida la hospitalidad domi Del Sr. Gisbert al art. 113: « Entendiéndose esta disposición para ciliaria ningún hospital deberá contener mas de 300 enfermos, sino en lo sucesivo, sin hacerse novedad respecto á los que quedan nombrados los casos extraordinarios.” de cualquier modo que lo hayan sido.” Asi…</t>
  </si>
  <si>
    <t>Gisbert, Francisco Puig y</t>
  </si>
  <si>
    <t>Francisco Puig y Gisbert</t>
  </si>
  <si>
    <t>…mas preciosas y útiles de un pueblo libre en los Gobiernos ' lencia. lona. representativos. El militar vejado por sus gefes , el ciudadano oprimi D. Lorenzo Fernandez de Cenarbe, D. Francisco Puig y Gisbert ,de do por sus gobernantes, los magistrados insultados por espíritus tur de esta corte. ídem. bulentos, todos tienen el camino abierto en el derecho de petición D. Manuel Orense, de Bilbao. D. Francisco Lesur, de Barcelona. para exponer sus quejas á la autori…</t>
  </si>
  <si>
    <t>Gisbert, Gregorio</t>
  </si>
  <si>
    <t>Gregorio Gisbert</t>
  </si>
  <si>
    <t>…arala primera á D. Francisco Diez González; para la segunda i Rey fin lis dos .últimas' legislaturas v.i ;s á añadir otros ahora que se D. Miguel Sánchez Casas'; para la tercera á D. Gregorio Gisbert; para abre un nuevo y anchufó'so'campo á vuestros. talentos y virtudes. Mu la cuarta á D. Lorenzo Escolar-y Navas; para la quinta i D.‘Josef cho habéis.hecho; pero falta que hacer mucho. La Europa os cóntem- Gastel; para la sexta á D. Joaquín Molina; para la…</t>
  </si>
  <si>
    <t>Gisbert, Jorge</t>
  </si>
  <si>
    <t>Jorge Gisbert</t>
  </si>
  <si>
    <t>…ctadora de los acontecimientos en tina mera instancia del partido de Aicira, en la provincia de Valencia, á neutralidad armada; y otros, que tal vez se fian poco de palabras y tra D. Jorge Gisbert. tados , son de dictamen que no le pesará ver engrandecidos sus domi nios, y extendidas sus costas en el Adriático. Lo que arriba dejamos El Rey, teniendo en consideración los méritos y servicios del re publicado es su6ciente al lector reflexivo para formar e…</t>
  </si>
  <si>
    <t>Gisbert, Josef Victoriano</t>
  </si>
  <si>
    <t>Josef Victoriano Gisbert</t>
  </si>
  <si>
    <t>…a, pedir el correspondiente per de dicho cuerpo, y responsable d¿l impreso; y en su consecuencia man miso á las Cortes para hacerlo por sí y de su cuenta; el cual le ha sido dó el Sr. D. Josef Victoriano Gisbert, juez primero de primera instan concedido, ofreciéndose gustosa la comisión de Bellas Artes á tomarse cia de la referida ciudad de Barcelona, que se le alzase inmediatamente el trabajo de revisarla, y coadyuvar por su parte para las mejoras de que la caución,…</t>
  </si>
  <si>
    <t>Gisbertt, Victoriano</t>
  </si>
  <si>
    <t>Victoriano Gisbertt</t>
  </si>
  <si>
    <t>…ritish critic á ,1a preciosa colección de provincia de Cataluña á los sugeros siguientes: viages del’Dr. Mavoi, aunque es mas interesante á su enten Para la primera de Barcelona á D. Victoriano Gisbertt der la'obra de miss Wakefield, y mas propia’para la inspara la segunda á D. Josef Mariano Márquez: para la ter ■ truccion de los niños próximos á la adolescencia. En 18 04 cera á D. Josef Esteve; y para la cuarta á D. Nicolás Ma- publicó el á Family tour thro…</t>
  </si>
  <si>
    <t>Gisbsrt</t>
  </si>
  <si>
    <t>…an recibido periódicos extranjeros, de cuyas noticias publica Se lev» el dictamen de las mismas comisiones, relativo á la propo sición hecha en la sesión de 18 dél.corriente por H Sr. Gisbsrt , -á fin el Liberal Guivuzsoano el siguiente extracto. ■ , deque se hiciese extensva á los genero; de lara extrangeros ia prohibi &gt;&gt; En Londres hubo el 16 un consejo privado, en el que se decretó ción acordada con respecto á las manufacturas de seda. Las corr…</t>
  </si>
  <si>
    <t>Giustiniani</t>
  </si>
  <si>
    <t>1124</t>
  </si>
  <si>
    <t>…y; mucho se espera de su clemencia, se gobernaran por la razonl — Se sabe de Ñapóles lo siguiente: INGLATERRA. El director de la secretaría de Estado del Interior ha escrito á Mon señor Giustiniani, presidente de la comisión encargada de la egecucion Londres 26 de Julio. del concordato, la carta siguiente: La Puerta continúa sus tentativas para entrar en negociaciones con w Excmo. j'Utno. Sr.: Los desvelos de S. M. para mejorar la. ins Ali-Bajá, no porq…</t>
  </si>
  <si>
    <t>Glcnorchi</t>
  </si>
  <si>
    <t>…Nada ha bastado, pues como lo evidencian los eclesiástico Mr. Gillesple. ..... . documentos oficiales que obran en el expediente formado en la nego Esta propuesta, fue apoyada por lord Glcnorchi, sir James Machínciación entablada en Miraflores, y que íntegros van á publicarse in tosk. v otros varios miembros de la oposición. mediatamente ; y burlándose hasta de las ritualidades mas respetadas El lord abosado de Escocia y lord Castlereagh la impugnaro…</t>
  </si>
  <si>
    <t>Gleméncin</t>
  </si>
  <si>
    <t>…ue sultaria mas perjuicio que i las provincias Vascongadas, si á catas- úl - -tuviese por mas conveniente. timas se: les,fijabaun termino mas corto La ley dél año 18, la de las El Sr. Gleméncin : Muchos Sres. diputados han hablado sobre esta Cortes del año de 13 y la del Gobierno intruso , no tuvieron otro ori materia, y han fijado las razones que han tenido por oportunas, por gen sino-el de proteger á ios tenedores españoles de esta clase de mone l…</t>
  </si>
  <si>
    <t>Gliidecretos, Pablo</t>
  </si>
  <si>
    <t>Pablo Gliidecretos</t>
  </si>
  <si>
    <t>…ceta de n de Noviembre, col. 4.a y artículo de se han facilitado á ¡os ayuntamientos ¡os medios para la egecucion de los sión de Cortes , donde dic» X?. Pablo Ciisoli, debe leerse D. Pablo Gliidecretos anteriores ¿ que se refiere, como también que por circular ds solfi. SUPLEMENTO</t>
  </si>
  <si>
    <t>Go</t>
  </si>
  <si>
    <t>…ívo; y ha ilustre ayuntamiento; de las dignidades eclesiásticas; de-ios biéndose quedado sin discutir este punto, se suspendió ia empleados en rentas y correos, y presidido por el Sr. Go sesión por un rato. bernador, militar , cerrando la procesión fúnebre los volun Vuelta á continuar, el Sr. presidente propuso que se tarios nacionales de infantería y caballería , y el escuadrón empezasen las sesiones á las tres de la tarde; y habiéndose 'de…</t>
  </si>
  <si>
    <t>Gó</t>
  </si>
  <si>
    <t>…ente nombró para la comisión Especial, encargada del Continúa mas adelante el referido autor. « Tenemos arzobispados examen de la memoria del Sr. ministro de Gracia y Justicia, al Sr. Gó como el de Toledo con ocho sufragáneos, con • 2 como el de Santiago, mez Pedraza en lugar del Sr. Valle. y arzobispos que solo tienen dos, como el de Granada y Sevilla. Arzo La ordinaria de Hacienda presentó su dictamen acerca de lá indi bispado que tiene 24;…</t>
  </si>
  <si>
    <t>Gó, Isidro</t>
  </si>
  <si>
    <t>Isidro Gó</t>
  </si>
  <si>
    <t>…ítero, en Osma D. Angel Itero, en Oviedo L&gt;. Ramón Gil, establecimiento en las provincias á los partícipes legos de diezmos un Couder, en Plasencia D. Modesto Galban , en Patencia D. Isidro Gó 3 por too de rédito anual sobre el cap.tal líquido que arrojen las liqui mez Catnaleño, en Pamplona D. Victoriano Esain, en Salamanca daciones de que se tratará, ínterin no se les indemnice con fincas equi el Dr. D. Toribio Nuñez Sesé, én Santander D. Josef M…</t>
  </si>
  <si>
    <t>Gó, Juan</t>
  </si>
  <si>
    <t>Juan Gó</t>
  </si>
  <si>
    <t>…rnación de la Península se han expedido las correspondien ción: asi lo publican, fundándose en un despacho telegráfico. tes certificaciones de invención siguientes: i.° á favor de D. Juan Gó En Francfort se habia propagado el rumor de noticias favorables á mez, vecino de Coiii, por haber inventado una máquina hidráulica pa una paz, y con este engaño consiguieron algunos dar cierto crédito á ra moler corcho: 2.0 á D. Pedro Alegre , de nación francés, y residen…</t>
  </si>
  <si>
    <t>Gobernación, Anto</t>
  </si>
  <si>
    <t>Anto Gobernación</t>
  </si>
  <si>
    <t>…autos formados á instancia del Sr. conde de VillaEl Sr. secretario del Despacho de Marina dice al Sr. secretario de la fuertes, gefe político de la provincia de Guipúzcoa, contra D. Anto Gobernación de la Península desde el Real sitio de S. Lorenzo con fe nio Carrese, autor del artículo comunicado inserto en ei periódico ti cha de ayer lo que sigue: tulado Conservador , número 92 , que principia « Hemos leído un ma » SS. MM. y AA. continúan sin novedad e…</t>
  </si>
  <si>
    <t>Gobernación, Je la</t>
  </si>
  <si>
    <t>Je la Gobernación</t>
  </si>
  <si>
    <t>…s te Con fecha 18 de Julio desde la villa de Sacedon dice el Sr. secre sorería:, subalternas, ia cantidad proporcional que corresponda sóbrelas tario del Despacho de Estado al Sr. secretario Je la Gobernación de la cuatro rentas des i uvadas , con la expresión dé que serán pagados de las Península lo que sigue: existencias v primeros productos de ellas , y con preferencia á toda otra » Los Reyes disfrutan de buena salud ; y S. M. ha tomado hoy obligación. el prime…</t>
  </si>
  <si>
    <t>Gobierno, González Allen</t>
  </si>
  <si>
    <t>González Allen Gobierno</t>
  </si>
  <si>
    <t>…ngún inconveniente en vir á la patria cuando esta los- llama. - 1 concederle el permiso que pedia; y opinaba también se encargase al En seguida se leyó la siguiente indicación del Sr. González Allen Gobierno verificase el reemplazo dentro de un término preciso y peren de: » Pido que el secretario del Despacho de Hacienda se presente á la torio en aquellos parages en donde no hubiese epidemia, haciendo res mayor brevedad á las Cortes para que informe si el erario…</t>
  </si>
  <si>
    <t>Gobiernos</t>
  </si>
  <si>
    <t>…ero de D. Cristóbal de-Vicuña, se siguen Declararse contja los griegos ([que es el principio dé legitimidad de los. autos por D. Gregorio de la Haza , en concepto de apoderado de .Don Gobiernos absolutos) pudiera serle muy perjudicial al Gabinete ruso,: Francisco Arana, sobre reclamación de cinco vales de 150 pesos, crea porque chocaría abiertamente contra la opinión del pueblo, que no ción de i.® de Enero de 1808, señalados con ios números 214,606,…</t>
  </si>
  <si>
    <t>Gochrane</t>
  </si>
  <si>
    <t>…nvenientes para poner la ot. hijos, y :í los criados de estas dos señoras. El buque salió de Lima el 7 ganizacion -social de la Noruega en armonía con la de" los demás de Abril, y lord Gochrane quedaba en el Callao con 7 ú Sií hombres Estados. de tropas! las de los realistas ascendían en Lima de 8 á io3. El ex- Lo que parece motivar la oposición de los habitantes de la Noruevirey no ha venido con su esposa, y las noticias que liabian circulado ga á…</t>
  </si>
  <si>
    <t>Godoy, Diego</t>
  </si>
  <si>
    <t>Diego Godoy</t>
  </si>
  <si>
    <t>…suc rtes de ¡a parroquia de Roqueamador, de de dicho regimiento, expresando sus nombres y los ae sus padres, la fecha en que fueron dados de baja, de qué com D- Pedro Contreras y D. Diego Godoy, en 119100 rs. Hoja de Me-,: te Trigo. pañía y batallón eran-entonces, y en los meses cuya fran Un sexmillo al sitio de Pegos, de cabida de 7 fanegas, quicia solicitan; á fiq de que coa vista de las listas existen-</t>
  </si>
  <si>
    <t>Goenaga, Juan de</t>
  </si>
  <si>
    <t>Juan de Goenaga</t>
  </si>
  <si>
    <t>…ado el de ser grato á todos ios amantes del orden , y que de corazón son adic público , para que acaben todos de persuadirse de que los buenos sacer tos al régimen constitucional. D. Juan de Goenaga, cura de S. Pedro dotes no han podido menos de amar un Código fundamenta!, que no de Vergara, en una exhortación á sus feligreses les decía: «Tres veces respira mas que justicia, bondad y religión. nos anuncia Jesucristo la paz en el evangelio de este dia, en…</t>
  </si>
  <si>
    <t>Goerres</t>
  </si>
  <si>
    <t>…ba de la conducta criminal^ do por el general Yermoloff, que ocupaba á Ukrania, debe ponerse endel patriarca «riego , y de consiguiente ios motives de su sentencia. __j_a obra del Sr. Goerres intitulada La Europay la revolución, que marcha y acantonarse en las provincias vecinas de la Besarabia , toman do las posiciones que ocupaba el general Wittgenstein en este verano. se habia prohibido en Austria , acaba de prohibirse también en los Es Los egé…</t>
  </si>
  <si>
    <t>Goicoechea, María Manuela de</t>
  </si>
  <si>
    <t>María Manuela de Goicoechea</t>
  </si>
  <si>
    <t>…monia: fueron padrino y madrina ANUNCIOS, S. M. el Rey de las Dos Sicilias y la Duquesa de Calabria: se han hecho varias gracias y promociones, entre ellas las de t 2 tenientes ge Doña María Manuela de Goicoechea , de Fuenterrabía, remitió por nerales y 14 mariscales de campo, cuyos nombres se citan. Las colum el correo de 13 de Abril de este año á D. Simón Antonio de Evrz, de nas de los periódicos de París están llenas de la relación de Ja augusta Madrid, 19 vales co…</t>
  </si>
  <si>
    <t>Goicoechea, María Manuela di</t>
  </si>
  <si>
    <t>María Manuela di Goicoechea</t>
  </si>
  <si>
    <t>…dispondréis io con de dichos vales ó 'os tuviere se sírva dar aviso ó .remitirlos á Fuenter veniente á su cumplimiento, en Está rubricado de la Real mano.=Pa- rabía á la expresada Doña María Manuela di Goicoechea , ó á Madrid lacio 30 de Abril de 1820. = A D. Antonio Barata.” á dicho D. Simon.Antonio de Éyriz, que vive calle alta de S. Vicente; número 6. A consulta del consejo de Estado se ha servido nombrar el Rey Por providencia del Sr. D. Angel Fernandez de los Río…</t>
  </si>
  <si>
    <t>Goicoechea, Martin de</t>
  </si>
  <si>
    <t>Martin de Goicoechea</t>
  </si>
  <si>
    <t>…Aranalde, D. Juan An tonio Castejou, D. Juan Muguiro, D.Juan Manuel de Aréjula, Don Dia 17.............. —3....... ........! 3......... ....... O............... 18... Juan Cortés, D. Martin de Goicoechea y D. Valentín Ignacio de Dia r 8.............. ••••••■ 7....... ....... I....... ....... 2.......... .... 22... Urquijo. Dia 19.............. ......... 4....... ....... ....... O.......... .... ag... Parroquia de S. Josef, 8 electores. Dia 20 ........... ........ 2....... ....... 2......…</t>
  </si>
  <si>
    <t>Goicoechea, Miguel de</t>
  </si>
  <si>
    <t>Miguel de Goicoechea</t>
  </si>
  <si>
    <t>…S. Fernando, siendo toda la Se dió cuenta de una exposición del capitán general de Aragón , en tropa de mi mayor confianza, y capaz por su decisión y pericia de con- que dice que D. Miguel de Goicoechea, capellán del segundo bata trarestrar cualquier sorpresa , aunque es sobremanera inverosímil. llón det regimiento de España , acompañó á la columna móvil que sa . Igualmente he dispuesto que subsistan en dicha ciudad las guardias lió de S. Fernando, y estuvo…</t>
  </si>
  <si>
    <t>Goiesvkyn</t>
  </si>
  <si>
    <t>…rtículos favorables tes, y también para S. Petersburgo. Se asegura que ha recibido pliegos á la-causa délos griegos, copiándolos de la Gaceta Universal de Augs- muy importantes el conde Goiesvkyn, ministro de la Rusia cerca de burgo. . nuestra corte. , S. M. nos ha dejado hoy para irse á Noruega: al paso visitará los ;__La escuadra griega ha conseguido nuevas ventajas en el Archipiélago, trabajos de construcción del castillo que se está haciendo cerca…</t>
  </si>
  <si>
    <t>Goifin, Francisco</t>
  </si>
  <si>
    <t>Francisco Goifin</t>
  </si>
  <si>
    <t>…a 26 de Junio último m3 dicen lo siguiente: « En la sesión pública del dia 15 de Abril de iSar SS. AA. continúan sin novedad en su importante salud. se leyó una indicación del Sr. diputado D. Francisco Goifin, que á la letra dice asi: «Que por el Gobierno se mande ai prelado de la or _ Publicamos en el número anterior gran parte de las noticias mas den de Santo Domingo, á quien corresponde, que en las actas del ca interesantes, extractadas de los periódicos extran…</t>
  </si>
  <si>
    <t>GoIGn</t>
  </si>
  <si>
    <t>…Pretender extirparlos es obra superior y arriesgada en nuestra situación. La economía de gastos pecuniarios, punto capital en que se han En seguida entró a jurar y tomó asiento eí.Sr. GoIGn. extendido tanto varios Sres. diputados, no se presenta á la primera El Sr. Zapata dijo: Lo que propone la comisión de División, no es ojeada ; pero disminuyéndose aquellos como se puede con un método justo, ni político ni económico. No es lo primero , porque…</t>
  </si>
  <si>
    <t>Gol</t>
  </si>
  <si>
    <t>…Ruiz del Padrón, ¡Rodríguez £D. Jo . cubierto todo el secreto, que para mí lo estaba ya por las observaciones sef}, Mascarefía , Gisbert, Manescau, Liñan , Cano Manuel, Villa, del Sr. Gol fin; por manera que si. antes podía haber misterio, ya se ha. Azaola, La-Madnd , Vafcarcel, Martínez, Cabezas, Traver, Sancho, convertido en una publicidad legal. El oficio deque se trata ha de con- Alvarez Guerra , Zayas , Subercases , Huerta , Lodares , Man…</t>
  </si>
  <si>
    <t>Goldsmith</t>
  </si>
  <si>
    <t>728</t>
  </si>
  <si>
    <t>…n ent el caso de Compendio de la historia Romana, escrito en ingles para instruc salir y volver á entrar en la linea, pasando por el contraregistro para ción de la juventud por el doctor Goldsmith; y traducido al castellano llegar al pueblo de su destino, se recogerá ia guia en el contraregistro, por D. Lino de Poinbo O-Donell , subteniente aspirante de ingenieros : y facilitará una cédula con referencia á ella para que puedan entrar sin 2 tomos en 8."…</t>
  </si>
  <si>
    <t>Golfantes, Juan Guerra y</t>
  </si>
  <si>
    <t>Juan Guerra y Golfantes</t>
  </si>
  <si>
    <t>…Don va y completa, indispensable en todas las arres de construc Josef Iribarron y Ortuño, D. Serapio Aguas y-Muñera'de ción, y á la que ha dado el nombre de geometría des* Cantos, D. Juan Guerra y Golfantes , D. Tosef Cisnéros y criptiva. Lanuza , D. Bernardo Elfo y Ximenez-, D. Antonio To- La trigonometría es sin disputa una de las mas-útiles rija y Carrese, D. Joaquín Salvador y Udi, D. Diego Mi aplicaciones de la geometría elemental: es la base de la geor ran…</t>
  </si>
  <si>
    <t>Golfín</t>
  </si>
  <si>
    <t>…ciones, una de los de la Gobernación de la Península. Las Cortes quedaron enteradas. Sres. Laíjave (D. Pablo), Michelena, Couto, Ramos Arispe, López Después de haberse nombrado al Sr. Golfín para- reemplazar al se Constant, Piérda, Quintana, Cañedo y Gaseo: » Siendo la orden de ñor conde, de Toreno en la comisión'de Sociedades patrióticas, por Isabel-la Católica según, su actual forma é institución, incompatible haber manifestado este.que no.podi…</t>
  </si>
  <si>
    <t>…tribunal establecido en la Constitución.” car como primera indicación , y después las dos que se discutian. Admitidas á discusión, dijo el Sr. Giraldo: El amor á la justicia es El Sr. Golfín estimó justo lo propuesto por el Sr. Calatrava. el principal motivo de la diferencia de opiniones que se nota en los Habiéndose puesto después á votación separadamente las dos indi Sres. diputados. Todos quisiéramos excusarnos de entender en este des caciones…</t>
  </si>
  <si>
    <t>Golfin</t>
  </si>
  <si>
    <t>….buidó tanto á la libertad de. ia ¡patria. . 1,.. . , ;.- ; gundas para .precaver que.se.repitan : respecto á las primeras habia una El Sr. Sancho apoyó,en un todo-el,dictamen\del Sr. Golfin, ¡aña-r comisión especial nombrada con este objeto; y respecto á las secundas dienrlo-que'por las circunstancias actuales no . convenía destruir Jos propuso la comisión que-por los.medios acostumbrados se den las gra cuerpos-militares: que está-era Una facult…</t>
  </si>
  <si>
    <t>…ocupar sentación á la comisión donde están los antecedentes. nos en ellos, y no es hacerlo asi el discutir el sistema político de la Se hizo primera lectura de úna proposición deL Sr. Golfín , reducida Europa.” á que en el caso de conspiración contra el sistema se proceda militar Air. Lameth. Esto es ocuparse en sus asuntos, y en lo que importa mente contra los que hiciesen resistencia á la tropa ó milicias naciona al honor, que es el primer nego…</t>
  </si>
  <si>
    <t>…menos en las actuales D. Sebastian Inojo, alcalde que fue en 1814 de la villa de Serón, pro circunstancias. vincia de Granada, y domiciliado en Ja misma, para que se libre á la El Sr. Golfin dijo que la comisión al extender su dictamen tuvo misma de cierta cantidad que quedó á deber en aquel año á la Hacien presente la necesidad que habia de dar un reglamento á estas socieda da pública, y por la cual le habia mandado apremiar el intendente de des…</t>
  </si>
  <si>
    <t>…. De •vertían expresiones subersivas en las calles, plazas &amp;c. clarado el punto por suficientemente discutido se acordó que esta fuera - Contestó á las anteriores observaciones el Sr. Golfín, y después de la segunda lectura, y que Ja tercera se hiciese dentro de cuatro dias. alguna discusión entre les Sres. Zorraqüin, Freiré, Vitorica y Cortés, El Sr. presidente: el sábado 14 se volverá á leer , y en aquel dia quedó aprobado el art. 5.0 con la mo…</t>
  </si>
  <si>
    <t>…dicación fue proposición de dicho Sr. Estrada.firmada poi todos los individuos de la comisión eclesiástica. Se leyó) una indicación del Sr. Calatrava, que decía: » Para que las El Sr. Golfín dijo que en la discusión sobre sociedades patrióticas Cortes puedan con el debido conocimiento usar en su caso de las facul también observó cambiados algunos nombres en el Universal y Mis tades que les corresponden por la Constitución y las leyes, dígase al G…</t>
  </si>
  <si>
    <t>…ón del delito; pero podrá darse por concluido, y elevarse la Se leyeron, y se tuvieron por primera lectura. causa al estado de acusación, aunque el procesado no esté plenamente El Sr. Golfin hizo la siguiente indicación (después de haber mani convicto, siempre que las pruebas ó indicios inclinen prudentemente festado los motivos que tenia para hacerla): „Que por el Gobierno se el ánimo del juez á creer que el tratado como-reo es culpable ó ino in…</t>
  </si>
  <si>
    <t>…e habia hablado de aquellos cau de aquel dia para recibir la diputación que debía presentarle tres pro dillos porque eran procuradores en Cortes. yectos de ley para la sanción. El Sr. Golfín pidió* que pasase aquella indicación á una comisión Se leyó la minuta de decreto sobre la abreviación de las causas de especial , á fin de que teniendo presente todo lo que hicieron aquellos</t>
  </si>
  <si>
    <t>…la fuer SS. MM. y AA. continúan sin novedad en su importante salud. za armada, creía no se oponía en nada á la Constitución, y que debía aprobarse en todas sus partes. CORTES. El Sr. Golfín expuso no se debia aprobar el artículo según lo pro pona la comisión, siguiéndose de lo contrario gravísimos inconve TRESIDENCIA DE! sEf}OR GUTIERREZ DE TF.RAV. nientes al reemplazo del egército. Hizo asimismo algunas observacio Sesión del aa de Abril. nes so…</t>
  </si>
  <si>
    <t>…a La comisión de Poderes, después de haber examinado los de los minu'a del mensage propuesto por la comisión. Sres diputados de Ultramar D. Josef Ruiz Aguirre-y D. Tomas Múrfi, El Sr. Golfín dijo que aunque se habia dicho que el hecho era manifestó debían aprobarse, por estar conformes á iá Constitución".Que criminal, debia tenerse presente que los que cometieron el atentado daron aprobados dichos poderes. no eran anti-constitucionales como supon…</t>
  </si>
  <si>
    <t>…dad el cupo del niente callar sobre este asunto, observaba que no; que el Gobierno no reemplazo de mar. había venido á hacer mención de este suceso; que como individuo de las . El Sr. Golfín en una indicación reprodujo el art. ty del,reemplazo, Cortes y diputado-por-la-Nación tenia derecho de exigir esta noticia, que decia asi: ,, A fin de que puedan cubrirse las atenciones militares y la exigía con sus pormenores y circunstancias; que veía que e…</t>
  </si>
  <si>
    <t>…el Sr. secretario de la diente del asunto que V.'E. me remitió con oficio de 19 de Marzo úl Guerra. . y . timo , se ha servido S. M. resolver qiíe subsistan en la ciudad de Má El Sr. Golfín dijo deseaba saber qué clase de capitulación era aque laga el convento de dominicos, el de franciscos observantes, el de ca lla de que se trataba en el parte anterior; y el Sr. secretarlo contestó no puchinos, el de S. Pedro de Alcántara, el de trinitarios de…</t>
  </si>
  <si>
    <t>…ijo haber pa cuencia hizo la siguiente indicación : „Pido que la circular del minis decido el Sr. Sancho. terio de Hacienda de 9 de este mes, que hoy se ha repartido á los seño El Sr. Golfín manifestó que en una discusión tan interesante debí* res diputados, pase á las dos comisiones de Hacienda para que la reco procederse con bastante lentitud: que asimismo debería tenerse pre nozcan é informen al Congreso si está conforme con la Constitución, y…</t>
  </si>
  <si>
    <t>…deseaba que alguno Zapata y Sancho , se declaró el articulo suficientemente discutido ; y de los señores de la comisión le dijera el motivo de haberlos excluido: habiendo hecho el Sr. Golfin que se leyese la facultad quinta de! Rey, juno de aquellos contestó que no podía verificarse esta traslación de los .y el art. 359 de la Constitución, dijo que en su opinión estaban en eclesiásticos, en atención á la desigualdad de renta de sus respectivas co…</t>
  </si>
  <si>
    <t>…rlo introducir en la Península. Dígase claramente número de escribientes subalternos, que serán sargentos. que nadie pueda si quiera mirar el tabaco, y todo está concluido. Ade El Sr. Golfín fue de dictamen que este artículo pertenece á la par mas, se ha dicho ya que no se consume un tabaco mejor ni mas ba te reglamentaria; y después de una corta discusión, y á consecuencia rato que él de la Hacienda nacional, y en este caso para qué han de de un…</t>
  </si>
  <si>
    <t>I O '¿por qué el Gobierno en uso de sus facultades no ha dado cuenta ¿ las El Sr. Golfín, después de haber'pedido que se leyera el art. i.c, ma Cortes de la necesidad de estas medida! nifestó la extrañeza que le causaba el asunto que se discutía', compara Se qmere hacer responsable á un alcalde porque no da parte de los do con Jo que se dijo en e…</t>
  </si>
  <si>
    <t>…tengan domici •pero á -los cadetes actuales les seguirá el abono como hasta aquí. ' lio en el pueblo.” ' ' v Art. iiá. Añadido: » Para premiar la constancia de los oficiales en El Sr. Golfín impugnó este artículo, manifestando .que la-Consti-«1 servició militar servirá la orden actual de S. Hermenegildo; pero tucion prevenía que el repartimiento lo verificasen los ayuntamientos, se-barán en su reglamento las reformas competentes, á fin de que aqu…</t>
  </si>
  <si>
    <t>…s. Esta es la base del artículo que trata 4e esto, y en el najuato. cual quedo por aprobar la quinta dirección que propuso la comisión. Se leyó por primera vez una proposición del Sr. Golfín , á fin de Habiendo vuelto á elia este artículo, esta se encuentra apurad.., porque' que se conceda una pensión de 4 rs. diarios al soldado del batallón- solo se determinó que hubiese una direc.ipn de conirio,,. iones 1.rectas; ligero de Cataluña que arcabuce…</t>
  </si>
  <si>
    <t>…ua para ellos y sus sucesores de 8o¿) rs. vr.., consisten qué es lo que !a comisión propone en esta parte. tes en bienes raíces que el Gobierno comprase al Crédito público: que El Sr. Golfín manifestó que la comisión solo proponía la renta aue se las Cortes los recomendasen al Rey para que se sirviese concederles el habia de señalar á estos individuos, sin fijar mayorazgos; v que c»tos título de Castilla que mas bien le pareciese: que á los maris…</t>
  </si>
  <si>
    <t>…or anticipaciones, y no por ' comisión. préstamo , y en ningún caso al extranjero, á lo cual se opondría siempre; El Sr. ministro de Hacienda manifestó que ya habia hecho presenEl Sr. Golfín dijo que Hs Cortes.se hallaban entre la espada y la ' te lá necesidad que habia de un empréstito cuando se empezó á tratar pared, y que era preciso tomar una resolución acerca del negocio que del plan de Hacienda, sin embargo de que ia época no había llegado…</t>
  </si>
  <si>
    <t>…os á acceder •presentes en. la discusión del proyecto. a cuanto sea útil á sus intereses y que permitan imprimir todo género El Sr. presidente nombró para la comisión de Guerra al Sr. Golfín, de imposturas contra la España; y prohíben la natural defensa qué Se leyó por tercera vez parte del proyecto del código penal, cuya confundiría á los calumniadores. De aquí haberse ya quitado la miísca- lectura se suspendió para continuar la discusión del pr…</t>
  </si>
  <si>
    <t>…r lo mismo opinaba se dijese á con juez de primera instancia de esta villa de Velez-Rubio y demas de ríe tinuación de modo que en los dos años se pagará 3 por zoo. partido (re. El Sr. Golfín propuso que el artículo dijese asi: j&gt; El permiso de Hago saber: que á virtud de exhorto del Sr. D. Julián deSojo , mi los depósitos de la primera y segunda clase se concederá pagando el nistro togado honorario, juez de primera instancia y de la Hacienda 2 po…</t>
  </si>
  <si>
    <t>…to en el les exigía un certificado de su origen, que no se exigía á los extran medio de las dos opiniones, y por esta razón ha propuesto el artículo geros. * en estos términos. El Sr. Golfin ha hecho varias reflexiones sobre Jas El Sr. Oliver dijo que era menester advertir que el certificado se aduanas ; pero yo no las entiendo del misino modo , porque creo que necesitaba para el tránsito, y para pasar la zona comprendida entre la no son otra cos…</t>
  </si>
  <si>
    <t>…á la segunda objeción que ha hecho el señor no se las daba importancia alguna, ni se las hacían honores. Palarea, el sentido de la comisión debo manifestar que es el que S. S. El Sr. Golfín manifestó que para desechar un dictamen dado por. ha indicado, esto es, que si después de nombrado un individuo de una comisión , después de haberle meditado esta y haber oido al Go milicias para desempeñar un cargo ó destino municipal se le mandase bierno, e…</t>
  </si>
  <si>
    <t>…los guardias ra irmi-s.” A probadoriación. Ss volvió á leer el artículo en los mismos términos que habia Art. 83. Ei segundo comandante de. cualquier buqLe seré, ei en indicado el Sr. Golfín. cantado prietamente de llevar laderrouiy dtsernp: ñ.ir las .«nugaciones F.l Sr. Ezpeleta: Puesto que les Cortes han aprobado el art. 76, no que hasta ahora eran propias de los: primeros pilotos, y tendrá- para tendría inconveniente en aprobar el art. 77 tal…</t>
  </si>
  <si>
    <t>…venientes de los que ahora se sulte, y no en billetes contra la tesorería, y después las superiores. proponen. El Sr. Oliver, después de haber explicado el origen de la circula El Sr. Golfín dijo que el dictamen de la comisión era muy incier ción de la moneda extrangera , el atraso que por lo mismo resulta a la to, porque antes de proponerlo seria menester que hubiese entrado en Nación , y los esfuerzos del Gobierno en distintos tiempos para proh…</t>
  </si>
  <si>
    <t>…ntos críticos, eruditos y curiosos, Utilísimos al pueblo, para quien de que no se atienda á ella muy grande. le dispuso por orden alfabético el Dr. D. Antonio Marqués y Espejo, El Sr. Golfin dijo que la división que proponía la comisión era presbítero: dos tomos en 8. J Se hallará en la librería de Hurtado á 20 muy acertada, y que el haber distritos de mucha extensión no debia reales en pasta. servir de obstáculo, pues en ellos no resultaba mayor…</t>
  </si>
  <si>
    <t>…r qite juzgue convenien- *e limitó solo el Gobierno á decir que se les diese un sobresueldo me íer (i Gobierno. nor que ei que ahora sé propone; pero considerando que son menos El Sr. Golfín manifestó que habiendo comandantes en las provin provincias, creo que no tendrán dificultad las Cortes en aprobar lo qué cias interiores podrían seguirse grandes ventajas en caso de campaña, no se propone. , solo por conocer el terreno y demas circunstancias…</t>
  </si>
  <si>
    <t>…e llenen los deseos di porque tienen que entrar en la milicia , y esta es una-verdadera igual las Cortes. dad de ley; pero si alguno entrase voluntariamente, Héfeeria mirar pri El Sr. Golfín hizo varias reflexiones'sobre este artículo, y msnifíimero el código particular de esta clase para ver si le acomodaba es -tó que era inútil en su concepto, puesto que ninguna seguridad raa tar sujeto á\él. Esto mismo se verifica con respecta á las casas. : C…</t>
  </si>
  <si>
    <t>…; pudiendo tal vez suceder que por lo qué de ella resulte haya que •e proceda á la de la segunda. ... declarar á Cádiz y á Sevilla , no ya desobedientes, sino que han llevado - El Sr. Golfín dijo: La comisión -ya previo, al resolver.qué se presera su heroísmo hasta el último grado. tase Ja segunda parte cerrada , que .se le habían de hacer objeciones Por estas consideraciones opino'que de ningún modo puede apro $obre esta determinación ; pero des…</t>
  </si>
  <si>
    <t>…evo déficit para ei año y á poco tiempo después vinieron noticias de Ultramar, por das que se siguiente. vió que cada vez iba siendo mas fatal el estado de aquellas provincias. El Sr. Golfin dijo: Añadiré otra reflexión á la que ha manifestado El ni misterio de este ramo ha descuidado proponer medidas sobre este el Sr. Sancho, la intención de la comisión no ha sido acriminar al mi asuntó, y debió procurar someter á la deliberación de las Cortes l…</t>
  </si>
  <si>
    <t>…mento de policía.” 'No se admitió á dis minos: : cusión. ' Que el art. i.° del proyecto diga asi: » Se establecerá en la Penín Igual- resolución recayó respecto í la siguiente del Sr. Golfín ai sula un resguardo marítimo, á fin de que tengan cumplido efecto las le art. 11 : » Que el extrangero que no tenga mas que tres meses de re- ' yes de sanidad y de la Hacienda pública, y sean protegidos los intere-1 sidencia en España no sufra otra pena en i…</t>
  </si>
  <si>
    <t>Golfiti</t>
  </si>
  <si>
    <t>…ión especial nombrada para el examen de las causas de Es ción provincial respectiva Jos arbitrios que crea oportunos para cubrir tado, después de haber examinado la indicación del Sr. Golfiti, relati estas obligaciones, los cuales, mereciendo ia aprobación de ¡a diputación, va! á que se mandase por el Gobierno al prelado de la orden de Santo se pondrán en egccucion, y se dará cuenta á las Cortes para su última Domingo que en Jas actas del capítulo…</t>
  </si>
  <si>
    <t>Golíin</t>
  </si>
  <si>
    <t>…uede hacerlo sin mas que presentarse en la aduana con el número de subsistir, se evitase el contrabando. de-cajones ó fardos que tenga que trasportar, y sacar ia guia correspon El Sr. Golíin , después de haber manifestado la libertad igual que diente; en seguida puede ir á su casa, vaciar uno ó dos cajones en qu* debían tener todos los ciudadanos españoles, hizo presente que cual llevaba géneros de iícito comercio , y llenarlos de otros prohibido…</t>
  </si>
  <si>
    <t>Gollin</t>
  </si>
  <si>
    <t>…ad por los me motivo para atacar a! Gobierno, y es de advertir que siempre se va dios, que había indicado. én esta» censura» contra la autoridad. Los mismos empleados son acaso Ei Sr. Gollin: Todos los Sres. que hasta ahora han impugnado el los que se hacen el mayor daño en esta parte, pties cuando debían obe dictamen de la comisión han opinado que debía exigirse la responsa decer , y poner en práctica sus órdenes , las combaten hasta destruir su…</t>
  </si>
  <si>
    <t>Golowkin</t>
  </si>
  <si>
    <t>…Inglaterra con motivo Hannóver se habla expedido un correo á Petersburgo-, y que poco des de su deuda, que no podría hacer ia guerra aunque quis era. pués había despachado otro el conde Golowkin, embajador ruso. Es muy singular el pronóstico que hicieron los teólogos protestan Avisan también últimamente se ha disminuido el ejército austría tes hace 150 aros, pues aseguraron que en la época actual exptriméh— co., lo que hace esperar , todavía mas qup…</t>
  </si>
  <si>
    <t>GolSñ</t>
  </si>
  <si>
    <t>…'de que esta es'la misma que la de la comisión facultativa del Gobier lidad que egerce de muchos años. no r la de las Cortes. Yo me veo en uñ grande conflicto en esta:discu- ’ El Sr. GolSñ dijo que por las mismas razones que había manifes ■sion , porque temo que se me atribuya amor al pueblo en dondenzeí, tado la comisión én su discurso preliminar hablando acerca de lar- ca-: ■Sí acaso se quisiese decir que me inclinaba este motivo para pedir q…</t>
  </si>
  <si>
    <t>Goluskin</t>
  </si>
  <si>
    <t>…ue sea el resultado de las negociaciones de la Rusia y de la estas palabras: » De salute animarum,” su fecha en Roma á 16 de Ju Euerta. Consecuente á esta resolución- ha negado al conde Goluskin, lio, estando conforme en lo sustancial con Jas disposiciones que se to embajador de Rusia, la libertad del príncipe Ipsilanti , detenido siem maron en 25 de Marzo de este aso relativas al establecimiento, dota pre en la fortaleza de Mongatz; no habiendo quer…</t>
  </si>
  <si>
    <t>Gomar, Juan Antonio</t>
  </si>
  <si>
    <t>Juan Antonio Gomar</t>
  </si>
  <si>
    <t>…s la que biendo muchos dias, y después de estas ocurrencias, que se ha dado »e ha leído. Hasta aqui la copia de las palabras tomadas de oficio diri posesión al intendente nombrado D. Juan Antonio Gomar sin Oposi gido al Gobierno par Escovedo; el cual ha creído la comisión que de ción ninguna. bía estampar en su informe. El resultado de todo es que las disposiciones de las Cortes en la La comisión, atendiendo al estado en que se encuentran aquellos contestac…</t>
  </si>
  <si>
    <t>Gómez, Alvaro</t>
  </si>
  <si>
    <t>Alvaro Gómez</t>
  </si>
  <si>
    <t>…en ser libres? Y ¿qué Han salido nombrados diputados á Cortes per la provincia de Ex diremos de la Irlanda, cuando después de cuanto se ha publicado sobro tremadura los ciudadanos D. Alvaro Gómez, gefe político de Toledo; el buen efecto que causó la visita del Rey , sobre las acertadas medidas D. Facundo Infantes, coronel de ingenieros; D. Manuel de Silva, y tomadas por el ministerio y la lealtad de los habitantes, vemos distri Ayanz, racionero de la…</t>
  </si>
  <si>
    <t>Gómez, Antonio</t>
  </si>
  <si>
    <t>Antonio Gómez</t>
  </si>
  <si>
    <t>…tunas, las pruebas y documentos que sean necesa lencia D. Martin Serrano, en Vich D. Antonio Valí, en Zamora rios par3 acreditar el valor anual de los diezmos de que se íes priva, D. Antonio Gómez de la Torre, y en Zaragoza D. Lucas Vequecia. á fin de egecutar la liquidación que demuestre lo que á cada uno cor responda á razón del 3 por 100, rebajadas ya las cargas ciertas y even Instrucción provisional que han de observar los comisionados especia tual…</t>
  </si>
  <si>
    <t>Gómez, Antonio López</t>
  </si>
  <si>
    <t>Antonio López Gómez</t>
  </si>
  <si>
    <t>…que la Inglaterra ha hecho últimamente. Por última vez se llama á los hijos ó herederos 'legítimos del di La Prusia, entonces y después, manifestó que podían contar con ella funto D. Antonio López Gómez, natural de Cádiz, y vecino que fue los aliados en cuanto condujese á consolidar el sistema absoluto, con de la Havana, para que se avisten con D. Antonio Rújula y Busel, se tal que tuvieran presente que la opinión pública tenia alguna fuerza en gundo cronist…</t>
  </si>
  <si>
    <t>Gómez, Calixto</t>
  </si>
  <si>
    <t>Calixto Gómez</t>
  </si>
  <si>
    <t>…Ciscar, de Gandía, y D. Pablo-Sala , de Denla. f-'u ' Earcelona 7 de Noviembre. Alcira: D. Jaime Carpí , presbítero de Alginete; D. Pedro Fuster, abogado de Albalat dePardines, y D. Calixto Gómez, farmacéutico , . - SALUD PUBLICA. ^ de Alcira—En Cartagena: D. Pedro Molla Sartorio y D. Isidoro .NaParte del lazareto sucio de todo el dia 3. varrete. Bárceloneta, existencia anterior 45: entrados ó acometidos i: sali Sevilla 7 de Noviembre. dos ó' curados…</t>
  </si>
  <si>
    <t>Gómez, Casimiro Antonio</t>
  </si>
  <si>
    <t>Casimiro Antonio Gómez</t>
  </si>
  <si>
    <t>…ciudad norario togado de la audiencia territorial de esta capital, juez de pri de Córdoba, villa de Almodovar del Rio, compuesto .de 936 fane mera instancia en ella, refrendada de D. Casimiro Antonio Gómez, gas, 6 celemines de tierra de pasto y labor, en 721,972 rs. y 17 mrs. secretario de S. M., escribano dei número de esta M. H. villa, se ha señalado para la junta de acreedores á la compañía de longistas el di* De orden superior se sacan á pública subasta en…</t>
  </si>
  <si>
    <t>Gómez, Cristóbal Leal y</t>
  </si>
  <si>
    <t>Cristóbal Leal y Gómez</t>
  </si>
  <si>
    <t>…tario del Despacho de drid 8 de Mayo de 1821.” Hacienda me dice lo que copio: ,,Con esta fecha comunico á la dirección general de la Hacienda pú El Rey ha tenido á bien conceder á D. Cristóbal Leal y Gómez ho blica la Real orden siguiente: He dado cuenta al Rey de las consultas nores , fuero y uso de uniforme de segundo ayudante de farmacia de de esa dirección en vista de las dudas que ofrece ei artículo 8.° de las egército, en premio de sus servicios en la gue…</t>
  </si>
  <si>
    <t>Gómez, Domingo</t>
  </si>
  <si>
    <t>Domingo Gómez</t>
  </si>
  <si>
    <t>…tirándose mutuamente unas varas yendo los caballos á D. Josef Landero Corchado, juez del partido. escape, y parando no obstante con tanta destreza ios golpes , que rara Tlasencia. D. Domingo Gómez .Rubio , vecino de Viilanueva de vez suceden desgracias, á pesar de que es tal la fuerza con que arrojan la Vera. las dichas varas, que ha habido ocasión en que ha quedado alguno de D. Manuel Monge, vecino de Plasencia. «líos muerto del golpe que ha recibido:…</t>
  </si>
  <si>
    <t>Gómez, Gerónimo</t>
  </si>
  <si>
    <t>Gerónimo Gómez</t>
  </si>
  <si>
    <t>…mrs. D. Pascual Añquiz, dicha calle dé victorio y con la de D. Mateo Lope? , en 8795 rs. kúmero. 13. Otra en la plazuela de Cevallos, núm. 17, linda coñ otra de D. Josef Roca y de D. Gerónimo Gómez, en En la provincia de Guadalajara procedentes de secu si,869 rs. larizaciones , cuyo primer remate- debe verificarse en Un trozó de tierra riego moreral, en el partido del mo la ciudad de Sigiienza el dia 14 del presente mes de lino del Rey, que linda .con l…</t>
  </si>
  <si>
    <t>Gómez, Juan Bautista</t>
  </si>
  <si>
    <t>Juan Bautista Gómez</t>
  </si>
  <si>
    <t>…rio, de París, que era ayer griego, hoy se ha con ciese de ellos el merecido elogio en el manifiesto. Lo mismo se acordó vertido en turco: si sabrá lo que será mañana. respecto de D. Juan Bautista Gómez, aspirante al segundo. Escuelas gratuitas. A Ramona de Vina, Antonia de Biesca,i lORTUOAL.' Juana Melendreras y Antonia García, alumnasdela primera escuela ds. coser, que presentaron cuatro camisolas bellamente trabajadas, se les Lisboa lit de Julio. premió c…</t>
  </si>
  <si>
    <t>Gómez, Juan Nepomuceno</t>
  </si>
  <si>
    <t>Juan Nepomuceno Gómez</t>
  </si>
  <si>
    <t>…n del Sr. Quintana, relativa a Guerra sobre mudar las insignias militares á los cuerpos del egércilos empleados de la casa Real. to y milicias. A la de Poderes los presentados por D. Juan Nepomuceno Gómez El Sr. secretario Gaseo, al empezar á leer dicho dictamen, dijo que deNavarrete, diputado por la provincia de Valladolid , y i&gt;. Josef Fran- le parecía conveniente , á fin de ganar tiempo, el que no se leyesen los eisco Guerra y D. Eusebio Sánchez Pareja, diputados…</t>
  </si>
  <si>
    <t>Gómez, Manuel</t>
  </si>
  <si>
    <t>Manuel Gómez</t>
  </si>
  <si>
    <t>…echo en delito, haber elegido á dicha ciudad por capital de la misma. que un funcionario público cometiese como tal en el egercicio de sus Se concedió ei permiso que solicitaba el Sr. D. Manuel Gómez funciones , no se impondrá al sobornador mas que la pepa que se im Pedraza , diputado por la provincia de México, para que pudiese re pondría á cualquiera persona particular que cometiere el delito.del fun gresar á su país en atención al mal estado de su salu…</t>
  </si>
  <si>
    <t>Gómez, Manuel Ventura</t>
  </si>
  <si>
    <t>Manuel Ventura Gómez</t>
  </si>
  <si>
    <t>…imiento, y después de oido el dictamen dei consejo de Estado, eran plente. D. Manuel Miranda, abogado en Bejar. de opinión que las Cortes podían acordar: Por la provincia de Jaén. D. Manuel Ventura Gómez , prior del iP La revocación del art. 20 del decreto de 29 de Junio que trata Castellar; D. Pedro Litio, capitán del i.° de Cataluña; D. Francisco del derecho de registro. Javier Perez de Vargas, marques de la Merced. Suplente-. D. Juan 2.0 Que en el art. 97…</t>
  </si>
  <si>
    <t>Gómez, N.</t>
  </si>
  <si>
    <t>N. Gómez</t>
  </si>
  <si>
    <t>…egemplares de up compendio de historia romana . presentados por do y conservado á la tierra la mayor, la mas augusta, ]a primera de el teniente aspirante del cuerpo de ingenieros D. N. Gómez. todas las verdades, la existencia de un Dios vengador del crimen y Las Cortes concedieron el permiso que solicitaba D- Félix Josef remunerado! de la virtud, padre y protector de las sociedades y de los María Manso , juez electo de primera instancia de Sto Do…</t>
  </si>
  <si>
    <t>Gomo</t>
  </si>
  <si>
    <t>…haberse confabulado con algunos depositarios del reino nacional y militar de S. Fernando en su acordada de g de Agosto últi nombrados por el mismo Laborie , con quienes deseoso el doctor Gomo acerca de la instancia del sargento primero graduado y segundo del íalves de evitarles todo perjuicio en su honor y reputación , quiere tam regimiento de infantería de León D. Vicente. Fajeras, caballero de se bién se entienda esta declaración. Asimismo recon…</t>
  </si>
  <si>
    <t>Gon</t>
  </si>
  <si>
    <t>…itas para el efecto, puedo decir, aunque no gasto: no estoy enterado para contestar afirmativamente en esta cuestión; con toda seguridad , que los ido millones: que ha indicado el Sr. Gon pero, indicaré que creo que no bastan todas las medidas que se han pro zález Allende solo se reducen i 100 poco mas. ó menos. Ha manifes puesto. Pero para aprobar el dictamen conviene tener presente ante to tado también S. S. que si. el empréstito se hubiese…</t>
  </si>
  <si>
    <t>Gon, Mariano Rufino</t>
  </si>
  <si>
    <t>Mariano Rufino Gon</t>
  </si>
  <si>
    <t>…ago de todas las costas causadas hasta la venida del proceso á necesitareis implorar en vuestro auxilio los consejos de la ciencia y las este supremo tribunal. Se encarga al mismo D. Mariano Rufino Gon lecciones de la experiencia, (ür continuará.) zález que prestando el juramento á la Constitución á que es tenido co mo magistrado , y no lo ha verificado según resulta de estos autos (i), ANUNCIOS. la observe y haga observar dando pruebas positivas de su just…</t>
  </si>
  <si>
    <t>Gon, Pedro</t>
  </si>
  <si>
    <t>Pedro Gon</t>
  </si>
  <si>
    <t>…ión-política de la Monarquía, han nombrado para indivi españoles que aman la Constitución vaLe menos, que el de tos extrange duos de la diputación permanente de Cortes á ios Sres. D. Pedro Gon ros? ¿Qué frutó se tratara de sacar sino el bien de la patria y el fo zález Vallejo,'obispo de Mallorca; diputado por' la provincia de Soria; mento del bien público en que Jas Cortes prolonguen sus fatigas? ¿Qué D. Josef María Gutiérrez de Teran, que lo es po…</t>
  </si>
  <si>
    <t>Gon, Tomas</t>
  </si>
  <si>
    <t>Tomas Gon</t>
  </si>
  <si>
    <t>…ueva-España y demas países citados. aunque no tenga tonsura. 12. El pago de estos 200 millones se realizará por partes, y en seis El de la de Legislación acerca de la solicitud de D. Tomas Gon años; á saber: en cadadia 1 .* de Enero de 823 , 24, 25 y 26 se enzález, canónigo y-encargado del archivo de Simancas: la comisión, •tregarán 30 millones de rs. vn., yen cada dia i.° de Enero de los años conociendo que está-solicitud se apoya, en.principios d…</t>
  </si>
  <si>
    <t>Goñi, Joaquín María</t>
  </si>
  <si>
    <t>Joaquín María Goñi</t>
  </si>
  <si>
    <t>…e las finías. Aprobado. La fragata de guerra de la armada nacional nombrada Pronta, al El Sr. presidente señaló la horade lasjp deesta noche:para sesión mando del capitán de navio D. Joaquín María Goñi, que salió el 28 extraordinaria ; y levantó la de este día. de Abril último del puerto de la Havana con la corbeta Ceres, bar»* gantin Jacinta y goleta Galga, escoltando un convoy de 52 buques mercantes, con destino á diferentes puntos de la Península é islas…</t>
  </si>
  <si>
    <t>Gonsalvi</t>
  </si>
  <si>
    <t>…n , añadiendo la cláusula propuesta por el Sr. Nicolai. El á salir para la misma ciudad. ' - ' . Parlamento se conformó con este dictamen, y decretó que Se asegura que S. Erna, el cardenal Gonsalvi, secretario al día siguiente se entregase á S. M. dicha exposición. (Se de Estado de S. S., y Mr. Neri Cor sí ni, consejero de Es publicó en la gaceta de 1.° del corriente.) tado de S. A. I. y R. el gran Duque de Toscana, irán En seguida leyó el Sr. Cassiñi e…</t>
  </si>
  <si>
    <t>…las verjas, ITALIA. muchos es udian es que no habian querido huir, ó que si ío intentaron se lo impidieron las bayonetas, fueron presos Milán jo de Enero. en el acto. El Emo. Sr. cardenal Gonsalvi, pasará Inmediatamente Los estudiantes heridos fueron 18, dos de ellos grave &amp; Laibach para asistir al Congreso. mente: algunos oficiales y soldados salieron de la refriega También el consejero de Estado de Florencia Reri fuertemente contusos, y un capitán he…</t>
  </si>
  <si>
    <t>…a nerviosa , y por se hallasen reunidos todos los ministros que debían asistir esta causa su función ha sido suspendida, y aun destruidaá di, entre los cuales se decía que iría el cardenal Gonsalvi. cuando la digestión se halla interrumpida por falta de aque En Londres corria la voz de que en el mes de Mayo lla influencia sobre el estómago, se recobran estas dos fun próximo se celebraría la función de la coronación de S. M. ciones vitales, haciendo que…</t>
  </si>
  <si>
    <t>…iba á descontar papel. ' El cardenal Spina, legado de Bolonia, recibió órdenes del Papa para pasar á.Laibach, á donde ¡ya debe haber llegado. . FRANCIA. Se cree que irá también el cardenal Gonsalvi, secretario -d« I Estado. Paris go de Enero. Una carta de Ñapóles dice lo siguiente: Se acaba de imprimir el presupuesto de la ciudad de «EL ministro de Negocios extrangeros ha declarado ai Paris relativo al año de 1820, y la cuenta de cargo y da Parir:memo q…</t>
  </si>
  <si>
    <t>…de dicho reino. PORTUGAL. ITALIA. Lisboa 27 de Febrero. Roma lo de Febrero. . El diario de Roma de hoy contiene el documento siguiente; ,,Her Sesión del 2 6. cules de la S. R. C.; cardenal Gonsalvi, diácono de Sta. María ael Se continuó la discusión del art. u de las bases de la Constitución. Mártires, secretario de Estado de S. S. Pió vrr. El Sr. Girao dijo que siendo muy graves los inconvenientes que re Informado S. S. de que las tropas austríacas que…</t>
  </si>
  <si>
    <t>…infestan los caminos y ¡os campos, y i pesar del edicto fulminante,, después de hallarse bastantemente discutido, preguntó el Sr. presidente publicado contra ellos por S. Erna, el cardenal Gonsalvi, los periódi sí se habian de conservar las denominaciones de portugués y ciudadano cos de Rom» refieren que no han disminuido su número y su osadía, y portugués , ó reducirlas á una sola; se acordó que se redujesen á una sola. que entre ellos y las tropas que…</t>
  </si>
  <si>
    <t>Gonzá, Pedro</t>
  </si>
  <si>
    <t>Pedro Gonzá</t>
  </si>
  <si>
    <t>…su patrón comisión opinaba debía accederse á esta solicitud. Silva, de pascar. Dice este qué ayer al medio dia tenia un buque de El de la de Legislación acerca de la solicitud de D. Pedro Gonzá tres palos á la vista (á unas tres leguas de Faro), el que Le mandó un lez Alvarez, en la que pedia se le dispensasen dos años que le faltan bote ccn cuatro marineros para que se aproximase, como lo hizo, y de práctica para poder revalidarse de cirujano; la c…</t>
  </si>
  <si>
    <t>…aordinarias, convocadas en 13 de Agosto próximo pasado, y han- Art. 17. De dibujo militar: saber representar con claridad losóbelegido para su presidente al Sr. obispo de Mallorca D. Pedro Gonzá jetos mas importantes para la dirección de las operaciones de la guerra. lez Vallejo, diputado por la provincia de Soria; gara vice-presidente Art. 18. Instrucción á fondo de la táctica de su arma, conoci al Sr. D. Felipe Ferrnin Paul, diputado por la de Cara…</t>
  </si>
  <si>
    <t>González</t>
  </si>
  <si>
    <t>…os demas había' infringido abiertamen del Sr. Flórez Estrada, pasó á la comisión de Guerra. • . : ;. / te e! arríenlo del; reglamento que prohíbe las personalidades. ■ Y notad, El Sr. González -Allende hizo la siguiente indicación , qus fue adSeñores (continuó el oradór) ; que no fue con palabras pronunciadas en mítida á discusión : „Que por el ministerio de Hacienda se dé: uná-razr»n el calor ó en el arrebato- dé una discusión, sinocon frases escr…</t>
  </si>
  <si>
    <t>…e saber el nombre del ciudadano que tan bien habia escrito y con vana presunción de los hombres la que diga.i este soberano Señor de los tan noble desinterés. Entonces el referido Sr. González, á quien para corazones: no pasareis de aqui? No, señores, no. Toda supremacía de este caso habia el autor confiado el secreto , autorizándolo para descu la jurisdicción espiritual pertenece á la cabeza visible de la Iglesia, úni brirlo, lo hizo nombrando al…</t>
  </si>
  <si>
    <t>…motivos consideraba qiié;no había-dificultad al ministró que viniese al-momento. alguna en la concesión de lo qué se solicitaba.1 El Sr. Díaz Morales pidió que la proposición del Sr. González El Sr. González Allende1 dijo que este era uno'de los negocios mas Allende se .votase por partes , - y que en el caso de no aprobarse la se interesantes que podían presentarse, y que para decidirlo eré menestér gunda, íe leyese la que él habia1 hecho. Y habiéndose…</t>
  </si>
  <si>
    <t>…ión del Sr. Oliver se leyó el decreto de las Cortes extraor mos muchas veces* á ciegas ;'cs indudable que no ha habida cuenta y dinarias de 3 de Setiembre de 1813, y en seguida el Sr. González razón , que ni aun las leyes ;vigentes se han observado en el anterior Allende deshizo algunas equivocaciones que dijo haber padecido el se Gobierno, y que se conocen muchos abusos; mas sin embargo es bien ñor Yandiola. de notar que las Cortes en las dos últi…</t>
  </si>
  <si>
    <t>…efecto la operación dél resello con Ja celeridad que las ría mayor, y remitir las de las otras casas, después de haberlas exami Cortes deseaban. ■ nado y expuesto su dictamen. El Sr. González .Allende añade que tiene bastante perfección nues 7.1" Visitar por algunos de sus individuos 6 personas delegada» tra moneda; pero S. S. no podrá dejar de conocer que le falta todavía las casas de moneda, examinar las muestras de lo acuñado cuando mucha perfe…</t>
  </si>
  <si>
    <t>…igados irre. Primero el Primero: Ei padre y la madre viuda, el abuelo ó bisabuelo, la fatire , la madre ¿-z. sbuüa ó visabucla viudas, respecto de los hijos, nietos ó biznietos El Sr. González zM'ende se opuso á esta parte del artículo, mani menores tic criad que tengan bajo su autoridad y en su compañía. festando lo triste que seria el imponer una pena á un padre que mien Segundo : I.os tutores y curadores, los gefes de colegios ú otras ca tras es…</t>
  </si>
  <si>
    <t>González, Agustín</t>
  </si>
  <si>
    <t>Agustín González</t>
  </si>
  <si>
    <t>…del de taragoza al teniente coronel s|pernumerario D. Alonso Sierra; Eí Sr. Sancho dijo que si los Sres. diputados se'vhacian cargo de lo del de España ileoronel vivode-infantería D. Agustín González; del que se proponía en este mensage, conocerían que eráufl documento de de Mallorca alJcomandáSite del r^Miento de Granada D. Manuel aquellos que por su celebridad merecian ocupar uno de los lugares mi* Fernandez OJu$£s^9£&amp;yKMurcia al comandante del 1° batal…</t>
  </si>
  <si>
    <t>González, Angel Cayetano</t>
  </si>
  <si>
    <t>Angel Cayetano González</t>
  </si>
  <si>
    <t>…lo que en última instancia fa I Se dió cuenta de otro dictamen de la misma comisión acerca de la llase el tribunal será egecutado como previenen las leyes, sin que en instancia de D. Angel Cayetano González, cura párroco de S. An ningún caso se consulte á las Cortes. drés de la- ciudad de Toledo, en solicitud de que se le perdonase la 60. El tribunal.de Cortes conocerá de la testamentaría ó abinres- mitad de lo que debía á la Hacienda pública por la casa excusad…</t>
  </si>
  <si>
    <t>González, Aníbnio</t>
  </si>
  <si>
    <t>Aníbnio González</t>
  </si>
  <si>
    <t>…ja,. L&gt;, Josef Espinosa, D. Josef Ruiz de Porras, el marques de Espinardo Lebrija. Parroquia de S. Lorenzo, 20, electores. Del 13 al ao... ....... 63..... •• 3*...... ...... 46... D. Aníbnio González, D, Antonio de la Iglesia, D. Antonio Mercar, D. Antonio Sala, D.Francisco Gallinas, D. Francisco Javier Sanlúcar de Barrameda. Delgado,D. Francisco Hernández Montañer,D. Isidro Blanco, Don Dia 14............. 3" •••♦ ••••••• z. .♦»*. .... .. 0.... ....... 6.…</t>
  </si>
  <si>
    <t>González, Antonio</t>
  </si>
  <si>
    <t>Antonio González</t>
  </si>
  <si>
    <t>…0 años en adelante, nientes D. Feliciano Polo y D. José María Omlin; los subtenientes de tenientes de infantería, caballería, zapadores, y trenes de artillería é D. Antonio Malet, D. Antonio González y D. Josef Iturrigaray; los ingenieros: los cadetes que llevasen 4 años en dicho destino, de capi sargentos primeros Fulgencio Manzano y . Josef Cruz, y los sargentos tanes de infantería ó .zapadores: los subrigadieres y cadetes de mas segundos Carlos Ballota, Agustín Perez, Luis C…</t>
  </si>
  <si>
    <t>González, Diego Antonio</t>
  </si>
  <si>
    <t>Diego Antonio González</t>
  </si>
  <si>
    <t>…mos, asi como Para la provincia de Zamora. Para el de Zamora á D. Mariano tampoco se atribuye á misantropía ei buscar un atajo para huir de ¡os Milla Fernandez : para el de Toro á D. Diego Antonio González: caminos públicos , y librarse de salteadores. para el de Fuente-Sauco á D. Juan Josef Moro de Elejaveitia : para el Es bien cierto que no está en manos de los hombres sustraerse al de Fermosellc á D. Francisco María Ortiz: para el de Carvajales á torrente de…</t>
  </si>
  <si>
    <t>…sido uno de los que en medio de la alegría y aclamaciones de un inmenso gentío; y el juez habían extendido dicho dictamen, siendo de la misma opinión que los de primera instancia D. Diego Antonio González pronunció un breve, demas Sres. de la comisión; pero que según lo que acababa de manifes pero enérgico discurso, en el que, después de dar á conocer las venta tar S. S. de que en España hab a fábricas de este género suficientes para jas que ofrece el Código c…</t>
  </si>
  <si>
    <t>…e en todas las so En el mes de Setiembre pasado vino á este pueblo el juez de prime licitudes de admisión de vinos sin derechos se declare formal y eXpre- ra instancia del partido D. Diego Antonio González, con el loabU sim-nte que los vinos indicados son y deben ser para su propio consu objeto de pacificar y conciliar, como lo hizo, los ánimos de algunas fa mo; y los lores de la tesorería mindurin a la oficina de rentas que milias , cuyos resentimientos person…</t>
  </si>
  <si>
    <t>…abitantes, vemos distri Ayanz, racionero de la catedral de Badajoz, D. Laureano Antonio Estos enteros en plena insurrección! Seda bien estraño que los ingleses camilla , hacendado D. Diego Antonio González, juez de primera insy viesen con indiferencia sucesos tan extraordinarios; pero todavía Jo es tan cía de Toro; D. Pablo Montesino, médico. mas, que después de haberse tomado tantas medidas no se haya resta Suplentes. D. Basilio Neira, hacendado. D. Sebastian…</t>
  </si>
  <si>
    <t>Gonzalez, Fertnin</t>
  </si>
  <si>
    <t>Fertnin Gonzalez</t>
  </si>
  <si>
    <t>…nda 6 posición del. ayuntamiento constitucional -de Fuentes,en: Andalucía publique, cualquier,escrito érc., que se. señalase solo una multa, y que contra su-Gefe político: otra de D. Fertnin Gonzalez, vecino: de Con esta fuese de goQ,VeiV. ■- . - ■ , cha (Cuenca), contra uri alcalde constitucional: otra, del-juéz de pri t Sel.eyó el art. .5.“,. que deciar «El que falsificase alguno de los re- mera instancia de Toro coritra el :alcalde,,constitucional dé-…</t>
  </si>
  <si>
    <t>González, Francisco</t>
  </si>
  <si>
    <t>Francisco González</t>
  </si>
  <si>
    <t>…ril contiene los pormenores siguientes: pasar ¡i la comisión -ordinaria de Hacienda una solicitud de la viuda de » Luego que se recibieron las órdenes de Constantinopla , se mandó D. Francisco González ..diputado que fue de las Cortes extraordinaria», formar cuerpos de voluntarios en esta provincia. Ya se habia armado en que manifestando la triste situación, en que se halla, pedia se le con el populacho turco , y se habian tirado algunos pistoletazos contra…</t>
  </si>
  <si>
    <t>González, Francisco Diez</t>
  </si>
  <si>
    <t>Francisco Diez González</t>
  </si>
  <si>
    <t>£\J . . ,, . . . qüífi.' VE los méritos ,que habéis'coBtraidó pará "cSn" la patria'y ton el Parala primera á D. Francisco Diez González; para la segunda i Rey fin lis dos .últimas' legislaturas v.i ;s á añadir otros ahora que se D. Miguel Sánchez Casas'; para la tercera á D. Gregorio Gisbert; para abre un nuevo y anchufó'so'campo á vuestros. talentos y virtudes. Mu la cuarta á D. Lorenzo Esco…</t>
  </si>
  <si>
    <t>González, Francisco Domingo</t>
  </si>
  <si>
    <t>Francisco Domingo González</t>
  </si>
  <si>
    <t>…, de 74 cañones; de D. Gerónimo Josef María Samaniego, D. Diego Caballero, D. Josef la fragata la Duchrsse de Berry, y di la corbeta la Aigrette. Parece Puche! , D. Antonio Nieto, D. Francisco Domingo González y Don que estaba tomando disposiciones para volver á hacerse á la vela. Manuel Ibañez, solicitando los unos dispensa de edad,y los otros dis __Dicen las cartas de Sroirna de 17 de Abril que la noticia de la in pensa de una parte de estudios para recibirse de farmac…</t>
  </si>
  <si>
    <t>González, Ignacio</t>
  </si>
  <si>
    <t>Ignacio González</t>
  </si>
  <si>
    <t>…alde de dicho pueblo D.- Zeferino señoríos, y que de los 573 que-componen*, la provincia de Valencia, Abad. -' los 500 son de señorío. *; Otra de D. Francisco de la Vegaj cura, -y D. Ignacio González/ Dijo'asimismo que el estado en.rq.ue quedaban los pueblos cuando boticario de la villa de Pedro Bernardo , en que se quejan de infracción eran de señorío era* el de esclavos;.y:de. hombres, inútiles * para la so de Constitución contra el apuntamiento y escri…</t>
  </si>
  <si>
    <t>González, Josef Antonio</t>
  </si>
  <si>
    <t>Josef Antonio González</t>
  </si>
  <si>
    <t>…n la casa de ayuntamiento, donde se hizo lo mismo; y después de una cretos de las Corles, y seria injusto mantener en el Congreso ttnc3 sencilla arenga, la entregó á su presidente D. Josef Antonio González, hombres que no podían representarlas; por todo lo cual pedia que la que la recibió, y contestó con las expresiones mas tiernas y satisfactorias. junta preparatoria debia api obar el dictamen. Este paseo enterneció á todo el pueblo , y produjo ios mayores ' E…</t>
  </si>
  <si>
    <t>González, Josef Eustaquio</t>
  </si>
  <si>
    <t>Josef Eustaquio González</t>
  </si>
  <si>
    <t>…en los demas tráficos; y por último, demostró pasó al Sr.-.min¡stro de la Guerra. la utilidad que resultaba para el consumidor de que este género estu » Excmo. Sr.: La partida que D. Josef Eustaquio González formó viese como proponía- la-comision por la mejor calidad que tenia, con en los valles de Carriedo, Toradas y Castañeda,-y que perseguida por .solo el aumento de una pequeña cantidad en su valor; cuya prueba era las tropas de esta guarnición, pasó á Castill…</t>
  </si>
  <si>
    <t>González, Juan Antonio</t>
  </si>
  <si>
    <t>Juan Antonio González</t>
  </si>
  <si>
    <t>…re A la de I-Iactenda un expediente remitido por el ministerio da .es cer de la comisión, que acababa diciendo que por todo lo expuesto no te ramo sobre rebaja d los herederos de. D. Juan Antonio González, podia la compañía hacer compras extraordinarias en las actuales cir factor de temporalidades de la provincia de Oruro, enel Perú, de un cunstancias. . . / descubierto que resultó contra él-,.. El Sr. Borges Carneiro expuso, en nombre de la comisión, que ha A…</t>
  </si>
  <si>
    <t>González, Manuel</t>
  </si>
  <si>
    <t>Manuel González</t>
  </si>
  <si>
    <t>…igó a nuestros padres y á sus adhesión al sistema constitucional ; y de una representación documen hijos. os anuncia por mi boca ei término de aquellos días de sufrimiento tada de D. Manuel González , vecino del Puerto de Santa María, so y de lagrimas. Su voz ha dicho que seríais la corona de :u¿¡loma y el ade licitando se le devuelva la multa que por el mismo motivo acredita mante ■■■■e su reino. I.a santa Sor. no estará ya entregada á la am r,Li haber…</t>
  </si>
  <si>
    <t>González, Mariano Rufino</t>
  </si>
  <si>
    <t>Mariano Rufino González</t>
  </si>
  <si>
    <t>*744 , . Ti ¡tun/i¡ supremo de jusltcta. vacion y la prospetidad-Jel putbío, -i per cr.rna-dad cc atiende á ellas, Sentencia. D. Mariano Rufino González , oidor que fue del extin llegan en tercero ó cuarto lugar; el ínteres de los intermediarios se hs guido Real y supremo consejo de Navarra, y en el dia magistrado de antepone; y esto, como vos no ignoráis, es muy justo. la audiencia territorial de Pamplona, f…</t>
  </si>
  <si>
    <t>González, Miguel Montero</t>
  </si>
  <si>
    <t>Miguel Montero González</t>
  </si>
  <si>
    <t>…nto era de la mayor importancia, y büca , y cuya cantidad no puede satisfacer por su absoluta pobreza. en su consecuencia pedia quedase el dictamen sobre la mesa para la ins El de D. Miguel Montero González sobre que se exonere al ayun trucción de los señores diputados, y asi se acordó; tamiento de la ciudad de S. Fernando de toda responsabilidad en él - Se tuvo por segunda lectura el dictamen de la comisión especial de pago del cupo de sal el presenté año, en a…</t>
  </si>
  <si>
    <t>González, Ramón</t>
  </si>
  <si>
    <t>Ramón González</t>
  </si>
  <si>
    <t>…ón cionales de Zaragoza, 'Ar.injr.ez y Segovia; el pueblo de Canillas de que se propone por falta de medios, se autorice al Gobierno para que Otero ( en el partido tfe Salamanca); D. Ramón González, vecino de encías provincias donde no haya establecimientos literarios pueda plan Lugo, y otros sugeíos. tear estas universidades de segunda clase con las cátedras que contem J El Gefe político superior y la diputación de Asturias en dos dife ple mas necesari…</t>
  </si>
  <si>
    <t>González, Sotero</t>
  </si>
  <si>
    <t>Sotero González</t>
  </si>
  <si>
    <t>…tural de' dicha villa , soltero, estudiante de teología , de edad de t8 la familia Real, el pueblo y la tropa de esta corte juraron del modo años , presos en la cárcel de Corte; y D. Sotero González , natural tam mas solemne observar y mantener la misma Constitución. bién de Seila,- soltero , estudiante de filosofía , de edad de 15 anos f pues « Llegada de este modo la feliz época indicada por S. M. al mo to en absoluta libertad), por haberse encontrado…</t>
  </si>
  <si>
    <t>González, Tomas</t>
  </si>
  <si>
    <t>Tomas González</t>
  </si>
  <si>
    <t>…e una libertad de im mero 11, su fecha 26 de Enero último, denunciado el dia 5 de Febrero prenta , que á todos dejaba el derecho de exponer su dictamen. Cite la próximo pasado por D. Tomas González, D. Fernando Antonio de Gaceta de Milán otra Constitución europea menos improvisada-, que Marín, D. ju.111 Je Saldivia y D. Manuel Morcillo , oficiales de! regi se haya tardado mas cr. formar; que mas se hava discutido: que mas miento de; Aragón, dijo que la…</t>
  </si>
  <si>
    <t>González, Toribio</t>
  </si>
  <si>
    <t>Toribio González</t>
  </si>
  <si>
    <t>…orr-.-res'y Los señores: Kxcmo. é limo. Sr. Dr. D, Juan Cruz Ruiz de Cabañas, uitrages; que la Rusia pedirá ser protectora de todas las provincias grie obispo de Guadalajara ■; Dr D. Toribio González, racionero de la mis gas, como ya lo es tiempo ha de la Moldavia y Valaquia; que harán que ma ¿anta iglesia; D. Juan Manuel Caballero; Lie. D. Juan de Dios Ca cesen las hostilidades, y que se forme un arreglo enire priegos y turcos. ñedo; Dr. D. Francisco Sev…</t>
  </si>
  <si>
    <t>González, Victoriano</t>
  </si>
  <si>
    <t>Victoriano González</t>
  </si>
  <si>
    <t>…tuladas de S. Andrés, de 2 ruedas harineras en las 3.4 El mismo D. Matías Vinuesa, capellán de honor de S. M.s aguas del rio Esla, un cañal inmediato á dichas aceñas, completo con D. Victoriano González y D. Pedro Vinuesa, presos en 28 de Enero su chalupa y casa para el molinero: otra casa donde vivia el prior, por haberse hallado en su habitación planes de conspiración contra el arruinada mucha parte de ella, y una alameda contigua á las mismas Estado. Esta causa está mandada…</t>
  </si>
  <si>
    <t>González, Vitoriano</t>
  </si>
  <si>
    <t>Vitoriano González</t>
  </si>
  <si>
    <t>…esuelto á aprobar, como lla de Seila, de edad de 42 años , preso eti la cárcel de la Co con efecto aprobaba, para que se aceptase y se pusiese en egécucion en rona; y sus sobrinos D. Vitoriano González, natural de la misma vi todos los estados de este Reino-Unido la Constitución que se hiciera lla, soltero , estudiante de moral, de 21 años; D. Pedro Vinuesa , na y aprobara por las Cortes-actualmente convocadas en esa ciudad. Toda tural de' dicha villa , sol…</t>
  </si>
  <si>
    <t>Gonzalo</t>
  </si>
  <si>
    <t>…■ ción en el hecho de haberle negado el testimonio -que. habia pedido. « Atendiendo también á que desde la advertencia incluida en il de Otra dc'D. Miguel Pareja, vecino de Puente D. Gonzalo, queján creto de S. M. la Reina Isabel, publicado en el -primer año del reina dose de ¡os proced-mientos debjtiéz de primera instancia de la Rambla do de S. Mi, y sancionado por el auto promulgado en el quinto' año en las providencias que había dado á favor d…</t>
  </si>
  <si>
    <t>…a nacional local Hacienda , una felicitación que les ha dirigido el ayuntamiento córis’titu-‘ de esta ciudad D. Juan de la Pedraja dirigió filtimamente una enérgi cional de Puente D. Gonzalo‘por lá aprobación de losart. i.° y *.° ca proclama á los ciudadanos de.su batallón. En ella brillan á ia par del dictamen-de la comisión-dé’Legislación sobre señoríos, y pedia la el entusiasmo patriótico, los .sentimientos honrados, la nobleza y la - total ex…</t>
  </si>
  <si>
    <t>…hay inconvenien apóstol de franciscos descalzos; en Cañete el de S. Diego de igual ins tes; pero es el plan-que menos tiene, y por esta razón se ha adoptado; tituto; en Puente de D. Gonzalo el de nuestra Sra. de ia Asunción de imponiendo para las clases industrial y comercial la contribución dé la misma orden; en Fuente-Ovejuna, en Palma del Rio, en Pedro'^patentes. che y en Peñaflor los de angelinos de S- Francisco; en Castro del Rio - El últim…</t>
  </si>
  <si>
    <t>…o á la Gobernación de Ultramar, en únan en un pueblo, y bajo una misma autoridad local, la villa de Puente las que manifestaba haber sido electo diputado á Cortes D. Nicolás de de D. Gonzalo y la de Puente Genil: la comisión opinaba que debían Castro, y los motivos que tenia este para no admitir dicho cargo. .reunirse, juntándose por ahora Jos dos ayuntamientos, hasta que en el A la de Hacienda una exposición del ministro de este ramo acerca año…</t>
  </si>
  <si>
    <t>Gonzalo, Manuel Antonio</t>
  </si>
  <si>
    <t>Manuel Antonio Gonzalo</t>
  </si>
  <si>
    <t>…e cargo de D. Feliciano del tranquila , aunque turbada de cuando en cuando por aque Corral.' llos que vulgarmente se llaman los enemigos del buen orden. Ignorándose el paradero de D. Manuel Antonio Gonzalo Por consiguiente la libertad , no la que se arrogan los del Río, vecino que fue de esta corte , y en caso del falleci déspotas, sino la que va unida con la razón , es el patrimo miento de este el de sus hijos ó herederos, se les cita, llama y nio de todos los hom…</t>
  </si>
  <si>
    <t>Gonztlez, Joséf María</t>
  </si>
  <si>
    <t>Joséf María Gonztlez</t>
  </si>
  <si>
    <t>…, y á la Hacienda pública sus derechos sobre ti ción provincial. Suplentes-. D. Mahuel Varcanel, vecino deCazalla y mayor valor que resulte de la subasta. elector de su partido, y D. Joséf María Gonztlez , cura de la Campana. Alt. &gt;1 F.l sobrante se distribuirá por partes iguales entre lo Por la provincia de Granada. D. Nicasio Tomas , natural de la vistas, administradores y contadores que concurrieron al reconocimien villa de Galera, vicario general de Madri…</t>
  </si>
  <si>
    <t>Goosens, Pedro</t>
  </si>
  <si>
    <t>Pedro Goosens</t>
  </si>
  <si>
    <t>4»NTA «USEKIOX .X*.. SANIDAD. pósito hidrográfico. do. D. Lorenzo Vil la nueva, magistra D. Pedro Goosens, oficial de la se. Ultimos partes Til ¡huios del Puerto de Sta. María. do de ésta audiencia. cretaría de Guerra. D.Ramon Truxillo , médico. D. Evaristo S. Miguel, oficial del En la población. Invadidos de ., Muertos. Curados. Existentes. D. Rodrigo Aranda, ha…</t>
  </si>
  <si>
    <t>Gorbea, Francisco de</t>
  </si>
  <si>
    <t>Francisco de Gorbea</t>
  </si>
  <si>
    <t>…se discutía. el duque de S. Carlos; D. Henrique Croese, de Anisterdám; D. Fran El Sr. Moscoso impugnó el dictamen de la comisión en general, y cisco Joaquín Inarte, de Pamplona-, D. Francisco de Gorbea y sobri manifestó que las Cortes no debían discutir provincia por provincia, nos, de Madrid; D. Francisco Lozano; D. Francisco Javier García; porque en este caso resultana la necesidad de atender á mil circunstan D. Gabriel Odier y compañía^ de Paris ; Doña G…</t>
  </si>
  <si>
    <t>Gordon</t>
  </si>
  <si>
    <t>…plir las órdenes que tiene dadas el Gran Señor contra los Francfort 37 de Octubre. griegos cogidos con las armas en la mano. Este suplicio renueva los ro Nos escriben de Viena que lord Gordon , ministro de Inglaterra manos, recuerda los saturnales de Nerón, que solían ser iluminados de cerca de la corte de Austria, ha salido de aquella capital para Hannó este modo execrable. A los cristianos y á los judíos se les hacia morir ver; es pues muy veros…</t>
  </si>
  <si>
    <t>Gore</t>
  </si>
  <si>
    <t>…In de guardia, y Harsley estaba de centinela, en el patio del cuartel, de glaterra y elAustria.tio.ha tenido ningún favorable resultado, y que el donde no salió en todo el.dia. El teniente Gore estaba de servició, y barón de StrogonofF ha;salido.de Bujukdere. Es evidente, que el ultimá solamente, tenia la espada; pero ro armas de fuego m municiones. Eltum de la Rusia no era un,paso'particular-y separado de parte de la cor» capitán Storéy estaba enca…</t>
  </si>
  <si>
    <t>…r en sesión un gran ruido en la calle bajo las mismas eso su alegría les permitió entregarse al descanso, porque luego llena ventanas del tribunal; y poco después se vió llegar ai teniente Gore ron las calies todos los jóvenes con diferentes músicas „y prosiguieron que se volvía , y que le había acometido en la calle el populacho á su .corriéndolas tocando, cantando patrióticas., y aclamando-con infinito» salida del tribunal. vivas, décimas y coplas…</t>
  </si>
  <si>
    <t>1460 El Times conviene al fin en que el teniente Gore, contra quien se de aquellos que condenaba la ley, se registrase la prisión en que se han dirigido todos los ataques de los radicales para hacerle parecer reo hallaba, y no siendo saludable se le trasladase á otra igualmente del homicidio de Ricardo Honey, pu…</t>
  </si>
  <si>
    <t>Gorvea, Manuel de Ribacoba y</t>
  </si>
  <si>
    <t>Manuel de Ribacoba y Gorvea</t>
  </si>
  <si>
    <t>…ntinuará, j bierno por la gen irabdad de empresarios y de una lista de 15 sugetos __La Gaceta de Frane'ux, digna defensora del suave yugo Con que el los Eres. D. Andrés Caballero, D. Manuel de Ribacoba y Gorvea, Gran turco oprime á ios griegos, considerándolos cual'esclavos', de D. Ramón de Angulo, D. Martin Fernandez Navarrete y D Andrés seosa de que eL mahometismo salga victorioso contra el cristianismo; de la Cuesta, ademas de D. Josef Francisco Muguiro é Iribarr…</t>
  </si>
  <si>
    <t>Gosaives</t>
  </si>
  <si>
    <t>…! engañador, falsificador, con otras expresiones bajas y denigrativas, de y conformándose S. M. con el parecer de la asamblea, se-ha servido re las cuales se desdije y retracta el doctor Gosaives, como de cualquie solver que asi el recurrente D. Vicente Pajeras, como todos los demas ra otra que hubiesc%i.iesto en las papeles públicos y privados en menos que se hallen en su caso, condecorados con la cruz de plata de.segun cabo de la reputación de D. Ju…</t>
  </si>
  <si>
    <t>Gosalbes</t>
  </si>
  <si>
    <t>…sfecho de la conducta y manejo que dia inventando máquinas para dicho efecto con algunos buenos resulta V. S. ha observado mientras permaneció en la rada de Ñapóles, ha- dos, y el doctor Gosalbes en España sin otro aparato que el de una Jbicndo sabido sostener y conservar el decoro del pabellón español en simple fumigación , tan fácil de aplicar como lo seria cualquier sahume circunstancias tan delicadas como las que sobrevinieron por aquel tiem rio ,…</t>
  </si>
  <si>
    <t>Gosalbes, Salvador</t>
  </si>
  <si>
    <t>Salvador Gosalbes</t>
  </si>
  <si>
    <t>…gulos que atravesaban el canal. ■ A mas yen varias repeticiones, han cedido por fin al uso délas vista de Jos adelantamientos de las ciencias y artes se debia fumigaciones del Dr. D. Salvador Gosalbes, excediendo estas esperar que los ingleses se empeñarían en exceder á todo a las esperanzas de este profesor. La repetición de tan salu cuanto se había hecho anteriormente en estas materias, y dables efectos ha acreditado este específico, en términos efectiva…</t>
  </si>
  <si>
    <t>…cionales que se intentan contra la graciado enfermo, cuando llegó á manos del mencionado Reina.” El lord Grey se presentó en la junta, y apoyó la facultativo el manifiesto del Dr. D. Salvador Gosalbes ; y representación en un discurso, en que se esforzó en pro viendo trataba de unas- fumigaciones antisifilíiicas , y refle bar la inocencia de la Reina después de las declaraciones xionando sóbrenla causa primitiva de esta formidable úlce dadas en contrario ;…</t>
  </si>
  <si>
    <t>…una oposición formada por el deudor ante el tribunal civil del entrada. Palacio 12 de Mayo de 1821. partido. Art. 83. „Las instancias se seguirán ante los tribunales de partido El doctor D. Salvador Gosalbes, autor de las preciosas fumigacio de la provincia. Su conocimiento y decisión se prohíbe a cualquiera nes anti-venéreas, ha sabido con dolor que se ha introducido en Espa otra autoridad constituida ó administrativa. ña, acasó de algún reino extranjero, un gra…</t>
  </si>
  <si>
    <t>Gosalves, Salvador</t>
  </si>
  <si>
    <t>Salvador Gosalves</t>
  </si>
  <si>
    <t>…, ycoíivehcido elCoh- jpéásiprt qiie las Cortes juzguen oportuna... 1 gresode lo mucho que'embarazaba esto pa'rábtfos asuntos dé únayót im A la de Salud públícii uná exposición'de D. Salvador Gosalves, portancia, se acordó nombrar una comisión que examinase todas las cirujano de esta corte , en que ofrece,manifestar el método de hacer las instancias, y las paiase di Gobierno y á las comisiones respectivas, las fumigaciones sulfúricas de su invención., cón…</t>
  </si>
  <si>
    <t>Gossens, Pedro</t>
  </si>
  <si>
    <t>Pedro Gossens</t>
  </si>
  <si>
    <t>…os compromisarios. Esperamos que tanto este rón , D. Mariano Lagasca, el marques de Pontejos, D. Pedro Castelló, punto como otros vayan siempre mejorándose , y que en adelante cui D. Pedro Gossens, D. Pedro Peironceli, D. Pedro Serrano y D. Ra dará la autoridad competente de publicar bo solamente esta lista, sino món Trujillo.</t>
  </si>
  <si>
    <t>Gotarredona, Lorenzo</t>
  </si>
  <si>
    <t>Lorenzo Gotarredona</t>
  </si>
  <si>
    <t>…posiciones entre 1 ries- y Mena y á D; Miguel de Castells; y para una de las plazas de fiscal te y Laybach, y que otros 30S)-ocupan la Dalmacia; pero hay todavía de la de Aragón á D. Lorenzo Gotarredona. quien dude de la parte que el Austria tomará en la guerra. Algunos Igualmente se ha servido nombrar el Rey para la judicatura de pri creen que jiermanecerá mera espectadora de los acontecimientos en tina mera instancia del partido de Aicira, en la provincia…</t>
  </si>
  <si>
    <t>Gotssens, Francisco de</t>
  </si>
  <si>
    <t>Francisco de Gotssens</t>
  </si>
  <si>
    <t>…el dia 4 de Noviembre. En ella serán exa D. Francisco Josef de Jáuregui, id. Doña María Teresa de Michelena. minados , y se adjudicarán los premios , entregándoselos á los alumnos D. Francisco de Gotssens. D. Miguel Cuff. que ios hayan merecido en el primer dú de la junta general píiblica de Sres. Gómez , hermanos, de Cádiz. D. Narciso Plandolit, de Barce la sociedad , debiendo antes examinarse en público del ramo á que per D. Ignacio Villaveachea. lona. tenez…</t>
  </si>
  <si>
    <t>Gouiet</t>
  </si>
  <si>
    <t>…resulta délos hebreos, la escritura santa, la predicación, las libertades de la do habia sido tal cual la liga europea contra la libertad del mundo lo ha iglesiagalicana; y el del abad Gouiet sobre la renovación de los estudios, esparcido con tanta prodigalidad. y principalmente de los eclesiásticos desde el sigio xrv: traducidos al Al partir el dia 8 para el egército el Príncipe Regente de Ña castellano por D. S. S. J. B.; distribuidos en dos tom…</t>
  </si>
  <si>
    <t>Gourgaud</t>
  </si>
  <si>
    <t>…egativa. Llegado el dia y en una de sus sesrones presentó el general Lafayette una petición fir de la coronación, cuya fiesta duró desde las diez de la mañana hasta la mada por el general Gourgaud, el coronel Falvier y otros muchos ciu una , se presentó S. M. á las dos- puertas de Westminster, y en ambas dadanos con el objeto de que se pidiese al Gobierno que reclamase el se le negó la entrada. I.a solemnidad se verificó con el mayor orden,y cadáver de…</t>
  </si>
  <si>
    <t>Govantes</t>
  </si>
  <si>
    <t>…ar pasó á 8.J el Sr. Navarro (D. Felipe) por '77.: 9.° el Sr. Larriba por 85: la tribuna y principió la lectura de su memoria; la que á poco tiempo 10 el Sr. Snbrié por 67: r 1 el Sr. Govantes por 70: 12 el Sr. Va- se suspendió con motivo de tenerse que Jeér la contestación al discurso dillo por 72: 13 el Sr, Lorenzana por &lt;52: 14 el Sr. López (D. Mar de S. M. , y concluida esta se siguió leyendo la precitada memoria. cial) por 79: 15 el Sr. San-Mi…</t>
  </si>
  <si>
    <t>…pareciere, con tal que no impidan el Asimismo se aprobó el artículo 3.0; y habiéndose procedido á tra tráfico por mayor de los forasteros. • r tar del 4.’, se leyó un discurso del Sr. Govantes , en el que hacia varias Art. 5.0 « En el caso de que los pueblos prefieran cubrir por en observacionesimpugnando el artículo, y manifestando que no debia tero ó en parte el cupo respectivo del impuesto sobre consumos por dejarse al arbitrio, de Tos ayuntamie…</t>
  </si>
  <si>
    <t>Govantes, Angel</t>
  </si>
  <si>
    <t>Angel Govantes</t>
  </si>
  <si>
    <t>…n por la módica suma tfc.79. Manuel Benito Lorenzana, por la de Galicia; D. Antonio Valcárcel, Dibujos y grabados. Los l ibreros Rodsvel y Martin , en I.óndrés, por la de León , y D. Angel Govantes , por la-de Burgos. 3.0 El señor publican por entregas las colecciones siguientes de vistas pintorescasD. Juan Manuel Subrié, diputado por la provincia de Jaén , ejercerá de diferentes países; á saber: endicho tribunal las funciones de fiscal. Madrid 8 de Mar…</t>
  </si>
  <si>
    <t>Govantes, Josef</t>
  </si>
  <si>
    <t>Josef Govantes</t>
  </si>
  <si>
    <t>…nes que hubieren Provincia de Burgos. Aranda D. Juan García Cavero, Adían el resultado en su extracto y en los egerr.plares de él, que deberán tener cura del mismo pueblo. Miranda D. Josef Govantes. se preparados para cada uno de los vocales del consejo , á quienes se en tregarán inmediatamente que se concluya aquella operación. CORTES EXTRAORDINARIAS DEL AÑO DE 1811. Art. 4.° ’&gt; Cumplidos los 10 días, procederá el consejo á la vista del proceso , leyén…</t>
  </si>
  <si>
    <t>Govellan, Antonio</t>
  </si>
  <si>
    <t>Antonio Govellan</t>
  </si>
  <si>
    <t>…apagando las luces, y algunos „ Y una consulta de la diputación provincial de Cádiz acerca.de la individuos pidieron velas , y Mr. Lambton propuso que no se,sacasen. solicitud de D. Antonio Govellan, sobre qüe sé,,le abonq del fondo Esto dió lugar á la duodécima votación , por.la cual fue desechada la de propios los gastos de un pleito seguido de oficio’ por él ayíinrániiento proposición por -146 votros contra 38. Por fin, á propuesta de; lord de la mism…</t>
  </si>
  <si>
    <t>Goya, Francisco Javier de</t>
  </si>
  <si>
    <t>Francisco Javier de Goya</t>
  </si>
  <si>
    <t>…Sorarte, de San D. Manuel Angel Vidarte, de Otros tres á las alumnas mas instruidas en gramática, aritmética y Sebastian. Pamplona. Constitución, de todas Jas amigas de la ciudad. D. Francisco Javier de Goya, de Sres. Manzarraga y Ugarte, de Bil Todos los maestros y maestras de escuelas y amigas deberán pre Bayona. bao. sentar los alumnos y alumnos de sus clases que aspiren á estos premios D. Francisco de Lancariz, de Bil D. Marcial Francisco del Adalid, en casa…</t>
  </si>
  <si>
    <t>Gozar, Josef López de</t>
  </si>
  <si>
    <t>Josef López de Gozar</t>
  </si>
  <si>
    <t>…siis gefés; á lós-inspectores de las armas, -cisco Vicente Yáñez y D.; Tomas Arizmendi. ,quienes remitirán relaciones nominales á-esta secretaría dél Despacho de Idem de Granada.. D. Josef López de Gozar, D. Juan Agustin de mi cargo al fin del expresado término, manifestando al‘ .pie dé ellas el ■ Abarrátegui y D.-Andres Subiza. ' concepto que le's merezcan las solicitudes dé los aspirantes, a.esta, distin - Idem de Navarra^ D. Martin Javier de Muzquiz y .D.-…</t>
  </si>
  <si>
    <t>Gra</t>
  </si>
  <si>
    <t>…dos-Unidos de Nápoles. __ A los nombramientos de generales del egército de ItaliaAmérica, quien pocos dias antes habia llegado á esta ca que ya hemos referido debe añadirse el del coronel Gra— dofsicy., que pasa al estado mayor. Ahora ya no es posi pital.En el mismo dia se publicaron dos ordenes del Gobier ble confiar de que los asuntos de Nápoles sa arreglen por ia no ; la una encarga á todos los comandantes, de los puertos vía de la conciliación…</t>
  </si>
  <si>
    <t>Gra, Antonio-de</t>
  </si>
  <si>
    <t>Antonio-de Gra</t>
  </si>
  <si>
    <t>…. : ñés.zzD. Cayetano Gíbete zz D. Mariano Ferrer.zz D. Pedro de Gra Art. 114. «Habrá una brigada de oficiales en cada deparlamento, cia.= D. Cosme Sánchez.zzD. Julián Borruel. zz:D. Antonio-de Gra ademas de ios de los batallones, dedicados principalmente á desempe cia, zzD. Pascual Perez. zzD. Valentín Jópe. ziD. Josef Ferrer.— ñar los destinos de parque, laboratorio de mixtos, .fundiciones;y otros D. Manuel Noballas.zzD. Francisco Perez.zzD. Vicente I…</t>
  </si>
  <si>
    <t>Grabowsxv</t>
  </si>
  <si>
    <t>…e ti ba PRUSIA. rón Koudelka , comandante'' del regimiento Arcl.-ídtq e Orlos de infantería , ha sido nombrado mayor genera,, y Berlín jt de Enero. bri cadier en Olmutz ; y que el caballero Grabowsxv, te Aseguran que el Rev ha suspendido su salida hasta la niente coronel del estado mayor general, ha sido promovíuo llegada de un correo que espera de Viena, y que entre á un grado superior, como también muchos oLcisies ce su tanto marchará a Laibach el prínc…</t>
  </si>
  <si>
    <t>Gracia, Agustín de</t>
  </si>
  <si>
    <t>Agustín de Gracia</t>
  </si>
  <si>
    <t>…stos dos artículos, y retirados los D. Jicobo Sevillano.zzD. Gaspar del Sol.izzD. Joaquín Jimen. z= que había indicado el Sr. Rovira. ... D. Valero Javierre.zz D. Alejandro Lera.— D. Agustín de Gracia. = Art. 122. m Los oficiales de cargo de artillería de los buques serán D. Carlos Serrano, zz D. Pedro Garcés. z=D. Bernardo Rodrigo.=Don nombrados de entre aquellos del grado que pida el reglamento mas ap Mariano Siles. zz D. Miguel Juanton. — D. Josef Colla…</t>
  </si>
  <si>
    <t>Gracia, Joaquín de</t>
  </si>
  <si>
    <t>Joaquín de Gracia</t>
  </si>
  <si>
    <t>…ue lian asistido las personas siguientes: li&gt;. Luis Lapuente.cz D. Jo- ios demás de la armada que se crea á propósito, y no se hallen com sef Fernandez Trebiño.^D. Manuel Gebrianl^D. Joaquín de Gracia. prendidos eu ias jubilaciones y reformas de que trata el título de ofi =z D. Pedro Vidal. = Di Andrés Roces. sD. Josef Benito' Chlvo.‘=: ciales.” Aprobado. D. Narciso Olivas. =D. Andrés Ester. ^D. Juan Anel.zzD. Blas- Añ Art. 108. » El Gobierno señalará el u…</t>
  </si>
  <si>
    <t>Gradoli, Oaoíre</t>
  </si>
  <si>
    <t>Oaoíre Gradoli</t>
  </si>
  <si>
    <t>…El de Zamora, Salamanca, Extremadura y Sevilla. guel Fluxá; para el de Esportas á D. Ignacio Vich y San- 4.0 El de Cádiz, Málaga, Granada y Cartagena. tandreu ; para el de Inca á D. Oaoíre Gradoli; para el - Debiendo variar cada año de departamento los subins</t>
  </si>
  <si>
    <t>Grafttechi.il, Lorenzo</t>
  </si>
  <si>
    <t>Lorenzo Grafttechi.il</t>
  </si>
  <si>
    <t>…itiva procedencia de todos fue de las embarcaciones. quien dijo que la dolencia del (lijo dai capitán de ¡a polacra era e( tifo Entraron en esto los facultativos D. Rulael Esteve, D. Lorenzo Grafttechi.il; y en virtud de ello otra vez comisionó á ios facultativos set y D vt-tonio Pellicer; pidióles el Sr. gefe político noticia cir para que inspeccionasen el cadáver del que acababa de fallecer, y de cunstanciad:! de lo que hubies.-; y tomando eí Sr. Grase! la p…</t>
  </si>
  <si>
    <t>Gran, Fran</t>
  </si>
  <si>
    <t>Fran Gran</t>
  </si>
  <si>
    <t>…asista: ” Francia , solicitando cartas &lt;fe ciudadanos. ■ : ¿ «Atendiendo á que los católicos romanos súbditos del Rey;en la A la de Infracciones de Constitución -una exposición de D. Fran Gran: Bretaña é Irlanda, han estado siempre dispuestos y prontos á cisco García- Ortiz, juez de primera instancia interino de Enhueca, prestar el:expresado juramento de adíiesionj como todos los demas súb -vindicándose de'la queja.de'infracción de Constitución dad…</t>
  </si>
  <si>
    <t>Granados, Pedro</t>
  </si>
  <si>
    <t>Pedro Granados</t>
  </si>
  <si>
    <t>…retaria del consejo de estado. les prescriba y circule Art. 8b. En adelante dicho estado se dirigirá por los Gefes políticos todos los años en-el mes México. Por fallecimiento de. D. Pedro Granados ha de Enero á la Diputación permanente de Cortes , para co quedado vacante una ración de la santa iglesia metropolitana nocimiento de estas luego que se reúnan. Artículos adi de México, cuya renta se regula en ó© pesos; y para su procionales. i.° Las diputaci…</t>
  </si>
  <si>
    <t>Grande, Francisco de Paula</t>
  </si>
  <si>
    <t>Francisco de Paula Grande</t>
  </si>
  <si>
    <t>…ue recaiga sobre Xedesma á D. Juan Luxigo de i’edrosa; para Vitigudino á D. Euge elección ó propuesta de personas se liara por escrutinio secreto. Ar nio Arizmendi; y para Be¡ar á D. Francisco de Paula Grande. tículo I i-j. Los secretarios para la vc-tacion de la primera ciase usarán Igualmente para k provincia de Valladolid: para Valladolid á d.e la fórmula siguiente: Los señores que se levántenlo aprueban, y los D. Pedro í.ezcauo; para Peúafiel á D. Juan García…</t>
  </si>
  <si>
    <t>Grase</t>
  </si>
  <si>
    <t>…D vt-tonio Pellicer; pidióles el Sr. gefe político noticia cir para que inspeccionasen el cadáver del que acababa de fallecer, y de cunstanciad:! de lo que hubies.-; y tomando eí Sr. Grase! la palabra re más que'se detallaba en4a. citada reiacion. firió, que habiendo procedido ai reconocimiento del marinero francés Habiendo procedido los facultativos al examen de este cadáver , re difunto , le habia encontrado pintado de amarillo, y que exam,na…</t>
  </si>
  <si>
    <t>Grases, Josef</t>
  </si>
  <si>
    <t>Josef Grases</t>
  </si>
  <si>
    <t>…ace en él mucho favor í los rusos. Han sido electos diputados A Cortes por la provincia de Cataluña Recuerda este párrafo las serias disensiones entre el gran visir y el los Sres. D. Josef Grases, coronel de artillería; D. Josef Luis Septien, capitán bajá, deseando el primero la paz y ei segundo la guerra; las ór hacendado en Ilnrta ; D. Pedro Surrá y Rui!, comerciante; D. Ra denes expedidas á los bajaes del Asia para que levanten doble número món Ada…</t>
  </si>
  <si>
    <t>Graves</t>
  </si>
  <si>
    <t>…sencia de S. M. acometidos 92 : salidos ó cucados 22 : convalecientes '65: muertos 66: El sábado por la noche llegó el Rey á su palacio de Carlstcn, acom existentes 345. pañado de lord Graves. -‘ De los: 12 salidos de !a casa de la Vireina, extramuros de la ciudad, De orden del Rey se ha hecho saber al mayor general sir Rpbertó han pasado ná la.de convalecencia, y el otro ha sido trasladado al Wilson que S. M. no tiene ya necesidad de sus servicio…</t>
  </si>
  <si>
    <t>Gravina</t>
  </si>
  <si>
    <t>…gimientos de guardias á los oficiales y sargentos que en orden participo á V. E. para su inteligencia y cumplimiento en la pirie ellos hubiesen entrado desde 5 de Julio de 1820 El cardenal Gravina correspondiente al ministerio de sii cargo; en el concepto de que con habia publicado en Palermo un edicto contra las sociedades secretas. Un esta fecha lo traslado á los indicados ordinarios para su ejecución en decreto del Gobierno de Nápoles mandaba que na…</t>
  </si>
  <si>
    <t>1040</t>
  </si>
  <si>
    <t>…era Se ha nombrado una junta de escrutinio para los eclesiásticos de la pasarse sin ella, y mas en circunstancias en que se oye quejar á todos Sicilia, y se compone del Excmo. Sr. cardenal Gravina, nuestro arzo sean de la opinión y del partido que fueren, de que hay agitaciones. ¿ bispo, de monseñor Balsamo, arzobispo de Monreal , y de monseñor verdad que los que las miran como una consecuencia del Gobierno re Trígona , juez de la monarquía. La junta q…</t>
  </si>
  <si>
    <t>…ente apoderarse de la plaza de Jaca; y que él se entendía, y que diciéndolo general de la Sicilia, el cual, después de haber prestado juramento en Blas... punto redondo! manos del cardenal Gravina, empezó inmediatamente á egercer sus Aunque todo esto tiene visos de ridículo, y con efecto en parte lo funciones. es , sin embargo los buenos españoles no pueden ver con indiferencia á INGLATERRA. estes fanatices trabajando en Ja ruina de su patria, mostrand…</t>
  </si>
  <si>
    <t>Graziosi, Pascal</t>
  </si>
  <si>
    <t>Pascal Graziosi</t>
  </si>
  <si>
    <t>…capital los que pudiesen servir para la .agrado. , conservación del buen orden, se accedió á ambas solicitudes. Después de algunas otras propuestas declaro el presidente que se El Sr. Pascal Graziosi ofreció una compañía de 81 voluntarios levantaba la sesión extraordinaria, y que se abría la junta preparatoria; prontos a marchar, y pidió los despachos para ios oficiales: se pasó .pero como no habia poderes nuevos que examinar, duró muy poco es esta solici…</t>
  </si>
  <si>
    <t>Gre</t>
  </si>
  <si>
    <t>…a, adonde era na duda en este particular, y opina debe accederse á esta solicitud» grande la concurrencia de los griegos. El de la especial de Hacienda, relativo á la solicitud de D. Gre gorio N., alcalde constitucional de Bilbao. La comisión es de parecer FQRTUQA1. que las Cortes pueden servirse mandar pase esta solicitud al Gobierno con recomendación. Lisboa zj de Junio.__Sesión del 1%. El de las de Agricultura y Hacienda unidas, relativo a…</t>
  </si>
  <si>
    <t>…a de Mesalongi, que estaba ocupada por los insurgentes. Zante la noticia de .a unión de la escuadra otomana coa la escuadra Alli se tuvieron noticias de que el bergantín uiletto , capitán Gre del bajá de Elgipto que había salido da Alejandría. gorio Marovich , qu- había sido apresacio por un corsario gris'¿o, es taba detenido en el golfo de 1 atrás; pero sm embargo en aquella misma Al “MANIA. noche fondeó el bergantín en larada de Mesaiongi, )’ di…</t>
  </si>
  <si>
    <t>Grego</t>
  </si>
  <si>
    <t>…, v se exigiese la responsabilidad á los infractores. jo AH parece haber recobrado aliento y energía desde su desgracia. A Tampoco hubo lugar á votar acerca de otra exposición de D. Grego los 80 años de edad manifiesta aun mas actividad que en la juven rio Luzuriagu, abogado, vecino de Salvatierra, en la que decía se le tud ; y mientras sus tesoros entorpecen hasta en el seno del Dfcan las habia aprisionado y seguido causo con pretexto de cons…</t>
  </si>
  <si>
    <t>Gregorio</t>
  </si>
  <si>
    <t>…res á la historia de la Iglesia y obispos de Pamplona justa guerra y por un solemne tratado había adquirido. Viéronse mul real y eclesiástica del reino de Navarra: su autor el Dr. D. Gregorio titud de actos de notoria injusticia, de manifiesta ambición, de pública Fernandez Pérez, cura de. S. Bartolomé de la ciudad de Jerez "líe lo* arbitrariedad , que daban á conocer que parte de las usurpaciones ege- Caballeros, acudirán á recoger el segundo tom…</t>
  </si>
  <si>
    <t>…ra de D. Josef Hilario N., cura de Sta. Cruz-de Teneri fuera de los términos regulares, pues podía suceder que muchas veces fe, para que se le permita egercer la abogacía: otra de D. Gregorio no lo advirtiese; y le parecía tanto mas duro, cuanto que se le hacia Fontaine, natural dé Francia, solicitando carta de ciudadano, y otra responsable en otro artículo-sí no designaba á la autoridad civil Jas ex de Doña Mariana Joaquina Castro de Lainez, viud…</t>
  </si>
  <si>
    <t>…a'esclavizar la Italia.. capital, y escribanía del número de D. Cristóbal de-Vicuña, se siguen Declararse contja los griegos ([que es el principio dé legitimidad de los. autos por D. Gregorio de la Haza , en concepto de apoderado de .Don Gobiernos absolutos) pudiera serle muy perjudicial al Gabinete ruso,: Francisco Arana, sobre reclamación de cinco vales de 150 pesos, crea porque chocaría abiertamente contra la opinión del pueblo, que no ción de…</t>
  </si>
  <si>
    <t>Gregorio, Amonio de</t>
  </si>
  <si>
    <t>Amonio de Gregorio</t>
  </si>
  <si>
    <t>…a. Si un sóida Jó ó un oficial, La comisión ordinaria de Hacienda presentó su dictamen acerca de prosiguió, por haber abandonado en tiempo de campaña su puesto tie la solicitud de D. Amonio de Gregorio, para que se le continúe pa ne que ser juzgado por aquellas leyes , :no merecerá lo mismo un hom gando la compensación que por los servicios de su padre el marques de bre que trata de destruir la felicidad de 25 millones de habitantes! Esquilache le fue señal…</t>
  </si>
  <si>
    <t>Greí</t>
  </si>
  <si>
    <t>…n las sóbre la dotación de la Reina, y se había decretado su impresión. En secretarías del Despacho, los tribunales &lt;Scc. .. • la sesión de lá misma, celebrada el 19, pronunció el lord Greí un elo El Sr. Romero Alpuente fundó su indicación en la necesidad que cuentísimo y ¡enérgico discurso dirigido á que se remitiesen á la Cáma tenían las Cqrtes de saber lo que encella se proponia, y de valerse ra copias ó extractos de las comunicaciones que ha…</t>
  </si>
  <si>
    <t>Grenviiie</t>
  </si>
  <si>
    <t>1829</t>
  </si>
  <si>
    <t>…de Gadoz. que iba á'publicarse de oficio el nombramientu de los nuevos, y que fie leyeron y mandaron quedar sobre la mesa las adiciones hechas estos serán Mr. Canning, Mr. Pee! y lord Grenviiie. á la tarifa del arancel general por las comisiones de Hacienda y Co n Las noticias recibidas en Londres de fit. Pctcrsburgo alcanzaban mercio reunidas. hasta el 19; segim el Coserier son impottantes, porgue desmienten posi Se aprobó ei dictamen de la comisió…</t>
  </si>
  <si>
    <t>Grenville</t>
  </si>
  <si>
    <t>…odos mis deseos, concediéndome carta un noble par que tenemos todavía la felicidad da ver entre nosotros (el de ciudadano de Noruega, y admitiéndome al servicio militar del reino. lord Grenville); y hé oído siempre con mucha deferencia las opiniones Habiendo nacido en Suecia, fui separado de mi patria por un conjunto de estos dos ¡lustres políticos en favor de los católicos. Pero en todas de circunstancias extraordinarias. Conseguí sin embargo la ciu…</t>
  </si>
  <si>
    <t>…ími siderarse como préstamo, y no como subsidio, lo que era fácil probar tes aun al bien; por lo cual confesaré, si se quiere, que según el esta por medio de la correspondencia de lord Grenville, lord Stewart y do de cada orden social podria haber cierto grado de instrucción, el Mr. Gordon, y también por las palabras de Mr. Pitt, el cual habia Cual alcanzando á una porción de ciudadanos demasiado numerosa ,y®declarado en la Cámara que este era un emp…</t>
  </si>
  <si>
    <t>Greúx, Jaime</t>
  </si>
  <si>
    <t>Jaime Greúx</t>
  </si>
  <si>
    <t>…os que se seguirían á la causa pública de conceder el -pase, á las bulas -bulas; ¡pero como los Sres. diputados de Cataluña, que creyeron h&amp;bia in &lt;iel reverendo obispo de Menorca D. Jaime Greúx , electo, arzobispo de conveniente en conceder el .pase á las bulas para el arzobispo. electo ¡dé -Tarragona. La comisión, ratificando: el .dictamen dado; en el año pasado .Tarragona, hicieron una representación á las Cortes, estas no pudieron con motivo' de…</t>
  </si>
  <si>
    <t>Grey</t>
  </si>
  <si>
    <t>…e este era en aquel momento el estado de este pobre y des vas medidas inconstitucionales que se intentan contra la graciado enfermo, cuando llegó á manos del mencionado Reina.” El lord Grey se presentó en la junta, y apoyó la facultativo el manifiesto del Dr. D. Salvador Gosalbes ; y representación en un discurso, en que se esforzó en pro viendo trataba de unas- fumigaciones antisifilíiicas , y refle bar la inocencia de la Reina después de las d…</t>
  </si>
  <si>
    <t>…a la paz; paro hubiera deseado mucho mas que en un asunto tan grave hubiese quedado intacto el ho PORTUGAL. nor de la nación inglesa &amp;c. El lord Liverpool cantestó al discurso del conde Grey; Lisboa jo de Enero. y después de haber impugnado cuanto alegaba acerca de los negocios interiores, oponiéndose á la exposición que había Sesión de Cortes del 2p de Enero. de dirigirse á S. M., llegó al punto de las relaciones exrran- Se empezó la sesión á la…</t>
  </si>
  <si>
    <t>…hubiesen bien á los interiores. No le había causado extrañeza que el humillado hasta tal grado, que supiesen la existencia del artí lord Liverpool no entendiese lo que su amigo el conde Grey culo, y no hubiesen representado contra él en tiempo opor-“ queria decir cuando habló de im sistema de Gobierno; turto. De consiguiente era de su deber el hacerlo actualmen pues era imposible que tuviesen idea alguna del significado te como aliados del Austri…</t>
  </si>
  <si>
    <t>…AS EXTRANGERAS. hallará una relación exacta del sistema político que ha se guido nuestro Gabinete respecto de los negocios de Nápoles.” SUECIA. En contestación á otra pregunta del conde Grey, de claró el lord Liverpool: «Que la nota que iba á poner so Stockolmo 5 de Eneros bre la mesa desmentiria absoluiamente las suposiciones , ba Uno de nuestros periódicos dice que corren voces de jo las cuales las corres de Viena, Petersburgo y Berlín hu que e…</t>
  </si>
  <si>
    <t>…820, dirigida por el Gobierno ingles mara de los Comunes ha señalado el dia de hoy para deli á las cortes exirangeras. berar sobre la parte del discurso del Rey que trata de su El lord Grey manifestó que hubiera'deseado tener igual actual situación, cree S. M. deber declarar que agradece ex mente una copia de la declaración de las cortes extrangeras traordinariamente la condescendencia de que ha usado S. M., sobre los asuntos de Nápoles, á que h…</t>
  </si>
  <si>
    <t>…ticiones para que se insertase 6102 rs. , en la liturgia el nombre de la Reina. En la sesión del dia 5 Otra casa inmediata, núm. 21, en 3485 rsi de la Cámara de los Pares presentó lord Grey una petición Otra casa núm. 2 en las casillas del Fedroso, en 44,514 de los fabricantes de Birminghan solicitando se tomasen en reales. consideración las causas de la miseria que les aflige, y se Otra casa núm. 5 plazuela de las Maravillas, en 26,547, valió d…</t>
  </si>
  <si>
    <t>…, los di Fueron interesantes los debates que hubo ayer por la no ferentes cuerpos del egército austríaco están dispuestos para che en. las dos Cámaras. En la de los Pares-presentó lord Grey la «cerra, y solo esperan órdenes para ponerse en marcha. una petición de los fabricantes de Birmingham, solicitando • *E1 príncipe de Scilla, ministro de Ñapóles en Madrid, se tuviesen presentes las causas de la miseria que padecen.'-Su que salió últimamente…</t>
  </si>
  <si>
    <t>…la marcha del egército austríaco sobre sesión inmediata. Nápoles hacia esperar con ansia la propuesta que debía ha El Sr. Borges -Carneiro dijo, que convendría se divi cer ayer el lord Grey, relativa á la conducta de nuestro Go diesen los asuntos de este ministerio, porque su multitud im bierno en este asunto; pero cuándo lá curiosidad estaba mas pedia el pronto despacho, y una sola persona no podih en su punto., dijo el lord R'osslyn que no sie…</t>
  </si>
  <si>
    <t>…hizo una Constitución luego que volviese á su capital. memoria de una nota del príncipe de Metternich, publicada cuando su Por último resultado la Cámara desechó la propuesta del lord Grey. cedió la revolución de España , de una circular de la corte de Rusia , y en fin de un artículo de la gaceta de Berlin, en el que se decia que no ioxtugai. se debía tener comunicación alguna con el Gobierno de Nápoles, por que eso seria reconocer la rebelión,…</t>
  </si>
  <si>
    <t>1246</t>
  </si>
  <si>
    <t>…los una media oposia'cnVPl Chrouicle de Durham , periódico que está bajo montes mas escarpados. Nuestro corresponsal que reside en Cronstadt, los auspicios de Zvlr-.Lambtor. y del lord Grey, contiene un artículo, en muy cerca del teatro de estas ocurrencias, nos exhorta á que desconfie que se rebate con vigor está insinuación del Times. » ¡Cómo pues han mos de todo cuanto digan los diarios austriucos sohre las últimas accio podido sacarse semeja…</t>
  </si>
  <si>
    <t>i8oo da de lord Grey. Todos se acuerdan de que este ilustre par fue desde el Día 13 hombres 5: mugereso: niños t: niñas 3. Total 9. principio de lá 'révófucion de Francia uno de sus mas elocuentes defen ¡Día 14 hombres 5 : mugeres 1: niños o: niñas 1. Total 7. sores, el cuál'siem…</t>
  </si>
  <si>
    <t>Griteni, Domingo</t>
  </si>
  <si>
    <t>Domingo Griteni</t>
  </si>
  <si>
    <t>…abiéndose tragado las olas hombres, armas y navios, Art. 2.0 «Esta comisión se compondrá de los siguientes indivi Genova 7 de Abril. duos : el consejero de la suprema cancillería, D. Domingo Griteni, pre Hemos recibido varias proclamas del general en gefe de la liga sidente: el caballero D. Gregorio Letizia, presidente de la G. C. civil griega , de las cuales es la mas reciente laque sigue: de Ñapóles: el barón D. Genaro Bammacaro, juez de la G. C. civil…</t>
  </si>
  <si>
    <t>Grosvenor</t>
  </si>
  <si>
    <t>…nida de este negocio no cierra la puerta á la revista confianza del Rey y del pueblo. de esta causa. Los buenos patriotas desean con ansia que En la asamblea de Ghester propuso el lord Grosvenor llegue esta época , porque tienen tanta confianza en la sabi una exposición modificada con el mismo objeto; pero el duría y moderación de nuestros representantes, y han da gran scheriff no quiso proponerla. Declaró, sí, que quedaba do estos tales pruebas de e…</t>
  </si>
  <si>
    <t>Gsbaldon, Tomas Matías</t>
  </si>
  <si>
    <t>Tomas Matías Gsbaldon</t>
  </si>
  <si>
    <t>…s , por egempio acaba de verse en el patriota comandante de la milicia nacio que se ha entregado únicamente á tus taítntos para obtener de ia Puerta nal de ¡a Morirla del Palancar D. Tomas Matías Gsbaldon, oficial re garantías, que esta as se bada seguramente muy dispuesta a otorgar. tirado de la brigada de carabinero» que noticiera» llel robo,queseó el 7 del presente hicieroniáiMatSasIMorell, natural dí Va'encia, eo.él si ITALIA. tio de los barrancos de Aiarc…</t>
  </si>
  <si>
    <t>Gsñcdo</t>
  </si>
  <si>
    <t>…ue con Se continuó leí discusión del plan de Hacienda. las facultades necesarias recorra de continua los pueblos donde ¡¡aya re Se mandó insertar en el acta et voto particular del Sr. Gsñcdo, gistro, reconoza ios libros de éi, y dé cuenta y razón, y ios oficios de contrario á la aprobación del art. 308 del dicho plan. los escribanos, pleitos y protocolos, para asegurarse dei cumplimiento Se leyeron varios artículos nuevos que la comisión presentó…</t>
  </si>
  <si>
    <t>Gu, Josef Marcos</t>
  </si>
  <si>
    <t>Josef Marcos Gu</t>
  </si>
  <si>
    <t>…sma, pláticas morales y panegíricos del ex-jesuita D. Geróni el 28 de Febrero de los plenipotenciarios de las cortes de Italia; nom mo Trento, traducido del toscano al español por D. Josef Marcos Gu bramiento del príncipe Rutfo por el Rey Fernando r para la embaja tiérrez , en cuatro tomos. Los sermones de Trento , por sus grandes r úti da de Viena; nombramiento del Sr. Pozo di Borgo para la embajada les asuntos, por sus vivas y terribles sentencias, por…</t>
  </si>
  <si>
    <t>Gu, JqsefJMaría</t>
  </si>
  <si>
    <t>JqsefJMaría Gu</t>
  </si>
  <si>
    <t>…otros, sin-tener en mi marcha otro-sendero que escoger que el que — El general barón de Frimont, comandante en gefe del egército me deja trabado'mi sabio y benemérito i antecesor -D. JqsefJMaría Gu austríaco de Italia, hizo á sus tropas la proclama siguiente: - tiérrez de Teri». - ■ - -■ •-■.■i: cr ; ■ «El egército, cuyo mando superior me ha encargado S. M., va á - Magnánimos eíi di triunfo de-la* libertad £ihdulgerites/con vuestros . pasar las frontera…</t>
  </si>
  <si>
    <t>Gu-rreiro</t>
  </si>
  <si>
    <t>…inario a Dublin con pliegos para S. M. , dándole parte de eran los que debian concurrir á las elecciones. este acontecimiento, y otro ai lord .idmouth, noticiándole lo ocurrido El Sr. Gu-rreiro desaprobó el que se excluyesen de ser diputados en la iglesia de Colchcstcr después que ei doctor Lushmgton, Mr. Wii- los regulares, y no los de las órdenes militares, cuando creía que eran de y otras personas pusieron sobre el féretro de la Reina la inscripc…</t>
  </si>
  <si>
    <t>Guadalajara, Borges Car-</t>
  </si>
  <si>
    <t>Borges Car- Guadalajara</t>
  </si>
  <si>
    <t>…que los milicianos nacionales empiezan á te de Ñapóles. . unirse al clero (de Toledo), y que el duque del Infantado se halla en En la discusión que hubo sobre este asunto dijo el Sr. Borges Car- Guadalajara al frente de los guardias.de Corps, lo cual ha derramada neiro que estaba bien persuadido de que habría siempre la mejor ar el espanto entre los liberales. monía entre el cuerpo legislativo y el Gobierno,-como se debia infe A los Sres. Copons y Morillo los po…</t>
  </si>
  <si>
    <t>Gualdo</t>
  </si>
  <si>
    <t>…esta corporación debe atender principalmente al fomento de Ja marina tes navales y contrabando de guerra.” militar. En efecto esto de » las tarifas de les derechos que hayan de El Sr. Gualdo expuso: No solo me opongo á este artículo, sino «exigir los cónsules y vice-cónsules en los puertos extrangeros” es también me opongo al título que dice « de la jurisdicción de mari muy ageno del almirantazgo, y solo corresponde á la Hacienda, ó mas na &amp;c.” ,…</t>
  </si>
  <si>
    <t>Guarda-se-</t>
  </si>
  <si>
    <t>…a suposición mas irritante. CAMARA DE IOS DIPUTADOS____ Sesión del En fin después de haber pronunciado una vehemente filípica contra En la sesión de este dia subió á la tribuna el ministro Guarda-se- los ministros, acusándolos de que querian atentar contra la Carta con Jlos, y propuso dos proyectos de ley; el primero contcnia varias dis una mano sacrilega, exponiendo al mismo trono á su ruina , acabó su posiciones adicionales á las leyes relativas al modo…</t>
  </si>
  <si>
    <t>Guarda-sellos</t>
  </si>
  <si>
    <t>…Mr. Brun de Villeret, es que ia vida , el honor y la lir hartad de los ciudadanos están á discreción del poder. Se mandó pasar Sesión de Cortes del gi de Marzo. dicha petición al ministro Guarda-sellos. Después de haberse leído algunos dictámenes de las comisiones , el También es digna de notarse otra del Sr. Joly, cura ecónomo de Sr. Castello Branco presentó el siguiente proyecto de decreto , dividi Cour-sur-Aube, en que pedia que los ayuntamientos y las v…</t>
  </si>
  <si>
    <t>…ro de poco tiempo cuanto ha ocurrido este punto en 1S19, manifestó que lodos los pareceres, sin exceptuar en orden á estos acontecimientos. Por ahora solo podemos decir con el del ministro Guarda-sellos, fueron á favor de la libertad de los pe referencia á las últimas noticias de Bucharest que reina en aquella ciu riódicos, considerándola como parte integrante y necesaria de la liber dad una perfecta tranquilidad. El príncipe Callimachi, caimakan del nuevo h…</t>
  </si>
  <si>
    <t>…os; la escena agitada de los dos mundos parece que ro en todo lo restante de él guardó un profundo silencio. no hice mas que repetir en muchos lugares diferentes nuestra propia El ministro Guarda-sellos pidió al instante la palabra, y habló en historia , y representarnos nuestros errores para evitar que los volvamos defensa del ministerio; pero fue murmurado é interrumpido varias ve á cometer. ces por la derecha; y por último , cuando quiso disculpar á los m…</t>
  </si>
  <si>
    <t>Guardasellos</t>
  </si>
  <si>
    <t>…tición de varios mecineses, que deseaban ir i una clase tan interesante de la sociedad.-En fin, el relator demostró que las fronteras. era falsa, y propuso que se mandase pasar al ministro Guardasellos En la misma sesión aprobó el Parlamento los decretos siguientes: (de Gracia y Justicia) para qué Hiciese sobre este asunto las averigua - í.° - Considerando (como lo han demostrado las pasadas invasio ciones que fuesen necesarias; y asi se acordó. nes -del reino…</t>
  </si>
  <si>
    <t>Guarinos, Juan Sempsre y</t>
  </si>
  <si>
    <t>Juan Sempsre y Guarinos</t>
  </si>
  <si>
    <t>…ros, y está provista de todo io necesario para su mayor comodidad. su precio 6 rs. Para tratar da los demas particulares se escribirá á los dueños de la fra Noticias literarias de D. Juan Sempsre y Guarinos, en que se re gata en Burdeos los Sres. Lestapis , hermanos. fiere la carrera literaria , y se numeran sus escritos, de los cuales algu nos son conocidos ya en el dia , con otras varias particularidades relati VARIEDADES. vas á su vida política &amp;c. Véndese en…</t>
  </si>
  <si>
    <t>Gudal, Mariano</t>
  </si>
  <si>
    <t>Mariano Gudal</t>
  </si>
  <si>
    <t>V3D, Juan Sánchez, D. Mariano Gudal y D. Cayetano Puch, los cuales » Un reglamento particular determinará todo lo demas concerniente 'dieron pruebas nada equívocas de su aplicación y. aprovechamiento; y ala completa organización 'deestas '.u'ríiversidádjés.* erí señal de lo gratas que eran á la sociedad sus tarea…</t>
  </si>
  <si>
    <t>Guell, Antonio</t>
  </si>
  <si>
    <t>Antonio Guell</t>
  </si>
  <si>
    <t>CORTES. do por el presbítero D. Antonio Guell, cura párroco de un pueblo del partido de Carbajales, en lá provincia de Zamqrai 1 ’ ■„ .. PRESIDENCIA DEL SEÍÍOR. CUESTA. A las'comisiones Eclesiástica y de Hacienda se tnatidó'jSS&amp;r'iiina solicitud del ayuntamiento constitucional de Colls, en Aragón , pidie…</t>
  </si>
  <si>
    <t>Guer, Francisco</t>
  </si>
  <si>
    <t>Francisco Guer</t>
  </si>
  <si>
    <t>…quienes recoge, Vasora, en Burgos-D. Miguel Pedrorena, en.Cádiz D. Josef.de,Ma rán cartas de pago intervenidas por los contadores. ría ,&lt;¿n Calahorra D. Miguel Abadía, en Canarias D. Francisco Guer . 10. Las lincas que estuvieren arrendadas continuarán por todo el ra Betcncour, en Cartagena -D. Bruno Egea, en Ceuta D. Francesco' presente año; y para el siguiente de 1822 se sacarán á nueva subasta, Iznardi , en Ciudad-Rodrigo D. Pedro Nicasio Domínguez,…</t>
  </si>
  <si>
    <t>Guer-, Moreno</t>
  </si>
  <si>
    <t>Moreno Guer-</t>
  </si>
  <si>
    <t>…glamento, para tomarla en1 consideración. No habiéndose que en este caso ó seria necesario que se ■aumentaran los gastos, ó se dado por satisfechas las Cortes con la respuesta del Sr. Moreno Guer- han de rebajar las rentas á los RR. arzobispos y obispos que en el día ta, se escribió la proposición que habia dicho contra el plan de Ha disfrutan con exorbitancia. La comisión-ha calculado la suma de 310 cienda; y habiéndose leído, quedó pendiente para otr…</t>
  </si>
  <si>
    <t>Guerra</t>
  </si>
  <si>
    <t>…ser que á juicio de las Se aprobó el art. 85, que deciar Cortes convenga agregarse algún otro diputado.” 85. Para facilitar el curso y despacho de los negocios en quede- Otra del Sr. Guerra al 86, que dice: » Que se nombren dos co ben entender las Cortes se nombrarán, comisiones particulares , ‘que misiones mas; á saber: de salud pública y de biblioteca.”-- ■ los. examinen é instruyan hasta ponerlos en estado dé-resolución, la No se admitió á di…</t>
  </si>
  <si>
    <t>…ión se mandó pasar á la comisión especial de Hacienda. existe una proposición del Sr. Alvarez Guerra, y otra delSr. Moreno Se concedió el permiso que solicitaban D. Juan Sahagun , juez Guerra , relativas á dichas concesiones. , electo de primera instancia del partido de Nerja, en la provincia de El Sr. secretario Gaseo dijo que íe era muy sensible no poder dar Málaga, y D. Antonio N., juez electo de primera instancia del par cuenta ahora mismo de…</t>
  </si>
  <si>
    <t>…spacho de Gracia y Justicia dice al Sr. kque se hubiesen introducido clandestinamente ó fraudulentamente.” eretario de la Gobernación de la Península desde el Real sitio déS. LoEl Sr. Guerra dijo que en este artículo se imponían una multitud renzo con fecha de ayer lo que sigue : de gravámenes á todas las clases de los ciudadanos, y que sedaba tan » SS. MM. y A A. continúan sin novedad en su importante salud.” ta libertad á los empleados de los r…</t>
  </si>
  <si>
    <t>…de los punto» que ha* una cosa del momento, para la cual no se necesitan autos; y que inme bia indicado. diatamente que se aprehendiese género de esta clase se repartiese entre El Sr. Guerra (D. Basilio) hizo varias reflexiones acerca de Ja in los aprehensores, y se les estimulase mas. También creo que se debe qui dependencia del registro marítimo y terrestre; á loque contestó el se tar la parte del artículo en que dice que se exceptúa el pago de…</t>
  </si>
  <si>
    <t>…los identi &lt; El Sr. Cepera hizo varias observaciones acerca de lo que había ma fica, y quedo» pone en 'unimismo caso, la cual es la aprobación del de nifestado anteriormente; y el Sr. Guerra (O. josef Basilio) manifestó lito. En los receptadores no hay esta circunstancia, y en muchas oca que le parecía haber contradicción entre este artículo y los anteriores. siones ¿ lejos dé dar suconsentimiento ai delito, lo detestan y aborrecen. Se declaró es…</t>
  </si>
  <si>
    <t>Guerra', Moreno</t>
  </si>
  <si>
    <t>Moreno Guerra'</t>
  </si>
  <si>
    <t>…ara su do se le diga, ni creo que se opone en nada á la Constitución. Cuando discusión el 16 del corriente. ha habido un inspector favorito de cualquier arma hemos visto que el El Sr. Moreno Guerra' dijo que en la circular del ministerio de cuerpo de su mando ha tenido mas distinciones que los otros: y para Hacienda de 9 del corriente mes, relativa á aduanas y contraregistros, evitar estas preferencias, y que los cuerpos marchen á un tiempo y á um encont…</t>
  </si>
  <si>
    <t>Guerra, Aivarez</t>
  </si>
  <si>
    <t>Aivarez Guerra</t>
  </si>
  <si>
    <t>…lo hubiera hecho presente tradas. Las-obras que hay que hacer son muy pocas, atendiendo á sus del mismo modo. cam,nos, porque.ya he dicho que los tiene bastante buenos; de modo El Sr. Aivarez Guerra añadió que no podía haber sido nombrado que todo lo que hay que hacer en Aragón es cosa tan corta que no ne- el Sr. de Garay por ser consejero de Estado; pero que liabia asistido á c;sita la permanencia de dos diputaciones provinciales y dos gefes po- la comi…</t>
  </si>
  <si>
    <t>Guerra, Aloreno</t>
  </si>
  <si>
    <t>Aloreno Guerra</t>
  </si>
  <si>
    <t>…RESIDENCIA SE1 SEÜOX CUESTA. aprobó. , Se continuó la discusión sobre el pago de intereses de la deuda de Sesión del 18. Holanda. ' ~ . Se leyó y aprobó el acta de la anterior. El Sr. Aloreno Guerra dijo que había:un proverbio que decía: que Se mandaron imprimir unas observaciones acerca de las ordenanzas hay personas á quienes el bien hace mal; y que lo propio sucedía con de marina , dirigidas á las Cortes- por un oficial de aquel cuerpo , y pre el asun…</t>
  </si>
  <si>
    <t>Guerra, Alvarez</t>
  </si>
  <si>
    <t>Alvarez Guerra</t>
  </si>
  <si>
    <t>…a muy poca ó ninguna diferencia de Hacienda el proyecto de ley sobre venta de fincas del Crédito pú entre el abuso de la libertad de imprenta y el de la palabra , por blico por el Sr. Alvarez Guerra. que aun cuando no son iguales en su extensión, puede ser mayor el de El Sr. Alvarez Soromayor presentó una "felicitación que dirigía á la palabra en cuanto al efecto , porque esta por lo regular se pronuncia las Cortes el ayuntamiento constitucional de I.uce…</t>
  </si>
  <si>
    <t>…rcio reunidas presen dó pasar á la comis/on donde estaba el proyecto que sobre lo mismo taron su dictamen acerca de las diferentes representaciones dirigidas á había presentado el Sr. Alvarez Guerra. las Cortes por el comercio de Santander, diputación provincial de la Tambieñ'se dió cuenta de otra exposición del alcalde constitucio misma, y otras varias corporaciones y personas particulares de las pro nal y un regidor del lugar de Novallas, partido de Ta…</t>
  </si>
  <si>
    <t>…s y después de una corta'dis sideración , y que la mandasen pasar á la misma comisión en donde cusión se mandó pasar á la comisión especial de Hacienda. existe una proposición del Sr. Alvarez Guerra, y otra delSr. Moreno Se concedió el permiso que solicitaban D. Juan Sahagun , juez Guerra , relativas á dichas concesiones. , electo de primera instancia del partido de Nerja, en la provincia de El Sr. secretario Gaseo dijo que íe era muy sensible no poder d…</t>
  </si>
  <si>
    <t>…l manifestaba que la Nación como estaba cargada de empleados, rta;. potencia prepondere demasiado, y se alce con el mando del Medi- -según lo. habia manifestado con tanta razón el Sr. Alvarez Guerra en _texráneo.„., las anteriores legislaturas, y siendo necesario por consiguiente el dis -, „”ií&gt;egun avisos-de.Francfort las condiciones prepuestas por la; Rusia minuir su número eu cuanto fuese dable , primero no admitiendo otros después de la salida de ¡su…</t>
  </si>
  <si>
    <t>…de en el ramo que manda ha dado á Venezuela, que vió fén 1813 y relación á Ja denominación de las provincias. 1818y dos emigraciones en el mismo puerto' menos numerosas, menos El Sr. Alvarez Guerra dijo : Todas las-objeciones qué se han he urgentes; .pero en las cuales fueron escandalosos el desorden y la de cho anteriormente sobre 1% economía las.ha deshecho el or. Villa; sin predación. El comandante Laborde ha gustado el placer de proteger á embargo d…</t>
  </si>
  <si>
    <t>…gamos ademas que esta provincia terrea zoo pueblos, y, demas empleados que son consiguientes. » que cada año envíen un solo comisionado á la capital Zaragoza para: También hizo el Sr. Alvarez Guerra un argumento relativo á la las cuentas ú otros asuntos: á este precisamente se le d-be dar alguna economía , y fue que el Gobierno tenia medio de eludir las buenas gratificación á mas de abonarle los gastos, y entonces ya ascienden á disposiciones de las Cort…</t>
  </si>
  <si>
    <t>…xista esta, Badajoz se ' El Sr. Rodríguez de Ledesma leyó varios trozos del dictamen de mantendrá en el mismo pie que hasta ahora. fa’dótríision, y asimismo el voto particular del Sr. Alvarez Guerra, y Con respecto á las circunstancias de diferencia que hay entre Méprosiguió leyendo : » La comisión ha establecido por punto general que. xida'y Badajoz, debo manifestar que esta solo tiene un edificio para ias conserven la calidad dé capitales ios pueblos q…</t>
  </si>
  <si>
    <t>…nes aenerales , y que el de las islas Canarias no había residi comisión el qué no haya hecho mérito de ella. do nunca en Palmas, sino en Sta. Cruz de Tenerife; y que con respec El Sr. Alvarez Guerra dijo: Desde ahora manifiesto á las Corte* to á lo que habia manifestado el Sr. preopinante sobre el clima de que si vueive el dictamen á la comisión, no se adelantará mucho mas. Sta. Cruz de Tenerife no encontraba razón para que hubiese una di La comisión ha…</t>
  </si>
  <si>
    <t>…rtes extraordinarias se ocupen en el nuevo arre blar al Congreso. - . glo y organización del Crédito públicoc:. En cuanto al segundo digo que mientras, el Congreso no proporcio El Sr. Alvarez Guerra dijo queda comisión de visita del Crédito ne al Gobierno la cantidad en metálico suficiente para recoger la mo público, compuesta de dos individuos, y nombrada en la legislatura pa neda que circula, los pagarés ó billetes que propone la comisión será Ja sada…</t>
  </si>
  <si>
    <t>…l caso sacar pallólo, de escás,fincas:, y libertar- &gt; aprobarse el dictamen de la comisión. ; - ,, loS.d.el p:|gci de 1 5 Ó 2.01 oiifijories; porque bien .-nitradono hay' nadie El Sr. Alvarez Guerra dijo que tío podía mirarse la excepción de ' en el mundo que teniendo en su poder era cantidad-consideribtc ,. pan que se trataba como un privilegio , porqué no puede decirse que hay gase sus deudas, y no gastaseiénscomer. Con Tespecto al precio, del pa tal p…</t>
  </si>
  <si>
    <t>Guerra, Andrés Alvarez</t>
  </si>
  <si>
    <t>Andrés Alvarez Guerra</t>
  </si>
  <si>
    <t>…o. y asi se verificó. A las comisiones de Hacienda y Crédito público se mandó pasar El Sr. ministro de la Guerra dijo que antes de aprobarse este distri una memoria presentada por D. Andrés Alvarez Guerra, relativa él to se debia determinar el número de distritos que debía haber en la estado del Crédito público; y una consuita de la junta nacional del Península. mismo, relativa a la renovación de vales. Su capital Vailadolid. Aprobado. A la comisión de Divisió…</t>
  </si>
  <si>
    <t>Guerra, Basilio</t>
  </si>
  <si>
    <t>Basilio Guerra</t>
  </si>
  <si>
    <t>…mi concepto, ur.a demostración se mandaron imprimir las correcciones que se habian hecho. ' matemática, á pesar de lo que digan los Sres. que ia constituyen Estos Entró á jurar el Sr. Basilio Guerra, cuyos poderes fueron aproba creen que solo será de 800ÍS á i.coo,ooode reales'la diferencia entre Jos dos en la sesión de ayer; y acto continuo el Sr. Echevarría leyó por" gastos de ¡a división actual y la que se propone. Sin embargo, cada una primera vez el…</t>
  </si>
  <si>
    <t>…erva esta direc con la de Sevilla. Se leyó el mensage de S. M. de 25 da Noviembre último á peti± ción general que je ejecutan con la mayor publicidad en los cafés y otras cion del Sr. D. Basilio Guerra; é igualmente los arts. 2,4, 5 y 15 partes loterías de cartones en toda su extensión , fomentadas y sostentdel decreto de 24 de Marzo de 1813a petición del Sr. A:puente. -das por el excesivo lucro que sacan de ellas los que han reducido tan , Se declaró el pu…</t>
  </si>
  <si>
    <t>Guerra, Fernando</t>
  </si>
  <si>
    <t>Fernando Guerra</t>
  </si>
  <si>
    <t>…nfantería de Murcia, que cumplimiento. Madrid 21 de Junio de 1821. está con licencia ilimitada; D. Antonio María Orlando, subteniente de infantería, y del provincial de Sevilla, y D. Fernando Guerra, subte En cumplimiento de lo prevenido en la Constitución y en el re niente de artillería nacional. glamento para el gobierno interior de ks Cortes, se ha instalado el i.° de Julio la Diputación permanente de las ordinarias del presente año Madrid Miércoles 4…</t>
  </si>
  <si>
    <t>Guerra, Francisco de Bustamanté y</t>
  </si>
  <si>
    <t>Francisco de Bustamanté y Guerra</t>
  </si>
  <si>
    <t>…ten la autoridad pública, y ponen á los gar de Ontaneda, valle deToranzo, en la provincia de Santander, por depositarios del poder en los mas duros y terribles conflictos. El Rey, D. Francisco de Bustamanté y Guerra, vecino de dicho puebló, á quien cuyo primer deber es la conservación del orden público , no ha po deben derigírse ios aspirantes con título é informes: la dotación es de dido menos de prever que tales podrían ser los resultados de la impre 500 ducados anuale…</t>
  </si>
  <si>
    <t>Guerra, Gabriel</t>
  </si>
  <si>
    <t>Gabriel Guerra</t>
  </si>
  <si>
    <t>…ej y buques. - : fundada en la parroquia de S. Pedro de esta ciudad por'Doña María Art. añadido. « En cada departamento habrá un oficial de cual Salvatierra en nombre de su marido D. Gabriel Guerra de la Bolsa,’ quiera de las clases de almirantes, qué desempeñará las funciones que Juan de Salvatierra y Juan Peña de la Bolsa: por auto dictado en 10 hasta ahora han desempeñado los capitanes genérales en 1¿ forma queT del corriénté por dicho señor sé'ha ma…</t>
  </si>
  <si>
    <t>Guerra, Josef</t>
  </si>
  <si>
    <t>Josef Guerra</t>
  </si>
  <si>
    <t>…: Don por servicios constitucionales. Domingo Gijon y Vaca , id.: D. Josef Palacio, id.: D. Tomas Ibañez, El Sr. presidente dijo que estando ya casi impresa la Constitución, id. : D. Josef Guerra, id. : D. Diego Pulido, id.: D. Feliciano Manse iba á distribuir muy pronto, y debefia tomarse en consideración en silla, ¡d.: D. Antonio Peran Moya, subteniente: D. Miguel Gargallo, todrf la semana próxima, á fin de que pudiese empezarse su discusión id.: D.…</t>
  </si>
  <si>
    <t>Guerra, Juan</t>
  </si>
  <si>
    <t>Juan Guerra</t>
  </si>
  <si>
    <t>…cia, los per cance aunque los siguieron de dia y de noche por diferentes sigan en todos sentidos. puntos, y solo supieron á ¡a mañana siguiente que los la Acosado por todas partes D. Juan Guerra, natural de drones habían pasado el Geni!. Algarrobo, espitan de la compañía fija de Velez-Málaga, En el 7 de Enero el alcalde cortsüruclcnel ce ¡a villa de</t>
  </si>
  <si>
    <t>Guerra, Juan Alvarez</t>
  </si>
  <si>
    <t>Juan Alvarez Guerra</t>
  </si>
  <si>
    <t>…Mariano-Mesa.rzCo- por una sociedad de agrónomos , y ordenado por el abate\ Rozier : tra mo decano del colegio de abogados Antonio González Caro , abogado ducido al castellano por D. Juan Alvarez Guerra, individuo en la cla fiscal de la Hacienda pública.=Cárlos de Cos , diputado provincial.— se de agricultura déla sociedad económica de Madrid: 16 tomos en 4.11 Francisco Martin , regidor. = Bonifacio Francisco Almonacid.=Como á 480 rs. en papel, 496 en rústic…</t>
  </si>
  <si>
    <t>Guerra, Manuel Martínez del Campo y</t>
  </si>
  <si>
    <t>Manuel Martínez del Campo y Guerra</t>
  </si>
  <si>
    <t>…cultivan tabaco en las mismas tierras del cardenal Bardují cié Azara, y de los auditores de la Rota romana, de realengo , que hayan recibido del erario ú censo perpetuo , también D. Manuel Martínez del Campo y Guerra , y D. Juan Francisco Mar continuarán pagando la cantidad estipulada en sus contratos en la mis_ co y Catalan , panuque se declaré que sus dignidades no están compren ma forma que las anteriores ; pero aunque el censo se haya establecido didas en el decreto d…</t>
  </si>
  <si>
    <t>Guerra, Moreno</t>
  </si>
  <si>
    <t>Moreno Guerra</t>
  </si>
  <si>
    <t>…nistros,- y que Se levantó la sesión á Jas cuatro. jv-v oídos, se determinase lo mas conveniente, reservándose la palabra para hablar entonces. ARTICULO X&gt;K OtlCrO. ' .. . .... El Sr. Moreno Guerra fue del mismo dictamen que el Sr. Cala trava , añadiendo que el discurso y oficio del Rey tenían bastante re El Rey se ha servido dirigirme con esta fecha el decreto siguientelación entre sí; y que bajo el supuesto de que en el i.° se indicaba „ Hallándose au…</t>
  </si>
  <si>
    <t>…de lo que las sobre las anualidades, y se habia presentado un proyecto de iey sobre Cortes quedaron enteradas. divisiones territoriales. Continuando la discusión pendiente dijo el Sr. Moreno Guerra que AkTicolo de oficio. . aprobaba el nombramiento de la comisión, no porque la patria estu viese en peligro &gt; sino porque su seguridad resultaría de los informes El Rey se ha-servido dirigir con fecha de 5 del corriente á D Ig que tomase lá misma comisión: q…</t>
  </si>
  <si>
    <t>…pto habia lugar á la formación de causa contra el Doña Agustina Zavala. . . Gefe político de Murcia. , - ,v A la de infracciones de Constitución se pasó una instancia del apo . El Sr. Moreno Guerra consideró' este.asunto corrí® uno de. los mas derado del ayuntamiento de Bilbao , enque solicitaba se le diesen (pa graves que podian presentarse á la deliberación de las Cortes , como ra sacar copia) algunos, documentos que obran en el expediente pro que en…</t>
  </si>
  <si>
    <t>…Toreno, Gutiérrez Acuña, otros recordados por el Sr. Gutiérrez Acuña , se trataria en una sesión Florez Esrrada y Zorraquin. . extraordinaria. Se leyó la siguiente indicación del Sr. Moreno Guerra : » Pido que El Sr. Oiiver continuó la lectura del proyecto á que dió principio la comisión de Bellas artes presente á la mayor brevedad su informe so en la sesión de ayer, ia que se suspendió para dar cuenta de un oficio bre variación de troqueles, para que…</t>
  </si>
  <si>
    <t>…e p: de Octubre en lii sente su dictamen;” la cual se mandó pasar a la comisión. . . audiencia territorial de Madrid en lugar de verificarlo,en la de Cataluña.. Se aprobó esta del Sr. Moreno Guerra: » Pido se .'declare que. ¡es A la.comisión de división (del territorio españolase pasó una ex Cortes en cuanto á la leyenda aprueban solo el nombre constitucional posición del ayuntamiento constitucional de. Lumbreras (en Navarra), del Rey; á saber: •&gt; D. Fe…</t>
  </si>
  <si>
    <t>…tas del Gefe se haga este repartimiento, ocupándose desde luego las diputaciones político superior de Yucatán pen que da cuenta-dé los sucesos ruidosos provinciales en esto.’- Del Sr. Moreno Guerra, que decía: „ Para evi ocurridos en la capital de aquella provincia en Octubre último, por ha tar los retrasos voluntarios ó verdaderos en el repartimiento de pro ber impedido Ta reunión de una sociedad patriótícá;¿'qiíé hábia tonudo pios y baldíos pido que p…</t>
  </si>
  <si>
    <t>…oviciado, en cuyo estado se en y Agricultura, pedia que esta verificara su informe á la posible breve contraban los cinco de que se trataba; y .en atención á que el primer dad. El Sr. Moreno Guerra manifestó que las comisiones solo se dete cabildo para acordar la admisión se habia celebrado en 23 de Enero de nían en los medios de suplir aquella contribución , para lo cual se 1820, el segundo acerca del número que debía elegirse en 28 de Fe necesitaban 3…</t>
  </si>
  <si>
    <t>…habiendo marivfesláüó el Sr. presidente y else- otra vez al Gobierno. - ■ ñor Gaseo que el artículo'del réglanientó' dé las Cortes prefijaba el Se leyó la siguiente indicación del Sr. Moreno Guerra, que poco "íióniero de ¡ndiv-iduós-que la habían de componer, 110 Hubo lugar á la después retiró; » Para evitar tan odiosa discusión , pido que se permita indicación del Sr. Toreno. ' , ; al Sr. obispo de Tarazona salir de España para Roma ó para otra parte.”…</t>
  </si>
  <si>
    <t>…Leído este á petición del mismo Señor sustituyendo á ia palabra ,,deberá” estotra ,,podra,” á propuesta del Tapia, dijo ser bien claro que ia ley constitucional quiso poner á los Sr. Moreno Guerra.. diputados en una absoluta independencia de los tribunales, previnien Se aprobaron asimismo los artículos siguientes: do que fuesen juzgados por individuos del mismo Congreso, lo cual no - 78. El presidente: y los cuatro secretarios calificarán la clase de n…</t>
  </si>
  <si>
    <t>…e hallan, respecto de los fondos de propias con los créditos á Rey invertía sus productos.” su favor por suministros hechos á tropas nacionales y francesas. Se concedió permiso al Sr. Moreno Guerra para acercarse al Go A la de Instrucción pública se pasó una exposición del ayunta bierno. _ miento constitucional de Barcelona , reproduciendo la que hizo en Oc Abierta la discusión del proyecto de instrucción pública,, se leye tubre último para que se estab…</t>
  </si>
  <si>
    <t>…or la diputación provincial respectiva. 2. La dipu 10,000 no pasen de 22,000: v 37 en que,pasen de 22,000. tación provincia! no ¡probará ningún repartimiento que no este egecu- El Sr. Moreno Guerra manifestó que aunque era mil en algunos tado según lo que se previene en la. Constitución; y sin que precedan pueblo» que hubiese dos alcalde» para la pronta administración, de jus los requisitos que tienen ordenados las Cortes. 3. Los ayuntamientos ticia, .n…</t>
  </si>
  <si>
    <t>…ey el pase de las referidas bulas, con lo que contestar al referido oficio. ' . _ no se excedía él Congreso de sus facultades, y el poder egecutivo po Se aprobó una Indicación del Sr. Moreno Guerra, que decía-, » Pido dia remediar los gravísimos perjuicios que se originarían , ó bien que que en todos los pueblos que pasen de 500 vecinos haya dos alcaldes.” se manifestase á S. ,M. usase plenamente de, sus facultades; pero indi Se leyó por segunda vez el…</t>
  </si>
  <si>
    <t>Ki Sr. Moreno Guerra dijo que las Cortes y la Nación entera aca la Nación española, que ha tenido el alto honor de dictar leyes á la bfiban de tener una prueba de los sentimientos que animaban á nuestro Europa entera, jamas tendrá otro sistema que el constitucional, y todos Rey e…</t>
  </si>
  <si>
    <t>…de ley, que concillando uno y otro extremo, festando sí1 era para apoyar ó no él dictamen de la comisión. satisfaga el interes general de la Nación ; por lo que pido que vuelva El Sr. Moreno Guerra hizo la siguiente indicación: » Pido que nó dicho dictamen á la comisión &gt; y que bajo estos principios presente otro íedeclaré este asuntó bastante-disentido mientras baya algún Sr. dipu proyecto mas dilatado. tado.qqe quiera hablar.” . -j y- - ■ ' El Sr. Rtí…</t>
  </si>
  <si>
    <t>…tad del producto' líquido de di La misma comisión presentó su dictamen acerca de la indicación cho impuesto. del Sr. Villanueva, y conformándose con ella, proponía á las Cortes Él Sr. Moreno Guerra leyó un proyecto de decreto sobre bagages, los dos artículos siguientes: y se tuvo por primera lectura: el Sr. Solanot presentó su voto particu 1.° Que se suspenda la provisión de capellanías y beneficios que no lar sobre este asunto , y se acordó se leyese e…</t>
  </si>
  <si>
    <t>…nde armándose inme que si.tienen algo mas que decir, lo hagan.” diatamente la mayor parte del pueblo, marcharon para Tetuau con el El Sr. Lasanta se opuso á esta indicación , y el Sr. Moreno Guerra fin de oponerse al nuevo aclamado; y habiendo encontrado tropa ar en la parte que decia se declarase sesión permanente; y habiéndose mada fuera de la ciudad, la acometieron, y retirándose ésta, los de preguntado si se admitia a discusión , resultó que no. Tán…</t>
  </si>
  <si>
    <t>…á si deben ó no presentar A la de Hacienda la solicitud de D. Pedro Marcoleta, oficial se los títulos. - . gundo reformado de la secretaría de Gracia y Justicia , sobre pago de El Sr. Moreno Guerra dijo que si se hubiera reducido la discusión sueldos atrasados. á sus verdaderos límites estaría ya concluida; pues tratándose de eva A la especial de Hacienda el presupuesto de gastos del ministerio cuar la consulta dirigida por la audiencia de Valencia al s…</t>
  </si>
  <si>
    <t>Guérrá, Moreno</t>
  </si>
  <si>
    <t>Moreno Guérrá</t>
  </si>
  <si>
    <t>…res. Martínez de laiRosa- y Cañedo deshicieron algunas T equi Rey Cirios Félix. Las tropas de Alejandría no están dipuestas á ce vocaciones acerca de las reflexiones hechas por el Sr. Moreno Guérrá, der'; ésta ciu.iadela se conserva en manos de ¡es constitucionales; las -sobre los discursos pronunciados.por estos dos Sres. diputados al tratar tropas de Sabaya siguen1 pasivas-, y las de Genova se han unido con él _del dictameu de los señoríos. ■- pueblo…</t>
  </si>
  <si>
    <t>…taba suficiente trámites regulares: que si se consideraba como una dispensa de ley á fa mente discutido. vor de aquellos individuos, debia mirarse si era útil ó no á la Nac;on, El Sr. Moreno Guerra manifestó debia seguirse lo que estaba acor y que aun en el caso de hacerles alguna gracia , por ser grande la canti dado por el Gobierno. dad que se trataba de exportar, se debia imponerlo menos un i ó 3 El Sr. Sancho, abundando en las mismas ideas que el Sr…</t>
  </si>
  <si>
    <t>…esto siempre deberá ser muy extraño; y su misteriosa conduc tar la opinión que sostenia , la corroboraba. ta respecto de una nación que tiene por amiga, y á la que debe el ser, El Sr. Moreno Guerra dijo que todas las concesiones posteriores á puede dar motivo á conjeturas muy poco favorables para los que mane la ley que habia citado el Sr. Marina debian ser nulas; que la cuestión jan las riendas del Gobierno en Francia; y tal vez muy funesta para estaba…</t>
  </si>
  <si>
    <t>…me felicitación que les dirigió el cuerpo de Milicias nacionales voluntarios dio de la nación otra nación, sucumbiendo los Reyes á la prepotencia de S. Fernando , y les entregó el Sr. Moreno Guerra. de los señores, y cayendo en los lazos que estos les armaban: que esa Se leyó la siguiente indicación del Sr. conde de Toreno: ,,Que de preciso que el Congreso protegiera á los pueblos, y no se mostrará cidan las Cortes si se ha de preguntar si el dictamen d…</t>
  </si>
  <si>
    <t>…de que por hallarse ¿nfermo hasta ahora. se le exima de dicho encargo, y remite, el.acta de la misma provincia. Se aprobó:el dictamen de la comisión de Legislación acerca de la El Sr. Moreno Guerra pidió la palabra, y presentó una represen duda propuesta por el Gefe político de Cádiz, de si podrían egercer tación firmada por muchísimos acreedores de ia. extinguida junta de -el empleo de jueces ordinarios los militares extrangeros que sirven en JieemAazf…</t>
  </si>
  <si>
    <t>…ara de Hacienda hubiese empezado sus tareas por este asunto. consolidar mas y mas el sistema constitucional. ■ El pueblo, señores (aprecia lo que tiene en cuanto sabe lo que po El Sr. Moreno Guerra manifestó que enmedio del dolor que habia see. ; Y qué medios tenemos para que conozca lo que tiene: La instruc causado á su corazón el estado de sais millones de habitantes que recla ción pública, que á su tiempo pediré noticia al ministerio de lo que maban…</t>
  </si>
  <si>
    <t>…l motiva. por que se vendían por poco que-.habían determinado Tas Cortes, ,-i ü.&gt; el .1 1 - ■ , ;/.¡ precio-las fincas nacionales; ry .que siendo este asunto dignoade tomar - 1 El Sr. Moreno Guerra dijó: sin entrar en .la. discusión^;.solo, daré se en.consideración ,. hacia.-la:indicaciorusiguientes ,,Pido .que las Cor algunas razones con .respectó á. lo-que¡ lia manifestado el-.S.n, ¡Tortes, de tes manden que las subastas de las fincas, nacionales: no…</t>
  </si>
  <si>
    <t>….” Se procedió á sú discusión , y quedó aprobada. ' ber infringido ios artículos 282 y 183 de la Constitución. ■ Se mandó pasar una indicación del mismo Sr. secretario de la Go El Sr. Moreno Guerra hizo la siguiente indicación, reducida á bernación de Ultramar a la comisión de legislación, que decia : » Los que atendiendo 3 los fraudes y .desórdenes que se están cometiendo en derechos que de estas causas corresponcftn á los jueces de primera ins el ajus…</t>
  </si>
  <si>
    <t>…rpos que los reemplace, y que se vantó la sesión. aumente' la guarnición del distrito que lo necesite con las de los de NOTICIAS DE ESPAÑA. mas inmediatos que tengan de sobra.” El Sr. Moreno Guerra manifestó que no habiendo encontrado nin Tar ancón íg de Abril. gún inconveniente en aprobar el artículo que habia producido el actual El académico decano de la Real academia Latina matritense , maes que se discutía, y que se mandó pasar á la comisión, mucho…</t>
  </si>
  <si>
    <t>…ñoríos la potestad que tenia el poseedor en Agricultura presentaron después de haber examinado la indicación todo el termino del pueblo. El mismo Sr. diputado para probar esto del Sr. Moreno Guerra, sobre los suministros hechos á las tropas es mismo, se hizo cargo de lo que dice el diccionario de la lengua, y yo pañolas por particulares en la pasada guerra , y los incalculables per por el mismo demuestro que son cosas muy distintas, carurayéndome juicio…</t>
  </si>
  <si>
    <t>…ocente, sen halla por estar amenazada de un modo tan positivo. sible á los ojos de -todos los buenos españoles. El Sr. Cepera dijo que afortunadamente no hallaba á la Nación en El Sr. Moreno Guerra dijo que apoyaba la indicación del Sr. San el miserable cuadro que ha hecho el Sr. Romero Alpuente; que sus cho, y que en la ocasión presente debían dictarse leyes severas pam cas proposiciones eran emanadas de su ardiente zelo y amor á la patria; tigar estos…</t>
  </si>
  <si>
    <t>…noche con un espantoso huracán. Los rayos rasgaban el cielo en to el medio que tenga por mas conveniente.” das direcciones ; los truenos hacian temblar á los mas intrépidos ma El Sr. Moreno Guerra manifestó que no debia haberse hecho adi- rineros;'el agua y el granizo caiau con tal fuerza,que era muy peligro jion alguna al artículo que habia producido este-, que los españole-} te so el exponerse á sus golpes; los vientos en bu soplaban con tanta fu nía…</t>
  </si>
  <si>
    <t>…iva ¿ ningún su haola el decreto de 11 de Noviembre de 18ti se entienden comprendi geto por notoriamente desafecto al sistema constitucional, sin que hu dos los eclesiásticos.” El Sr. Moreno Guerra dijo que no era necesaria la biese dado pruebas positivas de su aversión; y quedó aprobada la in aprobación de lo que indicaba el Sr. Romero Alpuente, pues que las dicación de la misma manera que haba sido propuesta por la comisión. Cortes habían declarado ya…</t>
  </si>
  <si>
    <t>…esto del año inmediato; lo que podía envolver á la Nación qué se fundó) la comisión al tiempo de extenderlo. en niales de mucha trascendencia: que quisiera que las Cortes, aten El Sr. Moreno Guerra dijo que siempre que se faiMse ai re.vianiendiendo á lo que insinuaba , se ocupasen desde luego en este asunto im to, se verían las Cortes en compromisos, y que no se hadarían ahora portantísimo: que tenia noticias de que en muchas provincias estaban en este,…</t>
  </si>
  <si>
    <t>…del Guadalquivir, y las *5 de Abril de 1821.” que mas convengan á su provincia, proponiendo cuanto estime necesa rio y útil para su fomento.” cambios. Madrid 2 de Mayo de 1821. El Sr. Moreno Guerra: este artículo es del todo conforme á la Constitución En las facultades que esta da á las diputaciones provin Londres................................................ .......................... Ó ». ciales se dice que pertenece á ellas el proponer al Gobierno…</t>
  </si>
  <si>
    <t>…se opondría á pagar tad décimasexta del art. tgr de la Constitución.” lo que este le impusiese; y que los méritos de los ex-ministros eran Después de haberla apoyado su autor, el Sr. Moreno Guerra dijo dignos de récompensa, y estos mas acreedores á ellas que muchos su que el Sr. Oliver se habia fundado en la Constitución para hacer esta getos que gozaban grandes sueldos con pocos servicios, de que por indicación; que por consiguiente debía dicha compañ…</t>
  </si>
  <si>
    <t>…ncipal! El decreto de organización pro pasase su solicitud al Gobierno con recomendación. Quedó aprobado. hibía los reemplazos; y yo como inspector general de las guardias na-: El Sr. Moreno Guerra hizo una indicación, relativa á que las Cor clónales inculcaba que no'se permitiese tal desorden; mas en las: provin tes, con arreglo al art. aaf&gt; de la Constitución, exigiesen la responsa cias ni se me auxilió, ni se me obedeció.-Vi qué él armamento de di bi…</t>
  </si>
  <si>
    <t>…e dijo haber pa cuyo resumen se ve que importando los presupuestos hasta fin de Fe decido el Sr.. preopinante. brero 468.534,849 rs. y ai. mrs., se han pagado 471.759,005 rs. y El Sr. Moreno Guerra: en la legislatura pasada se equivocó este íó mrs., y por consiguiente pagado demás 3.22.4,1 55 rs. y 29 mrs., y. asunto en mi concepto por la urgencia con que se trató. Yo creo que lio podrian en este caso tener el atraso de tres meses aquellos empleados. la…</t>
  </si>
  <si>
    <t>…terio de Guerra se había mandado á las autori debe tomarse una providencia enérgica para evitar estos males. dades que evitasen por cuantos medios estuviesen á su alearte? toda El Sr. Moreno Guerra expuso que deseaba saber del Sr. secretario' ocurrencia de esta clase, que tanto desacreditaba el sistema, man¡fes-' del Despacho si cuando el Gobierno había enviado de intendente de tundo asimismo que sentina mucho que por ahora las Cortes quisiesen Cádiz á…</t>
  </si>
  <si>
    <t>…el diputado por la provincia de Oajacá de idoneidad y suficiencia. D. Mariano Canellejos. 2 de gramática castellana y lengua latina. Se hizo segunda, lectura de lá proposición del Sr. Moreno Guerra 2 de matemáticas y fisica. para que se exigiese la responsabilidad al Sr. ministro dé la Guerra, ó 1 dé lógica y gramática general. * al que hubiese firmado el nombramiento de capitán general de esta pro 1 de moral y derecho natural. vincia á favor del tenien…</t>
  </si>
  <si>
    <t>…er-, Cortes , y en su virtud no se admitió á discusión la referida indicación. mitirá la introducción de harinas extrangeras, no excediendo de 20 Lo mismo se verificó con otra del Sr. Moreno Guerra, que decía duros el barril de 168 libras netas de harina de flor de la Península; y asi:« Que la cotnision exprese si la voz vur menor ha de entenderse que pasase á la comisión encargada de informar sobre la ley prohibiti por cuartos de onza ó por libras para…</t>
  </si>
  <si>
    <t>…to de que no solo se establecían las bases, sino que se pro bución se invertía en objetos profanos, cuando solo debian ser objeto ponían las cuotas. ■ ■ ..... del culto divino. El Sr. Moreno Guerra dijo: supuesto la determinación que toma Ha manifestado el Sr. Moreno Guerra que su debilidad habia con ron ayer last Cortes haré algunas observaciones sobre la totalidad del tribuido a que se echase mano del préstamo de Francia, y me parece plan general de H…</t>
  </si>
  <si>
    <t>…x 8 , como en Salamanca, no es razón que haya uno de dicho plan se dieron por ofendidos, y exigieron por medio de una cada 64, como en Mondoñedo.” indicación, que se leyó , que el Sr. Moreno Guerra les diese una satis Este es el gran desorden que hay en España con respecto á la clase facción , ó que se escribiese la proposición que habia sentado , según del clero; y es preciso saber si se han de multiplicar los obispados , por1previene el reglamento, pa…</t>
  </si>
  <si>
    <t>…olici Continuóse la discusión pendiente , y el Sr. Cipero dijo que su opi tud, y el informe que había dado el capitán general de Aragón, opina nión no podia convenir ni con la del Sr. Moreno Guerra ni con la d.*l ba debia acc-.-d irse á elia , y que se hiciese mención honorífica en la Sr. García Page, relativa á los.diezmos, pues en ambas hallaba mu gaceta. Quedó aprobado. chas dificultades; añadió.que tenia por muy justas alguna» rctlexionsi Xa misma p…</t>
  </si>
  <si>
    <t>…n vista de la indicación del Sr. Alaman sobre ,y urbanos, y la otra sexta parte sobre las de los urbanos. las causas de la extinguida inquisición de México, opinaba debía pasar El Sr. Moreno Guerra dijo que mediante el artículo qne propone •al Gobierno. la comisión, deseaba saber cuál era la base que aprobaron fas Cortes ea El de las de Guerra y Marina acerca de la solicitud de D. Salva Ja anterior legislatura acerca de la contribución directa. dor Tres…</t>
  </si>
  <si>
    <t>…ibución dé la misma orden; en Fuente-Ovejuna, en Palma del Rio, en Pedro'^patentes. che y en Peñaflor los de angelinos de S- Francisco; en Castro del Rio - El último argumento del Sr. Moreno Guerra es, los inconvenientes el de carmelitas calzados; en Bujalance, en Espejo, en Montoro, en que traerá el imponer por este año esta contribución . haciendo que pese Benamegí y en Aguilar los de carmelitas descalzos; y en la Rambla el -sobre la renta de la tierr…</t>
  </si>
  <si>
    <t>…utamente aprobar este artículo. nombre y reputación. Después de haber reproducido el Sr. Sierra Pambley las mismas re ANUNCIOS. flexiones que hizo para rebatir lo que manifestó el Sr. Moreno Guerra, Se halla vacante la plaza de cirujano de la villa de Laredo, provin se declaró suficientemente discutido este artículo, y quedó aprobado. cia de Santander, cuya dotación es de 5500 rs. anuales, pagados en tres Se mandó pasar á la comisión especial de Haciend…</t>
  </si>
  <si>
    <t>…9 , cuya discusión quedó pendiente en la sesión de jubilaciones, ni con mas derecho á empleos efectivos que cualquiera ciu ayer noche. ( Véase el suplemento. ) dadano libre. • El Sr. Moreno Guerra dijo: que los cobradores de que trata el ar El Sr. conde de Toreno manifestó , que en cuanto á lo que se de tículo deben, ser nombrados por el ayuntamiento , porque de otro mo cía rei.itivo a los gefes se suspendía, y que por consiguiente el artículo do r.o p…</t>
  </si>
  <si>
    <t>…ndientes de ese Gobier quiera justicia que tenga aviso pueda exigirle la guia , sin decirse aquí, no político los mas estrechos encargos, á fin de que cada una por su como cree el Sr. Moreno Guerra, que cualquiera tendrá derecho para parte emplee todo su zelo y actividad con el mismo objeto, en cum pedirla. Aun digo mas, los mismos del resguardo deben perseguirle plimiento de lo que está mandado por las leyes. Madrid i.° de Ju hasta el interior de la Pe…</t>
  </si>
  <si>
    <t>…á los puebios de su cobranza, y decomisar los géneros aduanables que circulasen sin esta autorización.’* en número igual al de los individuos y profesiones comprendidos en los El Sr. Moreno Guerra dijo;. Por esta disposición se va á destruin estados que les acompañarán. enteramente el comercio interior de la Península, puesto que ya cual Art. 289. ” Los cobradores se dirigirán á ios síndicos de cada gre quiera tiene derecho para detener, registrar y re…</t>
  </si>
  <si>
    <t>…l se reunirá la de loterías Cortes en consideración, pues que podía ser una falsificación. que sea mas útil. Un señor diputado expuso que este expediente existía en Ir comisión El Sr. Moreno Guerra hizo varias reflexiones sobre este asunto, y de Infracciones, y que estaba instruido con muchos documentos, tes manifestó que si se trataba de poner otra nueva dirección para este ra timonios de escribano &amp;c., y se mandó pasar á la misma; asi como mo no tema…</t>
  </si>
  <si>
    <t>…á por ahora al cargo D. Francisco de Paula Ferrer. en el año de 18compara el conoci de la marina del Estado.” miento de las Cortes, y para que su honor no sufra la mas leve sos E) Sr. Moreno Guerra dijo: Me parece que teniendo las Cortes, co pecha^ peqia'se mandase borrar su nombre de la lista de los pre mo efectivamente tienen, alguna confianza' en el Gobierno, seria me-' sos de la cárcel de Corte. jor que se le autorizase para examinar las contratas q…</t>
  </si>
  <si>
    <t>…an , la comisión, en vista de todos estos antecedentes, pue las cargas de la Nación. da presentar á las Cortes un estado muy minucioso de los pagos que se No puedo convenir con el Sr. Moreno Guerra en que despuss del hayan hecho, para que se imprima y circule por todas partes, para que 9 de Noviembre ss han podido pagar atrasos con fechas anteriores, se sepa cuan infundadas son las quejas que hay sobre esto, y que el pú porque para esto era preciso que…</t>
  </si>
  <si>
    <t>…dos in sacris, en la que pedian que en atención á las circunstancias tas en caso de que se les concediese. particulares que mediaban en ellos se les aumentase la congrua de los El Sr. Moreno Guerra dijo: La discusión de este dia interesa mucho roo ducados que les señala el decreto de las Cortes de t.° de Octubre á I3 Nación y á la Europa entera, porque se trata del premio que ha de 1820; la comisión reconocía justa esta solicitud, y era de opinión de da…</t>
  </si>
  <si>
    <t>939</t>
  </si>
  <si>
    <t>…no acordaren otra cosa sobre este punto. de Jaén, relativa al repartimiento de baldíos. Habiendo manifestado el Art. 194. ss Todos los subalternos y depencientes de las Cortes es Sr. Moreno Guerra que una indicación que habia hecho el Sr. Vadiilo tarán bajo las órdenes de esta comisión en el egercicio de sus funciones sobre este asunto producirla mayores efectos , por lo cual opinaba de excepto la secretaría en las de su instituto. £1 presidente comuni…</t>
  </si>
  <si>
    <t>…asimismo que a proporción que se fuesen cobrando dichos atra comisión. ¿f sos , se iria completando dicho presupuesto ; por consiguiente en mi Se leyó la siguiente indicación del Sr. Moreno Guerra: » Pido que concepto ne debe incluirse esta cantidad en el del año económico de se venda el palacio español de Roma, y que la legación de España 1821 á 22. viva allí en casa de alquiler, como se hace en las demas cortes de Después de una ligera discusión entr…</t>
  </si>
  <si>
    <t>…ados y aun en este caso deberla saberse-primero si era suficiente un emprés .en el art. i.° tito de 50 millones. 15- Nueva-España y demas países de que se compone la sección de El Sr. Moreno Guerra dijo: Si la necesidad de este empréstito es Cortes de México sé hacen cargo de pagar toda la deuda pública con tan pública, (porqué no se ha manifest.do antes , y se ha aguardado á la traída en sus respectivos territorios á favor de personas particulares époc…</t>
  </si>
  <si>
    <t>Guerra, Nicolás</t>
  </si>
  <si>
    <t>Nicolás Guerra</t>
  </si>
  <si>
    <t>…!fuentes, en 300 rs. Otra heredad junto al corral dé" Juan García del Gofrnáyo, de 5 yugadas de inferior "calidad ; linda con ún ri- ANUNCIOS. tdzb, calleja del Tordo, y tierra de D. Nicolás Guerra, en 5 20 rs. Guia de Forasteros y Estado militar paTa el afio de 1821. Se vende en el despacho de la imprenta Nacional 4 ig rs. en ‘ ' Otra ídem ún poco mas abajó, de inferior calidad , dé papel, 16 en rústica, 10."en pasta común, 24 fina, y 48 en dos yugadas…</t>
  </si>
  <si>
    <t>Guerra, Romero de</t>
  </si>
  <si>
    <t>Romero de Guerra</t>
  </si>
  <si>
    <t>…ibunal de Cortes, lo fueron por e&gt;te orden : i.° el señor Las Cortes recibieron con aprecio, y mandaron pasar á la comisión La Bodega por 71 votos: i.'1 el Sr. Caro por 74: 3.' el Sr. Romero de Guerra, dos colecciones de todos los números del periódico la Mi Alpuente por 76: 4/ el Sr. Gira Ido por 75: 5.’ el Sr. Caiatrava nerva, que hasta el dia tiene publicados el coronel D. Miguel Tenorio. por 72: 6. el Sr. Echevarriá por 85: 7.' el Sr. Manesc.ui por 81:…</t>
  </si>
  <si>
    <t>GuerrafD</t>
  </si>
  <si>
    <t>…puente, Za servicios de cada uno.” pata, Solana y Vadillo: otro del Sr. Solanot: otro del Sr. Díaz Mo- DeRealorden lo comunico á V. para su mas pronto y puntual .rales; y otro del Sr. GuerrafD. Basilio); y se levantó la sesiona las tres. cumplimiento. Madrid 5 de Octubre de 1821. __Sabemos que en los paises extrangeros han producido un efecto GOBIERNO POLITICO DE XA PROVINCIA I&gt;E ■muy favorable: las providencias vigorosas tomadas por nuestro Go Emp…</t>
  </si>
  <si>
    <t>Guerreiro</t>
  </si>
  <si>
    <t>…cional: ¡tan altas y respetables son sus:funciones ! Yo la veo Otros varios diputados opinaron en favor y en contra; con gozo creada ya en Córdoba , y me lisonjeo de que com y el Sr. Guerreiro, impugnando sucesivamente las razones pitiendo con la de otras ciudades de España, hará ver que ae los que se oponían a la a volu.a libertad de imprenta, esta capital á ningún pueblo cede en virtudes cívica-'. Prepa concluyó diciendo que era absolutamente nec…</t>
  </si>
  <si>
    <t>…yó el proyecto dei Sr. Pinheiro Aceveel Rey. do, demostrando que era necesario hubiese un cuerpo que sirviese de V RANCIA. equilibrio entre el poder legislativo y el egecutivo. El Sr. Guerreiro , entre otras varias cosas, dijo que veia se trataba de París l~ de Febrero. coartar el poder legislativo, y no el egecutivo; que la Constitución de Los estados generales de los Países-Bajos continúan desechando to be equilibrar estos dos poderes; que para ma…</t>
  </si>
  <si>
    <t>…ero de votos : Ahselmo Josef Braáncamp , A ntonió joa- pueda determinar la extinción de-la Regencia.” quin^de lentos ■, - Antonio^Viera de Tovar, Antonio Francisco Macha . •, » £1 Sr. Guerreiro dijo que la entrega déi ¡Gobierno por la Regen do , Bernardo-da Süveirá -Pintó da* Fohseca , Juan Antonio da Fónseca^ cia ¿ S. M. era un acto muy...pomposo, y que exigía ser presenciado Manael Vicente Téixeira ',' Nicolás d’Abren Castello Branco, Pedro por un…</t>
  </si>
  <si>
    <t>…ces las funciones de la Re público, y amor y concordia, que sostenida con el. augusto Congreso gencia. ■nacional forman la garantía de la felicidad pública', y hacen la delicia El Sr. Guerreiro repitió) su proposición de que fuese un diputado de Cuenca , que en conformidad de estos sentimientos de V. M. repite á presenciar la entrega del Gobierno; pero fue desechada. en cada momento oportuno su juramento de morir antes que rendirse Se trató) de si d…</t>
  </si>
  <si>
    <t>…n aprobaba lo que hacían laí la inquisidora policía de dar a! público una especie de auto de fe en la quema de un gran número de egemplares del Catecismo de ia doctrina Cortes. Él Sr. Guerreiro hizo tina proposición para que cuando saliese al- cristiana^ y de otros varios libros que ei verdugo quemó; escena que juna diputación de las Cortes con cualquier objeto diese cuenta á su ra - se renovó en Jimio con muchas copias dd mismo libro ; con una obra…</t>
  </si>
  <si>
    <t>…ndo lugar á que la fuerza de unas provincias au hospitales no ocurre novedad. " ' ' •' xilíase á las otras. .... De orden de la M. 1. junta municipal de sanidad. zrFrancisco Al El Sr. Guerreiro manifestó qtieera indispensable el conservar una tes, vice-secretario. fuerza armada en las provincias de América, y dió las' razones en que Se fundaba. Madrid Martes 4 de Setiembre.. El Sr. Fernandez Thomas dijo que las ¡deas de algunos Sres. dipu ARTICULO D…</t>
  </si>
  <si>
    <t>…stentes 14. El Sr. Trigoso preguntó si era el Congreso ó el poder egecutiro el Nota. Según las últimas noticias, habiendo salido los mas de sus que debía emplear al diputado, y el Sr. Guerreiro sostuvo que no po habitantes á los campamentos , yquedando muy pocos en la villa, se día dudarse que había de ser el poder egecutívo, porque si no degenera considera muy próxima la desinfección. ría el sistema constitucional en un Gobierno revolucionario, ó a…</t>
  </si>
  <si>
    <t>…h, del comercio, y D. Agustín Yañez, catedrático de Farmacia. Se empezó la discusión del proyecto de Constitución por la adición ^ Valencia 8 de Noviembre. que liizo al urt. 82 el Sr. Guerreiro, la cual decía asi: » Solo podrá ser Los electores nombrados en este partido para elegir diputados á llamado el diputado en circunstancias extraordinarias para desempeñar Cortes para la siguiente legislatura son D. Martin Serrano, D. Fran otras funciones, y p…</t>
  </si>
  <si>
    <t>Guerrero</t>
  </si>
  <si>
    <t>…ición del Gefe polí concediera al Rey un veto absoluto, el que se aprobó por 78 votos tico de Galicia acerca de la duda ocurrida al subalterno de Lugo sobre contra 7, diciendo, el Sr. Guerrero cuando le tocó votar, que á pesar si la guardia del principal, que es de la milicia nacional, debia dar de haberse opuesto en la última sesión, convencido ahora de las bue los partes al comandante de armas, y recibir de él santo y seña. nas razones que se hab…</t>
  </si>
  <si>
    <t>Guerrero, Salvador</t>
  </si>
  <si>
    <t>Salvador Guerrero</t>
  </si>
  <si>
    <t>…va Constitución Herrero Blanco : para la de Chinchón., á D. Juan Domingo Palomar : pa que concede S. M. napolitana á sus súbditos de las Dos Sicilias en lu ra la de Navalcarnero á D. Salvador Guerrero ; y para la de Colmenar gar de la adoptada por eL Parlamento. Viejo á D. Antonio Becerril Hinojosa. El Príncipe Cuto ha sido nombrado lugar-teniente en Sicilia. En la provincia de Murcia: para las dos judicaturas de la capital á La ¡dea que dan los periódicos…</t>
  </si>
  <si>
    <t>…. to les pertenezca deberá serme indiferente. En bien de ellos y de la hu manidad, haré cuanto esté de mi parte para preservarlos del descuido • . En virtud ide providencia del S. D. Salvador Guerrero , juez letra de 1 os carceleros y de Ja codicia de los abastecedores, por lo respectivo do ¿n primera instancia, drda.villa de Navaicarnero y su partido, ss A camas, -opa. , fuego y luz. Registraré diariamente sus alimentos.... ' cita, llama'y emplaza á Ramón…</t>
  </si>
  <si>
    <t>Guesala, Domingo de</t>
  </si>
  <si>
    <t>Domingo de Guesala</t>
  </si>
  <si>
    <t>…antes de la Mol de Zavala estando preso, por lo que se les condena á jo años de pre davia no habían tomado las armas contra su legítimo Soberano; que sidio en Ceuta. Al presbítero D. Domingo de Guesala y al religioso Miguel Suzzo era el único delincuente en este asunto, y que se dignase Fr. José! Ramón de Aguirre se les impone pot pena la prisión sufri la Puerta enviar otro hospodar á la Moldavia. da, quedando bajo la vigilancia de la justicia. Se absuelve…</t>
  </si>
  <si>
    <t>Guevara, Leandro Ladrón de</t>
  </si>
  <si>
    <t>Leandro Ladrón de Guevara</t>
  </si>
  <si>
    <t>…les. Por otra parte no parece sino qu¿ los m s- Elche; D. Josef March ; D. Josef Cuevas, abogado. mos turcos desean entrar en campaña, fiados en el entusiasmo nacional, Por Avila. D. Leandro Ladrón de Guevara; .D. Josef Cano. Su que por todos los medios posibles procuran estimular; de manera que plente. D. Juan Manuel Enguídanos. si se rompe la guerra no podrá menos de ser cruel y sangrienta. Los principados de Moldavia y Valaquia continúan contra el tenor Extract…</t>
  </si>
  <si>
    <t>GUI, Ramírez</t>
  </si>
  <si>
    <t>Ramírez GUI</t>
  </si>
  <si>
    <t>I* iila de Cuba, quejándose de lo mismo , sobre lo cual fue de se refiere. Quedó aprohtdo el articulo de !a comisión. ;eual dictamen. Adición del Sr. Ramírez GUI h! art. 10: » Que la industria pecua " ]íi dé la de Guerra acerca de la solicitud del teniente de egército ria será comprendida en el repartimiento de la audiencia territorial, p Francisco Bernardo Vaquero, en la que solicitaba entre otras cosas, bien sea por…</t>
  </si>
  <si>
    <t>Guilay</t>
  </si>
  <si>
    <t>…existencia anterior 723 : entrados ó aco feld-matiscal Scheschek. metidos gó: salidos, ó curados 7: .convalecientes 62:. muertos 75: 3,0 -En la Croacia y Esclavo nia al mando del conde Guilay. existentes 507.</t>
  </si>
  <si>
    <t>Guiliermo.Pepé</t>
  </si>
  <si>
    <t>…e. un Rey libre ú independienté-5 Los déspotas d¿ Lay.Bach han Ñápales 2 de Marzo. - - puesto, las cadcnai de.la,;esclayitud al hijo de Cirios m. ;De .una .pror ;...] El-inspector general Guiliermo.Pepé ha dirigido, á, las.guardias na- fundapaz y tranquilidad i fiíja de vuestra sabiduría y deyuéstías.Iriitú-cionales y legionarios del reino de las Dos Sicilias la siguiente proclamar des civiles íTués esta'paz, esta tranquilidad, esta libertad ,este.Rey, n Mil…</t>
  </si>
  <si>
    <t>Guílle, Ramón</t>
  </si>
  <si>
    <t>Ramón Guílle</t>
  </si>
  <si>
    <t>…idencias que tuviesen por mas convenientes; y concluyó dicho Sr. di académico. putado pidiendo que las Cortes diesen una providencia general para cor A ¡a de Hacienda pasó otra de D. Ramón Guílle] , profesor da ci tar estos abusos. rugía de Alicante, en que solicitaba una pensión de 11 realas diarios. 1 El Sr. presidente dijo que se trataba de un abuso de la autoridad Las Cortes quedaron enteradas de la exposición que hacia el señor eclesiástica , de…</t>
  </si>
  <si>
    <t>Guillen, Josef Rojo</t>
  </si>
  <si>
    <t>Josef Rojo Guillen</t>
  </si>
  <si>
    <t>…ino prefijado no se -Cabañero; y para magistrados á D.. Joaquín ,'Villamil, D. Miguel Andará curso á ninguna instancia de esta naturaleza. De Real orden lo 4dnio Vigil y Quiñones, D. Josef Rojo Guillen y D. Santiago Estefanía. -comunico á "V". para su inteligencia y cumplimiento en lo que le cor responde. Madrid 2 de Mayo de 1821.” - - . ANUNCIOS. - ' - " 2.1 Haciéndose cada dia mas urgente la necesidad de remediar los abu Se halla vacante :1a-plaza de médico-cirujano de la villa…</t>
  </si>
  <si>
    <t>Guiller</t>
  </si>
  <si>
    <t>…tes puntos de Prusia c» el director de bosques de Schoenich Mr. so el cuidado de la~seguridad pública. La Livadia, Tcbas, Atenas y de ILademan, hermano de un ayudante de campo del príncipe Guiller sus dependencias forman actualmente la vanguardia d» 11 Santa Liga mo. La explosión estaba preparada para el momento en que la ¡andavehr en el continente. Megara y los lugares del istmo de Corinto forman (milicia) se juntase para hacer sus evoluciones, porque…</t>
  </si>
  <si>
    <t>Guillermo</t>
  </si>
  <si>
    <t>…l primero de di españoles, sé arreglaría al tomar la confesión á lo-- tratados chos señores diputados dirigió al pueblo un breve y enér como réos en la sumaria que está formando i D. Guillermo gico discurso, que terminó con la aclamación de -viva el Chicheri , coronel del regimiento infantería de Vitoria, al -Rey constitucional, la cual se repitió largo rato con entu art. 301 del capítulo y tituló citados, y á los de ia orde siasmo extraordinario.…</t>
  </si>
  <si>
    <t>…sostenido el honor de nuestras armas en el momento de desgracia que que han dado lugar á esta medida, según se cree. La vuelta de los Em ha experimentado el cuerpo mandado por el general D. Guillermo peradores parece que está ahora mas distante que nunca. Pepé. Seremos fieles historiadores de los hechos que hemos extractado de las cartas del general Pepé, escritas en Casteldisangro el 11 de estemos. ITALIA. El cuerpo de egército mandado por este general e…</t>
  </si>
  <si>
    <t>Guillermo-Gorman</t>
  </si>
  <si>
    <t>…ros individuos cualesquiera; y declaro.que A’la comisión de Legislación se mandaron .pisar una exposición de ningún Príncipe, prelado , Estado ó Monarca extrangero tiene -ni debe ;D. Guillermo-Gorman, natural de Francia, otra de D. Juta:Mani tenéYñingun poder, jurisdicción, superioridad, preeminencia ó auto Alié, natutal.de Sicilia, y otra de D. Cristóbal Manne, natural■ de ridad 'eclesiástica ó espiritual en este reino. Asi Dios me asista: ” Francia , so…</t>
  </si>
  <si>
    <t>Guinea, Esteban</t>
  </si>
  <si>
    <t>Esteban Guinea</t>
  </si>
  <si>
    <t>…..... 1....... -•••• s............ .... 49.... Ibarróla , D. Nicolás Alonso, D. Telesforo Polo y D. Ventura de 23- s- 19. 194. la Peña. Parroquia de Sta. Cruz, 8 electores. Jerez. D. Esteban Guinea, D. Josef Manuel de Aranalde, D. Juan An tonio Castejou, D. Juan Muguiro, D.Juan Manuel de Aréjula, Don Dia 17.............. —3....... ........! 3......... ....... O............... 18... Juan Cortés, D. Martin de Goicoechea y D. Valentín Ignacio de Dia r 8...…</t>
  </si>
  <si>
    <t>Gultier</t>
  </si>
  <si>
    <t>…solamente á dicha provincia el número de Barcelona 12 de Mayo. tres diputados y un suplente , en lugar de los cuatro que también habia Parece que el célebre Lancaster y el famoso abad Gultier han rena elegido ; y que en atención á que tampoco podían aprobarse los pode cido en la persona de nuestro conciudadano el presbítero D. Joaquín res ni el acta por no ser de esta legislatura, opinaba debia pasar al Go Catalá. Ya pues que las naciones extrange…</t>
  </si>
  <si>
    <t>Gumiel, Antonio</t>
  </si>
  <si>
    <t>Antonio Gumiel</t>
  </si>
  <si>
    <t>…mente con arreglo al decreto brados para el resguardo militar.los sugetos siguientes: capitanes Don de las Cortes de 3 de Setiembre último en el primer dia útil si Joaquín Canala, D. Antonio Gumiel y D. Luis Ortega. Teniente guiente á los 30 arriba dichos, que deberán contarse desde el en que D. Juan Herrera, y subteniente D. Vicente Riestra, dastinados á la se inserte este anuncio en la gaceta inclusive. SUPLEMENTO</t>
  </si>
  <si>
    <t>Gunzalez</t>
  </si>
  <si>
    <t>…de héroes. nación de la Península sobre supresión de pósitos. El Sr. Gaseo dijo: parece que el Sr. Romero Alpuente ha tratado Se verificó la segunda lectura de una proposición del Sr. Gunzalez de impugnar el art. id del dictamen de la comisión, el que opino de Allende sobre si deben ó no continuar los alcaldes de barrio, y qué be,aprobarse sin dar lugar á ninguna discusión. El Sr. Romero Alpuen facultades y obligaciones deben tener; y admitida que…</t>
  </si>
  <si>
    <t>Gustavson</t>
  </si>
  <si>
    <t>…os hombres que el de las bayonetas y cañones: - . : Siockolmo £ de Abril. El mensage dirigido por el Rey á la Dieta de Noruega acérca dé la XNCLÁTEKRÁ: solicitud presentada por el coronel Gustavson para que se le conceda carta de ciudadano en aquel reino, fue comunicado á aquel Congreso Lóndrcs 2£ de Abril. en la sesión pública de 31 del pasado por el conde Wedei, consejero El périódico Düblin Evening- Post en su número del sábado Íiítinid* de Estado.-…</t>
  </si>
  <si>
    <t>Gutier-</t>
  </si>
  <si>
    <t>…. diputado por Europa y otro por Ultramar; habiendo ' 2-J Xos arbitrios destinados para sus caminos y portazgos quedan orecaido la elección del primero en segundo escrutinio en el Sr. Gutier- exclusivamente aplicados al pago de intereses de amortización de su deu e-rez Acuña por 55 votos de 108, y la del segundo en primer escrutinio da , observando rigurosamente sus contratas vigentes. ‘ en el Sr. Ramirez Torres por 60 votos de 101. 3° Que supuest…</t>
  </si>
  <si>
    <t>Gutierre-, Manuel</t>
  </si>
  <si>
    <t>Manuel Gutierre-</t>
  </si>
  <si>
    <t>ii 6o ■ de su pipa suba por las columnas del templo de Minerva.dvi^ucz.—FX Joscjinn &lt;ii?l Oorríil y.'Arscliíiss»—. D» ju3n Vi* mo lié¡o__6." D. Manuel Gutierre-*-Orlando.^-7.“ D. Ramón del Pala n Parece que la Grecia misma ha querido manifestar con, su duelo cio y Musitu__ Í5.J D. Josef María Sánchez y Puy._¿).J D. Julián Ja desgracia de sus hijos.-En general el pais está inculto, el suelo des Sarmentó. ’ " nudo, mon…</t>
  </si>
  <si>
    <t>Gutiérrez</t>
  </si>
  <si>
    <t>…ue nada se les daba á buena cuenta; pero que la reti instrumentos públicos, de los cuales depende la tranquilidad de las fa raba en atención 4 estar comprendida en la anterior del Sr. Gutiérrez milias. La comisión ha visto que hasta ahora ha estado este requisito Acuña , la cual quedó aprobada. muy abandonado en España; y aunque se estableció en tiempos ante Se leyó en seguida la siguiente del Sr. López (D. Marcial): „Pido riores un oficio de hipote…</t>
  </si>
  <si>
    <t>Gutiérrez, Andrés Vázquez</t>
  </si>
  <si>
    <t>Andrés Vázquez Gutiérrez</t>
  </si>
  <si>
    <t>…a discusión, y que Juan Gallardo, por haber infringido los artículos 267 y 309 de la solo debían someterse á la deliberación de las Cortes los artículos nue Constitución-, otra de D. Andrés Vázquez Gutiérrez y D. Bartolomé vos que proponía la comisión, y los que se habían mandado volver á Fernandez,.vecino dil campo de S. Roque, contra su Gefe político; la misma. otra de varios oficiales del regimiento de infantería de Toledo, repro Se leyó el art. g.° que proponía la comisión,…</t>
  </si>
  <si>
    <t>Gutiérrez, Fraa-cisco</t>
  </si>
  <si>
    <t>Fraa-cisco Gutiérrez</t>
  </si>
  <si>
    <t>…cuela de dibuja. Primer premio da figuras de 300 rs. á D. Fer-' podria decir, di ver su ardor siempre en aumento, que hallan un placer nando Suarez. Ei segundo de cabezas de 200 á D. Fraa-cisco Gutiérrez, tan particular, que no se sacia nunca la atrocidad de sus almas, 'En y el tercero de 100 á D. Vicente Vigil, todos tres de esta ciudad; yea esto se ve como confunde la Cuotidiana á los turcos con los liberales, atención á que D. Agustín Paez y D. Gregorio Ga…</t>
  </si>
  <si>
    <t>Gutiérrez, Josef María</t>
  </si>
  <si>
    <t>Josef María Gutiérrez</t>
  </si>
  <si>
    <t>…las bases de la Cons diputados á Cortes de las provincias dé Ultramar.': ’ ’ titución (véanse las gacetas del 22y 2,7del corriente), se levantó la de Entró ¿ jurar y tomó asiento'D. Josef María Gutiérrez dé Teran, i»*te día. diputado por la provincia de México. -; i 1 ¿ : - --i NOTICIAS T&gt;E ESPAÑA. La comisión Eclesiástica presentó su dictamen acerca de las expo siciones dirigidas por varios regulares de la provincia de Murcia , que- | Madrid 28 de Marzo. ján…</t>
  </si>
  <si>
    <t>…o conforme la minuta redactada por que se habían celebrado en el salón de sus sesiones, bajo la dirección la secretaría con Jo aprobado por las Cortes. Tan lejos estuvo de pen del catedrático D. Josef María Gutiérrez ; y otra de D. Joaquín Villa sarse en resolver que había de ir á la sanción Real, que habiéndose em no, catedrático de matemáticas de la universidad de Cervera, cotí la que pezado á tratar acerca de.ello se dijo que sa iba á hacer una indicación, remitía vari…</t>
  </si>
  <si>
    <t>Gutiérrez, Lucas</t>
  </si>
  <si>
    <t>Lucas Gutiérrez</t>
  </si>
  <si>
    <t>…en prendas de vestuario y equi ANUNCIOS. po para varios regimientes. Sus virtudes domésticas, su ilustrada piedad y su beneficencia para A consecuencia de un despacho librado por D. Lucas Gutiérrez, con lós: pobres: v desvalidos son bien notorias, y han,hecho sensible juez letrado interino de primera instancia de la villa de Yepes , cum y dolorosa su muerte á cuantos contaban con su generosa caridad, y plimentado por el Sr. D. Julián de Sojo, que lo es…</t>
  </si>
  <si>
    <t>…eter su delito, cas la de Málaga, á D. Juan Manuel Moya, y para el de Villafranca de tigando el primer paso ó la tentativa con la mitad de la pena; esto es Panadés, en Cataluña, á D. Lucas Gutiérrez. tan útil como se puede ver por un egemplo : supongamos que un hom bre que lleva dos pistolas dispara la primera contra otro, y no consi ■ Debiendo proveerse la administración general de fábricas de sal y gue lo que deseaba; si entonces entra en reflexión , y…</t>
  </si>
  <si>
    <t>Gutiérrez, Mannel</t>
  </si>
  <si>
    <t>Mannel Gutiérrez</t>
  </si>
  <si>
    <t>…Máximo Bares. D. Migue! Cadiese á la palabra Rey la de constitucional. ma'eño, D. Juan Saíz Lastra, 1). Franeí-co Casarietto y Se procedió al nombramiento de cinco diputados para D. Mannel Gutiérrez; y ademas el ciudadano D. Francisco la comisión que debe establecer las bases de la Constitución, Serrano. y salieron electos los Sres. Fernandes Thomaz por 58 vo Y enterado S. M. del particular mérito contraído por tos, Ferreira de Moura por 47, Borges Carne…</t>
  </si>
  <si>
    <t>Gutiérrez, Manuel María</t>
  </si>
  <si>
    <t>Manuel María Gutiérrez</t>
  </si>
  <si>
    <t>…, se servirán recoger á la ma Economía política por el conde de Destutt de Tracy, traducidos al cas yor brevedad en el despacho de la imprenta nacional el tercer tomo, tellano por D. Manuel María Gutiérrez. y anticipar el importe del cuarto, que se entregará probablemente eu A los alumnos mas sobresalientes de la clase de agricultura que fin de Agosto. El público hallará de venta los tres primeros á 32 rs ca tiene bajo su protección la sociedad de los que se pr…</t>
  </si>
  <si>
    <t>Gutiérrez, Mariano</t>
  </si>
  <si>
    <t>Mariano Gutiérrez</t>
  </si>
  <si>
    <t>…ncas que por $u mal estado y deterioro en Lérida D. Ramón Hostalrich, en Lugo D. Josef Jesús Varela, en no sean arrendables ni productivas, deberán manifestar los comisiona Málaga D. Mariano Gutiérrez, en Mallorca D. Josef Serra, en Me dos y contadores en unión los medios y costo necesario para hacerlas norca D. Pedro María Santaló, en Mondoñedo D. Josef María Pardo producir. Montenegro, en Orense D. Josef Somoz3, en Orihuela D. Juan Rico, 13. Desde el pre…</t>
  </si>
  <si>
    <t>…la adjunta certificación, se ven precisa -Se mandó pasar 4 la comisión de Marina una memoria qué preten dos 4 usar en este d.a dei derecho de petición que Ies está atribuido en do D. Mariano Gutiérrez, escrita-con el objeto de que la marina de la t onstitucion , pira llamar la atención de V- M. sobre lps escandalo guerra sea útil al comercio sin gravamen del Estado. sos sucesos ocurridos en esta ciudad el 29 del pasado Qctubre ¡ sucesos, . . Se mandó pasar…</t>
  </si>
  <si>
    <t>Gutiérrez, Martin</t>
  </si>
  <si>
    <t>Martin Gutiérrez</t>
  </si>
  <si>
    <t>…van la noticia de hallarse preso en las Siete-Tor D.'Felipe Ronedo. y Noroña. res el embajador ruso, "k pesar de las; representaciones hechas al diván D. Fermín Carnerero y Villa. D. Martin Gutiérrez. por. los :dema$ ministros europeos contriseméjafite procedimiento. Corís- D. Hilario Aíendinueta (O, D. Aíarcelino Casado. tantinopla seguía en una fermentación funesta. De Toion avisaban ha conde.de Goyeneche, alcalde cons D. Mariano Mas. ber entrado allí e…</t>
  </si>
  <si>
    <t>Gutiérrez, Pedro Alvarez y</t>
  </si>
  <si>
    <t>Pedro Alvarez y Gutiérrez</t>
  </si>
  <si>
    <t>…ega al comprador. 6 da ; D. Francisco de Paula Soria , abogado de los tribunales de la Na Art. 8.“ » Cuándo el valor de los géneros no alcanza á cubrir ]a ción, vecino de Granada; D. Pedro Alvarez y Gutiérrez, presbítero, suma que se ha de abonar por los derechos de la Hacienda pública, se vecino, hacendado y labrador de Baza; D- Alfonso García Valdecasas, quedarán con ellos los empleados que asistieron á la detención pura be natural, vecino y hacendado labrador d…</t>
  </si>
  <si>
    <t>Gutiérrez, Ramón</t>
  </si>
  <si>
    <t>Ramón Gutiérrez</t>
  </si>
  <si>
    <t>…al interina, compuesta como sigue: el Excmo. Sí. virey, presi la entrada de. los austríacos en Aquila &amp;c. &amp;c. Se publicará á la letra dente; el Sr. intendente de aquella provincia D. Ramón Gutiérrez del este documento para que pueda compararse á su tiempo cuando lleguen Mazo; el Sr. coronel D. Pedro Acevedo, diputado por Querétaro; el las noticias directas de Ñapóles. Sr. D'r. D. Josef Angel Gazano, diputado por México; el Sr. Lie. Don Entre tanto por el…</t>
  </si>
  <si>
    <t>Gutierrez.zz, Nicolás</t>
  </si>
  <si>
    <t>Nicolás Gutierrez.zz</t>
  </si>
  <si>
    <t>…ue, laboratorio de mixtos, .fundiciones;y otros D. Manuel Noballas.zzD. Francisco Perez.zzD. Vicente Ibañez.z^ facultativos.” Aprobado. D. Domingo Ciaveria. zz D. Severo Garces. = D. Nicolás Gutierrez.zz La comisión retiró el artículo 125. D. Mariano Lison.zzD. Manuel lisoni =: D. Pedro Tomas.zzDon Art. 126. » A los oficiales de este cuerpo no se les dará ningún Manuel Diego, zz D. Francisco Ssforcada. zz Y yo el infrascrito secre destino que no sea respectivo á…</t>
  </si>
  <si>
    <t>Guüvart, Antonio</t>
  </si>
  <si>
    <t>Antonio Guüvart</t>
  </si>
  <si>
    <t>…r en el Crédito público, y que creía cedentes de la venta del cargamento del bergantín español nombrado mas conveniente que se aumentase la comisión de Hacienda con algu Ceres, su capitán D. Antonio Guüvart, apresado y conducido á aquel nos Sres. diputados que pudiesen ilustrar en aquella materia. puerto por el corsario francés, nombrado Vengeur, capitán Lamothe , en Después de una discusión entre los Sres. Toreno, Quiroga, Rome su viage desde el puerto de Santi…</t>
  </si>
  <si>
    <t>Guzmnn, Juan Florencio</t>
  </si>
  <si>
    <t>Juan Florencio Guzmnn</t>
  </si>
  <si>
    <t>…de Ultramar,-recibí varias órdenes que no id. á D. Cristóbal Izquierdo de los Santos; para Ja de Marbella ¿ üabia tenido el subinspector de cabullería; lo-cual es una prueba consi D. Juan Florencio Guzmnn ; para la de Loja a D. Franeisco de Pauguiente de que el rég'nnen de este grande establecimiento, llamado egér la. Silva:; p3ra la de . Archidona á D. Antonio Pimentel Valeñzue• la de cito, no se puede fiar á un hombre solo , y por está razón la comisión la;…</t>
  </si>
  <si>
    <t>H, Mariano</t>
  </si>
  <si>
    <t>Mariano H</t>
  </si>
  <si>
    <t>…el art. 28 que "sancio Sres. Gailo é hijo, de Santander. D. Manuel de Arambarri. namos aver con otro que le siga, concebido en estos términos: « Lo D. J. C. Bernales, de Londres. D. Mariano H.rnandez Noeuee. dispuesto en el artículo anterior solo tendrá efecto en tiempo de paz. En D. Jenas Hayerman, de Bilbao. D. Miguel Zabaleta. tiempo de guerra interior ó exterior, después que las Cortes hubieren D. Josef Sigler Bustamante, de D. Pedro Elias. dec…</t>
  </si>
  <si>
    <t>H-, Borstel</t>
  </si>
  <si>
    <t>Borstel H-</t>
  </si>
  <si>
    <t>…SBtt 'geRéral' dé Bors- ' muchos extríiiíg ros. '- ■ ‘ ' ' * ' tell, formará dos di visiones al mando de los generales mayores S. A.-R. __Kl Rey de Prusia acab» de dar a! teniente general Borstel H- triando</t>
  </si>
  <si>
    <t>Ha</t>
  </si>
  <si>
    <t>…uida en Levóla contra el Afilan zg de Setiembre. bajá Pliassa, que quedó prisionero , se habían dirigido contra Prevesa. Acaba de publicarse un edicto imperial, en que se manda al conde Ha sido reducida á cenizas una fortaleza muy inmediata á dicha ciu Lu is Porro , hijo del difunto marques Jorge Porro Lambertenghi, se dad, que se hallaba ocupada por 700 albaneses. Habiendo estos rendi presente en el término de 6o dias ante la comisión Imperial…</t>
  </si>
  <si>
    <t>Haake, Harmen</t>
  </si>
  <si>
    <t>Harmen Haake</t>
  </si>
  <si>
    <t>…acara-i púbiico-delerroren que ,puede,haberle heeho,inairrir i • • - Brusélas.Bcde. Setiembre... . ,,¡ un artículoide.Una gaceta deBerlio ^copiado por. el .diario de la ad.niir El comandante Harmen Haake ha traído de la Groenlandia, á aistracioti de postas de Francfort:, y.:ta) vez también por,otros periódjr bordo del la cmbaccacion-Maníeeát , el ésqueleto^de un unicornio maeos, declsraníos infrascritos que ;á.t&gt;ingUBode¡ ellos, se le molestó coa rino macho,.…</t>
  </si>
  <si>
    <t>Habiendo, Latorre y</t>
  </si>
  <si>
    <t>Latorre y Habiendo</t>
  </si>
  <si>
    <t>…l general Morillo con toda la sinceridad de su con que los acompañen, firmándolas. corazón, y hasta saltársele lágrimas de placer , brindó por la concordia y fraternidad mutua. El general Latorre y Habiendo acordado la junta de gobierno de la compañía demas gefes de uno y otro partido continuaron con los brin de Filipinas que se expidan duplicados de las acciones de la dis bajo el mismo concepto; y todo, amigo, eran abrazos misma en lugar de las originales, que…</t>
  </si>
  <si>
    <t>Habiéndose</t>
  </si>
  <si>
    <t>…cir aguardientes extrangeros én dicho puerto de Odesa. "Octubre de 1820 ha formado el gefe político de dicha provincia de .acuerdo con el M. R. cardenal arzobispo de Toledo, M. R. arzobispo Habiéndose observado todos los trámites prescritos por la ley, y calíobispo de Badajoz, RR. obispos de Córdoba, Coria y Plasencia, R. ¡ficado los doce jueces de hecho con la fórmula de absuelto el impreso Obispo prior de León y priores de Alcántara, Magacela y Zalamea d…</t>
  </si>
  <si>
    <t>Habiéndose, Juan Gó</t>
  </si>
  <si>
    <t>Juan Gó Habiéndose</t>
  </si>
  <si>
    <t>…’, sin que su ignorancia Asimismo ha tenido á bien S. M. conceder honores de magistrado ie pudiera servir de excusa. : ... de dicha audiencia, á D. Lorenzo de la Cuesta y Torre, á D. Juan Gó Habiéndose declarado el punto suficienterfíénte discutido, quedó, mez y Díaz, y a D.'Martin de Pineda y Lara. aprobado. - Habiéndose suspendido esta discusión, nombró el Sr, presidente pa-: Seria necesario consagrar la mayor parte de este periódico para con-' fa la comi…</t>
  </si>
  <si>
    <t>Habiéndose, Navas</t>
  </si>
  <si>
    <t>Navas Habiéndose</t>
  </si>
  <si>
    <t>…e las Cortes que prohibía el goce de dos pactos impuestos al tiempo de su adquisición, ó por Jos demas motivos sueldos. expresados en el decreto de 6 de Agosto; que la adición del Sr. Navas Habiéndose leído la representación dirigida al Congreso por los in era el medio de anular todo lo' acordado por las Cortes actuales, y por dividuos del extinguido cuerpo de Guardias de la Real Persona, acuar el decreto de 6 de Agosto de 1811; que S. S. había estado siem…</t>
  </si>
  <si>
    <t>Habitantes, Ramoo</t>
  </si>
  <si>
    <t>Ramoo Habitantes</t>
  </si>
  <si>
    <t>…han recibido de Costa-Firme las siguientes proclamas: Tendreislo entendido para su cumplimiento, y dispondréis se imprima, publique y circule. == Está rubricado de la.Real mano. A D. Ramoo Habitantes de estas provincias. Feliu. .. » En medio de un armisticio escrupulosamente observado por voso Circular dei ministerio de la Gobernación de la Península. tros, el general Bolívar me ha intimado su suspensión. Estaban pen Habiendo las Cortes por su aelrerdo de…</t>
  </si>
  <si>
    <t>Hacha, Josef</t>
  </si>
  <si>
    <t>Josef Hacha</t>
  </si>
  <si>
    <t>…ra el Acuña, Calatrava , Lallave &lt;j D. Vicente), Oliver., Saenz y Gutiérrez de Teruel á D. Andrés Casáyus: para el de Mora á D. Ignacio Sazade Teran. tornil.- para el de Alcañiz á D. Josef Hacha: para el de Monta{ban á No lo aprobaron los Sres. Traver , Peñafiel, González Allende, D. Rafael Larraz: para el de Cantavieja á D. Pedro Lapuente: para el Cabrero, Lobato, Banquerí, Cabaleri ,'Gd de Linares, Crespo Canto- de Calaicete á D. León González del…</t>
  </si>
  <si>
    <t>Hacha, Ramón</t>
  </si>
  <si>
    <t>Ramón Hacha</t>
  </si>
  <si>
    <t>…a provincia de Soria, procedentes del suprimido mes de Febrero, á D. Juan Fernandez Florez, D. Cesáreo monasterio de S. Prudencio, para cuyo primé'r rema Ampuero, D. Eduardo Pose, D. Ramón Hacha, D. Fran te, que se ha de verificar en la ciudad de Logroño, cisco y D. Antonio Falcó, D. Antonio Arévato, D. Josef esta señalado el dia 24 del presente. Aguilar, D. Santiago Irazabal, D. Josef Donesteve, Don Una casa en el arco de la Compañía de la ciudad de…</t>
  </si>
  <si>
    <t>Hacienda</t>
  </si>
  <si>
    <t>…e su Soberano; luego se ha dicho que iría acompañando á Con fecha 3 de Febrero último el Sr. secretario del Despacho fie sicil.iaha á sus Estados,.y.que lo misino harían el famosa conde Hacienda me dice lo que copio.: . , . . , ...1 de Blacas, embajador de Francia en Roma , el general St. Vincent, que ; El tesorero general de .la. Nación-tne. diqe con fecha. 27,de‘;Enero lo-es por Austria en: París ¡ el-conde de Truchess. por .parte de Frusta, último…</t>
  </si>
  <si>
    <t>Hacienda, Ju</t>
  </si>
  <si>
    <t>Ju Hacienda</t>
  </si>
  <si>
    <t>…Roble , por Mr. Eynar Mayor á 311 57' 36'' tiempo a.a Con fecha 30 de Junio último eISr. secretarlo del Despacho de verdadero, y en el observatorio nacional dé la Isla de León por D. Ju Hacienda me dice lo que copio: lián Canelas, que determinó el contacto al fin exacto á 3h 15' 19'',7 Los Sres. diputados secretarios de las Cortes me dicen en 26 del tiempo medio, y los resultados son los siguientes: actual lo que sigue -.,» Las Cortes se han enterado…</t>
  </si>
  <si>
    <t>Hacienda, Ministro de</t>
  </si>
  <si>
    <t>Ministro de Hacienda</t>
  </si>
  <si>
    <t>…ar sobre el dicta tral ¡dad, v por esrar mas cerca de todo el territorio deTuv, que es el men de la comisión. que compone la mayor parte de la provincia, tener ademas un puerto El Sr. Ministro de Hacienda hizo presente que las Cortes haban bastante capaz , ser residencia del consulado , cónsules y vice-cunsii'.os aprobado créditos contra la Nación sin que se supiese á cuanto ascen extrañe-aro*, v por ofre-CT mayor comod.Jad en lo» cdific.os . y mayor dida ; y…</t>
  </si>
  <si>
    <t>Hacienda, Resguardo de</t>
  </si>
  <si>
    <t>Resguardo de Hacienda</t>
  </si>
  <si>
    <t>…ado como Obligaciones de la inspección general. estaba en las bases. Articulo i.° La inspección general del cuerpo militar del Se pasó á discutir el art. 16, sobre el cual dijo el señor Resguardo de Hacienda estará por ahora á cargo de la jun Braamcamp que la palabra constitucional no designaba bien ta creada para formar la ordenanza particular del mismo la forma de Gobierno , el cual deseaba se llamase Monar cuerpo, y la instrucción sobre el modo de sustanciar l…</t>
  </si>
  <si>
    <t>Hacienda, Vicente Bertrán la</t>
  </si>
  <si>
    <t>Vicente Bertrán la Hacienda</t>
  </si>
  <si>
    <t>…cometen con esta negociación: que informe el Gobierno-so los, particularmente el 4.0; que otra de las causas de la decadencia de bre la naturaleza de la propuesta que tiene hecha D. Vicente Bertrán la Hacienda era el que los jueces de primera instancia se mezclen en de Lis: que se formalicen las' liquidaciones á dicho Bertrán de Lis , 7 los negocios de la Hacienda pública, como resulta de las consultas que que el Gobierno exija la responsabilidad al contador genera…</t>
  </si>
  <si>
    <t>Hagerman, Joñas</t>
  </si>
  <si>
    <t>Joñas Hagerman</t>
  </si>
  <si>
    <t>…pensables, pues cada Sr. diputado querria que aquel pueblo á Pamplona; D. Joaquin de Meñaca y Batiz, de Bilbao; D. Joaquín Ca que tiene mas cariño fuese preferido á los demas. no; D. Joñas Hagerman, de Paris ; D.* Juan Redondo y Garzón , da En seguida hizo presente el modo con que sé habia hecho esta di Cádiz; D. Mariano Comparins, de id.; Doña María Ce-ferina, de Corvisión en Francia , y comparó el número de leguas cuadradas y de al cuera ; Sres. oficí…</t>
  </si>
  <si>
    <t>Hahrieber</t>
  </si>
  <si>
    <t>…o á sinuación hecha al Austria por el Gabinete británico hubiera las leyes. ¡Cuán grato me es aprobar las ideas que el tenido el mayor influjo ; y que aquella potencia no se hubie Sr. Hahrieber ha manifestado en la obra que acaba de pu ra negado á lo que este solicitaba, si su determinación de blicar contra este abuso!” oponerse se manifestaba terminantemente. En este supuesto __Se esperan con impaciencia noticias de Laibach;. pero era una mofa impe…</t>
  </si>
  <si>
    <t>Halar, Lope Mar</t>
  </si>
  <si>
    <t>Lope Mar Halar</t>
  </si>
  <si>
    <t>…hombres. expresando su carrera y la edad en que se halla. Las armas de lá libertad fueron- vencidas én los funestos campos de V¡- Martirio de la Virgen : poema compuesto por el P. D. Lope Mar Halar, y la desventuradaJEspaña-.gipUÓ bajo el poder arbitrario por es tin Merino, misionero apostólico, y presbítero del seminario y con pacio de tres siglos. ■ . gregación de PP. misioneros del Salvador del Mundo en esta corte , pa Mas afortunados fueron los hola…</t>
  </si>
  <si>
    <t>Halgan</t>
  </si>
  <si>
    <t>…Confederación germánica. donde el interes del comercio reclama la presencia de estos buques; en Después de haber sido triste espectador de ios males que Sa religión fin el contra-almirante Halgan toma todas las medidas necesarias para católica ba-padecido durante las calamidades de Jos últimos tiempos, que los franceses , sus barcos y sus propiedades sean, pr ueaidos, y te vió el Sto. Padre con la mayor satisfacción que los Príncipes y teta nemos la m…</t>
  </si>
  <si>
    <t>…ún tanto los ánimos, aunqne no enteramente. Se va reno vando la antigua antipatía nacional, y por todas partes se manifiestan Smirna de Agosto. síntomas de descontento.” El contra-almirante Halgan, comandante de la escuadra francesa en Levante, salió el dia 8 dé este mes para Salónica con las fragatas la PRÜSIA. Querriere y la Fleur de Lis. Antes- de su salida había despachado este oficial general í la isla Berlín 11 de Setiembre. neutral de Cérigo lí…</t>
  </si>
  <si>
    <t>Halm</t>
  </si>
  <si>
    <t>…Voi al Congreso para cumplir lo que he jurado. Ten . . ■ ' • t. ■ Vieria zg de Diciembre. go mucha satisfacción en dejar á mi querido Hijo por Re . El 21 volvió á .ésta capital el barón Halm, gentilhom gente del reino. A Dios le -pido que me dé. toda la fuerza bre de cámara:de: S.M. el- Emperador. Alejandro, y Jtjit- jpecesaria ■pata cumplir mis intenciones.” tario derla: legación, el cual habia ido. en comisión á Ñapó Ei él mlstnó día 13 envió e…</t>
  </si>
  <si>
    <t>Hamilton</t>
  </si>
  <si>
    <t>…leyes, nuestra Constitu nistros. El número de vocales que estaban presentes al ción y nuestras libertades. Todo verdadero ingles debe te principiarse la discusión era de 576, y el lord Hamilton ner el mayor interes en que no se sofoque el espíritu de empezó su discurso en estos términos: libertad que va cundiendo por los pueblos de Europa; y. »La$ peticiones que acabais de oir expresan la opinión por consiguiente deseará que España, Nápoles y Por pú…</t>
  </si>
  <si>
    <t>…se imitaba á la España en la convocación de los diputados riese á la tropa, ni se procurase seducir á la muchedumbre. de Ultramar cuando formó su Constitución, y que los portu El lord Hamilton volvió á tomar la palabra para defen gueses no estaban en iguales circunstancias. El Sr. Margiochi der sti propuesta ; pero habiendo pasado á votación fue des pidió que se pasase e! decreto á una comisión, para que echada por 310 votos contra 209. meditando s…</t>
  </si>
  <si>
    <t>…on que la Cámara de los Comunes se Viena 21 de Enero. desentendió de la proposición presentada en la mañana deL S. A. R. el duque de Módena llegó á Laibach el día 13 sábado por el lord Hamilton, algunas personas se habrán de este mes. La corte de Austria , ¡a de Ñipóles y todos persuadido que en la próxima reunión de la Cámara se dis los ministros fueron á cumplimentar al Emperador de Ru cutirá nuevamente el mismo asunto; pero erraría quien asi sia…</t>
  </si>
  <si>
    <t>Hardemberg</t>
  </si>
  <si>
    <t>…enzadas, se establecerá un mé gará el Emperador y la Emperatriz , y el 30 el Emperador todo económico, el mas sencillo , con reglas invariables pa Alejandro: también están aquí el príncipe Hardemberg, el ra iinpedir abusos. 12. Lo mismo se establecerá para llevar embajador de Francia y el de Rut-ia. Los condes de Capo la cuenta y razón de toda la casa; pero de una manera d’Istria y Nessdrode vendrán con su Soberano. Hoy habrá igualmente sencilla y muy eco…</t>
  </si>
  <si>
    <t>Haro, Miguel de</t>
  </si>
  <si>
    <t>Miguel de Haro</t>
  </si>
  <si>
    <t>…egada á Portugal, y se A la de Infracciones de Constitución, con urgencia, una exposición acordó que la comisión de Legislación lo extendiese y presentase ai del mariscal dé campo D. Miguel de Haro, gobernador de Tortosa, Congreso. quejándose de D. Antonio Aniceto Sánchez, juez de primera instancia Se continuó la discusión de la ley de libertad de imprenta; y ha de aquella ciudad, por ser contrario al nuevo sistema, y uno de los que biendo preguntado el…</t>
  </si>
  <si>
    <t>Haro, Pedro Simó López de</t>
  </si>
  <si>
    <t>Pedro Simó López de Haro</t>
  </si>
  <si>
    <t>…o á sus compatriotas con motivo ría de Moya y D. Juan Nepomuceno Vela: en la de Sevilla á D. Jo de haber acordado S. M. que baya Cortes extraordinarias , y las obser sef de Mier y D. Pedro Simó López de Haro: en la de Astúrias á Don vaciones hechas por un amante de la Constitución y de las leyes sobre Francisco A yuso y Mena: en la de Extremadura á D. Esteban de un discurso pronunciado en la reunión patriótica de la Fontana de Oro Asta y D. Juan Modesto de la Mot…</t>
  </si>
  <si>
    <t>Harrosvby</t>
  </si>
  <si>
    <t>…desagradables acontecimientos del segundo cuerpo del egérhá unian el Estado con la iglesia anglicana. cito que estaba á mi mando en los Abruzaos , y las causas principales qutt El conde Harrosvby votó en favor de la segunda lectura, advir- produjeron ran funesta catástrofe. De esta suerte no recaerán sobre la tiendosin embargo que creía se podían hacer algunas mixtificaciones en nación mas que las consecuencias del suceso ; pero de ninguna manera el b…</t>
  </si>
  <si>
    <t>Harrouby</t>
  </si>
  <si>
    <t>…oficialidad no sabria sostenerla dignamente, si á los asuntos del Rey y Reina, y á que se aseguraba la di no os manifestase la sinceridad de sus afectos. Cierto es que misión del lord Harrouby de su empleo de presidente del su débil voz apenas puede articular palabra con la memoria consejo. Los periódicos ae París publican la exposición de de los terribles males que os afligieron; instrumento aciago la Ciunara de los Diputados al.Rey .y- ia respues…</t>
  </si>
  <si>
    <t>Harrowbv</t>
  </si>
  <si>
    <t>…a no podían retractarse sin incur esparcido ayer ei rumor, y nosotros lo tenemos por bien fundado , de que rir en la pena de falso testimonio. Condenado por solo el dicho d: un •1 lord Harrowbv, el vizconde Melville y ellord Sidmouth han hecho relator en un tribunal inferior , sede remitía á una de las salas del Par dimisión 'de1 sus empleos : y se señala á Mr. Canning para reemplazar lamento , algunas veces á mas dé too leguas de distancia. al lord…</t>
  </si>
  <si>
    <t>Harrowby</t>
  </si>
  <si>
    <t>…ículo si El Príncipe Leopoldo ha visitado otra vez á la Reina, guiente : y permaneció dos horas con S. M. «Siendo importantísimo que la reunión de las Cortes na Se ha dicho que el lord Harrowby había dejado sú des cionales no se difiera un momento mas allá del plazo señalatino de presidente del consejo. do, y deseando el Gobierno que luego que se hallen en Lis El lord Clifton ha rehusado presentar al Rey la repre boa los dos tercios de los Sres. dip…</t>
  </si>
  <si>
    <t>…e de Li de de Sampayo. Concluido este discurso, declaró dicho verpool, el conde Bathurst, el conde de Westmoreland, Sr. que quedaban instaladas las Cortes. Siguióse la elección el conde Harrowby, los vizcondes Melville, Sidmouth y de presidente, y recayó esta en el mismo M. R. arzo Castiereagh, el canciller del Echtquier, Mr. Robinson, bispo , que lo era de la junta preparatoria : quedaron lue Mr- Wellesley Pole, el duque de Wellington y Mr. go elect…</t>
  </si>
  <si>
    <t>…é too leguas de distancia. al lord Melville en el almirantazgo ; pero no sabemos quien será el que Allí se le imponía Ja sentencia , que podían agravar los jueces si les suceda al lord Harrowby en la presidencia del consejo, ni al lord Sid parecia , conden índole al lormer.to. ( Exclamaciones á la derechi: al mouth en el ministerio de! Interior. presupuesto, ai presupuesto.) Todavía r.o »: lia olvidado la bárbara va __A ver hubo en la Cámara de los…</t>
  </si>
  <si>
    <t>Harrowby, Strang-</t>
  </si>
  <si>
    <t>Strang- Harrowby</t>
  </si>
  <si>
    <t>…abinete en la secretaría de Estado Odesa 3 de Noviembre. convocado por lord Sidmouth , al que asistieron los lores Liverpool, - Según las éltimes cartas recibidas de Petersburgo , lord Strang- Harrowby , Westmorelandt, Londonderry y Melville , el lord Canci ford, que tiene grande influencia en el divan, ha pasado al conde de Nes-' ller , el canciller del echiquier y Mr. Robicson: duró hasta las cuatro SL-lrode por medio de los agentes diplomáticos ingleses…</t>
  </si>
  <si>
    <t>Harrowla</t>
  </si>
  <si>
    <t>…ichos sugetos son los siguientes: S. A. R. el duque pas sí van acercando sucesivamente á las fronteras meridionales; y que de Yorcfc, el arzobispo de Cantorbery, el lord Eldon, el lord Harrowla parte septentrional de este vasto imperio se halla ademas indefensa, by, el conde de Westmorelanü, el duque de Montrose, él deWepues qué ya no existen alli los regimientos que antes la guarnecían. Aña llington, el marques de Winchester, el de Cholmoñdeley y L…</t>
  </si>
  <si>
    <t>Haussmann</t>
  </si>
  <si>
    <t>Gaceta del Gobierno n.º 59</t>
  </si>
  <si>
    <t>…en el Diario de física de Delametherie, se es VARIEDADES. cribieron desde 1787 hasta 1806. En una de mis cartas á Mr. Berthollet, fecha en 10 de Enero de 1890, por yerro Carta del señor Haussmann d los redactores de los Aña- de imprenta, se me da el nombre de Hauffmann en lugar les de química y física sobre la aplicación de los co de Haussmann. Lo mismo sucede en una memoria mía con lores minerales á las telas. tenida en el cuaderno 158 de los Anales…</t>
  </si>
  <si>
    <t>Hay</t>
  </si>
  <si>
    <t>…rcligiosasí'Est*)cdstunidarán;-.á.lo mas cuatro ó. cinco'vocales c.itóiicds.. En. cuanto al empleo . •bre,-añadió el orador, és di fecha' muy anteriora la revolución ,*■ p'ués de ministro Hay una rizón decisiva, y es que el Parlamento será siem es tan vieja como la monarquía; y en el antiguo régimen, que tanto pre esencialmente protestante, y que el Rey deberá también serlo; los echa menos Mr. Marcellus (risa), se señalaban los días festivos para…</t>
  </si>
  <si>
    <t>Hay, Ra</t>
  </si>
  <si>
    <t>Ra Hay</t>
  </si>
  <si>
    <t>…f Larreategui, D. Josef Perez Morales, D. Josef 7■ 5- 3- 34- Pío de Molina, D. Manuel García del Barrio, D. Marcos Cubilio, D. Mariano Valero, D. Nicolás de Puga, D. Pedro Matute, D. Ra Hay ademas cuatro sospechosos. fael Costa y D. Tomas Polo Catalina. Madrid l.° de Noviembre. Parroquia de S. Marcos, p electores. En el domingo próximo 4 de Noviembre se han de celebrar en toda D. Josef de Arca, D. Josef Huel, D. Juan Antonio Villarino,' la Penín…</t>
  </si>
  <si>
    <t>Hayerman, Jenas</t>
  </si>
  <si>
    <t>Jenas Hayerman</t>
  </si>
  <si>
    <t>…ue le siga, concebido en estos términos: « Lo D. J. C. Bernales, de Londres. D. Mariano H.rnandez Noeuee. dispuesto en el artículo anterior solo tendrá efecto en tiempo de paz. En D. Jenas Hayerman, de Bilbao. D. Miguel Zabaleta. tiempo de guerra interior ó exterior, después que las Cortes hubieren D. Josef Sigler Bustamante, de D. Pedro Elias. declarado por los votos de dos terceras partes de sus diputados estar ¡a ValladoLd. D. Pedro Ricardo. patria e…</t>
  </si>
  <si>
    <t>Heath</t>
  </si>
  <si>
    <t>…ue por él y otros se efeey salió de Valparaíso-, pero el lord Sufjicld, capitán Brown, y la tú.i, á causa de no investigarse y aprovecharse los productos del sue'o Rd-zvard Bilis, capitán Heath, aun permanecían allí. español. La sociedad espera que cuantas personas deseen ó necesiten la El corsario insurgente que cruzaba en estas aguas (llamado nuevo puzolana de Olot se dirigirán al efecto al ayuntamiento constitucional Congreso, de Margarita, con p…</t>
  </si>
  <si>
    <t>Henriquc</t>
  </si>
  <si>
    <t>…ornada con sencillez, con Demostración histórica del valor de las monedas que corrían en Castilla los atributos que le corresponden. A la vuelta va otra lámina que re en tiempo de D. Henriquc iv , y su correspondencia con las del Señor presenta la ley fundamental, y la ocasión por donde hemos vuelto á D. Carlos iv, por el P. Fr. Liciniano Saez: un tomo en 4.0 marquilla. lograrla, cuyo asunto severa aclarado por la inscripción siguiente, que — Ensa…</t>
  </si>
  <si>
    <t>Henríque</t>
  </si>
  <si>
    <t>…los des Alonso i ir de'Aragón'deciiu-ó''despt&gt;es-Ia guerra á uno do los reinos' graciados, ¡se podrá decir que es.conquistar , 9 rescatar ! ; vecinos, en él-cual "teñía el Infante D. Henríque algíihilS rstitas; le lia-'-- - Cuando las huestes de* Napoleón; salieron de Madrid huyendo de «ó &gt; y le dijo;: ,;Pata que quedes remunerado, aquí tienes este pergaminos*' nuestro egército,-y quedó la Corte bajo 11 dominación española , jpo sujeta 4 Segói-Ve…</t>
  </si>
  <si>
    <t>Henrique</t>
  </si>
  <si>
    <t>…Juan ir, citada por el Sr. Marina , al de 145J , en que se ex desde 15) no pasen de 40: tres alcaldes, 12 regidores y dos pro pidió la que acababa de leerse, promulgada por el Rey D. Henrique iv curadores en los de 4 á ic9: en los de io0 á i69 cuatro alcal en las Cortes de Córdoba, se encontraba una contradicion muy consi- des, 16 regidores y tres síndicos: en los de i69 á 220 cinco al '..•ujiii , cijya ob^ert ado.i üii,ia presente, no para foi tn…</t>
  </si>
  <si>
    <t>Henrique, Henifique</t>
  </si>
  <si>
    <t>Henifique Henrique</t>
  </si>
  <si>
    <t>…en fuera de dicha capital, en Medina del Real, provincia de Sevilla, el paradero de los herederos de los señores Campo el de carmelitas descalzos; el de dominicos, reuniéndose sus D. Henifique Henrique de .Guarnan y Doña Bernabela de Morales; lia religiosos á los de Valladolid ; ei de agustinos calzados , el de trinita acordado se citen por el presente, para que en el1 término de 20 días, rios calzados y él de carmelitas calzados, agregándose los individuos…</t>
  </si>
  <si>
    <t>Henriquez, Francisco</t>
  </si>
  <si>
    <t>Francisco Henriquez</t>
  </si>
  <si>
    <t>…o provisional hasta que el Gobierno adquiera ¡os conocimientos Por Galicia. Ademas de los que se pusieron en la gaceta del g los necesarios para fijarla definitivamente.Sres. Lie. D. Francisco Henriquez, y Lie. D. Josef Rafael Fernandez S.° Los actuales cuerpos de milicias conservarán su antigüedad, yCid- Suplentes. Lie. D. Josef Moure, teniente coronel; D. Antonio los de nueva creación sortearán la suya en la junta de inspectores, de Jusef Acevedo , comerci…</t>
  </si>
  <si>
    <t>Henriquez, Joaquín</t>
  </si>
  <si>
    <t>Joaquín Henriquez</t>
  </si>
  <si>
    <t>…CIOS. regulaciones anteriores á la detención del general Bonaparte en ella. Por providencia de 15 de Diciembre último del consulado nacional Se halla vacante por renuncia del Lie. D. Joaquín Henriquez la pla de Cádiz se decretó que se cítase y emplazase á cualquiera que se consi-: za de oficial mayor de la secretaría de la diputación provincial de To deruse con derecho á los bienes del concurso de la compañía de D-,Bar ledo. En el término de 1 5 dias, cont…</t>
  </si>
  <si>
    <t>Henriquez, Josef</t>
  </si>
  <si>
    <t>Josef Henriquez</t>
  </si>
  <si>
    <t>…o por lo que á mí toca que no será mejor que él juzgado del Sr-. D. Francisco Josef de Dosal, juez de .primera «1 que tengo hoy. instancia dé Córdoba, y por su escribano de número D. Josef Henriquez, El barón. insiguen autos de inventario,' formados en virtud del fallecimiento de Vos teneis la culpa: ¡por qué nos habéis hecho parar en un lugar Doña Juana Duran, natural que fue de la ciudad de Baza, provincia de tan malo, que ni aun siquiera hay pan l Per…</t>
  </si>
  <si>
    <t>Henriquez, Pedro</t>
  </si>
  <si>
    <t>Pedro Henriquez</t>
  </si>
  <si>
    <t>…Se dice también que va á ponerse en pie’de guer D. Gaspar Ondovilla Iñigo: para el partido de Huete á ra un gran número de tropas prusianas. D. Joser Poveda: para el dé Iniesta á D. Pedro Henriquez El Morning Chronüie del día ; trae el artículo siguiente: Montero : para el de Bel monte á D. Pascual Carcosen: pa «Mr. Cannirig, que sale el domingo para París, ha escrito ra el de Roda á D. Francisco de Paula Perez Rangel: á Mr. Bolton de Liverpool, una carta (que se ha enseña…</t>
  </si>
  <si>
    <t>Henry, Pedro</t>
  </si>
  <si>
    <t>Pedro Henry</t>
  </si>
  <si>
    <t>…letras de la villa de Guadaintegral se adjudicará la traducción de la mecánica de Francour y lix , de esta provincia, cuya dotación es de 400 ducados anuales, pa el suplemento de D. Pedro Henry. gados por el ayuntamiento en cuatro tercios luego que cumplen: los A los que sean examinados de hidráulica y mecánica se adjudicará pretendientes i quienes acomode han de estar examinados en dicho el examen marítimo de D. Jorge Juan y la medalla grande de la…</t>
  </si>
  <si>
    <t>Her, Josef María</t>
  </si>
  <si>
    <t>Josef María Her</t>
  </si>
  <si>
    <t>…D. Joaquín Antonio Hernández: para la de Sanlúcar la Mayor á han sido aprobados por el señor intendente de esta provincia, y lia se D. Josef Domingo Casaux: para la de Trigueros á D. Josef María Her ñalado el término de 10 dias para la mejora del cuarto; otros 10 para rera: para la de Vil briba del Alcor á D. Félix Antonio Ramos Arre el diezmo, aun cuando no haya tenido efecto la primera, y otros ió dondo; y para la de Utrera á D. Antonio de la Sierra y…</t>
  </si>
  <si>
    <t>Her, Miguel</t>
  </si>
  <si>
    <t>Miguel Her</t>
  </si>
  <si>
    <t>…pasado muchos años á favor de lí instrucción pública. pueblos en que haya autoridades tan decididas, francas y zelosas como El liberal discernimiento de su director y primer actor D. Miguel Her las que rigen aquella ciudad del Africa. El egemplo de los que man nández procura atender mas á Jo qué puede instruir que á lo que pudie dan es el mejor aliciente para obedecer, y el mejor medio pafa en ra ser mas ganancioso á la empresa; y por estos principi…</t>
  </si>
  <si>
    <t>Herá, Diego Narciso</t>
  </si>
  <si>
    <t>Diego Narciso Herá</t>
  </si>
  <si>
    <t>…s digno de toda de correos indicadas en el prospecto y demas anuncios. lá atención del Gobierno el recurrir á una reforma que pueda desviar Compendio de la Aritmética universal de D. Diego Narciso Herá aquellos hombres de la ociosidad , proporcionándoles algunos recur ranz para el uso de Jos niños que concurren á tas escuelas de primeras sos de ocupación. letras. Esta obrita, compuesta de.15' pliegos, y 20 capítulos en 8.°, con &gt;• No parece sino que las ley…</t>
  </si>
  <si>
    <t>Herbst</t>
  </si>
  <si>
    <t>…reñere~qiTé~et Gobierno grison ha sido re ye, ministro ce Francia en la corte de Rusia, que acaba de querido para que entreg re á...... (no se sabe á quien) el llegar de Troppau. profesor Herbst, aaregado al colegio establecido en Coira; El principe Ruffo, antiguo ministro da S. Ai. el Rey y otro periódico dice ser falsa esta noticia , y que este profe de las Dos Siciiias en nuestra corte, debe pasar también á sor ha sido llamado á una universidad pr…</t>
  </si>
  <si>
    <t>Heredia, Diego de</t>
  </si>
  <si>
    <t>Diego de Heredia</t>
  </si>
  <si>
    <t>…administración la forma que le pa D. Juan de Padilla, D. Juan Bravo y D. Francisco Maldonado, y los reciese mejor, y por consiguiente la de arreglar el ministerio, podía de Aragón D. Diego de Heredia, D. Juan de Lanuza y D. Juan de distribuir el trabajo entre sus agentes del modo que creyese mas opor Luna. La comisión proponía 14 artícelos, que se mandaron imprimir tuno; después de haber manifestado la necesidad y la utilidad del esta junto con el discurs…</t>
  </si>
  <si>
    <t>Heredia, Gonzalo</t>
  </si>
  <si>
    <t>Gonzalo Heredia</t>
  </si>
  <si>
    <t>…ta; pero triunfará al fin Govantes Fernandez de Angulo: para la de Granada á D. Manuel Jo la Constitución, que es la razón pública, revestida de -ana forma letal. sef de Vilches y D. Gonzalo Heredia: para la de Sevilla á D. Blas Con todo hasta que esta se vea sólidamente establecida ¡ cuántos dis Araguetes: para la de Astriñas á D. Fernando Pinuaga y D. Pascual gustos y males nos hubiera ahorrado el Gobierno, haciendo por su Aipuente: para la de Extremad…</t>
  </si>
  <si>
    <t>Herirlo, Cipriano</t>
  </si>
  <si>
    <t>Cipriano Herirlo</t>
  </si>
  <si>
    <t>…capital en e! mis das. Los individuos que mas se distinguieron en esta acción fueron el ino Bilbao; y la otra de ¡as compañías de milicia nacional voluntaria capitán de cazadores D. Cipriano Herirlo con toda su compañía, el te de Vitoria, dirigida por el gefe político de la misma , en solicitud de niente D. Josef Martínez Kortun, del batallón de Barinas , el de mili que se conserve independiente aquella provincia, ó que en el caso de cias D. lelesforo Gu…</t>
  </si>
  <si>
    <t>Herla</t>
  </si>
  <si>
    <t>…icación que en la gaceta del 14, col. id del suple La Cámara de los Diputados Je Francia continúa en sus debates , y mento , lín. 31 , se atribuyó al Sr. Méndez , fue hecha por el Sr. Herla de los Pares, como tribunal, en el proceso sobré la famosa conspi mnsilla. En la misma indicación , donde dice Chi.mimuias, Sahei'c.¡ue, ración de Agosto. Saeafa y Goaral, léase Ckiyuimttla , Qiicsalteyequc, Sacan a y G ¡talan. SUPLEMENTO</t>
  </si>
  <si>
    <t>Hermene</t>
  </si>
  <si>
    <t>…ncia del partido de "Valderas, provincia de J_eon , vin Se suspendió esta discusión para que hablase el Sr, encargado de la dicándose de la infracción de que sé.quejó á las Cortes D. Hermene secretaría de Estado, el cual dijo que S. M. habia recibido un correo gildo Chaca; vecino de aquel pueblo: otra de D. Antonio Pimentel, extraordinario,,.* que traía la agradable noticia de que S. M. Fidelísima juez de primera instancia de Montilla, provincia…</t>
  </si>
  <si>
    <t>Hermosília</t>
  </si>
  <si>
    <t>…tos claros del mundo, desde la Laponia hasta la costa patagónica, y de aprovechar la estación del verano. desde la China hasta la Islandia , habian previsto que el bárbaro, fe El Sr. Hermosília dijo que ya habla llegado el tiempo de dar á roz, fanático y vil servilismo opondria una resistencia bestial á las entender á los indios que se reconocían sus derechos , y desvanecer las instituciones justas y benéficas , que no el espíritu de innovación , no…</t>
  </si>
  <si>
    <t>HermosilJa</t>
  </si>
  <si>
    <t>…as provincias, acerca del Sesión extraordinaria del 13 empleo de protector de judíos, que se le pidió á consecuencia de una Se leyó y aprobó el acta de la anterior. indicación del Sr. HermosilJa y otro Sr. diputado. Se aprobaron los siguientes dictámenes de varias comisiones. Las Cortes quedaron enteradas de un oficio que el'gefe político de El de lá segundá de Legislación acerca de la solicitud de D. Josef Cdstafirme remitió • al- Sn. secretario de…</t>
  </si>
  <si>
    <t>Hermosilla, Bernardo Parras</t>
  </si>
  <si>
    <t>Bernardo Parras Hermosilla</t>
  </si>
  <si>
    <t>…experimentos directos , con J’or AUa'.ú. D. Manuel de Miguel Bravo , vecino de Cobeiia. aquel tino é imparcialidad que se desea y es necesaria, para averiguar Por IM.w.nlcarnero. D. Bernardo Parras Hermosilla , vecino de San el origen exótico ó local de la fiebre amarilla en ios pueblos en que por 'Martin de VaideiiíJesias. desgracia se ha manifestado hasta el dia, ó se desarrolle en lo sucesivo, Surtientes. D. Diego Parada , propietario de esta corte. D. Manuel a…</t>
  </si>
  <si>
    <t>Hermo’síllá</t>
  </si>
  <si>
    <t>…ecto, á propuesta de la comisicn Se mandó pasar á la comisión que entiende en estos asuntos una de Examen de cuentas de diputaciones provinciales , en sesión ordina indicación del Sr. Hermo’síllá , relativa í quépor haber dado pruebas de ria del dia 6 de Noviembre último; y recibido que sea dicho informe, patriotismo y respeto al',Rey y á las demas autoridades, y tener otras -se pase á la expresada comisión, para que á la mayor brevedad expon circfinl…</t>
  </si>
  <si>
    <t>Hernández, Alfonso</t>
  </si>
  <si>
    <t>Alfonso Hernández</t>
  </si>
  <si>
    <t>…las gracias en su Real nombre, y que se publique esta acción en la ga ceta de Madrid para satisfacción de los interesados , cuyos nombres son NOTICIAS DE ESPAÑA. .lo» siguientes: comandante D. Alfonso Hernández; milicianos Simón González, Angel Villaserinr, Josef Sánchez Agustin, Eugenio Gó Barcelona xa de Octubre- mez , Lucas Serna, Felipe Casero, Aquilino García , Antonio Navar ro, Antonio Mercado, Pedro Diezma, Gregorio Martin, Meliton &amp;AX.UZS PUBLICA. Ribera , J…</t>
  </si>
  <si>
    <t>Hernández, Anselmo-Antonio</t>
  </si>
  <si>
    <t>Anselmo-Antonio Hernández</t>
  </si>
  <si>
    <t>…ley; dando al efecto la certificación oportuna Rico: D. Agustín de Torres, por Cataluña: D Mariano para el Crédito público en la forma misma que está preve Zorraquin, por Madrid: D. Anselmo-Antonio Hernández, nido, y se practica; con la cóngrua da ios religiosos, sin otra</t>
  </si>
  <si>
    <t>Hernández, Antonio</t>
  </si>
  <si>
    <t>Antonio Hernández</t>
  </si>
  <si>
    <t>…o oyeron con los inventos medicinales, y á consecuencia del examen detenido que agrado, y mandaron se hiciera mención en el Diario, y que se tenga hicieron de la representación de D. Antonio Hernández, cirujano ho presente en la división del territorio de Canarias. norario de la Real Familia, que solicitaba se le diese una patente para A la comisión de División del territorio español se pasó una soli vender un jarabe pectoral corroborante .que. habia inven…</t>
  </si>
  <si>
    <t>Hernández, Joaquín</t>
  </si>
  <si>
    <t>Joaquín Hernández</t>
  </si>
  <si>
    <t>…correspondien por tener de ella que pagar las costas y gastos de oficio. te á su naturaleza. Intentar pues remediarlos con inquietudes y decla Por providencia del.Sr. -licenciado D. Joaquín Hernández , aboga maciones, y querer reducir al camino de la justicia á los funcionarios do y juez de primera instancia de la villa de Osuna, se ha mandado que públicos, desobedeciendo abiertamente las órdenes ó providencias que los bienes de Jos patronatos laicales fu…</t>
  </si>
  <si>
    <t>Hernández, Joaquín Antonio</t>
  </si>
  <si>
    <t>Joaquín Antonio Hernández</t>
  </si>
  <si>
    <t>…itos contra el Estado, y con sujeción al Moraño: para la de Moran í D. LuisOrtiz de Zúñiga: para la de Osuna reglamento aprobado por las Cortes en 3 de Setiembre último; los que á D. Joaquín Antonio Hernández: para la de Sanlúcar la Mayor á han sido aprobados por el señor intendente de esta provincia, y lia se D. Josef Domingo Casaux: para la de Trigueros á D. Josef María Her ñalado el término de 10 dias para la mejora del cuarto; otros 10 para rera: para la de Vi…</t>
  </si>
  <si>
    <t>Hernández, N.</t>
  </si>
  <si>
    <t>N. Hernández</t>
  </si>
  <si>
    <t>…del capitán de infantería tensia de los diputados por la provincia de Mágico D. Josef Antonio y ex-ayudante de campo del general Porlier D. Juan Flores, en la del Cristo y Conde y D. N. Hernández. que pedia que á consecuencia de sus méritos y distinguidos servicios se Se dió cuenta de una exposición del ayuntamiento constitucional le recomendase al Gobierno, á fin de que lo coloque en la Hacienda de Peñaranda de Duero, informada por el Gobierno , en J…</t>
  </si>
  <si>
    <t>Herraiz, Antonio</t>
  </si>
  <si>
    <t>Antonio Herraiz</t>
  </si>
  <si>
    <t>…azas que quieran hacer' pretensión diri pecial de Guerra y Marina, relativo al sumario mandado formar al te girán sus memoriales á D. Pedro Antonio de la Rigada, procurador niente coronel D. Antonio Herraiz, sargento mayor del Batallón lige síndico de dicha junta, en el término de 40 dias, que se asignan a! efec ro cazadores del Genera!, y gobernador é intendente que fue de la isla to, desde Ja publicación de este avisoen la.gaceta. i ■ de Margarita, acerca de s…</t>
  </si>
  <si>
    <t>Herrera, Camus</t>
  </si>
  <si>
    <t>Camus Herrera</t>
  </si>
  <si>
    <t>…pecie humana prefe en Se suspendióda discusión, y se mandó, insertar en el acta el voto rir una renta corta sin obligación alguna a otra mayor trabajando, P r 11 e- particular del Sr. Camus Herrera, contrario á la aprobación de la pri ba de, esto mismo es la derogicion que-han hecho las Cortes de un ar mera parte del art. 78 sobre el plan de instrucción pública, tículo del decreto sobre cesantes, porque .muchos de ellos .preferían el ■ El Sr. presidente…</t>
  </si>
  <si>
    <t>Herrera, Cumus y</t>
  </si>
  <si>
    <t>Cumus y Herrera</t>
  </si>
  <si>
    <t>…precaver del contagio, nuestras fronteras de mar y ticr’a. dudas propuestas por el gde político de Filipinas. « Si volvemos la vista hacia lo interior de la monarquía, ;cuántos El Sr. Cumus y Herrera pidió que se leyeran ¡as actas, y que pamotivos hay para bendecir la divina Providencia! .sasen á una comisión especial; pero las Cortes reso-.vieron que fuese » Los manifiestos progresos de nuestra industria, agricultura y artes . á a de Poderes. .prueban lo…</t>
  </si>
  <si>
    <t>Herrera, Fian'cisca</t>
  </si>
  <si>
    <t>Fian'cisca Herrera</t>
  </si>
  <si>
    <t>…maravedises en la de Juan Herrera sobre-alcabalas de Sevilla , núm. 90, maledicencia, podrán servirles de escarmiento, y pronosticarles la suer y’otro de 24,000 mrs. en cabeza de Doña Fian'cisca Herrera sobre se te que les espera. Cuando se confunde la licencia con la libertad de la ñoríos de Sevilla, núm. 7’, en favor del mayorazgo que fundaron An imprenta se puede por algún tiempo excitar la curiosidad popular , y drés Herrera y Doña Casilda de Salazar, qu…</t>
  </si>
  <si>
    <t>Herrera, Francisco</t>
  </si>
  <si>
    <t>Francisco Herrera</t>
  </si>
  <si>
    <t>…dia acomodar á los pueblos, y que en la ac bución que decretaron las Cortes en el año pasado: una solicitud de tualidad se necesitaba mas que nunca de aquellas corporaciones , por D. Francisco Herrera, vecino de Almoguera, para que se le perdonen que son las que dirigen la opinión. Concluyó diciendo que no con i3 rs. que quedaba debiendo por la contribución del año 19: otra de venía adoptar él proyecto de la comisión , y menos en las actuales D. Sebastian…</t>
  </si>
  <si>
    <t>Herrera, Josef</t>
  </si>
  <si>
    <t>Josef Herrera</t>
  </si>
  <si>
    <t>…Opúsculos político!, nó !é satisfacía la viudedad que tenia devengada, correspondiente al dedicados á ¡a juventud, que presentaba á las Corles. empleo que obtuvo su difunto marido D. Josef Herrera: Ja comisión , A las comisiones de Guerra y Hacienda se mandó pasar una soli en vista del informe del intendente del citado monte pió , opinaba que citud de varios comisarios de guerra destinados al reino de Valencia, debia accederse á la solicitud de esta iu…</t>
  </si>
  <si>
    <t>Herrera, Juan</t>
  </si>
  <si>
    <t>Juan Herrera</t>
  </si>
  <si>
    <t>…de 3 de Setiembre último en el primer dia útil si Joaquín Canala, D. Antonio Gumiel y D. Luis Ortega. Teniente guiente á los 30 arriba dichos, que deberán contarse desde el en que D. Juan Herrera, y subteniente D. Vicente Riestra, dastinados á la se inserte este anuncio en la gaceta inclusive. SUPLEMENTO</t>
  </si>
  <si>
    <t>Herrera, Manuel Díaz de</t>
  </si>
  <si>
    <t>Manuel Díaz de Herrera</t>
  </si>
  <si>
    <t>…los católicos han observado largos ción astronómica cristiana del calendario romano, formada y dirigida tiempos há con los protestantes! {Morning-Chronicle.') á las Cortes por el brigadier D. Manuel Díaz de Herrera, y se mandó pasar á las comisiones Eclesiástica y de Marina. T RANCIA- . El Sr. Marina .presentó una obra de filosofía que le han remitido varios literatos.de la Havana, á fin de que las Cortes la mandasen pa París g de Abril. sar á la comisión de Instrucción…</t>
  </si>
  <si>
    <t>Herrera, Mateo</t>
  </si>
  <si>
    <t>Mateo Herrera</t>
  </si>
  <si>
    <t>…que noten , como lo propone ¡a comisión. blioteca y comisión de Marina jo egemplares de una memoria presen Algunos individuos de las comisiones de Beneficencia y Salud pú tada por D. Mateo Herrera , relativa a la organización de ;a armada. • blica, cuando las comisiones reunidas trabaros de ¡a propuesta dei Go Si mando quedasen sobra ia mesa dos dictámenes de las comisio bierno para que ambos ramos estuviesen r-uanAo», íuerou de diCíauiaa, f ‘</t>
  </si>
  <si>
    <t>Herreros, García</t>
  </si>
  <si>
    <t>García Herreros</t>
  </si>
  <si>
    <t>…itud de los importantes, destinos que habilkn respondiesen bajo su responsabilidad del estado de la Nación. desempeñado, pudiesen ilustrar al Congreso, y contestar á las pregun El Sr. García Herreros dijo que creia que habian dado testimonios tas que se les hiciesen por los mismos diputados que habían manifes públicos de su patriotismo; que no les restaba mas que el honor, y tado este deseo. que si era preciso que lo sacrificasen por la patria, estaban pr…</t>
  </si>
  <si>
    <t>Herreros, Manuel García</t>
  </si>
  <si>
    <t>Manuel García Herreros</t>
  </si>
  <si>
    <t>…arán en las primeras sesio dicho periódica., calificándole de injurioso y calumnioso al secretario dé nes de cada uno de los dos años de la diputación general. ‘ Gracia y Justicia D. Manuel García Herreros, pedia se procediese á se 57. Si al acabarse las* sesiones de cada año hubiese alguna causa gunda calificación, y se exigiese la responsabilidadá.los individuos de la pendiente, continuarán los mismos jueces actuando hasta su conclu—. junta de censura que die…</t>
  </si>
  <si>
    <t>Herroz, Josef Manuel</t>
  </si>
  <si>
    <t>Josef Manuel Herroz</t>
  </si>
  <si>
    <t>…ubiese y su estado. zo presentación de un egemplar de la obra del Salustio traducida al La formada por el juez de primera instancia de Búrgos contra Don castellano. Domingo Basso, D. Josef Manuel Herroz y otros muchos , por haber La sociedad al examinar tales obras encontró primores nada comunes, intentado sacar de Madrid al Rey y su Real familia, con el fin de por no decir singulares, ya en la imitación perfecta que sobre una piel destruir el sistema consti…</t>
  </si>
  <si>
    <t>Hervás, Bernardo Josef de</t>
  </si>
  <si>
    <t>Bernardo Josef de Hervás</t>
  </si>
  <si>
    <t>…erse negado el divan á las para la de Segura de la Sierra á D. Josef Jorge del Molino; y para la propuestas que le remitió el Gobierno provisional de Valaquia: hallá de Caravaca á D. Bernardo Josef de Hervás. base dicho gefe con 12S) hombres, sin temer á los cuerpos turcos, pues batido por él el primero que se adelantaba, los demas han retroce Los que quieran hacer pretensión á plazas togadas de las audiencias dido. Ipsilanti no se precipita; todo su esmero es di…</t>
  </si>
  <si>
    <t>Herze, Martin de</t>
  </si>
  <si>
    <t>Martin de Herze</t>
  </si>
  <si>
    <t>…za á la persona ó personas qne pretendan tener derecho .ÍL En palacio á 7 de Julio de 1821.=A D. Antonio Barata. vinculo que fundó D. Pedro Gapeani de Saboya, del que fue poseedor D. Martin de Herze, oficial de tesorería de salinas en esta corte, cu AUDIENCIA D* VALENCIA. yas fincas radican en dicha ciudad y pueblos de Villatoro, Zorita y Muñana, para que se presenten á deducirle-en' el término legal, y al Vit#* general de cáreths. —Diciembre Jt -iSiQ. e…</t>
  </si>
  <si>
    <t>Hevia</t>
  </si>
  <si>
    <t>…esde la Havana refiere que se habla dado una batalla cer nos bárbaro y poderoso, que desde el norte de la Asia alta, bajó á ca de la Puebla entre las tropas del Rey , al mando del coronel Hevia, principios del siglo xm como un torrente despeñado hácia el Asia me y los insurgentes mandados por los coroneles Herrera y Bravo; el pri ridional , conquistando países inmensos. mero con 1200 hombres, y los últimos con unos 48. La batalla duro Este pueblo fu…</t>
  </si>
  <si>
    <t>Hey</t>
  </si>
  <si>
    <t>…i es también contrario á la Constitución , porque por mas lamente esta solicitud, siuo también lo que manifestó el Sr. Te- que mande aquellos egércitos como geneial, siempre es un general Hey. ran, entonces presidente de-las Cortes , de que no convenia en esta so Por todas estas consideraciones, y otras muchas mas, me opongo á que licitud , porque su mayor gloria era dejar á sus sucesores una causa , en se creen estos nuevos empleos, desconocidos…</t>
  </si>
  <si>
    <t>Heydebía, Jacinto Cayetano</t>
  </si>
  <si>
    <t>Jacinto Cayetano Heydebía</t>
  </si>
  <si>
    <t>…tendieron tener derecho al mayorazgo de les Vilíalbas, cuyo último Sr. Toreno, habia ya nombrado la comisión que en esta misma sesión cierto poseedor por ahora aparece haber sido D. Jacinto Cayetano Heydebía presentar su dictamen, la cual podía retirarse á otro lugar mas za é ¡nio , deduzcan en esta audiencia dentro del expresado término lo oportuno para presentar luego la contestación que hubiese acordado. que á su derecho convenga por medio de procurador legíti…</t>
  </si>
  <si>
    <t>Hidal, Joaquín</t>
  </si>
  <si>
    <t>Joaquín Hidal</t>
  </si>
  <si>
    <t>…os arbitrios á fin municipales. de satisfacer sus gastos municipales, A la de Libertad de imprenta una lista de las causas pendientes A la de Legislación tres exposiciones, una de D. Joaquín Hidal sobre abusó de dicha libertad en Sevilla, remitida por la junta interi go de Cárdenas, otra de D. Josef Calvo , y otra de D. Josef Mendo na de libertad de imprenta , y una consulta de la misma acerca de lo za , solicitando permutación de estudios. acaecido en…</t>
  </si>
  <si>
    <t>Hidalgo, Antonio Cañero</t>
  </si>
  <si>
    <t>Antonio Cañero Hidalgo</t>
  </si>
  <si>
    <t>…s europeos, no conoce límites en sus actos arbitrarios; pero D. Cristian .Stemberghe, de Bru- corte. tampoco se fia enteramente, y se prepata á una lucha, que podrá ser muy sélas. D. Antonio Cañero Hidalgo, de sangrienta si consigue fanatizar al pueblo musulmán. El resultado de D. Manuel Ruiz de la Prada. Córdoba. estas negociaciones se ignora todavía; y aunque se esperaba tiempo ha, D. Niell Campbell, de Paris. Sres. Llano y Echavarri, de Barbasta ahora la may…</t>
  </si>
  <si>
    <t>Hidalgo, Ignacio</t>
  </si>
  <si>
    <t>Ignacio Hidalgo</t>
  </si>
  <si>
    <t>…e les daba tres ral de recaudaciones, por ascenso de D. Antonio Martínez, á D. Jodias-de término.para que.entregasen á su sobrino y otros facciosos; en sef Garay, D. Juan jimeno y D. Ignacio Hidalgo. Las Cortes queda ia- inteligencia que de no hacerlo echaría por tierra la ciudad a fuer— ron enteradas; y el Sr. presidente dijo que señalaría dia -para tratar de la de bombas., no dando cuartel ni á los niños que intentasen fugarse. este negocio. ...... ...…</t>
  </si>
  <si>
    <t>Higuera, Antonio</t>
  </si>
  <si>
    <t>Antonio Higuera</t>
  </si>
  <si>
    <t>…formado por la junta nacional del Cridó Se dió cuenta del dictamen de la comisión de Hacienda acercl to público de ladeada reconocida hasta 31 de Marzo último. de la solicitud de D. Antonio Higuera, cónsul que fue de S. M. en A la misma comisión mandaron pasar una exposición de D. Juan Oran , remitida por el encargado del ministerio de Estado con reco de la Peña, residente en Gibraltar, y natural de estos reinos, en qué mendación del Gobierno, para que…</t>
  </si>
  <si>
    <t>Hila, Manuel</t>
  </si>
  <si>
    <t>Manuel Hila</t>
  </si>
  <si>
    <t>…oderse halle •se sirva remitirlo, ó avisar para que se recoja , al mismo D. Francisco en El Rey ha expedido el decreto siguiente: la ciudad de S. Lucar de Barrameda, ó en Madrid á D. Manuel Hila D. Fernando vil por la gracia de Dios y por la Constitución de rio de Zapatero, secretario contador del mónte-pio de oficinas naciola Monarquía española, Rey de las Españas, a todos los que las pre •najes , atento á que al que lo tenga ninguna utilidad le resulta, pues s…</t>
  </si>
  <si>
    <t>Hilarión</t>
  </si>
  <si>
    <t>…conv.sion vento la ceremonia de la bendición del agua al ruido de tres piezas de r.n seguida se discutieron y aorobaron.oiros varios artículos. artillería , habiendo celebrado el obispo Hilarión en honor de las tropas El presidente leyó) después e! presupuesto para el ministerio de Es recien venidas. tado, que ascendía á 7.870O francos( 3 1.4809 r$. de rn). Air. Labbcy Caniniar Sawe, que al parecer estaba determinado ¿ salir ce Bucharest,</t>
  </si>
  <si>
    <t>Hill</t>
  </si>
  <si>
    <t>…te mo El público aplaudió con mucha particularidad á los Príncipes de la vimiento es relativo á los negocios de Turquía. La correspondencia con familia Real, al lord canciller, al lord Hill, y especialmente ai mar la corte de Petersburgo e» de las mas activas. ques de Londonderry. Este ministro llevaba el uniforme'grande de la Se sabe que una comisión especial, compuesta de vocales del conse orden de la Jarretiera. jo áulico de guerra, se halla…</t>
  </si>
  <si>
    <t>Hinojosa</t>
  </si>
  <si>
    <t>…o del de Instrucción pública , varios egemplares de un. plan de estudios de la campo fronterizo se ha reforzado con diez caballos mas. universidad de Salamanca, que entregó el Sr. diputado Hinojosa. X Sebastian 8 de Marzo. En seguida se aprobó una indicación del Sr. Bernabeu concebida Ayer á las cinco de la tarde entró en la villa de Tolosa el general en estos términos: » Para evitar que en lo sucesivo no produzca equi López Baños, quien ha recibido los…</t>
  </si>
  <si>
    <t>…l de 30 para enagenar las cosas , aunque ño sea: de buena fe‘, sin em y por este.motivo retiró Ja indicación. bargo que en esta parte no estoy conforme, porque de mala fe no se El Sr. Hinojosa dijo que aunque era individuo de la comisión no puede ni debe poseer nada. Resulta pues que el despojar á los señores habia firmado el dictamen de la misma, porque disentía de él en su previamente exigiendo la presentación da títulos es una violencia irre : t…</t>
  </si>
  <si>
    <t>…Se continuó Ja segunda lectura del código civil hasta que volvió nia para creer que el ministerio preparaba una agresión contra el siste la diputación de palacio. Su presidente el Sr. Hinojosa dijo que S. M, ma constitucional, • pedia que las Cortes no se desentendiesen de las la habia recibido con la bondad que acostumbraba, y el de las Cortes razones que han tenido las autoridades y ciudadanos de aquel pueblo pa contestó que las mismas quedabah s…</t>
  </si>
  <si>
    <t>Hinojosa, Antonio Becerril</t>
  </si>
  <si>
    <t>Antonio Becerril Hinojosa</t>
  </si>
  <si>
    <t>…oncede S. M. napolitana á sus súbditos de las Dos Sicilias en lu ra la de Navalcarnero á D. Salvador Guerrero ; y para la de Colmenar gar de la adoptada por eL Parlamento. Viejo á D. Antonio Becerril Hinojosa. El Príncipe Cuto ha sido nombrado lugar-teniente en Sicilia. En la provincia de Murcia: para las dos judicaturas de la capital á La ¡dea que dan los periódicos de la insurrección griega debe ser D. Juan Martínez Arroyo y á D- Tomas Escamez: para la de Molina…</t>
  </si>
  <si>
    <t>Hipó</t>
  </si>
  <si>
    <t>…undo batallón del del Príncipe: á D. Josef María pa y espada, las de santos, las tragedias, los autos sacramentales, los Jo.nís, del segundo batallón del del Infante D. Antonio: á D. Hipó del nacimiento, misterios y alegorías santas, las zarzuelas, óperas, lito Angulo, del primer batallón del de la Corona: á D. Fernando Ru serenatas, loas, follas, entremeses, bailes y sainetes &amp;c. Scc. : un to bín , del segundo batallón del de Zamora: al briga…</t>
  </si>
  <si>
    <t>Hitancurt</t>
  </si>
  <si>
    <t>…sueldo, .que , disfrutaba al tiempo de cesar di La comisión de Agricultura informó sobre lo qué habla expuesto la cha corporación. . : compañía de Viñas del Alto-Duero, leyendo el Sr. Hitancurt ei: pare A la de I-Iactenda un expediente remitido por el ministerio da .es cer de la comisión, que acababa diciendo que por todo lo expuesto no te ramo sobre rebaja d los herederos de. D. Juan Antonio González, podia la compañía hacer compras extraordinarias…</t>
  </si>
  <si>
    <t>Ho</t>
  </si>
  <si>
    <t>…ber una gran novedad. -brazos de ady iriamilton y de ady Hood. El 7 á las ocho de la mañana hubo otra consulta; y entre 9 y 10 Después de firmar el boletin los médicos, excepto el doctor Ho •se publicó el siguiente parte: » S. Ai. ha. pasado la noche sin dormir; lland, salieron de Brandcbourg-House; Holland pasó la noche en el pero los síntomas de la enfermedad presentan el mismo aspecto que palacio con lady Ana Hamaton. Se enviaron correos par…</t>
  </si>
  <si>
    <t>Hoel</t>
  </si>
  <si>
    <t>…ero nó deseo que sea sostenida por nin favor alguno del Soberano hasta pasado up aqo^dqspu^s Je su elección. gún medio temporal; no los necesita, y los medios cristianos le son El teniente Hoel hizo la propuesta que mientras fuese diputado algún suficientes. Estos medios son por parte del clero una conducta ejem individuo no pudiese pedir ni admitir empleo alguno público. plar y una verdadera prudencia; y por parte de los seculares la caridad, Los p…</t>
  </si>
  <si>
    <t>Hohenlohe</t>
  </si>
  <si>
    <t>…se hallan aprobadas ex se hallaba pan , y el agua se vendía á seis sueldos (de 10 á it cuartos) presamente por la autoridad superior. ia botella. ,,Se le hicieron saber al Sr. el príncipe Hohenlohe, procurando Se asegura haberse resuelto finalmente que luego que el Rey vuelva inclinarle á que se conformase con ellas, y principalmente á que no de su viage de Irlanda pasará á sus Estados de Alemania. hiciese ensayo algunp sobre curaciones sin dar antes pa…</t>
  </si>
  <si>
    <t>Hohenlohe, Alejandro de</t>
  </si>
  <si>
    <t>Alejandro de Hohenlohe</t>
  </si>
  <si>
    <t>…rito , que sigan el egem- de Julio : » Acabamos de recibir en este instante la noticia di que el pres plo de los demas gobiernos chinos , y que dividan el pueblo en decenas bítero príncipe Alejandro de Hohenlohe ha sido asesinado por un enu-</t>
  </si>
  <si>
    <t>Holl, Pablo</t>
  </si>
  <si>
    <t>Pablo Holl</t>
  </si>
  <si>
    <t>…segunda clase al de Almería. diputación referida. Las Cortes declararon que se suspendiese dicha dis Ss mandó pasar á las comisiones de Hacienda y Comercio una me cusión. moria de D. Pablo Holl sobre el importante objeto de destruir el con La comisión de Marina presentó á la deliberación de las Cortes trabando en España. nuevamente redactados los artículos siguientes del proyecto de la arma Las Cortes quedaron enteradas de un oficio del Sr. secretar…</t>
  </si>
  <si>
    <t>Holland</t>
  </si>
  <si>
    <t>…ón Londres a r de Enero. directa con el principio que actualmente propalaban; á sa Sigue la sesión del Parlamento ingles. ber: que no pretendían mezclarse en los asuntos inte—: El lord Holland tomó la palabra, y dijo que no era sn fiares de otro país. Pero no podia imaginar el orador que intento entablar una larga discusión sobre los términos del los ministros de S. M. tuviesen noticia de este artículo se-,, discurso,'bien fuese con respecto á los…</t>
  </si>
  <si>
    <t>…onfianza en otro tiempo recer su aprecio. Cristóbal tenia una ambición sin límites, Mr. Pitt. ■' y maldecía muchas veces al Océano, porque le impedía El lord Liverpool contestó al lord Holland que las pre llevar sus armas mas allá de sus Estados. Atila, Rey de los guntas que había hecho abrazaban materias tan importan hunos, era su ídolo, y Alejandro Macedón y Ñapoleon Botes, que no se atrevía á contestar á ellas sin entrar en por naparte merecían…</t>
  </si>
  <si>
    <t>…les, y que po sé''había creido autorizada bre la venta de los bienes de la corona. para tomar medidas hostiles. El Sr, Fernandes Tomaz dijo, entre otras cosas, que era indispen El lord Holland apoyó con energía la propuesta; y después de ha sable se discutiera artículo por artículo; V habiéndose discutido el pri ber censurado, como el lord Grey, la circular de lord Castlereagh, y so mero, que se reducia á que se declarasen bienes nacionales los de…</t>
  </si>
  <si>
    <t>…evangelio, encubre las pasiones mas des ñana marcharon á Londres tres médicos de la Reina, quedándose úni enfrenadas y las ideas mas subversivas. camente en Brandebourg-llouse el doctor Holland , siendo esta la pri mera ocasión desde el puncipio de la enfermedad de S. M.-en que se .... INGIATERRA. habían separado de su cabecera tantos médicos-de una vez. Esta circuns tancia pareció una prueba segura de que ya no había un. peligro inmi JSndres 8 de A…</t>
  </si>
  <si>
    <t>…. •&gt; Pero añadió, yo no puedo esperar que el Gobierno muerta. me lo permita. Deseo pues que se me entierre en ¡a misma bóveda con __A principios de la semana .última , v cuando el doctor Holland vien de se hallan mi pudre y mi hermano en Brur.swich.” do que la enfermedad de la Reina empezaba á tomar un carácter serio Después que hubo firmado el codiciío, tuvo una larga conversación pidió á S. M. el permiso de enviar á buscar otro médico, á tin de to…</t>
  </si>
  <si>
    <t>…ecie de letargo, tencias aliadasl ' , i" que duró hasta cerca-de las ocho.' ; Las not cías mas recientes relativas á la Rusia son las siguientes: Al- despertarse vio á s'u lado al doctor Holland, el'cual durante su Todo el cuerpo de guardias ha salido de S. Putei aburgo por los vivos enfermedad habia manifestado muchas veces la esperanza de verla en deseos que manifestaba de marchar contra los turcos. Se van enviando breve" restablecida y -le'dijo so…</t>
  </si>
  <si>
    <t>Hondo, María Josefa de Vida</t>
  </si>
  <si>
    <t>María Josefa de Vida Hondo</t>
  </si>
  <si>
    <t>…nte á la casa del conde de hijo legítimo de D. Juan Oleaga y de Dona Catalina de Olaeta, de es Ofíate, y én la librería de Barco, á 4 rs. en negro y á 9 iluminado. tado casado con Doña María Josefa de Vida Hondo, ó Viuda Hordo, Reglas de patriotismo y ventajas de los límites prescritos en la que no se explicócon Ja claridad debida acerca del propio apellido de Constitución á los diputados en Cortes: por un diputado de la provin ella , ni si el suyo era Oleaga, Aleaga…</t>
  </si>
  <si>
    <t>Honfriti, Juan</t>
  </si>
  <si>
    <t>Juan Honfriti</t>
  </si>
  <si>
    <t>…is, por ser injurioso á ja ilustración española, y Ha .entrado en este puerto el bergantín americano. Dick, capitán Tomas principalmente á la cirugía y medicina, presentada por el Sr. D. Juan Honfriti, de Lima y Rio Janeiro , con cacao, algodoniy ¡zarzaparrilla : del de Serrallach. pr.men.puerto salió el 20 de Noviembre, y ¿leí segundo el 2^ de.Ene-; A la comisión de Bellas Artes una exposición del- contador de"la ro. Dice este ¡.capitán que el 8 de Noviem…</t>
  </si>
  <si>
    <t>Hood</t>
  </si>
  <si>
    <t>…la singular Catalina. terlinas. Se supone que hay diamantes en esta caja. Ha iegado 500 li En el dia son otras las circunstancias La nación griega ha hecho inmen bras esterlinas á lord Hood , é igual suma á su esposa; uno de sus re sos progresos, y tiepe una fuerza nacional, que no habia adquirido to tratos á lady Ana Hamilton; otro al marques Antaldi, y otros dos al davía en tiempo de Voltaire. Habiendo penetrado en ella los conoci Sr. Fedici y…</t>
  </si>
  <si>
    <t>…artículo siguiente: una guardia. A eso de la inedia noche entraron en elia el doctor Lus- n Si los griegos consiguen quebrantar sus cadenas, y elevarse á una hington , Mr. Wtide, lord Hood, Mr. Vassaíi, sir R. Wilson y el existencia libre é independiente , no es difícil prever que llegarán á ser aldenmn VVood , y los testamentarios hicieron clavar sobre el fére algún dia una potencia formidable. El clima de la Grecla^s el foco tro una chapa c m…</t>
  </si>
  <si>
    <t>Hortal, Tomas Martinez del</t>
  </si>
  <si>
    <t>Tomas Martinez del Hortal</t>
  </si>
  <si>
    <t>…a■ D. Pedro Lujan , vecino de Castuera. en la lucha de gladiadores, y en la de un enorme oso con varios perros . D. Juan-Antonio Donoso, vecino de Campanario. dogos ó de presa &amp;c. D. Tomas Martinez del Hortal, vecino de Cabeza del Buey,. Truj’llo. D. Josef Atocha. CORTES EXTRAORDINARIAS DEL AÑO DE iBai. . D- Juan Muñana Broncano , vecino del Campo. Mé&gt;-¡da. D. Fabián de la Barrera, de AUnendralejo. ÍRB5IDENCIA DEL SEílOR. MARTINEZ DB IA ROSA, 'D. Francisco Quintan…</t>
  </si>
  <si>
    <t>Hoscoso, Josef</t>
  </si>
  <si>
    <t>Josef Hoscoso</t>
  </si>
  <si>
    <t>…la Vireina uno. En ia Barceloneta &gt;i En la tarde del dia 19 salió dicho comandante con doce hombres, ninguno. Total 23__Dia so. En la ciudad 23. En el hospiiaí Gene entre ellos el teniente D. Josef Hoscoso y el alférez marques de la ral 5. En el Militar uno. En el del Seminario 4. En el de la Vireina Vega , en compañía del alcalde 3.0 constitucional, en persecución de ninguno. En Ja Barceloneta ninguno. Total 33__Dia sr. En la ciudad unos ladrones que en el cor…</t>
  </si>
  <si>
    <t>Hostalrich, Ramón</t>
  </si>
  <si>
    <t>Ramón Hostalrich</t>
  </si>
  <si>
    <t>…Jaén tente aprobación de la junta. D. Sebastian Vicente .García, en león el marques de Monte-Virgen, 1:2. Si existiesen algunas fincas que por $u mal estado y deterioro en Lérida D. Ramón Hostalrich, en Lugo D. Josef Jesús Varela, en no sean arrendables ni productivas, deberán manifestar los comisiona Málaga D. Mariano Gutiérrez, en Mallorca D. Josef Serra, en Me dos y contadores en unión los medios y costo necesario para hacerlas norca D. Pedro María Sa…</t>
  </si>
  <si>
    <t>…Bodega. D. Rimon Busar.ya, escribano de Alo y A Tarrasa D. Juan Barata, Las comisiones reunidas de Guerra y del Código de procedimien juez de primera instancia de la misma. Lérida D. Ramón Hostalrich, tos, después de haber examinado el expediente promovido por ios de abogado de ia misma. Cervera D. Francisco Pastoret, hacendado de la fensores de los reos comprendidos en ia causa formada por las ocurren misma. Tarragona D. Josef Ixant y Pí, comerciante de…</t>
  </si>
  <si>
    <t>Hoya, Josef del</t>
  </si>
  <si>
    <t>Josef del Hoya</t>
  </si>
  <si>
    <t>1 . Ir95 Ja admiración de todos. En Montoro va fecundando la luz. D. l/Tam-eí .imposibilidad del vicario eclesiástica ó del párroco mas antiguo, de un Gómez de-Lara, D. Josef del Hoya, administrador de rentas estanca individuo de la.diputación provincial, dos del ayuntamiento, dos ve das, el teniente Menacho y varios oficiales del segundo de Cataluña cinos iiusirados y de probidad , y dos profesores , uno de medicina y otro son los oradore…</t>
  </si>
  <si>
    <t>Hoyo, Andrés García del</t>
  </si>
  <si>
    <t>Andrés García del Hoyo</t>
  </si>
  <si>
    <t>…asi se aprobó, y se levantó la sesión á las 12 del día. Aldana y Espalza , de Bilbao. plona. D. Alejandro Baile , de Lisboa. D. Josef Pantaleon de Aguirre, de NOTICIAS DE ESPAÑA. D. Andrés García del Hoyo, de Bilbao. Bilbao. D. Josef Ruet y la Torre, id. Sevilla 4 de Agosto. D. Angel Martínez, id. D. Josef Perez Marañon, de San D. Anselmo Elguizabal, id. tander. (Continua el artículo de ayer.) D. Antonio Coma, de Cádiz. D. Josef García Carrasco, de CáA los .qu…</t>
  </si>
  <si>
    <t>Hoyo, Carlos López de</t>
  </si>
  <si>
    <t>Carlos López de Hoyo</t>
  </si>
  <si>
    <t>…Delambre sobre la aritmética de dios los cadetes del cuerpo nacional de artillería D. Mi los griegos. Antes de la publicación de esta memoria apenas guel Imaz y Arias de Saavedra ,D. Carlos López de Hoyo, podía concebirse como los griegos pudieron egecutsr las JD. Francisco Tejada y Urbina, D. Sérapio de Pedro y operaciones indicadas en Arquimedes y Frolotneo con una Fernandez de Heredia , D. Ramón Aguirre y Arevalo , Don numeración tan imperfecta, si se comp…</t>
  </si>
  <si>
    <t>Hoyo, Eusebio del</t>
  </si>
  <si>
    <t>Eusebio del Hoyo</t>
  </si>
  <si>
    <t>…ierra al sitio del Praejon, de caber 24 fanegas de á 7.a Lino García, Trinitario Mirabete, D. Domingo Carbajo y tfeo estadales cada una, procedentes del monasterio de Guisando, en D. Eusebio del Hoyo, remitidos por el Excmo. Sr. capitán general en 7800 rs. 26 de Marzo, por conspiración contra el Estado y sistema constitucio Otro al sitio de Arañuelo, de caber 15 fanegas de i 600 estadales, nal. Esta causa se halla en sumario, y se ha dirigido oficio al Sr…</t>
  </si>
  <si>
    <t>Hoz, Josef María</t>
  </si>
  <si>
    <t>Josef María Hoz</t>
  </si>
  <si>
    <t>…qui mez Catnaleño, en Pamplona D. Victoriano Esain, en Salamanca daciones de que se tratará, ínterin no se les indemnice con fincas equi el Dr. D. Toribio Nuñez Sesé, én Santander D. Josef María Hoz, en valentes; pero para egecutar el citado pago obtendrán antes orden ex Santiago D................ Barros, en Segorve L&gt;. Josef Cuevas, en Sego- presa de la junta. via D. Roque y D. Francisco Delgado, en Sevilla D. Juan García 14- Las oficinas del establecim…</t>
  </si>
  <si>
    <t>Hrabpusky</t>
  </si>
  <si>
    <t>…asen, y pi dante del tercer batallón de cazadores; la de Sta. Ana , de segunda dieron que se permitiese á una diputación de los ciudadanos mas res clase, también de brillantes, al coronel Hrabpusky, 'del estado mayor petables tirar del carro fúnebre. Sir Jorge Nailer puso mechas dificulta general del egército, y.la’de S. 'Wladimiro, de segunda clase, é igual des para acceder á esta solicitud; pero al fin consintió al oir al gran mente de brillantes , al…</t>
  </si>
  <si>
    <t>Hu, Mateo Lopaz</t>
  </si>
  <si>
    <t>Mateo Lopaz Hu</t>
  </si>
  <si>
    <t>…ería y en la calle del Prado, número 5 , esquina á la, l¡2 del tori iente se-’ofceció.a resolver el problema por .un -método, tan del Lobo , donde vive el elaborador y propietario D. Mateo Lopaz Hu séñcillo eomo infalible p enttrndo con éherL el concluso para la adjudi íate, el cual para que nadie padezca ignotpncia hace ,ia experiencia ár, cación del premio.: ’ .. . -:-í- - - ¡ - ’ - ¡r presencia dé los, interesados, los dirige tainbiaa para que se. in…</t>
  </si>
  <si>
    <t>Huarte, Luis</t>
  </si>
  <si>
    <t>Luis Huarte</t>
  </si>
  <si>
    <t>…a servido nombrar para cuatro plazas de magistrados de la audiencia ter Nueva ai proyecto del código penal, remitido por el Gobierno de or ritorial de Sevilla á D. Pedro Santa Fe, D. Luis Huarte, D. Fran den de las Cortes en r8 de Junio de este año. Se hallará en las libre cisco García Chaves y D. Manuel Acosta; y parala segunda-fiscalía rías de Sari'z , de Novillo, de Brun y de Villa. del mismo tribunal á D. Antonio Osteret y Nario. Carta 20 del Com…</t>
  </si>
  <si>
    <t>Huel, Josef</t>
  </si>
  <si>
    <t>Josef Huel</t>
  </si>
  <si>
    <t>…ael Costa y D. Tomas Polo Catalina. Madrid l.° de Noviembre. Parroquia de S. Marcos, p electores. En el domingo próximo 4 de Noviembre se han de celebrar en toda D. Josef de Arca, D. Josef Huel, D. Juan Antonio Villarino,' la Península las elecciones de los electores de partido por los de las D. Luis Negro, D. Pedro Delgado, D. Rafael Saravia y D. Ramón parroquias, nombrados en el primer domingo de Octubre. Este se Calatrava. gundo trámite del métod…</t>
  </si>
  <si>
    <t>Huerta, Josef de Jesús</t>
  </si>
  <si>
    <t>Josef de Jesús Huerta</t>
  </si>
  <si>
    <t>…e exigirá ia cesión de dichas dos provincias titlam; D. Josef García Monasterio, cura párroco. á la Rusia, o ai Au.tria en nn.on con aquella, y con el objeto de que Suplentes. Dr. D. Josef de Jesús Huerta , cura párroco de Atotonil- sirvan de asilo y refugio á los griegos que no quieran vivir en ios domi co; Lie. D. Josef Manuel Noguera. nios de Turquía. Diputados por la de Tlaxcala. lodo esto podrá tener alguna probabilidad; pero lo cierto es que Los señores:…</t>
  </si>
  <si>
    <t>Huete</t>
  </si>
  <si>
    <t>…ntó la sesión. brantado la clausura, buscasen el modo de vivir mas análogo á sus cir cunstancias ; concluyendo con oponerse al dictamen, y pedir que ó bien El faccioso Morales, su secretario Huete y un asistente, que se ha tuviesen presentes las Cortes todos los antecedentes para resolver este llaban refugiados en Portugal, entraron en Avila el dia 9 con una es asunto, ó que se remitiese á la comisión Eclesiástica , para que con colta, que los acompañó…</t>
  </si>
  <si>
    <t>Huntington</t>
  </si>
  <si>
    <t>…provincia __Él 5 de este mes fondeó en el puerto de Corfú un bergantín de la apenas dejan duda sobre la próxima disolución del egército de Ipsilan- marina inglesa, mandado por el conde Huntington , el cual había sal.ca ti. La confusión en que se halla aquel país y la interrupción del curso de Atenas el 23 de Mayo. Los turcos se hallaban á la sazón encerra ordinario de los correos hacen que sea muy difícil distinguir la verdad dos en la ciudadela, falt…</t>
  </si>
  <si>
    <t>Hzpeleta</t>
  </si>
  <si>
    <t>…e la marina; que faltan empleados, y so bado este artículo sacarían consecuencias de él para la aprbbacion del bre todo un auditor que entienda en los negocios marítimos. 9 y f°El Sr. Hzpeleta se opuso á que el ministro asistiese á ia junta de al • El Sr, Rovira contesto á los reparos del Sr. Sancho , y dijo que po mirantazgo , bien sea como individuo , bien como presidente , diciendo dria aprobarse con ía condición de que na sirviese de obstáculo…</t>
  </si>
  <si>
    <t>I'ereira</t>
  </si>
  <si>
    <t>…évolos y pueblo, fue inmediatamente proclamada la Constitución e:tre mil con la capa vil del servilismo habían hecho derramar alguna sangre , jr vivas y aclamaciones. El -teniente coronel I'ereira de! núm. 12 dió que los sentimientos patrióticos de los habitantes de Bahía se demos aviso á sus hermanos de armas, y poco después entraron en la plaza el traban claramente en el oheio-que dirigía á la Regencia el Gobierno conde de Palma , todo el estado mayo…</t>
  </si>
  <si>
    <t>I, Bartolomé Vega y</t>
  </si>
  <si>
    <t>Bartolomé Vega y I</t>
  </si>
  <si>
    <t>…ra la d; Cazalla á D. Josef López y Requena: para la de Carinona monasterio de los Cartujos del Paular de Segovia, Usada la primera en á D. Blas Josef de Manos: para la de Eclja á D. Bartolomé Vega y I3®&gt;3-14 rs- &gt; y subastada en 68o3, y la segunda en 88,992 , y rema Agudo: para la de Estepa á D. Juan Tomas Encina: para la de Fre- tada en 560,500, rebajados 4$ rs. que tienen de carga cada una de genal á D. Martin Al varezSotomayor: p3ra la deMarchena i D. M…</t>
  </si>
  <si>
    <t>I, Francisco Rodríguez de</t>
  </si>
  <si>
    <t>Francisco Rodríguez de I</t>
  </si>
  <si>
    <t>…uno no por el conde Pedro Verri, miembro del instituto de Bolonia, y de los cinco mayores de esta corte , que existía en la calle de Barrio- traducido al español por el ciudadano D. Francisco Rodríguez de I.enuevo , se ha mudado á la casa núm. uj, de la de la Concepción Geró- desma, ex-diputado de las primeras Cortes ordinarias, y diputado en nima, cuarto principal; y de acuerdo general de los acreedores á dicho las actuales. El nombre solo del conde Verri es bas…</t>
  </si>
  <si>
    <t>I, Jacinto Gaona y</t>
  </si>
  <si>
    <t>Jacinto Gaona y I</t>
  </si>
  <si>
    <t>…y perfección. Algunos han creído sin embargo «n primera instancia de esta M. H. villa, y por la escribanía que no á todos se ha concedido la facultad de disfrutarla. del número de D. Jacinto Gaona y I.occhet, í fin de que se cumpla el contenido de una provisión de los Sres. presidente y Desde que Hipócrates imaginó la teoría de la diferencia ministros de la audiencia de Extremadura, librada á instancia moral de los hombres fundada en la diversidad de los cl…</t>
  </si>
  <si>
    <t>I, Miguel de</t>
  </si>
  <si>
    <t>Miguel de I</t>
  </si>
  <si>
    <t>…erú se' ínántierte ahorá á expensas de las Así es que tan exacta como justamente se explicó entonces el señor provincias que haa recibido sus auxilios para’sacudir el yugo de Espa D. Miguel de I.ardizabal contra semejantes enemigos en los términos ña. De este número son Guayaquil y la mayor parte de lus provincias siguientes: » Yo no pongo duda, decía en su representación de 6 de Oc situadas al norte de Lima. Al sur y éfn Jas cercanías’del-Cuzco le-ca…</t>
  </si>
  <si>
    <t>Ib, Josef Antolin de</t>
  </si>
  <si>
    <t>Josef Antolin de Ib</t>
  </si>
  <si>
    <t>1664</t>
  </si>
  <si>
    <t>…familia, se servirán concurrir á ¡a vicaría eclesiástica d* lanares , 40 cabrías y 60 vacunas , que &gt;e hallan gravadas con. el capi esta heróica villa, y oficio del notario mayor D. Josef Antolin de Ib*r« tal dé ioo3 n. y 1250 de réditos anuales de 2 censos redimibles, á rola, para comunicar!»» un asunto que les interesa. EN LA IMPRENTA NACIONAL.</t>
  </si>
  <si>
    <t>Ibabe, Pedro Josef</t>
  </si>
  <si>
    <t>Pedro Josef Ibabe</t>
  </si>
  <si>
    <t>…n ir por un riguroso repartimiento ‘entre los Sres. jueces y escriba artículo id del reglamento de milicias nacionales; que se suspendiese nos, llevándose las instancias civiles á D. Pedro Josef Ibabe , escribano igualmente el artículo 13 en la parte que prohíbe la admisión de vo de los que antes se titulaban de provincia, que tiene su oficio en el luntarios; que las nuevas compañías que se formen se completen con el piso bajo de la audiencia territorial,…</t>
  </si>
  <si>
    <t>Ibabe, Pedro Josef de</t>
  </si>
  <si>
    <t>Pedro Josef de Ibabe</t>
  </si>
  <si>
    <t>…los que se deados de malos consejeros! juzgen con mejor derecho en dicho juzgado por la escribanía canillaría Un periódico francés de mucha fama , pero de poco crédito, anuncia de D. Pedro Josef de Ibabe, donde penden los antecedentes; en el su "que el &lt;5 de Marzo aun no habia habido encuentro alguno entre napo- puesto de que si dejan pasarse dicho término, se dará por libre la finca Ltnr.o; y austríacos; pero que los puestos avanzados ya babian tenido de ia…</t>
  </si>
  <si>
    <t>…o de Sisano, S. Vicente dito público como subrogado en sus derechos, concurran ú dicho juzga de Vimianzo , S: Pedro de Outes, Moya, Padrón, Cambados, Ponte do por la escribanía de D. Pedro Josef de Ibabe á deducir el que crean vedra, Redondeia, Vigo, Tuy, Puente Areas, la Cañiza, Bande, asistirles dentro de go dias precisos y perentorios siguientes á este anun Ginzo de Limia, Monterey, Viana del Bollo , Barco de. Valdeorras, cio ; apercibidos que pasado sin h…</t>
  </si>
  <si>
    <t>Ibabe, Pedro Josef-de</t>
  </si>
  <si>
    <t>Pedro Josef-de Ibabe</t>
  </si>
  <si>
    <t>…dio" dé procurador conocido á dedu . '.' ' \ .. • ' cir sti: derecho en ’ los autos que ante el nominado Sr; juez HTSTORTA Y ANTIGÜEDADES.-----Egipto. y escribanía de provincia de D. Pedro Josef-de Ibabe sé-haíí La expedición á Egipto por los franceses será eterna promovido a nombre1 ¡de D. Santiago Aquiilo , administrados? 1,¿.. „. „ ti „..—i. W . Wj ¿i. w -i21.„mente memorable en los fastos de la Europa . oiies las cir J, ' - .-■VVA&gt;¿ UvJ; tni.* -\iCsi, n.4…</t>
  </si>
  <si>
    <t>Ibaceta, Domingo Hilario</t>
  </si>
  <si>
    <t>Domingo Hilario Ibaceta</t>
  </si>
  <si>
    <t>…da Villativo; puestos acontecirhiehtos pueden ser tales, qiietodo el continente D. Diego Fiérralas.' chica. sufra nuevas desdichas,,y qué la huniímídad resienta los efectos de la D. Domingo Hilario Ibaceta, Doña María de Loreto Rodrí ambición , ó los de la injusticia contra un pueblo que reclama lo que vecino de Bilbao. guez. todos han reclamado en diferentes épocas, y tarde ó temprano han D. Francisco Fernandez Suarez. Doña María Asunción Sexma. conseguido. D.…</t>
  </si>
  <si>
    <t>Ibaceta, Domingo Hilario de</t>
  </si>
  <si>
    <t>Domingo Hilario de Ibaceta</t>
  </si>
  <si>
    <t>…ionisio Antonio de Ariz- D. Juan Tomas de Iturralde, de Uno al alumno mas instruido en gramática castellana de-todas las mendi, de S. Sebastian. Pamplona. escuelas de esta ciudad. D. Domingo Hilario de Ibaceta, Sr. Lahirigoyen , de Bayona. Otro al mas instruido en aritmética. de Bilbao. D. Manuel Villaroel, de Badajoz. Otro al que tenga mas conocimientos del catecismo político. Doña Heuduvigis Sorarte, de San D. Manuel Angel Vidarte, de Otros tres á las alumnas mas…</t>
  </si>
  <si>
    <t>Ibañez, Francisco</t>
  </si>
  <si>
    <t>Francisco Ibañez</t>
  </si>
  <si>
    <t>…el dia 2 de Julio; y qué en este intervalo se discutirían varios asuntos Santiago Torres. id.: D. Manuel Baricher, id.' D. Juan Antonio Cres pendientes. po, id.: D. Luis Cea, id.: D. Francisco Ibañez, id.: D. Pedro BaldiSe continuó Ja discusión del art. 6° del proyecto sobre dotación vieso, ayudante: D. Antonio Valverde, id.: D. Rafael Correa, Ídem: del clero, que dice asi: » Las pensiones ó cargas impuestas sobre cual D. Eugenio Laude, sargento i.°, y D.…</t>
  </si>
  <si>
    <t>Ibañez, Tomas</t>
  </si>
  <si>
    <t>Tomas Ibañez</t>
  </si>
  <si>
    <t>…os beneméritos de la patria tínez Camacho, id.: D. Juan Megías, id.: D. Josef Abellan , id : Don por servicios constitucionales. Domingo Gijon y Vaca , id.: D. Josef Palacio, id.: D. Tomas Ibañez, El Sr. presidente dijo que estando ya casi impresa la Constitución, id. : D. Josef Guerra, id. : D. Diego Pulido, id.: D. Feliciano Manse iba á distribuir muy pronto, y debefia tomarse en consideración en silla, ¡d.: D. Antonio Peran Moya, subteniente: D. Mi…</t>
  </si>
  <si>
    <t>Ibangueli</t>
  </si>
  <si>
    <t>…lla para qué sé le declare NOTICIAS DE ESPAÑA. cabeza de provincia.’ K1 Sr. presidente nombró para la comisión de Hacienda en lugar Afadrid yo de Marzo. del Sr. Sánchez Toscano al Sr. Ibangueli. &lt;,S. MM. y AA. continúan sin novedad en su importante salud. El Sr. Mora presentó una felicitación, qué por su medió se dirigía</t>
  </si>
  <si>
    <t>Ibarra, Andrés</t>
  </si>
  <si>
    <t>Andrés Ibarra</t>
  </si>
  <si>
    <t>…dispuse que algunos cepción de Chile , y nombrado intendente del egérciro con milicianos, cuyos caballos no podían seguir tan precipita tra los disidentes: para la del Saltillo A D. Andrés Ibarra, da marcha, se regresaran á la vilia, y tomando 20 caba ministro único de aquellas cajas nacionales; y para la de llos de ¡os de mayor aptitud , me dirigí á dicho pueblo, Arlspe á D. Máximo Parada.' adonde no fue posible avanzar en la citada, noche por la Ea…</t>
  </si>
  <si>
    <t>Ibarrola, Josef Antolin de</t>
  </si>
  <si>
    <t>Josef Antolin de Ibarrola</t>
  </si>
  <si>
    <t>…esta es la verda Ante el señor teniente vicario eclesiástico de esta M. H. villa, y dera legitimidad; las demas son legitimidades de espada, legitimidades oficio del notario mayor D. Josef Antolin de Ibarrola , se sigue causa de canon, legitimidades de pergamino; y esto podía saberlo muy bien de divorcio por Doña Josefa Stá.'María contra su marido D.'Francis la gaceta de Francia, si no se hubiese olvidado de Bonaparte, el cual, co de Palacio; y por ignorarse el pa…</t>
  </si>
  <si>
    <t>Ibube, Pedro Josef de</t>
  </si>
  <si>
    <t>Pedro Josef de Ibube</t>
  </si>
  <si>
    <t>…7 del Reglamento de las Cortes __En la causa seguida por el juzgado de primera instancia del Sr. Don de 3 de Setiembre último , á saber: Julián de Sojo, y escribanía cartularia de D. Pedro Josef de Ibube, á instancia de D. Francisco Gárate , secretario de S. M., comisario de En la provincia de Extremadura, procedentes de la encomienda va Guerra, y administrador general de aduanas y sus agregados de San cante del Castillo, para cuyo remate, que se ha de verifi…</t>
  </si>
  <si>
    <t>Icio, Alves do</t>
  </si>
  <si>
    <t>Alves do Icio</t>
  </si>
  <si>
    <t>…Jos reclaman con justicia. El origen fue se suspendiese la providencia d.ada arbitrariamente sobre pensiones. EL que en el año de 1811, no-bailándose con caudales el Gobierno para Sr. Alves do Icio habló largamente-en favor del ministro de Hacienda, enviar tropas á América , instó al comercio para que facilitara el medio y leyó una exposición de este sobre los motivos en que estaba fundada de verificarlo. A consecuencia de esto se propusieron varios arb…</t>
  </si>
  <si>
    <t>ID</t>
  </si>
  <si>
    <t>…do el exterminio de los señoríos, y que habia ganado la plaza; y ganó como bienes castrenses en una batalla?- Es bien evidente que es pero luego que en su refuerzo había traído al Sr. ID. Juan el 11, veía que tos señores han adquirido lo que disfrutan acompañando i los Reves se había tapado la brecha que estaba abierta. Refutó en seguida algu - en las guerras contra los moros; :v por qué se lia de decir que ¿1 nas especies vertidas por los Sr…</t>
  </si>
  <si>
    <t>…por razón de enfermedad, y todo se sus supernumerarios D. Joseí Ortis, del primero de Aragón: al coronel penderá Iiast3 que sane.” D. Juan de Prats , del primero de Cataluña : al coronel ID. Ignacio ViEl Sr. Calatrava dijo que el colegio de Zaragoza y la audiencia de llasana, del de Tarragona: a D. Justo Bcrriz , del de Barcelona: á Don Pamplona habían informado acerca de este artículo. Quedó aprobado. Santos Ladrón , del segundo de Aragón: á D.…</t>
  </si>
  <si>
    <t>Ido, Gira</t>
  </si>
  <si>
    <t>Gira Ido</t>
  </si>
  <si>
    <t>…n pasar á la comisión La Bodega por 71 votos: i.'1 el Sr. Caro por 74: 3.' el Sr. Romero de Guerra, dos colecciones de todos los números del periódico la Mi Alpuente por 76: 4/ el Sr. Gira Ido por 75: 5.’ el Sr. Caiatrava nerva, que hasta el dia tiene publicados el coronel D. Miguel Tenorio. por 72: 6. el Sr. Echevarriá por 85: 7.' el Sr. Manesc.ui por 81: En seguida el Sr. ministro de la Gobernación de Ultramar pasó á 8.J el Sr. Navarro (D. Felipe…</t>
  </si>
  <si>
    <t>Íes</t>
  </si>
  <si>
    <t>…ía para la historia, estatuas y pinturas Art. 43. » Reunidos los vocales del consejo á puerta abierta , el que la representan, de gramática latina para la inteligencia de tan útil juez Íes tomará el juramento que se previene en el artículo 35 , estando idioma, y d e geogrnjia para la de los cuerpos celestes, mapas y' globo, presentes las partes y sus abogados 6 procuradores. En caso de rebeldía concluyendo con la taquigrafía, cuya utilidad es t…</t>
  </si>
  <si>
    <t>Ifigoso</t>
  </si>
  <si>
    <t>…este momento el paso de las tropas extrangeras por su territo Sr. Borges Garneiro con alguna modificación. rio, ei Santo Padre no puede oponerse á ello; pero tampoco puede dis El Sr. Ifigoso convino en los graves inconvenientes que podría pensarse de exigir que en el paso inevitable dé las tropas se respe acarrear el veto, estando naciente todavía el sistema constitucional , y te y reconozca religiosamente su neutralidad por todas las potencias;…</t>
  </si>
  <si>
    <t>Ig</t>
  </si>
  <si>
    <t>…D. Juan Arjonilla, pidiendo se les perdonasen apoyaban I09 que le proponían, esto es, en la diferencia del carácter ciertas cantidades que adeudan á distintas encomiendas; otra de D. Ig de los individuos de las provincias, y en lo que exponía la junta con nacio Diaz, vecino de Cobinas, en la provincia de Toledo, con igual sultiva de infantería en la memoria que había presentado á las Cortes; objeto, por ciertas cantidades que adeuda á la hac…</t>
  </si>
  <si>
    <t>Iglesias, Manuel</t>
  </si>
  <si>
    <t>Manuel Iglesias</t>
  </si>
  <si>
    <t>…el pecho y el hombro, igualmente que los capitanes D. Blas Rodrí dividuo de la comisión, dijo: Las Cortes nombraron en la legislatura guez Ojeda, D. Ramón Aponte , y los tenientes D. Manuel Iglesias, del año pacido una comisión para el objeto de proponer un plan de be D. Francisco Vallejos y D. Hilarión lleras, no pudo ni atacar ni nti— neficencia. La comisión empezó sus trabajos, y cuando los tenia algo •rarse. Acometido por fin por la izquierda, no pud…</t>
  </si>
  <si>
    <t>Iglesias, Pablo</t>
  </si>
  <si>
    <t>Pablo Iglesias</t>
  </si>
  <si>
    <t>…número de leguas cuadradas y de al cuera ; Sres. oficíales deLregimlento de caballería, voluntarios de Espa mas de aquella potencia con el de España, resultando quedar dividi ña ; D. Pablo Iglesias , de,.Madrid;• Sres. Paul, dé Cádiz; D. Pedro da ía Península en mayor número de provincias á proporción. Se opuso Ochoa, de id; D. Pedro de Lapuente, de id.; D. Valentin de Foroaasimismo 4 que se creasen cuatro clases de provincias ,'y manifestó que da, de P…</t>
  </si>
  <si>
    <t>Igna</t>
  </si>
  <si>
    <t>…uenta como un hecho positivo. Pero ¡ cómo hemos de conciliar embargo un francés (Mr.-Recordon) afirma que poco tiempo hari- esto con el elogio-que se ha hecho en todas partes dei. arzobispo Igna íreron los catedráticos unos con otros, y anduvieron á mogicones y á cio, cabeza dei clero vaiaco, y fundador de muchas universidades? v palos; pero esto es sin duda porque se quiere renovar el sistema de en " En este pais.no hay en realidad menestrales , pue…</t>
  </si>
  <si>
    <t>Igna, Pedro</t>
  </si>
  <si>
    <t>Pedro Igna</t>
  </si>
  <si>
    <t>…lente, DIRECCION GENERA!. DE IOTF.R1AS NACtokÁtBS. eí . capitán R. Josef -Mariano Michelena. Números.' Premios. Administraciones. Por la provincia de Nueva-.Vizcaya los Sres. Lie. D. Pedro Igna cio Iturribarría,. canónigo de Rurango , y Lie. D; Francisco Estrada; cura de Atotomlco el grande, en el arzobispado de México. Suplente/ 33121.. ... .... 10000 pesos fuertes. Pamplona. , el Lie. Dr Jo^f Ruiz de Aguirre, juez de primera -instancia de S. Luís…</t>
  </si>
  <si>
    <t>Ignacio</t>
  </si>
  <si>
    <t>…ecio de los sabios. En la pri El Rey se ha servido nombrar gobernador de la ciuda- mera Mr. Legendre sujeta ln geometría á su antigua severi delá de Barcelona al mariscal de campo D. Ignacio de la dad, y presenta nuevas ideas para tratar algunas desús par Vera : segundo comandante de la brigada de Carabineros tes de un modo enteramente analítico. En la otra se propu Reales y-primero interino al brigadier D. Santiago "Wall; so Mr. Lacroix conserva…</t>
  </si>
  <si>
    <t>…onían á las Cortes las proposi Castro, Amati, Puchet , Alaman , Obregon, Murfi , Milla, Hernán ciones siguientes; las mismas que habian presentado á la comisión. dez Chico, Mora ( D. Ignacio), Aguirre, Lasiarria , Paul, Quio, Ló I.'1 Habrá tres secciones de Cortes en América , una en la Septen pez. Constante, Hermosüla» Pierola , Moya, Moreno (D. Josef Ma trional y dos en la Meridional: ¡a primera se compondrá de los diputa riano), López (D. Patr…</t>
  </si>
  <si>
    <t>…el decreto siguiente!. ■ He venido en nombrar para secretario de Estado y ud Despach» cion. En las casas de moneda, que de nuevo se_ establezcan, se formará;: del Interior al vice-almirante Ignacio dtrGorta Quintella; para.el Des un presupuesto que regirá el primer año, corrigiéndolo al fin de esta pacho de Hacienda á Francisco Duarte Coelho.;. para el Despacho da con el resultado di sus cuentas, y gobernándose por este presupuesto Gierra al mariscal de…</t>
  </si>
  <si>
    <t>…s. , y en ren ta 1 20__ Una suerte de tierra secano , cabida de 69 fanegas , en el pago El Sr. secretario del Despacho de Marina dice al Sr. secretario de la que llaman el Pozo de D. Ignacio , incluso este, en venta 41,760 rs.,Gobernación de la Península desde el Real sitio de S. Lorenzo con fe y en renta 1400__ Otra suerte también de tierra secano, cabida de 15cha de ayer lo que sigue: fanegas y 6 celemines en ei expresado pago , en venta 7595 r…</t>
  </si>
  <si>
    <t>…. Antonio León, D- Fausto Rojo, D. Félix Ovalle, D- Fran Pero asi como el vicio, el fraude y la alevosía, que se vituperan cisco Arnaiz y Bringas, D. Francisco López Olavarrieta , D. Ignacio en la generalidad de las gentes, parecen mas odiosos, mas indignos en María Aguirre, D. Jacobo Escario, D. Josef Fermín Gil, D. Josef el magistrado, el prelado, el sacerdote, el militar , el hacendado, que María Santiago, D. Josef Mariano Vallejo, D. Juan Ang…</t>
  </si>
  <si>
    <t>Igual, Martin</t>
  </si>
  <si>
    <t>Martin Igual</t>
  </si>
  <si>
    <t>…enda y de Visita del Crédito público, ha hecha y no aceptada merece un castigo , como lo propone él magistra biendo examinado el expediente que trata de ¡as capitalizaciones de do D. Martin Igual.. La acción de que se trata , que es la proposición sueldos, opinaron que las Cortes podían declarar: i.'1 que dísde hoy hecha y no aceptarla, no habiendo contestación , y mucho menos ten mismo ¡a junta del Crédito público suspenda toda especie de capitali ta…</t>
  </si>
  <si>
    <t>Igualmente</t>
  </si>
  <si>
    <t>…ra el de Viilalpando á D. Joaquín Ba- ra que se realice el deseo que toaos, tienen de un Gobierno regular y hamonde. acomodado alas circunstancias de las naciones. F.sta tendencia general Igualmente en la provincia de Jaén para el partido de Baeza á Don es la que explica la facilidad con que ¡os pueblos han abrazado por una Antonio de la Fuente y Oquendo. nimidad este nuevo sistema, cuando se les ha podido presentar como También se ha servido el Rey nomb…</t>
  </si>
  <si>
    <t>Ihomas, Fernandez</t>
  </si>
  <si>
    <t>Fernandez Ihomas</t>
  </si>
  <si>
    <t>…TA SUPERIOR DE SAJíTDAD. * cuando ellos.no podían tener tantas noticias como el ministerio; á lo Esta junta superior en sesión de hoy se ha enterado por los'parte» cual repitió el Sr. Fernandez Ihomas que. un' diputado merecía mas que le han dirigido las municipales de esta capital, Jerez de la Fron crédito que un ministro. . . tera y Puerto deSanta Marta de que la salud pública se ¡.conserva en Por último , habiendo preguntado el Sr. presidente si estaba…</t>
  </si>
  <si>
    <t>II, CAPITULO</t>
  </si>
  <si>
    <t>CAPITULO II</t>
  </si>
  <si>
    <t>…individuos aquella clase inútil v perniciosa que se entrega á la holga zanería con grave detrimento de Id sociedad. que la componen. : El Sr. Colaneri leyó úna representación del general CAPITULO II. Pepé sobre la organización de la guardia nacional. Este ge De los nacionales del reinos-unido de las Dos Sicilias• neral creía que era inoportuna, en atención á la.situación Art. 5 Son nacionales del reino-unido de las Dos Si- ventajosa en que se hallaban el…</t>
  </si>
  <si>
    <t>Iilueca, Ignacio García</t>
  </si>
  <si>
    <t>Ignacio García Iilueca</t>
  </si>
  <si>
    <t>…to, la po do por Puebla; el Sr. Dr. D. Antonio Manuel Couto, diputado por sición de los austríacos, que pretendían internarse hasta Sul mona, como Veracruz ; el Sr. sargento mayor D. Ignacio García Iilueca, suplente consta por. relaciones que publica el Monitor, puede llegar á serles por México. ...... ,-v. ínuyifunesta; mucho mas cuando en aquellos egércitos se sepan lós: Las funciones de esta diputación debían durar solamente hasta el acontecimientos del Piam…</t>
  </si>
  <si>
    <t>Iiurbe, León</t>
  </si>
  <si>
    <t>León Iiurbe</t>
  </si>
  <si>
    <t>…, sitio del Cueto , 2 carros de al teniente coronel D. Tomas García; y á la de teniente coronel de prado, enverna I54rs__ En id. .sitio de las Portillas, un carro de caballería á D. León Iiurbe, comandante de escuadrón; en atención á piado, en venta 77 rs----En id. , 3 carros de pr„do, en venta 398 r&lt;---los señalados méritos de estos interesados, pertenecientes también á En id., 9 carros y medio labrantíos, en venta 836 rs----En id., s.tm aquel egér…</t>
  </si>
  <si>
    <t>Ij-</t>
  </si>
  <si>
    <t>…a el Sr. presidente señaló sesión ARTICl-IO DE OTÍCIO. extraordinaria á las 7 de la noche para proceder al nombramiento El Rey se ha servido dirigir con fecha de 4 del corriente á D. Ij-</t>
  </si>
  <si>
    <t>Ilenride, Joaquín</t>
  </si>
  <si>
    <t>Joaquín Ilenride</t>
  </si>
  <si>
    <t>…e las en que se hallen situados; entendiéndose directa ANUNCIOS. mente unos y otros entre sí; en.cuyo concepto, para la administración Se halla vacante por renuncia dei licenciado D. Joaquín Ilenride esta parte de bienes serán considerados mutuamente como subalter quez la plaza de oficial mayor de la secretaría de la diputación pro nos los unos de los otros. vincial de Toledo. En el término de 15 dias, contados desde esta pu 7.0 El pago de lo que correspo…</t>
  </si>
  <si>
    <t>Ileros, Martin de</t>
  </si>
  <si>
    <t>Martin de Ileros</t>
  </si>
  <si>
    <t>…despreciable y mun Castropol, D. Josef Segundo Mondejar, D; Manuel "García Herreros, dana , y qué profunda herida no se hará en su ánimo si se desvanece D. Manuel Guballer Muñoz , D. Martin de Ileros, D. Miguel Muñoz, esta ilusión! Ah! no la destruyáis, dignísimos electores; antes bien D. Miguel Piüol, D. Ramón Carreño, D. Ramón Barbara y D. Pelasostenedla con todos vuestros esfuerzos; mostrad la estoica rigidez de yo García Zorrilla. los Licurgos y So'on…</t>
  </si>
  <si>
    <t>Illana, Juan de</t>
  </si>
  <si>
    <t>Juan de Illana</t>
  </si>
  <si>
    <t>…va. gundo trámite del método de elecciones, aunque menos concurrido, Parroquia de Sta. María , 2 electores. no es menos augusto; y el importante cargo cometido á los electores, en D. Juan de Illana y D. Luis Landaburu. cuyas manos está puesta ya mas inmediatamente la suerte de la patria( Parroquia de S. Martin , 16 electores. da un aspecto casi divino á sus funciones. D. Antonio León, D- Fausto Rojo, D. Félix Ovalle, D- Fran Pero asi como el vicio, el fraude y la alevosía,…</t>
  </si>
  <si>
    <t>ILovira</t>
  </si>
  <si>
    <t>…t. 2."; lidad ,cuandoyase dió por discutida. y 2.3 que la comisión presente por un orden geográfico el art. 3."” No se ha determinado todavía el número de provincias; y como ds El Sr. ILovira apoyó la proposición del Sr. Serrallach, y el Sr, Ca este debe resultar el de las capitales , claro esta que no se puede hablar latrava pidió se preguntase sLestaba suficientemente discutida. de las capitales sin que primero se hable de ias provincias; por cu…</t>
  </si>
  <si>
    <t>Imaz, Josef de</t>
  </si>
  <si>
    <t>Josef de Imaz</t>
  </si>
  <si>
    <t>…ras que ante él'se hayan otorgado. Habiéndose omitido incluir en la Guia de forasteros del año pre En seguida el Sr. Lagrava leyó una representación de varios pro sente al Exento. Sr. D. Josef de Imaz, á quien S. M. se dignó conceder pietarios de Zaragoza , que se quejan de los impuestos señalados para los honores del Consejo de Estado por decreto de 3 de Noviembre de 1819, gastos municipales, y piden que aquellos graviten exclusivamente sobre se avisa asi…</t>
  </si>
  <si>
    <t>In</t>
  </si>
  <si>
    <t>…llegado á Liorna. El Rey , en conformidad del decreto de 14 de Julio de* El mismo día salieron SS. Á A. RR. el Príncipe Regente y 18rq, se na servido nombrar Secretario del Sermo. Sr. In él Príncipe de Salerno su hermano para Baya, donde pensa fante D. Carlos, como coronel de la brigada de Carabine ban hallar al Rey; pero encontraron en el camino un correo ros Reáles, al coronel D. Juan de Angulo, capitán de la que traia la noticia de. la sal…</t>
  </si>
  <si>
    <t>Iñana, Josef Antonio</t>
  </si>
  <si>
    <t>Josef Antonio Iñana</t>
  </si>
  <si>
    <t>…var el sistema constitucional, y D. Basilio Bayon. D Josef Acosta y Montealegre. que ligado á él por fuerza, debia considerársele como un hombre ofen Sres. Castilla , de Pamplona. D. Josef Antonio Iñana , de Pam dido, y por consiguiente sospechoso; pues si es verdadero el proverbio D. Diego y D. Rafael del Rio. plona. que dice: no te jies de aquel á quien has ofendido, mucho mas debe Sres. D. ilenrique Oshea y com Sres. López, hermanos, de Má 6erio cuando el…</t>
  </si>
  <si>
    <t>Inca, Dionisio</t>
  </si>
  <si>
    <t>Dionisio Inca</t>
  </si>
  <si>
    <t>…reino medios posibles la introducción de géneros extrangeros. de Navarra, de que trata el título preliminar de la Constitución en la Las Cortes oyeron con agrado una exposición de D. Dionisio Inca pág. 14 (que leyó}; el amor y decidida adhesión de sus naturales á la y Upanel, diputado que fue de Cortes en una de las legislaturas ante Constitución ; hizo algunas reflexiones sobre el estado anterior y el riores, manifestando sus sentimientos patrióticos,…</t>
  </si>
  <si>
    <t>Indaburu, Joaquin</t>
  </si>
  <si>
    <t>Joaquin Indaburu</t>
  </si>
  <si>
    <t>…sto, nos repitie-' A la de Hacienda una exposicion de Doña María Juana dé At&gt;uirron las mismas lecciones que habían aprendido de su divino Maestro.- re, viuda del capitán de navio D. Joaquin Indaburu, en la que pide El Apóstol S. Pablo, viendo que algunos de los judíos nuevamente que la-pensión que disfruta pase despúes de su muerte á sus hijas Doña convertidos estaban en el error de que después de la venida del Me-* Tomasa y Doña Rosa. sias no debían rec…</t>
  </si>
  <si>
    <t>Infame</t>
  </si>
  <si>
    <t>…rdenes que se- Je. habían ¡dado, por las Cdrtés-a iy _ qii¿ estas ¡de. ninr idla correspondiente. fuña manera debían revocarte; que se habúümaa&amp;do;suprimid.le. ba Se irá el Sermo. Sr. Infame disfrazado, como mejor le pareciere, tallones -.de-infante-ía, ácuyásifrerza correspondía, .un escuadrón de ar- al cuartel de Guardias para ponerse al trente de tocio, ellos, arrestando ililleriua.y que en cuanto-á; loque se habia; ¡dicho-de la guardia Real,…</t>
  </si>
  <si>
    <t>…o, y se agrega el primero y el mas inapreciable derecho del ciudadano portugués. ron á su mayorazgo. » La inquisición y la desconfianza , verdaderos monstruos del orden " AI mismo Sr. Infame 80,000 pesos fuertes por la dote ofrecida en social y horrorosa invención de los déspotas, ya no existen. La huma el contrato matrimonial á la Sra. Infanta Doña Maria Francisca de nidad y Ja razón han recobrado sus privilegios. As ts. « Los diversos ramos de…</t>
  </si>
  <si>
    <t>Infan</t>
  </si>
  <si>
    <t>…iniere,.unes en un consejo de Estado: luego que esteu reunidos en:rasobre-esté asunto. • • . /. ' ■ ¡ " res r . , ,- 1 -tá una partida de Guardias d&gt; Corps, dirigida por el Sermo Sr. Infan • ■-ElcSrc tSanchez Salvador indicó-que el Gobierno-había cumplido te D. Carlos , sacarán al Rey, y quedarán encerrados iodos con la guar -las; órdenes que se- Je. habían ¡dado, por las Cdrtés-a iy _ qii¿ estas ¡de. ninr idla correspondiente. fuña manera debí…</t>
  </si>
  <si>
    <t>…de Plasencia , procedentes de la encomienda mayor del va de ayudantes al príncipe D. Diego Pignatelli y al marques de Bra- orden de Alcántara, vacante por fallecimiento del Sermo. Sr. Infan maschi. Gaeta,Capua, Pescara y Civitta-del-Tronto se hallan provis te D. Antonio, para cuyo primer remate , que debe celebrarse en la tas para mucho tiempo ; esta última está defendida por el diputado del villa de Alcántara , está señalado el dia 27 del corri…</t>
  </si>
  <si>
    <t>…del Brasil; y los periódicos de Londres han publi modo se facilita la egecucion de los proyectos; se interesan mayor nú cado otras muy diferentes y muy honoríficas para el Sermo. Sr. Infan mero de ciudadanos-cr, la prosperidad pública; se identifican, por de te que está al frente de aquel Gobierno. Según el Conrrier, se habia cirlo asi, todos; forman una sola familia, y tienen por lo mismo tina atraído dicho Príncipe el afecto del pueblo por su…</t>
  </si>
  <si>
    <t>Infante</t>
  </si>
  <si>
    <t>…A Ja comisión de Hacienda se pasó un'expediente promovido acer monumento magestuoso á su dulce memoria, para hacer brillar cuando ca del pago de las cantidades que goza el Sermo. Sr. Infante D. Carlos se ofrezca en lá defensa de la santa libertad ias acciones marciales del errcalidid di administrador del Sermo. Sr. Infante D. Gabriel. héroe de Cataluña. Puesto á vuestra frente, valientes milicianos, jurará 'UA-la misma comisión un expediente de los Sres. t…</t>
  </si>
  <si>
    <t>…o suy.o; decia asi: Piar, fjtra conseguir nues mar una guardia Real convenia conservar.este-:cuerpo, para, cpjitar; ,con tra libertad: este pl m solo debe saberle S. M., el Sermo. Sr. Infante él cuando se tratara de este asunto. ■ - —■ D. Carlos, el. Excnio. Sr. duque del Infantado, y el Sr. marques de - Adrrstithi a discusion;l:t:cftlcL. éhuicaciorr:,-.Ia ¡tpqjrá el Sr. Eapéleta, CastHárl £1 secreto y el sigilo son el alma de ¡as grandes emeretar…</t>
  </si>
  <si>
    <t>…, solamente trata de mejorar sus instituciones. El car una persona Real. entusiasmo llegó á su colmo.; y por todos los ángulos del reino se mar Llenarse de gloria S. M., el Sermo. Sr. Infante y el Excmo. señor nifiesta el mayor ardor1 por tomar venganza de los inicuos agresores: el duque del Infantado , que tienen valor y saben hacerse temer cuando tono despótico con que se han hecho depresivas proposiciones de una lo exigen las circunstancias. am…</t>
  </si>
  <si>
    <t>…glo xix es el dice que son muy costosos. Cuando Vinuesa derrama injustamente esa de la libertad; en vano se conjurarán nuestros cnemigus para destruirla; calumnia contra el Sermo. Sr. Infante D. Carlos de que había de ir á la noticia que se acaba de recibir debe llenar de regocijo a todos los ponerse al frente'de' los Guardias, manifiesta su locura; pero todo eso verdaderamente amantes de su patria. ^ estaba borrado si mañana este Sr. se alistara en la mili…</t>
  </si>
  <si>
    <t>…fanas de la El Sr. D. Fernando .................................................................... 64» ciudad de Trujillo, y para cuyos primeros remates , que se han de EL Sermo. Sr. Infante D. Carlos................................................ 320 verificar en dicha ciudad de Trujillo , están señalados ¡os dias 28,29, El Sermo. Sr. Infante D. Francisco de Paula........................... 32» 3o y 31 de Marico, y el 1y g del corriente. El Emú. Sr. card…</t>
  </si>
  <si>
    <t>…correspondiese para contador general de distribuciones acerca de las cantidades que se han, poder verificarlo; pero, que en el día no creía que lo pudiesen hacer, pagado al Sermo. Sr. Infante D. Carlos María como comendador de por lo que era de parecer que en el artículo debía ponerse: ,,que en el la orden de S. Juan; un expediente remitido por el Sr. secretario de. caso que los reos fuesen aprehendidos por la milicia local, serían juzga Hacienda, relativo á la p…</t>
  </si>
  <si>
    <t>…los debates, han tenido:que ir á palacio.á formar una barrera en fa inteligencia y cumplimiento en la parte correspondiente al ministerio vor de las'personas del Rey y del Sermo. Sr. Infante D. Cárlos, contra de su cargo; en el concepto de que con esta fecha lo traslado á los refe el populacho que en masa se dirigió á palacio &amp;c. Semejantes absurdos ridos ordinarios y al obispo de Sigüenza por lo respectivo al convento no merecen criticarse; pero son muy d…</t>
  </si>
  <si>
    <t>…na, mandándose 40 millones. 2.0 Para gastos de Cámara de S. M. la Reina 6409 rs. 3.0 imprimir de antemano la memoria escrita por el general D. Josef Por la consignación del Sermo. Sr. Infante D. Carlos María 1.6509 rs. Espinosa. 4-° gastos de Cámara, de la Serma. Sra. Infanta Doña Francisca de Las Cortes quedaron enteradas de varias exposiciones que se han Asís 600© rs. 5.0 Por la consignación del Sermo. Sr. Infante D. Fran dirigido á las mismas participando habe…</t>
  </si>
  <si>
    <t>chos al Sr. Infante D. Francisco de Paula hasta fin de Junio de 1820 calzados, el de trinitarios calzados, el de franciscos, el de mínimos, ei desde la entrada del Rey en Espafia.” Aprobado. de ser vi tas , el de capuchinos, el de carmelitas descalzos, el de agusti 2.0 » Lo propio se haga con el que…</t>
  </si>
  <si>
    <t>…ta cantidad en créditos contra el Estado para comprar hie como antes, ¡por qué se les ha de imponer una contribución como la res nacionales, conforme se acordó respecto del Sermo. Sr. Infante Don que se propone en el concepto de qüe no pagarán mas que ta mitad; Francisco de Paula. Bajo este supuesto y por las razones que dejo expuestas , concluyo coa Asimismo se aprobó el de la expresada comisión acerca de la expo manifestar que debe rebajarse conside…</t>
  </si>
  <si>
    <t>…sa, respecto á que habiéndose casado con un infante de España tua : hizo ver que en la distribución de los fondos, destinados á fomen no pertenecía á Portugal: que con respecto al Sr. Infante D. Sebastian tar la instrucción primaria, no había preferencia exclusiva á favor de su casa era la de España, y que este litigio se hallaba pendiente en este ó del otro método; que en virtud de un artículo de la Real orden aquel país. de 79 de Febrero estaban encargados d…</t>
  </si>
  <si>
    <t>…...... ................. 1.520,000.5 20,000 j . Casa 2?í4/......«..*'{ldem de S. M. la Reina......................................... 5 3&gt;333—11 C' !• 710,833.-11 (Idem del Sermo. Sr. Infante D. Carlos................ ■137,5°° \ . /Tesorería de Málaga: letras pagadas..:............. . 288,000 Remesas.......................................4........................ .... 84,229 Id. letras pagadas para socorro de las guarnicio nes de Alhucemas v Melilla.i......…</t>
  </si>
  <si>
    <t>…otros solos per Para gastos de Cámara de S. M. la Reina................ 640,000 tenecía de manifestar competentemente vuestros deseos! Por esta razón Por la consignación de Sermo. Sr. Infante D. Car declaró que formaríais parte de la gran familia portuguesa, luego que los Maris.................................................. 1.650,000 hubieseis declarado vuestra adhesión al nuevo pacto social que acababa de Para gastos de Cámara de la Serma. Sia. Infan…</t>
  </si>
  <si>
    <t>…de S. M............................................ 1.121,643.121,043 .18.18 "1 Jldem de S. M. la Reina......................................... . 53,333-11 { Casa Real- ‘"jSermo. Sr. Infante D. Carlos...................... .......... 157.(00137»í°° f/&gt; 1.412,47 6:29 ‘■Serma. Sra. Infanta Doña Luisa Carlota........... . 100,000 I Al tesorero de Cortes á cuenta de su presupue 440,000 94455 /"Giro nacional............................ .........................…</t>
  </si>
  <si>
    <t>…co que es un día griego y otro Estado manifestase a S. M. la necesidad que habia de atender í la edu turco) haya tomado á su cargo ei tremolar el estandarte de Ja media cación del Sr. Infante D. Aligue t, proponiéndole dos maestros que ¡c luna. No competía, dice, á este escritor, cuyos largos artículos son diesen diariamente lecciones de gramática portuguesa; le hiciesen ana mas interesantes que las compendiosas diatribas de sus colegas, el to lizar los aut…</t>
  </si>
  <si>
    <t>…ra en ninguna de sus partes. y Justicia me dice lo'que copio: Finalmente , ha'estado expuesto durante todo el invierno último á las ' Con ésta' fecha digo al secretario del Sermo. Sr. Infante D. Cirios nieves , á las heladas y deshielos, y después de esta importante prue María Isidro lo siguiente: »'He dado cuenta ál Rey del oficio docu ba quedó en su estado primitivo. mentado de V: E. de 7 de Agosto próximo pasado , en que manifies 'Habiendo conocido la.so…</t>
  </si>
  <si>
    <t>Infante, Josef Gírela</t>
  </si>
  <si>
    <t>Josef Gírela Infante</t>
  </si>
  <si>
    <t>…por el Josef María de Zuasna; ar y Francia y D. Fermín Sanz y López: en la Rey en unión con un consejo de ministros. En la 4.'' y 5.a se crean 2 de Sevilla á D. Teotuno Escúdelo, D. Josef Gírela Infante y D. Jo cuerpos con el nombre de consultores de Estado, uno para Ñapóles y sef Villanueva; y en la de Valencia a D. Francisco Berenguer y á otro para Sicilia, los cuales decidirán á la mayoría sobre los proyectos D. A nconio Saenz de Vizinanos. de ley. Se establece e…</t>
  </si>
  <si>
    <t>Infantes, Facundo</t>
  </si>
  <si>
    <t>Facundo Infantes</t>
  </si>
  <si>
    <t>…después de cuanto se ha publicado sobro tremadura los ciudadanos D. Alvaro Gómez, gefe político de Toledo; el buen efecto que causó la visita del Rey , sobre las acertadas medidas D. Facundo Infantes, coronel de ingenieros; D. Manuel de Silva, y tomadas por el ministerio y la lealtad de los habitantes, vemos distri Ayanz, racionero de la catedral de Badajoz, D. Laureano Antonio Estos enteros en plena insurrección! Seda bien estraño que los ingleses camill…</t>
  </si>
  <si>
    <t>Inglaterra, Borges Carneiro</t>
  </si>
  <si>
    <t>Borges Carneiro Inglaterra</t>
  </si>
  <si>
    <t>…s periódicos venidos de Bahía, en que se referian los úl desgraciados expósitos á aquellos delincuentes sacados de las cárceles de timos acontecimientos de Rio-Janeiro, propuso el Sr. Borges Carneiro Inglaterra, considerad en cuan poco tiempo la religión unida á la pro que se enviase una nueva expedición al Brasil; pero el Sr. presidente piedad haría dulce y feliz su existencia. manifestó que al Gobierno pertenecía hacerlo, y á las Cortes solo in » El gasto seria me…</t>
  </si>
  <si>
    <t>Inguanzo</t>
  </si>
  <si>
    <t>…no era porque desconociesen este principio, si VARIEDADES. no porque opinaban que debía decirse no esencialmente, sino originariampnte, radicalmente (re,; ó porque, como decía el Sr. Inguanzo, ac Soberanía nacional. tualmente obispo de Zamora, no habia necesidad » de subir...'.,/ á las teorías é indagaciones abstractas de la soberanía, ni de meterse en el Tina de las cosas mas difíciles en política y en moral es conseguir -piélago intrincado y osc…</t>
  </si>
  <si>
    <t>Iñigo, Gaspar Ondovilla</t>
  </si>
  <si>
    <t>Gaspar Ondovilla Iñigo</t>
  </si>
  <si>
    <t>…a de Sayn Witgensrein, el canciller Albrecht y varios ayudantes Cuenca en la ferina siguiente: para la ciudad de Cuenca á de campq. Se dice también que va á ponerse en pie’de guer D. Gaspar Ondovilla Iñigo: para el partido de Huete á ra un gran número de tropas prusianas. D. Joser Poveda: para el dé Iniesta á D. Pedro Henriquez El Morning Chronüie del día ; trae el artículo siguiente: Montero : para el de Bel monte á D. Pascual Carcosen: pa «Mr. Cannirig, que s…</t>
  </si>
  <si>
    <t>Inojo, Sebastian</t>
  </si>
  <si>
    <t>Sebastian Inojo</t>
  </si>
  <si>
    <t>…gen la opinión. Concluyó diciendo que no con i3 rs. que quedaba debiendo por la contribución del año 19: otra de venía adoptar él proyecto de la comisión , y menos en las actuales D. Sebastian Inojo, alcalde que fue en 1814 de la villa de Serón, pro circunstancias. vincia de Granada, y domiciliado en Ja misma, para que se libre á la El Sr. Golfin dijo que la comisión al extender su dictamen tuvo misma de cierta cantidad que quedó á deber en aquel año á l…</t>
  </si>
  <si>
    <t>Insoff</t>
  </si>
  <si>
    <t>…á Salish habia prometido protección en Moldavia á los rusos: pe bandera turca; tenían abordo municiones y armas para las tropas tur ro ya no se atiende á que son extrangeros; y el conde Insoff, gobernador cas, 65 oficiales inglcsrs, y muchos judíos que compraron armas en de Besarabia, se ha quejado á dicho bajá , pidiéndole que ponga freno i Corfú por cuenta de la Puerta. Los ingleses lian sido conducidos á liy- los desórdenes de los genízaros, ó m…</t>
  </si>
  <si>
    <t>Internuncio</t>
  </si>
  <si>
    <t>…perador de Rusia, respecto de los asuntos de que se trataba fuesen INGLATBKXA. atendidas , y llevadas á efecto sus peticiones por la Sublime Puerta otomana. La nota oficial que el señor Internuncio presentó después á Ldndres 23de Octubre. la Sublime Puerta y el extracto del oficio de S. A. el principe de Met Nuestros periódicos refieren haberse recibido últimamente noticias ternich han sido traducidos, y el ministerio otomano se ha enterado de la Améric…</t>
  </si>
  <si>
    <t>Inzua, Andrés</t>
  </si>
  <si>
    <t>Andrés Inzua</t>
  </si>
  <si>
    <t>…hasta el 24 de Junio son de las mas Han entrado en este puerto la goleta española Segunda Gallega, ca lastimosas. Por orden del Gran Señor se ha declarado proscritos á todos pitán D. Andrés Inzua, de Veracruz, en 45 dias, con cacao , 229 los griegos de la Morea que se hallaban en Constantinopla , mandando pesos fuertes y correspondencia; y de la Guaira y Puerto-Cabello la barca traerlos muertos ó vivos al mercado de los esclavos: 300 de estos infe Car…</t>
  </si>
  <si>
    <t>ÍORTUGAl</t>
  </si>
  <si>
    <t>…tas corres al adoptar el tados: sí, el espíritu perturbador será vencido.” sistema y las medidas que están llevando á electo. Puede V. declarar que la divergencia de opiniones que reina ÍORTUGAl* sobre este punto entre ellas y la corte de Lóndres no Lisboa 7 de Febrero. alterará de modo alguno la cordialidad y buena armonía de la alianza con relación á otro cualquier objeto, ni dis Sesión de Cortes del &lt;T. minuirá el zelo de esta para la completa ege…</t>
  </si>
  <si>
    <t>Ip-</t>
  </si>
  <si>
    <t>…ncipe Cantacuceno, oriundo de Grecia, acompañado de otro guir el gérmen de la sedición, reformando enteramente y en todas par príncipe griego y de su comitiva, se han unido con el príncipe Ip- tes ios abusos, é inutilizando asi los esfuerzos de los perturbadores. silanti. Aunque Cantacuceno es superior á este por sus dignidades, Nosotros creeremos sin oposición que este haya sido el punto de vista pues es teniente general, y el otro no es mas que c…</t>
  </si>
  <si>
    <t>…eridional, y al 63o 5 de hay egército alguno organizado. longitud occidental. En la actualidad se hallan en él 12 buques ame Las cartas de Cronstadt, en Transilvania, dicen que el príncipe Ip- ricanos. silanti. hizo arcabucear á Teodoro Wladimiresko luego qüe llegó á TRASCtA. Tcrgoyritz; pero este hecho no se puede asegurar. El 6 de este mes aun tenia Ipsilanti su cuartel general en esta última ciudad. París y de Julio. Según cartas de Trieste del…</t>
  </si>
  <si>
    <t>…30 griegos que se decian habitan, Atigsburgo j- de Agosto. tes deCérigo, una de las islas Jónicas, y que como tales reclamaron la Al mismo tiempo que en Alemania pretenden que el príncipe Ip- protección del cónsul ingles. Mientras se estaban revisando los papeles, sílanti ha procurado y conseguido un asilo en Hungría, cartas de Odessa llegó la noticia de los alborotos de Aivalyacerca de los cuales se dadicen que ha pasado á la Morea para tomar el…</t>
  </si>
  <si>
    <t>Ipestá</t>
  </si>
  <si>
    <t>…han unido á el,os los habitantes de Sa- Roma jo de Junio. lannis y de varias poblaciones del istmo. Quince dias há que Atenas Se asegura que ha interceptado el diván una carta del príncipe Ipestá en peligro de ser atacada; pero los turcos han tenido tiempo su silanti dirigida á los griegos de Constantinopla , en la cual les insinua ficiente para proveer de víveres el castillo. Han puesto en él á tres ba que incendiasen aquella capital por quince punto…</t>
  </si>
  <si>
    <t>Ipiña, Juan Josef de</t>
  </si>
  <si>
    <t>Juan Josef de Ipiña</t>
  </si>
  <si>
    <t>…uel Cayetano de Abasólo,.y se declara que la prisión que han sufrido que los persiguiesen en el caso que se hallasen todavía en su territo no debe ofender á su opinión. Se multa a D. Juan Josef de Ipiña, al rio siete días después de la salida del príncipe Miguel Suzzo. Se d.rigie calde constitucional de la ante-iglesia de Galdacano en 200 ducados ron también representaciones al bajá de Ibrail para impedir la entrada aplicados á penas de Cámara, ó en su defec…</t>
  </si>
  <si>
    <t>Ipsi-</t>
  </si>
  <si>
    <t>…n caido en manos de los griegos , y sus tropas han abra 14Q toneladas, y franqueado los riosmas caudalosos del universo has zado la causa de estos. Añaden las mismas cartas que el príncipe Ipsi- ta los mentes de 'rocas ó los Andes del Norte abriéndose casi un ca lanti ha pasado el Danubio con fuerzas considerables, y que un tal Pen- mino desde la desembocadura del Missisipí en el golfo de México has decca anda recorriendo la Moldavia con una nueva pa…</t>
  </si>
  <si>
    <t>Ipsiianti</t>
  </si>
  <si>
    <t>…, imprenra de D. Mateo Repuliés año de 1821 en La insurrección griega sigue siempre en aumento. Parece que el tres tomos 4.0, con una estampa fina del Sr. Ametller al frente de lá príncipe Ipsiianti se halla ya-con 369 hombres; que con efecto Alt obra, la que ss vende solamente en Madrid en la librería de la viuda Bajá se ha hecho cristiano,}’ desea ponerse á las órdenes de aquel prín dé Quiroga. SUPLEMENTO</t>
  </si>
  <si>
    <t>…illos los griegos y maniotas, y todo el país estaba sobre las armas. ciudadela, y se apoderó de ella. Al mismo tiempo avanzaron p.or tier El príncipe Miguel Ipsiianti, hermano def príncipe Ipsiianti que man ra tres legiones de caballería, y ocuparon la ciudad después de batir al da en Valaquia, había llegado á la Morea en uri buque griego , y se egército turco, haciendo en estos una carnicería horrorosa. había puesto á la cabeza de la insurrección con el…</t>
  </si>
  <si>
    <t>…quae aut novae sunt, aut nondum recte sido capaces de sujetar en tanto tiempo; la insurrección causada cognoscuntur: auctore Mariano Lagasca. Esta obra merece anunciarse en por el príncipe Ipsiianti en la Moldavia y Valaquia, y que la Pucita una época en que la necesidad de la botánica para el lustre y prosperi no ha podido aun comprimir en seis meses; la sublevación completa dad de la Nación está reconocida y sancionada por el Congreso nacional del Pelo…</t>
  </si>
  <si>
    <t>Ipsiíanti</t>
  </si>
  <si>
    <t>…Varios movimientos hechos en el egercito „ parecen probar que refugiados en su territorio.nuestra corte no se mantendrá pasiva: ha habido en éi muchas prouaobe esperaba en Pest al príncipe Ipsiíanti , el cual se hallaba todavíactont-s publicadas por la gaceta de la corte-: ciertos cuerpos han. seguido en Arad el 23 de este mes. be ha dicho que ha marchado a la Morea.el etí implo del Rey de Prusía, quien mandó reemplazar todos los ofi Ulma $ de Agosto,cía…</t>
  </si>
  <si>
    <t>…sobre algunos destacamentos turcos, hubo de refu todos los dias. giarse en la Besaravia con todos los heteristas que había en ambos prin .DINAMARCA. cipados. Parece seguro que el príncipe Ipsiianti (Alejandro) no ha podido Copenhague 7 de Agosto. aun ir á Morca. Ha estado algún tiempo en Arad, y ha corrido la voz Se ha recibido de oficio la noticia de que la fiebre amarilla se ha de que había sido trasladado al castillo de Mongatsch en Hungría; pero man…</t>
  </si>
  <si>
    <t>…rticulares recibidas Los antiguos generales de la provincia de Corinto han protestado con alli, que Tripolizza, capital de la península de Morea, ha sido toma tra la autoridad del príncipe Ipsiianti por ser demasiado joven. La re da. Habiéndose reconcentrado el egército griezo, se empezó et iuqiíí lación de un sugeto distinguido, que desempeña en Corfú un empleo el mismo dia en que llegaron el arcistratego Demetrio Ipsiianti y el diplomático, da grandes…</t>
  </si>
  <si>
    <t>Ipsiianti, Alejandro</t>
  </si>
  <si>
    <t>Alejandro Ipsiianti</t>
  </si>
  <si>
    <t>…IA. tro del Gobierno español, fiel á su Rey , y decidido á conservar ileso Viena 8 de Setiembre. el honor nacional; punto de reunión de cuantos leales españoles tuvie Desde que el príncipe Alejandro Ipsiianti puso el pie en territorio ron la fortuna de poder huir del despotismo del Común opresor; cuna austríaco se ignora absolutamente su paradero. Algunos insisten en de esa Constitución española, envidia de algunos Gabinetes , y norte que se halla detenido en una…</t>
  </si>
  <si>
    <t>Ipsiianti, Miguel</t>
  </si>
  <si>
    <t>Miguel Ipsiianti</t>
  </si>
  <si>
    <t>…3poli de Romanía, atacó por mar la castillos los griegos y maniotas, y todo el país estaba sobre las armas. ciudadela, y se apoderó de ella. Al mismo tiempo avanzaron p.or tier El príncipe Miguel Ipsiianti, hermano def príncipe Ipsiianti que man ra tres legiones de caballería, y ocuparon la ciudad después de batir al da en Valaquia, había llegado á la Morea en uri buque griego , y se egército turco, haciendo en estos una carnicería horrorosa. había puesto á la…</t>
  </si>
  <si>
    <t>Ipsilanfise</t>
  </si>
  <si>
    <t>…Julio. lis diez votaciones que" se hicieron, en todas resultó ¿lección, sin que Corren voces, que necesitan sin embargo -coñfiimai-sé-, de qué el fuese necesario repetir ninguna. príncipe Ipsilanfise ha refugiado á nuestros estados. Parece que v?ajÓ bajo el hombre de-uti boyardo; pero al llegar i nuestras fronreras se dé» c— Aunque en la faceta del jueves 16 expusimos que el disturbio oca claró y pidió tina escolta para pasar á-Cronstadt,en donde va á pec…</t>
  </si>
  <si>
    <t>Ipsilanti</t>
  </si>
  <si>
    <t>…tl segundo pían formado por los griegos para sustraeise del dominio de L urqur.t, y batallón de voluntarios de Aragón ; á quien, en consideración á los que se halla á su frente el príncipe Ipsilanti. » Lo que es positivo (dice distinguidos méritos que ha contraído para el restablecimiento del sis un franco periódico alemán) es que las dos potencias vecinas (Rusia y tema constitucional , y a las recomendaciones que han hecho á S. M. Austria) no se entrome…</t>
  </si>
  <si>
    <t>…omo no hubiese cometido posteriormente rador Alejandro se dignó declarar que no podía, mirar , la empresa del algún nuevo delito, por el cual debiese entender en su causa la juris príncipe Ipsilanti sino como efecto del espíritu /ttrítí/enfo.qite caracte dicción ordinaria. riza á la época actual, no menos que deja inexperiencia y de Ja. lige El Sr. Cepero manifestó que no expresándose en este artícujo qué reza de esté joven. S. M. ha mandado al mismo tie…</t>
  </si>
  <si>
    <t>…al insti que los boyardos habían juntado se dispersaron para ponerse bajo las tuto ; y se suprime también en Ocafia el de dominicos , mediante á que banderas de los sublevados. El príncipe Ipsilanti ha publicado uriá el de ita , cuyos individuos se trata de aplicarle én este arreglo , está nueva proclama. Casi todo el ministerio turco se ha mudado; pero el mandado que subsista en el de- Guadalajara ya aprobado , y con los gran visir permanecía en sú dest…</t>
  </si>
  <si>
    <t>…cia: si No es poco extraño hallar en un párrafo de Viena que los griegos el Congreso hace esta declaración, desde luego por mi parte retiro los de Odessa, pueblo ruso, han dado al príncipe Ipsilanti, cabeza de la demas artículos. El Sr. Valle ha separado el art. 5.0 del decreto de 6 insurrección de las provincias griegas, tres millones de duros para que de Agosto del art. 6.3 de la misma ley , y ha hecho muy bien, porque pueda costear la guerra. El lecto…</t>
  </si>
  <si>
    <t>…Las noticias sobre la insurrección griega se reducen a ló siguiente: á la segunda. El Gobierno estaba autorizado para tomar las providen de Jassi el 19 de Marzo anunciaban : » El príncipe Ipsilanti ha salido cias correspondientes , 4 fin de asegurar ios derechos de las mercancías de aqui con un cuerpo de arnautas, moldavos y griegos de 209 hom introducidas en aquellas aduanas, cuya autorización se apoyó en las bres y cinco cañones. El príncipe Suzzo con…</t>
  </si>
  <si>
    <t>…sus súbditos, y no en el omi muchas fuerzas, pues su egército consta de cerca de 30© hombres, mari noso acero de las bayonetas ultramontanas. Encomendamos, Señor, el dados por el príncipe Ipsilanti. cumplimiento de nuestros deseos al mismo Oíos, que fue testigo de Los boyardos han tenido que huir de Bucharest, y se han refugiado nuestras recíprocas promesas, de la rectitud de nuestras intenciones, y en Cronstadt. Los insurgentes mandados por Teodoro Slu…</t>
  </si>
  <si>
    <t>…cho de Mesilla, en virtud de un nuevo convenio ajustado en Laybachr ley , y haberse tomado el pueblo la justicia por su mano ; pero S. M. Las noticias de Grecia anunciaban que el príncipe Ipsilanti había ha creído que lo que se ha hecho con Vinuesa podria haberse hecho intentado hacerse reconocer como generalísimo por los demas gefes; con otras muchas personas, y que tal vez la suya no estaba segura. He pero sin haberlo podido conseguir todavía. Las tro…</t>
  </si>
  <si>
    <t>…penetran en el corazón de Parece que muchos oficiales extrangeros se dirigén á alistarse bajo los hombres , le corrompen, envilecen y degradan, privándole de toda las banderas deJ príncipe Ipsilanti; que Rusia y Austria han ofrecido á la Puerta su intervención armada; yen el artículo de Krajowa, en su dignidad. En esta situación se hallan algunas naciones, y en la misma se halla Valaquia, del 28 de Marzo se anuncia haber perecido muchos griegos ba tambié…</t>
  </si>
  <si>
    <t>…E. para su inteligencia y rección griega. Parece que anda de mano en mano por toda la Bélgica cumplimiento en la parte correspondiente al ministerio de su cargo; en el retrato del príncipe Ipsilanti. el concepto de que con esta fecha lo traslado al R. obispo de Málaga En un artículo de Atrgsburgcr se anuncia que el príncipe RufFo, em para su egecucion en cuanto le compete. Palacio 30 de Abril de 1821.” bajador del Rey de Ñapóles cerca de la corte del Aus…</t>
  </si>
  <si>
    <t>…e mucho peso y tabla , y turcos; y que 65) maniotas, reunidos con los paisanos, se dirigían con que usa ordinariamente un chaleco encarnado; y habiéndose fu-eado tra Tripoliza. El príncipe Ipsilanti ha tomado el título de Príncipe del ambos, se han librado requisitorias en su busca, á fin de que se verifi Imperio, y el 6 de Abril estaba con unos ro9 griegos en Plójestin: es que su prisión en donde sean hallados , emplazándoles al mismo tiempo perábase! e…</t>
  </si>
  <si>
    <t>…tu marcial de muchos franceses, pues han pasado por aqui varios La poca voz del relator impidió que se oyese bien su discurso, y oficiales de esta nación que van á reunirse con el príncipe Ipsilanti , de por consiguiente solo pudieron coger los taquígrafos algunas frases quien se dice hallarse ya con unos go9 hombres; pero es de presumir sueltas. que sea exagerado este número. No se duda de la reunión de sus tuer Mr. Bonnald empezó diciendo que no menos…</t>
  </si>
  <si>
    <t>…° á la librería de Calleja, y á que estos prelados accedieron á la excomunión que el primero dió con las principales de las capitales de provincia. El tomo 2.0 se entregará tra el príncipe Ipsilanti. Acuden muchísimos oficiales europeos al servi el último del presente mes, y el está ya en prensa. En beneficio cio de los griegos. de los suscriptores se encuadernaran todos los tomos en rústica, po De Nápoles apenas se sabe cosa alguna sino por cartas parti…</t>
  </si>
  <si>
    <t>…niendo que El egército griego que se halla en la Moldavia está dividido en tres estas fuerzas hubiesen podido avanzar en tan gran número por el país cuerpos, y con ellos piensa el príncipe Ipsilanti dirigirse sobre Silistria enemigo, sin almacenes y sin víveres, ya no pueden realizarlo después para pasar el Danubio, y hacerse luego dueño de las costas del mar Ne de.los disturbios de Smirna : se dice que los gertízáros con quienes se gro. Teodoro Sludzler…</t>
  </si>
  <si>
    <t>…sta capital por cóm de la generosidad inglesa se le ha puesto preso. Un periódico anti-grie- plices en la conspiración contra la Constitución que se tramaba en esta go dice que el príncipe Ipsilanti ha huido á Malta can ei tesoro. Xa ciudad, las de Jerez de la Frontera, Córdoba, esa ciudad y otros pun misma cantinela han publicado los ultras de Paris respecto de otros ge tos, el llamado coronel D. Isidoro Mir; un capitán de guerrillas nom nerales italian…</t>
  </si>
  <si>
    <t>…o. «La iey del 31 de Marzo de 1820, relativa á la ción de la Turquía , ni tan extraordinaria su debilidad. publicación de los periódicos continuará como hasta aquí hasta el fin El príncipe Ipsilanti, que proyectaba pasar el Danubio sin dete de la sesión de 182r. Dado en nuestro palacio de las Tullerías en 6 nerse , ha encontrado varios obstáculos. En las fronteras de Rusia se de Junio del año de gracia 1821, y .vigésimosexto de nuestro reina le han deten…</t>
  </si>
  <si>
    <t>…mismo tiempo encargó el divan á los labradores de los distri de Landaida, D. Claudio Santos de Eguia, Josef de Uriarte y D. Ma tos de la Moldavia, en donde se hallan soldados del príncipe Ipsilanti, nuel Cayetano de Abasólo,.y se declara que la prisión que han sufrido que los persiguiesen en el caso que se hallasen todavía en su territo no debe ofender á su opinión. Se multa a D. Juan Josef de Ipiña, al rio siete días después de la salida del príncipe M…</t>
  </si>
  <si>
    <t>…rgía que le caracteriza contra el de gue el Emperador á la capital. recho exclusivo de la compañía , pretendiendo que en aquella misma Se hablaba de una-victoria conseguida por el príncipe Ipsilanti con sesión se declarase abolido, porque las palabras privilegio é injusticia tra el bajá de Ibraii. Los ser iros, después de haber negado el poso 2 eran sinónimas. Después pasó) á reflexionar sobre la recompensa de este una columna de 600 hombres del baja de…</t>
  </si>
  <si>
    <t>…as en casi todos'sus-habitantes ; los que habían puesto antes en seguridad sus la isla, y-votó-á favor de la proposición, la cuál fue desechada por la efectos ‘dé mayor valor.’-El príncipe Ipsilanti, lleno de confianza en las mayoría de 69 votos contra 35. ' tropas que están á sus órdenes; las reconcentra cada vez mas. Teodoro __ Ayer en la Cámara de los Comunes pronunció Mr. Burthon un dis : Wladimiresco , qiié manda das tropas ligeras , y. el príncipe…</t>
  </si>
  <si>
    <t>…los que referencia á una carta de Viena de 24 de Junio, » que la noticia de la no consiguen empleo! Fío se vuelven á la profesión de sus padres; se derrota totaL y de la fuga del príncipe Ipsilanti y de la entrada de los hacen descontentos, y claman contra la Injusticia. Las facciones , que no turcos en Tergowischt no se ha confirmado, aunque se habia difundi perdonan medio de engrosarse, excitan sus resentimientos, los toman do generalmente;” y añade »…</t>
  </si>
  <si>
    <t>…n puede engañar y alucinar á los malhada Se habla como de cosa segura de una victoria interesante ganada dos habitantes de aquellas provincias. 3.0 Una comunicación circularpor el príncipe Ipsilanti contra un cuerpo de tropas mandado por del gobierno de la provincia de Buenos-Aices ai de Santiago del Estero Acltmrt bajá, el cual habia avanzado de Bucharest sobre Tergowitz, con fecha 4 de Abril; documento lleno de queja» por haber enseñado para atacar á d…</t>
  </si>
  <si>
    <t>…a priesa por temor de vais á discutir. ¿Será esta por ventura obra del ministerio: No: pues quedar cortadas. por una parte se le señala un termino mas Iim Jado que el de la ley El príncipe Ipsilanti, de cuya llegada á Ilermanstadt ya hemos ha primitiva , de lo que seguramente no me quejaré; y por o'ra abra blado , debe encaminarse á Trieste, y embarcarse para la Marea. Se es za en sus trabas la literatura, las ciencias y las artes, que hasta ahora ha per…</t>
  </si>
  <si>
    <t>…lidades entre los turcos y griegos , el la trasfurmacion de las lavas volcánicas en tierra vegeta! no tiene ia menor fuerza contra la historia de Moisés: es decir , probó que nada príncipe Ipsilanti escribió á los caimacanes de las hospodares de,la Valaquia y de la Moldavia (el 31 de Marzo de 18 2 1 ) recordándoles hay mas erróneo que el tomar por cronómetro la duración de las tras formaciones terreas; ya por la variedad de las lavas, inclusos los ba los…</t>
  </si>
  <si>
    <t>…a volviendo de nuevo sobre los turcos, y derrotándolos. Se cor-.fi’.ma la PORTtJGAl. conquista de Salónica por los griegos, y la derrota de ios turcos en Tesalia; y se dice que el príncipe Ipsilanti llegaría á Pest en Hungría. Lisboa 4 de Agosto. __En Francfort se habla de la formación con las provincias europeas del imperio turco de una soberanía cristiana é independiente, que Sesión de Cortes del ‘y. afiance el sistema del equilibrio europeo—Los griego…</t>
  </si>
  <si>
    <t>…la escuadrilla; fue á bordo de la y han hecho avanzar sus cosacos hasta el otro lado del Skulem. Dicen fragata Frasja, y fue recibido por el comandante de la escuadra conde que c! príncipe Ipsilanti ha sido conducido bajo la custodia de un ofi de Cronstedt con repetidas salvas de artillería. Los buques estaban cial austríaco al castillo de Munkatz en Hungría, te asegura que ha ha empavesados: S. M. dió en seguida un espléndido banquete. El Rey bido ya al…</t>
  </si>
  <si>
    <t>…eparándo que hartos motivos debe tener para temerla ; pero difícil ha de serle me del dictamen de la comisión, creo que en los 4 anos solo se deben impedirla. La Puerta le pide el príncipe Ipsilanti; pero no se atreve á sacar 6.69 hombres; que el tipo sea por ahora el 6.J, y que se tome entregarlo , pues parece que Rusia , á pesar de su público y manifiesto también en consideración como base principal el que las milicias ten enoja contra dicho príncipe,…</t>
  </si>
  <si>
    <t>…a entenderse entre sí sobre el modo de ocujrar lo que ya se hu nes nuestros amos abastecen diariamente de comestibles. biere ocupado. » Dicen que de un momento á otro se espera al príncipe Ipsilanti La Rusia,fiada en que sus fuerzas físicas deben prevalecer, y no ol en la Morea. El entusiasmo de los griegos es indecible; están conven vidando los antiguos planes de sus antepasados, procurará sacar todo el cidos de que es precisó vencer ó morir, y dan diariamente n…</t>
  </si>
  <si>
    <t>…Molda sino que los trata como insurgentes y reos de estado dignos de castigo. ría se hallan llenas de descontentos y de destacamentos que fatigan í Lá Rusia le pide la persona del príncipe Ipsilanti, á quien tiene en las tropas turcas ; si la Servia infunde nuevos temores á la Puerta, y si cerrado en un castillo. La Puerta le hace la misma demanda, y en este los egércitos rusos están amenazando al imperio otomano, no son estos casó sale del apuro negándo…</t>
  </si>
  <si>
    <t>…e Ju Euerta. Consecuente á esta resolución- ha negado al conde Goluskin, lio, estando conforme en lo sustancial con Jas disposiciones que se to embajador de Rusia, la libertad del príncipe Ipsilanti , detenido siem maron en 25 de Marzo de este aso relativas al establecimiento, dota pre en la fortaleza de Mongatz; no habiendo querido tampoco entre ción y señalamiento de límites de los arzobispados y obispados de la" garlo á la Puerta, que lo pedia. Sin em…</t>
  </si>
  <si>
    <t>…agita como un azogado; griegos.__A Viena habían llegado pliegos de Constantinopla, relativos ha despachado nuevos emisarios á todos los departamentos, y dicen que á la entrega del príncipe Ipsilanti.__Fn Austria se pensaba en que los se trata nada menos que de la abdicación del anciano Monarca. Se ase jesuítas se encargarán de la educación é instrucción de la juventud, pro gura que se halla gravemente indispuesto por haberle hecho grande im hibiendo esta…</t>
  </si>
  <si>
    <t>Ipsilanti, Alejandro</t>
  </si>
  <si>
    <t>Alejandro Ipsilanti</t>
  </si>
  <si>
    <t>…nte,,se han,atrevido á hollar'la. gracia divina, &lt;je que pe Ipsi ¡anti: . han.sido el objeto, á entrar, en ja senda de la ingratitud, y con la fal CzarskaSelo 14 de Ag. sto. ■» El príncipe Alejandro Ipsilanti, ayu sedad que les es natural á proceder de un modo pérfido é infame con dante de campo del general de ciballería Rajewski, y mayor del re tra la verdad y la Jé. Si en algunos parages han conseguido los griego* gimiento de húsares de la guardia, queda excluid…</t>
  </si>
  <si>
    <t>Ipsilanti, Nicolás</t>
  </si>
  <si>
    <t>Nicolás Ipsilanti</t>
  </si>
  <si>
    <t>…por los grie gos , abandonaron á sus compañeros de armas y hermanos de religión discurso fue una furiosa declamación, en la cual manifestó h&gt;en ¿ las para pasarse á ios turcos. El príncipe Nicolás Ipsilanti , hermano del claras su odio profundo á los principios liberales, que él llamó peste re príncipe Alejandro, se defendió con unos 300 hombres , cuya mayor volucionaria. En seeuida habló Mr. Pevaux, y empezó su discurso pon estas ene;» parte fueron hechos prisi…</t>
  </si>
  <si>
    <t>…lord : recibo en este instante una carta muertos en .el campo de batalla; y solamente se han salvado 16 .con el fecha hoy en Whitehall sin firma alguna. En consecuencia prevengo á príncipe Nicolás Ipsilanti, que salió herido en ia mano derecha. V. S. que la considero como un papel anónimo, y que hasta recibir de » Al dia siguiente hizo saber Alejandro Ipsilanti á sus. tropas que parte de V. S. ulteriores conocimientos sobre el punto que se trata, de iba ádar bat…</t>
  </si>
  <si>
    <t>Ipsilantii</t>
  </si>
  <si>
    <t>…lante.'se extenderá á otrasprovincias. Maiirocordatp¿ que: es su presiden me con x/dias denavegaciom, y luego que llegó'/sé.«íparció ia vozde te ,:séén tiende directamente con el general Ipsilantii La capital de esté haber aportado la escuadra-turca áSouda; áladélCandia, con iñtencáon Gobierno: es Souli. No' se ha olvidado el inyitar á Alí-bajá - á que. tome de invernar en- aquel puerto. Parece qua’nri fiig- H^rr.ñ^h^ parte ; peto á este viejo 'déspota han…</t>
  </si>
  <si>
    <t>Ipsilauti</t>
  </si>
  <si>
    <t>…n ; en Colmenar de Oreja el de San podrá menos de llamar la atención de las potencias vecinas. Ya se dice Pedro de Alcántara, trasladando sus individuos al de Tembleque; en que el príncipe Ipsilauti tiene reunidos 309 hombres; y que las tropas Ocaña el de carmelitas, reuniéndolos al de Ciudad-Real de igual insti que los boyardos habían juntado se dispersaron para ponerse bajo las tuto ; y se suprime también en Ocafia el de dominicos , mediante á que band…</t>
  </si>
  <si>
    <t>…vo se abstengan cio a los griegos residentes aquí, pues 10 atribuyen en parte a la pro de cometer hostilidades contra los bosmacos; pito se ignora si las videncia que ha tomado el príncipe Ipsilauti de prohibir con ei ma proposiciones han sido admitidas. La Puerta ha encargado at bajá de yor rigor toda comunicación aon las fronteras del Austria. Bosnia que esté en observación sobre ios movimientos de los servios, los cuales forman numerosas reuniones , y…</t>
  </si>
  <si>
    <t>Ipsinecesidad</t>
  </si>
  <si>
    <t>…ación en Viena , y el metálico subió al /a ; pero la habia nuevamente: que en los señoríos jurisdiccionales no habia habido producido muy diversa el haberse sabido que al lado del príncipe Ipsinecesidad de respetar la propiedad, porque no existia, ni se habian ianti , gefe de Ja insurrección griega, se hallaban muchos extrangeros; podido hacer estas prestaciones de derechos juridicciouales; no debien y es de creer que su T.úmero se aumente. Francia, Italia,…</t>
  </si>
  <si>
    <t>Ipsipatria</t>
  </si>
  <si>
    <t>…una batalla campal ganada contra los turcos por el prín ria de todo español, cuyo corazón respire un puro y sincero amor á la cipe Cantacuceno en las inmediaciones de Focsani. El príncipe Ipsipatria, hoy se cumple el aniversario de una de las mayores épocas de lanti hab.a reconcentrado sus fuerzas en Tcrgow.tz, donde debía reula restauración de España; y la memoria de la apertura dél Congreso nírsele Teodoro. Todos los servios habían corrido á las armas;…</t>
  </si>
  <si>
    <t>Irázabal, Joaquín-María de</t>
  </si>
  <si>
    <t>Joaquín-María de Irázabal</t>
  </si>
  <si>
    <t>…seguridad de A la de Hacienda se pasó un escrito , en que da .algunas ideas sobre los presos, tiene el primero una fuerza de 500 hombres , y el segundo mejoras del Crédito público D. Joaquín-María de Irázabal. la que se infiere de la situación actual de S. Fernando, siendo toda la Se dió cuenta de una exposición del capitán general de Aragón , en tropa de mi mayor confianza, y capaz por su decisión y pericia de con- que dice que D. Miguel de Goicoechea, capellán d…</t>
  </si>
  <si>
    <t>Irazabal, Josef Vicente</t>
  </si>
  <si>
    <t>Josef Vicente Irazabal</t>
  </si>
  <si>
    <t>…istema antiguo, Provincia de Navarra. Para el de Pamplona á D. Antonio Cha- tenazmente adictos á él, y de consiguiente enemigos del nuevo, en que nióchin: para el de Santisteban á D. Josef Vicente Irazabal: para el de han sido colocados. Estos detestan un sistema que cierra la puerta á sus Estella á D. Hemeterio López Blanco: para el de Tudela á D. Roque arbitrariedades, por cuyo medio aumentaban sus intereses, y satisfa Domingo de la Figuera : para el de Aoiz…</t>
  </si>
  <si>
    <t>Irazabal, Santiago</t>
  </si>
  <si>
    <t>Santiago Irazabal</t>
  </si>
  <si>
    <t>…, D. Ramón Hacha, D. Fran te, que se ha de verificar en la ciudad de Logroño, cisco y D. Antonio Falcó, D. Antonio Arévato, D. Josef esta señalado el dia 24 del presente. Aguilar, D. Santiago Irazabal, D. Josef Donesteve, Don Una casa en el arco de la Compañía de la ciudad de Baltasar Salomón y D. Joaquín Roca; y con la de 6 del Logroño, en 2,200 rs. mismo Febrero á D. Eusebio Salcedo, D. Fernando Freire, Un corral existente en el término nombrado Peñalogr…</t>
  </si>
  <si>
    <t>Isa</t>
  </si>
  <si>
    <t>…. Juan de Claveríaen la ciudad de JaHavana , is correspondan , asi como los de artillería, zapadores y marina usarán la de Cuba, el año de 1799, y tratado su hija y única heredera Doña Isa la misma insignia que los demas cuerpos del egército. bel de Clhvería , viuda de D. Pedro Dalhaste, por medio de su hijo y Art. 7.0 « Los batallones de milicia nacional activa tendrán res apoderado D. Pedro Dalhaste y Clavería, de recoger la cantidad de pecti…</t>
  </si>
  <si>
    <t>Isaac</t>
  </si>
  <si>
    <t>…o el gobierno central Stockolma j6 de Octubre. de los griegos. El 27 de Julio publicó este un manifiesto, anunciando el Acaba de publicarse en Hernosand un folleto interesante del Sr. Isaac resiabiecimiento del pueblo cristiano en la Grecia ; y está firmado por Grappe, presidente del consistorio, sobre la-doctrina de la nueva sec ■28 arzobispos y obispos del Peloponeso, 77 priores , 1900 papas ó sa ta religiosa formada en las provincias de Nordb…</t>
  </si>
  <si>
    <t>Isabel</t>
  </si>
  <si>
    <t>…ó el noble Par que el sistema de opresión háoia hay mas limites , y el trono mismo habrá ce sujetarse á este principio. los católicos , puesto en práctica durante el reinado de la reina Isabel, Dejemos pues el poder político en donde nuestros antepasados lo es no fue mantenido por Guillermo nt, sino por' fas' urgentes circuns tablecieron , es decir , en las manos de los protestantes. tancias que mediaban , y que este gtan Monarca no le llevó al ext…</t>
  </si>
  <si>
    <t>Isertschucio-.r</t>
  </si>
  <si>
    <t>…egército. ,,Ahora, que es la una y inedia de la tarde, acaba de entrar un La insurrección de los principados de Valaquia y Moldavia contra cuerpo de tropas austríacas al mando del general Isertschucio-.r , 1 a los turcos llama en el día toda la atención de esta .plaza, y sobre todo nombre del Rey nuestro Señor y anio ha tomado posesión de la c.u- de los muchos griegos que se hallan aqui.</t>
  </si>
  <si>
    <t>Isi</t>
  </si>
  <si>
    <t>…do la imposibilidad de que la de 300,000 reís. _ _ , ■ Hubo una mm' lama discusión sobre este asumo, y por ultimo se • Hacienda pública se reintegre de 1187 rs. que quedó debiendo D. Isi acordó reunir las dos basílicas, v que se mandase á la Regencia que dro 'Santiago .Martínez ,-admmisi radon qtfe lúe de ía misma, por no ha presentase un plan, que debía existir en una de las secreta: ín, del Des bar dejado bienes; y otra del coronel-de cabal…</t>
  </si>
  <si>
    <t>Isidro</t>
  </si>
  <si>
    <t>…Biblia por las cua mismo partido, linda con las de D. Matías Romero, Don tro parres del mundo , poniéndola al alcance de los hombres Rafael Flecher, paso de aguas por medio, y de D. Isidro de todas las lenguas, cultos ó sectas; y algún tiempo há pu Campos, su cabida de 3 ochavas y 8 brazas, en 1812 rs. blicó en dos volúmenes las traducck-nes que ha hecho de la y 29 mrs* Biblia hasta eí año dé 1«i'3. Cotnpúnese ia sociedad de Otro trozo de tierr…</t>
  </si>
  <si>
    <t>Israel, Dios de</t>
  </si>
  <si>
    <t>Dios de Israel</t>
  </si>
  <si>
    <t>…rtuguesa, recobrando sus (derechos iWesrminster el vino. El. coro cantó la última antífona: » Bendito sea imprescriptibles, recobró también con ellos aquel antiguo vigor y ener el Señor Dios de Israel &amp;c.” En seguida, en medio de las aclamacio gía que. la hizo tan memorable en las épocas brillantes de sus glorias. nes y del ruido de los tambores, el Rey se quitó la corona; y toman Sin embargó para cortar una discusión, que no puede dejar de ser des do los…</t>
  </si>
  <si>
    <t>Istria, Capo de</t>
  </si>
  <si>
    <t>Capo de Istria</t>
  </si>
  <si>
    <t>…vertido en un por Mr. de Stourdza. Todo el mundo sube que este sugeto , griego de verdadero hospital; no hay una sola fanvlia que no este enferma , y en nacimiento, y pariente del Sr. Capo de Istria, consejero de Estado at 'algunas de ellas no hay un so'o individuo que pueda asistir á los otros. servicio de la Rusia, redactó en tiempo del Congreso de Carlsbad otra La epidemia es tan general, que no hay una sola centinela para hacer la memoria sobre la si…</t>
  </si>
  <si>
    <t>…lazareto sucio de enfermedades sospechosas uno. no, y se le ha admitido. Queda pues solo sin decidida oposición el mi nota. Hay uno sospechoso en la parroquia de Santiago. nistro Sr. Capo de Istria, el cual como griego podrá favorecer mucho la insurrección de ios helenos. Esta circunstancia puede dar nuevo vigor , Madrid Lunes £ de Noviembre. á las sospechas de que el Alejandro moderno tal'vez intenta desatar él nuevo nudo gordiano por el mismo estilo q…</t>
  </si>
  <si>
    <t>Isturiz</t>
  </si>
  <si>
    <t>…e habia dado á fin de que se practi casen nuevas elecciones en dicha provincia para reemplazar al difun Relación de Jincas que se están subastando 'de las aplicadas ¡ti Crédito to Sr. Isturiz por hallarse ya el suplente en el Congreso , pedian que público para pago de la deuda nacional, expresiva de las provincias por regla general para todos los casos de igual naturaleza en que llega donde se hallan, su situación , procedencia , cantidades en que…</t>
  </si>
  <si>
    <t>Isturiz, Francisco Javier</t>
  </si>
  <si>
    <t>Francisco Javier Isturiz</t>
  </si>
  <si>
    <t>…os. No se cree que haya ningún movimiento por parte de las do , vecino de Mi jas. tropas rusas mientras dure el invierno; pero se han acampado todos los Por hr provincia de Cádiz. D. Francisco Javier Isturiz; D. Pedro regimientos, y provisto de toda clase de municiones, de suerte que es Juan de Zulueta; D. Joaquín Abreu; D. Amonio Alcali Galiino» tán prontos para entrar en acción desde luego. Las fuerzas rusas reuni Suplente: D. Josef Resusta. ( Diario mercantil…</t>
  </si>
  <si>
    <t>Itcnda, Francisco</t>
  </si>
  <si>
    <t>Francisco Itcnda</t>
  </si>
  <si>
    <t>…a mayor parte de lo que se había hablado habia sido sobré de cámara. si se podía ó no exigir la presentación de títulos, y si se atacaba á la A la de Legislación otra solicitud de D. Francisco Itcnda, vecino propiedad particular; .y que él creía que era una cosa muy justa ilichii de Marbella, provincia de Málaga, para que se le apruebe una escritu presentación , porque los pueblos debían tener un derecho para saber si ra de emancipación. lo que pagaban er…</t>
  </si>
  <si>
    <t>Itero, Angel</t>
  </si>
  <si>
    <t>Angel Itero</t>
  </si>
  <si>
    <t>…. Josef María Pardo producir. Montenegro, en Orense D. Josef Somoz3, en Orihuela D. Juan Rico, 13. Desde el presente año inclusive pagarán los comisionados del presbítero, en Osma D. Angel Itero, en Oviedo L&gt;. Ramón Gil, establecimiento en las provincias á los partícipes legos de diezmos un Couder, en Plasencia D. Modesto Galban , en Patencia D. Isidro Gó 3 por too de rédito anual sobre el cap.tal líquido que arrojen las liqui mez Catnaleño, en Pampl…</t>
  </si>
  <si>
    <t>Itíirbide</t>
  </si>
  <si>
    <t>…la exportación de todas las materias elaboradas de las minas.” un buque que entró ayer de Campeche hemos recibido la agradable no Aprobado. ticia de haberse acogido al indulto el coronel Itíirbide, el cual le fue Art. tí.° » La introducción de las materias primeras que se necesi concedido. También avisan se logró recuperar joo9 duros de los 700S) ten para el beneficio de las minas, y la exportación de los productos que interceptó. Reinaba el mayor cont…</t>
  </si>
  <si>
    <t>Iturbe, León</t>
  </si>
  <si>
    <t>León Iturbe</t>
  </si>
  <si>
    <t>…o oficial al envolverlos murió gloriosamente, recibiendo su heró.co entusiasmo. en su cuerpo cuatro balazos, y con ellos hasta espirar nunca se le oyó ; El comandante de escuadrón D. León Iturbe, que io era también de etra voz que: Adelante , muchachos, yo muero, pero-gustoso, porque sé la plaza de la Guaira, dió parte al Exento Sr.comandante general de que la gran jVaciun de que dependemos es madre de núes tras-familias, la evacuación de la plaza de…</t>
  </si>
  <si>
    <t>Iturbe, León de</t>
  </si>
  <si>
    <t>León de Iturbe</t>
  </si>
  <si>
    <t>…n sinnúmero de víctimas, y este va y velocidad del embarque. El comandante de la plaza el teniente coro cío ha procurado llenarlo el Sr. Lagasca‘ añadiendo él carácter que dis nel D. León de Iturbe y el referido comandante general Laborde hi tingue constantemente la fiebre amarilla de las restantes dolencias, y cieron el milagro de embarcaren menos de 24 horas y en una rada pe ademas cuatro bosquejos ó cuadros que demuestran las formas bajo las ligrosa…</t>
  </si>
  <si>
    <t>Itúrbide</t>
  </si>
  <si>
    <t>…de partido se'reduce á que cuan cha 6 de Marzo, én el que participaba los acontecimientos ocurridos do se decrete la contribución se haga el repartimiento de esta entre los con el coronel Itúrbide, que se habia sublevado y levantado la bandera pueblos. La primera dificultad que se presenta es que tengan estas re de rebelión , jurando la independencia. Asimismo manifestaba las me uniones el nombre de diputación de partido, pues no me parece muy didas qu…</t>
  </si>
  <si>
    <t>Iturralde, Juan Bautista</t>
  </si>
  <si>
    <t>Juan Bautista Iturralde</t>
  </si>
  <si>
    <t>…e examinándola, proponga ti las blo Velasco al pago de una cantidad que le cLbe. ” Cortes la medida general que convenga tomar en esta materia , respeA la de Hacienda pasó otra de D. Juan Bautista Iturralde , regi » tundo la autoridad eclesiástica, y reintegrando á la temporal en I03 dor propietario que era de esta villa, para que se le declare pertene ” derechos de establecer y dispensar los impedimentos eri los contratos ciente al crédito con ínteres sóbrenla…</t>
  </si>
  <si>
    <t>Iturralde, Juan Tomas de</t>
  </si>
  <si>
    <t>Juan Tomas de Iturralde</t>
  </si>
  <si>
    <t>…El Sr., Serpa dijo que en estos deberes se indicase el de respetar la de Bilbao. der. religión; pero se le contestó que este artículo trataba solo de los debe D. Antonio Jardin. ' D. Juan Tomas de Iturralde , de res cívicos, y no de los deberes raligiosos. D. Antonio Benito Picolomíni. Pamplona. Por último se aprobaron las dos citadas proposiciones, y se acordó D. Dionisio Antonio de Arizmen- D. Juan de Urbina. que volviese el artículo á la comisión para que Jo…</t>
  </si>
  <si>
    <t>Iv.óua</t>
  </si>
  <si>
    <t>…en Novara el 24 de Julio de 1821. Firmado, el voe.de Laiour, ple tienen mucha confianza de que dispersarán á ¡a escuadra turca si Ucean nipotenciario de S. M. el Rey de Cerdeña : conde Iv.óua , general en » batirse cou sila. Algunas :slas del Archipiélago parecían hallarse.dis gefe del «gcrcito awrtr.ac» «a Lombardía; barón de Rlndcr, ur;n:*u*</t>
  </si>
  <si>
    <t>Ivarado, Juan Antonio A</t>
  </si>
  <si>
    <t>Juan Antonio A Ivarado</t>
  </si>
  <si>
    <t>…. Manuel del Burgo y Alvarez , con de Campeche como á las dos de la mañana , donde mandé tador de resultas del tribunal mayor de cuentas de Lima: hacer alto. para la de Guamanga A D. Juan Antonio A Ivarado, mar «Al amanecer del día 6, tomando un guia en dicho ques de Tabalosos . émpleado en la embajada de España en punto, me dirigí á Alfocea, adonde llegué como á las Francia: para la de Puno á D. Francisco Bruno López, nueve de la mañana, donde e! Sr. alcaide m…</t>
  </si>
  <si>
    <t>Ivatazn</t>
  </si>
  <si>
    <t>…ir verdades que hacen muy poco favor al tado á.ios griegos. -' • pueblo de aquel país, ó álo menos á una parte de los malvados, que El príucips Maurocordato , sobrino del opulento príncipe Ivatazn, aterran á los buenos, sin que hasta ahora haya podido el Gobierno que llegó últimamente de Marsella á Morca con muchos oficiales ale impedir tantos niales. No necesitan ya nuestros periodistas recurrir a manes y franceses , ha obtenido el mando de los heieno…</t>
  </si>
  <si>
    <t>IVpé</t>
  </si>
  <si>
    <t>…ha servido nombrar insultado á la nación napolitana, comienzan á insultar á los indivi para dos plazas de magistrados, vacantes en el tribuna! supremo de Jus duos. El desgraciado general IVpé es el objeto de su furia; y no tienen ticia á D. Josef Nuria Bolacos y á D. Joaquin Carrion y Moreno. reparo en decir que se viene á Espera con 200SI ducados que ha roba do. Parece que se embarcó con otros ó 1 desgraciados. ANUNCIOS. La misma Gazette publica…</t>
  </si>
  <si>
    <t>Izquierdo, Cayetano</t>
  </si>
  <si>
    <t>Cayetano Izquierdo</t>
  </si>
  <si>
    <t>…putado de mo de alguno ó algunos de los defensores durante el sustanciado de ¡a provincia. causa, se hará saber á los reos inmediatamente que se reciba esta reso Partido de Cuenca D. Cayetano Izquierdo. D. Josef Royo Cantos. lución , y sin suspender las diligencias de lectura y cotejo, que en el D. Andrés Villora. D. Juan Francisco Sierra. D. Diego Antonio Me término de 24 horas después de la notificación nombre cada uno un na. D. Nicolás Escolar y Noriega.…</t>
  </si>
  <si>
    <t>Izquierdo, Cristóbal</t>
  </si>
  <si>
    <t>Cristóbal Izquierdo</t>
  </si>
  <si>
    <t>…ó sin centro Estando yo ( continuó ) mera ide Málaga á-'D."Antonio Ramírez Arellano; par»-la segunda, en el egército expedicionario de Ultramar,-recibí varias órdenes que no id. á D. Cristóbal Izquierdo de los Santos; para Ja de Marbella ¿ üabia tenido el subinspector de cabullería; lo-cual es una prueba consi D. Juan Florencio Guzmnn ; para la de Loja a D. Franeisco de Pauguiente de que el rég'nnen de este grande establecimiento, llamado egér la. Silva:; p3…</t>
  </si>
  <si>
    <t>…ón, en que se solicitaba una re Noviembre de i8jj&gt; , en los que en su juzgado promovió el citado Vicompensa pecuniaria para uno de sus criados que le servia muchos años gil contra D. Cristóbal Izquierdo de los Santos, juez interino de pri há, rehusó acceder á ella, poniendo al margen del escrito que á fin mera instancia de ella D. ¡t anión de Torres y Atienza , escribano de de que mereciese su atención debía ii el expediente acompañado de ios la subdelegaron…</t>
  </si>
  <si>
    <t>Izquierdo, Francisco</t>
  </si>
  <si>
    <t>Francisco Izquierdo</t>
  </si>
  <si>
    <t>…de un corto número de ciudadanos, Don Antonio Osteret, D. Francisco de Travesedo, D. Francisco depositarios ya de la confianza de sus convecinos , caminando al tem Antonio Pando, D. Francisco Izquierdo, D. Josef Brun, D. Matías plo á implorar del Altísimo que ilumine su entendimiento y separe de lavin, D. Ramón Adan y D. Ventura Rubio. él la pasión ó el error , para que desempeñando dignamente el ilustre P arroquia de S. Ildefonso , 18 electores. cargo de q…</t>
  </si>
  <si>
    <t>Izquierdo, Juan Antonio Jiménez</t>
  </si>
  <si>
    <t>Juan Antonio Jiménez Izquierdo</t>
  </si>
  <si>
    <t>…vas á su vida política &amp;c. Véndese en la librería de Paz. El bálsamo maravilloso para curar heridas &amp;c: su verdadero autor Noticias estadísticas de la ciudad de París en 1821. es D. Juan Antonio Jiménez Izquierdo. Este bálsamo, tan experimen Los ingresos ordinarios en las cajas de la ciudad de Paris para el año tado en todas las provincias de España como en los reinos extrangede 1821 se regulan en 24.465,370 francos, distribuidos del modo ros , y tan estimado por los…</t>
  </si>
  <si>
    <t>Í’uez, Pedro</t>
  </si>
  <si>
    <t>Pedro Í’uez</t>
  </si>
  <si>
    <t>…ortes, en que participaba que no habia conocido sino hecho haber lugar á la formación de causa, y pasada la denuncia al en la testamentaría del Sr. Vargas Ponce y en las causas de D. Pedro Í’uez de primera instancia, se averiguó que el autor de la referida carta Fernandez de Castro, presbítero, y D. Cayetano Marimon , los dos o es D. Sebastian Miñano: se procedió en seguida al juicio de conci del número de los diputados que en 1S14 firmaron la famosa…</t>
  </si>
  <si>
    <t>I’uyol.zzD, Mariano</t>
  </si>
  <si>
    <t>Mariano I’uyol.zzD</t>
  </si>
  <si>
    <t>…mada; y i.u El Gobierno presentará los re ría.zrD. Mariano Andreo.zzD. Antonio Martin. = D. Gabriel Pé glamentos para la organización particular de este cuerpo, asi comó.parez, zz D. Mariano I’uyol.zzD. Josef Rubia. zzD. Julián Irribarren.=; ra su instrucción y régimen económico.” Después de haberlos, leido el D. Joaquín Anaut.zzD. Antonio Permisan.zzD. Eusebio Toruer. zz: Sr. secretario quedaron aprobados estos dos artículos, y retirados los D. Jicobo Sevi…</t>
  </si>
  <si>
    <t>J, Giraldo</t>
  </si>
  <si>
    <t>Giraldo J</t>
  </si>
  <si>
    <t>…e S. M. y demás efectos consiguientes.” la elección del Sr. O-Gavan para diputado por la provincia de la Ha— De esta resolución he dado cuenta al Rey, y S. M. ha tenido á vana. El Sr. Giraldo J13 manifestado los fundamentos que ha tenido la bien mandar que la comunique á V. para su inteligencia y demas mayoría de la comisión para opinar que los poderes del Sr. O-Gavan efectos correspondientes, como lo hago de Real orden. Madrid 24 di son nulos; ha s…</t>
  </si>
  <si>
    <t>J, Juan Francisco Tor Madrid</t>
  </si>
  <si>
    <t>Juan Francisco Tor Madrid J</t>
  </si>
  <si>
    <t>…itución se pasó una queja público en la plaza de la Constitución., de los vecinos de lagparroquia de S. Salvador del lugar de Comune ros, concejo de ’N'aVia, contra el comisionado D. Juan Francisco Tor Madrid J1 de Marzo. re y la audiencia de Asturias, por habérseles exigido, á instancia deL - SS. MM. y AA. continúan sin novedad en su importante salud. prior de S. Juan de Coria, algunas cantidades que debian por rentas atrasadas, reservándose su derecho de pedir lo…</t>
  </si>
  <si>
    <t>J, Uzeem</t>
  </si>
  <si>
    <t>Uzeem J</t>
  </si>
  <si>
    <t>…e iba pasando bitantes de aquel imperio. la carta. Al entrar en Chepank. se le hizo un saludo de 21 cañonazos, y Nos contentaremos con publicar el epílogo de aquella oración fú el príncipe Uzeem J :h , hermano del nabab, saiió á recibir la comitiva nebre. Después de haber elogiado sobremanera la.piedad con que los por respeto á la carta de S. M. Habiendo ilegado al palacio, la bajaron rusos recogieron las reliquias del patriarca, como la muger de Alega…</t>
  </si>
  <si>
    <t>J-edesEstado, Francisco Rodríguez de</t>
  </si>
  <si>
    <t>Francisco Rodríguez de J-edesEstado</t>
  </si>
  <si>
    <t>…a ó inspec Las noches romanas en el sepulcro de los Escipiones, traducidas ción suprema que debe tener asi en este como en los demas ramos del del original italiano al español por D. Francisco Rodríguez de J-edesEstado. Por lo demas si se piensa por egemplo establecer en Barcelona ma, ex-diputado de las primeras Cortes ordinarias, y diputado en las una casa de moneda, como será regular, ; quién puede entender lo que actuales. Los que se han suscrito acudirán á recoger el 6.…</t>
  </si>
  <si>
    <t>J-u, Jernandú</t>
  </si>
  <si>
    <t>Jernandú J-u</t>
  </si>
  <si>
    <t>…e sus excepciones; que no pu de los secretarios del Despacho; y habiendo empezado por diese ocurrir jamas una circunstancia en que conviniese in el del Interior, resultó electo el Sr. Jernandú J-u/s de terponerse para impedir la adopción de ciertas disposiciones ¿ous i Barradas, por 45 votos. interiores; y que pudiese haber casos en que fuese no sola Habiendo aprobado en-el acto los poderes del Sr. 13 raí— mente justo, sino necesario el hacerlo asi por…</t>
  </si>
  <si>
    <t>Ja</t>
  </si>
  <si>
    <t>…por esta razón se Cepeda', NavarrcU, Lazar a , Alanzanilla, Loizaga , González Ai ende, colocaba entre las penas no corporales. ILespecto á la gravedad de esta Ayestarán , Guerra (D. Ja»ef Bisilio), Solanot , iiermosilia , Lorenpena no hay mas que leer el art. 31 , y se verá que se aplica á los zana , Lagrava , Alaman y García Page. delitos graves. Art. 31. » Ninguna otra pena lleva consigo la infamia, sino única EL Sr Uraga: La pena de infa…</t>
  </si>
  <si>
    <t>Ja, Fernando Ríos</t>
  </si>
  <si>
    <t>Fernando Ríos Ja</t>
  </si>
  <si>
    <t>…las grandes ventajas que á la Cortes en la ley coa.titutiva deí ejercito, se le señale 4 la viuda del España resultan de haber adoptado un Gobierno tan análogo á las luces difunto D. Fernando Ríos Ja misma asignación que corresponde 4 los del siglo, y tan digno de una Nación que tantos y tales esfuerzos' ha capitanes de egército, haciéndose extensiva esta gracia 4 todos los que hecho por arribar al deseado fin de su restauración. Podremos al mis se hallen…</t>
  </si>
  <si>
    <t>Ja, Julián</t>
  </si>
  <si>
    <t>Julián Ja</t>
  </si>
  <si>
    <t>…o__6." D. Manuel Gutierre-*-Orlando.^-7.“ D. Ramón del Pala n Parece que la Grecia misma ha querido manifestar con, su duelo cio y Musitu__ Í5.J D. Josef María Sánchez y Puy._¿).J D. Julián Ja desgracia de sus hijos.-En general el pais está inculto, el suelo des Sarmentó. ’ " nudo, monótono, agreste y de-un color amarillento y mortecino. No Se repartieron cuadernos impresos é todos los señores concurrentes, hay ríos verdaderos, y sí solamente algun…</t>
  </si>
  <si>
    <t>Ja, Salva</t>
  </si>
  <si>
    <t>Salva Ja</t>
  </si>
  <si>
    <t>…o que mediante el artículo qne propone •al Gobierno. la comisión, deseaba saber cuál era la base que aprobaron fas Cortes ea El de las de Guerra y Marina acerca de la solicitud de D. Salva Ja anterior legislatura acerca de la contribución directa. dor Treserras sobre el establecimiento de telégrafos de Mr. Chape, El Sr. Moscoso leyó esta base, que decía asi: « Después de adopta del cual acompañó modelo. Las comisiones opinaban que debía pasar al d…</t>
  </si>
  <si>
    <t>Jabat, Antonio</t>
  </si>
  <si>
    <t>Antonio Jabat</t>
  </si>
  <si>
    <t>…que la comisión habia cumplido con el encargo que cional desde el último aviso. las Cortes la habian encomendado; y que últimamente no veia los gran D.. Andrés Vilches , de Cádiz; D. Antonio Jabat, de id; D. An des inconvenientes que se habian indicado para que no se aprobase el tonio Gallego Valcarcel; Doña Catalina Josefa de Paul , de Cádiz: proyecto que se discutía. el duque de S. Carlos; D. Henrique Croese, de Anisterdám; D. Fran El Sr. Moscoso imp…</t>
  </si>
  <si>
    <t>Jaca, Bartolomé Cavero de</t>
  </si>
  <si>
    <t>Bartolomé Cavero de Jaca</t>
  </si>
  <si>
    <t>…rendedor, aunque ridiculizado tregarles dichos bienes y rentas. En su consecuencia se dirigirán al re-, por algunos escritores, no por eso deja de producir muchas nobles ac ferido D. Bartolomé Cavero de Jaca , vecino de la ciudad de Murcia. ciones. Aun no han olvidado su antigua gloria: todassuscancior.es po Compendio muy útil de los mas esenciales artículos de la Consti pulares ia lecuerdan, y en sus conversaciones hablan de ella como de tución en verso castella…</t>
  </si>
  <si>
    <t>Jaca, Caplaza de</t>
  </si>
  <si>
    <t>Caplaza de Jaca</t>
  </si>
  <si>
    <t>…impugnó en un largo discurso lo que habia dicho so A la de Guerra pasó una exposición del cuerpo de inválidos de la bre el particular el Sr. Cortés, como igualmente el parecer del Sr. Caplaza de Jaca, pidiendo se lleve á efecto el decreto de 13 de Marzo latrava y el dictamen de la comisión; y pidió se declarase no haber lu de 181.J. ' gar á votar sobre él, y se devolviese á la comisión , para lo cual hacia Las Cortes recibieron con agrado, y mandaron pasa…</t>
  </si>
  <si>
    <t>Jacinta</t>
  </si>
  <si>
    <t>…edidas mas convenientes para cortar de raiz tales abusos. calde primero constitucional y juez interino de primera instancia de , A la comisión de Hacienda se pasó una solicitud de Doña Jacinta aquella ciudad. Del expediente resultaba, que hallándose el referido al del Villar, viuda de un sargento, para que se le siga pagando la pen calde entendiendo en la causa formada contra el canónigo D. Juan sión que disfrutaba de 4 rs. diarios. Chacón, en virt…</t>
  </si>
  <si>
    <t>Jacinto</t>
  </si>
  <si>
    <t>…la Nueva , y juez de primera instancia de esta M. H. será que siendo mas ¡os distritos , serán mas los estados mayores y mas villa, refrendada del escribano del número de la misma D. Jacinto de los empleados , y esto no es ninguna economía. Gaona y Loaches, su fecha 25 de Octubre último', se ha mandado , en Es indudable que en cada distrito debe haber un estado mayor, un tre otras cosas, se fije el tercero y último edicto que resta para completar…</t>
  </si>
  <si>
    <t>Jackson</t>
  </si>
  <si>
    <t>…diz *¡ de Setiembre. Por los periódicos anglo-americanos recibidos en Gibraltar, y qua ARTICULO DE OFICIO. alcanzan hasta 28 de Julio, se sabe lo siguiente: El 25 de Junio tomó el general Jackson posesión de las Floridas, El Sr. secretario del Despacho de Estado con fecha de ayer dice lo según el Providente Advertiser-, pero el NationaUIntelligsncer contra que sigue: dice esta noticia. En fin-, lo que parece no admite duda es que el 10 de » No ocurre…</t>
  </si>
  <si>
    <t>…ermosas del Se habla también de una junta de ciudadanos para tratar de la universo , de darnos leyes justas y acomodadas á nuestras costumbres y representación que debe hacerse al general Jackson, gobernador de las á las luces del siglo, de arreglar ia fuerza armada, y darle instituciones ‘Floridas, con motivo de un párrafo de la proclama que publicó en el análogas al sistema liberal, haciendo del soldado el mejor de los ciu acto de tomaT posesión de…</t>
  </si>
  <si>
    <t>1618</t>
  </si>
  <si>
    <t>…erador en 'Wittepsk, adonde llegaron sus cabi pormenores acerca de las Floridas. llos 15 dias lió. Han salido de la fortaleza de Bobroisk para Ukrania » Con arreglo á la orden del general Jackson todo él territorio grandes cantidades de municiones, lo cual puede indicar que el egérci comprendido entre los ríos Perdido y Smvaney, con todas las islas que to del Pruth recibirá considerables refuerzos, y por tanto que la guerra de él dependen, formará un…</t>
  </si>
  <si>
    <t>Jacob</t>
  </si>
  <si>
    <t>…de Junio, Se leyó y aprobó el acta de la anterior, Escriben de Tolon que una división naval, mandada por el contra A la comisión segunda de Legislación se mandaron pasar las expo» almirante Jacob, fondeó en la rada de este puerto el 17 de este mes. siciones de D. Juan^Ruiz, D- Joaquín Blanco, D. Josef Ramírez, Dicha división se compone del navio le Jean-Bart, de 74 cañones; de D. Gerónimo Josef María Samaniego, D. Diego Caballero, D. Josef la fragata…</t>
  </si>
  <si>
    <t>Jacobo</t>
  </si>
  <si>
    <t>…mero, dirección favor del Estado la pensión que disfruta. y cabecillas que mandaban á los facciosos; y habiéndolos seguido su al A la de Guerra y Hacienda unidas una exposición de D. Jacobo cance, se trabó la acción que refiere el parte que sigue: Valle, teniente coronel del Real cuerpo de Artillería , y director in »s Disponiéndome á las nueve de anoche para atacar á los facciosos, que terino de las fábricas de pólvora en Murcia, solicitando se…</t>
  </si>
  <si>
    <t>JaCuesta, Antonio de</t>
  </si>
  <si>
    <t>Antonio de JaCuesta</t>
  </si>
  <si>
    <t>…l comercio de Vinaróz, con D. Joaquin Meid. En Valencia en la de D. Bernardino Pesseto ; y en San seguer , de la propia vecindad , sobre pago del importe de 79 bar tander en la de D. Antonio de JaCuesta, boticario. En cu riles de-harina, y-áatisfác'er de ellas la suma de40,140 es., que ya ciudad han sido falsificadas , con grave perjuicio de la restaba deberle el D. Ramón Compani; con apercibimiento que humanidad doliente ; por lo que -no se tendrá confianza…</t>
  </si>
  <si>
    <t>Jage, Juan</t>
  </si>
  <si>
    <t>Juan Jage</t>
  </si>
  <si>
    <t>…dido la propiedad de los bi,. Juan Jage en favor de su invención de hacer muy buen vinagre de pa nes; aquellos le indemnizan proporcionándole la ociosidad, y el puetatas. Al mismo D. Juan Jage ha concedido S. M. I. otro privile blo acaba por vivir conento con su miseria. gio exclusivo en favor de una invención , mediante la cual y de un me Cuando un Estado se halla despoblado por accidentes particulares de canismo muy sencillo se puede con mucho ah…</t>
  </si>
  <si>
    <t>Jai</t>
  </si>
  <si>
    <t>…la polacra Dulce nombre, de, María, del capitán D. Jo paganos: ási es que el nuevo Emperador se ha mostrado muy diverso sé f Castalio, y los restantes de la fragata Libertad, del capitán D. Jai de ¡o que era siendo príncipe. Desde su exaltación ai trono ha pro me fiendras; á saber: uno que dió señales de estar acometido de la en curado grángearse la confianza-de sus súbditos de cualquiera rjligioh'que fermedad sospechosa, según se dijo en el parte d…</t>
  </si>
  <si>
    <t>Jaime</t>
  </si>
  <si>
    <t>…3 celemines, llamada dé la Yegua, en 375 r** miento.de Tortosa, y hacendado en ella: y á instancia del mismo 'Otro de la misma cabida, liarnado el'Aza de la Piñuelaeti 375 rs. Dr. D. Jaime, y en virtud de prpvidéncia del Sr. Juez de la causa, se Otro de ó celemines, quiñón ¿Tlámadó el del-Ladrón de Molinillo, jda este avisó. ..... que lo divide el rio, en 125 rs. . ' •" Otro de una fanega, 5 celemines, quiñón, llamado del Molinillo, cambios. Ma…</t>
  </si>
  <si>
    <t>…ijo ilegítimo con la Señoril: que exigen la justicia y la prosperidad del pueblo. , ‘ Doña Teresa'Vidalita". Por favorecer á" uno y h otro mandó- que la' -En las Cortes que el Rey D. Jaime celebró en EatceEar.a antbs de ciudad de Segorve lo reconociese pór"sil señor; antes no ■ pagaba mas la;conquista de Mallorca se determinó fuesen repartidos entre los ca que contribución general como todos los- demas puéblds del'reino ", y-’ balleros que asis…</t>
  </si>
  <si>
    <t>…onsiguientes.” - - imenara , Segorve; y .otra infinidad de pueblos de aquella provincia, eran Lo que traslado á V. para su conocimiento y demas efectos cor libres antes que el Rey/D. Jaime los recibiese del Rey moro de Valen respondientes. Madrid; 3T.de Marzo -de 182'j. ' ' , . cia, que se los habia: entregado voluntariamente, y que en aquellas ciu dades no habia un., feudo ísiquiera , sino que todos eran propietarios El Rey, á consulta del Con…</t>
  </si>
  <si>
    <t>…con varias no fie sus confidentes, recorre toda la España en un abrir y cerrar de ojos; tas , en que se impugnan algunas aserciones de este sabio publicista__ Se* se avista con el general Jaime, que tiene aterrada la provincia de Va gunda edición de las cartas sobre ia policía, aumentadas con un gran lencia , y amenaza á las comarcanas; conferencia con el cura de Villo- número de notas en lo que concierne á la salud pública, abundancia biado en Búrg…</t>
  </si>
  <si>
    <t>Jalón, Gómez</t>
  </si>
  <si>
    <t>Gómez Jalón</t>
  </si>
  <si>
    <t>…Después de un breve debate no se admitió á discusión. En la de Granada: para la judicatura de Torbiscon á D. Francisco El Sr. presidente nombró para la comisión de Hacienda al Sr. conde Gómez Jalón. de Toreno. En la de Vizcaya: para el partido de Guernics á D. Vicente An El Sr. presidente dijo que mañana se seguiria la discusión de fa tonio de Oquendo. nueva división del territorio, y la del proyecto de decreto sobre el es Y en la de Málaga: para el de…</t>
  </si>
  <si>
    <t>James, Williams</t>
  </si>
  <si>
    <t>Williams James</t>
  </si>
  <si>
    <t>…s. S. M. salió á las gradas del ed.ficio, y fue París jo de Octubre. saludado con las mas vivas aclamaciones.. El 13 pasó el Rey revista á las tropas, y en seguida hubo un gran E! capitán Williams James, comandante del paquebote lord H-— svart, acaba de publicar un aviso interesante á los navegantes de to convite en palacio. - , Las tropas siguen en sus evoluciones, las cuales se acabaran el 20. das las naciones. Viniendo de la Jamaica paia Inglaterra , reco…</t>
  </si>
  <si>
    <t>Janer</t>
  </si>
  <si>
    <t>…s egemplares de un plan de educación pública"que ofrece' concedía á lo's Reyes l'a dé conceder el pase ó retener los decretos con á las Cortes D. Josef Pablo Ballot, y presentó el Sr. Janer , diputado ciliares y bulas pontificias, con el consentimiento de las Cortes si con por Cataluña. ----------------- ....... _ ...y-."..; ¡ tienen-disposiciones generales; Ia.dificultad_está, dijo, en si las bulas A la de Hacienda é Instrucción pública unidas…</t>
  </si>
  <si>
    <t>…plimiento bajo va a lo acordado acerca del R. arzobispo de Cuba, mandándose repar la mas estrecha responsabilidad. Quedó aprobado. tir zoo ejemplares que hablan sido remitidos. El Sr. Janer presentó dos egemplares de una obra elemental de his A 1 a comisión de Guerra se mandó pasar el informe, remitido por toria natural, dedicada á las Cortes por D. Agustín Yañez, catedráti el Sr. secretario de este Despacho, que le fue pedido en 9 de Setiem co…</t>
  </si>
  <si>
    <t>…sh t Puigb ianch en nada se oponía a este artículo, y solo podría tener lugar destino un ai10 hú. mas adelante. El otro oficial ruso es un tal Teodoro , de quien habla ¡a móiii El Sr. Janer apoyó las razones que había dado el Sr. Gaseo para gaceta en estos términos : ,, Poco tiempo después de la muerte de! prin manifestar que el artículo de que se trataba se oponía al 35/ de la Cons cipe Alejandro Suzzo hubo en Valaquia una ¡nsurr.ccion, dirigi…</t>
  </si>
  <si>
    <t>…esta al sorteo han de estar comprendidos en la edad de 18 años cumplidos resolución de S. M. Madrid 30 de Abril de i8zx. hasta 3 6 también cumplidos.” Se aprobó una indicación del Sr. Janer, que decía asi: » Pido que VARIEDADES. las Cortes determinen que la estatura que se exige para poder servir en el egército de cinco pies menos media pulgada, sea en adelante de cinco Del estado actual de .la Grecia. pies menos una pulgada.” ' Creemos que en l…</t>
  </si>
  <si>
    <t>…n ó no de contrabando, y en este caso el puede despacharse gratis á este interesado el título que solicita. comerciante de buena fe, que no trata de introducir en el reino géne El Sr. Janer dijo que del dictamen de la comisión no resultaba que ros de contrabando , encuentra un obstáculo en cada pueblo , que le en este interesado tuviese los conocimientos suficientes y debida instruc torpecerá mucho su viage, puesto que cualquiera autoridad ó emp…</t>
  </si>
  <si>
    <t>…do la del art. 78, que quedó) pendiente en la sesión extraor tanto contribuyeron á la persecución y derrota de los facciosos, y pre dinaria del 9 {véase la gaceta del ir), dijo el Sr. Janer: No puedo viendo sin duda que cualquiera otro premio haría resentir la delicade menos de hacer presente que un individuo de la misma comisión ha di za y pundonor de los que solo por afecto y sin el menor ínteres sa sentido de la mayoría en este artículo, sien…</t>
  </si>
  <si>
    <t>…cabildo de la catedral de da en este año á dicha ciudad. ( Aprobados todos.) Pamplona podia dar la posesión de cinco canongías que habia provisto. Se leyó la siguiente adición del Sr. Janer al dictamen de la comi La comisión opinaba que podía dar posesión puesto que estaban provis sión de Legislación sobre farmacéuticos, que se acababa de discutir: tas desde Enero del año pasado; pero que dicho cabildo no procediese » Pido que se añada y con los…</t>
  </si>
  <si>
    <t>…atro años de edad que ie faltaban para exami que por desgracia carecen de ella. Aprobado. narse de. farmacia. Se leyó por primera vez el proyecto de decreto , relativo al modo' El Sr. Janer dijo que las Cortes habían determinado sobre este par de asegurar á los escritores la propiedad de sus obras. ticular , y que en su: consecuencia no debía haber lugar á votar , y asi Se leyó el dictamen de la comisión de Hacienda, relativo al dona se acordó.…</t>
  </si>
  <si>
    <t>…yó un oficio del Sr. ministro de Gracia y Justicia , «1 que des res, según las necesidades de la armada.” ' . . de el Escorial con fecha dé ayer decia que SS. MM. y AA; seguían El Sr. Janer preguntó si la comisión queria que estos individuos sin novedad en su importante salud. Las Cortes lo oyeron con particu fuesen médicos y cirujanos á un tiempo, porque entonces debía omi lar agrado. tirse la palabra de cirujano mayor , y sustituir la de médic…</t>
  </si>
  <si>
    <t>…sión, y se aprobaron la quin Cortes extraordinarias, ha tenido á bien mandar S. M. que la comuni ta y sexta. que á V- como lo egecuto. de Real orden, para su inteligencia y res El Sr. Janer preguntó quién debia costear el viage de las visitas de pectivo cumplimiento. Madrid 12 de Noviembre de 1821. que habla la parte séptima de este artículo ; y como es-regular ¿dijo) que lo pagúela Nación, pidió se tuviese presente que habiendo pro puesto igual…</t>
  </si>
  <si>
    <t>…o deben armarse y tripularse de cuenta de marina , y defender nuestras costas en observancia de las leyes.” la Hacienda pública, según mas convenga para la mayor brevedad , efi El Sr. Janer manifestó que deberia añadirse en este artículo que cacia y economía de este armamento; y esto me parece que en ningún auxiliase , también á la sanidad , principalmente cuando esta lo exigiese; parage es mas fácil de conseguirse que en los. arsenales destinad…</t>
  </si>
  <si>
    <t>…conseguido en el primero. del Se. Paul, contrario á la aprobación del art. 5.® de resguardos lnátí» ¡Y por qué firmaron las autoridades, si la representación expresa- • tim s: el Sr. Janer pidió que se hiciese una rectificación en ella, y se': ba ideas opuestas á las suyas! dijese, como debía decirse, qus el,ayuntamiento de l’uigcerdá habla re « El intendente, recien llegado á estfi ciudad, fue sorprendido por presentado á las Coitos, pidiendo…</t>
  </si>
  <si>
    <t>…ntos propia de los sabios de la grande Na fesores no podia menos de aprobar el dictamen de la comisión. ción á que pertenecen ; concluidas las obligaciones, objeto de su viage, El Sr. Janer dijo que se oponia á la libre introducción de máqu[. han venido últimamente á despedirse dé la junta para volverse i sus ñas, porquecreia que ia comisión debia hacer una distinción entre las respectivos destinos, asegurándola del profundo agradecimiento en qu…</t>
  </si>
  <si>
    <t>…or de estas casas tendrá un libro de recepciones, neficencia y enseñanza la comisión retiraba el artículo. en que con arreglo á lo prevenido por las leyes llevará asiento de la El Sr. Janer, como individuo de la comisión de Beneficencia , in entrada de los niños, con todas las circunstancias y señales que conven dicó que no se proponía en este proyecto expresamente que la correc ga expresar, para contestar su identidad, certificando haber recibi…</t>
  </si>
  <si>
    <t>…bajo su mas es do para la preservación de las enfermedades epidémicas, presentados al trecha responsabilidad, ponga en uso todas las facultades que le conce Congreso por mano del Sr. Janer.” Se acordó que pasase á la comisión de la Constitución para atajar estos desórdenes. de Salud pública y después á la biblioteca. El Sr. Ramoner dijo: Daría un brazo por tener la elocuencia coa D spues de alguna discusión se mandó) pasase á la comisión de Sa…</t>
  </si>
  <si>
    <t>Janerdijo</t>
  </si>
  <si>
    <t>…do aquellos el El ir. Martel deshizo algunas equivocaciones que dijo haber pade mérito de dichas diligencias, y exponiendo acerca de ellas lo que ten cido el Sr. preopinante; y el Sr. Janerdijo: La mayor parte del discur gan por conveniente, se remita todo al intendente de la provincia, ó so del Sr. García Page ha girado sobre un supuesto , que está destrui á sus subdelegados en los puertos para la declaración dífinítiva. do con solo leer el art. 42…</t>
  </si>
  <si>
    <t>Jaokson</t>
  </si>
  <si>
    <t>…manes se opusieran á » En los Estados-Unidos se eres qua la conducta que ha tenido en las sus saqueos, y crímenes. Por fortuna se reconoció al fin que el buque era Floridas por el general Jaokson excitará discusiones muy vivas en el europeo , y aun se le permitió tomar cargamento; pero tiendas y mer Congreso. El coronel Coppinger, gobernador de la Florida oriental, cados seguían sin abrirse, y á cada paso se esperaban escesos y atroci se ha dirigido a…</t>
  </si>
  <si>
    <t>Jardeloux</t>
  </si>
  <si>
    <t>…nos y pies estaban dorados; y que cuatro pasageros los trasladaron el día 3 á la corbeta francesa la Union, su presume será el cadáver de un antiguo Rey de Egipt 1. Con este hecho capitán Jardeloux ( li. ant.'), que procedía de.'Santiago de Cuba para parece qi¡: se confirma la suposición de que ¡as p-rárnides son el mau Marsella, y han venido á este puerto en una lancha deTamisma embaía soleo fie los Reyes de aquella nación. E-te mismo viagero acaba de…</t>
  </si>
  <si>
    <t>Jardin, Antonio</t>
  </si>
  <si>
    <t>Antonio Jardin</t>
  </si>
  <si>
    <t>…a Pedraza, de Santan El Sr., Serpa dijo que en estos deberes se indicase el de respetar la de Bilbao. der. religión; pero se le contestó que este artículo trataba solo de los debe D. Antonio Jardin. ' D. Juan Tomas de Iturralde , de res cívicos, y no de los deberes raligiosos. D. Antonio Benito Picolomíni. Pamplona. Por último se aprobaron las dos citadas proposiciones, y se acordó D. Dionisio Antonio de Arizmen- D. Juan de Urbina. que volviese el artíc…</t>
  </si>
  <si>
    <t>Jas, Joa</t>
  </si>
  <si>
    <t>Joa Jas</t>
  </si>
  <si>
    <t>…esidente y secretario mas antiguo, que lo era el cápiían de voluntarios y demas que le siguieron al romper el ataque por Sr. D. Juan Paiarea, lian sido elegidos para presidente el Sr. D. Joa Jas calles de esta ciudad, habiendo asi podido reunir la tropa y mili quín Rey, diputado por la provincia de Cataluña; para vice-presidente cias , que unánimemente han acreditado el mas ardiente patriotismo y el Sr. D. Mariano Villa , diputado por la de Aragón, y…</t>
  </si>
  <si>
    <t>Jasef</t>
  </si>
  <si>
    <t>…ta, Lázaro, Echevarría, Berdug , Sánchez Toscano , Moya, VillaSe hizo primera lectura del dictamen de la comisión especial de nueva, Bernabeu, Nóvoa, Vecino , Sándino, Rodríguez ( D. Jasef), Hacienda sobre la deuda contraída en Holanda, y los votos contrarios -Maniau, Coraminas, Clemente (D. Fermín), Gisbert, Manescau, que sobre lo mismo hicieron los Sres, Gliver, Calderón y Subrié, y a -Azaola , Terán, Sabariego , Subercase , Cabezas , Sancho…</t>
  </si>
  <si>
    <t>Jasomirgott, Henrique</t>
  </si>
  <si>
    <t>Henrique Jasomirgott</t>
  </si>
  <si>
    <t>…cionales y extrangeros, tanto por dia tienen unos el nombre de Vindobona, y otros el. de Fabiana ó Pa la variedad de sus producciones, como por el abandono en que se halla bia. El duque Henrique Jasomirgott, el verdadero restaurador de Viedespués de tres siglos!. . na, dice en un acto otorgado en favor del orden ds los escoceses, res tablecido en Viena en 1158: Civitas nostra Fabiana, quae a moderáis Articulo de oficio. Vienna nuncupatnr. Fabia, quae alio nomine…</t>
  </si>
  <si>
    <t>Jáu</t>
  </si>
  <si>
    <t>…re habia ya prevenido ÍRE8IDBNCIA UBL SESO» CLHMEVClN. los deseos de Cádiz; y la elección del barón de Andilla para sucederle, hecha por S. M. en 27 del mismo mes , se comunicó al brigadier Jáu* Sesión del 9 de Diciembre. regui en el mismo dia por el correo general. Aprobada el acta de la sesión anterior, se mandó insertar en ella el No acusó este su recibo, pero Ja recibió á sa debido tiempo; puei voto particular del Sr. Uraga, contrario á la aprob…</t>
  </si>
  <si>
    <t>Jáuregui</t>
  </si>
  <si>
    <t>…ero que en- los cuales traían la contestación de que se llevase á efecto lo acordado, esta solemne ocasión las Cortes darán á nuestra patria y á la Europa un suplicándole ei mismo comandante Jáuregui que se retirase, de aquella nuevo testimonio de la cordura que constantemente las ha distinguido, provincia. El resultado de todo fue que el general Andilla se retiné al y que aprovecharán la oportunidad que se las presenta para contribuir a punto de Utrera ,…</t>
  </si>
  <si>
    <t>…lo del artículo y .los párrafos 1.°, 2.0 y 3.°, y miento con la subsistencia de la tranquilidad pública. suspendiéndose la discusión del 4.a para otra sesión , se levantó la de El brigadier Jáuregui accedió á esta petición , convocando efecti este dia. vamente una junta, compuesta de la diputación provincial, ayuntamien NOTICIAS DE ESP ASA to constitucional, consulado y gefes militares; y estas autoridades re unidas representaron por extraordinario á S.…</t>
  </si>
  <si>
    <t>rpítj En este-estado se.hallaban las. cosas cuando r según manifiesta él ÍP%** fiarle el* mando de aquel interesa rire punto, jFcieroní mérito tam Sr. Jáuregui en, otro oficio deb ió, ia liegada de ua extraordinario, bién de las, circunstancias que-hahian.Concurrido,cn*aqneí:3S d'ttpós'fcib.que enviaron los. diputados en Cortes por aquella provincia ,.y la noti ne's del .Gobierno, calificándolas ede,capciosas;■ y-co…</t>
  </si>
  <si>
    <t>Jáuregui, Angel</t>
  </si>
  <si>
    <t>Angel Jáuregui</t>
  </si>
  <si>
    <t>…los epígrafes de las respec En esta villa á 20 de Juniorde .1S20 se presentó Fron- tivas casillas de dichos modelos con toda exactitud é indi tonio Felipe ,en casa , del cirujano D. Angel Jáuregui á vidualidad , poniendo en el lugar correspondiente las ob consultar una enfermedid que padecía sobre la extremidad : servaciones . dignas de la atención del, Gobier-v--: y después Inferior de ia riarizl y preguntado si había padecido _aigu- de evacuadas las…</t>
  </si>
  <si>
    <t>Jáuregui, Francisco Josef de</t>
  </si>
  <si>
    <t>Francisco Josef de Jáuregui</t>
  </si>
  <si>
    <t>…cial Francisco del Adalid, en casa de D. Manuel María del Marmol, presidente de la comisión bao. de la Coruña. de curadores de la sociedad,el dia 4 de Noviembre. En ella serán exa D. Francisco Josef de Jáuregui, id. Doña María Teresa de Michelena. minados , y se adjudicarán los premios , entregándoselos á los alumnos D. Francisco de Gotssens. D. Miguel Cuff. que ios hayan merecido en el primer dú de la junta general píiblica de Sres. Gómez , hermanos, de Cádiz. D. N…</t>
  </si>
  <si>
    <t>Jáuregui, Francisco Manuel de</t>
  </si>
  <si>
    <t>Francisco Manuel de Jáuregui</t>
  </si>
  <si>
    <t>…aprobación anterior de las Cor municó al comandante general interino de aquella provincia: el briga tes; á cuyo efecto les hará presentar todos los años en la primera sesión dier D. Francisco Manuel de Jáuregui , el cual en 30 del mismo ex tina relación motivada de todas ellas. puso al Gobierno que esta noticia había empezado 4 conmover todo el 9. a Perdonar las penas á los delincuentes con arreglo alas leyes. pueblo, manifestando este unánimemente una fuerte decisi…</t>
  </si>
  <si>
    <t>Jáuregui, Manuel</t>
  </si>
  <si>
    <t>Manuel Jáuregui</t>
  </si>
  <si>
    <t>…cia tuales autoridades que merecen la confianza pública. esta nueva elección. Hemos pedido al Gobierno que si lo juzgaba oportuno, nos comu El comandante general interino de Cádiz D. Manuel Jáuregui no nicase Jas providencias que tomase sobre el asunto. No lo ha juzgado acusó el recibo de está providencia , y el Gobierno tuvo antecedentes conveniente; ninguna queja podemos tener, y asi solo digo que hasta para creer por las noticias públicas, que el ofic…</t>
  </si>
  <si>
    <t>Jáuregui, Manuel Francisco</t>
  </si>
  <si>
    <t>Manuel Francisco Jáuregui</t>
  </si>
  <si>
    <t>…aquella provincia noticia de lo ocurrido en Cádiz, y en las que se recomienda ia perma «a gi del actual. Una-prueba que tenia el Gobierno para estar tranquilo nencia del patriota D. Manuel Francisco Jáuregui, el mas afecto y era el no haber habido reclamación alguna de parte del gobernador de amante de la Constitución , y que tiems dadas pruebas evidentes de su Cádiz. En 8 de Noviembre volvió el Gobierno á tener un amargo do patriotismo, amoral sistema y al orden…</t>
  </si>
  <si>
    <t>Jáuregui, Manuel Francisco de</t>
  </si>
  <si>
    <t>Manuel Francisco de Jáuregui</t>
  </si>
  <si>
    <t>…r L&gt;. Joaquín Albist Jf,: nancia alguna contra el nombrado hasta el ró: que aun entonces, según dió motivoá una Real orden.de aó de Noviembre , en que le ordenar confiesa el mismo D. Manuel Francisco de Jáuregui , no tuvieron parte ka que después de haber tomado las-precauciones oportunas, y auxilia alguna en el descontento iascualidades del barón ; y también manifestó á do de las tropas que le facilitase el general Moreno, á quien igualmen este el comandante D. Pedr…</t>
  </si>
  <si>
    <t>Javier</t>
  </si>
  <si>
    <t>…matemáticamente que nuestra sagrada re Para la de Diputaciones provinciales. ligión queda con las nuevas leyes inas afianzada y arraigada que antes. Sres. Subrié, Verdú, Martínez (D. Javier), Lasanta, Ramos Merece todo elogio este digno ministro del Altísimo, y es acree Arispe, Leizaga, Tapia, Cortés y Gareli. dor á que su nombre quede señalado entre los que mas honran el solar Para el gobierno interior de las Cortes. vascongado. ¡Ojalá imitaran…</t>
  </si>
  <si>
    <t>…bato, Banqueó , Travcr , Linares» Crespo Centolla , Cantero, las sediciones., y á los.gefes.ó. instigadores de los sediciosos. San Miguel, Ezpsleta, Casaseca, Castañedo, Martínez (D. Javier), La comisión1, habiendo examinado .detenidamente este negocio-, ob Flavas, Lorenzana, Yandiola, Gareli, López ( D. Marcial), Tapia, servaba.por una parte la justicia y* por otra la benignidad , virtudes que Queipo, Xariva, Liñan, Vila,.£adares, Domínguez, Hu…</t>
  </si>
  <si>
    <t>…estrucción El Sr. presidente nombró á los Sres. Michelena, López (D. Patricio), del sistema constitucional en Ñapóles y en el Piamonte, primero mo Mora, Murguía, Arnedo, Martinez (D. Javier) y Ramor.et para la ralmente, y después poniendo en movimiento un numeroso egército. comisión que se ha de unir A la de organización de Fuerza armada El tercer documento es una circular que los Soberanos aliados han para formar la ley constitutiva del egércit…</t>
  </si>
  <si>
    <t>…re Echevarría, Mascareñas, La Madrid, Gisbert, Manescau, Liñan, Vi tira al momento. Alterado ó variado el dictamen de la comisión en su lla , Lorenzana, Benitez, Zayas, Martínez (D. Javier), San Miguel primera proposición, cree que ya no hay necesidad de la segunda; Puigblanch , Argaiz, Loizaga, Rubín de Celis , Martínez de la Rosa* pero no por eso se cree dispensada de contestar á lo que ha dicho el se- conde de Montenegro , Lecumberri, Moragu…</t>
  </si>
  <si>
    <t>Javier, Francisco</t>
  </si>
  <si>
    <t>Francisco Javier</t>
  </si>
  <si>
    <t>…debe; set. Adrmas , siendo un.cuer- menar 4 0. Francisco Javier López Duque; para la de- Alaurin el po formado dé oficiales generales de acreditado mérito, no.podrá remo Grande á D. Francisco Javier:de.la Coba; paro la de Coin á D. Car verse con tanta facilidadsiendo sus deliberaciones mas exactas y acer los Tomas Banetti, y para la de Ulora á D. Luis Sánchez Zarza. tadas que las de un solo, individuo ; por, consiguiente me parece de mu ...... Di'rccciim…</t>
  </si>
  <si>
    <t>Javier, Martínez CD-</t>
  </si>
  <si>
    <t>Martínez CD- Javier</t>
  </si>
  <si>
    <t>…trucción pública 3.146,157. Fomen como sucede en Jerez, para este objeto.'’ to de agricultura, artes y comercio 2.929,673. Beneficencia y salud pú No se admitió una indicación del Sr. Martínez CD- Javier), rela blica 10.800,540. Correos 13.656,665. Caminos 19,970©. Canales 6 tiva á que el presupuesto de canales y carreteras principales se distribumillones. Formación de la carta de España. 342,074. Total 69.363,155 yese por el Gobierno entre las mas principale…</t>
  </si>
  <si>
    <t>Javier.Monteiro</t>
  </si>
  <si>
    <t>…'general,del. éstadó, quetse habia* tratado dé'esté asunto. ' " - - • , mayor del egército de S. Fernando, solicitando su fétiro suá'íueldÓ, Leyó el acta el.Sr. secretario,, y ,el Sr. Javier.Monteiro añadió uso de uniforme ni fuero militar, con tal que se atienda por el Go qué en'- aqüella 'sésioTt: casi todos los Sres. diputados habiansido de bierno á la educación de sus hijos, - , ... parecér;'que debía quitarse el rector,-y qué en la de hoy opinaban Jj…</t>
  </si>
  <si>
    <t>Javierre.zz, Valero</t>
  </si>
  <si>
    <t>Valero Javierre.zz</t>
  </si>
  <si>
    <t>…r. zz: Sr. secretario quedaron aprobados estos dos artículos, y retirados los D. Jicobo Sevillano.zzD. Gaspar del Sol.izzD. Joaquín Jimen. z= que había indicado el Sr. Rovira. ... D. Valero Javierre.zz D. Alejandro Lera.— D. Agustín de Gracia. = Art. 122. m Los oficiales de cargo de artillería de los buques serán D. Carlos Serrano, zz D. Pedro Garcés. z=D. Bernardo Rodrigo.=Don nombrados de entre aquellos del grado que pida el reglamento mas ap Mariano Siles. zz D. Miguel Ju…</t>
  </si>
  <si>
    <t>JBranco, Castello</t>
  </si>
  <si>
    <t>Castello JBranco</t>
  </si>
  <si>
    <t>…ontecimientos se presentase en papel del sello correspondiente. de! siglo xvr. Otros Sres. diputados apoyaron el artículo, La misma comisión hizo presente haber examinado IoS y el Sr. Castello JBranco dijo, enue otras sabías y enérgicas poderes del Sr. O-Gaban, diputado por la Habana, y el reflexiones, que el derecho de. comunicar, cada uno sus expediente suscitado en aquella elección, en la cual se arroideas era un derecho de propiedad directa, ó. privile…</t>
  </si>
  <si>
    <t>Jbséf'Martínez</t>
  </si>
  <si>
    <t>…lud; y Há; nombrado para sucedevle interinamente en dicho verá precisado á acceder á lo que le pidan, ó de lo contrario pagará str cargó': al brigadier de los egércitos nacionales D. Jbséf'Martínez dé temeridad con la cabeza. •S. Martin. . . Es evidente que han llegado á su’crisis los puntos pendientes entro la Rusia y la Turquía. Se opina que el Gobierno ingles sabe ya la re gobierno poutico, superior de esta provincia. solución difinitivadel Sultán ;…</t>
  </si>
  <si>
    <t>Jc</t>
  </si>
  <si>
    <t>…s de egército que quie . tivo lugar pera el ejercicio en el orden siguiente:^—1.° D. Fehcano ran pasar en estas mismas clases al resguardo , sean preferidos respecti- "■ V¡gas 2.■ D. Jc»ef Dondement.—g.* D. Josef Villaseñor y Ras-</t>
  </si>
  <si>
    <t>Je</t>
  </si>
  <si>
    <t>…cto de El ministro de Marina de orden de la Regencia dió parte á las ley sobre sociedades patrióticas. Cortes de haber resuelto S. M. aprobar el nuevo sistema para ambos he E1 Sr. secretario Je leyó, y decía asi : misferios, manifestando que esta noticia la habían dado personas fide Art. j.° &gt;&gt; los ciudadanos que quieran reunirse públicamente para dignas, y presentó ademas el oficio del gobierno provisional de Para. -discutir materias políticas han…</t>
  </si>
  <si>
    <t>…DIENCIA DE VA1ENCIA. reses: este, detestando los crímenes y horrores de su revolución , ben dice sus resultados en favor de la humanidad; aquel lo maldice todo, Continúa la visita general Je la cárcel pública Je Serranos, hecha hasta la experiencia, que tantos bienes atrae y debe atraer á todos los en 2JT Je Diciembre Je 1820. pueblos de Europa, quien,-fundándose sobre la justicia y la verdadera Bautista Pascual, remitido por Vicente Esteller, al…</t>
  </si>
  <si>
    <t>…naderos provine ales, D. Francisco Linsac, teniente del batallón pedir que V. S. hiciese dimisión del mando político y militar de esa de voluntarios milicianos, D. Andrés Prieto, capitán Je la milicia provincia. No cree el Rey que la milicia, cuyo pr'ncipa! in-i tuto es voluntaria de Barcelona, D. Josef Lacrar, capitán del primer batallón el mantener el orden y defender la Constitución, haya dado, un paso de la de Zaragoza y otros individuos , r…</t>
  </si>
  <si>
    <t>Je, Lasanta</t>
  </si>
  <si>
    <t>Lasanta Je</t>
  </si>
  <si>
    <t>…ra ello cor. la dirección general, y de que los que es indispensable que las Cortes aprueben este artículo. expendedores lo esten también , y rindan mensualmente las cuentas, y El Sr. Lasanta Je impugnó , manifestando que esta detento— entreauen los productos, á cuyo lin llevarán cuenta corriente al guarda- nación no servia mas que pata incomodar á todo el mundo que tu almacén y á todos los expendedores, y darán estados de consumos y va viese que obe…</t>
  </si>
  <si>
    <t>Jermoloff</t>
  </si>
  <si>
    <t>…JJamturgo S de Julio; Tas noticias de una insurrección intentada en Prusia han hecíriS Varsavia £ de Julio. áqui una sensaqion mayor de lo que ellas merecen. El princ.pal auto* El general Jermoloff,- comándente de las tropas rusas que estaban Mr. Heedemau , inspector de los bo.ques , siempre ha sido un hembra destinada, para llana, acaba de sznr de esta ciudad,-cu donde ha es turbulento y excéntrico^ . . tado t&lt;es semanas. Varias cartas del comercio de…</t>
  </si>
  <si>
    <t>Jesucristo</t>
  </si>
  <si>
    <t>…a las asocia tumbres el impreso titulado: Con&gt;a de una relación que tu: hallada cu ciones secretas ó sectas. El príncipe de Hesse-Ilomburgo había sido el santo sepulcro de nuestro Señor Jesucristo , la cual tiene S. S. escri nombrado aobernador de Nápoles. ta en su oratorio, y el Xrr Carlos 11 en el suyo :n una ’-. &gt;a de El ex-Príncipe Regente díl Piamonte, que estaba en Novara, se plata , y denunciado en 4 del que rige por ei procurador síndico gene h…</t>
  </si>
  <si>
    <t>…aber tomado sus asientos respectivos los Sres. presi Acta del juratttenío. dente y secretarios, se dió cuenta de un oficio del Sr. secretario del En el año del nacimiento de Ntro. Sr. Jesucristo de íSí: , i zá de Despacho de Hacienda, en que manifestaba que con fecha 30 de Abril Febrero de dicho año, en esta ciudad de Rio-Janeiro, en la casa del se habia servido S. M. nombrar á D Antonio Martínez, contador ge Teatro y sala donde se presentó el Sermo.…</t>
  </si>
  <si>
    <t>…Ermo . D. Manuel Laredo, -te sj no '.ctlufiplo enteramente lodo lo que acabo de jurar delante/de la D. Pedro Navarro, D. Tomas Delgado, D. Pedro Ortir y Urbtna, .imágen de nuestro Señor Jesucristo. .. ».-Kt P, Pedro Gudal, P. Mariano Noucues y Secail, D. Julián Alegre,</t>
  </si>
  <si>
    <t>…se presume que la noticia que ha corrido no Sin embargo, esperamos que no se confirmarán tan infaustas noti tiene por fortuna fundamento alguno. cias, y que el sepulcro de nuestro Señor Jesucristo, cuya guarda está Se lian recibido cartas de Curazao hasta el 22 de Mayo, en las que entregada hace ya muchos siglos á los hijos de S, Francisco de Asís, se refiere que como los independientes son por ahora dueños de la Costa bajo la protección del Rey de Fra…</t>
  </si>
  <si>
    <t>…iembre. xíita. En la gaceta de ayer , púg. 1300, col. 2.a, lin. 41, donde «Venido el año decimocuarto del imperio de Tiberio César, que fue el trigésimo de la natividad de nuestro Señor Jesucristo, ya que dice nombrar , léase nombran. EN I.A IMPRENTA NACIONAL.</t>
  </si>
  <si>
    <t>…ngos se quiten todos los dias de fiesta, á. excepción de las festivi guarnición como la de la milicia nacional han estado tendidas en la dades siguientes: el Nacimiento de nuestro Señor Jesucristo, la As- .carrera. El inmenso concurso que ha asistido á la entrada de S. M., y .cension , la Encarnación, la Epifanía y el Corpus; la de ¡a patrona del Jas demostraciones con que.ha. manifestado este pueblo sus vivos de . reino, y el dia de Todos los Santos;…</t>
  </si>
  <si>
    <t>…Comercio para que se » Al venerable clero secular y regular de esta nuestra diócesis sa ponga en observancia el art. 314 de la Constitución, relativo a! nuevo lud y paz en nuestro Señor Jesucristo. sistema de aduanas. » Nadie ignora la epidemia que se padece en Barcelona y Tortosa; El Sr. presidente manifestó que estos artículos se discutirían cuando los estragos que en ambas ciudades va haciendo, y las enérgicas pro presentasen las comisiones reunidas…</t>
  </si>
  <si>
    <t>Jesús, Tomas</t>
  </si>
  <si>
    <t>Tomas Jesús</t>
  </si>
  <si>
    <t>…do de su devolución; y si al efecto deseasen mas no pertenecerían mucho tiempo á un mismo. du^ó.r..jÓ!&amp;.Ja_{ktQÍl-ia..i.-'^atv'plias noticias, podrían tenerlas escribiendo al Lie. D. Tomas Jesús que reinara en Grecia, aunque fuese rusa, se desnudaría bien pronto Quintero, residente en Madrid, ó á Mr. Laurent Lafuente, del comer de todo otro afecto que no fuera el ínteres de su pais; ademas de que cio , en Burdeos. EN LA IMPRENTA NACIONAL,</t>
  </si>
  <si>
    <t>JHpata</t>
  </si>
  <si>
    <t>…aren que Jos bueyes ' El Sr. Nav^s' fe' Ópusó "a’este dictánieñ, y después de una corta.dis de carretería’'np-debén disfrutar detotros pastos-comunes;de les pueblos cusión dijo el Sr. JHpata que se necesitaban .para -el establécímiérito* de que los que se conceden á los demas ganados trashumantes., exceptuan- las universidades casi de pronto ,i3 catedráficps,* los cuales no. podían do de este disfrute; Jos'prados boyales.-”;.; . encontrarsef y qu…</t>
  </si>
  <si>
    <t>Jiménez</t>
  </si>
  <si>
    <t>…o: existentes 13. la buena fama, opinión y sanas intenciones de sus autores. Si se hubie Barceloneta, existencia anterior 143: entrados ó acometidos 47: se dado á luz una obra del doctor Jiménez, médico del Real del Catorce, salidos 3: convalecientes 36: muertos 30: existentes 157. que la dió en México el año de ó á dicho CanelD. Vicente Cernantes, Hospital del Seminario, existencia anterior 38 : entrados ó acome catedrático de botánica en aquel jard…</t>
  </si>
  <si>
    <t>Jiménez, Antonio</t>
  </si>
  <si>
    <t>Antonio Jiménez</t>
  </si>
  <si>
    <t>…oiy sobre casas calle de Pedro Alonso tivo. Al fin del tomo 2.“ se ha puesto una comparación razo 933 rs. ii| mrs. nada de las. Constituciones francesas , de la de los Estados-Uni D. Antonio Jiménez, sobre casas calle de la Correde dos y de la inglesa. Consta la obra de dos volúmenes en S.3, ra 2696 rs 2§ mrs. • que se están imprimiendo. Todos los suscriptores que lo hayan D. Andrés Zamora sobre casas calle Larga 341 rs. 6 mrs. sido á la obra de Constant…</t>
  </si>
  <si>
    <t>Jiménez, Lope</t>
  </si>
  <si>
    <t>Lope Jiménez</t>
  </si>
  <si>
    <t>…o, )a misteriosa función que se celebraba,; se cantó la misaicon toda so 110 han tenido lugar ni gusto para leer y meditar el sentido de aquellas lemnidad, y nuestro digno párroco D. Lope Jiménez llenó sus deberes palabras dirigidas hace muchos siglos á ellos y á sus semejantes :,Vae .en el sermón que predicó análogo 4 la festividad: En seguida se hizo el zobis qui dicitíí álbum nigrum , ct nigrum álbum. juramento ptescripto en la,ordenanza de la mili…</t>
  </si>
  <si>
    <t>Jiménez, N.</t>
  </si>
  <si>
    <t>N. Jiménez</t>
  </si>
  <si>
    <t>…sido derrotado en.-Pisco y Guacho el . famoso: San La misma comisióndespués de haber examinado Ja .solicitud de Martin s que Cochrane protegia la costa con sus buques: que Pezuelj D. N. Jiménez , vecino de Puerto-Rico , en que pedia se le dispensase tenia izS) veteranos muy, bien equipados y animados; que la Concep por las causas que manifestaba el presentarse a examen en.la audien ción y Valparaíso., habian vuelto ,á,declararse por la madre patria,…</t>
  </si>
  <si>
    <t>Jiménez, Ramón García</t>
  </si>
  <si>
    <t>Ramón García Jiménez</t>
  </si>
  <si>
    <t>…a soberanía nacional (alteran rior, refrendada por el secretario de S. M., y escribano del número de do la letra de la Constitución) (1) en soberanía del pueblo, sin aña- la misma D. Ramón García Jiménez, se ha mandado citar v empla zar , cofno por el presente se hace, á D. Josef Cliabarino , hijo de Don (r) En todo el discurso de la Constitución no se encuentra ni una Josef Chabarino y Villareal, cuyo paradero se ignora , para que en el sola vez la palabra p…</t>
  </si>
  <si>
    <t>Jiménez, Valentín Josef</t>
  </si>
  <si>
    <t>Valentín Josef Jiménez</t>
  </si>
  <si>
    <t>…os. que están reducidas al mayor estado de sencillez posible, y al alcan D. Rafael Alcalde, espitan retirado. ce de todo joven que tenga una- regular aplicación: ensena el modo de D. Valentín Josef Jiménez, sargento 2° que fue del regimiento de construir los mapas, y de sacar de ellos todas las ventajas de oue son infantería de Guadalajara, natural de Aranda de Duero. susceptibles en la guerra: explica el uso de la brújula, tanto para dar Miguel Palacios, solda…</t>
  </si>
  <si>
    <t>Jimeno</t>
  </si>
  <si>
    <t>…d de las conferencias tenidas sobreesté punto. de menores observantes de S. Francisco. Subsistirán ademas: en Torre Después de hacer varias reflexiones opinaba la comisión que las D. Jimeno el de mínimos de S. Francisco de Paula; en Porcuna, en Cortes podían aprobar 19.620,954 rs. y 11 mrs. para el presupuesto de Linares y en Arjoniila los de menores observantes, en Lopera y en VIeste ministerio, correspondiente al año económico de 1821 d 1812.…</t>
  </si>
  <si>
    <t>Jiorel</t>
  </si>
  <si>
    <t>…Ja alia dignidad de su augusto amo estaría mas expuesto al pelisro en ción los títulos que el príncipe nuestro hijo tiene por derecho divina su estimadísima persona, que en la del caballero Jiorel, sugeto "igual Y Por derecho humano: Los príncipes que esta conspiración ha puente, mente conocido y estimado, que S. S. presenta como encargado de tra sobre el trono de mi hijo han adoptado estos mismos principios, ne tar de los negocios marítimos y mercanti…</t>
  </si>
  <si>
    <t>Jiuregui, León de</t>
  </si>
  <si>
    <t>León de Jiuregui</t>
  </si>
  <si>
    <t>…uel Butrón. sias á las Cortes por haber sido nombrada aquella ciudad capital de la Durango. D. Juan Josef Bcngoechea , cari. provincia de su nombre. Las Cortes quedaron enteradas. D. León de Jiuregui. Se mandó pasar 4 la comisión de División territorial una represen Guernica. Aun no se sabe. tación del ayuntamiento constitucional de un pueblo de la provincia de Valencia, en la que manifiesta la utilidad que resultaría de que se Hemos sabido por noticias p…</t>
  </si>
  <si>
    <t>JLallave</t>
  </si>
  <si>
    <t>…o y varios gefes políticos, proponía á ia delibera demás del artículo; y en su consecuencia fue aprobado en los términos ción de las Cortes los artículos siguientes: que indicó eL Sr. JLallave (D. Pablo ). ' ■ Los habitantes de las nuevas poblaciones de Andalucía y SierArt. pS » Por esta ley se designa y cede en propiedad y pleno do raindréna lo serán en propiedad, y podrán disponer libremente de los minio para cada matrimonio que pase bajo el núme…</t>
  </si>
  <si>
    <t>JLasala, Manuel</t>
  </si>
  <si>
    <t>Manuel JLasala</t>
  </si>
  <si>
    <t>…e,término desde las fronterasy Amonio Castejon , abogado; D, Mariano. Lagasca, director dél Jardín costas marítimas hasta una línea interior, paralela, qué se llamará di bountco» -D. Manuel JLasala, del comercio , de Barcelona; D. Josef contraregistro*, dentro de cuyo espacio regirán reglas y precauciones es*</t>
  </si>
  <si>
    <t>Jno</t>
  </si>
  <si>
    <t>…uliar de las cuatro diputaciones provincia bre el-infeliz pueblo; que las Cortes debían examinar y hacerse cargo que les que he referido. Ademas, para acceder á lo que ha dicho el señor Jno entraba en el erario un peso duro que 110 fuese producto del sudor preopinante es preciso separarse del sentido de !a Constitución, porque de muchos infelices; que aunque la cantidad que se proponía era muy la obra encargada a la compañía de Guadalquivir es r…</t>
  </si>
  <si>
    <t>Jnterino</t>
  </si>
  <si>
    <t>…artínez, primer médico de Cámara de ÜS. MM. y AA. RR. ¿ce. Leerá á las diez .de la mañana del expresado dia una oración facultativa Madrid Viernes y de Setiembre. en castellano el catedrático Jnterino de clínica D. Vicente ¡suriano, quien explicará dmante el curso las enfermedades crónicas, quedando ARTICULO DE OFICIO. las lecciones de agudas á cargo del profesor D. Antonio jríeimndez. El Sr. secretario del Despacho de Estado con fecha de ayer di es El que…</t>
  </si>
  <si>
    <t>Jo</t>
  </si>
  <si>
    <t>…ecido al in- sión de una plaza de magistrado, vacante en la audiencia ■ tendente del departamento del Ferrol, y ál comandante territorial de Castilla la Nueva por fallecimiento de D. Jo— . militar del tercio y provincia de Barcelona; y S. M., que sef Costa Gali. ■ ha tenido presente lo dispuesto ya por Reales órdenes'de 11 . de Noviembre próximo pasado y 9 del actual, asi como lo manifestado por V. E. en 10 del.mismo, consecuente á lo cambio…</t>
  </si>
  <si>
    <t>…, en la que le manifiesta las circunstancias de ra el de Req&lt;¡ena á D. Alejandro María Barrachi y Ore: su retirada; en ella le dice «que había hecho su dimisión para ebde Cañete á D. Jo;ef Andrés de Arellano: para el .en el mes de Junio último; pero que S. M. se había digna de Priego á D, Francisco Manes: para el de Buenache á do manifestarle sus deseos de que conservase su empleo; en D, Juaa Gabaidon Tendero, y para el de Tarazona á D. Ma c…</t>
  </si>
  <si>
    <t>…deliberando des des Tomaz; y para secretarios los Sres. D. Juan Bautista de las tres de la tarde hasta las seis y media; y en las Filgueiras, D. Josef Joaquín Rodríguez de Bastos, D. Jo circunstancias actuales no ha podido menos de excitar su sef Ferreira Borges y D. Luis Rebello. Se discutió luego si mamente la curiosidad pública, dando motivo á innume debería nombrarse al momento el poder egecutivo; pero sa rables conjeturas, entre Las cua…</t>
  </si>
  <si>
    <t>…chico, en la isla de Tenerife, sea cabeza de partido. á la exposición de D. Pedro Belardo, vecino y del comercio de la CoA la de Diputaciones provinciales se pasó una instancia de D. Jo ruña, que por sí y á nombre de 18 individuos hicieron «1 Congreso, sef Parazuelos , en que manifiesta los perjuicios que se seguirían de que manifestando haber sido procesados por una comisión especial tan solo la residencia del Gefe político subalterno de Sa…</t>
  </si>
  <si>
    <t>…iones de Constitución una representación de Don diese al atraso de sueldos en que se hallaba el cuerpo de Ja marina, y Juan Argiiello , vecino de Goatemala, quejándose del capitán general Jo igualase con el egército, en atención al servicio que hace este cuer que fue de aquella provincia. ° po, tanto en tiempo de guerra exponiendo sus vidas y fortunas, como A la de Legislación una exposición de los cónsules del coleeio de en el de paz luchando co…</t>
  </si>
  <si>
    <t>…os, pues en ambas hallaba mu gaceta. Quedó aprobado. chas dificultades; añadió.que tenia por muy justas alguna» rctlexionsi Xa misma presentó su dictamen acerca de la solicitud de Doña Jo -hechas'por'el Sr. García Paga; pero que estas no tenían ninguna resefa -Trabar , viuda -díl teniente coronel D. Joaquin Cabrera , uno de .lacion con el artículo primero. los comprendidos en ios sucesos dei general Porlier, en la que mani .Después de haber ma…</t>
  </si>
  <si>
    <t>966 _ . . j&gt;e concedió el permiso que solicitaban á los Sres: Sánchez (D. Jo España. L3S comisiones opinaban que debía ser el mismo que propone sef Domingo) y Zapata puraque concluidas las sesiones puedan reti el Gobierno. Aprobado. rarse á los lugares- y por los motivos que expresaban. Se leyó el dictamen de la comisión de Legislación acerc…</t>
  </si>
  <si>
    <t>…ncisco Legovier, D. Josef Micolta y D. Domingo Quevedo: tenien ducto total procediese de un solo beneficio ó pensión ” tes retirados D. Juan Antonio Benitez, D. Francisco Benitez, D. Jo be leyó el art. 9. , que decía: « De las rentas de la mitra patriarca1, sef Giiarte y D. Jíián Josef Benitez : D. Pedro Sorda, ciudadano. Igual después de rebajadas la di-cuna y pensiones legítimas, se recaudará todo mente habían pedido sér empleados el segun…</t>
  </si>
  <si>
    <t>…Josef de la Vega Carballo, D. Antonio Fernandez del que agitaban aquel imperio: un tomo en 8.° Se hallará á 8 rs. en la Castillo y D. Francisco Verea y Cornejo: en la de Navarra á D. Jo librería de Hurtado. sef Rodríguez Biedma y D. Felipe Baraibar: en la de Aragón á Don - Exposición presentada á las Cortes por los diputados de Ultramar Julián de Iturralde, D. Pedro Vázquez Ballesteros y D. Santiago Bal en la sesión de 25 de Junio de 1821 so…</t>
  </si>
  <si>
    <t>…as violento sacarán mayor cantidad jueces letrados de primera instancia de los partidos siguientes: para el de agua. de Soria á D. Eustasio Martínez de Toro: para el de Berlanga á D. Jo. ANUNCIOS. sef Puerta-Benito: para el de Villoslada á D. Juan Antonio Ruiz Ca Por providencia del Sr. D. Joaquin de la Escalera , ministro ho raba n te : para el de Logroño á D. Francisco del Castillo: para el de Ca norario de la audiencia territorial, y juez…</t>
  </si>
  <si>
    <t>…entrados uno procede de la polacra Carmen, del capitán Rin Las disposiciones testamentarias son cosa muy sagrada entre estos com.i; otro de la polacra Dulce nombre, de, María, del capitán D. Jo paganos: ási es que el nuevo Emperador se ha mostrado muy diverso sé f Castalio, y los restantes de la fragata Libertad, del capitán D. Jai de ¡o que era siendo príncipe. Desde su exaltación ai trono ha pro me fiendras; á saber: uno que dió señales de estar a…</t>
  </si>
  <si>
    <t>…ación de la polacra S. Francisco de Paula, su cap-iun Don Este texto, sea cual fuere su moderación, es solamente una traduc Juan Bautista Gali; ctro á la del bergantin Eucaris, su capitán D. Jo ción .exagerada y adulterada de la Gaceta universal de Augjburgo, cu sef Mauri, y los dos restantes á la de la polacra las Almas, su capitán yo verdadero contenido es el siguiente: «Corren voces en Viena da D. Juan Snreda. be ha dado la orden para que estos b…</t>
  </si>
  <si>
    <t>…uicios ocasionados en su formación á los ex ¿ toda la Monarquía, podrán hacerse proposiciones por los diputados j presados magistrados, á los jueces interinos de primera instancia D. Jo que el Congreso tomará en consideración, y sobre las cuales podrá re sef Jimenéz Sarmiento y D. Manuel Trinidad Moreno, y á los testigos solver en el momento lo que tuviere por conveniente. Art. 101. Te Francisco Campos , Pedro Servati, Francisco Aléala y Jos…</t>
  </si>
  <si>
    <t>…s de cargo de artillería ias siguientes: los "D. Miguel Romeo.zzD. Benito Vicente.zzD. Francisco Sabaiau.zz condestables. D. Mariano Planas.zzD. Pedro Aznar.zzD. Josef Barcelona.z=D. Jo Después de una breve discusión entre los. Sres. Sánchez Salvador y sef Perez. zz D. Tomas Copao.zz D. Dámaso Miranda.zzD. Juan Sa- Olivar quedó aprobado en los términos que había indicado el -Sr. se sera. = D. Bartolomé Ruiz. zzD. Ramón Bale.zzD. Josef Baile.zzDon cr…</t>
  </si>
  <si>
    <t>…cal de campo de los egércitos nacionales al brigadier rs.—En ¡d. , un carro y 6 octavos id. , en venta 1 34 rs----,;n id., i D. Francisco Tomas Morales: á la clase de brigadier al coronel D. Jo carros de prado, en venta 132 rs—En id. y sitio del ¿eta , un carro y sef Pereira: á la de coronel del regimiento de Valencey expedicionario 6 octavos id., en venía 115 rs----En id. , sitio del Cueto , 2 carros de al teniente coronel D. Tomas García; y á la d…</t>
  </si>
  <si>
    <t>…, G ¡raido , Moscoso, López £ D. Marcial"}, Queipo, Sal El Sr. Gaseo dijo: Las observaciones que han precedido han des- vador, Cuesta , Tapia, Maníau, Ruiz del Padrón, ¡Rodríguez £D. Jo . cubierto todo el secreto, que para mí lo estaba ya por las observaciones sef}, Mascarefía , Gisbert, Manescau, Liñan , Cano Manuel, Villa, del Sr. Gol fin; por manera que si. antes podía haber misterio, ya se ha. Azaola, La-Madnd , Vafcarcel, Martínez, Cabe…</t>
  </si>
  <si>
    <t>Jo, Ignacio</t>
  </si>
  <si>
    <t>Ignacio Jo</t>
  </si>
  <si>
    <t>…á D. Rodrigo Castaf.on : para Pastrana á D. Francisco Fer Art. s6. &gt;» El intendente de la provincia, después de haber visado nandez Beteta : para Medinaceli, su capital Anguita, á D. Ignacio Jo cada estado de repartición á medida que los vaya recibiendo, dirigirá sef Palomares; y para Torrelaguna á D. Baltasar Olcinolias. tres copias igualmente visadas, una al subdelegado, otra al tesorero Igualmente para la provincia de Búrgos á los sugetos siguien…</t>
  </si>
  <si>
    <t>Jo, Josef Tigueruela</t>
  </si>
  <si>
    <t>Josef Tigueruela Jo</t>
  </si>
  <si>
    <t>…se de aquel ayuntamiento constitucional por haberle im tamen que se accediese á la so licitud de esta interesada, arreglándose 1 puesto la nota de desafecto al sistema ; y otra de D. Josef Tigueruela Jo prevenido en el art. 3.0 de la ley de 27 de Setiembre de 1820 so y Pastor contra el Gefe político de Granada. bre sucesión de vinculaciones; y quedó aprobado. Se dió cuenta de una solicitud de los oficiales primeros, segundos . Continúa la discusión sobre señ…</t>
  </si>
  <si>
    <t>Jo, Juan</t>
  </si>
  <si>
    <t>Juan Jo</t>
  </si>
  <si>
    <t>…a comi ha escrito el Sr. diputado D. Marcial Antonio López. sión opinaba que se le recomendase al Gobierno, para que en cuanto Se mandó pasar á la comisión de Poderes un oficio de D. Juan Jo sea posible atienda á la necesidad de dicho regimiento per cuenta de la sef Echevarría, en el que desde Saltenango participaba que el diputado Nación. Los Sres. Sánchez Salvador, Sancho y Ramonet se opusieron á D. Josef León habia tenido que retirarse á un pu…</t>
  </si>
  <si>
    <t>Jo, Manuel</t>
  </si>
  <si>
    <t>Manuel Jo</t>
  </si>
  <si>
    <t>…g; ei cabo comandante de la milicia de caballería fue su regimiento á recibirlo á la'puerta de la corcel en el acto cíe salir T&gt;. Pedro Jover; el teniente comandante de ingenieros D. Manuel Jo de ella; y que se prevenga al alcaide de esta que .anote en loo libros sef García. Todas las autoridades civiles y juez de primera instancia respectivos que al referido Vega no debe-perjudicarle en manera algu han manifestado en el,estado de apuro en que se h…</t>
  </si>
  <si>
    <t>Jo, María</t>
  </si>
  <si>
    <t>María Jo</t>
  </si>
  <si>
    <t>…ue todos Jos señores diputados estaban con circunstancias. formes en que se haga esta recompensa á esos beneméritos campeones , F.l de la de Guerra acerca de la nueva solicitud de Doña María Jo yo soy de opinión de que antes de acabar 1a legislatura que ha sido sefa Traver, viuda de D. Joaquín Cabrera, sobre la cual opinaba la y es prodigiosísimo producto del pronunciamiento de libertad de esto* comisión que no habiendo precedido la aprobación del e…</t>
  </si>
  <si>
    <t>Jo-</t>
  </si>
  <si>
    <t>…orden que se halla establecido en ia ad de la ley sobre juicios de conciliación. ministración de los caudales de propios. A la comisión de Hacienda se mandó pasar una solicitud de D. Jo- 5A Las diputaciones provinciales de-Córdoba y Jaén procederán, sef de la Concha y Castañeda , para que se le perdonase una cantidad por lo respectivo á las poblaciones que se hallan en cada una de es que está debiendo á la Hacienda pública desde el año 1808,…</t>
  </si>
  <si>
    <t>…, »ar á la comisión de División del territorio. practicado desde que tuve el honor de que me eligieseis por vuestro co De los Sres. Novoa-, Losada, Mar.tinez , Casal , Rodrigue! ( D. Jo-, mandante, no satisfaría los deseo, que abriga mi pecho si no os ma sef ), Fondevila , Bahamonde y López ( D. Alonso) , acerca de ios 1Í-. nifestara el singular mérito que liabais contraído en el e.pacio de ios mites de las provincias en que se ha dividido ci…</t>
  </si>
  <si>
    <t>…er sobré ello las gestiones convenientes, yor de artillería, los que hayan hecho su carrera en ambos cuerpos, y al que lian asistido las personas siguientes: li&gt;. Luis Lapuente.cz D. Jo- ios demás de la armada que se crea á propósito, y no se hallen com sef Fernandez Trebiño.^D. Manuel Gebrianl^D. Joaquín de Gracia. prendidos eu ias jubilaciones y reformas de que trata el título de ofi =z D. Pedro Vidal. = Di Andrés Roces. sD. Josef Benito' C…</t>
  </si>
  <si>
    <t>Joa</t>
  </si>
  <si>
    <t>…ino que Ic corresponde de consultor de cirugía. do para amortizar la deuda consolidada , se leyeron dichos decretos, con A la de Infracciones de Constitución se pasó) una-queja de D. Joa lo que se dió) por concluido el asunto. quín Casares contra el capitán general interino de Yucatán, por haber Se aprobó otro dictamen de la misma comisión, que proponía se le puesto preso en un calabozo sin causa para ello. pasase a la especial nombrada para…</t>
  </si>
  <si>
    <t>…les correspondiese, y diputados de Nueva-España. que las ventajas que resultarían á dicha villa eran tales cuales las pro A la especial de Hacienda se mandó pasar una solicitud de D. Joa ponía el ayuntamiento, opinaba la comisión podía accederse á dicha quín Gabantes, vecino denn pueblo que antes correspondía á la orden solicitud ; y se aprobó su dictamen. de Caiatrava, manifestando que los excesivos cánones que se exigían á - - El Sr. presid…</t>
  </si>
  <si>
    <t>Joaquin</t>
  </si>
  <si>
    <t>…Camilo Mi guel, boticario; en Baza en la de D. Ramón Serraren _ ' - - anuncio. ■ Soria en ’n de D. Pedro Martínez de Aparicio; én Avila' Cartas sóbre los apuntes publicados por el Sr. D. Joaquin ló-en la dé D. Antonio Salcedo, boticario ; en Ciudad-Real renzo Villanueva. Véndense en la librería ‘de Tieso y de Pérez. ' MADRID EN LA IMPRENTA NACIONAL.</t>
  </si>
  <si>
    <t>Joaquín</t>
  </si>
  <si>
    <t>…anto concluimos repitiendo que importa mu ciales de Cristóbal fueron asesinados en Cabo-Henrique. En chísimo que nos entendamos, y que estemos bien persua tre estos se hallaban el príncipe Joaquín, el príncipe Real didos de que determinando con precisión el sentido de las y el barón Battie; estos dos últimos pidieron que se les per palabras, sabremos bien lo que son las cosas. _ donase la vida; pero el príncipe Joaquin declaró que mien tras tuviera un…</t>
  </si>
  <si>
    <t>…uienes habia recaído el nombramiento de secretarios del y adictos á la Constitución: que Jos que por la suspensión del alista despacho, habia tenido á bien nombrar interinamente á D. Joaquin miento general- queden exentos del servicio personal contribuyan, con de Anduaga para la secretaría de Estado; D. Ignacio Balanzat para la los cinco reales mensuales que prescribe eL art. 73; y que se amplíe eL de Guerra, y D. Manuel Encina para la de Gracia…</t>
  </si>
  <si>
    <t>…a casa.núm. x, calle Linos,.¿n 15,301 rs. continuarán despachando hasta-su llegada los que actualmente se hallan Otra en la misma calle, núm. 2, en 14,155 rs. encargados de ellos; D. Joaquín -Anduaga el de Estado ¡ D. Manuel Otra en la propia calle, núm. 3 , en 17,611 rs. Encina el de Gracia y Justicia, ;y D. Ignacio Balanzat el de la Guerra. Otra núm. 17, calle de las Lumbreras, en 9230 rs. Tendreislo entendido, y lo comunicareis á quien corresp…</t>
  </si>
  <si>
    <t>…lara cruz y la Havana, en cjcy.dias:; :con grana; añil , café, .ponienta de res de ía, obra compuesta por D. Miguel Sancho, abogado de Granada, Tabasco, y t; 1,000 pesos fuertes á D. Joaquín, de Tnueva». Dice su .ca titulada Instrucción teórico-práctica de alcaldes constitucionales, ofre pitán que había llegado á la Jfiavana de Veracruz la. fragata, española ciendo la mitad.de su producto para el fomento de escuelas de prime Manuela; otra ídem, s…</t>
  </si>
  <si>
    <t>…icho Sr. diputado, concluyó fijándose en Mariano Márquez; para Onda D. Pedro Ernaiz de Segura ; para Segorve que. la disensión debía ser solamente por lo respectivo al artículo de D. Joaquin de la. Cárcel; para Liria Don Tomas Oltra; para Chelva que se trataba, añidiendo que el dictamen de la comisión contenía D. Antonio Toribio Cordon, y para Chiva D. Hilario Mendoza. ' esencialmente lo que se mandaba, en el artículo g.° del decreto de 6 de Agos…</t>
  </si>
  <si>
    <t>…so á D. Manuel Va124 Otra id,, núm. 1 , en 14,548 rs. lera; y-el tercero de 150 pesos, señalado con el núm. 271,680 , endo 125 Otra id. , núm. 2, en 1 2,207 rs. sado últimamente á D. Joaquín de la Paliza, condenándose á los te 126 Otra id;, núm. 5 , en 16,525 rs* nedores que fueron de ellos por orden retrógrado á que entreguen otros 127 Otra id., núm. 9, en 16,629 rsl semejantes; y habiéndose dado traslado de esta solicitud á dichos últi 128 'Otr…</t>
  </si>
  <si>
    <t>…os adictos al sistema, y que merecie manifestó los partes que se habían recibido, uno del Gefe político de sen 1.a confianza pública. Vitoria, en que daba parte de que el teniente coronel D. Joaquín de El Sr. Borges Carneiro dijo que se autorizase á la Regencia para Leiva habia acuchillado y muerto 3 distintos facciosos, y refería exac que pudiese castigar á los magistrados que no zelasen el cumplimiento tamente el número de ellos; y oteo (recibido por extraordin…</t>
  </si>
  <si>
    <t>…ñalaba á las milicias prendidas en los decretos de 6 de Agosto de i8í i y 13 de Setiembre el decreto de las Cortes de 31 de Agosto último, se dejase al arbitrio de 1813; y otra de D. Joaquín ligarte y D. Manuel García, maestros de aquellos ayuntamientos la elección de telas para los uniformes. La de postas , quejándose del Gobierno y dirección de correos por los pri comisión fue de parecer que se accediese á la solicitud, y las Cortes vilegios co…</t>
  </si>
  <si>
    <t>…el célebre Lancaster y el famoso abad Gultier han rena elegido ; y que en atención á que tampoco podían aprobarse los pode cido en la persona de nuestro conciudadano el presbítero D. Joaquín res ni el acta por no ser de esta legislatura, opinaba debia pasar al Go Catalá. Ya pues que las naciones extrangeras han llenado sus páginas bierno , y asi se acordó. elogiando sin cesar el mérito de aquellos amantes de la humanidad ig También se mandaron pa…</t>
  </si>
  <si>
    <t>…las dudas ocurridas al Gobierno con motivo de haber hablándose de la España , que tenían á sus puertas. El español es natu acudido á S.lM. el magistrado de la audiencia de Sevilla D. Joaquín de ralmente sensato, moderado, reflexivo; y si circunstancias extremadas Santa María, solicitando se le permitiese continuar gozando de la cédu excitan á veces en él las pasiones inseparables de los temperamentos la de preeminencia que obtuvo en 1818 , siempr…</t>
  </si>
  <si>
    <t>…la guerra , contribuyendo á desviar los males que amenazaban á sus El Sr. Freire dijo: la violación del secreto de las cartas debe mirar conciudadanos , cuando el Excmo. Sr. virey D. Joaquín de la Pezuela, se bajo dos distintos puntos de vista; á saber: cuando se hace por el accediendo á los votos del egército, resignó en mí el mando que obte-</t>
  </si>
  <si>
    <t>…se por este presupuesto Gierra al mariscal de campo Antonio Teixeira Rebello; para el Des corregido, hasta que al fin del primer quinquenio pueda tomarse el tér pacho de Marina al almirante Joaquín -Josef Monteiro Torres, y para mino medio. A ios introductores si entregará en moneda el valor'de el Despacho de Negocios extrangeros al conde de Barbuena. Las auto sus metales por escala numérica sin adelantos de preferencia de unos 3 ridades á quienes corre…</t>
  </si>
  <si>
    <t>…el de agua. de Soria á D. Eustasio Martínez de Toro: para el de Berlanga á D. Jo. ANUNCIOS. sef Puerta-Benito: para el de Villoslada á D. Juan Antonio Ruiz Ca Por providencia del Sr. D. Joaquin de la Escalera , ministro ho raba n te : para el de Logroño á D. Francisco del Castillo: para el de Ca norario de la audiencia territorial, y juez interino de primera instan lahorra á D. Francisco Fabian: para el de A a reda á D Manuel Mateo cia , en los auto…</t>
  </si>
  <si>
    <t>…a los di putados de todas, á excepción de los de Filipinas.” El Sr. presidente ANUNCIOS. de la Diputación hizo presente que no podia recaer resolución sobre la Por providencia del Sr. D. Joaquín de la Escalera ,. ministro hono segunda parte de dicho dictamen , ínterin no se hiciera alguna propo rario de la audiencia de Sevilla, juez de primera instancia de la ciudad sición ó adición que lo ampliase; y en su consecuencia se leyó una de Cádiz, se cita…</t>
  </si>
  <si>
    <t>…óbal Oitiz.=D. Antonio Zabay. zzD. Juan Lacuey.zzD. Pedro Art. 123. ’&gt; Sustituirán a los ayudantes generales de artillería los Vitalie.zzD. Pedro Nobailasmer. = D. Pablo Vicente.z:D. Joaquín oficiales del parque, los cuales tendrán á sus órdenes el número de Laguna.zzD. Matías Cobo. = D. Mateo Romeo.zzD. Mariano Sise subalternos que sea necesario para el desempeño de sus funciones, que ra. — D. Mariano Bonaz.zzD. Diego Vicente.zzD. Lorenzo Monta…</t>
  </si>
  <si>
    <t>…podian ser allanadas siguientes: para la priipera de Cádiz á D. Joaquín Josef de Aguilar, .arbitrariamente por un comandante de resguardo; porque dicicndoque te para la segunda á D. Joaquín de la Escalera; para Algeciras á Pon nia sobradas sospechas, se le daba facultad para hacer esto;.y que á pe- eonardo Talens de la R'iva ; para el Puerto de Santa María á D. Vi -*ar de que se decía después que todos los ciudadanos podian perseguir cente Garcí…</t>
  </si>
  <si>
    <t>…s el término mas corto que sea necesario para que se hagan las den y cooperen á la egecucion de la culpa ó delito, en el acto de co observaciones convenientes; y una exposición de D. Joaquin déla Sier meterlo serán castigados con la misma pena impuesta por la ley á ra , vecino de Villanueva de Pareja , en I3 que haciendo algunas obser los autores de delitos ó culpas. A los demas cómplices se les reba vaciones sobre las capitalizaciones pedían á l…</t>
  </si>
  <si>
    <t>…a servido nombrar, á consulta del consejo de Estado, pa getos, sucediendo en Madrid lo mismo que en Zaragoza, y haciendo ra tres plazas de magistrados de la audiencia de Navarra á D. Joaquín que cundiese todo el efecto hasta en los países extrangeros por la im Paz Merino, D. Clemente García Escudero y D. Juan Antonio Gu becilidad del ministerio. tiérrez Varona Ortiz; y para dos fiscalías de la misma ¿ D. Santiago Da osle modo se ha logrado que el…</t>
  </si>
  <si>
    <t>Joaquín, Josef</t>
  </si>
  <si>
    <t>Josef Joaquín</t>
  </si>
  <si>
    <t>…us individuos se trasladarán ai En Ultramar. Para una media ración de la santa iglesia metropoli de Atocha; de Franciscos descalzos de S. Bcrnardino , y su comuni tana de Méjico á D. Josef Joaquín de la Pedreeuer:'.; para oirá de la dad se reurte á la de S. Gil; y én atención á la escasez de ministros catedral de Vatladolid de Meehoacan á D. Domingo Garfias y Mo que manifiestan el M. R. arzobispo y Gefe político haber en los bar reno: y para otra de la…</t>
  </si>
  <si>
    <t>Joaquín, Jósef</t>
  </si>
  <si>
    <t>Jósef Joaquín</t>
  </si>
  <si>
    <t>…o volvió - á- su- capital: ePj di Octubre. Pv« : ‘ Juntar de'fariido.l^.Elecforet. -■* : f rece.-qiie el lórd Cílsilereagh se quedará por ahora en eL continenic; y J ’Tolor^íí' El Sr. D. Jósef Joaquín fdéGarméndiaV--propietaria ml- esta hace creer qué hada hay. todavíaqesúelto. Se hablaba di; peste eit íiistrd honorario de la audiencia térritorlál de Navarraj ’ Vocal dé la 'CbnStáhtihóplá’jí-y jtabet múetta de ella.dos criados del env'tadoholantilputáciori…</t>
  </si>
  <si>
    <t>Joaquina</t>
  </si>
  <si>
    <t>…conside viedro: las Cortes aprobaron pasase ai Gobierno. , ren conveniente, estas medidas, pido que en uso de sus facultades , y en A la comisión de Hacienda pasó una solicitud de Doña Joaquina atención ai estado de la Nación , dicten las providencias necesarias p ira Arcos, ¡viuda.de un tenients, del iregimiento de infantería de Africa, atajar las tramas de ios enemigos del sistema constitucional. Con este en que pide se la vuelva altgoce.de una pe…</t>
  </si>
  <si>
    <t>Joaquina, Carlota</t>
  </si>
  <si>
    <t>Carlota Joaquina</t>
  </si>
  <si>
    <t>…gar ges mas distinguidos y venerados en España’Hasta la misma augusta su bien acreditado patriotismo, dirigiendo á V. M., por sí y á nom hermana de nuestro Monarca la Sra. Infanta Doña Carlota Joaquina, bre de toda su orden, los mas justos y puros afectos de reconoci Princesa de Portugal, hoy dia Reina de aquellos dominios, r.o pudo miento y gratitud por el nunca bien ponderado bentjicio que acababa menos de expresar sus nobles y favorables sentimientos res…</t>
  </si>
  <si>
    <t>Joaquina, María</t>
  </si>
  <si>
    <t>María Joaquina</t>
  </si>
  <si>
    <t>…rédito á este interesado por la tesorería nacional. obligaciones municipales. El Sr. Sancho dijo que la comisión se apoyaba en una contrata, que A la de Hacienda una exposición de Doña María Joaquina de seguramente diría se pagase el importe de dichos suministros en dinero Saavedra, viuda , pidiendo se le continuase pagando por tesorería una metálico , para opinar que este interesado no estaba comprendido en el pensión que había obtenido por el empleo que…</t>
  </si>
  <si>
    <t>Jodias-de</t>
  </si>
  <si>
    <t>…uía la propuesta;para la vacante de contador gene S. M. Mu ley Solimán iprevino á los de Fez.el viejo que les daba tres ral de recaudaciones, por ascenso de D. Antonio Martínez, á D. Jodias-de término.para que.entregasen á su sobrino y otros facciosos; en sef Garay, D. Juan jimeno y D. Ignacio Hidalgo. Las Cortes queda ia- inteligencia que de no hacerlo echaría por tierra la ciudad a fuer— ron enteradas; y el Sr. presidente dijo que señalaría dia -…</t>
  </si>
  <si>
    <t>JOEVES</t>
  </si>
  <si>
    <t>fíúm,. ij&gt;a ( 7_cuartos. ), % G AC ETA DE: M A DR I D. JOEVES ii DE OCTUBRE DE i8ai. bfÍ-'$3&amp;£ NOTICIAS EXTRANGERAS. ren animales , mercaderías ú otros cualesquiera efectos que sean, sus ceptibles* dé contagio, inmediatamente ; y tomando las’ precauciones de FRUSTA. ' estilo; se dará muerte i los animales Y y' sé enterr…</t>
  </si>
  <si>
    <t>Joly</t>
  </si>
  <si>
    <t>…Sesión de Cortes del gi de Marzo. dicha petición al ministro Guarda-sellos. Después de haberse leído algunos dictámenes de las comisiones , el También es digna de notarse otra del Sr. Joly, cura ecónomo de Sr. Castello Branco presentó el siguiente proyecto de decreto , dividi Cour-sur-Aube, en que pedia que los ayuntamientos y las ventas de do en tres artículos: i.° Que el egército se reduzca á 2cS) hombres b enes muebles y de fincas no pudiese…</t>
  </si>
  <si>
    <t>Jon-fi</t>
  </si>
  <si>
    <t>…nduce á la Cámara de portante encargo los Sres. Fr. Francisco de S. Luis por 6r Jos Pares, encontró allí al conde de Westmoreland, al du .votos: el Sr. conde de S. Payo por 40: el Sr. Jon-fi de que de VVellington , al lord canciller, ai lord Liverpool &amp;c. Silva Carvalho por 43 : el Sr. Márquez de Gástelo Meihor Luego que S. M. se sentó en el solio, fue el ugier, lla por 41; y el Sr. Souto-Mayor, el cual habiendo salido em mado de ia vara negra, á…</t>
  </si>
  <si>
    <t>Jonama, Santiago</t>
  </si>
  <si>
    <t>Santiago Jonama</t>
  </si>
  <si>
    <t>…y prevalece por casi miento constitucional. toda !a Alemania. De la prueba por jurados, ó sea consejo de hombres buenos: Vamos ahora á las crasas omisiones que ha padecido el por D. Santiago Jonama. Se hallara á 16 rs. en las librerías de Sr. Catedrático. Ranz, de Denín y de Castillo; y en las mismas se vende á 20 Un Antonio deNebrija, introductor de la literatura clá mrs. la portada, el' epígrafe y un discurso, ó mas bien recurso, sica en España; un Pe…</t>
  </si>
  <si>
    <t>…establecido en esta ciudad. Solamente cuatro quedaron en De Ja prueba por Jurados, ó sea consejo de hombres bue él, y las tres restantes no quisieron hacerlo, porque les nos: por D. Santiago Jonama. Se hallará de venta en las libre pareció que las heridas eran demasiado leves. Como habia rías de Dené, de Ranz y de Castillo. Él asunto de esta obra motivo de sospechar que podia la loba estar rabiosa; se hi va probablemente á serlo también de las discusion…</t>
  </si>
  <si>
    <t>Jopuesto</t>
  </si>
  <si>
    <t>…había prometido. sión, que entendieron hasta los mas rudos, llenó á todos de «La verdadera Opinión de los franceses no es dudosa, alborozo, luego que leída la Constitución por él Sr. D. Jopuesto que han reunido alrededor de V. M. mayor núme sef Balaguer, juez interino de ja acequia Real de Aicira , y ro de sus representantes é intérpretes, cuyo experimentado quitada la cortina , se dejó ver la hermosísima inscripción en zelo sabrá mantener con tesón…</t>
  </si>
  <si>
    <t>Jor</t>
  </si>
  <si>
    <t>…pitán Vianella; el bergantín sardo, su capitán Cevasso; la nes como hasta aquí ínterin se les indemniza de esta pérdida. polacra rusa, su capitán Bastanzi, y el bergantín ruso, su capitán Jor El Sr. Lasanta en su discurso dió una idea muy contraria de lo que ge Cambien. manifestó el Sr. Aner en la discusión de 23 de Julio de 1811, puesto _Parece que se piensa en un nuevo Congreso, que se celebrará dentro de que lo que realmente dijo aquel dignísimo dipu…</t>
  </si>
  <si>
    <t>…rs. y 3 2 mrs.anuos , valor de una bircilla de trigo que vagaban por entre los pueblos de Amata y Peones, en la provin según el precio común del último quinquenio-; que se pagan á D. Jor cia .de Burgos, mandados por el cabecilla josef Arijas, en la cual con ge de Oieza; y otro que se paga al mismo Oleza por mitad de capital fuerzas muy inferiores logró derrotarlos completamente, aprehendiendo de 27 rs. y 15 mrs., con redito dé 15 cuartos anua…</t>
  </si>
  <si>
    <t>Jordacki</t>
  </si>
  <si>
    <t>…acable de todo buen Gobierno ; y en fin los caminos detendrá á los turcos que vayan en su seguimiento. porque restituido á sus naturales sentimientos de justicia , piedad y san El capitán Jordacki, uno de sus Unientes, salió) ccn 500 amantas to temor de Dios , que tanto adornan y caracterizan su honrada al de Pitescht, y sorprendiendo en Platina , á las orillas del Oís, á 70 tur ma, si es que desciende un poco de su antiguo trono para llamarse Rey cos,…</t>
  </si>
  <si>
    <t>Jordaki</t>
  </si>
  <si>
    <t>…ncontrados por «Según relación de un testigo de vista, apenas llegó á Pitcscht tm marinero ingles cuando estaban ya casi espirando encerrados igual Teodoro fue sorprendido, por el capitán Jordaki, y cargándole de ca mente én toneles. Estos hechos prueban que el tráfico continúa , y qué denas , fue llevado con usa fuerte escolta í Tergowischt, donde estaba deberá aumentarse si el Gobierno no trata de hacer que se «secuten las ‘Jpsilanti.” leyes.” Las c…</t>
  </si>
  <si>
    <t>…discusión para otra sesión. de Inglaterra á Viena á fines de Octubre----i’or noticias de Valaquia se Se pasó á hacer el nombramiento de presidente, vice-presidente y sabia que el capitán Jordaki salió repentinamente de las montañas, ata "secretarios de las Cortes para el mes próximo, y salieron electos, para co á los turcos con 4D hombres, los derrotó, les mató 400, cogió presidente el Sr. Castello Branco; para vice-presidente el Sr. Margiochi, mucho…</t>
  </si>
  <si>
    <t>…de gentes mas gene Maza contra Corschid, quien recibió un numeroso ref ierzo: será al ralmente reconocidos! mismo tiempo atacado por los suliotas que ocupan la parta inferior. El capitán Jordaki se mantiene todavía firme en los montes de la La fuerza del egército turco es de hombres. Entraron en Arta 63: Moldavia. Se cree que su columna asciende á i¿) hombres , con la turcos y qtj en Urachori. Estas últimas tropas vinieron de Constantinocual tuvo poc…</t>
  </si>
  <si>
    <t>…os fugitivos qüe llegan á nuestras fronteras aseguran,' pero no sa dos turcos que dejen sus cuerpos para volv rse á sus casas. Esta orlimos garantes de la verdad del hecho, que el capitán Jordaki pudo es i den.ha.sido comunicada ya al ejercito, mandado por el ba á. di- Brussa, capar del convento de Secka con tres compañeros de' desgracia. En que se halla en las inmediaciones ce aquel a capital , haciéndole saber que este peligro hubo un griego que tom…</t>
  </si>
  <si>
    <t>Jordán, Vicente Villanova y</t>
  </si>
  <si>
    <t>Vicente Villanova y Jordán</t>
  </si>
  <si>
    <t>…a clase bierno del colegio de Sordo-mudos de esta capital, en la que reco de propiedad particular , con arreglo al art. 5.0 de dicho decreto , es mendando el mérito del presbítero D. Vicente Villanova y Jordán , so obligación de los poseedores acreditar previamente con los títulos de licitaba se íc dispensase la ley que prohíbe poseer mas de un beneficio. adquisición que los expresados señoríos no son de aquellos que por su Las Cortes oyeron con agrado, y mandaron…</t>
  </si>
  <si>
    <t>Jordi, Pedro</t>
  </si>
  <si>
    <t>Pedro Jordi</t>
  </si>
  <si>
    <t>…n de D. Antonio Brusi á Dofi3 Eulalia Brusi, en Barcelona : del Dón' arriendo Benito García, y radican en las veigas de Amieiro y Figuei- Martin de Ocio á D. Angel del Valle; y de D. Pedro Jordi, en Lé ras, en venta 1 165 rs., y en renta 2 ferrados y medio de trigo y 3 rida, á D. Francisco Boldú, en Barcelona: los citados sugétos y cua de cebada__ En 3 pedazos que lleva en arriendo Luis Sánchez, 5 fer lesquiera otras personas que se consideren con de…</t>
  </si>
  <si>
    <t>Jorge</t>
  </si>
  <si>
    <t>…comisión de Hacienda. la que asistieron el Excmo. Sr. gobernador y comandante general de la El Sr. presidente dijo que .se continuase la discusión del dictamen plaza de Gibraltar D. Jorge Don y sus edecanes, todas las autoridades de la comisión Eclesiástica sobre la salida de dinero para Roma por civiles y militares, y un inmenso pueblo de esta ciudad. las dispensas y gracias apostólicas. Hizo la oración panegírica el M. R. P. Fr. Fernando Domíngu…</t>
  </si>
  <si>
    <t>…calor de suiarenga trató de absurdo é , » Si alguno, de cualquiera clase que sea, niega que nuestro Sobera infame el decreto de las Cortes, jcómo el Rey no Je mandó prender, y no Señor Jorge iv, Rey de los Reinos-Unidos de Ja Gran Bretaña é en lugar de hacerlo asi le dió á besar su mano ? El Rey no consentirá nun Irlanda, .defensor de Ja fe, hijo y Príncipe heredero de nuestro Soberano ca que á su presencia se ataque á las Cortes , y de consiguie…</t>
  </si>
  <si>
    <t>Jos</t>
  </si>
  <si>
    <t>…r. Lacroix conservar lo mas esencial del antiguo méto y ge fe de sección de la secretaría del Despacho de la Guer do ; pero de manera que su libro pudiese servir de introduc ra al brigadier D. Jos.:f Riclr, coronel del regimiento de ción al análisis moderna. caballería voluntarios de España. La hermosa colección de los matemáticos griegos se com pletó en 1791 con el Arquimedes de Torrelii, de que Mr. El Rey, en premio de la buena conducta, constante Pe…</t>
  </si>
  <si>
    <t>Jos, Josef Antonio</t>
  </si>
  <si>
    <t>Josef Antonio Jos</t>
  </si>
  <si>
    <t>…. Juan Martínez Arroyo y á D- Tomas Escamez: para la de Molina muy desagradable para los cristianos que desean la preponderancia de á D. Pedro Josef Rovira: para la de Cartagena á D. Josef Antonio Jos musulmanes en la parte de Europa sujeta al Sultán, pues tal es el Vázquez Qucvedo: para la de Cieza á D. Tadéo Rico Bononat: para giro que van tomando los acontecimientos en aquellos paises, que bien la de Hellin á D. Joaquín Beneito y Beneito: para la de Chi…</t>
  </si>
  <si>
    <t>Josaf</t>
  </si>
  <si>
    <t>. ................ .........HKUTSIU. -día á Doña Jacinta Velasco, hija de D. Josaf, teniente que fue del exjí hgúídS, regixñiento dé Oviedo Vrmtfattprén'él címpo del honor.; ' ' Líhdret 27 de Octubre.. ■' ■ Ayer ¿las dos y media hubo un terror pánico en la bolsa. Estuvie ron los fondos al 785 á plazo;.45ajaron luego al 77.J. Los corredores…</t>
  </si>
  <si>
    <t>Jóse</t>
  </si>
  <si>
    <t>…anionteta ha tomado pof modelo al Buel Funes, del crucero en 30 días: el bergantín español General Riego, diario de lat Dos Siciliás que se publica eft Nápoles, el éüal tierie por capitán D. Jóse? Pérez Muñoz , de la Havana en 38 dias, con azúcar y norte y guia á la famosa gaceta de Francia y comparsa parisiense. Asi palo de tinte, es que la de Türin, hablando de España , comunica á sus cándidos lec tores multitud de absurdos y desatinos , que por su…</t>
  </si>
  <si>
    <t>José</t>
  </si>
  <si>
    <t>…cuerpo del primer egército, que Blake , coronel de los egércitos nacionales , natural de Veicz-Málaga. ha estado en Minsk y Wilno-Grodno, ha avanzado hácia. los límites Suplentes: D. José f María Escobar, promotor fiscal del juzgado de pri de la frontera poiaca después que los guardias han tomado sus acanto mera instancia de Marbella, y D. Manuel de la Calle, capitán retira namientos. No se cree que haya ningún movimiento por parte de las do ,…</t>
  </si>
  <si>
    <t>Josef</t>
  </si>
  <si>
    <t>…ntas pa sido arrestado en un cortijo por los soldados de caballería ra prados artificiales, notándose, entre ellas la esparceta , la del Rey , i.° de ligeros, ai mando del alférez D. Josef yerba de Guinea, el rai-gras de Inglaterra, y el fromental; Devengos Quero ; y solo quedan de esta banda de foragidos decidiéndose el autor por demostraciones prácticas á favor Francisco Josef Sedella y Josef Segovia , que en últimos de del cultivo de las dos…</t>
  </si>
  <si>
    <t>…nmensa , como también de Reus á p. Paulino de los Arcos: para la de Tortosa á los hombres que la han ilustrado. El Monthly Revienu re D. Francisco Javier Campa: para la de Tremp á D. Josef comienda la lectura1 de esta obra. «Sin duda, dice, ha pre Antonio Jordana : para la de Villafranca á D. Salvador Ar- sidido un buen talento á la colección de los materiales que naldo y Segarra: para la de Igualada á D. Gregorio Sancho la componen, y nosotros…</t>
  </si>
  <si>
    <t>…udencio, para cuyo primé'r rema Ampuero, D. Eduardo Pose, D. Ramón Hacha, D. Fran te, que se ha de verificar en la ciudad de Logroño, cisco y D. Antonio Falcó, D. Antonio Arévato, D. Josef esta señalado el dia 24 del presente. Aguilar, D. Santiago Irazabal, D. Josef Donesteve, Don Una casa en el arco de la Compañía de la ciudad de Baltasar Salomón y D. Joaquín Roca; y con la de 6 del Logroño, en 2,200 rs. mismo Febrero á D. Eusebio Salcedo, D.…</t>
  </si>
  <si>
    <t>…alle de Medina, núm. m , en 96,265 rs. Una bodega contigua á la antedicha casa, que está gra ANUNCIOS. vada, cómo también la casa que precede, con 14 rs. 24 ma Por providencia del Sr. D. Josef ¿Martínez Moscoso, mi nistro togado honorario de la audiencia territorial, juez de priravedises por S. Juan Bautista al convento de la Mer mera instancia de esta M. H. villa, dada á instancia de los coced Calzada; con 27 rs. por dicho plazo al de S. Fran misi…</t>
  </si>
  <si>
    <t>…onio Saco, ciruiacon casa, fanega ymedia.de tierra de riego, y un pedazo no del regimiento caballería de Calatrava; D. Mariano Orrit, cirujano del colegio de cadetes de Valencia ; D. Josef de secano con "Frutales y parras, en 8783. rs. Otro huerto en idem, sitio de Bezaliz, riego del Caz de Vargas, cirujano dé la Real brigada de Carabineros ; Doo alto, con casa, dos fanegas de tierra, árboles frutales y Pedro Viet3 , primer ayudante de cirugía…</t>
  </si>
  <si>
    <t>…componer entre todos el número de 30. Fueron elegidos los Sres. Alvarez Sotomayor por 76 votos; Berdú por 77; Cabeza por El Sr. procurador ■ síndico de esta M. H. villa de Madrid D. Josef 65 ; Sandiho por 71 ; Rivera por 74; Lastarria por 77; Cañedo por Joaquín Sagarzurieta denunció ante el Sr. alcalde conde de Goyeneche 71; Huerta por 72; Vecino por 62 , y Moya por 66. la carra inserta en el papel titulado el Censor, núm. 28, como injurio Se…</t>
  </si>
  <si>
    <t>…en toda la nación. El Sr. Javier Mon- que hasta ahora. teiro propuso que se abriesen registros, y que fuesen allí todos los que A la comisión de Hacienda se pasó una exposición de D. Josef quisiesen jurar; pero algunos Sres. diputados observaron que esto era María de Alcocer, cura de la parroquia de Sta. Cruz de Medellin, en dar lugar á disensiones, porqut se formarían partidos de los que jura que manifiesta que uno de los mayores beneficios pa…</t>
  </si>
  <si>
    <t>…á la comisión de Poderes los de D. Félix Gin, sion presentaba á 'la deliberación de las Cortes los.;',trésisá^ículds,si-D,. Juan Guell, D. Ignacio Mora ,■ D. Josef Alaría Moreno , D. Josef guientes: 7xoc:. íc:--’-v; María Jiménez, D. Joaquin Medina y D. Domingo Sánchez, diputa - i.° Que se diga al Gobierno se informe del R.imincio d¡&gt;¿S. S. eii dos por varias provincias de Ultramar. esta corte, si exige para lá secularizacioíXdédós reguláres la…</t>
  </si>
  <si>
    <t>…idos, sin que este procedimiento le cause perjuicio y las llamas que consumen á su patria , que devoran sus costumbres, los menqscabo en su buen nombre y reputación, condenando al D. Josef establecimientos saludables, las leyes, y hacen venir abajo las colum Dia; Gil en todas las costas de esta causa. nas del orden social, hasta que los pueblos engañados despierten de su Habiéndose denunciado en la ciudad de Murcia en 28 de Febrero letargo, y s…</t>
  </si>
  <si>
    <t>…ue los pueblos debían tener un derecho para saber si ra de emancipación. lo que pagaban era con justo motivo; que deseaba que se’ atendiera-á Se concedió el permiso que solicitaba D. Josef rulg, juez de letras lo que se hacia en estos casos en los tribunales, que era exigir la. pre electo por la ciudad de Córdoba, para que se le conceda prestar su- ju sentación de títulos cuando un señor ó ún pueblo era demandado por ramento en la audiencia de…</t>
  </si>
  <si>
    <t>…, y del secretario mas antiguó, qué lo era el Sr. D. Josión después de haberse dado cuenta de algunos asuntos que estaban ya sef María Couto, han sido elegidos, para presidente el Sr. D. Josef despachados. •. María Gutiérrez de Teran , diputado por la provincia de México; para DIKKCCrON GENERA!. DE LOTERIAS NACIONALES. vice-presidente el Sr. D. Miguel Martel, diputado por la de Salaman Noticia de los pueblos donde han cabido los premios mayores de…</t>
  </si>
  <si>
    <t>…la mayor parte de los llosa de Ensarna D. Vicente Cerda; para Denia D. Juan Gerónimo Gar que se habian enagenado no eran de los patrimonios de los Reyes, co- rido; para Onteniente D. Josef de los Ríos Mira; para Albaida Don mo.había supuesto el Sr. Lobato, sino del de la Nación. Juan Perez Cebrian; para Gandía D. Julián .Gardeta; para Játiva Don En seguida citó varias leyes, por las cuales se mandaba que se pre Joaquín Martínez Diez Campaya; pa…</t>
  </si>
  <si>
    <t>…curso, en el que empezó por examinar el origen de 'tional. su establecimiento en el siglo xvt en tiempo del Sr. D. Juan ni, en A la de Hacienda se mandaron pasar una exposición de D. Josef virtud de bula de S. S. Paulo tri, y manifestó los innumerables .-nales que Palomino, contador dé las cajas nacionales de Zaragoza, para que se le se habian seguido de él , y la inmensidad de víctimas sacrificadas, di continúe pagando ademas de su sueldo la p…</t>
  </si>
  <si>
    <t>…00 ducados, debiendo recogerse los egemplares que se pue Estado de las causas criminales que se siguen por el Sr. D.Juan Gar da , y quemarse por mano de verdugo. Asi lo proveyó el Sr. D. Josef cía Arias, juez de primera instancia de esta villa, y por la escriba Maroto, juez de primera instancia de Valiadolid, el dia r x del corriente. nía numeraria de L). Tomas Sánchez y Prado, á saber: x.' Causa. D. Josef Mingo y Otalora, Santiago Jiménez (alias M…</t>
  </si>
  <si>
    <t>…D Martin ves, Fondevila, Moreno, Couto, Amati , Castro, Cepeda, Navarro Cabrera: para el de Borja á D. Manuel Uc las lleras: para el de Tara( D. Felipe), Yuste , Desprat, Romero ( D. Josef), Moreno Guerra, zona á D. Juan Ortega: para el de Calatayud á D. Fabián Lorente; pa Díaz Morales , Fernandez , Pierola , Zavala, López Constant , Medra- ra el de Ateca á D. Agustín Palacios: para el de Daroca á D. Juan no, García Page , Solana , Zorraquin, G…</t>
  </si>
  <si>
    <t>…por centenares de balas. gracia era acreedora la misma. » Casi al mismo tiempo me llegaba un parte anunciando que ¡a bri El de Ja de Legislación sobre el expediente instruido, por D. Josef gada ligera del general Costa habia tenido igual suerte hacia Sessa. Dehesa, presbítero y abogado en Sta. Cruz de Tenerife,, en solicitud de Mientras yo me lamentaba de estos sucesos oí á corra distancia nume que se le permita egercer la abogacía. La comisión…</t>
  </si>
  <si>
    <t>…igiosos de los conventos que se suprimen, y no tienen, agregación determinada , á los de la misma orden en la provincia , y en Discuno inaugural que pronunció en el ateneo español D. Josef caso de no haberlos en ella, á’los de la antigua provincia de la orden, Joaquín de Mora , uno de sus socios, al abrir un curso de derecho na ó á los que estimen mas proporcionados, poniéndose de acuerdo con tural , el día 7 de Marzo de 1821. Se hallará en la…</t>
  </si>
  <si>
    <t>…ayó'será perpetuamente de luto riguroso en toda la mo- Ameca, y D- Bernardo Amati, cura propio deTonalá. Suplentes, doc ’ Barquía española. Lo tendrá entendido la Regencia &amp;c. tor D. Josef¡María Vázquez.Borrego* cura propió de la ciudad de El Sr. presidente dijo que mañana continuaría, la discusión acerca Tépic , y D- Rionisio Arteaga .y JJazan . cura propio del pueblo de Zadel dictamen dé lá comisión de Comercio sóbre la empresa del canal potl…</t>
  </si>
  <si>
    <t>…protestó su adhesión á la ceda una pensión en premio de sus servicios. iglesia protestante; pero los derechos de esta iglesia, dijo, están sufi . A la de Política una instancia de D. Josef y D. Tomas Carbona, ea cientemente asegurados por la distinción actualmente establecida entre la que piden se les abonen varias cantidades que perdieron en la inva el poder temporal y el espiritual. Habiendo tenido la felicidad de estu sión de los franceses, . diar el derecho p…</t>
  </si>
  <si>
    <t>…osos -Conto&gt; Lalláve (D. Pablo), Castro , Moreno , Amati, Navarro ( Don y atentadores contra’el sistema constitucional, á los que han sido per -Felipe.)-, Yuste, Solana , Romero ( D. Josef) , Desprat, Diaz Mora seguidos y cogidos últimamente en.Saivaijetra y en sus inincáiacioúes, les , Zavaia , Moreno. &gt; Guerra , Fernandez, López Constante, Camus que son-én gran húmero, entre los cuales desea el Gobierno que sean Herrera, Ochoa, García Page, G…</t>
  </si>
  <si>
    <t>…mera insranc a, porque después de una corta discusión; no son hombres que puedan responder de los ataques de los señores y La comisión de Legislación, en vista de la exposición de D. Josef de los pueblos , siendo prueba de esto mismo la seriedad con que las Vázquez Santa María, magistrado de la audiencia de Sevilla , que solí— Cortes extraordinarias miraron este asunto, resolviendo las dudas que sita se le continúe la gracia de la cédula de pre…</t>
  </si>
  <si>
    <t>…recibieron con agrado , y mandaron pasar á la biblioteca Ei Sr. secretario del Despacho de la Guerra dijo: Señor , S. M. me úna memoria sobre depósitos, que presentó i las Cortes D. Josef de ha mandado manifestar al Congreso que penetrado de los grandes é im Cisneros. portantes negocios que se hallan pendientes en las Corles, y cuya reso Sé leyó por segunda vez una preposición del Sr. Castrillo , relati lución lantoniteresa á la Nación , y usa…</t>
  </si>
  <si>
    <t>…aprobaron los siguientes dictámenes de comisiones: de esto, cuando el secretario del despacho de Hacienda presentó los Uno de la de Hacienda; la cual en vista de la solicitud que D. Josef presupuestos, fueron aprobados estos por las Cortes un mes después c¡9 Espinosa y González, vecino de Cádiz, bi'zo como apoderado del mar dado el decreto. El art. 3.° dice: ,,Los intereses devengados y no pa gados hasta el.dia de hoy.” i En el comercio se ent…</t>
  </si>
  <si>
    <t>…dali, Casal, Lecuniberri , Solanot, Ramírez Cid , San que prescindamos de la parte que pertenece á los legos. Bajo este su Juan , Dolarea, Torres , Desprat , Díaz Morales, Romero (D. Josef), puesto, ¡cuánto se cree que valdrá esta tercera parte de diezmos? Yo Moreno Guerra, Camus, Aledrano y Ochoa, Quedó aprobado este ar creo que no equivaldrá al noveno , excusado y tercias Reales, ni aun tículo por 1 57 votos contra 20. i la mita.i; porque, as…</t>
  </si>
  <si>
    <t>…e plata se suplica á los artífices plateros de esta corte Don Fernando vit por Ja gracia de Dios y por la Constitución las detengan si van á venderlas á sus tiendas, y den aviso á D. Josef de la Monarquía española, Rey de las Españas, á todos los que las pre Wals de Roca, que vive calle del Príncipe. sentes vieren y entendieren, sabed: Que las Cortes, usando de ia facul ANUNCIOS.tad que se les concede por la Constitución, han decretado: n Que e…</t>
  </si>
  <si>
    <t>…caristia.no acet- ciencia D. Esteban Gabarda, D. Esteban Orcariz , D. Fernando Arcarme á este santísimo sacramento aun en el ultimo .trance de ia,m.u.ei/ did,.P., .Amero Echarri:, D. Josef..Joaquín Ermo . D. Manuel Laredo, -te sj no '.ctlufiplo enteramente lodo lo que acabo de jurar delante/de la D. Pedro Navarro, D. Tomas Delgado, D. Pedro Ortir y Urbtna, .imágen de nuestro Señor Jesucristo. .. ».-Kt P, Pedro Gudal, P. Mariano Noucues y Secail…</t>
  </si>
  <si>
    <t>…es de D. Juan^Ruiz, D- Joaquín Blanco, D. Josef Ramírez, Dicha división se compone del navio le Jean-Bart, de 74 cañones; de D. Gerónimo Josef María Samaniego, D. Diego Caballero, D. Josef la fragata la Duchrsse de Berry, y di la corbeta la Aigrette. Parece Puche! , D. Antonio Nieto, D. Francisco Domingo González y Don que estaba tomando disposiciones para volver á hacerse á la vela. Manuel Ibañez, solicitando los unos dispensa de edad,y los ot…</t>
  </si>
  <si>
    <t>…herencia.de su abuelo, según escritura que otorgó dictamen de la comisión Eclesiástica sobre el nuevo plan de iglesias p.or ante el escribano público de dicha ciudad de 1a Havana D. Josef metropolitanas y catedrales. de Salinas á los 19 de Enero de 1803; y deseando la heredera que se El Sr. García Page hizo presente , que tratándose de un asunto de cancele dicha hipoteca, cita y emplaza al que se considere con aquel tanta importancia no se pod…</t>
  </si>
  <si>
    <t>…go de .terrenos tomados á pas, cedió su destino de virey y general en gefe con todas las facultades beneficio del público.......................................... 8,000 anejas al general D. Josef de la Serna. Inmediatamente esparció este Por resto del im-porte de la colocación de varias circulares, manifestando sus buenos deseos y nobles intenciones' asientos en el Prado frente al Museo............ 4,175 en favor de la buena causa, y comenzando á mani…</t>
  </si>
  <si>
    <t>…ado de la Constitución, política de la ]\fonarqutei es Habiéndose observado los trámites prevenidos por !a„!ey, y califica pañola , dedicado á las Cortes por el grabador de Cámara D. Josef do los doce jueces de hecho con la fórmula de aSsuelto el artículo fir María de Santiago* mado por D. Francisco Martinez, inserto en el diario constitucional No pudiendo mTrar con indiferencia el Sr. de Santiago que los es de la ciudad de Barcelona de 9 de Ab…</t>
  </si>
  <si>
    <t>…a villa Juan Puget, por haber mandado arrestar en y trasmitir á sus herederos testamentarios el derecho que haya adquiri 5 de Julio último al administrador de loterías de la misma D. Josef do sobre el terreno que se le ha cedido como á poblador, aun cuando Ferrer y Gibert, y no haberle levantado el arresto hasta, él 29 del todavía no lo tenga cultivado; quedando sus herederos sujetos para he mismo, sin que durante este tiempo lé hubiese tomado…</t>
  </si>
  <si>
    <t>…ntes documentos: ■, formalidades.” . Circular á tosías las autoridades del vireinato. Se leyó y aprobó el artículo g,°, que decía asi: &gt;« Por el presente Acabo de pasar al. Excmo. Sr. D. Josef dé la Serna el oficio si decreto, quedan abolidos todos los derechos que se pagaban ó recauda guiente: . &lt; . ’ ban en las aduanas , bajo cualquier título ó denominación que fuese, asi » La crítica situación en-, que se halla este país con lá inmediación por l…</t>
  </si>
  <si>
    <t>…presentado á las Cortes por la comisión de Marina, mandándose 40 millones. 2.0 Para gastos de Cámara de S. M. la Reina 6409 rs. 3.0 imprimir de antemano la memoria escrita por el general D. Josef Por la consignación del Sermo. Sr. Infante D. Carlos María 1.6509 rs. Espinosa. 4-° gastos de Cámara, de la Serma. Sra. Infanta Doña Francisca de Las Cortes quedaron enteradas de varias exposiciones que se han Asís 600© rs. 5.0 Por la consignación del Sermo. Sr.…</t>
  </si>
  <si>
    <t>…Dios guarde áV. E. muchos años. Callao 5 de Febrero de 182: 2= expresada’por sus representantes; y que lejos de consentir en la anun Excmó."Sr.=: Antonio Vacara.—Excmo. Sr. virey D. Josef de la Serna.'.’ ciada alianza contra las tres naciones en'general, y particularmente * ¿Anuncios de oficio. contra la portuguesa , S. M. mirará como ún acto de agresión contra i,® «Habiendo llegado á noticia de este superior Gobierno -que v»r la independencia…</t>
  </si>
  <si>
    <t>…estado actual de nuestra agricultura, leído en la paso que quedarán confundidos los mal intencionados que han tratado tertulia patriótica del 16 de Mayo de 1821: por el ciudadano D. Josef de denigrarlos, calmarán los ánimos de estos naturales en el dulce re María Paniagua, individuo de varias sociedades literarias. Se hallará en poso de la inalterable tranquilidad y ciega obediencia con que siempre la librería de Matute á 4 rs. se han conducid…</t>
  </si>
  <si>
    <t>…nistración pública, y lleno de de Lleopart: en la de Valladolid á D. Josef Martinez Areta: en la de fuego y patriotismo en medio de las intrigas y convulsiones políticas Granada á D. Josef de la Vega Carballo, D. Antonio Fernandez del que agitaban aquel imperio: un tomo en 8.° Se hallará á 8 rs. en la Castillo y D. Francisco Verea y Cornejo: en la de Navarra á D. Jo librería de Hurtado. sef Rodríguez Biedma y D. Felipe Baraibar: en la de Aragón…</t>
  </si>
  <si>
    <t>…do á V. S. para su inteligencia, y que se lleve á efecto esta resolución de S. M. Madrid 21 de Junio de 1821. En junta general de los acreedores é interesados á la testamentan* 8e D. Josef de la Dehesa, vecino y del comercio que fue de esta cor Se hace saber al público que debiendo salir del puerto de Cádiz á te , celebrada en 27 del próximo Mayo á la presencia del señor juez fines del presente mes el bergantin Voluntario , correo de la armada…</t>
  </si>
  <si>
    <t>ayuntamiento; D.-Juan Nepomuceno Otero, capitán; Lie. D. Josef sueltas ya á intervenir én los negocios de aquel imperio. No dudando Muría Luciano Bicerra, cura de Tecali. deest: hecho, ahíje, que no puede asegurar el modo cómo ¿e hará se Suplentes. Lie. D. Joaqorn Luis Enciso; Lie. D. Josef Castillo mejante intervención;…</t>
  </si>
  <si>
    <t>…ella libertad es el apoyo mas seguro del sistema D. Josef Sañudo López, de San Vidarte&gt; primos, de id. constitucional, decretan lo siguiente : tander. Whagon, hermanos, de Bilbao. D. Josef y D. Francisco Bruntt, "Wásman Gower y compañía, re titulo i. de S. Sebastian. servándose dar el nombre del Sobre la extensión de la libertad de imprenta. D. Josef Batanero. empresario. Art. r.° « Sfesde el dia en que se publique esta ley podrá todo indi D. Josef de Garay. viduo i…</t>
  </si>
  <si>
    <t>…encia de su abuelo, según escritura que atontó entregará al ocio. Que la nivelación general de todas las clases traerá por ante el escribano público de dicha ciudad de la Ilavaria’D. Josef consigo el despotismo, y hará desaparecer la verdadera libertad, que de Salinas á los 19 de Enero de 1833 ; y deseando la heredera que se solo puede sostenerse con la resistencia que opondriansSqs grandes ha cancele dicha hipoteca , cita y emplaza al que se c…</t>
  </si>
  <si>
    <t>…ensión del remate, con el fin de evitar perjuicios y reclamaciones de se cerciorará el Congreso de ia legitimidad de la resolución. Art. 119. Si los herederos ó parientes ds dicho D. Josef dentro del cuarto grado, ss la votación hubiere de ser nominal, ss pondrán dos listas, una destina fijasen los edictos que previene la instrucción vigente del ramo de mos da á los diputados que aprueben, y otra á los que no aprueben. Empe trencos con la nomin…</t>
  </si>
  <si>
    <t>…e Julio último á las 6 de su mañana falleció en esta cias miraron al pronto esta determinación bajo el aspecto que parecía corte á los 78 años, un mes y 17 dias de edad el Excrao. Sr. D. Josef serles ó presentárseles como mas ventajoso, es decir , como capaz Fernando de Abascal y Sousa , marques de la Concordia española del de conservar la tranquilidad de la Europa. Ciertos sucesos que no nos Perú, caballero profeso del hábito de Santiago, gran cru…</t>
  </si>
  <si>
    <t>…usticia, Eclesiásticos y de Seguridad pública al no: convalecientes 9: muertos 1 2 : existentes 44: total de los tres pun doctor Josef da Silva Carvalho ; y para el de Hacienda al doctor Josef tos : existencia anterior 48: entrados 27: salidos ninguno: convaieIgnacio da Costa. ' cientes 13 .-muertos 14 .-existentes 61. Las Cortes, en celebridad del regreso de S. M. , y de la ratificación El día de ayer fueron trasladados al extinguido monasterio de…</t>
  </si>
  <si>
    <t>…r todas partes altas murallas coronadas de al Quien tuviese noticia del paradero ó pueblo de la naturaleza de menas que anuncian la presencia de sus belicosos señores. La hidra de D. Josef de la Cruz Gómez , capitán que fue del batallón de tirado Lerna alza por todos partes sus mil cabeza;: per todas partes vuelan res de Cuenca, y que en primeros de 1811 se pasó al egército francés, las aves del Stimfaio; pero ya no hay Hércules. ó de alguno de…</t>
  </si>
  <si>
    <t>…untó si estaba suficientemente discutido, y se convenga al bien de la Nación. declaró por ia negativa. El Sr. Ramonet leyó un discurso, en el que exponía, conformán El Sr. Romero (D. Josef) obtuvo ia palabra, y manifestó (^po dose con los principios que sentaba la comisión, y asimismo con lo» niéndose al dictamen de la comisión) que esta no había desempeñado que manifestó el Sr. Villa , relativos á la imperiosa necesidad de pre su encargo como…</t>
  </si>
  <si>
    <t>…buidos entre cinco personas, un grado de teniente á D. Juan Rome la torre de la iglesia formó el baluarte principal, y después se fortificó ro, y seis años de colegio costeados al D. Josef para los b'enes que I13 en su casa , que formaba manzana , y desde donde podía atender á todas perdido lá familia, y el valor incalculable que tiene la vida , y el he las ocurrencias. Vinieron los enemigos en número de 1300 hombres y roísmo con que la ofreció…</t>
  </si>
  <si>
    <t>…eneméritos cuerpos de la rigir al Congreso sobre este asunto.” . . ' milicia nacional. ¡Qué falta ppdrán hacer ni entonces ni nunca unos En seguida leyó un discurso el Sr. Romero (D. Josef), en el que pocos alborotadores.,.que siñ distinguir, -las-¿pocas".y.las circunstancias, impugnaba el dictamen de la comisión, y opinaba que no debía apro-- y dirigidos siempre por, pasiones’indecentes , pretenden introducir la di barse la parte de él relativ…</t>
  </si>
  <si>
    <t>…a de 8 de este mes, col. 3.a, lín. 70 , donde di está recompensado ni por la fortuna ni por la gloria. Esta clase menos ce » que las Cortes quedaron enteradas de una exposición de D. Josef afortunada, y constantemente empleada en ocupaciones mecánicas, ca Sacasa , en que manifestaba conformarse con la resolución de las Cortes rece en efecto de los medios de instruirse, y es en todos los países me en su segunda junta preparatoria, y quedar enter…</t>
  </si>
  <si>
    <t>…,y reduciéndose en'la parte .Sres. Gaseo, Cosío, García (D. Antonio), Paul, Navarro (D. Feli— 6 casilla de observaciones á unas netas sumarí.imas sobre la aptitud y • pe), Romero (D. Josef), García (D. Justo), Romero Alpuente, Za servicios de cada uno.” pata, Solana y Vadillo: otro del Sr. Solanot: otro del Sr. Díaz Mo- DeRealorden lo comunico á V. para su mas pronto y puntual .rales; y otro del Sr. GuerrafD. Basilio); y se levantó la sesiona l…</t>
  </si>
  <si>
    <t>…rón de Andilla, gobernador de la plaza de Madrid: cuáles son las ventajas que se pueden sacar de estos depósitos. Si he para sucedería á este en dicho destino al mariscal de campo D. Josef mos de tener alguna marina, si hemos de mantener algunas relaciones Antonio de la Torre , nombrado comandante general de Murcia, eL mercantiles con Ultramar , es indispensable que en estos depósitos se cual deberá ser reemplazado eñ dicha comandancia general…</t>
  </si>
  <si>
    <t>…cial nombrada por las Cortes á fin de proponer el na , otra en Málaga &amp;c. , y asi sucesivamente, siguiendo las costas: en modo con que debia recompensarse á la familia del difunto D. Josef el intermedio de estos puertos hay otros, como los de Motril &amp;c. ; en Alaría Gutiérrez de Teran, digno diputado que fue en esta legislatura fin, parages en donde hay una exportación muy grande: ; seria posible por la provincia de México, presentó su dictamen;…</t>
  </si>
  <si>
    <t>….. 2:..... ....... O.............. .. I...» ....... 3...... D. Berna'rdino Entillac, D. Domingo Fernandez Angulo, D. Fran cisco Orea, D. Josef Larreategui, D. Josef Perez Morales, D. Josef 7■ 5- 3- 34- Pío de Molina, D. Manuel García del Barrio, D. Marcos Cubilio, D. Mariano Valero, D. Nicolás de Puga, D. Pedro Matute, D. Ra Hay ademas cuatro sospechosos. fael Costa y D. Tomas Polo Catalina. Madrid l.° de Noviembre. Parroquia de S. Marcos, p el…</t>
  </si>
  <si>
    <t>…ino y otros pueblos de sus inmediaciones, so valiese de ningún sugeto, porque el ministro debía cuidar de tener los licitando que se les agregue á la provincia de Bvirgos: otra de D. Josef oficiales de su secretaría que fuesen de su satisfacción, pues como res Sánchez Moral en nombre del ayuntamiento constitucional de Baza, ponsable que era á las Cortes de todas las providencias que dictase con en la que manifestaba que fijándose la capital de…</t>
  </si>
  <si>
    <t>…tendieren, sabed : Que habiendo Nos propuesto á las dependiendo «le los ayuntamientos el cuidado de la salubridad públi Cortes que tomasen en consideración los méritos del difunto D. Josef ca y iodo lo perteneciente á ia policía, debía esperarse del Gobierno que María Gutiérrez de Teran, gefe político de la provincia de Cataluña, zeloso de la mejor plantificación de estas juntas, cuidaría de elegir los y diputado en las Cortes por la de México,…</t>
  </si>
  <si>
    <t>…ieron con aprecio, y mandaron repartir entre los de caballería, de nada tienen que arrepentirse, porque en nada contri Sres. diputados 200 egemplares de un manifiesto impreso po'r D. Josef buyeron ú tamaño desorden , que cubrió de luto á millares de ciudada María Puente, gefe político que fue de la provincia de Galicia, sobre nos dignos de mejor suerte. Las maquinaciones de los demagogos, el su conducta con respecto á la prisión de varias perso…</t>
  </si>
  <si>
    <t>…manifestarse mas y mas en la elección que se ha hecho Ciudad, existencia anterior 296: entrados ó acometidos 11: sali de electores de partido, que son el conde dePrado Castellano, D. Josef dos ó curados 7: convalecientes 18 muertos 8: existentes 292. Noriega y D. Josef Viñau, abogado. El Sr. Noriega, rector del cole Total de los cuatro puntos; existencia anterior 517: entrados ó aco gio de la Asunción, es bien conocido , no solamente en Córdoba…</t>
  </si>
  <si>
    <t>…n 83 rs. cada facultativo de los cuatro nombrados en Cartagena; y seguro de impedir á los hombres que se maten es dejarles ser buenos, son D. Sebastian Florit, D. Manuel de Navas, D. Josef {Lancé y Don ayudarles á ser justos y racionales , y hacerles felices..... ¡Ah! Si el úl JosefFurio; habiendo quedado en poder del ayuntamiento constitucio timo pensamiento de los desgraciados que cortan el hilo de su vida sí nal de Cartagena 83 rs., resto de…</t>
  </si>
  <si>
    <t>1803</t>
  </si>
  <si>
    <t>…da y Comer* 1821.= Angel Val¡ejo.= Sr. director general de aduanas y resguardos. cío sobre el contrabando. Lo mismo se verificó con el de los Sres. Gu tiérrez Acuña, Paul, Guerra (D. Josef) . Mills , Mendez , Dávila, VARIEDADES. Solanot y otros Sres., contrario á la aprobación del art. 4. del mismo dictamen. Sobre ta fiebre amarilla. Las Cortes oyeron con satisfacción la comunicación que les hacia Sin embargo de que va ya cediendo mucho por tod…</t>
  </si>
  <si>
    <t>…s Instituciones canónicas del Cavalario y la teoIogiV están conformes con la que ha propuesto la comisión animada de los pastoral del Giftschutz, traducida del aleman al latín por D. Josef mejores deseos. 2óla , señaladas también por el Gobierno á los cursantes de canóne* Los primeros Sres. que lian impugnado el artículo han dicho que y teología. esta definición no era necesaria en el cóáigo penal ; yo creo que es un Centón epistolario , ó» Car…</t>
  </si>
  <si>
    <t>…DEi SEftOR CIEMENCIN. Habiéndose declarado el punto por suficientemente discutido, se ‘ aprobó el dictamen. Sesión del 6 de Diciembre. Se leyó una proposición del Sr. Rodríguez ( D. Josef) para que se Se leyó y aprobó el acta de la anterior. declarasen por ahora libres de derechos de entrada todos los instrumentos ' A ia comisión de Guerra se mandó pasar una exposición del ins de máquinas para el estudio y fomento de las ciencias matemáticas,…</t>
  </si>
  <si>
    <t>…a la pena. Ademas se dice que la igno Navarro (D. Felipe), Pierda, Hermosilla , Moreno, Méndez, Solana, rancia ha de ser cierta ó verosímil: ¡y es io mismo probar una igno Romero (D. Josef) y Diaz Morales. rancia que otra! Yo creo que admitida la ignorancia , siendo cierta, de » Pedimos á las Cortes se sirvan recomendar á la comisión, á la que be valer. Es verdad que por el modo indefinido que algunas leyes tie pasó el mensage di S. M. sobre la…</t>
  </si>
  <si>
    <t>…a conveniente que se diese este testimonio Quien tuviere noticia del paradero ó pueblo de la naturaleza de público, sin que por esto se censurase, la conducta de los Sres. diputa- D. Josef de la Cruz Gómez , capitán que fue del batallón de tiradores lados de la comisión. de Cuenca, y que en primeros de i3iz se pasó al egército francés, ó El Sr. Martínez de la Rosa : Sin entrar en la discusión de la propo de alguno de sus herederos , se servirá…</t>
  </si>
  <si>
    <t>…abogado; D, Mariano. Lagasca, director dél Jardín costas marítimas hasta una línea interior, paralela, qué se llamará di bountco» -D. Manuel JLasala, del comercio , de Barcelona; D. Josef contraregistro*, dentro de cuyo espacio regirán reglas y precauciones es*</t>
  </si>
  <si>
    <t>…cesario acudirá me gría , Moreno , Desprat, Murfi, O-Gaban , Gaseo, Navar-.o £ D. Fe dios extraordinarios y dificiles: es pues preciso ver el origen de donde lipe), Yuste, Romero £D. Josef), CamtisHerrera, D-.az^Morales , So nace la falca.de obediencia, y que sé distingan ias prerogativas de la sa , Fernandez, López Constante, Guerra (D- Josef Basilio) , Cepeda, . autor¡dad eoa.pl .uso que se ha hecho de ellas, pues las prerogativas Muñoz Arroy…</t>
  </si>
  <si>
    <t>…as que tan Moreno, Murfi, Cristo y Conde, Temes, Murguia, Gaseo, Navarro imperiosamente exige la situación del Estado.” La comisión ha tenido (D. Felipe), Yuste , Desprat, Romero (D. Josef), Camus Herrera la docilidad de accederá las observaciones hechas por varios Sres. di Fernandez (D. Anselmo), López Constante, Muñoz Arroyo, Guerra putados, con el fin de ganar tiempo y zanjar este asunto, porque mien (D. Josef Basilio) , Lasanta, Zorraquin ,…</t>
  </si>
  <si>
    <t>…ibanía del número al cargo del secretario de S. M. D. Ra mendadores las suministrarán testimonios de las tazmías: que asimismo món García Jiménez, se ha mandado citar y emplazar 4 D. Josef cuiden ¡as juntas de recaudar dicha parte del subsidio, y los comenda Chabarino, hijo de D. Josef Chabarino y Villareal, cuya residencia se dores de ponerla á disposición de las juntas antes de cumplirse los pla ignora, para que en el término de 10 dias, que…</t>
  </si>
  <si>
    <t>…dante del batallón de milicias ¡ocales D.'Jacobo Marhabiendo sido absuelto de dicha impostura por el juzgado de primera tineli; el capitán de la compañía de milicianos voluntarios D. Josef instancia de Zaragoza , solicita; que ¿ ya-que judicialmente fue disipada Ramón de Cimps y de Avino; el de igual clase de la compañía de getan falsa delación, exige su ho-nor que se publique $u inocencia en toda fes de Familia D. Felipe Martínez; el subtenien…</t>
  </si>
  <si>
    <t>Josef'</t>
  </si>
  <si>
    <t>…n 1800 rs. cional , salir con veinte milicianos de su compañía, auxiliados: Otra haza de 7 marjales de tierra calma de'riego',’ en del teniente del regimiento infantería-de Africa D. Josef' dicho término y pago del Pino , en 3300 rs. Sánchez de la Fuente, que se hallaba allí con 22 hombres Dos marjales1 con olivos, sin respeto á medida, en el del mismo regimiento , y reunidos se dirigieron por la no propio término y pago del Ramal Alto , en 600…</t>
  </si>
  <si>
    <t>Josef, Anselmo</t>
  </si>
  <si>
    <t>Anselmo Josef</t>
  </si>
  <si>
    <t>…e encargo á un individuo de su par »&gt; No pudiendo ya el infrascrito dirigir estas comunicaciones ofi tido. Pero ¡cómo se habia de poner la defensa de los intereses de la ciales al Sr. Anselmo Josef llraamcamp, que entonces ocupaba el mi Francia en manos de hombres que no los conocen, que no los quieren nisterio, se ve obligado á dirigirlas al Sr. conde de Barbacena, minis conocer, y que están y estarán siempre prontos á sacrificarlos á su va tro y secre…</t>
  </si>
  <si>
    <t>Josef, Car S.</t>
  </si>
  <si>
    <t>Car S. Josef</t>
  </si>
  <si>
    <t>…o napolitano se compone de 78 batallones de infantería; el se Otra-casa en ídem de tres cuerpos, calle de los tres Hornos de gundo de 46, ademas dé la caballería artillería &amp;c. El general Car S. Josef, núm. 131 , libre de gravamen, 60214,669 rs. rascosa,-llegando el 25 á Terni en los Estados romanos, pidió 8o3 En da provincia de ■Salamanca, procedentes de ios extinguidos -monas raciones. Parece que él general austriáco' apela ya al auxilio" de la re terios…</t>
  </si>
  <si>
    <t>Josef, D</t>
  </si>
  <si>
    <t>D Josef</t>
  </si>
  <si>
    <t>…de Legislación é Instrucción pública acerca de la exposi do que os hagais acreedores á las bendiciones del cielo., y á la que os ción hecha á las Cortes para que se concediese al diputado D Josef damos desde nuestro palacio episcopal de Tortosa á 15 de Mayo de Rodríguez el correspondiente permiso para que pueda verificar las ob 18 21. ~ Manuel, obispo de Tortosa. cu Por mandado de S. S. 1. — Don servaciones astronómicas que sean'necesarias para la for…</t>
  </si>
  <si>
    <t>Josef, Juan</t>
  </si>
  <si>
    <t>Juan Josef</t>
  </si>
  <si>
    <t>…a su destino. discusión sobre el asunto. A la comisión primera de Legislación se mandó pasar una solici Luego preguntó el Sr. presidente: » ¡Quién debe elegir los jurados, tud de' D. Juan Josef de la Cueva, del orden de Calatrava, para que se cómo y cuándo!” La opinión geueid fue de que debía ser el pueblo apruebe la proposición hecha por el Sr. Gareli en. 30 de Setiembre úl quien los eligiese; pero conociendo que esta pregunta tenia una íntima timo…</t>
  </si>
  <si>
    <t>…este no resultaba el menor cargo contra Campana de !a cor perio de las leyes, con la manutención del orden , con el sosiego pú respondencia que habia examinado de este general con D. Juan Josef blico y con la felicidad común. Y cuando Yo había mandado dar las Gómez, y le habia sido remitida por el Sr. O-Donojú, capitán gene providencias que parecieron justas y adecuadas para consolidar el trono, ral de aquella provincia; y en esta atención se le dec…</t>
  </si>
  <si>
    <t>…4. á orden de D. Manuel Drccsta, y cargo dei referido Duff, El 17 de Agosto de 1782 era el famoso dia en que los Sres. Fin pagadera á 40 días; en los cuales á instancia del citado D. Juan Josef de jas de St. Fond y compañía debían quedar coronados por la famaósil — Inarte y por providencia de 18 de Junio se ha mandado se cite y. em bados por la muchedumbre. Por supuesto que entre los espectadores no plaza á los endosantes de la letra ce que se trata…</t>
  </si>
  <si>
    <t>Josef, Manuel</t>
  </si>
  <si>
    <t>Manuel Josef</t>
  </si>
  <si>
    <t>…se pasó un . alcalde primero constitucional, presidente, es Amonio Monmany , ha— expediente remitido por el Gobierno, y promovido por los defensores . biiilado para secretario. de D. Manuel Josef "Vaca , uno de los reos de la causa de Cádiz, con • la consulta que con -motivo de dicho expediente hace el mismo GoMadrid. Domingo ay de Diciembre. . bierno. Se continuó la discusión del código pena!. » SS. MM. y A A. continúan sin novedad en su importante s…</t>
  </si>
  <si>
    <t>Josef, Martin</t>
  </si>
  <si>
    <t>Martin Josef</t>
  </si>
  <si>
    <t>…o, é intendente honorario de provincia, ante el Sr. alcal la misma Constitución al pie de la letra, ni á hacer una'mescolanza de constitucional conde de Clavijo; la ley absolvió á D. Martin Josef de especies^ cosas extrañas, sagradas y profanas, con que viene á em de Ezquiaga como responsable de dicho impreso, y en su consecuencia brollarse mas el entendimiento de los niños,.y se abruma su memoria, mandó se cancelase la fianza que presentó de cárcel s…</t>
  </si>
  <si>
    <t>Josef, O.</t>
  </si>
  <si>
    <t>O. Josef</t>
  </si>
  <si>
    <t>…les, consejero honorario de Estado; él generál D. Rafael del Riego, los primeros como unas plazas inexpugnables, de donde mariscal de campo de los egercitos nacionales; el Exorno. Sr. O. Josef ^HBHB(^^ente sacan nuevos recursos;; 4." Los griegos tienen mucha Canga-Arguelles, consejero honorario de Estado; el Sr. D. Diego de la "marinería, y los turcos ninguna': 5.0 Í.a"má quina derG'obretflo~Uirco '-Vega', oficial niayor deiaiecrétaríá-dél minister…</t>
  </si>
  <si>
    <t>Josef, Pedro</t>
  </si>
  <si>
    <t>Pedro Josef</t>
  </si>
  <si>
    <t>…rmurar, y no solo gada, un prado suelo de 15 carros y cuarto y 132 pies de tierra, lin inútil, sino peligroso, porque nosotros pintaremos vuestras quejas contra da de herederos de D. Pedro Josef deQuevedo, y prado de Gaspar de nosotros como otros tantos actos de rebelión contra él, y el verdugo os la Muela__ Idem en la vega de S. Roque y sitio de las Hidalgas, un arrancará la vida en el campo de Santa Ana. Tendremos por sospe prado de 3 carros y medi…</t>
  </si>
  <si>
    <t>Josef, R.</t>
  </si>
  <si>
    <t>R. Josef</t>
  </si>
  <si>
    <t>…Úraga; Lie. D. Jijan NepomMcenQ.Gomez de Navarrete, abogado dé México, y,Lie. D., Manuel Diago Solórzano, abogado de id. Suplente, DIRECCION GENERA!. DE IOTF.R1AS NACtokÁtBS. eí . capitán R. Josef -Mariano Michelena. Números.' Premios. Administraciones. Por la provincia de Nueva-.Vizcaya los Sres. Lie. D. Pedro Igna cio Iturribarría,. canónigo de Rurango , y Lie. D; Francisco Estrada; cura de Atotomlco el grande, en el arzobispado de México. Suplente/…</t>
  </si>
  <si>
    <t>Josef-Martínez</t>
  </si>
  <si>
    <t>…5, en 3808-rs. ; declarado sedicioso en la referida calificación. En conformidad de ex 95 Otra id., núm. 62 , en 1900 rs. ; ' horto ^'.dirigido con;, fecha 2 del presente mes, al. Sr. D. Josef-Martínez 96 Otra calle de la Vinatería , númyzy, en 30,662 rs. Moscoso , ministro honorario de la aüdieñcia territorial -de1 Castilla la 97 Otra en los Boteros, núm; 26,- en 20,726 rs. Nueva, y juez de primera instancia en esta muy heroica villa-,• se avi . - 98 . Otr…</t>
  </si>
  <si>
    <t>Jósef-Ramón</t>
  </si>
  <si>
    <t>…a entraron,en esta plaza por va te que del valor é intrepidez del capitán de fa milicia nacional volun» rios puntos como unos .gao facciosos, parte de ellos con armas de fue tarta D. Jósef-Ramón de-Gamps, ha mandado que se publique este par go, y parte con palos, estando entre ellos, según se cree, Juan Costa, te en la gaceta para satisfacción délos .interesados’, y que sirva de alias Misas, que se fugó-con otros dos ó tres presos de estas cárceles é…</t>
  </si>
  <si>
    <t>Josef.de</t>
  </si>
  <si>
    <t>…ardo, en Earbastrb D. Pedro Coma , en Barcelona D. Francisco cipales en las provincias, con nota de los adeudos, de quienes recoge, Vasora, en Burgos-D. Miguel Pedrorena, en.Cádiz D. Josef.de,Ma rán cartas de pago intervenidas por los contadores. ría ,&lt;¿n Calahorra D. Miguel Abadía, en Canarias D. Francisco Guer . 10. Las lincas que estuvieren arrendadas continuarán por todo el ra Betcncour, en Cartagena -D. Bruno Egea, en Ceuta D. Francesco' pres…</t>
  </si>
  <si>
    <t>Josefa</t>
  </si>
  <si>
    <t>…bado'por un Se leyó y aprobó el acta de la sesión anterior. Sr. diputado que el señorío y dominio eran una misma cosa, según las A la comisión de Hacienda pasaron una solicitud de Doña Josefa leyes que quedan citadas; y por otro, que el'seuoríó y dominio son Macía , viuda de un mayordomo que fue del hospital de la plaza de Al cosas distintas, también con respecto á las mismas leyes, deduciendo de hucemas , para que se le pague una pensión de 78 mr…</t>
  </si>
  <si>
    <t>…ia parecen irsé preparando para grandes - D. Juan Ferrar. D. Aíiguel Balseira. acontecimientos: la apatía dé la Prusia se convierte en vigilancia, y po D. Juan Luque. Dona Teresa, Doña Josefa y ne en movimiento alguiias tropas. De la Rusia ya se decía haber entra D. Justo Josef de Binqueri. Doña Tomasa Ravasa. do efectivamente sus tropas en el territorio turco; haberse apoderado de D. Josef Martínez Moscoso. D. Teodoro de la Calle. Galatz, y que e…</t>
  </si>
  <si>
    <t>…de España. Wats nuevo con seis variaciones para forte jores , es el punto de la dificultad. ¡Son acaso los hombres de bien? No piano: por D. Félix Rico, dedicado á la Excma. Sra. Doña Josefa por cierto. La probidad por ai sola no basta para Ser merecedor de tan Morillo, condesa de Cartagena y marquesa de la Puerta: su precio alta dignidad, porque á nadie se le oculta que hay muchos hombres 4 rs. Se hallará en la librería de Ortega. EN LA IMPRENTA…</t>
  </si>
  <si>
    <t>Josefa, María</t>
  </si>
  <si>
    <t>María Josefa</t>
  </si>
  <si>
    <t>…este asunto. se le conceda el señalado á los capellanes del egércit®. Déspues de. una pequeña discusión se pasó este expediente á la co A la de Hacienda se pasó) una solicitud de Doña María Josefa de misión de Legislación. . , . Velasco para que se la conceda una pensión por las persecuciones que En seguida se leyó por segunda vez el proyecto de ley sobre los sufrió en la causa que se formó al general Renovales., juicios de conciliación. 1 Se dió cuent…</t>
  </si>
  <si>
    <t>…sea te tes estimasen por conveniente la Real orden en que S. M. había conce ner una Carta ó Constitución á la francesa es una disolución social. dido una pensión de 200 ducados á Doña María Josefa y Doña María ¡Pobres naciones si no tuviéseis otro modo de establecer la libertad, la de! Carmen Perez de Rozas sobre fondos de Cruzada, en caso de con justicia, el buen orden y la felicidad pública que el que ha concebi traer matrimonio. do en su estéril entendimiento el…</t>
  </si>
  <si>
    <t>JosefGa-</t>
  </si>
  <si>
    <t>…ufo, remitido pbr el juez segundo D. Francisco Belloc diario de Moskuiv, publicado por Ja universidad de esta ciudad, es del en 20 de Noviembre de 18*20 por robo de una escopeta a D. JosefGa- mismo género. g.? El diario de Kasan , redactado por los profesores vilanes, teniente de Farnesio. Estado dé esta causa. En sumario. Pro de esta universidad. Otros diarios semejantes se publican en Riga , en videncia de visita i. siga. _ . Wilna, en Charkow ,…</t>
  </si>
  <si>
    <t>JosefN, Juan</t>
  </si>
  <si>
    <t>Juan JosefN</t>
  </si>
  <si>
    <t>…nes con-, titución en sus procedimientos contra aquel. , -: tra lo mandado por la Constitución, en virtud de providencia del in -A la comisión de Hacienda.se pasó una solicitud de D. Juan JosefN. tendente de aquella provincia; y manifestaba se procediese solamente sobre-que se declare.quién deberá reintegrarle dé la cantidad de ao9 y á la ocupación de sus temporalidades, dejándole libre todo lo demas mas rs. que impuso el, año da 1799 en la .caja de…</t>
  </si>
  <si>
    <t>JosefReel</t>
  </si>
  <si>
    <t>…de la corte á D. Josef Mirtinez Mocoso , D. Julián Sojo , Don consejo provincial en cada pcovincia, elegido también por el Rey, y Angel Fernandez de los Rio,, D Juan Gómez y Díaz, D. JosefReel cual se reunirá en la cabeza de partido de la misma para pronunciar mirez Moreno y D. Valentín Recio: para la de Alcalá de Henares á sobre el reparto de impuestos &amp;c. D. Antonio Mediano y Sartolo: para la de Valdemoro á D Francisco Estas son las cláusulas mas…</t>
  </si>
  <si>
    <t>JosefSres</t>
  </si>
  <si>
    <t>I9° : para el de Valdeburon á D. JosefSres. Martínez de la Rosa, Calatrava,. Vadillo , Rey y Gareli... hagun á D. Juan Antonio Facón También se aprobó.otra indicación del Sr.Martínez déla Rosa, en Suarez Cuenllas : para el de Ponferrada a D. Rodrigo Alfonso Flore,.que ademas del objeto de la anterior…</t>
  </si>
  <si>
    <t>JosefSurada</t>
  </si>
  <si>
    <t>…las Cortes extraordinarias ib siguienter Las ¡Cortes 'igualentre Jos españoles: la comisión se proponía en todos Ja igualdad, y extraordinarias se han instruido de la soücitud de D. JosefSurada, ve de este artículo resultaba una desigualdad excesiva, porque debía con cino de esta corte, que V. E. les -dirigió en 9 de Diciembre próximo, siderarse esta pena aplicada, á un hombre que jamas hubiese tenido -acerca de que se prohíba la entrada en ía Penín…</t>
  </si>
  <si>
    <t>JosefTatirianas</t>
  </si>
  <si>
    <t>…mo se publique en el diario y gaceta de esta capital, se presentenmagnífica villa Centócella, próxima á las termas llamadas á deducir el deque se crean asistidos, al .juzgado del Sr. D. JosefTatirianas de su fundador Tauro, asi también se infiere Martínez MoscosO , ministro togado honorario de la audienciapor el claro testimonio de estos sellos que Adriano coatí- territorial, y juez letrado da primera instancia , donde se halia nuó estas obras durante unos…</t>
  </si>
  <si>
    <t>JosefTor, Juan</t>
  </si>
  <si>
    <t>Juan JosefTor</t>
  </si>
  <si>
    <t>…stancia del partido de la Vega deRivadeo; D. Josef Cuervo, abogado. i.’ de Octubre de 1820 hasta el i.° de Octubre último se han fabrica Provincia de Jaén. Jaén D. Vicente Moreno; D. Juan JosefTor do solamente en Carcasona 16,700 piezas de paño, destinadas para el eada. Ubeda D. Josef Eustaquio Madrid; D. Antonio Gallego Rodrí Levante, la India , las dos Américas y el continente; y su valor me guez. Baeza D. Antonio Lafuente y Oquendo; D. Nicolás Vázqu…</t>
  </si>
  <si>
    <t>Joseí</t>
  </si>
  <si>
    <t>…ión provincial de Salamanca, haciendo algunas observaciones de su crédito; y á ios holandeses, cuyos créditos eran voluntarios, y con .sobre ia liquidación de suministros; otra de D. Joseí í-í., vecino de . Ci OLijeto de ganar un tanto por 1.00 , los remitía á ia tesorería ; que 110 Rey , para que se declare no comprendido en el decreto de 9 de No atinaba el motivo de esta preferencia ; pero que dejando esto aparte, y viembre último un crédito…</t>
  </si>
  <si>
    <t>Josel’</t>
  </si>
  <si>
    <t>…habia inter Las Cortes recibieron con agrado un cuadro que representa el esta venido en ellas, ó contra quien hubiese lugar. do del Gobierno constitucional de España , formado por D. Josel’ Do Las comisiones en vista de los antecedentes, y de varias Reales ór mínguez , vecino de Cádiz; y mandaron pasase á la comisión de Ha denes y solicitudes de distintos pueblos y corporaciones, remitidas por cienda una exposición que le acompañaba, relativa á que las…</t>
  </si>
  <si>
    <t>Joset</t>
  </si>
  <si>
    <t>…varra. Tudela El marques de Montesa; D Mariano tivo por su propio ínteres no negaría la sanción á.la ley que tuviese en Aysa. Estrila el licenciado D. Felipe Martínez de Morentin; D. Joset su favor la opmion pública, y que las discusiones entre el poder legis Harina, presbítero de los Arcos. Sangüesa D. Joaquín Bayona; D. G»' lativo y el egecutivo eran siempre muy peligrosas. briel Antonio Mancho , suplente actual de Ja diputación de Navarrt. O…</t>
  </si>
  <si>
    <t>JosetFalc</t>
  </si>
  <si>
    <t>…eso; y continúa tomando; provi ble á la España, y recursos de esta gran Nación al efecto, dencias militares que es probable rio céseri hasta qué en Laipor el coronel de ingenieros D. JosetFalc* •' bach se decida ¿ori- respectó á. Nípólés, ya ia paz ó ya uñé Continuación y conclusión del plan de organización del guerra, que pudiéra ser muy sangrienta; y propaga? siii ^gérctto, por D. Francisco Gallardo. fuego en otras partes de Europa; Memoria sobre…</t>
  </si>
  <si>
    <t>Josión</t>
  </si>
  <si>
    <t>…do las Cortes á la renovación de su presidente y tóla sesión de este dia, y dijo que mañana se seguiría la misma discu vice-presidente, y del secretario mas antiguó, qué lo era el Sr. D. Josión después de haberse dado cuenta de algunos asuntos que estaban ya sef María Couto, han sido elegidos, para presidente el Sr. D. Josef despachados. •. María Gutiérrez de Teran , diputado por la provincia de México; para DIKKCCrON GENERA!. DE LOTERIAS NACIONALES…</t>
  </si>
  <si>
    <t>Josobre</t>
  </si>
  <si>
    <t>…lamanca'á D. Prudencio Fernandez de la Pelilla; pa sión individual de sí ó no: 3.' por escrutinio. Art. 114. La votación ra Ciudad-Rodrigo a D. Fclix Aviles; para Alba de Tormes á D. Josobre los asuntos discutidos se hará por regla general por el primer »ef Catalin y Calderón; para Miranda del Castañar á D. Vicente Sanamétodo, á no ser que algún diputado pida que sea nominal, en cuyo huja y Mey: para -Piedrahita á D. -Pedro Remolí y Zalduendo; pa…</t>
  </si>
  <si>
    <t>Jotud</t>
  </si>
  <si>
    <t>…nte á fin de evitar tamaños males; y asi se acordó. arriendo de encomiendas: otra de la misma junta, relativa á la solici Se mandó pasar á la comisión de Poderes una exposición de D. Jotud de D. Francisco Adan, pidiendo ciertas rebajas de arriendos por sef Manuel Ramírez, diputado electo por la provincia de Guadal ajara, los motivos que expresaba: otra de la diputación provincial de las islas en Nueva-Galicia, en que manifestaba que en 8 del corriente, vinien Balea…</t>
  </si>
  <si>
    <t>Jounsbend</t>
  </si>
  <si>
    <t>…s asombran con su magnitud, hicie «amino por la calle de Oxford. ron excavar una montaña de mas de 30 leguas de extensión para depo El cadáver de Honey está depositado en casa del general Jounsbend, sitar en 'ella las momias, y hacer, por decirlo asi, inmortal el cuerpo, «ale de Oxford, en donde se recibirá esta tarde la correspondiente in- a pesar de las leyes inmutables de la naturaleza, que tiran siempre á la íbrnncion. Se dice que le mató un oficial…</t>
  </si>
  <si>
    <t>Jovcr, Francisco</t>
  </si>
  <si>
    <t>Francisco Jovcr</t>
  </si>
  <si>
    <t>…spués de señaladas las cuotas. Madrid 29 de Carmen , capitán D. Mariano Ricomá; fragata Preciosa Catalana, ca Junio de 1821.2= Josef María Moscoso de Altamira, presidente.;; pitán D. Francisco Jovcr; polacra francesa Josefina , capitán D. Pedro Francisco Fernandez Gaseo, diputado secretario. =Pablc de la Llave, Esteban Simón. Se está sumergiendo la polacra Santiago , capitán Don diputado secretario.” — Por tanto mandamos á todos los tribunales, jus Franc…</t>
  </si>
  <si>
    <t>Jovdao</t>
  </si>
  <si>
    <t>…ar de cuando en cuando- una nanea Se leyó y discutió el dictamen de la comisión de Guerra sobie el ra de sus inconsecuencias y mala fe. Uno de ellos, que hace poco tiem asunto del brigadier Jovdao. Ei Sr. Peixoto pidió que para que hubiese po aparentaba delender la causa de la justicia y de la humanidad , y pa- mejor orden en la discusión sí tratase solamente de si. Ja Regencia ha ,ici:i desear'que Ja Grecia se viese libre del yugo bárbaro de sus opres…</t>
  </si>
  <si>
    <t>Jovellanos, Gaspar de</t>
  </si>
  <si>
    <t>Gaspar de Jovellanos</t>
  </si>
  <si>
    <t>…to. Isabel: por D. Diego Clemencin: un-cuaderno en 4.0 marquilla___ La forma de la letra se ha elegido cursiva, pero la mas clara y her Memoria sobre las diversiones públicas: por D. Gaspar de Jovellanos: mosa para ei efecto , proporcionando el tamaño que sea muy legible; la un cuaderno en 8.° marquilla.__Informe dado al Consejo sobre la dis cual va colocada dentro de tin marco ó adorno alusivo ai objeto, y ciplina eclesiástica antigua y moderna , relativa al…</t>
  </si>
  <si>
    <t>Jover, Anastasio</t>
  </si>
  <si>
    <t>Anastasio Jover</t>
  </si>
  <si>
    <t>…stán in una de algunos cursantes de farmacia en Cádiz, pidiendo algunas de clusos en ellos la mitad de los diezmos de los legos, porque en este ar claraciones á su favor: o.tra de D. Anastasio Jover, administrador de tículo virtualmente se dice que está inclusa la mitad de estos diezmos loterías en Barcelona, reproduciendo otra que dirigió á las Cortes en la laicales para la dotación del clero. Habiendo contestado el Sr. Moscos© legislatura anterior cont…</t>
  </si>
  <si>
    <t>Ju</t>
  </si>
  <si>
    <t>…ero perteneciente á una capellanía de su posesión. - podrá tener en consideración una economía semejante cuando resulta t Otro de la misma para que no se acceda á la solicitud de. Doña Ju en descrédito de la Nación , y cuando es mirada con risa y con agrado liana Requena , viuda, relativa á que se le conceda la viudedad corres por nuestros enemigos? Las Cortes deben creer que hay muchos que espondiente á un empleo; pues aunque fue nombrado par…</t>
  </si>
  <si>
    <t>…f Lorenzo Ortiz , vecino y del comercio que fue de es Los Sres. diputados secretarios de las Cortes con fecha de ayer me ta corte, celebrada en 13 del próximo mes de Junio ante el Sr. D. Ju dicen lo siguiente: lián Díaz de Yela, magistrado togado honorario , juez interino de pri »&gt; Las Cortes se han enterado del oficio de V. E. de 19 del actual mera instancia en ella, y escribano cartulario de su juzgado D. Ma acerca de si el tesorero general D.…</t>
  </si>
  <si>
    <t>…n esta corte, calle. Real de la Almudena, núm. 2 de la aprueban y reprueban no excediese del número de tres vocales, se re manz. 185 ; y continuado el expediente en el juzgado del Sr. D. Ju petirá el recuento de ¡a manera siguiente: el presidente nombrará tres lián de Sojo y escribanía del número de D. Cristóbal de Vicuña , la diputados, uno entre los que han aprobado, otro entre los que han di declaró vacante, y perteneciente las dos terceras p…</t>
  </si>
  <si>
    <t>Ju, Pablo Duran de</t>
  </si>
  <si>
    <t>Pablo Duran de Ju</t>
  </si>
  <si>
    <t>…a colección de los materiales que naldo y Segarra: para la de Igualada á D. Gregorio Sancho la componen, y nosotros no conocemos libro alguno de y Granado: para la de Granollers á D. Pablo Duran de Ju este género que encierre tanta instrucción en-tan-pocas -ho lia: para la de Mataró á D. Gaspar Borraz: para la de Fo jas. Al tratar de cada edificio público refiere las circuns gueras á D.' Josef Porret: para la de Santa Colonia á D. Ma tancias relativas á su…</t>
  </si>
  <si>
    <t>Ju.ricia, Je</t>
  </si>
  <si>
    <t>Je Ju.ricia</t>
  </si>
  <si>
    <t>…Por una orden de! ministro del Interior de N motes se habían man .nies , se acordé'' que este fuese el de serio , v que un 1 comisión . comyuesdado rasgar v quemar !a circular del ministro Je Ju.ricia de &gt;;&gt; de Ene ta de ¡res individuos, indicase á Sos Síes. d.putaJps &gt;u, cúcnn-tencias, ro de este año, dirigida á lo, arzobispos y oli.spos del reino , la repre debiendo ser de géneros de 'a; t.br 1del re :■■&gt;. sentación y advertencias publicadas por el monee…</t>
  </si>
  <si>
    <t>Juan</t>
  </si>
  <si>
    <t>…es coordinadas triangulares ;a Be.mudez , D. Vicente Sobrino de la Peña, D. Antonio posición de un punto cualquiera del espacio. Mr. Mouge Lobé y Rabina, D. Miguel Bonanza y Roca, D. Juan sacó de este principio el fundamento de una doctrina nue León; y Valdivieso, D. Tadeo Aguilera y Contreras , Don va y completa, indispensable en todas las arres de construc Josef Iribarron y Ortuño, D. Serapio Aguas y-Muñera'de ción, y á la que ha dado el nom…</t>
  </si>
  <si>
    <t>Gaceta del Gobierno n.º 7</t>
  </si>
  <si>
    <t>…apa se halla sin embargo entre no- «Toda Europa sabe las circunstancias extraordinarias sorros como respetable ejecutor del último concordato, y que en el año de 1807 obligaron al Sr. D. Juan vi, en con los honores debidos á su carácter. tonces Principie Regente de Portugal, á pasar con su Real Nosotros pues cumplimos religiosamente los deberes familia á sus dominios de allende el Atlántico; y á pesar da establecidos entre las naciones. Proclamamo…</t>
  </si>
  <si>
    <t>…d del pueblo; que restituyese á la nación su hon r, su independeneia y su gloria, y que sobre estos fundamentos Londres 22 de Diciembre. mantuviese firme ó inviolable el trono del Sr. D. Juan vi, El comercio de la Jamaica había recibido órdenes de y de la augusta casa y familia de Braganza, y la pureza y sus corresponsales del Perú de no remitir géneros, á conse esplendor de la religión santa, que en todos tiempos de la . cuencia del aviso de un d…</t>
  </si>
  <si>
    <t>…nes pacíficas de los Soberanos , que-han proclamado jos de pretender comparar el carácter del Rey beiipe ¡v á la faz de la Europa por base de sus procedimientos las san con el del Sr. D. Juan iv ; los sentimientos del primero tas máximas de h fraternidad universal , tan recomendada pava con los portugueses con las virtudes que ellos'misinos en el sagrado código del Evangelio. reconocen en el -segundo , y con éharrior y benevolencia de «Con rodo, s…</t>
  </si>
  <si>
    <t>…ünstcn-upon-Thaines, Cowes, Carlou, cluida esta grande obra pueda Portugal agradecer á su au Great-Yarmouth, Falmourh, Por-Glasgoue y Newartk, gusto, amado y clemente Soberano, el Sr. D. Juan vi, el Ledt, Dovcherter, Sarccm , Leíth , Grantham , Leaming- mayor de todos los beneficios que puede deber una nación ton, Cuper, Manchester, y la universidad de Oxford. á su Rey, cual es el de una Constitución acabada y liberal, que equilibrando los poderes…</t>
  </si>
  <si>
    <t>…enrique de Saint-Pierre. El au-, Nueva, juez de primera instancia en esta corte, refrendada tor de los Votos de un solitario asegura que en esta obra sé pre del escribano actuario D. Juan de la Peña Martínez , como puso sentar las bases fundamentales de la sociedad humana, y habilitado del propietario D. Manoel López de Rivas, se que es laque mas trabajo le costó de todas sus producciones. cita , llama y emplaza al Sr. D. Manuel de Vidaurre, m…</t>
  </si>
  <si>
    <t>…a acendrada , y amenizó con,su elegan va , juez de primera instancia en esta corte, refrendada del es cia castiza los arcanos mas recónditos de la teología; y por cribano actuario D. Juan de la Peña Martínez, como habilita último, en la historia latina de Mariana campeó, según ex do del propietario D. Manuel López de Rivas, se ha acordado presión del moderno y sublime Gibbon, la elocuencia del celebrar junta general de los acreedores á los bie…</t>
  </si>
  <si>
    <t>…quiere, la diricultad que historia de la monarquía, y de los anales de! reinado de hay psra emplearlos. La subida, considerada bajo este solo nuestro piadoso y augusto Monarca el Sr. D. Juan vt; dia punto de vista, es muy natural; yen semejantes circunstan por fin que presentando á la Europa admirada el resultado cias puede asegurarse que Jas inscripciones francesas, por verdaderamente prodigioso de nuestros enérgicos, pero pa egemplo, no habrán…</t>
  </si>
  <si>
    <t>…° Que los actos de los días 24.de Agosto y 15 de Setiem otros como si fueran hermanos. —— Dícese que se apresta el bre se declaraban legítimos. 2.0 Que los héroes regenerado buque D. Juan v.i, y que estaba para salir para Lisboa el res eran beneméritos de la patria. Y 5.“ que se'nombrase bergantín de guerra Reino-Unido. El 19 de Noviembre en una comisión para señalarles recompensas. tró la fragata Venut con su convoy, q ;e s.Jió de este puerto…</t>
  </si>
  <si>
    <t>…bre el imperio de Rusia. D. Calixto Mora yD. Cipriano Díaz: cabos segundos Don El imperio de Rusia es el país de las contraposiciones Santos García del Barrio*, D. Josef del Moyo. D. Juan. tnas singulares que presenta ei mundo, ssi en lo tísico como Obeso, D. Juan Ochasavia y D. Minué! Gutiérrez Dosal: en lo mora'. Los inmensos desierros de la Si be ría están to tambor D. Pedro Alejandro NÍarcotan : milicianos D. Andrés davía cubiertos de niev…</t>
  </si>
  <si>
    <t>…educen del art. 3rodé la Constitución, y suerte del primer extracto de la de este dia á Doña Teresa del i.° y 2.° del decreto de las Cortes de 23 de Mayo da Martina Lator, hija de D. Juan, capitán que fue de! regimien 1812; á saber: 1.a Que deben continuar los ayuntamientos to de infantería de Osuna, muerto en el campo del honor. en los pueblos en que antes los había, sea cualquiera su ve cindario. 2.a Que no pueda dejar de haberlos en los qne…</t>
  </si>
  <si>
    <t>…o LaMadrid 20 de Febrero. llave, diputados por Veracruz; D. Lorenzo Zavala y Don , SS. MM. y AA. continúan sin novedad en su impor Juan López Constan te , diputados por Yucatán, y D. Juan tante salud. Bernardo O-Gavan , diputado por la Havana. S. M. ha despachado hoy con el Sr. secretario del Des Se procedió en seguida á la elección de los tinco indi pacho de Marina. viduos que debían componer la comisión de Poderes , la que CORTES. recayó en…</t>
  </si>
  <si>
    <t>…llanto nidad de deán de la Sta. iglesia catedral de Cuenca del Pe de alegría y de placer, considerando que sus hijos, parientes rú , ‘ qué se hallaba vacante por fallecimiento de D. Juan y amigos iban á jurar ser el apoyo de la felicidad individual y Díaz de Abeciilas. ■genera!. Concluida la ceremonia religiosa, volvió el batallón entre Vivas y bendiciones al punto de su formación, ea don de dieron con fuego patriótico los vivas de estilo. nt…</t>
  </si>
  <si>
    <t>…a impuesto fíor Sancho (como individuo que fue de la junta provisional) un ofi al reino de las Dos Sicilias por los medios mas criminales; régimen cio que habia dirigido á aquella D. Juan. Manuel Subrié, como en incompatible con la seguridad de los Estados circunvecinos, y con la cargado de D. Josef Antonio Cevallos, vecino de: Almagro , que pe conservación, de la paz de la Europa; que si este estado de cosas no po dia se le admitieran una pén…</t>
  </si>
  <si>
    <t>…l expediente resultaba, que hallándose el referido al del Villar, viuda de un sargento, para que se le siga pagando la pen calde entendiendo en la causa formada contra el canónigo D. Juan sión que disfrutaba de 4 rs. diarios. Chacón, en virtud de la censura de un papel publicado por este, titu No hubo lugar á votar sobre una exposición del ayuntamiento de lado Perico y Peiidanga , había reunido á los autos otro impreso que Bercianos, partido d…</t>
  </si>
  <si>
    <t>…patria, y muy particularmen chaba con nuestros Reyes, disputándoles palmo á palmo la soberanía, y te por los militares, amparando sus familias, se aprobó el dictamen obligando al Sr. D. Juan ti á pasarlos á cuchillo , matándolos con sus de la comisión. propias manos para deshacerse de ellos. En tiempos mas modernos de El Sr. Moura leyó en nombre de la comisión las bases de la Cons jaron consolidar el cetro del despotismo sin la menor oposición ,…</t>
  </si>
  <si>
    <t>…a algunas cantidades por diferentes ramos. La comisión predirecta. .......Ó" , ' '1 sentosu dictamen en to artículos, en los cuales manifestaba lo que. A la misma una solicitud de D. Juan de la Rosa acerca de que se debia pagar la Nación, y las que debia pagar la mayordomía mayor. le rebaje lo que adeuda de ün arriénde),,\ppr haber faltado uno de sus Después de una discusión sobre este asunto entre los Sres. Banqueprincipales rendimientos, que…</t>
  </si>
  <si>
    <t>…a el embarque de aguardientes, sobre bieron con agrado. cuyo asunto hubo una larga discusión , en la que varios Sres. diputados A la comisión de Hacienda se pasó una exposición de D. Juan manifestaron los perjuicios que resultaban de estas franquicias , el in- Agustín Moya, vecino y del comercio de Cádiz , en solicitud de que memso contrabando que se introducía por este medio en el país, y la se le devuelvan los derechos que ha pagado por una…</t>
  </si>
  <si>
    <t>…res poderes SS. MM. y AA. continúan sin novedad en su importante salud. políticos. ip. » La dinastía reinante es la de la Serma. Casa de Braganza. GORTES. Nuestro Rey actual es el Sr. D. Juan vi, á quien sucederán en la co rona sus hijos legítimos descendientes, según el orden regular de la PRESIDENCIA JDEL SEÑOR. CANO MANUEL.' primogenitura. 20. » La soberanía reside esencialmente en la Nación. Esta es libre Sesión del 22 de Marzo. é independient…</t>
  </si>
  <si>
    <t>…mayoría son mas temi pas españolas' en NicaragUafétv Abril de r811,'en' el que resulta combles7, no podréis menos de confesar que-las medidas-mas severas- no se plicado é! alcalde:D. Juan*Arguello. - •_ _'-u han de tomar contra la menoría."' ' • A‘:la de Hacienda'pasó-uña‘exposición dé:Dj Diego.Sánchez -Pa- : Mr. de'Sí. Aulaire.en ia serie.de su discurso continuó haciendo' el niagua; Vecitló ;de Saladino-, en que pide -rebaja- del arriendo, de…</t>
  </si>
  <si>
    <t>…oó el Sr. presidente. había ya en tiempo de los hebreos A la comisión de Hacienda pasó un expediente promovido por Estos derechos tienen un origen muy diverso , y para demostrarlo D. Juan y D. Pedro Vareta, sobre dos certificaciones de Crédito que citó varias leves v casos ocurridos: manifestó» e! motivo porque en Ca presentaron al Gobierno intruso. . taluña habia muchos particulares y pueblos enteros que no estaban su A la misma pasó otro expediente promovido…</t>
  </si>
  <si>
    <t>…pasando de 500 vecinos no excedan de 10: dos 13 años que habia desde el de 1442, en que se promulgó la ley del alcaldes, ocho regidores y dos procuradores síndicos en los que Rey D. Juan ir, citada por el Sr. Marina , al de 145J , en que se ex desde 15) no pasen de 40: tres alcaldes, 12 regidores y dos pro pidió la que acababa de leerse, promulgada por el Rey D. Henrique iv curadores en los de 4 á ic9: en los de io0 á i69 cuatro alcal en las…</t>
  </si>
  <si>
    <t>…dia al Sr. secretario leyese en el dicación. tomo 3.°, segunda parte, página 4;, la ley del año de 1442 del Rey En consecuencia de esto se declaró suficientemente discutido el dic D. Juan 11, que invalida el derecho que da la posesión. tamen de la comisión en su totalidad. El Sr. secretario leyó la referida ley, por la cual se manda que no Después de una larga discusión entre varios señores diputados sobre se puedan dar de fecho ni de derecho,…</t>
  </si>
  <si>
    <t>…do se habla del Monarca se añada la palabra constitució un elocuente discurso, en el que empezó por examinar el origen de 'tional. su establecimiento en el siglo xvt en tiempo del Sr. D. Juan ni, en A la de Hacienda se mandaron pasar una exposición de D. Josef virtud de bula de S. S. Paulo tri, y manifestó los innumerables .-nales que Palomino, contador dé las cajas nacionales de Zaragoza, para que se le se habian seguido de él , y la inmensidad d…</t>
  </si>
  <si>
    <t>…qué era necesaria alguna explicación, la comisión ■los ocho meses de este año económico.- estaba pronta á extenderle mas. • r A la de Legislación se mandó pasar una exposición de D. Juan El Sr. Freire dijo que le parecía uriá cósa muy dura que el presi Esquiar, natural de Suiza, en que solicitaba se le concediese carta dé dente debiese interrumpir en el acto al que pronunciase alguna palabra ciudadano: otra de D. Josef Hilario N., cura de Sta. Cruz…</t>
  </si>
  <si>
    <t>…íiesionj como todos los demas súb -vindicándose de'la queja.de'infracción de Constitución dada contra él ditos de S- M.; pero que tienen-algunos escrúpulos-con respecto al .ju por D. Juan de la Cruz. • :• -* c, : ; - . . ; ramento de, supremacía, por cuanto se podría entender que incluía una Otra de D.P Antonio.López,‘vecino de Guadalajara, quejándose de 'abnegación de-Ja autoridad espiritual- del Papa de la Iglesia de Roma la audiencia territ…</t>
  </si>
  <si>
    <t>…ntra su coronel , y pidiendo se lleve á efec empleado público ó) eclesiástico con su sermón, discurso, carta pasto to el decreto de las Cortes de 1 2 de Abril de 181 2 ; y otra de D. Juan ral , edicto ó escrito oficial, según el artículo precedente, causare sedi Nepomuceno Sierra y D. Josef Serrano, alcaldes constitucionales que ción ó alboroto popular, sufrirá la pena de este crimen según la clase fueron en 1820 de la villa de Novelda, provin…</t>
  </si>
  <si>
    <t>…eca pidió que se leyera un anuncio publicado en Zamo bierno universal de la Sta. Iglesia; consignan las Cortes.á S. S. por ra, fecha 3 del corriente, que en sustancia decia: » Que D. Juan de ahora , y por, via de ofrenda , 200Í) rs. anuales sobre las cantidades que Padilla , D. Francisco Maldonado, procuradores de Toledo , Salamanca están señaladas en ¡os anteriores concordatos, sin perjuicio de aumen y Segovia en las Cortes del reino de 1320…</t>
  </si>
  <si>
    <t>…el lord Liverpool y el . , . Ministerio de Hacienda. . . lord canciller tenían intenciones de oponerse vigorosamente á que el He dado cuenta al Rey de la exposición documentada de D. Juan lili se,adoptase..La Cámara de los Comunes apiobó.eí bilí en su tercer» de Rojas, capitán ayudante de la plaza de Sevilla, en que hace presen lectura por 216 votes contra 197. ‘ .... . , . te el importante servicio que ha contraído en la acción que sostuvo co…</t>
  </si>
  <si>
    <t>…, y señalar dia para cercado de piedra, en 1069 rs. la vista. Un cañar de pesca titulado del Puente, por encima de las aceñas 4.a Don Manuel Cesa, coronel, preso en 13 de Febrero; D. Juan indicadas, con su puente de piedra sillería de 6 ojos; una casa donde se Antonio Carrera en 15 de id.; D. Francisco de la Peña y IX Josef 7.aabriga el que lo posee , y efectos del mismo cañal, en 30® rs. gasti en 16 id.; D. Gerónimo Navarrete en 18 id.; D. Gr…</t>
  </si>
  <si>
    <t>…Ortega: para el de Calatayud á D. Fabián Lorente; pa Díaz Morales , Fernandez , Pierola , Zavala, López Constant , Medra- ra el de Ateca á D. Agustín Palacios: para el de Daroca á D. Juan no, García Page , Solana , Zorraquin, Golfín , Cortazar, Gutiérrez Antonio Bernal: para el de Albarracin á ó Pedio Alzamora: para el Acuña, Calatrava , Lallave &lt;j D. Vicente), Oliver., Saenz y Gutiérrez de Teruel á D. Andrés Casáyus: para el de Mora á D. Igna…</t>
  </si>
  <si>
    <t>…tido y recer la comisión que debia concedérseles. vendido por aquellos mismos ¿n quienes depositó toda su confianza; y . El de la de. Legislación sobre el expediente instruido por D. Juan ahora vemos que Jos generales Fiiangieri y Carrascosa se lian hallado.en. Mariano Trapa, del comercio de Valladolid, en solicitud de dispensa el mismo cuso, como consta por.el siguiente documento, que publica de edad para administrar sus bienes; en,el que opi…</t>
  </si>
  <si>
    <t>…es recibieron con agrado, y mandaron pasar á la biblio para su satisfacción. Vitoria 25 de Abril de 1821.mEl Gefe políti teca de Cortes los egemplares de una adición á una obra de D. Juan co superior de Alava, Manuel de la Rivaherrera.zsEl comandante Antonio Llórente, que ha publicado un abogado en Barcelona. de armas, Miguel de Alava. El Sr. González Allende presentó una exposición de D. Juan El otro es relativo á la dispersión de los rebelde…</t>
  </si>
  <si>
    <t>…á Brihuega , en donde todavía permanecen : y recorda la Fonseca. ban una solicitud que sobre lo mismo habían dirigido al Congreso en ,-,La Regencia del reino, en nombre del Rey el Sr. D. Juan vr, el año pasado, manifestando el sentimiento que tenian al verse separa sabiendo que algunos corsarios infestan la costa de este reino con ab dos de sus banderas. soluto daño del comercio , manda poner á disposición de V. la can El Sr. secretario Gaseo dijo…</t>
  </si>
  <si>
    <t>…l pueblo: otra de D. Antonio Pimentel, extraordinario,,.* que traía la agradable noticia de que S. M. Fidelísima juez de primera instancia de Montilla, provincia de Córdoba, vindi D. Juan vi habia jurado solemnemente reconocer la Constitución que cándose de la queja que dieron contra él algunos Sres. diputados; y formen las Corles portuguesas, y lo mismo el Príncipe Real, y que otra de Antonio Carrasco y otro vecino de Cabeza del Buey, provin…</t>
  </si>
  <si>
    <t>…der en ei egército permanente sin es NOTICIAS DE ESPAÑA. tar perfectamente impuesto en las obligaciones de la clase á que se as cienda , y de las inferiores. Aprobado. Valencia de D. Juan 20 de Abril. Art. 44. &gt;, lampoco se podrá ascender sin haber hecho todas las El día 14 se celebraron en esta villa exámenes públicos de los ni fatigas, asi de armas como mecánicas, de laclase que se deja. Aprobado. ños déla escuela de primeras letras, al carg…</t>
  </si>
  <si>
    <t>…a ley, y por jueces nombrados también anteriormente.” za gratuita en. la Escuela Pía de esta corte á D. Feliz Ruiz, hijo del Quedó aprobado el art. x 36, que decía asi ^ n difunto D. Juan , teniente de caballeiía del regimiento de Boibom Art. 135. ,, Las ordenanzas generales del egércl.to. determinaran la • Y el de la comisión de Bellas Artes sobre.que en vista de las ob autoridad .y facultades de los generales en. gefe,. gobernadores de las s…</t>
  </si>
  <si>
    <t>…' ios sueldes á los: oficiales y tropa d* minable? ; FRANCIA. ■aquella milicia provincial. . .A la de Infracciones de Gonstitucion se mandó pasar una q-ae-a de París 39 de Abril. :D. Juan iieredia , vecino de Variado]id , ,y residente actualmente-en Según noticias que acabamos de recibir de Berlín con fecha del xa, csu corte, contra el juez de primera instaacia D. josef Martínez Mo»</t>
  </si>
  <si>
    <t>…sar á la comisión de -‘ El comandante del segundo batallón de infantería nacional local Hacienda , una felicitación que les ha dirigido el ayuntamiento córis’titu-‘ de esta ciudad D. Juan de la Pedraja dirigió filtimamente una enérgi cional de Puente D. Gonzalo‘por lá aprobación de losart. i.° y *.° ca proclama á los ciudadanos de.su batallón. En ella brillan á ia par del dictamen-de la comisión-dé’Legislación sobre señoríos, y pedia la el ent…</t>
  </si>
  <si>
    <t>…o tres indicaciones, relativas á que las Cortes celebrada el ayuntamiento constitucional de la Membrilla con su médi por medio de sus secretarios manifestasen al mariscal de campo D. Juan co titular D. Francisco Bonafós. La comisión, atendiendo á todos los Martin Diez él Empecinado, al coronel D. Manuel Peña, al secretario antecedentes, opinaba debia declararse válida dicha contrata, y que el P. Máximo Reinoso y al asesor N. cuan gratos les er…</t>
  </si>
  <si>
    <t>…e Fez.el viejo que les daba tres ral de recaudaciones, por ascenso de D. Antonio Martínez, á D. Jodias-de término.para que.entregasen á su sobrino y otros facciosos; en sef Garay, D. Juan jimeno y D. Ignacio Hidalgo. Las Cortes queda ia- inteligencia que de no hacerlo echaría por tierra la ciudad a fuer— ron enteradas; y el Sr. presidente dijo que señalaría dia -para tratar de la de bombas., no dando cuartel ni á los niños que intentasen fugar…</t>
  </si>
  <si>
    <t>…y del comiso, vencién trado togado honorario, juez de primera instancia de esta corte, auto dose dicho plazo sin haberse verificado la exportación. rizada del escribano cartulario D. Juan de la Peña Martínez, competen S-° En jd acto de la entrega de estos géneros al comprador, ó á temente habilitado por el propietario D. Manuel López de Rivas, yá aquel en quien recaiga la rifa, se pondrá en cada pieza un sello parti instancia de los síndicos r…</t>
  </si>
  <si>
    <t>…u inteligencia y cumplimiento en la de Castillo. parte correspondiente al‘níinisterio de su cargo-; en-¡¡I concepto de-que nota. En la gaceta del 22, col. 3.1, lín. 37, donledice .D. Juan con .cita fecha lo.traslada ai'.Kc obispo ele la .diócesis y al gobernador Lacran, léase D. Juan Mac-Crukon, SUPLEMENTO</t>
  </si>
  <si>
    <t>…or no haberles permitido introducir en ella brir las cargas que se referian no Ib parecía asequible; y que sentado'el tina partida de ganado; y otra de D. Juan Martin, á nombre de D. Juan axioma de que la riqueza territorial no podia gravarse sino hasta cierto Martínez , vecino de Almansa, quejándose del alcalde constitucional de punto, esto es , un 32 por 100; y sabiendo á cuánto asciende la rique aquella ciudad por haberle tenido preso cuatr…</t>
  </si>
  <si>
    <t>…ogado honorario , juez ds primera instancia en esta capital , autorizada desahogar en parte su amor patriótico.” Añade que á pesar del enemi del escribano cartulario de su juzgado D. Juan de la Peña Martínez, go , de quien se veia amenazado, se decidió á egecutar la publicación competentemente habilitado por el propietario D. iManuel López de con tanto mas empeño, cuanto que vió el entusiasmo extraordinario Ribas, se sacó á pública subasta, y…</t>
  </si>
  <si>
    <t>…umentos auténticos.',' -«o se .‘halle! expresado en anteriores á los empleos mismos, y no ádas persohasiü “xq ; - estos el valor ó -préció de la compra v eri- cuyo caso'seEalla el D. Juan ■ ■ Aprobados ’■ -c ' ":1 Bernardo dé la Gálle'.-Tínílestá atención' han resuelto las-Córtes/que jus Alt. i&lt;5. ” Se reconocen ademas los'''•sueldos de los empleados ce-. tificando este interesado por los medios'supletorios que tiénecreronocic; sahtes de todas…</t>
  </si>
  <si>
    <t>…provincia de Búrgos á los sugetos siguientes: para principal de provincia, y la tercera al director general de contribucio Aranda de Duero á D. Josef Olaeta: para Aranzo de Miel á D. Juan nes directas.” María de Vivanco: para Aillon á D. Juan Angel González de Navas: Se leyó el art. 57, concebido en estos términos: para Belorado á D. Antonio Rojo y Gandía: paraBriviesca á D. Hilario Art. 57. »Inmediatamente que los subdelegados reciban el esta…</t>
  </si>
  <si>
    <t>…reclamaban'el’ Las Cortes ¿;en vista de la so licitud: de L&gt;. Juan Bárran , concedieron, pago por-tesorería de varias cantidades dé salitre'entregadas á la Haden* permiso al Sr. .diputado D. Juan: Romero Al puente para qué pudiese da pública : la comisión opinaba que se recomendase al Gobierno sa dar una declaración en el .expediente que se actúa ante el juez de pri-, tisfaciese á estos interesados con los materiales que puedan serles útiles inera ins…</t>
  </si>
  <si>
    <t>…sión naval, mandada por el contra A la comisión segunda de Legislación se mandaron pasar las expo» almirante Jacob, fondeó en la rada de este puerto el 17 de este mes. siciones de D. Juan^Ruiz, D- Joaquín Blanco, D. Josef Ramírez, Dicha división se compone del navio le Jean-Bart, de 74 cañones; de D. Gerónimo Josef María Samaniego, D. Diego Caballero, D. Josef la fragata la Duchrsse de Berry, y di la corbeta la Aigrette. Parece Puche! , D. Ant…</t>
  </si>
  <si>
    <t>…la dulce satisfacción tisfacer á estos interesados. , que han experimentado les ha sido un premio mucho mas satisfacto Ei de la segunda de Legislación en vista de la solicitud de D. Juan rio de lo que pueden serlo estos tantos miles reales que propone la co Perez, juez electo de primer: instancia de! partido de Aibaida , en la misión. Ef medio que se propone no solo no es asequible, sino que provincia de Valencia, en la que pedia se le permit…</t>
  </si>
  <si>
    <t>…tra del papel de color, para que al suscribirse reales. los señores que gusten puedan formar una idea del todo de la obra; nota. En la gaceta del 17, col. 6.*, lía. 2a, donde dice D. Juan lo que igualmente se verificará en las provincias donde se ha abierto la Flores , léase D. Ignacio Fuertes. EN LA IMPRENTA NACIONAL,</t>
  </si>
  <si>
    <t>…cipe, y solo tengo qué añadir á mi anterior oficio qué los bu pueden satisfacer; cedo pues también esta cantidad para las actuales ur ques destinados á este servició son: el navio D. Juan vr, la fragata gencias , deduciendo solo de ella Ja de 183 pesos que debo á la asam Carolina', una urca y g trasportes ,&lt; cuyos buques no llevarán mas tro blea de la Real orden, americana de Isabel la Católica; siendo el Señor pas que una mediana guarnición ;…</t>
  </si>
  <si>
    <t>…gento mayor de la plaza D. Josef Losada, y los interinos ayudan Cambra se recaudará todo lo que exceda de 7.200c) reis ; y por ulti tes de ella el teniente y subteniente retirados D. Juan de la Fuente y mo, de todas las rentas de los demas obispados del reino se recaudará D. Anvel Sanz Llórente. Jo que exceda de -f.cÍQo;-) reis, quedando las cantidades destinadas pro 4/ La de D. Francisco Perez Címbrelo, hijo, teniente de infante</t>
  </si>
  <si>
    <t>…M. entró en este puerto- i filibusteros modernos han dado caza á un navio de guerra ; han apresa do un bergantiade la marina otomana ,y han volado una embarcación bordo deL baque D. Juan vi en convoy coa otras emb.ircaciones’dé euerra y mercantes , habiendefondeado Todas en trente de ia Cordele , , pequeña. de puertos ría. Inmediatamente fue á bordo la diputación de la Regencia de¡ rei ,, Puerta ha embargado todos los buques procedentes no, c…</t>
  </si>
  <si>
    <t>…ineptitud bajo las impe-este reino, para' que pueda llevarse ¿. efecto en el momento próximo y» riosas palabras de religiónque haden resonar/por todos los ángulos deen ijue el Rey D. Juan .vi hagasuíelizentrada en esta capital, hace publicar el Senado ¿ con, el presenteíedictoj el referido capítulo , eñ virtud - la Península hombres proitituidos áisus ¡usiones , ó cuando menos car-- ; del cual , apenas se . anuncie el dia" y hora del desembarc…</t>
  </si>
  <si>
    <t>…rios escritos dei licenciado Gerónimo de Cevallos.Don niciosos son estos hombres, y cuán detestable es la hipocresía con que Guillen Barbón y Castañeda, D. Diego Saavedra Fajardo, D. Juan de traidoramente se ocultan para socavar, minar y trastornar el orden pú Palafox , D. Josef Pellicer de Ossau , Francisco Martínez de la Mata, blico. Los pueblos, al mismo tiempo que los aborrecen y temen su fa P- Fr. Juan de Castro &amp;c.; y el 4.0, que hoy se…</t>
  </si>
  <si>
    <t>…por el buen orden, entusiasmo, fidelidad y amor que manifesta Francisco 1, y como el mismo Luis xtv tuvo que hacerlo"por precisión ron á la Constitución y al Rey constitucional el Sr. D. Juan vi y ¿ á los principios de su reinado, y asi hizo florecer aquel gran Rey á un su augusta Familia. mismo tiempo las bellas artes, el comercio y la industria, que él creó, 2.0 » Que por la misma razón se den los mismos testimonios da por decirlo asi, en Franci…</t>
  </si>
  <si>
    <t>…ere necesario, en defensa de las augustas Personas y sa bre los cuales puso la mano S. M., y pronunció el siguiente juramento: grados derechos de sus Reyes constitucionales.” » Yo D. Juan vi, por la gracia de Dios y por la Constitución, Rey del B.eino-Un¡do de Portugal, Brasil y Algarbes, juro sobre los santos En el primer dia de corte : evangelios mantener la religión católica apostólica romana, obervar y 2. a &gt;’ La diputación provincial de C…</t>
  </si>
  <si>
    <t>…e audiencias territoriales, en esta forma: parala por carecer del pronto é inmediato surtido de sus benéficas fumigacio de Sevilla á D. Josef María Manescau; para la de Cataluña á D. Juan nes contra el mal venéreo, las cuales tan maravillosos efectos han pro López de Vinuesa, y para la de Aragón á D. Pedro María Ríe. ducido en toda la Península y fuera de ella, ha resuelto dicho Go . Asimismo ha tenido á bien nombrar S. M. pira la sexta plaza…</t>
  </si>
  <si>
    <t>…inútil individualizarlas; basta decir curso de la diputación- que fue á felicitar á S. M. a bordo del navio que desde la época en que se hizo la paz, los fabricantes de las nacio D. Juan vi, y el de-la que fue-á cumplimentarle al palacio de Queluz. nes europeas se han valido de su maravilloso poder, y las han propagado tanto, que hay ya inuy pocas poblaciones industriosas donde no se usen. . ARTICULO DE OFICIO. El referido aparato es la quint…</t>
  </si>
  <si>
    <t>…alla Asi que la diputación de Cortes nombrada para cumplimentar al ba todavía en estado de adm.tir la libertad de los periódicos. P.ey y á la Real familia llegó) á bordo del navio D. Juan vi fue pre ,,Os rttcco , dijo , que consideréis ante tudas cosas que los periódicos sentada a! Rey, que estaba en .pie, y-la recibió con expresivas demos nacieron,-por decirlo asi ,y se desenvolvieron can laConutitucioti actual traciones de satisfacción. El a…</t>
  </si>
  <si>
    <t>…mez y D. Josef Remirez Cid. = En la de Granada á !&gt;. Ra S. Bernardo y de las Beatas, núm. 1, manz. 498, que tiene de sitio fael de Urbina y D, Demetrio Ortiz. = En la de Navarra á D. Juan 6961 pies cuadrados superficiales, tasada en 484, 579 rs. vn.; y la otra Antonio Ibarra.'ccrEn la de Galicia á D. Esteban Moyano , D. Pedro en la misma calle Ancha de S. Bernardo entre el núm. 2 , que hace Bermudez del Villar y D. Josef Alvarez Pestaña. =: En…</t>
  </si>
  <si>
    <t>…ón á la hora acostumbrada. Die, hermanos, de Alicante. co n. _E1 decreto de las Cortes sobre la libertad de imprenta es como sigue: El ayuntamiento de Santander. D. Miguel Moreno. Don Juan vi por la graciá*&lt;íe“D¡os y la Constitución de la Monar D. Francisco Caí tanza, d: Cádiz. Ochaita y Pariza , de Córdoba. quía &amp;c. Hago saber á mis súbditos que las Cortes han decretado lo T&gt;. Hilario Jiménez , de Zaragoza. Santa Cruz é hijos , de Logroño. sig…</t>
  </si>
  <si>
    <t>…érminos señalados para las pujas del cuarto, diezmo y media do su valor á dinero efectivo de contado ó á plazos, según lo acorda diezmo: y no habiéndose hecho ninguna de estas, el Sr. D. Juan ren los particulares con el representante de la Hacienda pública. 9.° El Gómez y Díaz , juez de primera instancia, ha señalado para el segundo intendente de las respectivas provincias de la isla de Cuba, con inter y último remate el dia 10 de este mes á las 1…</t>
  </si>
  <si>
    <t>…ción. Bajo su aplastado techo, y cerca de iá puerta» Setiembre'. , ’ mt'; estaban sentadas dos figuras flacas y "sucias,. cuyos cuerpos envolvía Telégrafo mexicano: su mismo autor D. Juan -López Cancelada; un lienzo moreno y asqueroso, y-Cuy as caras sombrías y mugrientas que lo dio á luz en Gídiz en la época pasada de la’libertad de'im estaban .cubiertas en parte con unos sombreros gachos de lana, he prenta; resucita este periódico, y se prop…</t>
  </si>
  <si>
    <t>…á'21 de Febrero de este año por la señora viuda de tos por las diputaciones provinciales en la capital de la audiencia y en Barbeito Muro y Arévalo, á su propia orden y á cargo de D. Juan la del partido correspondiente, y en los demas pueblos de la compren Francisco Pujana , endosadas á D. j sef María Sánchez, y por este en sión de este, convocando por el término que las diputaciones estimen favor de los nominados Miquilit-rena. ILibia otra de…</t>
  </si>
  <si>
    <t>…su inconstanca y Art. 31 » La dinastía reinante es la de la berma, casa de liraganza nuestra firme resuiucion; entre su indiferencia rcligosa, y nuestra ad y nuestro Rey actual el Sr. D. Juan vi. hesión al catolicismo; y en fin entre su conducta revolucionaria por Se leyó y aprobó lo siguiente: » De las Cortes ó&gt; del poder legis tantos anos, y nu.stros esfuerzos por darnos unas Cortes, dignas del lativo.” cnCapítuio 1. = Dc ia elección de d.putado…</t>
  </si>
  <si>
    <t>…rozarena, aib.icea Continua el articulo áe ayer. de Viñarte , porque decia que este le había comunicado que dicho » Sus contrarios imaginan que el atractivo de la libertad y de la D. Juan dé Clavéría le había dicho que los referidos 5S) pesos pertene independencia fomentará los matrimonios, y dará un aumento desme cían á un clérigo francés paisano y amigo suyo, se vió ’el D. Pedro dido á la población; que á consecuencia de estas divisiones lle…</t>
  </si>
  <si>
    <t>…sagradas de todo S. Antonio, D. Lorenzo Franques; Carmen, D. Valero Buera; bom un purblo , y á la hollada magestad de las leyes! (_ Morning Cronicle.) barda Virgen del Buen tire, D. Juan 'íriay: pingüe sardo Virgen .—Parece que el Courrier cree que porque es lícito á un particular cuan del Rosario, D. Juan Bautista Colombino; laudes , Carmen, D. Martin do peligra su vida matar á los que le acometen , también deben tener Caner; Carmen, D. Bart…</t>
  </si>
  <si>
    <t>…tuguesa; pues cuando el Sr. D. 'Manuel descubrió Ja In porque lo creí incompatible con mi destino en el egército permanente.! dia , acuñó una moneda con el nombre de Indios ; y el Sr. D. Juan u » Sírvase V. S. manifestarlo asi al citado cuerpo de su interino otra en un caso memorable, á la cual llamó Leales. Se acordó que pa mando, como igualmente el que estoy íntimamente convencido de que. sase esta adición á la comisión de Artes para que la toma…</t>
  </si>
  <si>
    <t>…jos y oidos , con la silio Guerra , diputado por Yucatán. sangre negra cuajada en las visceras, sin serosidad alguna, y cuya ter Se concedió permiso á D. Domingo Sánchez Presa y á D. Juan minación se presenta con tantas anomalías, como que apenas hay un Manuel Subrié para regresar á su país con motivo de sus achaques. enfermo que convenga con otro en ellas ni tampoco en sus remedios, Se leyó una exposición del Sr. diputado D. Antonio Puigblanc…</t>
  </si>
  <si>
    <t>…presentado1 por la maestranza del Ferró! , y hacerse uso en el desgraciado caso de aparecer un enfermo en alguna de varias reflexiones de D. Manuel Lobo , capitán‘de la armada, y D. Juan nuestras casas: todo lo ha prevenido , como es de su deber; mas por Pedro Coronado , capitán de navio. desgracia las ocufrerfcias desagradables de Torrosá vertidas en los pape A‘Ja comisión de Aranceles varios expedientes, remitidos por el les públicos, han a…</t>
  </si>
  <si>
    <t>…veo un estado legítimo de sociedad , pues por S. M el estado legítimo de,esta es la civilización, porque es su estado natu Elementos de aritmética', álgebra y geometria: su autor D. Juan ral, y la civilización no es mas que el cristianismo aplicado al estado Justo García, presbítero, del gremio y claustro de la universidad de social. Las rebeliones eternas en los países idólatras y musulmanes , las Salamanca, catedrático jubilado de la misma,…</t>
  </si>
  <si>
    <t>…que motivaron el viage del Rey D. Fernando vn á Bayona en disminuir los derechos de la Nación en favdr de los de la corona. A 1808: un tomo en 8.a mayor--- Todas obras del Fxcmo. Sr. D. Juan este ¿ltimo se le llama partido de la oposición, y á su antagonista par- dé Escoiquiz. Se hallarán en la librería de la viuda de Quiroga. . ‘iido ministérial. Los periódicos que 'siguen-al uno ó al otro toman la Himno patriótico.á la libertad: por D. Vicente…</t>
  </si>
  <si>
    <t>…rancés por Mr. Montesquieu, traducida y ano alterando la letra y el espíritu de la Constitución. En la furiosa tribuna tada para su mejor inteligencia con un índice geográfico por D. Juan de de Ja Fontana, en aquella cátedra de sedición , se dijo una noche al pue Dios Gil de Lara , capitán del cuerpo nacional de Artillería, destinado blo , precisamente cuando estaba mas irritado, porque creia que estaba ul í la comisión de gefes y oficiales de…</t>
  </si>
  <si>
    <t>…á sus comitentes el haber de desnu cisco Fernandez, D. Francisco de Paula Fernandez, D. Juan Antonio darse del-prestigio que los hizo mirar como los hijos predilectos de la Isusi, D. Juan de la Cruz González, D. Manuel Ovaldia , D. Manuel Virtud y de la sabiduría , descubriendo en ellos todos los defectos que Rodríguez, D. Pedro Agar , D. Ramón Utges y D. Tomas Perez. se notan en el hombre más vulgar. Parroquia de S. Gines, 8 electores. ¡Qué m…</t>
  </si>
  <si>
    <t>…- mas A las fronteras turcas. D. JosefPio Molina , hacendado.. neral del reino. Austria. Apuros y mas apuros. La civilización se extiende por to D. Luis Landáburu , oficial de la' D. Juan de la Cruz Murguiro..... das parles; las ideas liberales van siendo conocidas hasta de las gentes secretaría Estado, " D. Felipe Bauza, director del de* del campo; los pueblos no ignoran que un Gobierno representativo es</t>
  </si>
  <si>
    <t>…de los electores de partido, publicada en la ga algunos Sres. diputados al proyecto de decreto sobré'formación1 de la ceta del martes 6 del corriente, se lee como quinto elector á D. Juan milicia activa, y el voto particular del Sr. Sánchez Salvador. de la Cruz Muguiro......., léase D. Juan de Muguiro, del comercio. EN LA IMPRENTA NACIONAL.</t>
  </si>
  <si>
    <t>…blico que Quedó aprobado el dictamen de la comisión. asiste.; Qué tiene que ver una ley con un hecho, y con unaaplicacion de Las mismas comisiones en vista de la representación de D. Juan la ley a este hecho! Para dictar una ley no basta reconocer un proceso, Gracely, dueño de la fábrica de vidrios cristalinos establecida en Arenys no basta reconocer una librería, ni acaso todas las de una grande capi del Mar, en que suplicaba se prohibiese la…</t>
  </si>
  <si>
    <t>…e D. Pedro Flores Puente, labrador hacendado, Lisboa jo de Noviembre. i Provincia de Toro. Toro D. Ezequiel Diez y D. Manuel Sanchet Arcilla. Alaejos D. Agustín Monge. Vezdemarban D. Juan. Manuel Sesión del 2. Coca. Se continuó la discusión pendiente del art. 90 del proyecto de Cons Provincia de Navarra. Pamplona D. Cristóbal María Rípa da titución, y el Sr. Correa de .Seabra opinó contra él, diciendo que lo ha jaureguizar; el Dr. D. Benito Dí…</t>
  </si>
  <si>
    <t>…er á la misma , y el dictamen de las comisiones de Hacienda y Co- artículo, porque en ia op.niou de muchas conb.mar.a ia m aíra rota, jfflircio acerca del expediente promovido por D. Juan hiancisco Bar- porque las casas de los mesoneros se exceptuaban de ¿as de lo» otro» ciu ¡Suer, del comercio de la Cortina , sobre el pago de ciertos derechos. dadanos , sujet -ndoles á mucha» nu» vejaciones. ¡ Se leyó la siguiente proposición del Sr. Banqu"ri…</t>
  </si>
  <si>
    <t>…ningún buque giiego procedente de la tin Ramírez de la Piscina , abad de la coiegiai de Alfaro. Mosca ni del Archipiélago. Por la provincia de Murcia. D. Josef Rodríguez Paterna ; D. Juan __El príncipe Demetrio ípsilanti dejó el mando de la Motea , porque Alix; D. Amonio Perez de Meca; D. Bonifacio Sotos; D. Ramón sus tropas insubordinadas degollaron á varios prisioneros turcos , á quie Reille. Suplentes. D. Bartolomé Cei Castiiio; D. Josef Ag…</t>
  </si>
  <si>
    <t>Parece que su autor es un militar muy ilustrado. Después de recordar Sangenis , individuo de la diputación provincial dé Aragón; D. Juan ,|ja||É]jÍjMfó£ós hechos de la riacion'gricga;en.^tíeiñposTantigüos/hace ia sí- Josef Jaimes i- propietario^ DI Bálta^r López í'yropj|teriO:},D-- Hilario ‘^PBBBéComparaéiónentre- los-. griegos déí-di»-y*thNínem¡gos n-VMjbs grie* Jiménez-, -intendenta hónofari…</t>
  </si>
  <si>
    <t>…ranada, natural de Archidona; D. Áliguel Busutil, vocal la artillería volante en Witepsk y Mohilow. Se dice que van á jomar de la diputación provincial, abogado y vecino de Ronda: D. Juan aili sus cuarteles de invierno. El primer cuerpo del primer egército, que Blake , coronel de los egércitos nacionales , natural de Veicz-Málaga. ha estado en Minsk y Wilno-Grodno, ha avanzado hácia. los límites Suplentes: D. José f María Escobar, promotor fis…</t>
  </si>
  <si>
    <t>…cuando la Constitución no co instrumentos de fisica, matemáticas y demas ciencias. noce otros que los diputados á Cortes.' Se pasaron á la comisión de Poderes los presentados por D. Juan ” La libertad de la imprenta, principal baluarte de la nacional, es Nuñez Osorio , suplente por Galicia , que viene á reemplazar al señor en cierto modo profanada por el abuso escandaloso que se ha hecho de Rodríguez Casal. ella, especialmente en estos último…</t>
  </si>
  <si>
    <t>…gundo batallón del regimiento infantería del Rey: á ña , sacados de autores que de ellas han escrito , hecha de todos una E&gt;. Josrf Quijano, del primer batallón del de la Reina: á D. Juan En recopilación cronológica y bien circunstanciada, con curiosas noticias sebio Manzano, del segundo batallón del déla Reina: á D. Manuel del tiempo en que fueron inventadas las comedias antiguas, las de ci Valcarcel, del segundo batallón del del Príncipe: á D.…</t>
  </si>
  <si>
    <t>Juan'</t>
  </si>
  <si>
    <t>…e su respeto á la nacional, y que de consiguiente se debia celebrar su aniversario: con memoria de la Reina; y es muy cierto que este deseo no era soló de al siderando pues el Rey D. Juan' vi cuan dignos eran los expresados gunas personas, sino de toda la población. dias de entrar en los fastos mas memorables de la nación portuguesa; '&gt; Todos los Gobiernos, dice Hume, dependen déla opinión pú y queriendo que su memoria permanezca y sea indelebl…</t>
  </si>
  <si>
    <t>Juan, D-</t>
  </si>
  <si>
    <t>D- Juan</t>
  </si>
  <si>
    <t>…tas y respuestas para enseñarle y aprenderle con mucho menos Constitución. Al remitir á V. E. esta exposición no dudo én asegurar trabajo y mayor petfeccion, aprobado por el Timo. Sr. D- Juan de le que los deseos y opinión de los pueblos de esta provincia coinciden Cavia , obispo de Osma , puesto en este nuevo método por el Dr. Don y son conformes con los de su diputación. Josef Joaquín González de la Cruzi, del gremio y claustro de las uni v Dios…</t>
  </si>
  <si>
    <t>Juan, Ignacio Suarez y O. Meliron S.</t>
  </si>
  <si>
    <t>Ignacio Suarez y O. Meliron S. Juan</t>
  </si>
  <si>
    <t>…de pobladores de cada una á lo menos versidad de Oviedo D. Manuel Alvarez Campillo, D. Manuel Alon familias, esto es , 25 matrimonios de hombres libres. La diputación so Cueilas, D. Ignacio Suarez y O. Meliron S. Juan, que solicitaban se provincial respectiva señalará al capitulante un término perentorio, declarase si en el presente año deb;an asistir á la cátedra d.c Constitu dentro del cual deba precisamente presentar en la nueva población el</t>
  </si>
  <si>
    <t>Juan, Jorge</t>
  </si>
  <si>
    <t>Jorge Juan</t>
  </si>
  <si>
    <t>…cios luego que cumplen: los A los que sean examinados de hidráulica y mecánica se adjudicará pretendientes i quienes acomode han de estar examinados en dicho el examen marítimo de D. Jorge Juan y la medalla grande de la magisterio, y deberán presentar el título, dirigiendo sus memoriales sociedad. á D. Pascasio Rodriguez, secretario del ayuntamiento constitucional, A los alumnos de la clase de economía política que tiene bajo su en el término de 20…</t>
  </si>
  <si>
    <t>Juan, Josef S.</t>
  </si>
  <si>
    <t>Josef S. Juan</t>
  </si>
  <si>
    <t>…en Dos de sus versos mariscal de campo D. Juan Martin Diez el Empecinado; y decían* para gobernador de S.Lucar de Barratneda almqriscal de. Habéis inspirado mis. versos: • . campo D. Josef S. Juan. 1- -¡ Que una jlor los recompense. . Clemencia titubeaba; mas al'fin puso una .violeta sobre Continiían las exposiciones hechas 1í la Diputación permanente, una rama de la yedra , y echó á correr. Durante ún mes de Cortes por los acontecimientos acaecidos en…</t>
  </si>
  <si>
    <t>Juan, S.</t>
  </si>
  <si>
    <t>S. Juan</t>
  </si>
  <si>
    <t>…io de la sal.. ~. . . • . der á las obras del campo de Tarifa y otras plazas. A la de infracciones una queja de varios regidores de la villa de . A la de Legislación pasó otra del Sr. S. Juan para que mientras no Arcayos contra él alcalde de la .misma, por haber infringido la Cons se apruebe la ley constitutiva del egército no pueda ningún juez impo titución.- ner por castigo el servicio á las armas; y otra del Sr..Vilianueva sobre A la comisión d…</t>
  </si>
  <si>
    <t>…erno las considerase Jr Uruela, contrarios á la aprobación de varios artículos del plan de oportunas) del color que mejor le parézca: la caballería del mismo mo Hacienda, y el del Sr. S. Juan, contrario á la resolución de las Cortes do que lo propone el Gobierno; y en cuanto á las insignias ó distinti acerca de la división de partidos de la provincia de Pal .ocia." vos de los oficiales pódia dejarse al arbitrio deí mismo Gobierno, con A la comisió…</t>
  </si>
  <si>
    <t>Juan, San</t>
  </si>
  <si>
    <t>San Juan</t>
  </si>
  <si>
    <t>…e el to al periódico intitulado el Observador, sin haber precedido la califi de la Gobernación de Ultramar. cación del escrito; y pide la indemnización de los perjuicios que ha El Sr. San Juan, en consecuencia de haber ofrecido en la sesión de sufrido, y que se forme causa á quien hubiese lugar. ayer informar sobre la calidad del hospital de S. Juan de Dios de A la referida comisión una queja de Josef López Cabeza, vecino Goatemala, manifestó que e…</t>
  </si>
  <si>
    <t>…de Almadraba en critos en la milicia nacional activa; de lo que creía resultaban muchas Cartagena, sobre algunas informalidades cometidas en los permisos para ventajas. pescar. El Sr. San Juan fue de opinión que por este medio no se igualaba</t>
  </si>
  <si>
    <t>Juan-Laborie</t>
  </si>
  <si>
    <t>…haberles primer ayudante de egércitó; inventor de las fumigaciones anti-venéimpuesto Jas mismas contribuciones que á todas las demas, y de haber xeas aprobadas por el Gobierno, y D. Juan-Laborie , comerciante fran establecido las aduanas, no disfrutaba de los mismos beneficios en ra cés , residente en la misma, habiendo tenido entre sí varias disensio zón de que se le quitaba ia diputación provincial, que tanta falta hacia nes sobre la venta de dicho…</t>
  </si>
  <si>
    <t>Juan.Elias</t>
  </si>
  <si>
    <t>…guiente indicación: „P¡do que no se dis adjunta exposición de los empresarios de Barcelona D. Simón Lines y cuta en esta legislatura el dictamen de la comisión acerca de la ley or D. Juan.Elias y compañía, para los efectos, convenientes con arreglo gánica de la armada naval.” Después de una ligera discusión quedó á ella-." ... aprobada dicha indicación. _ El Sr. Sánchez Salvador dijo que era justo se. pagase á estos intere Se leyeron los tres proyec…</t>
  </si>
  <si>
    <t>Juan.Posve'</t>
  </si>
  <si>
    <t>…i;del regimiento de caballería de la Reina, D. Juan del Castillo, leerse sínoxtrañéza y admiración. las causas que han disipado en un mo .genpvés, avecindado en la isla de.Cuba, y D. Juan.Posve' natural de mento las lisonjeras esperanzas qua por tan bien fundadas se tenían. Hesse, en Alemania, pidiendo carta de ciudadanos, la cual era de pa Vióse como el majhadado general Pepe se halló comprometido y recer la comisión que debia concedérseles. vendido…</t>
  </si>
  <si>
    <t>Juana, María</t>
  </si>
  <si>
    <t>María Juana</t>
  </si>
  <si>
    <t>…e pagando petasen y recibieran su doctrina. una pensión de 2 rs. diarios. n Los santos Apostóles, fieles discípulos de Jesucristo, nos repitie-' A la de Hacienda una exposicion de Doña María Juana dé At&gt;uirron las mismas lecciones que habían aprendido de su divino Maestro.- re, viuda del capitán de navio D. Joaquin Indaburu, en la que pide El Apóstol S. Pablo, viendo que algunos de los judíos nuevamente que la-pensión que disfruta pase despúes de su mu…</t>
  </si>
  <si>
    <t>JuanRuiz</t>
  </si>
  <si>
    <t>…oyecto de ley sobre ins sin motivo en la cárcel pública en calidad de detenido. trucción pública, pidió el Sr. López (D. Marcial) que asistiese á ella A la misma una exposición de D. JuanRuiz, vecino de Málaga, en el Sr. secretario de la Gobernación de la Península, suspendiéndose que manifiesta haber sido desterrado por creerle autor de un suplemen entre tanto la discusión. Se acordó asi, é igualmente que asistiese el to al periódico intitulado e…</t>
  </si>
  <si>
    <t>Juanton, Miguel</t>
  </si>
  <si>
    <t>Miguel Juanton</t>
  </si>
  <si>
    <t>…illería de los buques serán D. Carlos Serrano, zz D. Pedro Garcés. z=D. Bernardo Rodrigo.=Don nombrados de entre aquellos del grado que pida el reglamento mas ap Mariano Siles. zz D. Miguel Juanton. — D. Josef Collados. = Sr. ba tos para desempeñar estos destinos; y en consideración á la importan rón de Torrefiel. z=D. josef Paniagua. zz D. Josef Yarza. zzL). Fran cia y extensión de su cargo gozarán doble sueldo.” Aprobado. ' cisco Lafuente. zz: D. Anto…</t>
  </si>
  <si>
    <t>JUEVES</t>
  </si>
  <si>
    <t>, (7 cuartos.) ,_~~~~BBBaB~~~ .. : . . :'G A C, E T A D E M A D R 1 D. JUEVES .5 DE JULIO DE 1. 821 • • NOTICIAS 'EXTR.ANGER.AS. acompaña~o de S, E. el conde de Roburent yotras personas de su cor. te. Ha. Sido 5Um;llnen~e tierno el encuentro' dI/: aquel MonarC&lt;l. coa SS: MM. el Rey y Rema reit!3ntes, y con la [amma Real de Luca. ,í)ule…</t>
  </si>
  <si>
    <t>Nóm. 2 ii. ( / cuartos.). ri E§3£i GACETA D E M A D R I D. JUEVES 26 DE JULIO DE 1821. NOTICIAS EXTRANGERAS. un método de Gobierno mas sencillo y mas económico que el actual t Mis mas ardientes deseos se verán satisfechos el día en que pueda con ACEMAKrA. ciliar de un modo plausible todas las opiniones que versan sobre este…</t>
  </si>
  <si>
    <t>Núm. 5^5;, ( 7 cuartos.) *445 %Z%SS%£ G ACETA DE M A D R 1 D. JUEVES a 7 DE SETIEMBRE DE 18a i. NOTICIAS EXTRANGEÜXS. el Príncipe Guillermo de prüsía y el Sr. de Maryvitz. ' Xa caballería de'guardiás-que está aqui de guarnición hizo ayer vaISLAS JONICAS. rías evoluciones á presencia de los comandantes de. todos los regimien to…</t>
  </si>
  <si>
    <t>52</t>
  </si>
  <si>
    <t>Núm. 348. C 7 cuartos-) 52 GACETA DE MAD R I D. JUEVES. 6 DE DICIEMBRE DE'18ai. NOTICIAS EXTRANGERAS. ALEMANIA. ISLAS JONICAS# Nuremberg de Noviembre. En la capital de Turquía no hay novedad alguna , y sí solamente se ad Corfú io de Octubre. vierte que el descontento de los genízaros se aumenta de día en dia, yqu…</t>
  </si>
  <si>
    <t>Juez</t>
  </si>
  <si>
    <t>66</t>
  </si>
  <si>
    <t>…a infinitos descubrimientos. Podemos uisito, se dará por evacuado el indicado despacho requisitorio, sin embargo también citar en la física • trabajos ingeniosos y evolviéndose al Sr. Juez requirente para los efectos conve ápreciábles invenciones. . nientes. Vi- í:. ri ; La balanza de;Torsion ,-con que Coulomb determinó' Se hallla vacante el partido de médico de Turleque, situarlo tan felizmente la ley de. las atracciones y repulsiones eléc en…</t>
  </si>
  <si>
    <t>…r** miento.de Tortosa, y hacendado en ella: y á instancia del mismo 'Otro de la misma cabida, liarnado el'Aza de la Piñuelaeti 375 rs. Dr. D. Jaime, y en virtud de prpvidéncia del Sr. Juez de la causa, se Otro de ó celemines, quiñón ¿Tlámadó el del-Ladrón de Molinillo, jda este avisó. ..... que lo divide el rio, en 125 rs. . ' •" Otro de una fanega, 5 celemines, quiñón, llamado del Molinillo, cambios. Madrid 20 de Marzo cíe, 1821. en 500 rs. ',…</t>
  </si>
  <si>
    <t>Julián</t>
  </si>
  <si>
    <t>…ahora, con calidad de reintegro, y sin perjuicio dé lo que resol viesen las Cortes, con aj9 duros á los fabricantes que han experi En la villa de Madrid á 10 de Marzo de 1821: el Sr. D. Julián mentado pérdidas en Alcoy en 2 del mes corriente; haciéndose fin re- de Sojo, ministro togado honorario, y juez de primera instancia en ella, iparto con proporción á. las mayores ó menores facultades de los que habiendo visto esta causa, formada por supuesta…</t>
  </si>
  <si>
    <t>…geto resultarían vénlajas.ial dicho hospital, es de ■ Cita dicho periódico dos car tasque anuncian, que el egército p la parecer: r.°que se puede conceder la dispensa que solicita D. Julián mentes, compuesto de go9 hombres, amenaza ya las fronteras de LomArcal para que pueda ser médico del hospital de la ciudad de Santiago, bardfa y á su capital Milán; que se esperaba que muy en breve; todos los no obstante su cualidad de.casado; y 2.°.que debe…</t>
  </si>
  <si>
    <t>…imonios de los Reyes, co- rido; para Onteniente D. Josef de los Ríos Mira; para Albaida Don mo.había supuesto el Sr. Lobato, sino del de la Nación. Juan Perez Cebrian; para Gandía D. Julián .Gardeta; para Játiva Don En seguida citó varias leyes, por las cuales se mandaba que se pre Joaquín Martínez Diez Campaya; pata Ayora D. Silvestre Berdú y sentasen los títulosy demas documentos en un término fijo, para que MirambeT, para Alberique D. Francis…</t>
  </si>
  <si>
    <t>…r volunta motivo debía oirse al Gobierno. Se mandó pasar al; Gobierno. rios : según , el artículo 9 Jel reglamentó, , 2.1o .Que las compañías se Se dió cuenta de una saiizituii de D. Julián tírruéla-, diputado por arreglaran todas bajo: un mismo número, é indistintamente se eligieran Goatemala, en la que contestando al.oficio que se le dirigió para la re de ellas,para la de cazadores y granaderos: g.3 Que el uniforme sea el unión de las Cortes e…</t>
  </si>
  <si>
    <t>…presidente señaló para la discusión de mañana el arreglo de aranceles; y se levantó la sesión de este día á las tres menos cuarto. En la villa de Madrid á 20 de Marzo de 1821: El Sr. D. Julián articulo de oficio. de Sojo, ministro togado honorario y juez de primera instancia de ella. Habiendo visto los autos formados á instancia del Sr. conde de VillaEl Sr. secretario del Despacho de Marina dice al Sr. secretario de la fuertes, gefe político de la…</t>
  </si>
  <si>
    <t>…tinuación de modo que en los dos años se pagará 3 por zoo. partido (re. El Sr. Golfín propuso que el artículo dijese asi: j&gt; El permiso de Hago saber: que á virtud de exhorto del Sr. D. Julián deSojo , mi los depósitos de la primera y segunda clase se concederá pagando el nistro togado honorario, juez de primera instancia y de la Hacienda 2 por 100 en el primer año , y 1 por too en el segundo, conforme aL pública de la M. N. villa de Madrid, refren…</t>
  </si>
  <si>
    <t>…uisiera que los hom Luego que los musulmanes de Africa, llamados á la hermosa Anda bres multiplicaran su existencia , no en individuos, sino en fuerza mo lucía por la venganza del conde D. Julián y la ambición del arzobispo ral , y que todos tuvieran los conocimientos necesarios para obtener to de Sevilla y de Toledo D. Opas, consiguieron en 713 (gracias á la dos los empleos; paro esto no se consigue poniendo los destinos á favor traición de estos dos…</t>
  </si>
  <si>
    <t>…ue residen en Cádiz; y para que no re llanueva. D, Santiago María Melgarejo. D. Diego Navarro. caiga el nombramiento en los que tengan á su cargo defensas incompa Partido de Huete D. Julián de- la Calle, D. Juan Manuel Pió Arias. tibles con la del que los nombre, se entregará á cada reo una Juta de En Valencia. Peníscola D. Antonio Aiguals, vecino y del co los defensores que respecto de él no se hallen en este caso. Sí algún reo mercio de Vinaro…</t>
  </si>
  <si>
    <t>…por sistemas representativos, y ellas no están tan expuestas á tener guerras, porque ANUNCIOS. no se gobiernan por el capricho ó ambición de un Monarca; á mas Por providencia de! Sr. D. Julián deSojo, ministro togado de la au que si se quiere que los estados mayores sean mas grandes, el resultado diencia de Castilla la Nueva , y juez de primera instancia de esta M. H. será que siendo mas ¡os distritos , serán mas los estados mayores y mas villa, re…</t>
  </si>
  <si>
    <t>Julianis, Josef</t>
  </si>
  <si>
    <t>Josef Julianis</t>
  </si>
  <si>
    <t>…las Cortes. guerra nacional, nombrada la perla, de porte de 40 cañones de á 18 , al Se mandaron repartir 400 egemplares, dirigidos por el ministro de mando del capitán de fragata D. Josef Julianis: va perfectamente equi Hacienda, de dos circulares pasadas por su ministerio; los 200 prime» pada , tripulada y provista: su tripulación ya pagada con cuatro meses de ros relativos al desestanco de la sal y tabaco, y los otros 200 para que anticipación; por m…</t>
  </si>
  <si>
    <t>Jun, Josef</t>
  </si>
  <si>
    <t>Josef Jun</t>
  </si>
  <si>
    <t>…la lista de los electores de partido. En Asturias. Partido del Infiesto D. Juan de Posada Arguelles, Parts g de Noviembre. &lt; hacendado; D. Juan Carvajal, cura párroco deVilloria; D. Josef Jun Las cartas de Carcasona-dicen entre otras cosas lo siguiente: co Pola, hacendado. Partido de Salas D. Toribio de Mones, cura da ” A pesar de los sucesos de Smirna, y de la situación política de Muros; D. Josef López Longoria, promotor fiscal; D. Josef Lorenza la…</t>
  </si>
  <si>
    <t>Junier, Bernarda</t>
  </si>
  <si>
    <t>Bernarda Junier</t>
  </si>
  <si>
    <t>…dando , según parecit, la contestación del Parlamento napo Panuco, en Nueva-España, hi¡o de D-Josef Antonio Ciga litano para ponerse en marcha. Por otra parte se aseguraba la y de Doña Bernarda Junier , naturales y vecinos que fue en Viena que concluidas que fueren las se-.iones del Con ron de la ciudad de Canaria; y habiéndose remitido el expe greso de Laibach , pasaría el Emperador de Rusia á Vene- diente al extinguido consejo de Indias,y puéstose á su d…</t>
  </si>
  <si>
    <t>Juris-jno</t>
  </si>
  <si>
    <t>…que propone la comisión al sistema que actualmente nos que se habia de nombrar habia de ser por las Cortes ó por el Gobier rige. Estamos en el caso de considerar á uno que ha sido señor Juris-jno ; y dijo que después de lo que ha manifestado el Sr. Martinez de la diccional y feudal de un pueblo , y á quien no le ha quedado sino el do Rosa sobre que debe ser por el Gobierno, debía añadir que estas medi minio: ¡debe conservarse á estos señores el derech…</t>
  </si>
  <si>
    <t>Justa</t>
  </si>
  <si>
    <t>…no imparcial la cópá de ja caridad cristiana i y, sin su cion.cpn ;el mismo encabezamiento, y su último,endoso á favorjetarse á ninguna regla particular.prepara'eftriunfó de la de Doña Justa: Fieman Sóto.; núm.. 249,975-, y otro también verdadera piedad. No se altera por pequeñas diferencias; qqe común encabezado en el referi.do;Sr. -marques,-sin endoso alguno, son de grande importarióia para los' partidos;, y esforzándo núm. ,305,481/para que en…</t>
  </si>
  <si>
    <t>Justicia, Mar de Gracia y</t>
  </si>
  <si>
    <t>Mar de Gracia y Justicia</t>
  </si>
  <si>
    <t>…conciliase el interes de dé la comisión.” - ■ . los pueblos ó particulares con Los de los propietarios. En el ministerio Después de una ligera discusión,' y de haberla apoyado el Sr. Mar de Gracia y Justicia hay ún expediente que puede servir mucho para te!; fue aprobada., 7 : ~ el asunto ,: y otro' en el de Hacienda i y ambos pueden ser útiles En seguida fueron (pidiendo la palabra los Sres. diputados , mani para•'formar uñ proyecro de ley, que concillando uno y…</t>
  </si>
  <si>
    <t>Justicia, Ministro de Gracia y</t>
  </si>
  <si>
    <t>Ministro de Gracia y Justicia</t>
  </si>
  <si>
    <t>…ra la uniformidad de las casas de moneda, comisión , habiéndose suspendido esta discusión. y darles la planta que mas convenga al mejor servicio del público. Se leyó un oficio del Sr. Ministro de Gracia y Justicia , en que n. La junta directiva será un centro de acción eri todos los ramos, con fecha de ayer del Escorial comunicaba á las Cortes que SS. MM. y y por consiguiente el conducto por donde las casas se correspondan con AA. continuaban sin novedad en su importan…</t>
  </si>
  <si>
    <t>Justo</t>
  </si>
  <si>
    <t>…imprimir. Bahatnonde, Sánchez' Salvador, Puigblanch.,: Casal, Alonso, López, Se leyó por segunda rez el proyecto de decreto sobré fomento de O-Daly, Lcdesma , Sotomayor , García ( D. Justo), Puchet, Fagoaagricultura, comercio, industria y artes, y se mandó imprimir. -ga, Micheleñá,-Ramos Arisps, Paíarea., Quintana, conde ;de Maulé, La comisión especial encargada de proponer medidas para-el pronto •Navarro (D. Andrés), Solanot, Quiroga, Cortazar…</t>
  </si>
  <si>
    <t>…Se concedió permiso para acercarse al Gobierno á tratar asuntos nas disputas teológicas; que conocen la necesidad de instruirse en nues particulares , á los Sres. Martel y García (D. Justo). tras ciencias de Europa, y que muy agenos de las preocupaciones esco El Sr. presidente dijo que mañana se continuaría la discusión sobre lásticas de la edad media, fundan, como nosotros, el sistema de los señoríos, y levantó ia sesión á las cuatro menos cua…</t>
  </si>
  <si>
    <t>…rovidencias para precaveré! contagio, y las cuales de los pueblos á Plasencia que á Caceres. iremos publicando para que el comercio se arregle ¿ellas, y los viajan El Sr. García ( D. Justo ) manifestó que era mas conveniente el tes no aleguen ignorancia. que fuese Cáceres la capital que no el que lo fuese Plasencia : y una de Jas razones en que se fundó fue el estar ya instalada alli la audiencia, CORTES EXTRAORDINARIAS DEL AÑO DE 1821. y asimi…</t>
  </si>
  <si>
    <t>…la parte .Sres. Gaseo, Cosío, García (D. Antonio), Paul, Navarro (D. Feli— 6 casilla de observaciones á unas netas sumarí.imas sobre la aptitud y • pe), Romero (D. Josef), García (D. Justo), Romero Alpuente, Za servicios de cada uno.” pata, Solana y Vadillo: otro del Sr. Solanot: otro del Sr. Díaz Mo- DeRealorden lo comunico á V. para su mas pronto y puntual .rales; y otro del Sr. GuerrafD. Basilio); y se levantó la sesiona las tres. cumplimien…</t>
  </si>
  <si>
    <t>…uan Rico, presbítero; D. Josef Llopis de los Dolores, pro En seguida se suprimió el art. 83, concebido en estos términos: pietario; D. Josef Sempere y Amat, propietario de Elda; y D. Justo ó Ningún diputado podrá ser removido de sus funciones sino por Sevilla, juez de primera instancia de Callosa,.;_En Murcia han sido causa gravísima aprobada por dos terceras partes de sus concolegas. elegidos D. Rainon Romero, médico; D. Diego Moreno, de Alcan…</t>
  </si>
  <si>
    <t>…ión pro corte; y en su consecuencia fueron nombrados los Sres. Hinojosa, Ta vincial y ayuntamiento constitucional de Vitoria, en ia que manifesta pia , Gallegos , Uraga , García f D. Justo ) , Puígblanch , Zubia , Tor ban su sentimiento con motivo de los desagradables sucesos de Cádiz, éeos , Guerra £D. Josef Basilio]), Milla, Montenegro, Villa , Berdug, que habían motivado el mensage del Rey á las Cortes, y la contesta-: Subercase, Azaola, Jan…</t>
  </si>
  <si>
    <t>…damente los sucesos de Lecumberri, Ramírez Cid, Ramos García , Espiga, Marlel, Caslrillo, í Cádiz , sino que invita ¿ tomar las medidas conducentes para asegurar Vallejo , García £D. Justo}, Govantes, Ramírez £D. Fernando}, Val.las libertades públicas y las prerogativas del Trono: ningún diputado . dés , Janer, Quintana, Dolaría, Torres, Moragues, Calderón, Vi desconoce la obligación que. tiene de asegurar estas dos garantías del toria, Silves,…</t>
  </si>
  <si>
    <t>Justo, Juan</t>
  </si>
  <si>
    <t>Juan Justo</t>
  </si>
  <si>
    <t>…e Estado se ha servido S. M. nombrar bló)» Quintana, Pajarea, Solano!, Camus y Herrera, Castrillo, Gar para los juzgados de primera instancia de la provincia de Aragón á los cía ( D. Juan Justo), Michelena, Ayeítarán-, López f’D. Patricio), sugetos siguientes: para el de Almunia á D -Jaime Marin : para el de Puget, Fagoaga , Ramos Arispe, Magariños, Lasanta, Moragues, Sil- Belchite á D. Tomas Bernardo Castillon: para el de Fraga á D Martin ves, Fond…</t>
  </si>
  <si>
    <t>Juta</t>
  </si>
  <si>
    <t>…omisión de Legislación se mandaron .pisar una exposición de ningún Príncipe, prelado , Estado ó Monarca extrangero tiene -ni debe ;D. Guillermo-Gorman, natural de Francia, otra de D. Juta:Mani tenéYñingun poder, jurisdicción, superioridad, preeminencia ó auto Alié, natutal.de Sicilia, y otra de D. Cristóbal Manne, natural■ de ridad 'eclesiástica ó espiritual en este reino. Asi Dios me asista: ” Francia , solicitando cartas &lt;fe ciudadanos. ■ :…</t>
  </si>
  <si>
    <t>Jv, Vicente Esteban Cabañez y D-</t>
  </si>
  <si>
    <t>Vicente Esteban Cabañez y D- Jv</t>
  </si>
  <si>
    <t>…echo atacado, y convencido con calde constitucional que fue de aquel.lugar en el año pasado, y deí ac razones incontrastables ,.pidió , según costumbre, que se cerrase ia dis tual D. Vicente Esteban Cabañez y D- Jv«n Francisco Aguado: cusión. EL general Foy, que tenia la palabra, dijo : Puesto que no que otra de D. -Matías Alvarez, vecino de Cañaveras, quejándose .de la sa réis oirme callaré, pues ya he dicho lo mas esencial para tranquilizar la tercera dei supremo trib…</t>
  </si>
  <si>
    <t>Keene</t>
  </si>
  <si>
    <t>…5© rs., valor de la libertad de dicho esclavo, solo cons perteneció al extinguido monasterio de Guadalupe, y hoy al Crédito tituyen la mitad de la cantidad que pagó en América el coronel Keene; público, para cuyo remate, que se ha de verificar con la expresa con y la otra mitad fue renunciada voluntariamente por este en favor de dición de admitir el pago en dinero metálico, está señalado el dia 15 JGssel en la comparecencia que se verificó ante el…</t>
  </si>
  <si>
    <t>Keene, Ricardo Reinal</t>
  </si>
  <si>
    <t>Ricardo Reinal Keene</t>
  </si>
  <si>
    <t>…abolición del tormento se debeá Luis xvr, A la comisión de Legislación se mandaron pasar una exposición cuyos beneficios queremos adorar y conservar.” (Aplausos á la derecha.) del coronel D. Ricardo Reinal Keene, natural de ios Estados- Unidos El orador bajó de la tribuna, y se levantó la sesión , quedando muy de América, pava.que se le libre-carta de ciudadano; y otra de distin -agitados los ánimos. tos ciudadanos de la Cotufa, manifestando los perjuicios que result…</t>
  </si>
  <si>
    <t>Keine, Ricardo Reynalt</t>
  </si>
  <si>
    <t>Ricardo Reynalt Keine</t>
  </si>
  <si>
    <t>…sado, imploró la autoridad judicial Ma nuel Kelsel , esclavo que era del coronel de los nacionales egércitos Relación de fincas que se están subastando de las aplicadas al Crédito D. Ricardo Reynalt Keine, bajo cuyo poder arrastraba el expresa público para pago de la deuda nacional, expresiva de las provincias do Kelsel la dura y penosa suerte de esclavo ; y á pesar de que este re donde se hallan, su situación, procedencia, cantidades en que han sido cibió en…</t>
  </si>
  <si>
    <t>King</t>
  </si>
  <si>
    <t>…esto, no Esta proposición fue adoptada sin que nadie se- opusiese á ella. solo digo que es un deber procurar que los hombres adquieran esta fa _En la sesión del día 14 prescntó'el lord King í la Cámara de los cultad , sino que seria una barbarie negársela cuando hay medios da Pares la exposición de un eclesiástico, quejándose de que el obispo de podérsela proporcionar.. Seria una barbarie, puesto que el hombre Peterboroug había negado las licenc…</t>
  </si>
  <si>
    <t>Klosíein</t>
  </si>
  <si>
    <t>…cfcí-oVabaü 3ó tras y se aprobó la primera. portes, á cUvo bordo iban 3400 hombres de infantería al rilando del Se pasó á hacer la elección de tres perSotias que faltaban para com general Klosíein,y 120 caballos de tren. En el mismo dia debían ocu pletar la lista de los 24 candidatos para consejeros de Estado, habiendo par todos los puntos militares, dándose otro destino á las tropas napo ocurrido alguna duda sobre si deberían sustituirse otros en luga…</t>
  </si>
  <si>
    <t>Kóbírapara</t>
  </si>
  <si>
    <t>…n general de Hacienda , de ningún destino, ni aun bajo el nombre de traslación, y acerca de una jando solo en su lugar-la base del sistema de Hacienda militar. adición que hizo el Sr. Kóbírapara que se generalizase la preposición, Quedó aprobado este artículo. y comprendiese á los militares. La comisión , habiendo examinado este Art. 137. «Será presidente de esta junta el vocal que tenga mayor asunto con Ja mayor detención, proponía á la deliberación…</t>
  </si>
  <si>
    <t>Kortun, Josef Martínez</t>
  </si>
  <si>
    <t>Josef Martínez Kortun</t>
  </si>
  <si>
    <t>…de milicia nacional voluntaria capitán de cazadores D. Cipriano Herirlo con toda su compañía, el te de Vitoria, dirigida por el gefe político de la misma , en solicitud de niente D. Josef Martínez Kortun, del batallón de Barinas , el de mili que se conserve independiente aquella provincia, ó que en el caso de cias D. lelesforo Gutiérrez, y el subieniente de Barinas D. Angel que se forme, una sola de las tres Vascongadas, se fije la residencia de Caula. Los en…</t>
  </si>
  <si>
    <t>Kreire</t>
  </si>
  <si>
    <t>…ión de los cónsules del coleeio de en el de paz luchando con los elementos en servicio del Estado. plateros de Barcelona , solicitando sigan las costumbres establecidas pa F.1 Sr. secretario Kreire presentó las bases de la Constitución y el ra los que abran tiendas de dicho arte. decreto para su publicación , todo lo cual fue leído, firmando el señor Las Cortes recibieron con agrado , y mandaron pasar á la comisión presidente y diputados dos originales;…</t>
  </si>
  <si>
    <t>Krigoso</t>
  </si>
  <si>
    <t>…s Cortes para el mes entrante, ’y salieron electos: para pre quía, -anunciaríamos una noticia que ignorábamos, y-tai vez publica sidente el Sr. Vaz-Velho: para y ice-presidente el Sr. Krigoso, y,para ríamos una verdad. Todas las probabilidades están en favor de la guerra; secretarios los Sres. Frejre, Queiroga, Felgueiras y Ribeixo Costa; con pero no se.puede asegurar que lahaya. El ministro ruso en Constantilo que.se levantó la sesión. v , ' nopl…</t>
  </si>
  <si>
    <t>Krug</t>
  </si>
  <si>
    <t>…estemos dispuestos á pasar en silencio las Francfort p de Agosto. tentativas que se están haciendo para que su.muerte sirva de tema para Un periódico aleman publica un escrito UeL profesor Krug, en Leip- calumniar atrozmente á los vivos. Mientras que podamos escribir de sick, dirigido á sus conciudadanos alemanes, en el que propone la nunciaremos ai público las pérfidas mentiras y los perversos rac.ocinios formación de asociaciones de beneficencia,…</t>
  </si>
  <si>
    <t>…iversi He aquí los documentos de los Sres. Krug y barón de Dalberg, re dades ; y asimismo á los que mantengan relaciones de esta especie lativos ¿'favorecer á los griegos : i.°del profesor Krug. entre diferentes universidades, ó se hagan reos de manejos que sa A mis compatriotas alemanes. dirijan á este ú otro cualquiera objeto. Y ademas se les autoriza para La causa de los griegos ha interesado1 de tal modo al pueblo ale dar noticia del hecho, si l…</t>
  </si>
  <si>
    <t>…primeros, ni que se anuncien suscripciones en favor suyo ; pero tampoco estas conjeturas. Se anuncia que la Servia está ya en plena y general ha permitido que lá convocatoria del profesor Krug salga á luz en los insurrección contra la Puerta , y que solo espera á que íes rusos rom periódicos; y se sospecha que á petición suya se ha prohibido en Leip pan la guerra para obrar de acuerdo con ellos. Desde el 26 hasta el go sick. Los prusianos están muy…</t>
  </si>
  <si>
    <t>Kunizin</t>
  </si>
  <si>
    <t>…asi ageruruiiado del Persile;, kusia. —7 (¿Teología* Un periódico ruso del año pasa y no hace alto eri la ateccacion del estilo de la Galatea, do incluía algunas observaciones del profesor Kunizin sobre ni en las trasposiciones violentas de las dos Dianas de Mon- los árboles petrificados que se hallan en varios parages de remayor y de Gil Polo, en la insulsez empalagosa de la Rusia, especialmente en los pantanos, y cuya destrucción Arcadia de Lope de V…</t>
  </si>
  <si>
    <t>L-yó, Calatrava</t>
  </si>
  <si>
    <t>Calatrava L-yó</t>
  </si>
  <si>
    <t>…detesta por sus vicios y conducta, querrán so dose respectivamente !o dispuesto en los arts. 44, 46 y 47.” breponerse al mismo para encadenarlo, y salir de la nada en que se ha El Sr. Calatrava L-yó las observaciones de la audiencia de la Coru llan sumergidos. Caiga pues el peso de la ley sobre ellos antes que sus lla , universidad de Alcalá, colegio de abogados, audiencia de Pam inicuas tramas tomen mas vigor. Resplandezca la vara de la justicia plona,…</t>
  </si>
  <si>
    <t>La-</t>
  </si>
  <si>
    <t>…última par Concluye el artículo ¡oiré la pebre amarilla. te del artículo so extendiera en estos téoninos: » siempre que la deEn cuanto a¡ método curaivo de la quina que propone el Sr. La- « nuncia fuese declarada falsa ó calumniosa , oyendo previamente al gasca en el artículo que citamos, nos parece igualmente un error su « denunciador; ” pero habiendo conrcstado el Sr. CMderon que asi 54 mamente perjudicial aconsejar un remedio proscrito por…</t>
  </si>
  <si>
    <t>La-Croix, Panfilo</t>
  </si>
  <si>
    <t>Panfilo La-Croix</t>
  </si>
  <si>
    <t>…sultó que napolitanos; la parte de su correspondencia de París, que el acusado ha tenían ánimo de matar á todos los blancos de las montañas, fueron bia hecho imprimir, relativa al general Panfilo La-Croix, era todavía condenados el uno á la horca, y los otros dos á extrañamiento. Se pe mas reprensible, porque según aquella correspondencia, este modelo dirá á la Cámara la libertad de la müger que descubrió la conjuración. de fidelidad no habia tenido otros méri…</t>
  </si>
  <si>
    <t>Labarca, Juan Josef</t>
  </si>
  <si>
    <t>Juan Josef Labarca</t>
  </si>
  <si>
    <t>…á unanimidad de votos la propuesta dé Mr. Hütchuison. tema constitucional.” La comisión de Poderes presentó su dictamen acerca de los presen Madrid Miércoles ny de Mayo. tados por D. Juan Josef Labarca, diputado electo por la provincia de SS. MM. y AA. continúan sin novedad en su importante salud. Panamá; y habiéndolos examinado con la mayor escrupulosidad , opi naba debían aprobarse; y fueron aprobados. CORTES. La de Legislación presentó su dictamen acerca…</t>
  </si>
  <si>
    <t>Labat, Francisco</t>
  </si>
  <si>
    <t>Francisco Labat</t>
  </si>
  <si>
    <t>…oder absoluto del trono. Asi habla aquel escritor. D. Francisco López Omana. D. Lorenzo Alzugaray, hermanos, ¡Feliz el que escarmienta en la desgracia agenal Corrijamos el funesto D. Francisco Labat, de Bilbao. de Pamplona. silencio de la Constitución española, y ampliemos el art. 28 que "sancio Sres. Gailo é hijo, de Santander. D. Manuel de Arambarri. namos aver con otro que le siga, concebido en estos términos: « Lo D. J. C. Bernales, de Londres. D. Ma…</t>
  </si>
  <si>
    <t>Laborde</t>
  </si>
  <si>
    <t>…dido ni se puede en cias de la ocupación de'la capital por una- parte de la división de van mi concepto. ’ ............... • 1 _ "• ■: guardia,.que habia voladó á su socorro, y el comandante Laborde vol ; Se ha dicho qué en cada una de estas provincias no se ha ’de por vió á la Guaira con el mismO'-cóñvoy y con 'mucha parte dé la' emigra aer una audiencia. Convengo en ello, y en' eí'1cálculo que ha1 hecho el ción-que1 volvía á sus'hogares y persuadida de…</t>
  </si>
  <si>
    <t>Laborde, Angel</t>
  </si>
  <si>
    <t>Angel Laborde</t>
  </si>
  <si>
    <t>…Ligera con., el convoy que debia conducir á los puertos de esos rei asistiendo d ios enfermos. Faltaba al opúsculo del inmortal Lafuente, nos , mandada’ por el capitán de fragata D. Angel Laborde. Sin verlo para merecer él apreciable título de cartilla, una descripción clara y su no se puede tener una idea ni de la multitud precipitada sobre aque cinta de la enfermedad , cuyo conocimiento ha ocasionado tantas dis-’ llas playas, llenas del mas espantos…</t>
  </si>
  <si>
    <t>…o obstante las familias que habían querido emigrar para Puerto- lo pidieren. Cabello con todos los intereses: y recomienda al referido Ituibe y alca- Se confirma. pitan de fragata D. Angel Laborde, comandante del apostadero de Puer 6.1 Las armas , municiones , fornituras y demas objetos militares , y to-Cabello, por el zeio y eficacia que acreditaron en tan críticos mo cuantas propiedades sean del Gobierno español se entregarán al de la mentos, merecie…</t>
  </si>
  <si>
    <t>Laborie, Juan</t>
  </si>
  <si>
    <t>Juan Laborie</t>
  </si>
  <si>
    <t>…mal de Al Secretario de la orden nacional y militar de S. Fernando digo claración de quedar enteramente desvanecidas las sospechas que recaye con esta fecha lo siguiente: * ron en D. Juan Laborie, comerciante francés , de ser introductor de , » El Rey se ha enterado de cuanto expuso la asamblea de la orden aquellos, y de haberse confabulado con algunos depositarios del reino nacional y militar de S. Fernando en su acordada de g de Agosto últi nombrado…</t>
  </si>
  <si>
    <t>Laborpueden</t>
  </si>
  <si>
    <t>…ones de’muchos millares de personas que les deben exclu podrá presentar bajo-esta forma en el espacio de ao dias,y las .Cortes sivamente sus vidas y los restos de sus fortunas. El comandante Laborpueden fijar las bases, teniendo también- presente lo que he dicho con de en el ramo que manda ha dado á Venezuela, que vió fén 1813 y relación á Ja denominación de las provincias. 1818y dos emigraciones en el mismo puerto' menos numerosas, menos El Sr. Alvarez Guer…</t>
  </si>
  <si>
    <t>Labrador, Bartolomé</t>
  </si>
  <si>
    <t>Bartolomé Labrador</t>
  </si>
  <si>
    <t>…, para que desempeñando dignamente el ilustre P arroquia de S. Ildefonso , 18 electores. cargo de que están revestidos, puedan dar á la patria padres amantísi- Don Antonio Baras , D. Bartolomé Labrador, D. Benito Corta mos y virtuosos, que funden en inmutables bases su presente y futura zar, D. Carlos González Llanos , D. Casimiro Martin, D. Francisco felicidad! ¡Con qué placer no se persuade el ciudadano de que es im Calzada, D. Francisco Villaescusa, D. G…</t>
  </si>
  <si>
    <t>Lacalle, Juan Bernardo de</t>
  </si>
  <si>
    <t>Juan Bernardo de Lacalle</t>
  </si>
  <si>
    <t>…á de dicha provincia. Se aprobaron. dicho señor. ' La de Legislación presentó su dictamen acerca de la solicitud de EL limo, cabildo de la Sta. iglesia ha nombrado en este dia al D. Juan Bernardo de Lacalle, en que manifestaba que los franceses le Dr. D. Pedro de Vera y Delgado, provisor y juez vicario general habian quemado los títulos de dos escribanías públicas, que concedie de este arzobispado, quien ha mandado no se exijan derechos en la se ron á sus antepa…</t>
  </si>
  <si>
    <t>Lacava, Ignacio</t>
  </si>
  <si>
    <t>Ignacio Lacava</t>
  </si>
  <si>
    <t>…dos eran unos obstáculos eternos-á .toda- innovación Util. Se ha reimpreso el curso de anatomía de D. Jaime Bonello - No obstante, en medio de aquellos siglos tenebrosos res y de D. Ignacio Lacava, que ha merecido y merece la mayor plandecieron algunos rayos de li.z en la c pital. Abelardo y aceptación , por ser la mas-completí en su especie hasta el dia: sus discípulos se distinguieron por su amor á las Ierras; y consta de 5 tomos en 4.0, encuadernado…</t>
  </si>
  <si>
    <t>Lace</t>
  </si>
  <si>
    <t>…la de Mompie , á 14 rs. en pasta y á 10 en rústica. anarquía. Esta predisposición del régimen monárquico constitucional Ciencia de la legislación: obra escrita en italiano por el caballero Lace que insensiblemente se formen dos partidos principales; uno á fa Cayetano Filangieri, nuevamente traducida por D. Juan Ribera en 6 vor del Gobierno, y otro á favor de sus contrarios. Cuando ambos tomos en S-° prolongado, y adornada con un hermoso retrato del…</t>
  </si>
  <si>
    <t>Laci</t>
  </si>
  <si>
    <t>…e se leyese una proposición luña en dicho intermedio , que por lo mismo intervino en la cansa que suya relativa á que las Cortes tomasen en consideración las exposicio se formó al general Laci y otros patriotas, muchos de los cuales su nes de varios fabricantes de salitres y pólvora , y que se pidiesen los an frieron un castigo, y sin embargo de la publicidad de lo referido, y tecedentes que tuviese el Gobierno sobre este asunto , puraque, pasándo…</t>
  </si>
  <si>
    <t>Laci, Luis de</t>
  </si>
  <si>
    <t>Luis de Laci</t>
  </si>
  <si>
    <t>…e la independencia. El pre Causa criminal formada en ia plaza de Barcelona contra el sidente John Hancock está sentado delante de una mesa heroe de la libertad española el Exento. Sr. D. Luis de Laci: colocada en un estrado algo mas elevado, y recibe el infor cuaderno t.° y 2.° Se hallarán en la librería de ILanz; en Bar me de ia comisión, compuesta de Franklin , Adams, Sher- celona en la de Sierra-, en Zaragoza en la de Sánchez, y en Cá snan, Jeffsrson y…</t>
  </si>
  <si>
    <t>…ústica. Otra en idem , núm. 27, en 4732 rs. Causa criminal formada en la plaza de Barcelona contra el héroe de Otra en ídem , riúm. 26 , en 5320 rs. la libertad española el Excmo. Sr. D. Luis de Laci. Cuaderno t.°, z.°, Otra , calle Manteras, núm. 55 , en 31,089 rs. 3-’ y 4-° Véndense á 4 rs. en la librería de Ranz; en Zaragoza eu la Otra en la plaza del Pan, núm. 1 , en 5970 rs. de Sánchez, y en Barcelona en la de Sierra. Otra,esquina de los Arbolarios ,…</t>
  </si>
  <si>
    <t>…gencia y demas Causa criminal'formada en la plaza de Barcelona contra el héroe de efectos convenientes al mas exacto cumplimiento de lo prevenido en la libertad española el Excmo. Sr. D. Luis de Laci: cuaderno jo y úl el inserto que precede. Madrid 3 de Mayo de 182X. timo de ia causa ; el cual concluye con la diligencia de haberse egecutado la sentencia dada por el consejo de guerra de oficiales generales, Circular del ministerio de la Guerra. que le cond…</t>
  </si>
  <si>
    <t>Lacran</t>
  </si>
  <si>
    <t>…l‘níinisterio de su cargo-; en-¡¡I concepto de-que nota. En la gaceta del 22, col. 3.1, lín. 37, donledice .D. Juan con .cita fecha lo.traslada ai'.Kc obispo ele la .diócesis y al gobernador Lacran, léase D. Juan Mac-Crukon, SUPLEMENTO</t>
  </si>
  <si>
    <t>Lacrar, Josef</t>
  </si>
  <si>
    <t>Josef Lacrar</t>
  </si>
  <si>
    <t>…y militar de esa de voluntarios milicianos, D. Andrés Prieto, capitán Je la milicia provincia. No cree el Rey que la milicia, cuyo pr'ncipa! in-i tuto es voluntaria de Barcelona, D. Josef Lacrar, capitán del primer batallón el mantener el orden y defender la Constitución, haya dado, un paso de la de Zaragoza y otros individuos , ratificando el primero, á nom tan opuesto i ambos fines , y es de reze'ar que se haya abusarlo de hi bre de todos ;-!.i pro…</t>
  </si>
  <si>
    <t>Lacron, Juan</t>
  </si>
  <si>
    <t>Juan Lacron</t>
  </si>
  <si>
    <t>…. comisión*lo verificaría muy gustosa. ‘lá comrsioñ de Guerra presentó su dictamen acerca de la solicitud .. En-este.estado salió la diputación nombrada para presentar á S. M'. de D. Juan Lacron para que se deciaren satisfactorios los servicios que el decreto con carácter de ley sobre juicios de conciliación. ha hecho á la patria. La comisión habiendo examinado dicha solici Continuóse la discusión pendiente , y el Sr. Cipero dijo que su opi tud, y el…</t>
  </si>
  <si>
    <t>Lacy, Luis de</t>
  </si>
  <si>
    <t>Luis de Lacy</t>
  </si>
  <si>
    <t>…o muchos vacíos que llenar, no pocos errores que corre t Causa criminal formada en Barcelona contra el héroe de la gir, y bastantes dudas que aclarar. libertad española el Exento. Sr. D. Luis de Lacy: cuaderno 3.° Se vende en la librería de Ranz; en Barcelona en lá de Sierra; Penetrado nuestro sabio crítico de la importancia del en Zaragoza en la de Sánchez , y en Cádiz en Ja de D. Diegoasunto, asi como de Ja obligación que contraía como hisio- Zaragoza,…</t>
  </si>
  <si>
    <t>Lafayette</t>
  </si>
  <si>
    <t>…nsecuencias muy graves, aun suponiendo que pue En la sesión de este dia se continuó la discusión del presupuesto de da mantenerse el poder de los turcos. gastos de este año , y el general Lafayette prenunció un discurso vehe Idem 38. mente , del cual extractaremos aquellos pasages que parezcan mas dig De algunos dias á esta parte circula sin fundamento alguno la no nos de la atención del público. ticia de que los turcos han insultado al barón de Strogon…</t>
  </si>
  <si>
    <t>…pectadora La Cámara de los Diputados de Francia continúa en sus debates; de la solemnidad. No arredró á la Reina esta negativa. Llegado el dia y en una de sus sesrones presentó el general Lafayette una petición fir de la coronación, cuya fiesta duró desde las diez de la mañana hasta la mada por el general Gourgaud, el coronel Falvier y otros muchos ciu una , se presentó S. M. á las dos- puertas de Westminster, y en ambas dadanos con el objeto de que se…</t>
  </si>
  <si>
    <t>Lafoyete</t>
  </si>
  <si>
    <t>…la enseñanza mutua, que la comisión no ha CAMARA DE IOS DIPUTADOS. llaba conforme con el espíritu de las instituciones actuales. El orador Continúa el discurso pronunciado por el general Lafoyete en la sesión del 4. ponderó con energía los beneficios de este género de enseñanza , di No son estas, señores, las doctrinas francesas, prosiguió Mr. de ciendo que después de la imprenta era el mayor paso que se había lafayette; y no hablo solamente de mi inc…</t>
  </si>
  <si>
    <t>Lafré, Manuél</t>
  </si>
  <si>
    <t>Manuél Lafré</t>
  </si>
  <si>
    <t>…s. s-.-; atreven á pasar el Danubio....... ‘ Art. 6." - » Á los máríscáles de campo expresados eñ este decreto,y En Constantinopla están en una continua alarma. Los asesinatos '■l brigadier D. Manuél Lafré,: sé les comunicará la resolución de isa continúan ; y si llegase alguna noticia funesta para los turcos, es indu Cortes directamente, cotí ófici&amp;s del Sr. presidente ,.refrendados f&gt;or do* dable que correrian arroyos de sangre cristiana. *ecretarios, y sella…</t>
  </si>
  <si>
    <t>Lafuente</t>
  </si>
  <si>
    <t>…n__ Una porción de terreno en la cipales librerías del reino. tierra de la Cuesta de Arriba , en venta 55 rs., y en renta medio copin. Análisis crítico del extracto de la obra del doctor Lafuente sobre .__Otra tierra llamada la Pega, tiene de largo 92 varas y ancho 14 , en fiebre amarilla, publicado por D. Mariano Lagasca , en el que se de venta 2Ó4 rs., y en renta 2 copínes.__Medio dia de bueyes , de prado, muestra el carácter esencialmente inflamato…</t>
  </si>
  <si>
    <t>Lafuente, Juan Manuel</t>
  </si>
  <si>
    <t>Juan Manuel Lafuente</t>
  </si>
  <si>
    <t>…Cin llos pueblos , cuidaría de sus intereses. co Villas á D. Mariano Beaumont y Bretón; y para la del de CantaEl Sr. Clemencin dijo: La comisión há oído lo que ha dicho el vieja á D. Juan Manuel Lafuente. Sr. Banquéri sobre la aprobación de las bases, y no puede menos de En la provincia de Extremadura: para el juzgado de Valencia de poner en consideración del Congreso qüe ya tiene manifestadas en el Alcántara'á D. Josef Ramos Calderón ; y en la provincia de l…</t>
  </si>
  <si>
    <t>Lafuente, Mariano</t>
  </si>
  <si>
    <t>Mariano Lafuente</t>
  </si>
  <si>
    <t>…e en libros proporcionados, en los cuales sen Ramón ¿erra y Orio, en Tarragona D. Ramón Feliu , en Tarazona tarán el capital líquido que haya resultado de las liquidaciones, y ios D. Mariano Lafuente ,'en'Teruel D Isidro Capilla, en Toledo Don pagos que hiciesen por el rédito anual del 3 por xoo. Luciano de Casas, en Tortosa D. Josef Antonio Cid, en Tuy D. Si 15. Los comisionados especiales de obispados exigirán de los partí món Vázquez Freire, en Tudela…</t>
  </si>
  <si>
    <t>Lafuente, Tadeo</t>
  </si>
  <si>
    <t>Tadeo Lafuente</t>
  </si>
  <si>
    <t>…one. llón de Hostalrich, y los habitantes de la capital se creían en plena ~ ’ ANUNCIOS. seguridad, asi por la pequenez de las fuerzas enemigas, como por la Extracto de la obra de D. Tadeo Lafuente sobre la fiebre amarilla, suficiencia de las nuestras destinadas á contenerlo y destruirlo. Sin em hecho por el mismo: se expone en él el método preservativo y curativo bargo, asi "el batallón de Hostalrich como el de Valencia fueron in mas eficaz de cuantos…</t>
  </si>
  <si>
    <t>Lagasca</t>
  </si>
  <si>
    <t>…ad, orden1 putas, y su propagación contagiosa un sinnúmero de víctimas, y este va y velocidad del embarque. El comandante de la plaza el teniente coro cío ha procurado llenarlo el Sr. Lagasca‘ añadiendo él carácter que dis nel D. León de Iturbe y el referido comandante general Laborde hi tingue constantemente la fiebre amarilla de las restantes dolencias, y cieron el milagro de embarcaren menos de 24 horas y en una rada pe ademas cuatro bosquejos…</t>
  </si>
  <si>
    <t>…y Comercio sobre la'extracción de géneros para las Califor guiente carta de D. Manuel Hurtado de Mendoza sobre las observacio nias , y luego el Código criminal. nes hechas por el Sr. Lagasca , y dice asi; Se levantó la sesión á las tres. „ En el número 309 del 30 dé Octubre insertan vds. el extracto dtf una carta del Sr. D. Mariano Lagasca , en la que este profesor supone ARTICULO DE OFICIO. la propiedad de contagiosa á Ja fiebre amarilla , y en…</t>
  </si>
  <si>
    <t>…de mucha inmediatamente que sentían alguna indisposición, luese de la clase que consideración , y creo que es un trabajo qúe la comisión debería haber he fuese; ¡quién ha dicho al Sr. Lagasca que aquellos individuos iban á dió , como también no haber omitido algunos otros delitos que influyen padecer ia fiebre amarilla? ¡por ventura en tiempo de esta enfermedad mucho en la corrupción de las costumbres. Asimismo no puedo me no se padecen otras ? La…</t>
  </si>
  <si>
    <t>Lagásca, Mariano</t>
  </si>
  <si>
    <t>Mariano Lagásca</t>
  </si>
  <si>
    <t>…yugó, y recibió .sóbrelas producciones naturales espontáneas ó connaturalizadas en los de ella la inspiración del talento; pero no pudiendo llegar al mismo dominios españoles: por D. Mariano Lagásca , núm. 1: un cuaderno de grado de sublimidad , imitó á los poetas, á los oradores, á los historia siete pliegos de impresión, á 6 rs. rústica. El título de la obra y.;si: dores y i los artistas de la Grecia, sin ppder llegar á igualarlos, como nombre que tan…</t>
  </si>
  <si>
    <t>Lagasca, Mariano</t>
  </si>
  <si>
    <t>Mariano Lagasca</t>
  </si>
  <si>
    <t>…e en este caso se asegure el acierto Desde el día 4 del corriente continuará la enseñanza de la botánica I de la resolución, todos los diputados permanecerán en pie ó sentados, el profesor D. Mariano Lagasca á las 8 de la mañana. «egun el voto que hubieren dado, ¿nieniras se hace el recuento preve nido en el artículo anterior, y el secretario publique la votación. Ar ANUNCIOS. | tículo 117. Comenzado este, ningún diputado, podrá salir del salón , ni entrar el que…</t>
  </si>
  <si>
    <t>…Valencia fueron in mas eficaz de cuantos se han publicado hasta el día. Lo ilustra con no comprensiblemente batidos , y la capital se encontró con el enemigo en tas y lo adiciona D. Mariano Lagasca, médico, individuo de diferen aus inmediaciones, cuándo no hubo mas tiempo que el de huir con sola tes academias y sociedades nacionales y extrangeras. Este opúsculo e* la ropa puesta al. puerto de la Guaira y al interior de la provincia. Mi una cartilla que…</t>
  </si>
  <si>
    <t>…io copin. Análisis crítico del extracto de la obra del doctor Lafuente sobre .__Otra tierra llamada la Pega, tiene de largo 92 varas y ancho 14 , en fiebre amarilla, publicado por D. Mariano Lagasca , en el que se de venta 2Ó4 rs., y en renta 2 copínes.__Medio dia de bueyes , de prado, muestra el carácter esencialmente inflamatorio de dicha enfermedad, en- el dé la Vega', eh venta 700 rs. , y en renta 5 copines__ El prado y lo perjudicial del tratamiento…</t>
  </si>
  <si>
    <t>…pero no nos ha sido posible reunir la Arenas , D. Juan Ailonca, D. Juan Lasaña , D. Manuel Flores Calde lista completa de todos los compromisarios. Esperamos que tanto este rón , D. Mariano Lagasca, el marques de Pontejos, D. Pedro Castelló, punto como otros vayan siempre mejorándose , y que en adelante cui D. Pedro Gossens, D. Pedro Peironceli, D. Pedro Serrano y D. Ra dará la autoridad competente de publicar bo solamente esta lista, sino món Trujillo.</t>
  </si>
  <si>
    <t>…o el Código criminal. nes hechas por el Sr. Lagasca , y dice asi; Se levantó la sesión á las tres. „ En el número 309 del 30 dé Octubre insertan vds. el extracto dtf una carta del Sr. D. Mariano Lagasca , en la que este profesor supone ARTICULO DE OFICIO. la propiedad de contagiosa á Ja fiebre amarilla , y en virtud de esta su El Sr. secretario del Despacho de Gracia y Justicia dice ál Sr.-secre posición escribe en un tono bastante decisivo y reprensible á o…</t>
  </si>
  <si>
    <t>Lago, Josef de</t>
  </si>
  <si>
    <t>Josef de Lago</t>
  </si>
  <si>
    <t>…ara causar un escarmiento saludable, en los mismos pueblos donde hu graduado D. Pedio Miquelcz Castrólo, al primer ayudante y teniente bieren cometido el delito.” coronel graduado D. Josef de Lago, y al capitán con grado de teniente ' til Sr. Calatrava dijo que el tribunal de Ordenes opinaba que este cojonelD. Fiancisco Amores. artículo pertenecía al código de procedimientos; pero que la comisión opinaba al contrario. Se aprobó el artículo. Habiéndose…</t>
  </si>
  <si>
    <t>Lagraba</t>
  </si>
  <si>
    <t>…ndene palabra, y alabo vuestra precaución, porque de lo contrario seriáis bien á ninguno al servicio militar. pronto vencidos cual otro Anteo por ese Hércules popular de la opi El Sr. Lagraba presentó varios egemplares de una obra que ha pu nión pública. ( Se continuará.) blicado D. Agustín N. sobre ciencias naturales y agricultura, que se mandó pasar á esta comisión después de haberla recibido con agrado. NOTICIAS DE ESPAÑA. El Sr. Bernabeu dijo…</t>
  </si>
  <si>
    <t>…o. do , y ha satisfecho ya. En seguida se aprobaron los art. 6.~, 7.% 8.°, 9.° y 10. Art. 13. » En el caso contrario de descender á laclase inferior, con Se leyó) el art. 11, y el Sr. Lagraba manifestó que no encontraba respecto á la industria ó pueblo de domicilio, al extender el nuevo razón para que ei primer plazo del pago de la contribución de patentes titulo de clase inferior por cualquiera de los dos respectos ó por ambos se verificase en i.…</t>
  </si>
  <si>
    <t>…l correo mentar los pretendientes, y hacer mas apetecibles los destinos. La made la correspondencia de oficio.” gec de un empleado que sabe que aunque muera su marido tiene con El Sr. Lagraba manifestó que teniendo estos empleados un sueldo que subsistir, no trata de economizar, y gasta todo lo que tiene, lo regular no debían tener franca la correspondencia, por ser esta una pre que no sucede con las mugeres de los labradores. rogativa que daba ma…</t>
  </si>
  <si>
    <t>Lagrava</t>
  </si>
  <si>
    <t>…s presenten á fin de año al Gefe político testimonio de las escrituras que ante él'se hayan otorgado. Habiéndose omitido incluir en la Guia de forasteros del año pre En seguida el Sr. Lagrava leyó una representación de varios pro sente al Exento. Sr. D. Josef de Imaz, á quien S. M. se dignó conceder pietarios de Zaragoza , que se quejan de los impuestos señalados para los honores del Consejo de Estado por decreto de 3 de Noviembre de 1819, gastos…</t>
  </si>
  <si>
    <t>…A la comisión de Política se mandó pasar algunos trabajos que sp- de aumentar su comercio y agricultura. bre policía, y seguridad de la Nación remitió el Sr. secretario, de ¡a El Sr. Lagrava presentó una exposición del ayuntamiento constitu Gobernación de la Península, á fin de que los examinase dicha comi cional de Caspe (en Aragón '), para que se le conceda un edificio que sión, especial. .. .. ......... antes pertenecía á la orden de S. Juan d…</t>
  </si>
  <si>
    <t>…que nombrados, uno por lo respectivo á las ciencias eclesiásticas -, otro por nombrare la dirección.” Jás políticas; otro porlas ciencias médicas, y otro por las filosóficas y El Sr. Lagrava dijo : Me parece que con este artículo vamos.á recar exactas; debiendo ser elegidos los otros tres entre las personas de mas gar bastante al erario-publico , porque s: se aprueba, no hebra, ningún ce* -..s,rui.e&gt;íwn. As.indino propuso que ... — c. no...b,..uO…</t>
  </si>
  <si>
    <t>…ública 2.503,157. Fomenta de agricultura, todo lo posible esta cantidad. artes y comercio 2.929,673. Beneficencia y salud pública 10 800,540. Con respecto á lo que había dicho..el Sr. Lagrava hizo presente que Correos 13.656,665, Caminos 19 9709. Canales y división del territo era mucho mas útil que los ayuntamientos cuidaren de esto , que no que rio español 6.342,074. Total 68.720,155. el Gobierno lo hiciera, en razón de que las autoridades local…</t>
  </si>
  <si>
    <t>…contribuyan con igualdad á cu (5-j votos contra 42. brir las cargas del Estado, y que todos reciban con igualdad los bene Tercera provincia Araran. ficios de la sociedad. ■ . , El Sr. Lagrava dijo: No me opongo á la división de esta provincia; Después de una ligera discusión se aprobó la división de esta pro i lo que me opongo es á que tenga el nombre de Aragón. Ño puedo vincia con el nombre de la^capital que se eligiese: menos de alabar el zelo c…</t>
  </si>
  <si>
    <t>…cubrir sus atenciones es de la mayor importancia. En por ofendidos de una expresión tan sencilla como esta. mi concepto no hay necesidad; en primer lugar porque el tirjicit que El Sr. Lagrava: O yo me equivoco mucho, ó Chinchilla se presen resulta para completar la fuerza armada es muy pequeño, y puede cu ta en esta discusión con armas muy desiguales á las de Albacete. Ni brirse pronto habiendo actividad; en segundo porque las circunstancias que C…</t>
  </si>
  <si>
    <t>…salud pública de Albacete perdió mucho , y en Chinchilla que habia tenido presente para señalar las capitales, sino de lo m.sino siempre se ha gozado de la mas perfecta salud. El Sr. Lagrava ha dicho que habia alegado con respecto á otras capitales, como Castellón de ia que por medio de un magnífico canal que se ha hecho en Albacete ha Piaña, Guadatajara y otras: que en cuanto á Generalidad debía tenerse desaparecido la insalubridad que habia ant…</t>
  </si>
  <si>
    <t>…manifestado mi opinión solo conmanera en que juzga no se ha ofendido en nadaá los derechos de las el deseo del acierto. , _ ■ diputaciones provinciales y de los ayuntamientos. El Sr. Lagrava hizo varias observaciones acerca de los poderosos JLa Consttucion en las atribuciones de los ayuntamientos dice : «Es motivos que habian impelido á la comisión para no perdonar medio al-, tará á cargo de los ayuntamientos: 1° La policía de -salubridad y:co- g…</t>
  </si>
  <si>
    <t>…. Villa que Art. 18. », De todos ¡os informes mencionados hará el Gobierna no tenia ningún inconveniente. tino general , en que con toda claridad y distinción se coordinen y •’ El Sr. Lagrava expuso que supuesto que la comisión habia arfmi-i presenten ios resultados propuestos por l?s diputaciones, provincialesy tido por base para el señalamiento de sueldos la población ds cada las razones en que los fundan , y ¡o remitirá con todos los antecedent…</t>
  </si>
  <si>
    <t>…s entre unas y otras autoridades: 4.a y que asi se lograría una grande economía en los gastos. En cuanto á la primera debo manifestar, que no mos de beneficencia y de sanidad.” El Sr. Lagrava, como de la comisión, dijo: Las comisiones de Be sé que ninguno que haya leido la cuarta parte del código sanitario, pue neficencia y de Salud pública han tomado en particular consideración da decir que hayan de estar en tiempo de salud ociosas las juntas de…</t>
  </si>
  <si>
    <t>…mo.zz Antonio Bux, cabo 2.“ del mis cencia y Salud pública sobre la reunión ó separación de ambos ramos. mo. z= Roque Ruiz , soldado del tercer batallón zzF.l miliciano del ter El Sr. Lagrava deshizo algunas equ-lvccacior.es , que dijo haber pa cer batallón Felipe Sierra, zz El teniente del 4-° batallón Josef Lo- decido el Sr. Martel en la sesión anterior. prz.zz Manuel Garcés , miliciano del tercer batalIon.zz Alberto Ramo, El Sr. Alaman dijo: Mi…</t>
  </si>
  <si>
    <t>…o ¿ los Sres. diputados au yese pagarles ios lotes en medios luises resellados, debiendo sufrir la mentes. pérdida que he indicado; y resultaría que no pudiendo estos quejarse, El Sr. Lagrava leyó las adiciones del plan de beneficencia, presen porque echaban á este juego con conocimiento de lo que iba á suceder; tadas por la comisión de este ramo, y se acordó que se imprimiesen, con se remediaba este mal , sin que lo sufrime ni la nación ni los te…</t>
  </si>
  <si>
    <t>…anera acaso mas conveniente: se le quita también la facultad de em mamente porque es anticonstitucional. plear en ellos á personas compasivas y virtuosas, en perjuicio, como he El Sr. Lagrava , después de haber manifestado con mayor extensión dicho, de los mismos establecimientos. Asi como deseo que se respete las ideas propuestas por el Sr. Martel, y haber añadido que la junta la libertad de la Nación, también deseo que se respete la del Gobierno…</t>
  </si>
  <si>
    <t>…casos que habia hecho presentes S. S- ir en aumento en cuanto al sobornado, y no en cuanto al "sobornador. El Sr. Traver dijo que el Sr. Calatrava no había satisfecho aun á la El Sr. Lagrava dijo que habia pedido la palabra para hablan con objeción del Sr. Casaseca , que era la misma que proponía el Ateneo tra la segunda parte , sobre la cual pensaba hacer observaciones que ya español, aunque con mayor extensión. habian propuesto los Sres. preopi…</t>
  </si>
  <si>
    <t>…cia" "de que este iba á hacer un homicidio matase á un hombre en eí sión habia tenido para no conformarse. paseo; por cuyo delito no era justo que se castigase al que le acompa El Sr. Lagrava: Según este artículo se castiga al que aconseja la ñaba , puesto que no tenia noticia de que iba á cometerlo. Para salvar egecucion de un delito según lo mayor ó menor que es el que el egecuesto la comisión ha puesto la segunda cláusula, que dice le ayudan de…</t>
  </si>
  <si>
    <t>…, quedó aprobado el artículo. misión propone ademas que esta amistad deba ser conocida en el pue Se suspendió esta discusión; y se levantó la sesión á las tres. blo respectivo. El Sr. Lagrava: En la segunda parte de este artículo aparece que los ARTICULO DE OFICIO. Sres. de la comisión han respetado la amistad y amor; pero no tanto como yo deseo, porque si el artículo queda asi, en el hecho de recibir Circular del ministerio de la Guerra. s otro d…</t>
  </si>
  <si>
    <t>Laguna, Gregorio</t>
  </si>
  <si>
    <t>Gregorio Laguna</t>
  </si>
  <si>
    <t>…y practicar ciertos careos. 67 D. Ramón Valiadolid y D. Manuel Mayoral, presos en 24 de £n la provincia de Toledo , procedentes de los monasterios suprimidos Febrero, y el Excmo. Sr. D. Gregorio Laguna en 4 de Abril, todos de gtrCaimas de Guisando, en S. Pedro de ia Mata y del Escorial en por correspondencias para destruir el sistema constitucional. Se halla Vargas , para cuyo primer remate , que se ha de verificar en dicha esta causa en sumario, y se están…</t>
  </si>
  <si>
    <t>Lahirigoyen</t>
  </si>
  <si>
    <t>…n Tomas de Iturralde, de Uno al alumno mas instruido en gramática castellana de-todas las mendi, de S. Sebastian. Pamplona. escuelas de esta ciudad. D. Domingo Hilario de Ibaceta, Sr. Lahirigoyen , de Bayona. Otro al mas instruido en aritmética. de Bilbao. D. Manuel Villaroel, de Badajoz. Otro al que tenga mas conocimientos del catecismo político. Doña Heuduvigis Sorarte, de San D. Manuel Angel Vidarte, de Otros tres á las alumnas mas instruidas en gr…</t>
  </si>
  <si>
    <t>Laia, Gregorio Joscf Gaicía</t>
  </si>
  <si>
    <t>Gregorio Joscf Gaicía Laia</t>
  </si>
  <si>
    <t>…de infantería de línea tendrá por insignia ma: para e¡ de Palmas a D. Juan Rodríguez Botas; para el de Tclde un león dorado de 10 pulgadas de iargo y altura correspondiente, el á D. Gregorio Joscf Gaicía Laia; para eí de Guia á D. Manuel Ro que estará colocado sobre un pedestal , sostenido por una bomba, que bledo y Aivarez; para el de Laguna á D.. Josef Antonio Morales ; pa apoyará en un zócalo proporcionado, todo en la forma que manifiesta ra el de Ürotava á D.…</t>
  </si>
  <si>
    <t>Laiiave</t>
  </si>
  <si>
    <t>…o esta proposición , porque en. ciendo varias reflexiones acerca de ios delitos de contrabando é-_c. el código penal no se habían señalado las penas para esta clase de delitos. Ei Sr. Laiiave (D. Pablo) hizo varias reflexiones para manifestar El Sr. conde de Toreno opinó que seria muy conveniente que para que era vicioso el principio de que partía la copaision para presentar este objeto se reuniese la comisión de Código penal con las de Hacien el…</t>
  </si>
  <si>
    <t>LaIIave</t>
  </si>
  <si>
    <t>…le del delito, si los enemigos en lugar de atacar por tal parte la hubiesen alac.do sino de la tentativa. por tal otra, seguramente que la hubieran tomado , pi rque aquel íh,ri El Sr. LaIIave opinó que en la primera parte del artículo drbi» co tiene tales y tales defectos, y absolutamente no hihi» memos pira omitirse la palabra espontáneamente , y poner en su lugar libre y volun contrarestar-, este amigo se aprovecha de la noticia , da parte al m…</t>
  </si>
  <si>
    <t>Lailave</t>
  </si>
  <si>
    <t>…nacionales con el El Sr. Murfi dijo que las comisiones habian tenido á la vista mu fomento de nuestra marina. chas representaciones que pedían lo mismo que se proponía en al ar El Sr. Lailave (jD. Pab'o) dijo que no se oponía directamente á es tículo. * ' te artículo, ni tampoco ¡o apoyaba, sino que queria manifestar que de El Sr. Sancho dijo que regularmente no se quejan de las. ¡eres sino bía adm tirso el sistema prohibitivo hasta cierto punto,…</t>
  </si>
  <si>
    <t>Lainez, Mariana Joaquina Castro de</t>
  </si>
  <si>
    <t>Mariana Joaquina Castro de Lainez</t>
  </si>
  <si>
    <t>…o mas duro, cuanto que se le hacia Fontaine, natural dé Francia, solicitando carta de ciudadano, y otra responsable en otro artículo-sí no designaba á la autoridad civil Jas ex de Doña Mariana Joaquina Castro de Lainez, viuda, vecina de Cala presiones que hubiese observado y mandado anotar; por lo tanto opi horra , para que se le señale la viudedad que le corresponde sobre los naba debia decirse : » el presidente podrá interrumpirle en el acto.” mayorazgos de su marido. El…</t>
  </si>
  <si>
    <t>Lalfave</t>
  </si>
  <si>
    <t>…en sus atribuciones de los capitanes de navio; pero que sin embargo inapiicacion'ser-i despedido del servicio.” de esto podía muy bien suprimirse esta clase lo mismo en el egér Ei Sr. Lalfave ( D. l'ablo) dijo que se oponía á que se dijese en cito que en la marina: que debia tenerse presente que los brigadieres tote arfículo que los guardias' marinas de mala conducta ó inaplicados de marina son muy pocos, y casi todos de avanzada edad, porque hace…</t>
  </si>
  <si>
    <t>Laliave</t>
  </si>
  <si>
    <t>…efinición, creo que por lo mismo es nición en términos mas claros la ccmision las adoptaría. muy apreciable. El Sr Cortés dijo que la desconfianza con que-hablaba en éste asun .El Sr. Laliave ( D. Pablo): A mí me parece que estamos en una to tan ageno de su ministerio no podia. menos de arredrarle, y de con academia mas bien que en un Congreso ; empieza la comisión , y dice: siguiente limitaría su discurso á hacer algunas ligeras observaciones: »…</t>
  </si>
  <si>
    <t>Lallave</t>
  </si>
  <si>
    <t>…í,y á nombre de 25 habitan Aprobada el acta.del dia anterior,-pidió el Sr. Maniau se le per tes de la provincia de Guipúzcoa, sobre que se les ponga en posesión, mitiese á él y al Sr. Lallave acercarse al Gobierno á-.tratan asuntos de de las fincas de obras pías, con que se les'pagó la contrata que hicie interes; y el Sr. .presidente contestó que podían hacerlo sin pedir per ron para atender al suministro de raciones al-namcroso egércitc» francés.…</t>
  </si>
  <si>
    <t>…iciendo „ será uno de los Trágala. primeros objetos.” Asi se aprobó. Se pasaron á la misma comisión tres expedientes, en que se pedia No se admitió á discusión esta indicación del Sr. Lallave (D. Pa hubiese lugar á la formación de causa d diferentes autoridades por ha blo) : „En el artículo 68, después de la expresión á las diez, en punto ber infringido la Constitución. de la mañana, se añadirá si hubiere el número suficiente de diputados Las Cort…</t>
  </si>
  <si>
    <t>…manifestando los recursos con que cuenta para el pago de las escuelas de naba seria mas ventajoso establecerlas en Córdoba ó en. las inmediacio primera educación. nes de Ecija. El Sr. Lallave manifestó que también opinaba que Aguas- A la primera de Legislación una consulta hecha á S. M. por la sa^ calientes no era punto cómodo para estas escuelas por el temperamento la 3.a de la audiencia de Valencia acerca de si los reos militares des del terreno…</t>
  </si>
  <si>
    <t>…rt. 26. » Habrá asimismo en cada subdelegaron un depositario po limitado ó por vida.” Aprobado. con sujeción al tesorero de la provincia.” Aprobado. En virtud de la indicación del Sr. Lallave al art. 28, quedaba con Art. 27. » La residencia de estos subdelegados y depositarios será cebido en estos términos: » Las rentas y pensiones que en virtud de es en el pueblo que señale el Gobierno; quien cuidará de que estos em tipulaciones hayan de pagarse…</t>
  </si>
  <si>
    <t>…ación á ateun solicitando se les concedan arbitrios para atender á sus gastos munici particular 6 comunidad.” pales; la comisión arendiendo á Ja urgencia de muchos de dichos ex El Sr. Lallave (D. Pablo) se opuso á este artículo: i.° porque pedientes , y que le e:.; imposible el presentar su dictamen sobre cada era un ataque directo á la propiedad: 2,'J porque la palabra ocupado era uno de ellos en ei breve tiempo que (alta para concluir ia present…</t>
  </si>
  <si>
    <t>…ió, y contestó con las expresiones mas tiernas y satisfactorias. junta preparatoria debia api obar el dictamen. Este paseo enterneció á todo el pueblo , y produjo ios mayores ' El Sr. Lallave ( D. Pablo ) hizo presente que en las pretogatíVas afectos patrióticos. Luego el presidente hizo subir á todos, y al mo que competían al Rey no había encontrado ninguna reiativa á que pu mento presentó un abundante refresco, del que se salió de noche, par3 di…</t>
  </si>
  <si>
    <t>…reo que debe aprobarse la propo El Sr. ministro de la Guerra dijo que en cuanto á las milicias han sición. gozado hasta ahora el sueldo que les señala el reglsjnento, y los que El Sr. Lallave (D, Pablo) apoyó la proposición, y manifestó entre les corresponden según el retiro, cuando no lo perciben en el cuerpo otras cosas que los datos que había para resolver este problema eran de milicias. bien conocidos: tales eran la experiencia de una porción…</t>
  </si>
  <si>
    <t>…s. , y en renta 4 maquilas—Ühá.fierra Opinión, puede hacer una adición relativa á lo que ha manifestado. en la Liabcí-ria del Lian , de 3 cuartas de diá de id., en venta jiS'rs El Sr. Lallave (D. Pablo) fue de Opinión que deberia autorizarse á y eh renta 4 copines__Otra, llamada la Cuesta, de dia y medió dé las diputaciones provinciales de Ultramar para que usasen de las facul bueyes, en Venta 330 rs., y en renta 2 copines y medió—Una'tieíTa) tade…</t>
  </si>
  <si>
    <t>…pasaren del egército permanente , sean reemplaza proyecto de decreto sobre la organización de la armada naval. dos en él con la antigüedad que les corresponda cuando no hubiese El Sr. Lallave (D. Pablo ) pidió que se leyese el art. 71 del regla agregados. mento que dice asi: » Los secretarios del Despacho asistirán á las sesio Se verificó la segunda lectura del proyecto de ley para impedir el nes cuando sean enviados por el Rey con el fin de propo…</t>
  </si>
  <si>
    <t>…e prepare con la conveniente instrucción en el asumo qué haya de tra do de hacer una distinción análoga á su carreia, capaz de formarlos tarse.” hombres de mar que se apetecen. El Sr. Lallave manifestó, después de haberse leído este artículo, A este efecto se propone también que estos individuos hagan un que debía asistir el ministro del despacho de Marina puesto que ia dis servicio en los buques, el cual será de mucha utilidad á la Nación, cusión…</t>
  </si>
  <si>
    <t>…ones de i uropa , y al con El Sr. Qúiroga opinó que para conciliar en algún modo iás pruden trario los que se proponían; por cuyo motivo dijo que no encontraba tes reflexiones del Sr. Lallave, y no lijar de expresiones tan chocantes, ninguna razón para que se dejase de aprobar el artículo. podría decirse- que será despedido el guardia-marina que se muestre 1:1 Sr. Ezpeleta dijo que dfseaba hacer algunas observaciones en pro ■incorregible: en lo qu…</t>
  </si>
  <si>
    <t>…an bajo par » Señor ; se ha sentado ya el principio de/qué la soberanía reside esentida de registro. ’ eialmente en la Nación , y ' por lo mismo-fe pertenece exclusivamente • . Ef Sr. Lallave (D. Pablo) pidió que se leyera la lista de losseño^ el derecho de hacer sus leyes fundamentales: principio incontestable, y re res diputados que faltaban. , cibido como taíentre los axiomas del derecho público.” En otra sesión r &gt; El Sr.iisecretario leyó una…</t>
  </si>
  <si>
    <t>…es 14 de Noviembre. mo que se le declarase comprendido en el decreto de las Cortes de 23 de Julio del año pasado. ■Representación dirigida á S. M. for la parroquia de S. Andrés El Sr. Lallave dijo que debia nombrarse una comisión de Ultramar, de Zaragoza. á la cual debería pasar esta memoria. . . • ; k Señor: Los parroquianos de S. Andrés de la fidelísima Zaragoza Los Sres. Puiblanch y oanchez Salvador apoyaron lo que habia di íV-.M. con el debido…</t>
  </si>
  <si>
    <t>…lo que hace á ¡a maquinaria es-preciso confe Art. i.° » Habrá una ¡unta directiva de casas de moneda.” sar , que aunque las máquinas de Droz, la de abrir husillos y otras eran El Sr. Lallave (D. Pablo) preguntó si esta junta directiva deberá excelentes, a aba lástima ver los molinos que había en. la casa, pues era serlo también de las casas de moneda en Ultramar. menester no tener idea alguna de mecánica para creer que eran buenos* El Sr. conde d…</t>
  </si>
  <si>
    <t>…tarla, porque cuando se quisiera suponer que son que pido que se declare haber lugar á votar en su totalidad. muchos los ramos que penden del cuidado derla beneficencia, sin em El Sr. Lallave ( D. Pablo ) dijo que estaba animado de los mismos bargo siempre en mi concepto abraza mas objetos de los que debe abra sentimientos hacia ¡a humanidad , la misma filantropía y la misma sen zar.una ley orgánica ; y por consiguiente me parece que la comisión s…</t>
  </si>
  <si>
    <t>…respecto á los géneros introducidos en el argumentos de S. S. La otra equivocación que tengo que de&gt;hacer es 1a año señalado. que han padecido algunos señores, y principalmente el Sr. Lallave ; y Art. 5.0 «Igual método se observará en cuanto á las existencias de es que siendo este dictamen una ley orgánica de beneficencia deberla la'misma clase que hubiese en los puertos de los dominios españoles de esta ser muy corta, y no comprender mas que las…</t>
  </si>
  <si>
    <t>…es este el remedio para seguida, apoyando las ideas propuestas por el Sr. Espiga , contestó á al esta clase de males. gunas observaciones que en la sesión anterior habia hecho el Sr. Lallave « Mi dictamen es que en estos establecimientos se reciban los hijos le contra del proyecto. gítimos de padres absolutamente pobres ,ó los legítimos de viuda , sol El Sr. Ramonet, después de manifestar su respeto hacia la comi tera ó casada , sin corrupción de…</t>
  </si>
  <si>
    <t>…obase ei pro las Cortes, á no haberla movido el estado en que se hallaba la Nación, yecto en su totalidad. absolutamente sin código alguno , y abandonada al arbitrio de los jue E! Sr. Lallave deshizo algunas equivocaciones que dijo haber pade ces y de los tribunales. La comisión, deseando el acierto, hizo una cido el Sr. preopinante. proposición á las Cortes que tuvieron á bien aprobarla, y en su conse El Sr. López (D. Marcial): En vista de las ob…</t>
  </si>
  <si>
    <t>…lo habia dado en los términos que el Congreso acaba Agüero, López Baños, O-Dali y al brigadier Latre. ba de oir. Se pasó á la comisión de Marina una exposición de varios indivi El Sr. Lallave pidió que se leyesen los artículos 109 y ti i del re duos del departamento de Cartagena para que respectivamente se les glamento interior. ¡ aumentase el sueldo. Uno de los Sres. secretarios leyó dichos artículos, que decían asi: Se recibió con aprecio, y se…</t>
  </si>
  <si>
    <t>…observaciones que ten de desenvolver muchos casos que de lo contrario seria imposible acla gan por oportunas. rar; por cuyo motivo, caso que se tenga por conveniente, puede sus El Sr. Lallave (D. Pablo) deshizo una equivocación que dijo habia penderse la aprobación de estos artículos para cuando se verifique 1« padecido el Sr. preopinante. discusión del código de procedimientos. El Sr. ia Bodega dijo: Ni apoyo ni impugno el proyecto de que se Otro…</t>
  </si>
  <si>
    <t>…a indicado el Sr. ban Miguel , puesto que ningún per manifestado el Sr. Gil de Linares. juicio podía traer. Ei r. Zapata: Creo que debería quitarse la palabra tentativa. Esta . El Sr. Lallave (D- Pablo): Dice el Sr. Linares que dfbe excluirse no es el designio ais adámente , sino que’es preciso que esté manifesta de este artículo la palabra tentativa , porque no es i propósito para el cido por algún a.to exterior que prepáre la egecucion del delit…</t>
  </si>
  <si>
    <t>…tículo en aquellos tér mente por las razones manifestadas por el ir. Oliver , pues es claro que minos. uno de estos individuos destinado á cualquier parte de la costa, aunque - El Sr. Lallave (jD. Pablo): El pensamiento de delinquir no se pue ai principio no estuviera impuesto de todos los pormenores esenciales y de manifestar legal mente sino por medio de una proposición ó por ten mafias de que se valen los contrabandistas lo estaría á poco tiemp…</t>
  </si>
  <si>
    <t>…de la parte del ar El Sr. Romero Al puente: No puedo comprender que se llame au-' tículo que se discutía. siliador de un delito á aquel que no tiene parte alguna en el proyecto Eí Sr. Lallave ( D. Pablo) opinó que el artículo no estaba redactado y en la egecucion , y solamente en lo que sucede después de esta ege-: como debía. Si uno paga á otro para que vaya á cometer un homici-: cucion. Me contraigo á aquellos que después qúe otro ha cometido un…</t>
  </si>
  <si>
    <t>…de una corta discusión! - - ra salvarlos ó encubrir el delito.” Continuó la discusión del código-penal. • &gt; El Se. Vadillo leyó-las observaciones'que se habian hecho-respecto - El Sr. Lallave; (D. Pabló) obtúvo la palabra para hablar contra el - de esta parte del art. 17. párrafo 4.0 dei -art; 17; hizo algunai? observaciones acerca.del lenguage El Sr., García (D. Antonio): Unicamente, tengo que hacer usx ob del artículo,- y.opinó que debía volver…</t>
  </si>
  <si>
    <t>…López (D. Marcial) y Florez Estrada, contrario á la aprobación de ra de su seno , lo hará presente al ayuntamiento , para que informando la pena de trabajos perpetuos, y otro del Sr. Lallave (D. Pablo), con sobre ello á ia diputación provincial , pueda asta consultar al Gobier trario á la de la pena de muerte. no lo conveniente. Se leyó por primera vez una proposición del Sr. Coraminas para Art. 9.0 » En el caso en que á propuesta del Gobierno la…</t>
  </si>
  <si>
    <t>Lallave, Pablo</t>
  </si>
  <si>
    <t>Pablo Lallave</t>
  </si>
  <si>
    <t>…emas de que estas no ha del modo que se ha empezado , y sí cuando se discuta cada artículo se bían de ser de peor condición que un ayuntamiento , un cabildo ú otra paradamente. El Sr. D. Pablo Lallave hizo ayer varias reflexiones sobre cualquiera corporación. Que en corroboración de lo que acababa de ex si estaba ó no bien fijado, cuál fuese mayor culpa, el delito que come poner tenia presente. que acordada por las Cortes en el año 20 la ley de tía un homb…</t>
  </si>
  <si>
    <t>Lallave, Pablo de</t>
  </si>
  <si>
    <t>Pablo de Lallave</t>
  </si>
  <si>
    <t>…e la. misma ciudad de Zarago el Sr. D. Demetrio O-Daly, diputado por la de Puerto-Rico, y para, za. Hecha esta manifestación, nada tengo que añadir á lo que ha dicho secretario el Sr. D. Pablo de Lallave, que lo es por la de Veracruz.” el Sr. Quiroga, sino recomendar á la comisión el despacho de am bos negocios, y rogar á las Cortes se sirvan hacer las declaraciones ho . El Rey ha expedido los decretos siguientes: noríficas que tanto merecen unos servicios he…</t>
  </si>
  <si>
    <t>Lamatind, Matías</t>
  </si>
  <si>
    <t>Matías Lamatind</t>
  </si>
  <si>
    <t>….. Se mandaron pasar á las comisiones de Agricultura é Instrucción5 . A la de Legislación se pasó un expedientednstruido á instancia de pública varias observaciones del ciudadano D. Matías Lamatind y D. Juan .Mariano Zapata , del comercio de ValkdoUd, en-solicitud de Manriquez sobre el establecimiento de cátedras de agricultura prácti dispensa de edad para manejar sus bienes.: s . . . ca y sobre el plan general de enseñanza, presentadas por el Sr. Pala,. A las co…</t>
  </si>
  <si>
    <t>Lambert</t>
  </si>
  <si>
    <t>…de su traición , ni logró la plaza de pilar) va á embarcarse en la goleta de, S. M. el ¡rieron , que el contra Hospodar que pedia en recompensa. Asi que Ipsilanti se apoderó de él almirante Lambert ha destacado de la escuadra, poniéndola bajo el le entregó.á un tribunal militar para que le juzgara. mando del mismo para llevar la noticia. Longwood 6 de Mayo de 182 1.” Las fuerzas del egército de Ipsilanti , inclusas las tropas griegas acantonadas en la M…</t>
  </si>
  <si>
    <t>Lamota, Blas</t>
  </si>
  <si>
    <t>Blas Lamota</t>
  </si>
  <si>
    <t>…ias de los que ya habián llegado .por extraordinario: las noticias í&gt;. Antonio Albani. D. Manuel de Erezuma. de Alemania llegan hasta el 16; las de'Lóiiílfés hasta el 17, y las de D. Blas Lamota. D. .Manuel Luciano de la Torre. Páris hasta el 22................... ” D. Bernardo Bonáv'a. D Manuel Villano. La atención de la Europa está fija; sobre la Turquía, y no sin mo Conde de Guaqui. D. Aíanuel Ramón da Villativo; puestos acontecirhiehtos pueden se…</t>
  </si>
  <si>
    <t>Lamothe</t>
  </si>
  <si>
    <t>…Ceres, su capitán D. Antonio Guüvart, apresado y conducido á aquel nos Sres. diputados que pudiesen ilustrar en aquella materia. puerto por el corsario francés, nombrado Vengeur, capitán Lamothe , en Después de una discusión entre los Sres. Toreno, Quiroga, Rome su viage desde el puerto de Santiago de Cuba para Málaga y Barcelo ro Alpuenre y Yandiola, no se aprobó ia indicación expresada. na , cuya cantidad es el resto del producto de dicho cargament…</t>
  </si>
  <si>
    <t>Lancariz, Francisco de</t>
  </si>
  <si>
    <t>Francisco de Lancariz</t>
  </si>
  <si>
    <t>…res. Manzarraga y Ugarte, de Bil Todos los maestros y maestras de escuelas y amigas deberán pre Bayona. bao. sentar los alumnos y alumnos de sus clases que aspiren á estos premios D. Francisco de Lancariz, de Bil D. Marcial Francisco del Adalid, en casa de D. Manuel María del Marmol, presidente de la comisión bao. de la Coruña. de curadores de la sociedad,el dia 4 de Noviembre. En ella serán exa D. Francisco Josef de Jáuregui, id. Doña María Teresa de Michelen…</t>
  </si>
  <si>
    <t>Lancellotü, Carmen</t>
  </si>
  <si>
    <t>Carmen Lancellotü</t>
  </si>
  <si>
    <t>…as tarifas había muchos abusos, resultan Príncipe de’ Gcrace. D. Félix Ainati. do muy perjudicado nuestro comercio, en razón de que los Gobiernos El' bailío D. Josef Carra'ccioló. D. Carmen Lancellotü ' ' extrangeros habían subido sus tarifas, y los cónsules españoles habían Marques de Sta. Agata, D. Nicolás Porcinari. uniformado i estas las suyas, y aun exigían arbitrariamente los dere til mariscal de campó D. “Vicente El presidente D.Vicerite Marrano. ch…</t>
  </si>
  <si>
    <t>Landáburu, Luis</t>
  </si>
  <si>
    <t>Luis Landáburu</t>
  </si>
  <si>
    <t>…ado. de la dirección del fomento ge- mas A las fronteras turcas. D. JosefPio Molina , hacendado.. neral del reino. Austria. Apuros y mas apuros. La civilización se extiende por to D. Luis Landáburu , oficial de la' D. Juan de la Cruz Murguiro..... das parles; las ideas liberales van siendo conocidas hasta de las gentes secretaría Estado, " D. Felipe Bauza, director del de* del campo; los pueblos no ignoran que un Gobierno representativo es</t>
  </si>
  <si>
    <t>Landero, Juan Gómez</t>
  </si>
  <si>
    <t>Juan Gómez Landero</t>
  </si>
  <si>
    <t>…estuvo reunida desde las 12 del dia hasta las 5 de la sargento mayor del segundo batallón de Zaragoza. tarde. El marques de Fastoret, que es uno de los comisarios Otra escrita por D. Juan Gómez Landero, ministró de encargados de formar la.causa , empezó leyendo ei extrac Hacienda de Santander, sobre arreglo dé contadurías y te-, to; y aunque su lectura duró 5 horas, sea segura que con sorerías milirares. tinuará por espacio de muchos dias. Nada se sabe de s…</t>
  </si>
  <si>
    <t>Lang</t>
  </si>
  <si>
    <t>…bían ser por precisión altamente desaprobados. 1794, el cual es el mas antiguo de los cardenales. El Sr. Weber demostró que-semejantes principios nos conducirían á la anarquía. El Sr. Lang calificó la exposición de jacobina, añadiendo que pOSTUGAI. seria el pais mas desgraciado el reino de Wurtemberg, si. se admitiesen tales exposiciones: y en efecto fue desechada por una inmensa mayoría. ZSsboa 24 He Febrero. . El ministro de Justicia leyó aye…</t>
  </si>
  <si>
    <t>Langenau</t>
  </si>
  <si>
    <t>…una comisión especial. los que tiene esta nación llega á 1 300 de todos tamaños: que el gober El Sr. secretario de la Guerra dijo que habiéndose dicho que el Go nador de Odessa el conde Langenau habia asegurado al comercio de bierno no tenia inconveniente en que pasase á una comisión, y siendo aquella ciudad que podian continuar sus operaciones mercantiles con to la opinión de los Sres. diputados conforme, creia que estaba discutido da seguridad , á…</t>
  </si>
  <si>
    <t>Langeron</t>
  </si>
  <si>
    <t>…r.o puesta las representaciones del embajador, como si de este modo qui solo infringe todas las reglas de la equidad, no secamente Jo sacrifica sieran hacer befa de los rusos___El general Langeron , gobernador da todo á las pasiones de los que le dominan y le pagan , sino que se Odesa, participó al comercio el 1 2 de Junio una nota dirigida por el deja llevar de tales caprichos, que ni aun caben en ios extravíos del en embajador ruso á la Puerta, conce…</t>
  </si>
  <si>
    <t>…ue las he pedi » El barón de Strogonoff llegó á Odessa el 13 de Agosto. Inmedia do: la extraordinaria morosidad con que procedieron otras en su remi tamente despachó el gobernador conde Langeron tres correos, uno al sión; y finalmente el no haberse entendido y observado tan bien como comandante de la escuadra rusa en Sebastópolis, otro al conde de Wittg- convenia al servicio nacional los decretosy reglamentos que rigen para tenstein , comandante en g…</t>
  </si>
  <si>
    <t>…á los ingleses una ocasión tan favorable como ésta para ha hecho el viage en cinco dias. No habiendo hallado á nuestro gober expresar su simpatía con los oprimidos. nador general conde Langeron, ha seguido sin detenerse á Kherson, ---- Habiendo entregado Mr. Planta á los lores encargados.de la tesore adonde marchó S. E. á hacer la visita de inspección acostumbrada. Cor ría una nota del ministro americano en Inglaterra, en que se quejaba re ahora la…</t>
  </si>
  <si>
    <t>Lanuza, Juan de</t>
  </si>
  <si>
    <t>Juan de Lanuza</t>
  </si>
  <si>
    <t>…llo que proponía el Sr. Diaz-Morales, sobre lo cual habia pensado hacer nes se egreutase en esta corte, y en que contestaba á lo demas que de también una indicación ¿ añadiendo á D. Juan de Lanuza , con cuya seaban saber las Cortes en este particular;. muerte espiró la libertad d¿ Aragón , lo mismo que con la de los hé Las Cortes quedaron enteradas del oficio del Sr. secretario de Gra roes castellanos la libertad de-Castilla. cia y Justicia, en que les…</t>
  </si>
  <si>
    <t>…ma que le pa D. Juan de Padilla, D. Juan Bravo y D. Francisco Maldonado, y los reciese mejor, y por consiguiente la de arreglar el ministerio, podía de Aragón D. Diego de Heredia, D. Juan de Lanuza y D. Juan de distribuir el trabajo entre sus agentes del modo que creyese mas opor Luna. La comisión proponía 14 artícelos, que se mandaron imprimir tuno; después de haber manifestado la necesidad y la utilidad del esta junto con el discurso preliminar; habiéndose decl…</t>
  </si>
  <si>
    <t>Lapuente, Pedro</t>
  </si>
  <si>
    <t>Pedro Lapuente</t>
  </si>
  <si>
    <t>…eran. tornil.- para el de Alcañiz á D. Josef Hacha: para el de Monta{ban á No lo aprobaron los Sres. Traver , Peñafiel, González Allende, D. Rafael Larraz: para el de Cantavieja á D. Pedro Lapuente: para el Cabrero, Lobato, Banquerí, Cabaleri ,'Gd de Linares, Crespo Canto- de Calaicete á D. León González del Camino: para el de Caspe á Don lla , Cantero , San Aliguel, Ezpeieta , Casaseca, Moya , Castañedo, Su- Mateo Cortés Zalon: para el de Tamarite á D.…</t>
  </si>
  <si>
    <t>Lapuente, Pedro de</t>
  </si>
  <si>
    <t>Pedro de Lapuente</t>
  </si>
  <si>
    <t>…a, resultando quedar dividi ña ; D. Pablo Iglesias , de,.Madrid;• Sres. Paul, dé Cádiz; D. Pedro da ía Península en mayor número de provincias á proporción. Se opuso Ochoa, de id; D. Pedro de Lapuente, de id.; D. Valentin de Foroaasimismo 4 que se creasen cuatro clases de provincias ,'y manifestó que da, de Pamplona. ■ ; habia algunas que merecerían mas bien el nombre de corregimientos; . ■ ■ . i» tal era la del Vierzo , á la cual para hacerla algo mas gra…</t>
  </si>
  <si>
    <t>Lapuerta, Jaime</t>
  </si>
  <si>
    <t>Jaime Lapuerta</t>
  </si>
  <si>
    <t>…er la prohibición de la placa dé director de los estudios de San La comisión ordinaria de Hacienda presentó su dictamen , opinan Isidro, habia nombrado para egercer este encargo a D. Jaime Lapuerta, do que debia accederse á la solicitud de D. Manuel Andrés Valero, sugeto de notorias circunstancias, de mucha aplicación y adhesión al maestro de primeras letras de la ciudad de Cuenca , relativa á que en sistema constitucional, con la circunstancia de arreg…</t>
  </si>
  <si>
    <t>Lapuerta, Jaírne</t>
  </si>
  <si>
    <t>Jaírne Lapuerta</t>
  </si>
  <si>
    <t>…ón, en la gaceta del 7. acordaron ya las Cortes en .decreto-, dé 8 de Noviembre de x8ro." pOT provincia de Aragón. IX,,Manuel Latre , gefé politico.de Aprobado. ; * á ... Galicia; D. Jaírne Lapuerta , director del colegio de ¿. Isidro; D. Juan »■&lt;. Af.b 4»“ _ ” Se señalará un espacio de,término desde las fronterasy Amonio Castejon , abogado; D, Mariano. Lagasca, director dél Jardín costas marítimas hasta una línea interior, paralela, qué se llamará di bo…</t>
  </si>
  <si>
    <t>Lara, Martin de Pineda y</t>
  </si>
  <si>
    <t>Martin de Pineda y Lara</t>
  </si>
  <si>
    <t>…I.a Constitución española dice que la soberanía reside esencialmente ANUNCIOS. en la Nación; pero varios oradores populares, no queriendo sujetarse á En virtud de providencia del Sr. D. Martin de Pineda y Lara, juez estas palabras, que tan exactamente expresan la idea del origen y esencia de primera instancia de esta M. H. villa, su fecha 20 de Octubre ante dei poder soberano, han trasformado esta soberanía nacional (alteran rior, refrendada por el secretario de S.…</t>
  </si>
  <si>
    <t>Lara, Martin.de'Pineda y</t>
  </si>
  <si>
    <t>Martin.de'Pineda y Lara</t>
  </si>
  <si>
    <t>…ado egér la. Silva:; p3ra la de . Archidona á D. Antonio Pimentel Valeñzue• la de cito, no se puede fiar á un hombre solo , y por está razón la comisión la; para la de Antequera á D. Martin.de'Pineda y Lara; para propone que se forme una corporación que dirija las funciones del-egér- Ronda á D. Cristóbal María Antón; pata-la de Casares á D:,'Agus cíto, haciendo parte integrante de este cuerpo el estado mayor, y tín Medina y Lavalle;.para la de Grazaletna á' D. P…</t>
  </si>
  <si>
    <t>Laredo, Manuel</t>
  </si>
  <si>
    <t>Manuel Laredo</t>
  </si>
  <si>
    <t>…D. Esteban Gabarda, D. Esteban Orcariz , D. Fernando Arcarme á este santísimo sacramento aun en el ultimo .trance de ia,m.u.ei/ did,.P., .Amero Echarri:, D. Josef..Joaquín Ermo . D. Manuel Laredo, -te sj no '.ctlufiplo enteramente lodo lo que acabo de jurar delante/de la D. Pedro Navarro, D. Tomas Delgado, D. Pedro Ortir y Urbtna, .imágen de nuestro Señor Jesucristo. .. ».-Kt P, Pedro Gudal, P. Mariano Noucues y Secail, D. Julián Alegre,</t>
  </si>
  <si>
    <t>Larrad, Francisco</t>
  </si>
  <si>
    <t>Francisco Larrad</t>
  </si>
  <si>
    <t>…to á guiente á este principio nombró el Sr. gefe político en calidad de co algunos pueblos; pero al cabo la razón triunfará, la justicia recobrará misionados interinos á los Sres. D. Francisco Larrad, D. Josef Castasu predominio, y la reforma de los Gobiernos seguirá su curso natu Eer y D. Antonio Gironella; pero no bien se habia dado este paso, ral, como lo ha ido siguiendo en la Alemania. cuando no satisfecho el zelo de los concurrentes con haber contri…</t>
  </si>
  <si>
    <t>Larraz, Rafael</t>
  </si>
  <si>
    <t>Rafael Larraz</t>
  </si>
  <si>
    <t>…yus: para el de Mora á D. Ignacio Sazade Teran. tornil.- para el de Alcañiz á D. Josef Hacha: para el de Monta{ban á No lo aprobaron los Sres. Traver , Peñafiel, González Allende, D. Rafael Larraz: para el de Cantavieja á D. Pedro Lapuente: para el Cabrero, Lobato, Banquerí, Cabaleri ,'Gd de Linares, Crespo Canto- de Calaicete á D. León González del Camino: para el de Caspe á Don lla , Cantero , San Aliguel, Ezpeieta , Casaseca, Moya , Castañedo, Su- M…</t>
  </si>
  <si>
    <t>Larreategui, Josef</t>
  </si>
  <si>
    <t>Josef Larreategui</t>
  </si>
  <si>
    <t>…Luis , i,j electores. Dia 20............. ...... 2:..... ....... O.............. .. I...» ....... 3...... D. Berna'rdino Entillac, D. Domingo Fernandez Angulo, D. Fran cisco Orea, D. Josef Larreategui, D. Josef Perez Morales, D. Josef 7■ 5- 3- 34- Pío de Molina, D. Manuel García del Barrio, D. Marcos Cubilio, D. Mariano Valero, D. Nicolás de Puga, D. Pedro Matute, D. Ra Hay ademas cuatro sospechosos. fael Costa y D. Tomas Polo Catalina. Madrid l.° de Novie…</t>
  </si>
  <si>
    <t>Larri-</t>
  </si>
  <si>
    <t>…la Constitución por haber intervenido-tropa en las eleccio Nada se habia discutido en la Cámara de los Pares de Francia que nes, no1 siendo lo mismo f como había dicho muy bien el Sr. Larri-. „ merezca atención. En la de los Diputados se habia continuado la dis ba) iás armas para conservar la tranqulidad y el orden público , que cusión sobre divisiones territoriales para las elecciones. Los asegurado las-armas én manos de lós ciudadanos que entra…</t>
  </si>
  <si>
    <t>Larriba</t>
  </si>
  <si>
    <t>…. por 72: 6. el Sr. Echevarriá por 85: 7.' el Sr. Manesc.ui por 81: En seguida el Sr. ministro de la Gobernación de Ultramar pasó á 8.J el Sr. Navarro (D. Felipe) por '77.: 9.° el Sr. Larriba por 85: la tribuna y principió la lectura de su memoria; la que á poco tiempo 10 el Sr. Snbrié por 67: r 1 el Sr. Govantes por 70: 12 el Sr. Va- se suspendió con motivo de tenerse que Jeér la contestación al discurso dillo por 72: 13 el Sr, Lorenzana por &lt;52:…</t>
  </si>
  <si>
    <t>…mora, por haber infringido la Constitución. número de tropas de mar y tierra que s; ha de decretar anualmente. A lá expresada comisión se pasó una queja de D. Melchor Tellez, | Ei Sr. Larriba dijo que no estaba conforme este artículo con lo que subteniente del regimiento de infantería de Toledo, que se halla de I prevenia la Constitución, según la cual los primeros asuntos que de guarnición en Pamplona, contra el coronel de su cuerpo, por haberle…</t>
  </si>
  <si>
    <t>…Felipe ix, tít. 13 , ambas de la Novísima Recopilación.. Geografía dice , refiriéndose á las cartas de Cabarrus á Jovellanos: Se leyó por primera vez la siguiente proposición del Sr. Larriba. » Abro el censo español, hecho en 1788, y hallo que tenemos- i/s&gt; „ Que declarando la contribución de Minas como una emanación feligresías y 15$) párrocos; esto es, 29 menos de los que se necesitan; del voto de Santiago, cese de pagarse en todas las provinci…</t>
  </si>
  <si>
    <t>Larriva</t>
  </si>
  <si>
    <t>…Page ;tftapiS;5tó¡ótRt:^ol¡ettud que con el mismo corriente."5 objeto habían hecho los religiosos legos de-S. Francisco de Murcia , y. No se admitió á discusión la indicación del Sr. Larriva , que dec:a: si mando pasar, con u-rgíneja ¿.Incitada comisión. . ; : „Que las gracias que ¡as Cortes han acordado se den al ejercito y mili lA.la.comision de,Poderes sopesaron Jos1 de. D. Fermín G,«l de Li cia local se entiendan también con las milicias prov…</t>
  </si>
  <si>
    <t>…és de haber tornado un título emprenda al Se 'aprobaron los artículos i.“y. a.® gún arte , industria ó profesión de clase superior á la de su oficio , de Se leyó el art. 3.0, y el Sr. Larriva dijo que no. debería exigirse que ¿ berá tomar el de ia nueva dase á que corresponde, pagando el exceso lqs profesores tuviesen título para egercer su industria , sino solo que ó diferencia de uno á otro. pagasen la contribución que se les imponía; á lo que c…</t>
  </si>
  <si>
    <t>Larrnmbide, Eugenio de</t>
  </si>
  <si>
    <t>Eugenio de Larrnmbide</t>
  </si>
  <si>
    <t>…2 , que hace Bermudez del Villar y D. Josef Alvarez Pestaña. =: En la de Sevilla á esquina y vuelve á la de la Garduña á la manz. 497, y está entre di D. Francisco Olavarrieta y á D. Eugenio de Larrnmbide.=En Extre cho monasterio, que tiene el núm. 1, y tiene de sitio 6417 pies cua madura á D. Evaristo de la Dehesa y D. Josef Antonio Serrano. drados superficiales, y tasada en la cantidad de 374,944 rs. Quien qui En la de Aragón á Don Josef Ramón Sirera. = En l…</t>
  </si>
  <si>
    <t>Lasala, Manuel</t>
  </si>
  <si>
    <t>Manuel Lasala</t>
  </si>
  <si>
    <t>…na á las cuatro déla tarde á presidir el ayuntamiento y junta municipal de comisión permanente de dia y de noche en las casas consistoriales, sanidad , reunidos con asistencia del Sr. D. Manuel Lasala , vocal deca compuesta de tres individuos parte dfl ayuntamiento , y parte de la junta no de la diputación provincial. municipal de sanidad, los cuales con arreglo á las leyes sanitarias diesen Habiéndose dado principio á la junta, el Sr. D. Juan Reináis hizo…</t>
  </si>
  <si>
    <t>Lasalle, Bfltran</t>
  </si>
  <si>
    <t>Bfltran Lasalle</t>
  </si>
  <si>
    <t>…ué! Conformándose las Cortes cón el dictamen de Lt comisión de Le porque no está la sociedad en el estado de vigor en que se hallaba en gislación, concedieron carta de ciudadano á D. Bfltran Lasalle . de! aquella época; y vqo también que cuando en las Cortes extraordinarias comercio de Málaga, y á D. Bartolomé N. y Picardo, vecino y del se trató) de discutida Constitución no se dio el Carácter de representan comercio de Cádiz; y se la riegaroa al presbít…</t>
  </si>
  <si>
    <t>Lasaña, Juan</t>
  </si>
  <si>
    <t>Juan Lasaña</t>
  </si>
  <si>
    <t>…los anteriores D. Dionisio Solis, D. Felipe Bauza, D. Jcsef Marti, D. Josef Nuñez merecieron la confianza pública; pero no nos ha sido posible reunir la Arenas , D. Juan Ailonca, D. Juan Lasaña , D. Manuel Flores Calde lista completa de todos los compromisarios. Esperamos que tanto este rón , D. Mariano Lagasca, el marques de Pontejos, D. Pedro Castelló, punto como otros vayan siempre mejorándose , y que en adelante cui D. Pedro Gossens, D. Pedro Pe…</t>
  </si>
  <si>
    <t>Lasanta</t>
  </si>
  <si>
    <t>…arizarse se A propuesta del Sr. conde de Toreno pasó á la comisión especial de les dé el testimonio para que desde sus casas puedan practicar las dili Hacienda una proposición del Sr. Lasanta, en la cual, con el objeto de gencias necesarias para ello, se les asegurará desde el mismo dia de la impedir el entorpecimiento de la venta de los bienes nacionales por los entrega del dicho testimonio el pagó corriente de la pensión señalada obstáculos que…</t>
  </si>
  <si>
    <t>…día siguiente llegó esta noticia á Tánger, 'donde armándose inme que si.tienen algo mas que decir, lo hagan.” diatamente la mayor parte del pueblo, marcharon para Tetuau con el El Sr. Lasanta se opuso á esta indicación , y el Sr. Moreno Guerra fin de oponerse al nuevo aclamado; y habiendo encontrado tropa ar en la parte que decia se declarase sesión permanente; y habiéndose mada fuera de la ciudad, la acometieron, y retirándose ésta, los de pregun…</t>
  </si>
  <si>
    <t>…os. Se aprobó). mente , hasta que vengan los informes que pedia el Sr. Calatrava. Art. 33. &gt;.• Ademas de los casos expresados en los artículos anterio Se aprobó una indicación del Sr. Lasanta, que decia: » Que las re res, la persona de cualquiera clase ó) condición que contravenga á dispo presentaciones que se han leído pasen al Gobierno, para que bien in sición expresa de la Constitución , pagará la multa de xoá 200 duros; y formado de la conduct…</t>
  </si>
  <si>
    <t>…nes provinciales se mandaron pasar las bastante para demostrar el verdadero sentido de la cuestión; y que el Solicitudes de los ayuntamientos constitucionales de Carrielo, Velnia- Sr. Lasanta la había dado todala posible claridad, recurriendo á la dis len, Palera Alta, Ampuero, Chiquiona , Altos y Alo mesa, en las pro cusión que sobre el mismo asunto habia habido en el año de 1811. vincias de Santander, Murcia, Cádiz y Valencia, solicitando se les…</t>
  </si>
  <si>
    <t>…ltimo han de convertirse en inscripciones de la deuda conso deben ceñirse solo al artículo que se discute. lidada con ínteres, ó en créditos sin él, los tenedores de vales comu El Sr. Lasanta manifestó que lo que habia dicho en su discurso del nes, consolidados y no consolidado», de la creación de Mayo, los pre año de i8tx sobre este asunto estuvo reducido á que era indispensable sentarán en todo el mes de Mayo próximo, y los de la creación de Se…</t>
  </si>
  <si>
    <t>…de Circular de la dirección de la Hacienda pública. 1815, por ser incompatibles con el régimen constitucional.” Por el ministerio de Hacienda con fecha 18 del corriente se nos ¡1 Sr. Lasanta dijo que entre las cosas que se concedieron á esta la comunicado ia Real orden que sigue: compañía fue una de las islas del Guadalquivir, y deseaba saber si la ,, Deseoso el Rey de que por todos los medios posibles se persiga compañía pedia que se la permitie…</t>
  </si>
  <si>
    <t>…n de Ñapóles nos es desconocida; y mientras no 1 i.-gire pondiese al cultivo de la labranza. .: _ - : - correspondencia particular, que sin parcialidad describa el verdadero es El Sr. Lasanta expuso que aprobándose el art. i.° en los términos tado de las cosas de aquellos países, será poco lo que de él se sepa. El que indicaba la comisión, resultaría una notable desigualdad en la im nuevo Gobierno absoluto ni permite que los napolitanos sepan lo q…</t>
  </si>
  <si>
    <t>…guerra; á saber: dos fragatas del si hubiesen de gozar sueldo, seria con respecto á los años de servicio. porte de 50 cañones, seis corbetas del de 30 cañones, seis bergantines El Sr. Lasanta dijo: Me parece que no se debe quitar el sueldo á del de 22 cañones, y seis goletas del de 14 cañones.El presupuesto que estos individuos, porque entonces seria hacer una excepción odiosa en ahora se propone es de 79.273,630 rs. y 5 mrs. tre ¡os empleados; y…</t>
  </si>
  <si>
    <t>…l, y la tal catedral no es mas que una pedia que se leyesen. .. parroquia, que ahora se le ha dado este nombre; también dice la co.m¡- Se leyeron las siguientes ^proposiciones del Sr. Lasanta y otros se sion que es residencia de una universidad, y se puede contestar, ¿cuán ñores diputados , que decían asi:» Atendidas las dificultades que han do se ha puesto esta universidad! 5 y con qué influjo!... No es; este lu ocurrido en ia discusión del proye…</t>
  </si>
  <si>
    <t>…a años; y si mientras permanecieren las corbetas en el puerto ocurrieren rinas, que de nada aprovechaba. faenas en el arsenal , que se estime conveniente se instruyan en ellas, El Sr. Lasanta dijo que siempre se había declarado en favor de la- asistirán para imponerse en los métodos de la maniobra y de la parte economía; pero opinaba que era muy regular lo que la comisión pro conveniente de la artillería, disciplina y manejo de armas blancas y da…</t>
  </si>
  <si>
    <t>…nte á la secretaría del al sión la siguiente adición al art. 81 del Sr. Gutiérrez Acuña, que de mirantazgo. ■ cía: n Excepto en los navios adonde los segundos comandantes sersn Kl Sr. Lasanta fue de Opinión que debia darte mas claridad á este siempre de la clase de capitán de fragata, sin aumentar por ello esta artículo, puesto que por él se indicaba que no pudiesen ser nombrados clase hasta que lo exija el número de buques que tenga la Nación.” e…</t>
  </si>
  <si>
    <t>…rminada, siendo esta la menor nifestar á las Cortes que el'único medio que hay es el que ha propuesto. posible, con lo que se disminuirían los perjuicios que habia anunciado. - El Sr. Lasanta hizo varias reflexiones relativas á la proposición del El Sr. Azaola dijo que no sucederían los perjuicios que habia anunSr. Alaman , manifestando que tal vez seria fácil falsificar el resello , con ciado el Sr. preopinante, porque siendo el vacío por muy poc…</t>
  </si>
  <si>
    <t>…e antigüedades que se ha de practicar en sueldo , el de aquellos era el mismo que en tiempos antiguos. tre los respectivos cuerpos de infantería y caballería de! egército se ve El Sr. Lasanta: Yo no he hablado de la diferencia de sueldo que rificar! no solo de ios individuos que ocupen plaza efectiva , sino tamtienen los comandantes y los brigadieres; solo me h - referid*, a este so .bien de los supernumerarios, incluyendo en ellos á los que se ha…</t>
  </si>
  <si>
    <t>…sospechas fundadas y probadas suficiente dera Doña Isabel de Clavería , viuda de D. Pedro Dalhaste, por me mente.” dio de su hijo y apoderado D. Pedro Dalhaste y Clavería de re El Sr. Lasanta dijo que reconocía la necesidad de adoptarse alguna coger ¡a cantidad de $9 pesos que dicho difunto D. Juan de Claveria medida, tal como la que proponía ia comisión, porque asi lo exigía la tenia dados á guardar á D. Lorenzo Viñarte, que desj| íes falleció ta…</t>
  </si>
  <si>
    <t>…dad y uti rán el número de monedas y su valor por tarifa según la cédula de i8t81 lidad de la definición. de la moneda presentada , hasta que remitida esta á la junta directiva El Sr. Lasanta manifestó la imposibilidad de poder convenir todos se expidan los pagar&amp;Me que se ha hablado en los dos artículos prece en una definición genérica. dentes. Art. 9.0 Rectificadas estas operaciones en la forma expresada, Habiéndose declarado el punto suficiente…</t>
  </si>
  <si>
    <t>…o el artículo en estos tér po dió parte al gobernador para que no se alarmasen las tropa, en ca,o minos. de oir fueco aquella noche en que se proponía prenderlos : con efecto á El Sr. Lasanta: Se castiga con una pena el pensamiento que yo ten las 8 tuvo noticia de que estaban en una casa, adonde se dirigió con su go estampado en un papel, puesto que ¡a vigilancia de la autoridad es tropa; y al mandar que le abriesen la puerta le contestaron con al…</t>
  </si>
  <si>
    <t>…s impuestos á la bandera extrangera, porque esto puede dar lugar . terrestre al marítimo en muchos casos. á fraudes entre los mismos del resguardo y los contrabandistas. Por lo El Sr. Lasanta manifestó que no pudiendo producir este artículo demas creo que debe aprobarse el artículo. el efecto que se deseaba, á saber , el que los del contraregistro no per El Sr. Sancho preguntó al Sr. Ochoa si lo que había manifestado, mitiesen introducir el contra…</t>
  </si>
  <si>
    <t>…- Habiéndose suspendido esta discusión, nombró el Sr, presidente pa-: Seria necesario consagrar la mayor parte de este periódico para con-' fa la comisión del Código de policía al Sr. Lasanta enjugar del señor traducirlas noticias falsas que diariamente se-estampan en el Espectador,, Vitorica. sin duda ninguna con el objeto paíriótico de ilustrar la opinión pública, La comisión de Correcion de estilo presentó d las Cdrtes dos proyec-' • y de, cont…</t>
  </si>
  <si>
    <t>…estósprincipiós creo que debe reformarse este artículo. na que se impone al delito. Pero aun dice mas la. comisión ,. puesto El Sr. Calatrava: Por mi parte.doy muc,bqs.gracias, ai Sr. Lasanta que se refiere también á lo prevenido en los artículos 94, 95 y 103, por el asilo que en su caía nos ha ofrecido pata el caso en que cometié y principalmente en este último se dice que los auxiliadores,, fautores semos un delito; pero al mismo. tiempo siento…</t>
  </si>
  <si>
    <t>Lasante</t>
  </si>
  <si>
    <t>…ailes que se secularicen los bienes que reino , era de dictamen debia aprobarse así se verificó. adquirieron por su profesión, sin descuento alguno. En'virtud de la indicación del Sr. Lasante, que decia asi: ,,Que el Las Cortes recibieron con agrado distintos egemplares de un trata poder especial'que se requiere para asistir á lós juicios de conciliación do histórico y canónico dejos párrocos, en.donde se manifiestan las baste para habilitar con e…</t>
  </si>
  <si>
    <t>…no porque no hubiese buenas oficiales-, sino porque estando destinados bia referido el Sr. preopinante. á todos los servicios asi de msr como de guerra, pudiera tal-vez sucedec El Sr. Lasante: Me parece que cuando se trató de las propuestas que no tuviesen aquella práctica que corresponde; pero ya en el día tío por ternas que habia de hacer el almirantazgo, se dijo par los Sres. de puede ser el cuerpo-de pilotos tan necesario como entonces. Desde…</t>
  </si>
  <si>
    <t>Lasanv</t>
  </si>
  <si>
    <t>…e á los bia en la larga carrera militar; en cuya atención se había conservado comandante* de provincra. &gt; dicho sueldo (que era el que antes ya gozaban los capitanes generales) El Sr. Lasanv manifestó no creía que habia una razón para que se *un en la-ley del máximum. hiciese esta diferencia de , sueldos, y que en su concepto debian'ser El Sr. ministro de la Guerra pidió que sin embargo se mandase iguales; á lo que contestó el.Sr. secretario de l…</t>
  </si>
  <si>
    <t>Lascases</t>
  </si>
  <si>
    <t>…s ha bueno el tiempo; jugaba al ajedrez antes de ponerse á comer, que solia cendados, y especialmente los de corto caudal, desde la primera insur ser á las ocho; -comían con él el conde Lascases y su hijo , el conde y rección, que fue la de Teodoro y sus panduros , hasta la aparición de la condesa de Montholon y el barón de Gourgaud; no asistían lodos los heteritas, y después por la invasión da Tos turcos, asciende por lo -los días, ¿ su mesa el cond…</t>
  </si>
  <si>
    <t>Laser</t>
  </si>
  <si>
    <t>…iguiente pidió que se le diese mayor explicación. misma pena impuesta por la ley á los autores del delito ó culpa , á no El Sr. Rey contestó a las observaciones que habia hecho el Sr. Laser que la propia iey determine expresamente otra cosa , observándose grava ,.añadiendo que para mayor claridad del artículo podrian omitir ademas lo prescrito en los artículos 94,95 y 103. se ciertas palabras. Pero si la complicidad directa proviniere de soborno…</t>
  </si>
  <si>
    <t>Laserna</t>
  </si>
  <si>
    <t>…onte Hacho; „ Sanmartín desembarcó en Pisco con 4500 hombres, y su cuartel que no advierte-enterramientos en. la línea, ni en todo lo que alcanza á general lo tenia en Chincha. El Sr. Laserna se hallaba á su frente con 83 descubrir en las inmediaciones de Tetuan. En cuanto á política no pue ■ hombres, y el virey de Lima había pedido &lt;53 hombres al ejército del den tenerse noticias muy recientes y continúas; porque la diplomacia Alto-Perú. Entre el…</t>
  </si>
  <si>
    <t>…ntos de la liber mis ? lanchas cañoneras cori los gefes siguientes: general de las tropas tad, disgustaron mucho á aquellos señores, que harían mejor papel en el vírey; segundo el Sr. Laserna del centro; del ala derecha; el subins el diván, qué en el'"Cón'greso’dc uná.nacioh qué ha admirado al uni- pector general; de la izquierda O’Relli; de vanguardia el coronel. Valverso. Concluido él' discüVsb. deE-gúarda Sellos, debía hablát Mr. de dés : coron…</t>
  </si>
  <si>
    <t>Lassaigne</t>
  </si>
  <si>
    <t>….............. :............................. ij retales, que atestiguan suficientemente-este resultado. Santander..-.................................................. . jf «Si el señor Lassaigne hubiera tenido proporción de leer Coruña................ ............................................... a mis memorias, insertas en aquel tiempo en los Anales de Santiago................... .........................................: a química y en los cuader…</t>
  </si>
  <si>
    <t>Lassale</t>
  </si>
  <si>
    <t>…carse para Sicilia un cuerpo de 89 austríacos. cristianas; que este método de'enseñanza, fundado por el venerable Es imposible que ti estado de esta isla sea tal que pueda dar pre abad Lassale, y sostenido por su constante caridad, no se habia esta texto á que pise su suelo un egército extrangero, socolor de someterla blecido sin obstáculos; que habiéndose creído al principio que seria de* á la obediencia del Rey Fernando, puesto que todos saben la…</t>
  </si>
  <si>
    <t>Lastarria</t>
  </si>
  <si>
    <t>…r.” lud del pueblo es la suprema ley. Asimismo no -.se .admitió á. discusioio.o.fra adición al artículo 4.0 Se leyó una indicación del Sr. Cano Manuel, que decia: « Pido ajas. del Sr. Lastarria, que decia: -,¡Qu.e toda expresión que se haya de escri Cortes se sirvan declarar si sobre el negocio del pase de las ■ bulas del bir, asi.como toda Otra qué se haya anotado , sea escrita y leida por su muy R. arzobispo de Tarragona se está en el caso de que…</t>
  </si>
  <si>
    <t>…a solo va á auxiliarle. Dado este asunto por suficientemente discutido en su totalidad , se Después de haber contestado el Sr. Romero Alpuente i las objecio leyó el art. r.‘\ y el Sr. Lastarria hizo varias reflexiones sobre la dife nes del Sr. Sancho, manifestando que el artículo señalaba cu des habian rencia que habia entre las formalidades de los juicios civiles y las dé de ser los casos en que se habia de juzgar á los reos militarmente , r los mi…</t>
  </si>
  <si>
    <t>…ión cometida por el alcalde constitucional de Fuente la Encina, por la aprehensión. ----una informalidad que cometió en un juicio de conciliación: otra del Se leyó una adición del Sr. Lastarria ai art. r.°, que désp'ues la te-i ayuntamiento ^e Molina, vindicándose de la queja que dió contra él tiró su autor, y decia: « Que en el centro de dicho artículo se:supri D. Vicente Florez, médico, 'vecino de la misma , y pidendo se le im ma la calificación d…</t>
  </si>
  <si>
    <t>…zones que dejo manifestadas, me parece que las Cortes deben re comisión se .ha visto en la necesidad de proponer que estas sean dos solver que Ca.atayud sea capó ai. distintas. El Sr. Lastarria hizo presente que la provincia de Caiatayud y la de 1.1 Sr. López (D. Marcial.) dijo: Las dos provincias que propone Teruel tenían 105S almas, por lo cual no creía que fuese necesario el la comisión tienen como unas-ii i3 almas, y para esto debe haber dos que…</t>
  </si>
  <si>
    <t>Lastarría</t>
  </si>
  <si>
    <t>…la Cons Aprobada el acta de la sesión anterior, se mandó pasar á la comi titución ; y formada alli en batalla con el regimiento, experimentó sión de Salud pública una adición del Sr. Lastarría al dictamen de otro íjisgo no menos ilustre de este cuerpo regenerador de la libertad esta comisión, aprobado en la sesión de ayer, dirigida á que los facul española, pues al tiempo que una escolta de granaderos salía para reci tativos hagan experimentos sobr…</t>
  </si>
  <si>
    <t>…correspondientes en el distrito de su mando. Madrid- 27 de Noviembre este establecimiento; en seguida el dictamen de ia comisión de Salud de 1821. pública sobre la proposición del Sr. Lastarria ,. y por último se conti nuaría la discusión del código penal. El Rey ha expedido el decreto siguiente 1 Se levantó la sesión á las tres y cuarto. » Don Fernando vir por la gracia dé Dios y ,por la Constitucioá de la monarquía española, Rey de las Españas , á…</t>
  </si>
  <si>
    <t>…as Cortes podrían declararlo asi. Asimismo se aprobó el dictamen de la comisión de Salud pública, ' * CAPÍTULO PKlMLTtO. / la cual., después de haber examinado-la proposiciott-del Sr. Lastarria - S ■acerca de que se hiciese el experimento de si la fiebre amarilla se pro . . De la inviolabilidad¡autoridad y.jurasneriío del Rey. pagaba saliendo las personas 2 cierta situación sobre el nivel del mar, Art. 102. La persona del Rey es inviolable, y no est…</t>
  </si>
  <si>
    <t>…no $s exacto» La facultad queiestamos ejer que debia aprobarse el dictamen de ia mayoría de la comisión. ciendo ahora es la décimaquinta de las Cortes, que es hacer efectiva la El Sr. Lastarria hizo varías observaciones, fundándose en algunos de responsab{lrdad''á los empleados»- .&gt; - . •' los principios manifestados por los Sres. que habían impugnado él dic El mismo Sr. Romsro-Alpuente citó: una ley dé Partidas , lo qué tamen dé la comisión, opinan…</t>
  </si>
  <si>
    <t>Lastima</t>
  </si>
  <si>
    <t>…. • , . • El Sr. Lasanta se opuso á la propo icion, manifestando que de dis Primera provincia Alicante. cutirse por provincias, como quería el Sr. Serrallach, se suponía que no El Sr. Lastima dijo: Cuando he pedido la palabra para hab’ar en estaban deteiminados sus límites: lo que no era asi: que eu su concep contra del dictamen de ia comisión relativamente, á ¡a provincia ds to el modo cómo se debia discutir este act.culo era como había indica Al…</t>
  </si>
  <si>
    <t>Lastra, Juan Saíz</t>
  </si>
  <si>
    <t>Juan Saíz Lastra</t>
  </si>
  <si>
    <t>…ndo ij. Pedro Gar citó, y que en todos los actos públicos y diplomas se aña cía Obeso: milicianos D. Máximo Bares. D. Migue! Cadiese á la palabra Rey la de constitucional. ma'eño, D. Juan Saíz Lastra, 1). Franeí-co Casarietto y Se procedió al nombramiento de cinco diputados para D. Mannel Gutiérrez; y ademas el ciudadano D. Francisco la comisión que debe establecer las bases de la Constitución, Serrano. y salieron electos los Sres. Fernandes Thomaz por 58…</t>
  </si>
  <si>
    <t>Latonr</t>
  </si>
  <si>
    <t>…sal á las órdenes un nuevo temple á sus almas. del general Regis marchó sobre aquel punto, adonde llegó el 6. El «Medio siglo de combates, las ligas, ios esfuerzos, las traiciones general Latonr volvió á Novara, y consiguió introducir en la plaza por del despotismo, el movimiento denodado de las naciones, sus próspe caminos extraviados 1200 caballos austríacos, pertenecientes á tos 89 ros sucesos, y aun sus descalabros, todo debía contribuir al triun…</t>
  </si>
  <si>
    <t>Latorre</t>
  </si>
  <si>
    <t>…le hi bre. É=&gt; bien seguro que sus personas harán poza falta para promover ia cieron concebir el proyecto de una contra-revolucion. La combinó en felicidad general. secreto con el general Latorre, comandante de Novara, y después de Una persona de la mayor confianza escribe desde Turin fel 2 e, lo si haber hecho salir la Princesa para Niza el dia 20, y un ayudante suyo guiente: Las noticias que tenemos da Ñipóles y de ios egércitos son para Genova, con…</t>
  </si>
  <si>
    <t>Latorré</t>
  </si>
  <si>
    <t>Gaceta de Madrid n.º 226 (extraordinaria)</t>
  </si>
  <si>
    <t>…i*4 =visión del brigadier Morales ¿ se apoderó dé dicha ciudad, y batió completamente á Beímu * in teríor; sedez, cuyos restos perseguía.. Del avisaba de otra acción ganada por el general Latorré al egército de ,Bolívar ¡ ningunos de talles hay en esta plaza de dichos sucesos, que son ciertos en todas sus partes; pero se aguar da la fragata de; Puerto- Cabello , y no ticiaré á V. E. cualqúíera nueva noticia que conduzca. Todo lo que participo á V. E.…</t>
  </si>
  <si>
    <t>Latorre, Antonio María de</t>
  </si>
  <si>
    <t>Antonio María de Latorre</t>
  </si>
  <si>
    <t>…esta ley dentro del tidades- que acredita deberle el Estado con motivo de la expedición de término de ocho anos, contados desde el día en que tome posesión da Ultramar; y otra de D. Antonio María de Latorre, en representación de silos , pena de perderlos en todo ó en parte, según que haya faltado á los herederos de su difunta muger,.para que se le admitan en tesorería la obligación impuesta por este artículo. ciertos créditos. Art. 14. „Todo terreno cedido en vi…</t>
  </si>
  <si>
    <t>Latour</t>
  </si>
  <si>
    <t>…ipe de Carinan formal del consejo privado. entrase en Turin ( no se sabe cuando) al frente de las tropas al mando Por último se desechó la adición por una mayoría de 19 votos. del general Latour; y añadiendo, según su estilo, que los facciosos se También se desechó por una mayoría de. 43 votos otra adición habian encerrado en las ciudadelas de Turin y de Alejandría; y que el para que fuesen excluidos los católicos de las funciones de gobernado voto d…</t>
  </si>
  <si>
    <t>…9 los siguientes pormenores sobre Ja sangrienta acción que se empeñó se Ies niegan los derechos que les pertenecen porqqe los han recibido del en el Piamonte entre las tropas del general Latour y las constitucionales. mismo Dios , sino que hollando la justicia , se tiene la osadía de hacer n El dia tres de este mes dirigió el general en gefe Latour un mo les una guerra inicua y cruel-, sí; pero las mismas cadenas con quedos vimiento sobre Verceil pa…</t>
  </si>
  <si>
    <t>…. Añadió que el folleto, que había sido gefes militares piainonteses que habiendo desconcertad &gt; el proyecto del causa de los desórdenes de Glascow, se había remitido expresamente general Latour, que intentaba marchar desde Novara contra Turin , y de Lóndres, en donde había ahora otro nuevo Oliverio, emisario lle habiéndole obligado á replegarse á Novara desde Verceil, hasta donde no de actividad, y á quien arrancaría prontamente la máscara, no se ha…</t>
  </si>
  <si>
    <t>Latre</t>
  </si>
  <si>
    <t>…Allende, Ro nota. En la gaceta de ayer , columna 9 , líneas 53 y 61, donde di mero Alpuente, Zapata y Manescau, contrarios á la aprobación del ar ce el brigadier Vázquez, léase el brigadier Latre. ticulo 3.', y se levantó la sesión. SUPLEMENTO</t>
  </si>
  <si>
    <t>…diese su das de S. Fernando á los mariscales de campo Riego , Quiroga, Arco dictamen , y esta lo habia dado en los términos que el Congreso acaba Agüero, López Baños, O-Dali y al brigadier Latre. ba de oir. Se pasó á la comisión de Marina una exposición de varios indivi El Sr. Lallave pidió que se leyesen los artículos 109 y ti i del re duos del departamento de Cartagena para que respectivamente se les glamento interior. ¡ aumentase el sueldo. Uno de…</t>
  </si>
  <si>
    <t>…sospechosos hasta el estado de despreciar tan descaradamente las órdenes del Go sean separados de sus mandos: pues Señor, se separan gefes; pero advir- bierno , forzando al digno Sr. Latre, gefe político superior y capi tiendo que estos son los constitucionales, porque nadie sino ellos serán tán general de esta provincia, á devolver al general Mina el mando los sospechosos en sentir del ministerio. Se crea una junta consultiva militar de que V.…</t>
  </si>
  <si>
    <t>…stado pasivo de rentas á un estado activo. Las El otro cargo ó inculpación que se ha hecho es que se autorizaba contribuciones como antes se cobraban era un estado sumamente pa al brigadier Latre para separar del mando, aunque no para quitar de sivo de rentas, tanto por la diversa naturaleza de ios empleados , como tus empleos, á los oficiales respecto de quienes juzgase inuisp. usables por la calidad de las mismas contribuciones, y por la incoherenci…</t>
  </si>
  <si>
    <t>Latre, D- Manuel</t>
  </si>
  <si>
    <t>D- Manuel Latre</t>
  </si>
  <si>
    <t>…López Baños , D. Demetrio O-Daly y D. Carlos Espinosa se señal3 de x 821.” Siguen las Jimias de los gefes y oficiales de los cuerpos. otra rema anual de 408 rs., y otra de ao3 al brigadier D- Manuel Latre para ellos, y en su defecto para sus mugeres é hijos. 3.0 Las rentas NOTICIAS DE ESPAÑA. que se señalan en los artículos anteriores podrán, si quieren los intere sados , capitalizarlas con arreglo á las tablas de probabilidad de la vida Madrid Miércoles ag de…</t>
  </si>
  <si>
    <t>Latre, Manuel</t>
  </si>
  <si>
    <t>Manuel Latre</t>
  </si>
  <si>
    <t>…zo anuncian ser bas lipe de Arco Agüero, comandante general de la provindcia de luy , y ' tante senas las turbulencias de la Moldavia y Valaquia. Parece que hay para su resulta al coronel D. Manuel Latre, comandante dtl segundo pían formado por los griegos para sustraeise del dominio de L urqur.t, y batallón de voluntarios de Aragón ; á quien, en consideración á los que se halla á su frente el príncipe Ipsilanti. » Lo que es positivo (dice distinguidos mérito…</t>
  </si>
  <si>
    <t>…e se le presentará de lo resuello y se señaíe una renta anual perpetua de 40© rs.; y otra de 2oS) al briga convenido en el juicio de conciliación. 9.0 Toda persona demandada, dier D. Manuel Latre.” á quien cite el alcalde para la conciliación, está obligada á concurrir Después de una ligera discusión quedó aprobado este artículo qui ante él para este efecto si reside en el mismo pueblo. Si no lo hiciese, tando la palabra perpetua. se le citará segunda…</t>
  </si>
  <si>
    <t>…lico en toda la Península. Arco-Agüero , D. Miguel López Baños , D. Demetrio O-Daly y Don Los sabios decretos de las Cortes, y las disposiciones eficaces que Carlos Espinosa, y el brigadier D. Manuel Latre , con sus dignos com el Gobierno toma, producen los efectos mas favorables en todos los pañeros y demas personas que han contribuido con sus nobles virtudes habitantes , luego que desengañados de sus preocupaciones y errores, lie-, al restablecimiento de la C…</t>
  </si>
  <si>
    <t>Látre, Manuel</t>
  </si>
  <si>
    <t>Manuel Látre</t>
  </si>
  <si>
    <t>…apaces de'transigir‘con ei » Pocos dias después de haber salido de esta ciudad nuestro dignu despotismo por'debilidad ó por ínteres, y de suscribir bajatuenteá los,' gefe político D. Manuel Látre se recibieron aquí noticias de lo ocur designios de los enemigos de nuestra gloria y dé .nuestra prosperidad.. rido en Cádiz, con motivo del nombramiento del general Venegas paPodríais nombrar tales diputados; petó &lt; habríais cumplido vuestros de rá comandant…</t>
  </si>
  <si>
    <t>Laude, Eugenio</t>
  </si>
  <si>
    <t>Eugenio Laude</t>
  </si>
  <si>
    <t>…n del art. 6° del proyecto sobre dotación vieso, ayudante: D. Antonio Valverde, id.: D. Rafael Correa, Ídem: del clero, que dice asi: » Las pensiones ó cargas impuestas sobre cual D. Eugenio Laude, sargento i.°, y D. Melchor Fernandez /sargento 2.a quier beneficio eclesiástico que no excedan de 200 millones reís pagarán 2. J Otra con el mismo objeto hecha por los oficiales del mismo de solamente la décima; y cuando excedan de esta cantidad se practica…</t>
  </si>
  <si>
    <t>Lauria</t>
  </si>
  <si>
    <t>…s sentimientos de lealtad hácia la persona del Rey. tivo al fuero eclesiástico , ocasionó una discusión bastante Esperamos que el tiempo nos haga ver hasta qué punto acalorada. El Sr. Lauria manifestó que nunca habla habido conmueven estos malos presagios á los ministros, y las pro en el reino de Ñapóles ningún tribunal eclesiástico seme videncias que adoptan. Por ahora no vemos sino indecisión jante al que se quena establecer, y.que el que erigi…</t>
  </si>
  <si>
    <t>Lauson</t>
  </si>
  <si>
    <t>…rillante, del capitán D. Ramón Botet. El otro entrado procede del Marín de La-Serna; dando repetidos vivas, que fueron contestados in- mismo puerto, del bergantín ingles Sara, del capitán Lauson , que se m idiatamente por el innumerable concurso que ocupaba la plaza. En se ha mandado saliese inmediatamente á la mar. En los demas puntos no guida el Sr. alcalde primero constitucional D. Pedro Gil de Ledesma, ocurre novedad. con el entusiasmo que lo car…</t>
  </si>
  <si>
    <t>Lavalle</t>
  </si>
  <si>
    <t>…entre otras cosas, se citase y emplazase bras. ¡Varonas. tos. monios* dos. bras. Varones. por último término á los acreedores y demás interesados ausen tes á la testamentaría del Sr. Lavalle, para que en el término de un mes, contado desde que saliese anunciado en la gaceta, com pareciesen en el referido juzgado á legitimar sus créditos y pe dir lo que Ies convenga; prevenidos que de no verificarlo asi se procederá á la distribución del corto cau…</t>
  </si>
  <si>
    <t>Lavaux</t>
  </si>
  <si>
    <t>…e la sanción y el baux , quejándose de que el ministro de la Guerra le hubiese privado veto eran cosas distintas, explicando sus diferentes objetos; y se apro del medio sueldo. El general Lavaux hizo presente lo disperso, des bó el artículo como se hallaba en las bases. contento y despreciado que se hallaba el egército, abrumado bajo el Se pasó.á tratar ,'deLaít. ..¿3., acerca del .Cuál ¿I Sr. Maldonado dijo, peso de la arbitrariedad, y que los minis…</t>
  </si>
  <si>
    <t>Lavedan, Antonio</t>
  </si>
  <si>
    <t>Antonio Lavedan</t>
  </si>
  <si>
    <t>…nistrar las fu migaciones para exterminar los mismos contagios de los navios, hos f O Hemos tenido especial satisfacción al observar en el Eco At pitales, cárceles, casas &amp;c.; por D. Antonio Lavedan, profesor da Vadilla del 28 que ya sus editores van manifestando ideas de las que medicina y cirugía: dos tomos en 4.0, con una lámina con &lt;5 figuras y pueden contribuir mucho al orden , y que convienen con algunas de su explicación, á 42 rs. en rústica y 50…</t>
  </si>
  <si>
    <t>Lavori, Josef</t>
  </si>
  <si>
    <t>Josef Lavori</t>
  </si>
  <si>
    <t>…las doce del día en virtud dedas Que: el teniente de.auditor de Figueras está conociendo de órdenes que dio el Rey en la apertura de la sesión.. cierta instancia egecutiva contra D. Josef Lavori, capitán ; El presidente leyó una carta del mariscal duque de Re que .fue de migueietes,.y.que disfruta fuero de guerra civil gio , en que daba ,parte á ¡a Cámara de que S. M. se había y criminal; que ha acudido á V. E. á fin de que mande servido, poner á su.…</t>
  </si>
  <si>
    <t>Layrava</t>
  </si>
  <si>
    <t>…e habia de atender mas á unas que á veces se ha visto también con la muyot satisfacción alistarse la oficiali otras. ' dad como simples soldados para perseguir i los malévolos. El Sr. Layrava dijo: La comisión de Hacienda rebaja del-presu La conducta del ele o contribuye en sumo grado á que ¡os pueblos puesto de gastos 8.800,540 rs., destinados á casas de beneficencia, fuñ acaben de penetrarse bien de ios beneficios que resultan de! (¿tímen id uul…</t>
  </si>
  <si>
    <t>Lázaro</t>
  </si>
  <si>
    <t>…iculo 25 de las bases de Después de haber hecho el Sr. Revira varias reflexiones acerca de la aranceles. utilidaH de conducir la correspondencia por la marina de guerra, porque El Sr. Lázaro hizo presente que acababa de tener noticia de que un iba mas segura, y porque pr- porcionaba un medio para que s« instruye pastor criado suyo habia cogido en las inmediaciones de Segovia á uno sen los oficiales jóvenes, á cuyo cargo no se podía poner el mando…</t>
  </si>
  <si>
    <t>Le, Agustín de</t>
  </si>
  <si>
    <t>Agustín de Le</t>
  </si>
  <si>
    <t>…a- las objeciones qtíe sobre la misma materia le rematantes. . hagan des de sus coopositores por espacio de un cuarto de hora cada Opúsculos políticos,dedicados á la juventud por D. Agustín de Le* uno.- El .segundo egercicio consisrirá en, que sorteando tres animales tamendi. Se vende a 5 rs. á.la rústica en casa de Sanz y de Bruta: cua enfermos eifre todos-los que se hallan en las caballerizas hospitales de derno i.°r la obra se compondrá de 3 , y se…</t>
  </si>
  <si>
    <t>Le, Antonio</t>
  </si>
  <si>
    <t>Antonio Le</t>
  </si>
  <si>
    <t>…reforma de sets Estados, esirieráridósé en aéelérar’áqúe capitán de caballería. lias-que croe mas converiientés á süs- iritéreses y situación; Contestación á varios problemas, por D. Antonio Le y mas bien parece observadora de los sucesos-de Europa,* tona y Beteluis, que tratan de si debe ser del cuidado del que'-calculadora dé sús résúltadós; - , cuerpo.de artillería la compra de cureñas y montages, ela -Entre tanto ,■ estés trés; úlriirias 'potenc…</t>
  </si>
  <si>
    <t>Leal</t>
  </si>
  <si>
    <t>…érica, ó de los establecimientos europeos en no para el Gobierno. Entre los pasagerns que trae á bordo ella , que se presenten siete meses después en la línea de blo se cuentan el doctor Leal y un oficial español que viene del queo, serán enviados á Valparaíso para ser juzgados según Perú. El 11 de dicho mes habia entrado en el Rio el cor las 1 eye5 de las naciones; á los que procedan del Rio de la .1 reo Infatué D. Sebastian, que salió de Lisboa…</t>
  </si>
  <si>
    <t>Leal, Boque</t>
  </si>
  <si>
    <t>Boque Leal</t>
  </si>
  <si>
    <t>…y exactitud, que merece servir de modeló á todos los hombre y de la muger, y de los medios de remediarla. que toman á su,cargo empresas de esta naturaleza. Aunque Carta tercera de D. Boque Leal. Diezmos. Opiniones del los franceses estaban ocupados en otros objetos muy dife F.Veloz sobre su origen. La del Sr. Ros, obispo de Tortosa, so rentes., tampoco abandonaban las tareas geográficas. Sí los bre este precepto. Diezmos introducidos en España.por l…</t>
  </si>
  <si>
    <t>Leal, Juan García</t>
  </si>
  <si>
    <t>Juan García Leal</t>
  </si>
  <si>
    <t>…ma bienhechor, á aumentar sus crimi de Antoñana , ha señalado para junta de acreedores á la testamentaria de nales tentativas, seduciendo á los incautos y sencillos para turbar en D. Juan García Leal , agente de negocios que fue en esta cc-tte . el algunos puntos el orden piiblico. También pudieran servir de pretexto martes s¡4 del presente mes, á las 9 de su mañana , en la posada de di estos sucesos á ciertos genios inquietos, inconsiderados é imprudente…</t>
  </si>
  <si>
    <t>Leal, Roque</t>
  </si>
  <si>
    <t>Roque Leal</t>
  </si>
  <si>
    <t>…ado ; las reformas útiles que la época ha permitido hacer en muchos ramos de Ja administración ANUNCIOS. general, todo es público y manifiesto, y ha causado la ad Carta segunda de D. Roque Leal sobre la representación miración, y aun excitado la emulación de otros pueblos; y del arzobispo. d¿ Valencia á las Cortes. Fuero edesiástico. la si en el cálculo de los beneficios entra, corno debe entrar, doctrina de este prelado sobre el fuero, desmentida p…</t>
  </si>
  <si>
    <t>…uda al juzgado del expresado señor juez por la es cribanía de número de cargo de D. Feliciano del Corral.el pliego de condiciones relativo de la expresada subasta. Carta cuarta de D. Roque Leal.. Diezmos. En qué sentido son espirituales, de Dios y de Cristo. Alto dominio que sobre VARIEDADES. ellos conserva la autoridad temporal. Si' fueron hereges los Re yes de España que dispusieron de ellos. Cuatro dudas. Diez Ciencias. Breve exposición de los be…</t>
  </si>
  <si>
    <t>…a en la libre El comerció traía de Hungría, y dé Holanda el al- ría de Orea y de Quírós : su precio 20 rs. . bayalde; pero-Mr. Roard lo hace dé mucha mejor calidad Carta quinta de D. Roque Leal. Bienes .eclesiásticos. Si es despojo la aplicación de los bienes monásticos ;í las necesidades en su hermosa fábrica de Clichi; otros químicos han pri públicas. Dueño de estos bienes. Tres clases de ellos. Opinión vado á los holandeses de los enormes benefic…</t>
  </si>
  <si>
    <t>…da con la casa escuela, con la parroquia de San de acreedores de D. Patricio Ribera, vecino y del comercio que fue de esta corte.Cristóbal y su calle, en 61,668 rs. • Carta 7.a de D. Roque Leal. Supresión de monasterios. Si Otra casa en dicha colación , contigua á la anterior, lin es total ruina. Si es abolición perpetua de la profesiou monástida con corrales del hospital de la Misericordia, casa de la ca. Si es contraria á la religión católica. Cóm…</t>
  </si>
  <si>
    <t>218</t>
  </si>
  <si>
    <t>…do negativamente, los percibe mas pequeños, las librerias .de Escribano y Villareal á 20 rs. en rústica. con menos claridad y azulados, colores que indican los Cartas 8.a y p.4 di D. Roque Leal. Supresión de monaste rios. Doctrina, y clamores de españoles porque se disminu extremos opuestos del espectro prismático. Es bien sabido yan los regulares. Dueño de los bienes monásticos. Perjuicios morales y políticos de su exceso. Estado de nuestras casas…</t>
  </si>
  <si>
    <t>…auto otrac debajo del nervio hácia la región-diafragmátíca, basta res de mejor nota: obras del mismo Araujo. sen para excusar toda operación quirúrgica. Se puede eiíipeCarta 10 de D. Roque Leal. Jesuítas. Imputación del ex zar haciendo ésta prueba. trañamiento de monges y religiosos. Exterminio. Si Cárlos ni : La inmersión del cuerpo en agua fría acelera sobremanera recibió órdenes de la filosofía. Bula de extinción de los jesuítas. la extincion-de…</t>
  </si>
  <si>
    <t>Leal.-Disciplina, Roque</t>
  </si>
  <si>
    <t>Roque Leal.-Disciplina</t>
  </si>
  <si>
    <t>…que tenia á su.disposicion las.mejores tropas del-mundo. Al fin ir en carta. • .- , . - ■ triunfó la causa de los holandeses, los cuales fundaron en medio de sus Cartas 14 y 15 de D. Roque Leal.-Disciplina/.Origen: de su divi lagunas una república, qué con' razón pudo -llamarse la- maravilla dei sión en interna y externa. El Sr. Arias .desmentido por el R. P. Velez, mundo, el milagro de la. lihertad-.. : . . ■ n . y ambos-por. españoles sabios. Dos. venenos. In…</t>
  </si>
  <si>
    <t>Léal.-Sujecion, Roque</t>
  </si>
  <si>
    <t>Roque Léal.-Sujecion</t>
  </si>
  <si>
    <t>…riales al setoridad del Gobierno está sostenida por todos,'la fuerza de todos- está cretafiQ. del, ayuntamiento constitucional de dicha.ciudad.. en su mano. . i) Cartas 12'y 13 de D. Roque Léal.-Sujecion de los ¡regulares á la En las monarquías absolutas la fuerza de lá ley-consiste solamente jurisdicción de los obispos. Si han variado en esto las Cortes alguna ley en el terror. Verdad es que este terror sujeta-los pueblos;'pero éstos de disciplina. Si pueden…</t>
  </si>
  <si>
    <t>Leco</t>
  </si>
  <si>
    <t>…do Lushi, que según la plaza de Montevideo. Entre tamo se habia formado una junta na opinión de éstos naturales era ei único que por su fuerza y peiicia mi cional presidida por el general Leco? , siendo vice-presidente ei coronal litar sosteniq.á su gefe» La cabeza y manos de dichos facciosos fueron Pimentel, que estaba 4 Ja cabeza del movimiento. llevadas a-Fez a presentarlas a Solimán, y el cuerpo, después de haber Los periódicos refieren varios…</t>
  </si>
  <si>
    <t>Lecor</t>
  </si>
  <si>
    <t>…e se.les diese ¡a paga atrasada de 2 2 meses. La cosa hubie-, se.luya titblado grandes potencias, pues al cabo.sns pueblos forman una ra sido.muy seria á_ no.haberlos contenido.el general Lecor, prometí ¿ur raasa..bastante respetable/, y su opinión en favor de los griegos no pue doUs satisfacer á su demanda en ei termino de 30 dias. Es muy de te de ser indiferente iJos .Gabinetes. mer que no pueda cumplir esta'palabra , y. que el resentimiento de la…</t>
  </si>
  <si>
    <t>Ledcsma, Rodríguez de</t>
  </si>
  <si>
    <t>Rodríguez de Ledcsma</t>
  </si>
  <si>
    <t>…ese interesante con mucha mas detención que lo que dándose dos horas mas de lectura para este efecto. , no lo fuese, resultando suficiente el tiempo que se señalaba para la ins El Sr. Rodríguez de Ledcsma manifestó que era impracticable lo trucción de los defensores. Estos ( continuó ) no tienen otra cosa que que se proponía, en razón de que los procesos criminales se debían mirar hacer sino ver si el extracto corresponde fielmente con la causa, ó si como una…</t>
  </si>
  <si>
    <t>Ledesligiosos, Rodríguez de</t>
  </si>
  <si>
    <t>Rodríguez de Ledesligiosos</t>
  </si>
  <si>
    <t>…stitución ¡ un proyecto de decreto presentado por el Sr. Puiblanch, A la de Legislación se pasó una representación del ministro y re sobre reuniones patrióticas: otro proyecto del Sr. Rodríguez de Ledesligiosos terceros del convento de la Consolación de Sevilla sobre que ma , dividido en 8 artículos, sobre pasaportes para disminuir el núme sea válida la venta de algunas fincas, que se verificó antes del decreto ro de vagos, holgazanes y mendigos: una proposición del…</t>
  </si>
  <si>
    <t>Ledesma</t>
  </si>
  <si>
    <t>…u importante salud. Salvador y. Villanueva, se aprobó, con la adición que hizo este señor, para que después de armas dijese y municiones. CORTES. Se leyeron unas proposiciones del Sr. Ledesma, contenidas en ocho artículos, para que se obligue á fijar domicilio y vecindad conocida a PRESIDENCIA DEL SEÍToK GUTIERREZ DE TERÁN. todos los ciudadanos españoles: que a todo artesano, de los que en cier Sesión del dia 8 de Abril. ta estación del año van ¡i…</t>
  </si>
  <si>
    <t>…n Ultramar.” No gar del Sr. Sancho al Sr. Al vare/ Guerra, y para la comisión especial hubo lugar á votar sobre este articulo. del proyecto de ley sobre policía, presentado por el Sr. Ledesma, á este Se mandó) suprimir el artículo 8.’, que tenia al margen la misma misino , y ií los Sres. Gil de Linares, Cosío , López (jD. Marcial} y Ma- nota que el anterior, y decía asi: » Tgual pena sufrirá el que de pala r:.¡ Tiiusle. bra ó) por escrito zahiries…</t>
  </si>
  <si>
    <t>…s descalzos, y en San hensión , aunque resulte después no ser la competente.” ta María del Campo el de trinitarios calzados. S. M. ha tenido á bien A la referida comisión otra del Sr. Ledesma al art. 15 , que decia: resolver igualmente que el R. obispo y elGefe político destinen los re ,,Añádase que no podrán escusarse.” Lo mismo se egecutó con otra ligiosos de los conventos que se suprimen; á los de la misma orden en del Sr. Serrallach al art. 4.…</t>
  </si>
  <si>
    <t>…eder á ella como visitador, ó como encar el dictamen de la comisión. gada de informar á las Cortes acerca de si había, lugar á hacer efectiva Se aprobó igualmente U indicación del Sr. Ledesma, que decia asi: la resno.nsabilidad :í los jueces que hubiesen intervenido en dicha causa; ,,Que para los gastos de libros de 'asientos y papel común se exija á y después de una discusión entre distintos Sres. diputados, se resolvió las partes una cantidad qu…</t>
  </si>
  <si>
    <t>…e las Cortes tengan á bien deses La comisión opinaba debía aprobarse la adición á los artículos 8.5 y tancar y permitir etcomercio libre del ramo de orchilla , en las isias to del Sr. Ledesma , que decía asi: » Que se declare que las huertas, Canarias , tanto er¿ lasque hasta ahora se han apellidado de señorío, casas de campo y de recreo quedan sujetas á la contribución territo- como en las otras tres mayores que siempre han pertenecido á la Na ci…</t>
  </si>
  <si>
    <t>…a deuda pública de las provincias Vascon «n el italiano de Paris. Citaremos también en la parte de cantado al gadas y Navarra , encargando esta operación á comisionados especiales Sr. Ledesma, que fue maestro de la Serma. Princesa de Gales, y se halla que nombrará al efecto, sin que sea visto que en esta liquidación en en el dia en la Real capilla. Sor, Fosca, Roldan y otros han introduci tre la que toca á deudas municipales de ciudades, villas y…</t>
  </si>
  <si>
    <t>…que voluntariamente han querido darlas: Continuó la discusión del código penal. en este estado no me parece que debemos decir que se suspenda esta Se leyeron dos proposiciones del Sr. Ledesma, relativas á que me discusión. El Sr. Ramonet ha hecho muchas observaciones acerca del diante que estaba extendiéndose el proyecto de ley sobre policía, como código; pero como quiera que cada una de ellas es sobre determinados que so'o faltaba rectificarle ,…</t>
  </si>
  <si>
    <t>Ledesma, Francisco Rodríguez de</t>
  </si>
  <si>
    <t>Francisco Rodríguez de Ledesma</t>
  </si>
  <si>
    <t>…e Segovi i ál ad el conde de Berry, miembro dél instituto de Bolonia , y traducido al ministrador principal de los expresados ramos, advirtiéndose no se ve español por elciudadano D. Francisco Rodríguez de Ledesma, abogado rificar.! la entrega de aquellos sin que preceda esta circunstancia. Segc- del ilustre colegio de esta corte. Un tomo en 87, que se vende á 10 rs. v,a ¡6 de Marzo de 1821.=E1 intendente general de dicha provincia en rústica en las librerías de Rodríg…</t>
  </si>
  <si>
    <t>Ledesma, Pedro Gil de</t>
  </si>
  <si>
    <t>Pedro Gil de Ledesma</t>
  </si>
  <si>
    <t>…idiatamente por el innumerable concurso que ocupaba la plaza. En se ha mandado saliese inmediatamente á la mar. En los demas puntos no guida el Sr. alcalde primero constitucional D. Pedro Gil de Ledesma, ocurre novedad. con el entusiasmo que lo caracteriza , leyó en alta voz al pueblo una ex De orden de la M. I. junta municipal de sanidad = Francisco Al celente proclama, análoga sobremanera al objeto del día, y muy acomo tes , vice-secretario. dada al caráct…</t>
  </si>
  <si>
    <t>Ledesma, Rodríguez de</t>
  </si>
  <si>
    <t>Rodríguez de Ledesma</t>
  </si>
  <si>
    <t>…cer su salud. _ - - &lt; : tonces no se decía que la Carta era la contrarevolucion. ( El general Se mandó pasar á la comisión de Legislación una exposición del se Foy, bravo....) ñor diputado Rodríguez de Ledesma, en la que pide se le considere en Estos mismos principios, profesados hoy por pueblos que son nues igual caso que á los ex-diputados García Herreros y otros, haciendo tros aliados naturales, no valen menos que esas pretensiones añejas que extensivo á su pers…</t>
  </si>
  <si>
    <t>…s menos. Creer que esta es una pérdida para Badajoz es un error. Lo que Aprobado.' ............... ■' fomenta esta ciudad es'la guarnición; y mientras exista esta, Badajoz se ' El Sr. Rodríguez de Ledesma leyó varios trozos del dictamen de mantendrá en el mismo pie que hasta ahora. fa’dótríision, y asimismo el voto particular del Sr. Alvarez Guerra, y Con respecto á las circunstancias de diferencia que hay entre Méprosiguió leyendo : » La comisión ha estableci…</t>
  </si>
  <si>
    <t>…enera ana mera contravención de ley, ordenanza ó reglamento particular de les que estarían en contradicción. este reino, podrá poner como excepción la ignorancia de dicho regla El Sr. Rodríguez de Ledesma manifestó que como estaba el artícu mento, ordenanza ó ley; y si resultare cierta ó verosímil, nosele cas lo redactado por la comisión presentaba alguna obscuridad, y que las tigará sino con la mitad dé la pena señalaba al delito ó culpa que hubie excepciones…</t>
  </si>
  <si>
    <t>…individuos que la componen! No: luego no hay El Sr. Alvarez Sotomayor: A las observaciones que ha hecho el proporción entre el delito y.la pena; y el legislador, siempre que impo Sr. Rodríguez de Ledesma no se ha satisfecho, y por lo mismo si los ne una pena, debe atender á las consecuencias que resulten en perjuicio Sres. de la comisión no tienen dificultad se puede votar el artículo en de la sociedad. Si el delito fuese de perturbar el orden público ó otro…</t>
  </si>
  <si>
    <t>…ngo 16 de Diciembre, de poder hacer observaciones; por cuyo motivo opinó dcb.a aprobarse el dictamen de la comisión. SS. MM. y AA. continúan sin novedad en su importante salud. El Sr. Rodríguez de Ledesma dijo que se oponia al dictamen de la comisión por la generalidad con que estaba extendido, pues se comprenCORTES EXTRAORDINARIAS DEL AÍÍQ DE 1821. dia en él hasta un compás , y no habia duda que en España había artí fices capaces de hacer un compás, si no máq…</t>
  </si>
  <si>
    <t>Ledesma, Rodriguez de</t>
  </si>
  <si>
    <t>Rodriguez de Ledesma</t>
  </si>
  <si>
    <t>…al código criminal, y luego ei mo ARTICULO DE OFICIO. do da proceder para exigir esta responsabilidad, tocará al código cor respondiente- Circular del ministerio de ia Guerra. E! Sr. Rodriguez de Ledesma apoyó el artículo , manifestando que n Deseando el Rey calmar la justa impaciencia del egército , y ponef tratándose de una culpa debia fijarse esta como habla dicho el Sr. Caia- un término á la incertidumbre en que se hallan sus individuos por no trava en- e…</t>
  </si>
  <si>
    <t>Ledesma, Rodríguez- de</t>
  </si>
  <si>
    <t>Rodríguez- de Ledesma</t>
  </si>
  <si>
    <t>…tículo. se podrían valer de cualquier: escribano Real ó numerario del partido , El Sr. Puigblanch, apoyando en parte la opinión del Sr- Traver,- para que actúe en el sumario. Y-el Sr. Rodríguez- de Ledesma añadió, afiadió algunas observaciones acerca de lo impracticable que era publi que se expresara que estos no podrían excusarse.: . •car el bando en ciertas ocasiones y lugares; y después de haber apoya Se aprobaron este art. y el 16 conforme decia la comision…</t>
  </si>
  <si>
    <t>Ledesnia</t>
  </si>
  <si>
    <t>…as Cortes deci efecto inmediato de la orden , consejo, instrucción ó amenaza &amp;c.” dirán si se ha de aprobar ó no. El Sr. Romero Alpuente hizo varias reflexiones para manifestar El Sr. Ledesnia dijo que las Cortes debían aprobar el articulo, pues que debia imponerse mayor pena al que mandaba cometer un delito que to que la comisión io presentaba redactado en los términos que se al que lo aconsejaba ; á Jo que contestó el Sr. Vadillo que muchas ve de…</t>
  </si>
  <si>
    <t>Ledesrna</t>
  </si>
  <si>
    <t>…a parte agraviada todos los pe: juicios; ” y hibiendo exa los empleos, sueldos y honores que disfrute. En estos casos ei cura ó minado una indicación que sobre este asunto hizo ei Sr. Ledesrna , le prelado de la iglesia en que se pronuncie el se. morí ó discurso al pue presentó concebido en estos términos: ,, No pudiendo el Rey privar á blo , el secretario que autorice la carta pastoral, edicto ó escrito ofi ningún individuo de su libertad, ni impo…</t>
  </si>
  <si>
    <t>Ledestna, Rodríguez de</t>
  </si>
  <si>
    <t>Rodríguez de Ledestna</t>
  </si>
  <si>
    <t>…el 6.a sin discusión , y se leyó en seguida el 7“ cen necesarias , por la misma razón que ha indicado el Sr. Paul. El Sr. Novoa dijo que era muy extraño que.el Sr. Bahamonde se El Sr. Rodríguez de Ledestna: Voy á hacer una observación reshubiese opuesto á este artículo, sabiendo que era tan análogo á losinte- .pecto de este artículo sin que me oponga á él. Me parece que no esjeses de su provincia, porque la riqueza del país era solamente la in tan los períodos…</t>
  </si>
  <si>
    <t>Ledo</t>
  </si>
  <si>
    <t>…iente carta de Odesa del 14 de Setiembre puede dar motivo ro de la corona. Las Cortes quedaron enteradas. á traslucir con demasiada claridad cuáles son las intenciones de la Ru El Sr. Ledo habló enérgicamente á favor de su patria, manifestan sia; pues aunque no tenga mas carácter que el de una carta particular, do el estado horroroso en que quedaría con la salida del Príncipe el conducto por donde se comunica no deja de darle cierta autoridad.…</t>
  </si>
  <si>
    <t>Lée, Samuel</t>
  </si>
  <si>
    <t>Samuel Lée</t>
  </si>
  <si>
    <t>…ejado descubierto el camino filología. Fenómeno notable de un sabio filólogo que posee diez y de Ñapóles, de lo que se puede inferir que S. A. desea atraer á los siete lenguas. El profesor Samuel Lée, que íiltimamente ha sido nom austríacos. brado catedrático de lengua arábiga en la universidad de Cambridge, El egército de estos ha hecho alto en Forligno, lo que ha dado es sin contradicción uno de los mas sabios filólogos de nuestro si margen a varias con…</t>
  </si>
  <si>
    <t>Legases</t>
  </si>
  <si>
    <t>…e presentará sobre vaciones de los méjorés prácticos. Prescindimos ahora de si la fiebre policía y seguridad interior se hará mérito del lugar adonde puede lle amarilla que vió el Sr. Legases era ó no una ¡nt&amp;ftnitente.perniciosa gar esta para no comprometer la libertad que deben tener los ciudada según piensan otros médicos. : Cómo es posible que en una enfermedad nos, y se marcará el caso en que competed un juez el determinar ciertas como la fie…</t>
  </si>
  <si>
    <t>Leido</t>
  </si>
  <si>
    <t>…es sobre ex deber de los ministros del altar el excitar á los fieles por medio del portación de géneros extrangeros. egemplo y de los sermones á que imploren las misericordias del Señor Leido el proyecto se declaró que había lugar á votar en la totali en las presentes aflictivas circunstancias: es también muy confirme á dad, y se leyó el art. i.°, que decía asi: ese mismo deber el que en vuestras exhortaciones públicas y privadas Art. 1.® ” Todos…</t>
  </si>
  <si>
    <t>Leiria</t>
  </si>
  <si>
    <t>…eliberación. tés, relativos al tesorero; yen consecuencia de esto se pro Entregó el Sr. presídeme una carta del Sr. obispo7 de cedió á su nombramiento, recayendo la elección en el señor Leiria, la que se resolvió pasase á la comisión de Poderes, diputado Luis Monteiro; con lo que se levantó la sesión áá lin de que esta- examinase si eran justas las causas que ex las tres de ia tarde. ponía, S. I.-para no asistir á las Cortes. • El Sr. Pereira do Ca…</t>
  </si>
  <si>
    <t>Leis, Julián de</t>
  </si>
  <si>
    <t>Julián de Leis</t>
  </si>
  <si>
    <t>…Fraga, D. Tomas Perez, D. Juan Antonio de! Cerro, seño AUDIENCIA DE CATALUÑA. res Cock, Sres.-Oterhr Windsor, D. Matías de Gandásegui, Doa Juan Augustus, D. Gaspar Gómez de Alia, D. Julián de Leis, Do* Concluye la visita general de la cárcel pública de la ciudad de Barce Manuel de la Peña Rodrigo y D. Francisco Ruiz, óá sus respectivos he lona , hecha en ay de Diciembre de 1820. rederos y representantes legítimos, á fin de que concurran á dicho juz Pab…</t>
  </si>
  <si>
    <t>Leite, Pereira</t>
  </si>
  <si>
    <t>Pereira Leite</t>
  </si>
  <si>
    <t>…al Con Mr. Donnadieu quiso rélponder; pero no se le concedió la palabra; greso á ratificar su juramentó. y aunque volvió á insistir, el centro y la derecha se opusieron fuerte El Sr. Pereira Leite presentó un proyecto de un particular para que. mente. se coloque en todas las plazas una lápida para eterna memoria de la El general Taraire subió á la tribuna, y dijo asi: Constitución , cantándose un Te Deum. Señores, voy á ver si puedo demostraros que en…</t>
  </si>
  <si>
    <t>Lejalde, Manuel</t>
  </si>
  <si>
    <t>Manuel Lejalde</t>
  </si>
  <si>
    <t>…)' en su ausencia por su hijo y un minis á los sugetos siguientes: tro nombrado. Por la 3.1 queda separada la administración de Sicilia de En la audiencia teiritorial de Navarra á D. Manuel Lejalde, Don la napolitana, y resolverá los asuntos un lugzr-íeráentc nombrado por el Josef María de Zuasna; ar y Francia y D. Fermín Sanz y López: en la Rey en unión con un consejo de ministros. En la 4.'' y 5.a se crean 2 de Sevilla á D. Teotuno Escúdelo, D. Josef…</t>
  </si>
  <si>
    <t>Lelievre, Juan</t>
  </si>
  <si>
    <t>Juan Lelievre</t>
  </si>
  <si>
    <t>…ecer obispados! Sesión extraordinaria del ~. » Enhorabuena: la mayoría lo puede lodo; pero repetiré con el mag Se leyó y aprobó el acta de la última extraordinaria. nánimo abogado general Juan Lelievre, cuyo egemplo no olvidaran El Sr. presidente nombró á los Sres. Fraile, Gutiérrez Acuña , Solos magistrados que están aqui : « Sea cual fuere el poder de los Reyes Ianot, Traver y Cortazar para la comisión encargada de ex*m:nar la y el de las mayorías, ellos…</t>
  </si>
  <si>
    <t>Leñares</t>
  </si>
  <si>
    <t>…calá la Real. En su vista , y con otra. En la misma , col. g.J, lín. 13, donde dice del sr. Linares, presencia del expediente del asunto que con oficio de 16 de Abril úl léase 4el Sr. Leñares.—En el suplemento á la misma, col. t.a, lin. 43, timo se me remitió por el ministerió del cargo de V. E., se ha servi- donde dice Caries, léase Potes. ' ’ ‘ SUPLEMENTO</t>
  </si>
  <si>
    <t>León, Antonio</t>
  </si>
  <si>
    <t>Antonio León</t>
  </si>
  <si>
    <t>…Illana y D. Luis Landaburu. cuyas manos está puesta ya mas inmediatamente la suerte de la patria( Parroquia de S. Martin , 16 electores. da un aspecto casi divino á sus funciones. D. Antonio León, D- Fausto Rojo, D. Félix Ovalle, D- Fran Pero asi como el vicio, el fraude y la alevosía, que se vituperan cisco Arnaiz y Bringas, D. Francisco López Olavarrieta , D. Ignacio en la generalidad de las gentes, parecen mas odiosos, mas indignos en María Aguirre…</t>
  </si>
  <si>
    <t>León, Diego Carrasco de</t>
  </si>
  <si>
    <t>Diego Carrasco de León</t>
  </si>
  <si>
    <t>…Gobierno extranjero. , representándole como resultado de una revolución A la comisión de Infracciones de Constitución se mandaron pasar criminal en su principio. una exposición de D. Diego Carrasco de León , juez de primera instan » El Rey Fernando , que es la cabeza de este Gobierno, ha consen- cia de la Rambla (Córdoba) , vindicándose de la queja que se dió con tidoen todas las variaciones que se han hecho. Con el apoyo de la Cons tra él por una providencia á…</t>
  </si>
  <si>
    <t>León, Josef</t>
  </si>
  <si>
    <t>Josef León</t>
  </si>
  <si>
    <t>…dad de dicho regimiento per cuenta de la sef Echevarría, en el que desde Saltenango participaba que el diputado Nación. Los Sres. Sánchez Salvador, Sancho y Ramonet se opusieron á D. Josef León habia tenido que retirarse á un pueblo, distante 2 leguas este dictamen , y en su consecuencia se declaró no haber lugar á votar. de aquel, por haber caido del caballo, y ser imposible el seguir su Continuándose la discusión del dictamen de las comisiones de…</t>
  </si>
  <si>
    <t>León, María Rafaela</t>
  </si>
  <si>
    <t>María Rafaela León</t>
  </si>
  <si>
    <t>…riegos, dueños de Constantinopla, consiguiesen A la comisión de Hacienda se, mandaron- pasar usa exposición de en virtud de unánimes y extraordinarios esfuerzos tremolar sus bande Doña María Rafaela León , viuda, solicitando que Ia^iudedad de toiJ ras sobre las Siete-Torres, y plantar de nuevo Ja cruz en la cúpula de reales que se le, pagan por .tesorería -en razón del empico que obtuvo Santa Sofia, seria mas fácil hacerlo que sostenerse, á no tener un auxi s…</t>
  </si>
  <si>
    <t>Leonardo</t>
  </si>
  <si>
    <t>…Zalon: para el de Tamarite á D. Josel Queraltó: para el brré , Navas , Lorenzana , Martínez, Yandiolá, Novoa , Gareli, G¡- •de Benavarre á D. joaquin Tudor: para el de Barbastro á D. Leonardo raldo , Zubia, Queipo, Caro. Liñan, Cano Manuel , Villa, Zayas, Veyan: para el de Huesca á D. Josef Moreno Remirez: para el de Benitez, Loriares, Dominguez, Huerta, Torrens, conde de Toreno, Almudevar á D. Joaquin Ruiz Arechavaleta : para el de Cinco Villas A…</t>
  </si>
  <si>
    <t>…ns de la R'iva ; para el Puerto de Santa María á D. Vi -*ar de que se decía después que todos los ciudadanos podian perseguir cente García Villamandos; para Jerez de la Frontera á D. Leonardo .en juicio á un delator falso , no dejaba de ser una cosa agriará mas de Botella; para Medinasidonia á D. Francisco Javier Surga ; para Sanlúque no podia castigarse al comandante del resguardo mientras no hubi.-&gt; car á D. jacobo Vázquez García; para la ciudad…</t>
  </si>
  <si>
    <t>Leoncini, Angel</t>
  </si>
  <si>
    <t>Angel Leoncini</t>
  </si>
  <si>
    <t>…mo dencia de 5 del corriente , que por medio de la gaceta y diario de esta Polifemo: » ¡Qué me falta! Tengo leche fresca en invierno y en ve corte se haga saber á ios herederos de D. Angel Leoncini, D. Mateo rano: mil corderos balan en mis anchas cavernas.” Sin embargo, es de Ibarra , D. Joaquín Fernandez Llano y D. Martin Planté , que en una inadvertencia en los viageros el comparar estas tribus ambulantes el termino preciso y perentorio de un mes, con…</t>
  </si>
  <si>
    <t>Leone, Gaspar</t>
  </si>
  <si>
    <t>Gaspar Leone</t>
  </si>
  <si>
    <t>…le aconsejan. el vice-almirante Rogerio Seitimo, el príncipe Tor'réb'runa , el prínci Pues si esto es as!, el Congreso debe correr un velo sobre el atentado de pe Pandelfina y el Sr. Gaspar Leone. anteayer, y dejar á las autoridades que obren. Varios decretos publicados en Ñapóles, en hombre de S. M. Fer Él Sr.Vitorica manifestó que después de aprobado el dictamen de nando 1 , manifiestan claramente que no reinaba en aquel país toda la la comisión, si…</t>
  </si>
  <si>
    <t>Leonor</t>
  </si>
  <si>
    <t>…e primera instancia de la villa de Osuna, se ha mandado que públicos, desobedeciendo abiertamente las órdenes ó providencias que los bienes de Jos patronatos laicales fundados por Doña Leonor de dictan, sujetándose á las fórmulas constitucionales, es lo mismo que Reina, Dona Elvira García Hidalgo, Doña Teresa Lobo, Doña Ma empeñarse en hacer compatible el amor á la Consiitucion con el que ría Lobo y Alonso Fernandez Lobo, se dividan entre los pari…</t>
  </si>
  <si>
    <t>Leopol</t>
  </si>
  <si>
    <t>…: solamente discordan sobre la novia. Según la opinión gran desavenencia éntre, el gobernador y el cuerpo legislativo. Parece pública la hija del principe Esterazy, la hermana del príncipe Leopol que el primero queria sobreponerse á todas las autoridades de la isla, á do y la marquesa de Cuningham son las tres rivales que se disputan U lo que esté se'opuso con vigor. Habiendo llegado á este tiempo de Ha- mano del Real Esposo. lifax algunos trasportes…</t>
  </si>
  <si>
    <t>Leopoldo</t>
  </si>
  <si>
    <t>…encia' solicitada, y que.los gastos de tras ler del palacio de Marlboroug-Housses hecho ya. La Rei porte los cobrara el cónsul de Nápoles en Sto. Domingo. na ha ofrecido por él al príncipe Leopoldo , según dicen, 4© Sabemos por las últimas cartas de Corfú , que los zamilibras esterlinas anuales. Este convenio, que probablemente' das, y algunas otras tropas griegas que hablan permanecido no se habrá cerrado sin el consentimiento de , los ministros en el…</t>
  </si>
  <si>
    <t>Lequerica, Agustin Antonio</t>
  </si>
  <si>
    <t>Agustin Antonio Lequerica</t>
  </si>
  <si>
    <t>…allamado-por la ley, respetar las autoridades constituidas , y contri nal desde el 30 de Julio hasta hoy. buir á los gastos del Estado, son los principales deberes del ciudadano.” D. Agustin Antonio Lequerica, JD. Juan de la Pedraza, de Santan El Sr., Serpa dijo que en estos deberes se indicase el de respetar la de Bilbao. der. religión; pero se le contestó que este artículo trataba solo de los debe D. Antonio Jardin. ' D. Juan Tomas de Iturralde , de res cívicos,…</t>
  </si>
  <si>
    <t>Lerin, Miguel</t>
  </si>
  <si>
    <t>Miguel Lerin</t>
  </si>
  <si>
    <t>…etos siguientes: para Jaén á D. Josef Serrano Soto para Mirtos á Cuesta y Hontañon, boticario; en Pontevedra en la de D. Juan ArgiD. Francisco Martínez Rey ; para Alcalá la Real á D. Miguel Lerin bay ; en Oviedo en ia de D. Marcos Saraudeses; en León en la de Don Bracamente; para Andujajr á D. Francisco de Paula Molino; para Ube- Antonio Chalanzon ; en Búrgos en la de D. Paulino Alegría, del co da á D. Antonio Vicente Lobariñas; para Bezmar á D. Josef…</t>
  </si>
  <si>
    <t>Lesa</t>
  </si>
  <si>
    <t>…a podía ser sino condicional. Margarita, apresó en la altura de la Madera’al bergantin portueues San ' El Sr. Castello Braticó'dijo que habiendo sido él el primero que ma Luis, su capitán Lesa, que-salió del-Rio-Janeiro-con destino para' nifestó estas ideas en la sesión anterior, y habiendo sido.rebatido túvo Oporto, cargado de frutos del Brasil: dicho corsario tiene 18 cambies-' la prudencia de no insistir mas, por no creer-conveniente el descubri…</t>
  </si>
  <si>
    <t>Lesur, Francisco</t>
  </si>
  <si>
    <t>Francisco Lesur</t>
  </si>
  <si>
    <t>…sus gobernantes, los magistrados insultados por espíritus tur de esta corte. ídem. bulentos, todos tienen el camino abierto en el derecho de petición D. Manuel Orense, de Bilbao. D. Francisco Lesur, de Barcelona. para exponer sus quejas á la autoridad suprema, que debe protegerlos y D. Joaquin Gutiérrez Vial, de D. Andrés Gautier, de Barcelona. defenderlos de todo agravio. Bilbao. . D. J. G. Einard , de Ginebra. Si en la libertad de imprenta vemos abuso…</t>
  </si>
  <si>
    <t>Letamendi, Agustin de</t>
  </si>
  <si>
    <t>Agustin de Letamendi</t>
  </si>
  <si>
    <t>…na. por los motivos que refirió. También recibieron con agrado, y mandaron pasar á la biblioteca, El de la ordinaria de Hacienda, relativo á la solicitud de Doña una exposición de D. Agustin de Letamendi , acompañada de algunos Paula Gonzalo, quejándose de que el monte pió de jueces letrados egempiares de la obra que ha publicado, titulada: Opúsculos político!, nó !é satisfacía la viudedad que tenia devengada, correspondiente al dedicados á ¡a juventud, que p…</t>
  </si>
  <si>
    <t>Letizia, Gregorio</t>
  </si>
  <si>
    <t>Gregorio Letizia</t>
  </si>
  <si>
    <t>…uientes indivi Genova 7 de Abril. duos : el consejero de la suprema cancillería, D. Domingo Griteni, pre Hemos recibido varias proclamas del general en gefe de la liga sidente: el caballero D. Gregorio Letizia, presidente de la G. C. civil griega , de las cuales es la mas reciente laque sigue: de Ñapóles: el barón D. Genaro Bammacaro, juez de la G. C. civil » Valerosos griegos de la Moldavia y de la Valaquia. de Ñipólesy canciller del tribunal supremo de justicia:…</t>
  </si>
  <si>
    <t>Levante, Antonio Gallego Rodrí</t>
  </si>
  <si>
    <t>Antonio Gallego Rodrí Levante</t>
  </si>
  <si>
    <t>…han fabrica Provincia de Jaén. Jaén D. Vicente Moreno; D. Juan JosefTor do solamente en Carcasona 16,700 piezas de paño, destinadas para el eada. Ubeda D. Josef Eustaquio Madrid; D. Antonio Gallego Rodrí Levante, la India , las dos Américas y el continente; y su valor me guez. Baeza D. Antonio Lafuente y Oquendo; D. Nicolás Vázquez. dio ha sido de 6.7009 francos. Alcalá la Real D. Ildefonso Zejalvo. Martas D. Mateo López. An» Las fábricas de Limoux y de Chalabre, cuy…</t>
  </si>
  <si>
    <t>Lewaschew</t>
  </si>
  <si>
    <t>…obre la conducta del Ems, y á. otros diferentes objetos de la mayor impor del regimiento de Semenow, de la cusí es presidente el tancia para los habitantes de este reino. tenienre general Lewaschew, se compone de los mayores Los estados particulares de los principados de Grubengenerales :Conde Guriew y barón Suchtelen, y de cuatro hagen y de Calenberg se. han reunido también aqui por, coroneles, entre los cuales se halla el del regimiento de ahora para…</t>
  </si>
  <si>
    <t>Lewelt</t>
  </si>
  <si>
    <t>…2; , por haoer usado fu que este aviso á todos los navegantes.de. su nación á quiene^corresponsil v cartuchos, y haber hecho resistencia a la tropa. Estos cuatro, des da. Firmado —D. Lewelt , corbnehde marina de las-Fróvrncias-Unidís graciados fueron condenados á la pena de horca, que se egecuto in de ¡a América meridional.”' ’ " . . mediatamente. __Una carta de Dublin del 30 de Julio contiene iorsremente ; v-Espe INGLATERRA. ramos al Rev para d…</t>
  </si>
  <si>
    <t>Leza, Blas de</t>
  </si>
  <si>
    <t>Blas de Leza</t>
  </si>
  <si>
    <t>…que pide se tome infor tallones destinados á este objetó. También se dió cuenta como en aquel me del obispo de Orense acerca de la conducta arbitraria de los canó lirismo dia vino D. Blas de Leza á ofrecer al Sr. presidente la tropa nigos de aquella. que tenia á su disposición. Asimismo se leyó la representación hecha Se paso á la comisión de Legislación un proyecto de D. Rafael Sa por los Sres. oficiales del segundo batallón de dicho regimiento , en…</t>
  </si>
  <si>
    <t>Lezama, Gregorio de</t>
  </si>
  <si>
    <t>Gregorio de Lezama</t>
  </si>
  <si>
    <t>…r viudedad; y se pasó á la SS. MM. y AA. continúan sin novedad en su importante salud. comisión de Hacienda. A la de infracciones de Constitución se pasó una exposición de CORTES. D. Gregorio de Lezama, alcalde primero constitucional de Bilbao, justificándose de cierta queja que se habia dado comra el ayuntamien Sesión extraordinaria del 5 de Marzo. to de aquella ciudad, reclamando infracción de Constitución. Se dió principio á la sesión con lá lectura de l…</t>
  </si>
  <si>
    <t>Li</t>
  </si>
  <si>
    <t>…s conejos de las cortes extrangeras sobre los asuntos de Nápoles , á fueron reducidos á la insensibilidad por un golpe dado so ia cual sirve de respuesta aquella circular; pero el lord Li bre el colodrillo; se les sacó inmediatamente la médu verpool respondió que no se hallaba en estado de presentar la espinal y el cerebro, y se les conservó la respiración por dicha copia, en atención á que no se habia comunicado en medios artificiales; el mov…</t>
  </si>
  <si>
    <t>…él votoj del-Sr. Desprat, contrario' á la ñor Cano Manuel-, no hübo lugar á deliberar .sobre dicha indicación.: resolución de las Cortes,,sobre, la; apfóbaeío.n de- la adición del Sr. Li ; El Sr. Priego manifestó: que por el correo de ayer se, había, recibi nares. ... V. • .. «s , : do la noticia de que al »r.'obispo de..Oviedo, uno de los.ó^.px-dipu El Sr, presidente.dijó ¿que mañana:se.discutiría el proyecto de ley tados q.ue firmaron la-re…</t>
  </si>
  <si>
    <t>…ones sobre el artículo que habia referido, y se con » He enterado á la Diputación permanente del oficio de V. E. de 6 cretaba solamente á repetir la observación que habia hecho el Sr. Li de este mes, en el que haciendo mérito de la consulta que elevó á las nares;.}- aunque el Sr. Calatrava fiabia querido desvanecerla proponien Cortes en 10 de Junio último acerca de la contradicción que supone en do una observación , queria por su parre añadir…</t>
  </si>
  <si>
    <t>Li.-ven</t>
  </si>
  <si>
    <t>…turcos, han sido tremoladas de nuevo i de Estado ,y entablar con el.os negocia iones de la mayor imp. rtancía. instancia del m smo gobernador para recibir los honores correspon El conde Li.-ven y el príncipe de Mett rr.ich deben tratar con el mar dientes. Apenas se arbolaron cuando el castillo las saludó con nueve ques de Londonderry acerca de Los asuntos de Turqu.a.” cañonazos. Desde entonces están á cubierto de todo insulto.” FRANCIA. Viena 77 de…</t>
  </si>
  <si>
    <t>Liacos, Josef de</t>
  </si>
  <si>
    <t>Josef de Liacos</t>
  </si>
  <si>
    <t>…ai la Elocuencia militar ó arte de entusiasmar y mo de se suele encontrar al héroe que lia gañido una batalla. El cántico ver alas tropas, traducida al castellano por el teniente coronel D. Josef de Liacos , del cual han pasado muchos versos á estribillo en otras María Paniagua, acudirán adonde hicieron la suscripción á recoger eL to cancionés marciales romancescas, es una pintura llena de verdad de mo 2.0 y último. Contiene esta obra reglas de elocuencia milit…</t>
  </si>
  <si>
    <t>Liaguno, Antonio</t>
  </si>
  <si>
    <t>Antonio Liaguno</t>
  </si>
  <si>
    <t>…ver la aptitud de estos go de jueces de hecho D. Manuel Garrido, redactor tercero del diario alumnos orientales para todos los egercicios científicos, y el excelente de Cortes, y D. Antonio Liaguno, oficial segundo.de la secretaría- de sistema de educación que favorece el desarrollo de sus facultades ¿sicas las mismas , en el juicio del folleto titulado Condiciona y semblanzas y morales. de los diputados á Cortes; pide una declaración acerca del modo de…</t>
  </si>
  <si>
    <t>Libar-rea, Joaquín</t>
  </si>
  <si>
    <t>Joaquín Libar-rea</t>
  </si>
  <si>
    <t>…so de un mes.” cía el Gefe-político de Guipúzcoa, estaria ya el capitán general en Sal El Sr. Vitorica dijo que pata evitar el que. se derramase sangre vatierra, y que el teniente coronel D. Joaquín Libar-rea con un desta inocente no le parecían muy al caso las proposiciones referidas, pues camento de caballería acuchilló á los facciosos por espacio de tres horas que lejos de apagar la guerra civil , la irian encendiendo , y al mismo con muy buen éxito , y concluí…</t>
  </si>
  <si>
    <t>Lichtenstein</t>
  </si>
  <si>
    <t>…de la defensa de la patria contra ¡os que inten egército austríaco en tres divisiones, al mando de los gene ten quitarles el don precioso de su nueva Constitución. rales Frimont, príncipe Lichtenstein y principe de SchwarPortugal continúa con tesón en Su nueva reforma, y zemberg, todos á las órdenes del príncipe Fernando duque muy en breve estará reunido el Congreso en Lisboa, donde de Parma. Pero por ser dicho periódico et conducto que sus Cortes van á tr…</t>
  </si>
  <si>
    <t>Lídestm</t>
  </si>
  <si>
    <t>De! Sr. Lídestm al código penal-. « En el caso segundo del art. 36 los cuerpos, según el arma á que pertenezcan , sin que se petmitaí falta el caso mas interesante , y es la identidad de la persona del reo.” ninguno la mas pequeña variación en esta parte. Se mandaron pasar á…</t>
  </si>
  <si>
    <t>Lie</t>
  </si>
  <si>
    <t>…u tiempo cuando lleguen Mazo; el Sr. coronel D. Pedro Acevedo, diputado por Querétaro; el las noticias directas de Ñapóles. Sr. D'r. D. Josef Angel Gazano, diputado por México; el Sr. Lie. Don Entre tanto por el artículo de Paris arriba expresado se ve que la Josef María Daza, diputado por Tiaxcala; el Sr. D. Juan Bautista Loa derecha .de.los austríacos ha sido batida completamente ; y que el ge bo , suplente por Oajaca ; el Sr. D. Francisco-…</t>
  </si>
  <si>
    <t>Ligarte</t>
  </si>
  <si>
    <t>…tanto mayor, cuanto que el régimen de los pueblos debe ser mejor. Estos no tienen otro medio de amar las instituciones cargo.El Sr. secretario empeaó i leer un largo discurso del Sr. Ligarte que experimentando sus beneficios, haciendo comparaciones, y pasan (D. Gabriel), en que se oponia al dictamen de la comisión; y ha do de peor á mejor. Es indispensable para esto la división, por la cual biéndole suspendido á poco tiempo su lectura , dijo el S…</t>
  </si>
  <si>
    <t>Ligero, Gregorio</t>
  </si>
  <si>
    <t>Gregorio Ligero</t>
  </si>
  <si>
    <t>Núm. 3x4.. [3 coartes.] A&amp;77 GACELA EXTRAORDINARIA DE MADRID DEL SABADO 3 DE NOVIEMBRE DE i8ar. / NOTICIAS DE OFICIO ACERCA DE LAS ULTIMAS OCURRENCIAS DE ZARAGOZA. ■ Don Gregorio Ligero, teniente coronel de infantería retirado, y se la tranquilidad pública,'y quedasen en su; egercicto las autorida cretario del Excmo. ayuntamiento constitucional de la ciudad de Za des, en quienes han de caer las atribuciones.,dql: expresado señor gefe ragoza:…</t>
  </si>
  <si>
    <t>Lima, Julián de</t>
  </si>
  <si>
    <t>Julián de Lima</t>
  </si>
  <si>
    <t>…rovincias de Ultramar; pero absolvió á D- Juan María Caldera , D. Manuel de la Rocha, D. Ma no las que consistan en un tanto por ciento, ó en cantidad relativa al nuel Al varado y D. Julián de Lima , editores responsables de dicho impute d.l daño ó del objeto en que consista e'l delito.” impreso. E Sr. Moreno dijo que el ser dobles las penas pecuniarias en Ul tramar daba á entender que habia doble delito, por lo cual se oponía E! Sr. diputado D. Marcial…</t>
  </si>
  <si>
    <t>Lima, La Serna de</t>
  </si>
  <si>
    <t>La Serna de Lima</t>
  </si>
  <si>
    <t>…el de Cuitadiila tante fidedignas, que inmediatamente después de haber tomado el mando de la propia religión, que se suprime, y los cuatro individuos que resul del Perú , salió el general La Serna de Lima con toda su guarnición para tan sobrantes del de Tarragona de igual instituto , que queda suprimido; atacar al rebelde San Martin; y habiendo arrollado su vanguardia , aco en'Vich el de capuchinos, el de franciscos y el de carmelitas calza metió sin dilación…</t>
  </si>
  <si>
    <t>Liñan, Antonia García</t>
  </si>
  <si>
    <t>Antonia García Liñan</t>
  </si>
  <si>
    <t>…a resolución dará al Rey una nueva prueba de su zelo por dro Antonio Fernandez, D. Lino Castelo, D. Ramón Valguera, Don el servicio nacional.” Juan Faldón, D. Antonio María Maeso, D. Antonia García Liñan, De Real orden lo comunico á V. S. para su cumplimiento. Ma D. Josef Porta! y D. Juan Bolet, oficiales de todas armas y graduacio drid 8 de Octubre de 1821. nes, cuyos hechos particulares, dignos del mayor elogio, sentimos no Circulares del ministerio de Hade…</t>
  </si>
  <si>
    <t>Liñan, Pascual de</t>
  </si>
  <si>
    <t>Pascual de Liñan</t>
  </si>
  <si>
    <t>…la de Guerra el expediente que habia devuelto al Sr. secretario Se propusieron cinco adiciones ó modificaciones por diferentes de este ramo acerca de la solicitud de los hijos de D. Pascual de Liñan, diputados; la primera fue la siguiente: T&gt;. Felipe y Doña María, para que se declare á su padre benemérito de « En conformidad del art. 21 del reglamento el presidente llamará la patria. Una representación de D. Eusebio Gavilán, en que solicitaba al orden al…</t>
  </si>
  <si>
    <t>Linares</t>
  </si>
  <si>
    <t>…itar : que los jueces de primera ins culo ; y que en los términos que lo proponía no creia debia aprobarse. tancia á quienes corresponda darán á estas causas una preferencia ex El Sr. Linares dijo iba á hacer una observación brevísima, que á clusiva á las demas , pudiendo pasar estas en caso necesario á otros juicio de las Cortes parecería de poca importancia; pero que ¿1 no creia jueces que hubiese en el mismo pueblo. El reo nombrará en el térmi…</t>
  </si>
  <si>
    <t>…altere la tranquilidad pública si pasa el Sr. obispo debia.aprobarse la adición que se habialaido. . „ í Creus á la Sta. iglesia de Tarragona;'y lo lirismo sucede con respecto El Sr. Linares manifestó que no se oponía á la libertad que-se daba á líi representación de les seis, señores diputados de la provincia de Ca á las sociedades patrióticas; pero que'.ehhaber hecho esta- indicación taluña. iYo creo que las Cortes deben pasar este expediente a…</t>
  </si>
  <si>
    <t>…la misma D. Francisco Borju naria y militar , según los límites que aquí se señalan. Las competen Sánchez. cias que se promovieren se decidirán por el tribunal supremo de Justi El Sr. Linares hizo dos proposiciones: la primera relativa á la for cia dentro de 48 horas, á lo mas, después de su recibo. mación, sustanciacion y decisión de competencias; y la segunda sobre Art. 13. » El juez de primera instancia á quien corresponda el cóque las Cortes d…</t>
  </si>
  <si>
    <t>…artículo referido , y lo mismo sucedió con resoectcr á los presbítero-, limosnero mayor del Rey, pidiendo se'-'declaré si los bienes- 20, 21, 2z, 23, 24 y 25. Sobre el 26 dijo el Sr. Linares que le pa-i que adquiere la Real límosnería deben ó no con5;d:rarse como de 111a- ■ recia conveniente se redactase conforme al artículo 40 de la ley de rtos muertas. • - r ■ de Octubre de 1822 , cuya disposición está produciendo los mejores - Samando pasar al…</t>
  </si>
  <si>
    <t>…de la comisión especiaL nombrada á consecuen La misma comisión presentó sü dictamen acerca de la indicación cia de la proposición ó indicación del Sr. Romero Alpuente en la se del Sr. Linares, sobre que se pueda comparecer al juicio de concilia sión del 23 de Abril último pecase la gaceta dél 24), relativa á que ción por medio de procurador, el cual quedará autorizado con solo habiendo examinado la causa que se formó al comisario de guerra ho decl…</t>
  </si>
  <si>
    <t>…sen ciertos derechos que debia rios á la aprobación de los artículos 3. y 4.0 del plan de Hacienda, y satisfacer según la ordenanza de minas del año 84, y los cuales hacían el del Sr. Linares, contrario á la aprobación del art. 4.0 difícil la explotación de una mina que habia descubierto’ en Asturias. . A la comisión de Instrucción pública se mandó pasar, después de La comisión proponía como regla general é interina 12 artículos , en Una corta dis…</t>
  </si>
  <si>
    <t>…as por ei decretó de 27 de Abril último , y de todas las armas, y de f ge fe del estado mayor general.” proponiendo medidas para reprimir á los facciosos enemigos del sistema. ÉL .Sr. Linares dijo que debia asistir á esta junta el intendente gene Se leyó el dictamen de la comisión segunda de Legisiaci: n acerca ral del egército, por ia relación que tienen los asuntos del egército con dé las proposiciones que se' leyeron'én lá sesión de 3 de Noviem…</t>
  </si>
  <si>
    <t>…que no había lugar en este artículo para castigar él caso de signio es el que se castiga, no es el designio mismo. En el ¡mismo he un deiito inocente. ;•■■■' cho de haber dicho el Sr. Linares conato 6 designio manifiesta que la El Sr. San Miguel manifestó que lo mismo que se decia en el artí palabra tentativa es mas exacta, que significa mejor la idea que la co culo./.-' era lo que le había obligado á hacer aquellas reflexiones misión quiere expre…</t>
  </si>
  <si>
    <t>…obado este dictamen. te. Esto es respecto los delitos de conspiración contra la Constitu Se continuó la discusión del código reuní. ción dcc.; pero en los casos que, ha sentado el Sr. Linares , y en que F.1 Sr. Calatrava manifestó que el art. 5 aprobado ya por ¡as Cor quiere que cualquiera que sea el delito," grande ó pequeño ,'!a proposi-' te,, estaria mejor puesto después del 2.".entre este y ei g.J cion hecha y no aceptada se castigue, no me pa…</t>
  </si>
  <si>
    <t>…ia de las leyei fuese cierta la ignorancia de, la ley, y que con respecto á)a adición que. y reglamentos particulares debe decirse. que preceda antes amonesta había manifestado el Sr. Linares la consideraba redundante en el artí ción, reconvención, ó advertencia ;de parte de las autoridades , y en. este culo, puesto que exceptuáúdose.el caso en que se cometiese delitó. de. caso me parece muy justo que se castigué al extranjera que contra subversió…</t>
  </si>
  <si>
    <t>…ios, Sr. Calatrava. dice sí: castigúese no como á un funcionario público, sino como á Habiéndose declarado el punto por suficientemente discutido, no sa una persona particular. El Sr. Linares ha dicho que una persona par aprobó la primera parte del artículo, y se resolvió volviese entero á ticular no podia cometer el delito ó culpa "de un funcionario. Su la comisión. póngase que yo soborno á uno para que falsifique moneda: si ia Se mandaron insert…</t>
  </si>
  <si>
    <t>…'y otras circunstancias. Pero todos estos casos varían, porque de sión para no hacer ninguna alteración. penden de las diversas circunstancias políticas y morales de cada reino El Sr. Linares: Al oir decir al Sr. Calatrava que_da todos, los in en particular.Por consiguiente si esto se verifica resultará que merece formantes casi ninguno ha impugnado este artículo, porque mas bien rá’'mayor ó menor pena un delito según en donde se cométa : si se pa…</t>
  </si>
  <si>
    <t>…el acto de cometerlo,suministran ó proporcionan es trar y proporcionar. pontáneamente las armas, instrumentos ó medios para egecutar'o, sa El Sr. Paul; El argumento principal del Sr. Linares es relativo á biendo que han de servir para este fin. que no se debe decir auxiliadores , fautores , cómplices, receptadores y 3“ -Los que á sabiendas y espontáneamente por sus discursos, su¿ encubridores de culpa; y para fundarlo ha manifestado que la culpa…</t>
  </si>
  <si>
    <t>…araban del dictamen des teañoá la Havana antes déla elección de diputados á Cortes, no debía la mayoría. producir efectos de nulidad, ni pocha exigirse la responsabilidad ¿ lo» El Sr. Linares manifestó que medíante á que convenían todos los, electores , porque no habia infracción de Constitución , y un acto he Sres. de la comisión en que se aprobasen los poderes de los Sres. Za cho conforme á la Constitución debía ser legal. Se decía que la Cons y…</t>
  </si>
  <si>
    <t>…aite del artículo. Véase la En París se había presentado ya el presupuesto del año de 1822 con referida gaceta. el informe correspondiente: ascienden los ingresos á 890.000,033 El Sr. Linares opinó que debían graduarse las penas con proporción francos , y los gastos á 889.541,34o; de manera que resulta un sobran á la culpabilidad de las personas que delinquiesen , por lo cual le pare te de 458,693. ció que debía moderarse la pena prevenida en el a…</t>
  </si>
  <si>
    <t>…o penal. Art. 96. i: Ei que esté const ituido en absoluta insolvencia no ser i Se leyó el art. 85 (véase l.t gaceta de 25del corriente). molestado en su persona por las costas. El Sr. Linares hizo varias r. fl xiones a.erca de las retractaciones y » Por lo relativo al resarcimiento de daños í indemnización de per Utisfacciones públicas: y habiendo manifestado qu: á estas tal vez no juicios que hubiere causado, podrá el reo insolvente, después que…</t>
  </si>
  <si>
    <t>…pasar á la comisión una adición del Sr. Navarrete al En el Valle de Orozco , provincia de Vizcaya , se halla vacante la art. 30; otra del Sr. Sánchez Salvador al art. 43: otra del Sr. Linares al plaza de cirujano-médico , dotada con 700 ducados, casa y.huerta sin 97; otra del mismo Sr. diputado al 98; otra del Sr. Cepero al 99, y renta: la situcion del Valle sobre el camino real nuevamente construi otra dei Sr. Sánchez Salvador al art. 100. do des…</t>
  </si>
  <si>
    <t>Linares, Francisco González de</t>
  </si>
  <si>
    <t>Francisco González de Linares</t>
  </si>
  <si>
    <t>…pero como no formaba este número la mayoría absoluta, calde primero constitucional de Caracas D. Juan Rodríguez se repitió la votación, reducida al señor Francisco Simoens Toro, y D. Francisco González de Linares; y S. E. el pre Margiochi, que tuvo 20 votos , y al señor Manuel Fernan sidente de Colombia Simón Bolívar, como gefe de la repú dez Tomas, que salió electo vice-presidentc por 49. Siguió blica, de parre de ella á los señores general de brigada An se á esto un…</t>
  </si>
  <si>
    <t>…o ellos , no serán prisioneros de guerra, y tendrán libertad dríguez Toro, alcaide primero constitucional de Caracas, para restituirse á las banderas á que pertenezcan luego que y D. Francisco González de Linares, mis comisionados se hayan restablecido* Interesándose tan vivamente la huma para ajustar y concluir un tratado que regularice Ja guerra nidad en favor de estos desgraciados que se han sacrificado entre España y Colombia con los comisionados del Exce á su par…</t>
  </si>
  <si>
    <t>Linares, Ga de</t>
  </si>
  <si>
    <t>Ga de Linares</t>
  </si>
  <si>
    <t>…que en esta representación se ción de los incalculables bienes que recibirá por este medio. - . ■ , trata de decir á rostro firme al Congreso que no Ira sido suficiente una El br. secretario Ga de Linares leyó un discurso del Sr. Soianoti, fia declaración de la junta- preparatoria, é igualmente que no ha habido el que oponiéndose ai dictamen de ia coims:on, manifestaba que ¡para tiempo bastante para que lleguen los propietarios , siendo asi que ia co proceder…</t>
  </si>
  <si>
    <t>Linares, Gil de</t>
  </si>
  <si>
    <t>Gil de Linares</t>
  </si>
  <si>
    <t>…á los perturbadores de la tranquilidad de la memoria del Sr. secretario del despacho de Gracia y Justicia al pública, a fin dá que Hs Cortes, oyendo ó no á una comisión especial, Sr. Gil de Linares en lugar del Sr. Valle, y para otras que no pudieron determinasen lo que tuvieren por mas conveniei.te. entenderse , en lugar del mismo Sr. Valle y del Sr. Peñafiel á los señores El Sr. presidente dijo que continuase la discusión sobre la compa San Juan y Rey…</t>
  </si>
  <si>
    <t>…e este asunto no Se'leyó por segunda vez, y se mandó pasar á la comisión de Le puede deliberarse en mucho tiempo, pedia que se erigiese á dicha ciu- gislación otra proposición del Sr. Gil de Linares para que en la deci - dad en capital de una parte de la provincia de Valencia, en lo* sión de las competencias se prohíba comunicar los autos á las partes y mismos términos que se habia erigido en capital á la ciudad de al promotor fiscal. Málaga. Se leyeron…</t>
  </si>
  <si>
    <t>…s'deberes, ¿ imponerles una conducta que carezca de irregu ca, los siete tomos del Código y Fueros de Navarra que ofreció ei Se laridad , y que no pueda ser reprobada. . . .. ñor "diputado Gil de Linares, y una gramática latina y castellana que consiguiente , atendiendo á ló propuesto por el director’gene ha dictó á luz y ofrecido á las Cortes D Joaquín Sánchez, vecino de ral de policía, hemos decr-tado v decretamos jo siguiente: Valencia. " ó'Artículo •!.' D…</t>
  </si>
  <si>
    <t>…rian gozar. las capitales.” ' ’ " Se declaró este asunto suficientemente discutido; y después de ha Su autor la apoyó-manifestando que no era fundado el principio ber impugnado el Sr. Gil de Linares el dictamen de la comisión, abun que sentaba la comisión de que en Filipinas había clérigos indios, na dando en tas mismas ideas,que'los Sres..preopinantes, se declaró no da idóneos para inspirar confianza , porque cuando estos habian sido or haber lugar á vo…</t>
  </si>
  <si>
    <t>…ente respecto de los territorios de jurisdicciones eclesiásticas se hay los nombre el ayuntamiento.” paradas y no comprendidas en el art. i.° ” Se leyó la siguiente indicación del Sr. Gil de Linares : « Pido á las Después de una ligera discusión quedaron aprobados todos los ar Cortes se sirvan mandar se de al público en el Diar o de las mismas tículos, excepto el 6 o, que no lo fue. una noticia de Jos decretos que ha dado la comisión de Peticiones, á fin…</t>
  </si>
  <si>
    <t>…os clases que son Para secretarios salieron los Sres. Clemencin por 78 votos, Medramuy perjudiciales. La primera se compone de aquellos que acostum no por 88, Palarea por 80, y el Sr. Gil de Linares por 74 en segun brados á todo género de abusos miran á la Constitución como el mayor do escrutinio. freno para reprimirlos , y como el mayor obstáculo para que no vuel Habiendo ocupado sus asientos respectivos los Sres. presidente, vice van jamas: incluye tam…</t>
  </si>
  <si>
    <t>…en su ausencia, asunto en que solo se trata de las bases orgánicas para la Marina. Por el oficial mas graduado ó antiguo.” lo mismo me opongo á que se suspenda esta discusión. El Sr. Gil de Linares dijo: Yo quisiera que se suspendiera la discu El Sr. López (D. Marcial): No me opondría á que si las luces del sión del art. i.° y la de los arts. 9 y JO, ó que si se aprueban , sea sin Sr. secretario de la Gobernación se creyesen necesarias para la discusión…</t>
  </si>
  <si>
    <t>…icación exacta cuando se d:sci=r.ae á habian hecho se ha variado el art. i.°, según han visto las Cortes. los pormenores de la calificación de los delitos asi públicos como pri El Sr. Gil de Linares: Al grande temor que siempre he tenido vados. , - . de hablar en te respetable Congreso se me añade la importancia La comisión cuando propuso á las Cortes, y estas aprobar-n, que se de la materia , que es de las mas deücadjs que pueden presentarse á la circul…</t>
  </si>
  <si>
    <t>…dijo que el Sr. preopinante se había equivocado en la no tendría dificultad-eri,omitirla..:: v . ;¡ Y. ' -ipteligencia.de Ia.palabraconjurar, pues cuando se decia:» los.elemen El Sr. Gil de Linares dijo: Yo había pedido la palabra para hablar, tos se han conjurado contra míse quería decir que los elementos sa contraía segúnda'parte¿del artículo. quéih'áiretiradctiU cojjífsiprif- mas -habían puesto de tal manera contra una persona, que habían producisin…</t>
  </si>
  <si>
    <t>…que no debía quitarse la razone* creo que debe quedar esta palabra,y no substituirse ia que ha palabra que había indicado el Sr. ban Miguel , puesto que ningún per manifestado el Sr. Gil de Linares. juicio podía traer. Ei r. Zapata: Creo que debería quitarse la palabra tentativa. Esta . El Sr. Lallave (D- Pablo): Dice el Sr. Linares que dfbe excluirse no es el designio ais adámente , sino que’es preciso que esté manifesta de este artículo la palabra ten…</t>
  </si>
  <si>
    <t>…ones de suerte que solo le faltan seis años para completar este número; y contra un artículo que no existía. ; quién por seis años no mata 20 hombres ? Vamos á otra cosa: : por El Sr. Gil de Linares expuso que como habia observado que otros qué ha de castigarse del mismo modo á un hombre que da puñaladas al Sres. diputados habian pedido la palabra contra este artículo lim tar a aire , ó que dispara un fusilazo solo para asustar , con otro que está to sus…</t>
  </si>
  <si>
    <t>…elativas al modo con que estaba redactado este artículo, se mandó vol _sino de leyes particulares. Con respecto á las adiciones que el Sr. pre ver i la comisión. . • opinante y el Sr. Gil de Linares creen que deben ponerse no me pare Se aprobó el 6.a sin discusión , y se leyó en seguida el 7“ cen necesarias , por la misma razón que ha indicado el Sr. Paul. El Sr. Novoa dijo que era muy extraño que.el Sr. Bahamonde se El Sr. Rodríguez de Ledestna: Voy á h…</t>
  </si>
  <si>
    <t>…artículo: necesita mayor, explicación, H1 Sr. Calatrava dijo que creia haber satisfecho á los argumentos del y que en donde se dice provoca ó incita directamente, se añada ó indi Sr. Gil de Linares, pero sin embargo añadía que en el art. 462 se seña rectamente y sin ánimo deliberado de incitar ni provocar. y laba la pena á los que sobornaban, en el cual se.decía asi: &gt;, Los que El Sr. Calatrava dijo que la comisión no admitiría esta adición , por hagan…</t>
  </si>
  <si>
    <t>…y Ma los jueces estuviesen autorizados para imponer ciertas penas , á fin de drid , y D. -intonio Pacheco. evitar los delitos; porque si al hombre se le corrige la primer falta K; Sr. Gil de Linares observó respecto de la primera parte del ar no pasa á ser un delincuente. Bajo estos principios io primero que debe te, lo que lo que en el se trataba peitenecia mas bien a, código civil,, hacerse antis de hacer responsables á los padres, es que estos sepan l…</t>
  </si>
  <si>
    <t>…an las siguien actualidad, opinaban que las Cortes podrían determinar: tes : ó reciban para este j&gt;n.” 1. a Se permite el despacho para Ultramar de todos los géneros exis Otra del Sr. Gil de Linares á los párrafos i.°, 2.0, 3,“, 4 °, 5.0, 6.° tentes en el depósito de Cádiz, y en cualquiera otro depósito de los y 7.0 del art. 28 , que decía asi: » Añádase en todos ellos , ó una cláu puertos de la Península é islas adyacentes, que eran permitidos antes sul…</t>
  </si>
  <si>
    <t>…ley. Por eso la comisión dice que ninguna pena es infamatoria (ex se fundaba la comisión para no variarle. cepto la de trabajos perpetuos} sino cuando la ley lo declare asi. Se El Sr. Gil de Linares: Por lo que toca al párrafo 2.“ me parece han visto los abusos que ha habido respecto de esto, los cuales se hu que no puede aprobarse, porque se daría lugar á muchos abusos. Por io bieran cortado si la l-.y se hubiese reservado el derecho de declarar la toca…</t>
  </si>
  <si>
    <t>…emente discutido, Art. 43. » Asi en las calles del tránsito como en el sitio de la ege quedó aprobado. cucion debe reinar ei mayor orden y'el mas profundo silencio, pena de El Sr. secretario Gil de Linares opinó que el artículo siguiente se ser arrestado en el acto cualquiera que lo quebrante; pied.endo ademas ria mejor discutirlo por párrafos, y en seguida leyó el primero , que ser corregido sumariamente , según el exceso , ccn dos a quince días de drc:a asi:…</t>
  </si>
  <si>
    <t>…ua tículo d&lt;.be quedar eñ los términos que la comisión lo propone. les tocaban al código de procedimientos. El Sr. Garelí dijo que era preciso expresar en el artículo que á los El Sr. Gil de Linares manifestó que ademas de las diligencias indi cadáveres de los reos de que se trataba se les diese sepultura eclesiástica. cadas seria bueno admitir algunas otras, como la de averiguar si el El Sr. San Miguel: Este artículo previene que puedan ser entregado* d…</t>
  </si>
  <si>
    <t>…ñere sen castigado con mayor sevefr^dad *' Aproba io. cia d- Madrid h.ib nn informado accica &lt;.ees". u o. Art. 87. f.a T: pr nvon iti hcia cons stir »*n expresarse y ríec-3-ar* E) Sr. Gil de Linares d j ■&gt; qr: • c cas.’ &gt; ci id . bcoa r: - Pa ¡ *5 en la d^t ^rm n?c nti &lt;+• 1 ju z ¡ acto r- pr: ns.hlc del r.o.añad ér* o»e ra pago de ai insertos ó. 1 reo y s-itdac. r las stac.” $ue Ii.r faltado &amp; su obligación, y qu¿ sj c»k?¿ra su enmienda/* Aprobado. El S…</t>
  </si>
  <si>
    <t>…ces de hecho en los ju-cios crírruDel Sr. Calatrava al artículo 21:» Por ahora y hasta que se haga ? nales.” un arreglo general de los sueldos de todos los empleados públicos.” El Sr. Gil de Linares dijo que esta discusión era la mas importan Del Sr. Sancho al mismo •&gt; Que estos sueldos sean los que se ha te del código penal; y como no estaba señalada para hoy, 1- s Sres. di yan de cobrar en lo sucesivo, aunque algunos individuos los hayan putados no hab…</t>
  </si>
  <si>
    <t>Linares, Ramón García de</t>
  </si>
  <si>
    <t>Ramón García de Linares</t>
  </si>
  <si>
    <t>…ndo que las Cortes po Aragón 9 de Diciembre de i82i.=:SeBorr= A L. R. P. de V. M.= drían aprobarle ó no; pero que debería tenerse presente que el objeto El comandante del batallón brigadier Ramón García de Linares. = principal de la comisión no era otro que el de dar una satisfacción ai Ayudante Fabian Aznarez.mAyudante Baltasar Senac.nnEl cápitan de público , y viese que si no se le impuso la pena á aquel delincuente la primera compañía Ramón de Linares. = Benito Azna…</t>
  </si>
  <si>
    <t>Linch, Jacobs Wals y</t>
  </si>
  <si>
    <t>Jacobs Wals y Linch</t>
  </si>
  <si>
    <t>…odavía mas severo, quiso no hacer uso de la re D. Francisco Alvarez Reyeró de Reyero, D. Antonio gla. Es de admirar el gran número de proporciones nuevas Vargas Ucles de Herrera , D. Jacobs Wals y Linch , Don y curiosas que ha sabido encontrar en una materia agotada Luis Soler y Gómez de Cárdenas, D. Juan O-DonelL y' al parecer. Sus principales teoremas pasaron á Francia con Fe ris, D. Gregorio Quiroga y Frías, Di Miguel Irribar- el tratado de Campo-Formio,…</t>
  </si>
  <si>
    <t>Linero, Manuel</t>
  </si>
  <si>
    <t>Manuel Linero</t>
  </si>
  <si>
    <t>…elección de diputados por la provincia (se A Ja de Infracciones de Constitución , con urgencia, una exposición gún se pudo entender) de Chimaltenango en el reino de Goatemala. de D. Manuel Linero, regidor, y D. Matías de las Morenas , síndico Se hizo segunda lectura del proyecto de ley sobre la libertad de ca del ayuntamiento de la villa de Osuna, provincia de Sevilla, queján zar; y el Sr. presidente dijo que se señalada dia para su discusión. dose de…</t>
  </si>
  <si>
    <t>Lines, Simón</t>
  </si>
  <si>
    <t>Simón Lines</t>
  </si>
  <si>
    <t>…e tratas particulares; y habiéndose hecho cargo la comisión de la-exposi del arrendamiento de las encomiendas de Horta y Corvara. La cami- ción documentada que hacían á las Cortes D. Simón Lines y D. Juan sion opinaba se le rebajase la quinta parte de lo que está adeudando, Elias y Compañía; del comercio de Barcelona, en sü nombre, y en el obligándose á pagar lo restante dentro del término mas preciso que le de la sociedad de que son individuos, y atendiendo p…</t>
  </si>
  <si>
    <t>…l comunicarse esta resolución al Gobierno se incluya la hizo el Sr. Florez Estrada, la siguiente indicación: „P¡do que no se dis adjunta exposición de los empresarios de Barcelona D. Simón Lines y cuta en esta legislatura el dictamen de la comisión acerca de la ley or D. Juan.Elias y compañía, para los efectos, convenientes con arreglo gánica de la armada naval.” Después de una ligera discusión quedó á ella-." ... aprobada dicha indicación. _ El Sr.…</t>
  </si>
  <si>
    <t>Liniers</t>
  </si>
  <si>
    <t>…, por cuya generosidad y patrio recogidos y dirigidos con una prontitud sin egemplo, y con cuyos au tismo, y para perpetuar ¡a memoria de tan ilustre compatriota, la jun xilios el general Liniers obligó á capitular y rendir las armas á los ta general del principado, en sesión de 8 de junio de 1815 , le nominó enemigos. diputado general de ella, y le declaró benemérito de la provincia, y Invadida la España por los franceses se sublevó la provincia de l…</t>
  </si>
  <si>
    <t>Linsac, Francisco</t>
  </si>
  <si>
    <t>Francisco Linsac</t>
  </si>
  <si>
    <t>…ación, que dijo serlo Fernando Alcocer , mayor comandante de la segunda división de gra de la milicia nacional , se presentó en el ayuntamiento de Zaragoea á naderos provine ales, D. Francisco Linsac, teniente del batallón pedir que V. S. hiciese dimisión del mando político y militar de esa de voluntarios milicianos, D. Andrés Prieto, capitán Je la milicia provincia. No cree el Rey que la milicia, cuyo pr'ncipa! in-i tuto es voluntaria de Barcelona, D. Jo…</t>
  </si>
  <si>
    <t>Líoser, Lorenzo Puig y</t>
  </si>
  <si>
    <t>Lorenzo Puig y Líoser</t>
  </si>
  <si>
    <t>…dictamen recadado en los artículos siguientes: dado de Ídem. Sobona D. Manuel Ribaita, hacendado de Fonseca. Art. i.° » La causa sobre las ocurrencias de 10 de Marzo de 18-0 Vich D. Lorenzo Puig y Líoser, sustituto de Cátedra de Cerrera. en Cádiz se pondrá de manifiesto á los defensores de ios reos en una Berga D. Josef Riu, labrador, hacendado de Castellar de Riu. Villa- sala proporcionada para que todos puedan oir bien su lectura , y hr.cer franca D. Pedro…</t>
  </si>
  <si>
    <t>Lira, Manuel de</t>
  </si>
  <si>
    <t>Manuel de Lira</t>
  </si>
  <si>
    <t>…que los aborrecen y temen su fa P- Fr. Juan de Castro &amp;c.; y el 4.0, que hoy se publica, la representa tal influjo, piensan bien del corazón de sus Príncipes, porque es im ción de D. Manuel de Lira á Carlos n sobre los males del reino y medios posible que no prevalezca en ellos el principio sano y sagrado de que de remediarlos; los escritos de D. Manuel Alvarez Osorio y Redin su propiaTelicidad depende'de la de sus súbditos , del contento de es sobre po…</t>
  </si>
  <si>
    <t>Lis, Manuel Beltran de</t>
  </si>
  <si>
    <t>Manuel Beltran de Lis</t>
  </si>
  <si>
    <t>…de la audiencia territorial de Madrid; D. Vicente Navarro Tejeiro, ter escandalosos y funestos excesos en el saqueo y asesinato de los cris abogado; D. Bernardo Falcó, presbítero; D. Manuel Beltran de Lis, tianos, y por el descontento que han mostrado al partir para et Da capitán retirado; D. Jaime Gil, presbítero; D. Juan Rico, vicario genubio, no menos que su voluntad de volverse al Asía. Enmedio de n. ral castrense; D. Joaquín García Domenech , ex-gefe polí…</t>
  </si>
  <si>
    <t>Lis, Manuel Bertrán de</t>
  </si>
  <si>
    <t>Manuel Bertrán de Lis</t>
  </si>
  <si>
    <t>…e á dar mas solidez á la opinión En la gaceta del martes 13 de Marzo, sesión de Cortes del í i, sé pública: todo el egército está penetrado de los sentimientos mas nobles dice que D. Manuel Bertrán de Lis pedia se le indemnizase de las y patrióticos, conoce su propia dignidad, y sabe que es la porción ar considerables sumas que habia expendido por conseguir la libertad de mada de una nación libre: el espíritu que anima á esta inmensidad de su patria, fie padec…</t>
  </si>
  <si>
    <t>Lisboa</t>
  </si>
  <si>
    <t>…xpediente promovido por ia viitcja de PORTUGAL. ' Barcena de esta corte, sobre introducción de una partida de clavillo. Las mismas comisiones en vista del expediente promovido por Don Lisboa 8 de Noviembre. Francisco Barrier, del comercio de la Coruña, sobre la providencia da da por el intendente de aquella provincia al arribo de la fragata de su Sesión de Cortes del 6. pe;tenencia llamada Mariquita, de vuelta de Acapulco y S. Blas de Esta sesión…</t>
  </si>
  <si>
    <t>Lisboa, Francisco</t>
  </si>
  <si>
    <t>Francisco Lisboa</t>
  </si>
  <si>
    <t>…legres que ha disfrutad» " las daremos al público.' esta ciudad desde él feliz restablecimiento del sistema constitucional. El comandante del batallón de !á milicia nacional local D. Francisco Lisboa 2jr de Febrero. Javier Araoz habla ¡hecho á su batallón el presente da una magnífica, bandera, en cuyo-gusto y adorno nada le quedaba que desear al amor Sesión de • Cortes del 22. de la patria.1 A sti consecuencia se procedió á la ceremonia de su ben Leída y…</t>
  </si>
  <si>
    <t>Lisboa, Ramón</t>
  </si>
  <si>
    <t>Ramón Lisboa</t>
  </si>
  <si>
    <t>…Sublrach , habilitado para su secretario. TORTUCA!. - - • — Han sido nombrados electores de partido en esta ciudad D. Narc:s« Sans y Rius, ex-alcaide const'tucional de Barcelona; D. Ramón Lisboa zS di Octubre. Salvato,, id. de Tortosa; D. Josef Elias., abogado; D: Francisco Serra Sesión del 26. y Fra'nch, del comercio, y D. Agustín Yañez, catedrático de Farmacia. Se empezó la discusión del proyecto de Constitución por la adición ^ Valencia 8 de Novie…</t>
  </si>
  <si>
    <t>Lisboatg, Nicanor de</t>
  </si>
  <si>
    <t>Nicanor de Lisboatg</t>
  </si>
  <si>
    <t>…Ja fuente, en marcha magestuota, acom.. - VOBTVCAI. ¡paitándolos la música y todo el vecindario con canciones patrióticas, hechas algunas evoluciones, se les leyó.por el ayudante D. Nicanor de Lisboatg de. Marzo. - ... • la Mata una hermosa arenga, llena.de ideas sublimes y máximas dig_nas.de repetirse por todas partes, - ! cortes___Sesión dil 8. L¡ ..... Con un viva general concluyó esta función patriótica, y las reíSe dió cuenta de las solicitudes y. proy…</t>
  </si>
  <si>
    <t>Lisio</t>
  </si>
  <si>
    <t>…sus extra llegó á las manos con su capitán que trató de impedirle la entrada. El víos son mayores á proporción que se alarga la cadena de sus discursos. fiscal ha pedido contra el general Lisio dos anos de prisión en un Cuando llega el caso, como debe llegar, de ver desmentidos sus juicios castillo. por la evidencia que ios contradice, hacen ios mayores esfuerzos para Se dice que piensan en dejar el Piatnotvte muchas délas familias mas justificar su…</t>
  </si>
  <si>
    <t>Lison.zzD, Mariano</t>
  </si>
  <si>
    <t>Mariano Lison.zzD</t>
  </si>
  <si>
    <t>…ballas.zzD. Francisco Perez.zzD. Vicente Ibañez.z^ facultativos.” Aprobado. D. Domingo Ciaveria. zz D. Severo Garces. = D. Nicolás Gutierrez.zz La comisión retiró el artículo 125. D. Mariano Lison.zzD. Manuel lisoni =: D. Pedro Tomas.zzDon Art. 126. » A los oficiales de este cuerpo no se les dará ningún Manuel Diego, zz D. Francisco Ssforcada. zz Y yo el infrascrito secre destino que no sea respectivo á él mismo.” Aprobado. tario. Asi mas largamente result…</t>
  </si>
  <si>
    <t>Lisperguer, Francisco López</t>
  </si>
  <si>
    <t>Francisco López Lisperguer</t>
  </si>
  <si>
    <t>…antes en el tribunal supremo de Justicia' luna, cuya existencia fue Mr. Laplace el primero que la las plazas que obtenían D. Francisco Nogues y Acevedo, y demostró analíticamente. D. Francisco López Lisperguer, se admiten memoriales de hemos hablado mas que de la mecánica teórica , y pretendientes por término de 30 dias. sin embargo la^ mecánica práctica se ha enriquecido coa muchas invenciones útiles, que han dado vida á las manu Debiendo concluir en fin del corri…</t>
  </si>
  <si>
    <t>List</t>
  </si>
  <si>
    <t>…disposición. Ya no se cuentan es el sacro colegio mas habitantes principales de Heilbronn en favor del escrito del diputado que dos cardenales de la creación de Pío vi, que son el cardenal List. El Sr. de Fenerlein impugnó-el’primero esta exposición, declaran* de la Somaglia, que recibió el capelo en 1795, y e! cardenal Fado que los principios establecidos en ella, asi como ios manifestados en el bricio Ruffo, que fue reservado in pecUre en 1791, y…</t>
  </si>
  <si>
    <t>Litio, Pedro</t>
  </si>
  <si>
    <t>Pedro Litio</t>
  </si>
  <si>
    <t>…e opinión que las Cortes podían acordar: Por la provincia de Jaén. D. Manuel Ventura Gómez , prior del iP La revocación del art. 20 del decreto de 29 de Junio que trata Castellar; D. Pedro Litio, capitán del i.° de Cataluña; D. Francisco del derecho de registro. Javier Perez de Vargas, marques de la Merced. Suplente-. D. Juan 2.0 Que en el art. 97 del mismo decreto está comprendida la ex Francisco Martínez de Albear, magistral de la colegiata de Ubed…</t>
  </si>
  <si>
    <t>Liverpool</t>
  </si>
  <si>
    <t>…sea favorable á la causa de los pueblos, en virtud tante salud. de lá. declaración 'que .tiempo há hizo en él Parlamento1 e! S. M. ha despachado hoy con el Sr. secretario del Des; lord Liverpool; pacho de Marina. La Suecia , ifirnie én el sistema de sabiduría qué sé ki propuesto ; continúa habiendo reformas saludables en stl Habiendo fallecido en Dresde el día 26 de Noviem- administración para la mayor prosperidad de siis pueblos; bre último S. A. R.…</t>
  </si>
  <si>
    <t>…isco de S. Luis por 6r Jos Pares, encontró allí al conde de Westmoreland, al du .votos: el Sr. conde de S. Payo por 40: el Sr. Jon-fi de que de VVellington , al lord canciller, ai lord Liverpool &amp;c. Silva Carvalho por 43 : el Sr. Márquez de Gástelo Meihor Luego que S. M. se sentó en el solio, fue el ugier, lla por 41; y el Sr. Souto-Mayor, el cual habiendo salido em mado de ia vara negra, á avisar á ia Cámara de los Comu patado con el Sr. Manuel Anto…</t>
  </si>
  <si>
    <t>…mes de Mayo de 1817. que no se alterarla la paz; paro hubiera deseado mucho mas que en un asunto tan grave hubiese quedado intacto el ho PORTUGAL. nor de la nación inglesa &amp;c. El lord Liverpool cantestó al discurso del conde Grey; Lisboa jo de Enero. y después de haber impugnado cuanto alegaba acerca de los negocios interiores, oponiéndose á la exposición que había Sesión de Cortes del 2p de Enero. de dirigirse á S. M., llegó al punto de las relacio…</t>
  </si>
  <si>
    <t>…to, porque no podia llegar á persuadirse que se hubiesen bien á los interiores. No le había causado extrañeza que el humillado hasta tal grado, que supiesen la existencia del artí lord Liverpool no entendiese lo que su amigo el conde Grey culo, y no hubiesen representado contra él en tiempo opor-“ queria decir cuando habló de im sistema de Gobierno; turto. De consiguiente era de su deber el hacerlo actualmen pues era imposible que tuviesen idea algun…</t>
  </si>
  <si>
    <t>…es de que habió con tanta confianza en otro tiempo recer su aprecio. Cristóbal tenia una ambición sin límites, Mr. Pitt. ■' y maldecía muchas veces al Océano, porque le impedía El lord Liverpool contestó al lord Holland que las pre llevar sus armas mas allá de sus Estados. Atila, Rey de los guntas que había hecho abrazaban materias tan importan hunos, era su ídolo, y Alejandro Macedón y Ñapoleon Botes, que no se atrevía á contestar á ellas sin entrar…</t>
  </si>
  <si>
    <t>…ca conseguirán al fin acabar con tan ter produciría alguna sensación. Ignoraba S. S. qué documentos rible monstruo ? no tenemos todavía datos suficientes para presentaría el noble lord Liverpool acerca de este asunto; examinar esta cuestión. Contentémonos con anunciar que ero si el resultado de ellos había de ser manifestar que la Mr. Hahrieber lia publicado una obra contra el duelo, de ? nglaterra había interrumpido sus relaciones de amistad y dicad…</t>
  </si>
  <si>
    <t>…rque la academia quiere decidir sin la mas mí ' pasado al ministro de Negocios extrangeros la nota de que nima seña que pueda indicar el sugeto á quien premia. Los hizo mención el lord Liverpool en la Cámara de los Pares, sugetos premiados no podrán dar á la prensa sus memorias relativa á la conducta que observaría el Gabinete inglés con sin permiso de la sociedad, que también previene que en las motivo de las ocurrencias de España y de Nápoles. Tam…</t>
  </si>
  <si>
    <t>…gámonos en su lugar!; Una muger se ve abandonada por su lo quemas les convenga para su prosperidad. Verdad es esposo; este le da permiso para que viva á su libre albedrío, que el lord Liverpool se ha expresado en el Parlamento de y sale á viajar por los países extrangeros, cercada por todas un modo bastante satisfactorio respecto de algunos Estados; partes de asechanzas y de espías. Aun suponiendo que fue pero quisiéramos que S. S. extendiese á mas…</t>
  </si>
  <si>
    <t>…una relación exacta del sistema político que ha se guido nuestro Gabinete respecto de los negocios de Nápoles.” SUECIA. En contestación á otra pregunta del conde Grey, de claró el lord Liverpool: «Que la nota que iba á poner so Stockolmo 5 de Eneros bre la mesa desmentiria absoluiamente las suposiciones , ba Uno de nuestros periódicos dice que corren voces de jo las cuales las corres de Viena, Petersburgo y Berlín hu que el caballero Ambrosio, cuyas…</t>
  </si>
  <si>
    <t>…as con mucha pérdida de gente. funciones de la vida animal .cuando obra en las partes dota En la sesión de 31 de Enero de la Cantara de los Pa das de principio viral.” res propuso lord Liverpool que se dirigiese una exposición Mr. Le Gallois, eminente fisioiogista francés, intentó al Rey , pidiéndole se sirviese comunicar á la Cámara la probar que el movimiento del corazón depende enteramente circular que en 19 de Julio pasado pasó el Gabinete ingles…</t>
  </si>
  <si>
    <t>…obre la parte del dis na, y quedó aprobado. curso del Rey, que se referia á la dotación que se había de camara de los pares.-------Sesión del 31 de Enero. conceder á la Reina.” El lord Liverpool dijo que en vista de lo que en la se-; Mr. Brougham expuso inmediatamente que habia te sion del jueves último se habia traslucido acerca de los'ne nido orden de S. M. la Reina para presentar á la Cámara gocios de Nápoles , proponía se hiciese una exposición a…</t>
  </si>
  <si>
    <t>…ación anual ■de lá Reina. Sé leyó por primera vez á consecuencia de la propuesta del el latrocinio y la sangre. ' „Presentoseles sin embargo el sagrado codigo de las leyes como el lord Liverpool, y acordó su impresión. Manifestó el noble conde que d lunes próximo propondria la segunda ¡éctara, a no ser qiu *ia}.a estandarte de nuestra reconciliación; y hubieron de callar, confundidos por el poderoso garante que se les ofrecía de cuantas quejas y pret…</t>
  </si>
  <si>
    <t>…rosa como desearía con los oficiales ingle que no asentía de ningún modo á los principios de los ministros. ses en el tesoro nacional; y entre tantos embarazos para el reconoci El lord Liverpool manifestó á la Cámara que la circular que se ha miento y gratitud debida á los citados oficiales, proponía el siguiente bía, presentado á esta contenía una exposición exacta de la conducta medio de conciliación. i.° Que aquellos oficiales ingleses, que por de…</t>
  </si>
  <si>
    <t>…en 8o3 hombres , de los cua ■ Otros varios lores tomaron la palabra en favor y en contra de la les solo hay 6o3 en los Estados romanos , y los'demas forman el cuer proposición. El.lord Liverpool habló uno de los. últimos., y dijo en.xerpo de reserva; sin embargo da que; los austríacos dicen que tienen sumen: que en el momento actual estaba limitada la política de In ioo0 hombres en marcha.” ■ - glaterra &lt; á - una rigurosa neutralidad; que reconocía q…</t>
  </si>
  <si>
    <t>…lectura del bilí de emancipación de los católicos, y hubo quien proponía haga saber á quien corresponda. Madrid g de Abril de 1821. medios de contentar á los dos partidos; pero el lord Liverpool y el . , . Ministerio de Hacienda. . . lord canciller tenían intenciones de oponerse vigorosamente á que el He dado cuenta al Rey de la exposición documentada de D. Juan lili se,adoptase..La Cámara de los Comunes apiobó.eí bilí en su tercer» de Rojas, capitán…</t>
  </si>
  <si>
    <t>…e para la entra El duque de Newcastle (en otro tiempo Mr. Palham) ha hecho rla de las tropas austríacas en Jas plazas de Greta y de Pescara serán insertar en el Courier una cairaá lord Liverpool, firmada de su nom entregadas mañana, antes de la entrada del egército en la ciudad de Ña bre, en la, cual exhorta -á..este ministro para que .se.oponga vigorosa póles, á S. E- el comandante general barón de Frimont, por S E. el mente al bilí de los católicos…</t>
  </si>
  <si>
    <t>…ue ocupado al parecer en rio, los • individuos anti-católicos’harian'str dimisión. Hace mucho el servicio habitual, había dado motivos justos de desconfianza , no so tiempo que el lord Liverpool trata dé retirarse.'El Courier invita á S. M. lamente por haberse sustraído sus gefes de las órdenes del .ministro de en términos demasiado fuertes á qué no sancione el bilí, aunque lo aprue lo Interior, al cual se había revestido en esta parte de la antigua…</t>
  </si>
  <si>
    <t>…riginal.” Después de haberla apo dente Boyer se'acabaría de tranquilizar todo. yado su autor, dijo el Sr. Romero Alpuente que para nada se necesita Parece ser muy probable que* el lord Liverpool será destituido de ba lo que indicaba el Sr- Cepero; que este seria-un medio para embrollar su destino de presidente del consejo, y que le reemplazará el marques el asunto que se discutía, y para perder la rectitud de la misma justicia, de Londonderry (lord O…</t>
  </si>
  <si>
    <t>…itiva; y míe dignas. • • • ■ha mandado el Rey pida á V. Mi se atenga sobre este punto á la carta » Lo único que hay de positivo es que Nicolás Ipsilanti (y no Ale •que le escribió lord Liverpool el 7 del corriente, y que os prevenga jandro) con 400 hombres del batallón Sagrado y z$&gt; arnautas, manda ademas que no piensa el Rey conformarse con los deseos deV. M.” En dos por Sava, encontró cerca de Dragarchan un cuerpo de turcos d«. esta carta venia inc…</t>
  </si>
  <si>
    <t>…o redactor, como hollando los juramentos, personages se reunieran ayer por la mañana entre n y u en. casa de mas solemnes , se incita al Monarca español al perjurio! ¡ Asi es como lord Liverpool, en donde permanecieron hasta muy cerca de las dos: se califica de súbditos fieles á unos rebeldes á las leyes, revestida; de la En seguida se trasladaron á lá secretaría de Estado, en donde se debía sanción del mismo Rey; y asi es como se invoca á.Ja santa a…</t>
  </si>
  <si>
    <t>…tar su egército. Se cree que su Se asegura que el doctor Lushington y Mr. -VViide visitaron ayer llegadá'será la señal de la guerra; no obstante parece cierto que ha des mañana al lord Liverpool para presentarle el testamento, y tomar ór aprobado claramente la conducta inflexible, y aun rígida, que ha ob denes para el funeral. Dicen que S. S. contestó.que se darían órdenes servado el barón Slrogonoff cotí la Puerta. para que una escuadra trasportase…</t>
  </si>
  <si>
    <t>…idos de estas poderosas razones el L)r Lushington y Mr. Witresistencia, que la tropa se vió precisada á ceder. Siguió por largo rato de dirigieron ayer tarde una representación al lord Liverpool, pidién la calle del Strand asaltada de una nube de piedras y de los gritos de dole un plazo mayor, y manifestándole al mismo tiempo los motivos {la Reina! ¡la Reina asesinada! Un destacamento tomó otra direc que tenian para esta demanda. El lord Liverpool le…</t>
  </si>
  <si>
    <t>…cas sobre los progresos de la enfer lencias de la Sicilia. medad de Napoleón. Los demas papeles consistían en copias de las car INGLATERRA. tas escritas por el general Bcrlrand al lord Liverpool, y de ¡as esquelas de Sir Hudson-Love, en que manifestaba á este general que no podia Lár.dves ig de Agosto. remitir aquellas cartas, porque en ellas se daba el título de Magcstad Varias cartas de Constautinopia del 10 de Julio, que aqui se han á Napoleón Bon…</t>
  </si>
  <si>
    <t>…andro no es el defensor mente contra la infracción de las órdenes de S. M- comunicadas con nato de los griegos! :Y estos no están unidos con él con los vínculos de anterioridad al lord Liverpool, y 3 las cuales no se ha puesto el me una misma religión? ¡Podría cerrar los oidos á la voz de la humanidad, nor reparo: esta infracción está á pique de cometerse qu.tundo contra pues todo cuanto hay humano habla á favor de aquellos desgraciados, y la volunta…</t>
  </si>
  <si>
    <t>Lizana, Manuel de</t>
  </si>
  <si>
    <t>Manuel de Lizana</t>
  </si>
  <si>
    <t>…una noticia de los trámites que la precedieron D. Jacobo Villaurrutia y D. Antonio González Rodríguez: en ia de y motivaron. Véndese á 2 rs. en la librería de Hurtado. Mallorca á D. Manuel de Lizana: en la de Galicia á D. Ramón Ma Manifiesto que hace un ciudadano á sus compatriotas con motivo ría de Moya y D. Juan Nepomuceno Vela: en la de Sevilla á D. Jo de haber acordado S. M. que baya Cortes extraordinarias , y las obser sef de Mier y D. Pedro Simó Ló…</t>
  </si>
  <si>
    <t>Lizasoain, Juan de</t>
  </si>
  <si>
    <t>Juan de Lizasoain</t>
  </si>
  <si>
    <t>…cierto que una división de esta natura leza obviaría los inconvenientes que no pueden menos de resultar de la Descripción del monumento construido bajo ia dirección del acreditado profesor D. Juan de Lizasoain. ‘ Supremacía que quiera arrogarse una sola potencia * jrn un magestuoso basamento se eleva sobre un haz romano ; sím Haya lo que hubiere acerca de estos proyectos , lo cierto es que en bolo dé la unión y la fuerza, una Lápida cuadranglar de esqursito las neg…</t>
  </si>
  <si>
    <t>Llacayo</t>
  </si>
  <si>
    <t>…stanciándose la ape dicho parecer oficial. g.u El anuncio y análisis crítico del primer opús lación de la'sentencia dada en 4 de Mayo. culo sobre la peste y la fiebre amarilla del Sr. Llacayo. Oración fúnebre que en las honras militares dijo en este año de Extracto de la lista de causas criminales pendientes en esta audiencia 1821 D. Isidoro Francés y Cabañas, canónigo en la iglesia de S. Isidro en el primer semestre de 1800. de esta corte. Se ven…</t>
  </si>
  <si>
    <t>Llacayo, Juan</t>
  </si>
  <si>
    <t>Juan Llacayo</t>
  </si>
  <si>
    <t>…ulverizada, se ha Elementos de filósofia médica, ó principios filósoficos aplicados*á preconizado como una excelente fumigación para desinfectar los vesti la medicina práctica por*D. Juan Llacayo, médico del hospital gene dos y las caballerizas en los tiempos de epizotias. ral de Sta. Cruz de Barcelona. Esta obrita que empezará á publicarse También tengo idea de que la que se forma por el ácido sulfúrico por opúsculos en 8.° de 80 páginas cada mes lue…</t>
  </si>
  <si>
    <t>…á los delincuentes el descan Opúsculos sobre la filosofía médica , la pesie y la calentura amari so preciso; y si el trabajo era extraordinario, el descanso lo seria tam lla, por D. Juan Llacayo, ex-médico del hospital general de Sta. Cruz bién : que asimismo la cláusula^ nadie podrá dispensarse érc,, estaba de Barcelona , taquígrafo de Cortes Stc. Tratados contenidos en el pri puesta con mucho tino, á fin de que no hubiese Jas excepciones que has me…</t>
  </si>
  <si>
    <t>Llaguno, Antonio</t>
  </si>
  <si>
    <t>Antonio Llaguno</t>
  </si>
  <si>
    <t>…ación de causa, entre los'cuales cupo'la suerte i D. Manuel Garrido, „Sí, señores, el jurado es algo en Francia-desde que fue llamado 4 redactor tercero del Diario de Cortes , y á D. Antonio Llaguno, oficial juzgar de los delitos de la imprenta, pues por este medio lo asociasteis i segundo de la secretaria de las mismas; petó que habiéndose excusado en algún modo á vuestras altas funciones, parque si vosotros sois lla esfos bajo su propia responsabilidad…</t>
  </si>
  <si>
    <t>…r respecto á haberse excusado los jueces de hecho D. Manuel asequible de los ministros ingleses. Siempre se les encuentra en armo Garrido, redactor tercero del diario de Cortes, y D. Antonio Llaguno, nía con aquella extraña prevaricación de ideas, que quiere reducir á las oficial de la secretaría de las mismas, á la calificación del impreso inti naciones europeas á la humilde condición de esperar las rqejoras socia tulado Condiciones y semblanzas de tus…</t>
  </si>
  <si>
    <t>Llama, Miguel de</t>
  </si>
  <si>
    <t>Miguel de Llama</t>
  </si>
  <si>
    <t>…, antes departamento dueño territorial el Exorno. Sr. marques de Albudeite. Se acudirá del Rhoer, soldado que fue en el regimiento de dragones á la escribanía de número que egerce D. Miguel de Llama , en. núm. 17.0 del egército francés destinado á Andalucía en el donde se instruirá de todo lo necesario á las personas que quie año i8it , previenen á dicho interesado que si en el espa ran comprarlo. cio de seis meses, contados desde esta fecha , no les da…</t>
  </si>
  <si>
    <t>…mediatas al pueblo de Plasenzuela, en 26,666 rs. referido esclavo, á cuyo fin se encargó al escribano del número y de Una parte en la dehesa de Tinosilla, en 1333 rs. ayuntamiento D. Miguel de Llama que extendiese la escritura ó car En gi de id. de la misma procedencia. ta de libertad; lo que se egecutó en la misma casa consistorial, y ante La casa-hospital, tan arruinada que solo existen la capilla, bóve el mencionado escribano y correspondientes testig…</t>
  </si>
  <si>
    <t>…el contraregistro de la .Alcudia de Carlet: en 43 rea publicación, acudan ante dicho señor juez por la escribanía que eserce les. Contador vista de la aduana de Altea: en 5500 rs. D. Miguel de Llama, sita en las casis del ayuntamiento, donde se halla Zaragoza. Ccntador vista del contraregistro de Mombuey: en 4© radicada la testamentaría de dicha señora vizcondesa, por sí, ó por me reales. dio de apoderado, á deducir su derecho contra dichos bienes; aperc…</t>
  </si>
  <si>
    <t>Llamas, Melchor Cortés</t>
  </si>
  <si>
    <t>Melchor Cortés Llamas</t>
  </si>
  <si>
    <t>…rs. vn. Quien quisiere comprarla acuda á dicha hora en el D, Luis López Rozas; para la de Purcherna, á D, Francisco Fernan mencionado sitio y dia. dez López; para la de Tabernas á D. Melchor Cortés Llamas; paro la María Moneva y Benito, natural de esta corte, muger de Pedro de Almería á D. Manuel Perez de los Ríos; para la de Gergar á Don Rivero, oficial de carpintero, se fugó del lado de su marido en el año Aligue! Antonio Company; para la de Fiñana á D. Manu…</t>
  </si>
  <si>
    <t>LLamon</t>
  </si>
  <si>
    <t>…dro Otamendi, D. Juan Francisco Leston y Peña, Don dos y 4 cuartillos dí heredad , en venta 720 rs., y en renta 4 ferrados Francisco de las Barreras, D. Francisco -Címbrelo Rubio, D. LLamon de cebaba. En la veiga de tita. Cruz de Arriba, 4 ferrados de labor y de la Cruz y D. Beltran de Beaumont; ha determinado la junta guber monte, en venta 720 rs., y en renta 4 ferrados de cebada.__En la vet- nativa del mismo establecimiento que para evitar tod…</t>
  </si>
  <si>
    <t>Llano, Joaquín Fernandez</t>
  </si>
  <si>
    <t>Joaquín Fernandez Llano</t>
  </si>
  <si>
    <t>…o leche fresca en invierno y en ve corte se haga saber á ios herederos de D. Angel Leoncini, D. Mateo rano: mil corderos balan en mis anchas cavernas.” Sin embargo, es de Ibarra , D. Joaquín Fernandez Llano y D. Martin Planté , que en una inadvertencia en los viageros el comparar estas tribus ambulantes el termino preciso y perentorio de un mes, contado desde el de la pu con los pastores arcarles de Teócrito, porque este poeta nunca puso en blicación de este aviso, acudan ¿dicho s…</t>
  </si>
  <si>
    <t>Llano, Manuel Beltranena.y</t>
  </si>
  <si>
    <t>Manuel Beltranena.y Llano</t>
  </si>
  <si>
    <t>…a su emboca Igualmente ha tenido ájbien conferir Jas dos magistraturas que fal dura es tal, que si los dos fuertes llamados los Dardanelus de Zitan para completar la de Goatemalaa D. Manuel Beltranena.y Llano, panto estuviesen mas bien cuidados podrían disputar á los navios d( teniente letrado y asesor ordinario de la provincia de León de Nicara guerra la entrada en aquella hermosa bahía ,• de donde salían en otros gua, y á D. Santiago Moreno, juez de alzadas del…</t>
  </si>
  <si>
    <t>Llanos, Carlos González</t>
  </si>
  <si>
    <t>Carlos González Llanos</t>
  </si>
  <si>
    <t>…tidos, puedan dar á la patria padres amantísi- Don Antonio Baras , D. Bartolomé Labrador, D. Benito Corta mos y virtuosos, que funden en inmutables bases su presente y futura zar, D. Carlos González Llanos , D. Casimiro Martin, D. Francisco felicidad! ¡Con qué placer no se persuade el ciudadano de que es im Calzada, D. Francisco Villaescusa, D. Gaspar Aguilera, Da Josef posible que se albergue en pechos tales cosa alguna despreciable y mun Castropol, D. Josef S…</t>
  </si>
  <si>
    <t>Llo-, Esteban</t>
  </si>
  <si>
    <t>Esteban Llo-</t>
  </si>
  <si>
    <t>…Angulo, del primer batallón del de la Corona: á D. Fernando Ru serenatas, loas, follas, entremeses, bailes y sainetes &amp;c. Scc. : un to bín , del segundo batallón del de Zamora: al brigadier D. Esteban Llo- mo en 4.0 Se hallará en las librerías de Sancha y de Castillo á 20 rs. en bcra, Hel segundo batallón del de Soria: á D. Manuel Arbilla, del se pasta y 16 en rústica. gundo batallón del de Guadalajara: á D. Isidro Diaz, del primer ba En las librerías de Sanz y…</t>
  </si>
  <si>
    <t>Llopis, Josef</t>
  </si>
  <si>
    <t>Josef Llopis</t>
  </si>
  <si>
    <t>…e su resolución para cuando La ¡unta de partido de esta ciudad ha nombrado para electores á los se tratase de Jas atribuciones del poder egecutivo. Sres. D. Juan Rico, presbítero; D. Josef Llopis de los Dolores, pro En seguida se suprimió el art. 83, concebido en estos términos: pietario; D. Josef Sempere y Amat, propietario de Elda; y D. Justo ó Ningún diputado podrá ser removido de sus funciones sino por Sevilla, juez de primera instancia de Callosa…</t>
  </si>
  <si>
    <t>Llorens, Josef Ignacio</t>
  </si>
  <si>
    <t>Josef Ignacio Llorens</t>
  </si>
  <si>
    <t>…emas de hablar de di forma: para la de Astúrias á D. Francisco Verea y Cornejo: para la cha acta , anuncia -tire acaba de ajustarse un tratado ofensivo y delensi- de Extremadura á D. Josef Ignacio Llorens; y para- la de Valencia á vo entre tres potencias, sin indicar cuáles son : pero debemos presumir D. Josef María del Busto. que sean las que se hallan mas cercanas á la Turquía; y es de cree» que Asimismo ha tenido á bien nombrar S. M. para plazas de magis en…</t>
  </si>
  <si>
    <t>Llórente, Antonio</t>
  </si>
  <si>
    <t>Antonio Llórente</t>
  </si>
  <si>
    <t>…su satisfacción. Vitoria 25 de Abril de 1821.mEl Gefe políti teca de Cortes los egemplares de una adición á una obra de D. Juan co superior de Alava, Manuel de la Rivaherrera.zsEl comandante Antonio Llórente, que ha publicado un abogado en Barcelona. de armas, Miguel de Alava. El Sr. González Allende presentó una exposición de D. Juan El otro es relativo á la dispersión de los rebeldes en Campezur, con Garante, cura de Hinojosa, en la provincia de Salamanca, soli…</t>
  </si>
  <si>
    <t>Llórente, Anvel Sanz</t>
  </si>
  <si>
    <t>Anvel Sanz Llórente</t>
  </si>
  <si>
    <t>…ue exceda de 7.200c) reis ; y por ulti tes de ella el teniente y subteniente retirados D. Juan de la Fuente y mo, de todas las rentas de los demas obispados del reino se recaudará D. Anvel Sanz Llórente. Jo que exceda de -f.cÍQo;-) reis, quedando las cantidades destinadas pro 4/ La de D. Francisco Perez Címbrelo, hijo, teniente de infante</t>
  </si>
  <si>
    <t>Llórente, Jacobo</t>
  </si>
  <si>
    <t>Jacobo Llórente</t>
  </si>
  <si>
    <t>…as observaciones acerca tillería. Caldas D. N. Amor, propietario. Padrón D. Bernardo Pai- de las modificaciones que se estiman necesarias para el arancel general zal, abogado. Sar D. Jacobo Llórente, capitán de Composteia. San de aduanas, aprobado en la legislatura del año de 1820. tiago D. Manuel García Barros, alcalde constitucional. Nayas Don A dicha comisión se mandaron pasar dos representaciones del in Francisco Ferron Cuaveiro, juez interino de pri…</t>
  </si>
  <si>
    <t>…antigüedad, yCid- Suplentes. Lie. D. Josef Moure, teniente coronel; D. Antonio los de nueva creación sortearán la suya en la junta de inspectores, de Jusef Acevedo , comerciante-, D. Jacobo Llórente, capitán del provin biendo seguir al último de aquellos aquel á quien le toque en suerte el cial de Compostela; D. Josef Martínez Moscoso, juez de primera ins número siguiente. Los batallones ligeros tendrán su escala separada des tancia de Madrid; D. Josef F…</t>
  </si>
  <si>
    <t>Llórente, Juan Antonio</t>
  </si>
  <si>
    <t>Juan Antonio Llórente</t>
  </si>
  <si>
    <t>…sta és ia que preside y cuál ha sido la Opinión nacional de España acerca del tribunal de la in reside en ella. Se indican ademas en dicha lámina las épocas mas glo quisición: por D. Juan Antonio Llórente: un tomo en 4. __Diserta riosas de nuestra feliz revolución, cuales son el memorable dia i.° de ción histórica sobre la parte que tuvieron los españoles en las guerras de Enero, y los de Marzo y Julio. Al principio de cada título llevará una ■ Ultramar ó de l…</t>
  </si>
  <si>
    <t>Lnsanta</t>
  </si>
  <si>
    <t>…en lugar de á la de gasto del nuevo sistema administrativo, creo que se habrán contado de Guadalajara. con otras dos partidas ademas de los sueldos de los gefes políticos. Es Del Sr. Lnsanta para que los límites orientales y meridionales de la tas son la una Ja de algunos gefes políticos subalternos que habrá que provincia de Chinchilla sea cortando el rio Jucar. poner, y ademas la de los gastos que ocasionarán los gefes políticos De los Sres. Go…</t>
  </si>
  <si>
    <t>Lo</t>
  </si>
  <si>
    <t>…de la misma, se ha mandado celebrar junta ge sas contra los aprehendidos en Salvatierra y provincia de Burgos, sino neral de todos los acreedores á la dimisión de bienes hecha por D. Lo que es extensivo á los que se hallen en igual caso, y esten comprendi pe Angulo , vecino del lugar de Vallecas, señalando para ella el do dos encausas anteriores de la misma naturaleza. Madrid 18 de Junio de mingo 29 del corriente, á las 8 en punto de su maña…</t>
  </si>
  <si>
    <t>…ado ya este anuncio , se les suplica que ten 0 mayor y un m.-s ,ie asamblea, serian tres meses ai año, que es tium- gan .por mal adquiridos todos los créditos endosados a favor de D. Lo 1 demasiado grande si se considera lo que en él pueden producir es renzo Josef Romo, aunque lleven endosos sucesivos , y que sj sirvan os individuos. dar not'cu sobre el particular cu la librería de lLanz. EN LA IMPRENTA NACIONAL.</t>
  </si>
  <si>
    <t>Ló</t>
  </si>
  <si>
    <t>…e á su discusión. Se mandó pasar á la comisión. v. gr. , de la pena de muerte, podria hacer todas las reflexiones que tu El Sr. Vadillo dijo: Uno de los argumentos que ha hecho el Sr. Ló viese por convenientes. Tal vez con muchos artículos no me conforma pez ( D. Marcial ) contra este proyecto es que debia preceder á esta dis ré, y cuando se trate de ellos expondré las razones en que me fundo cusión la del código de procedimientos, y que much…</t>
  </si>
  <si>
    <t>Lo, Benito</t>
  </si>
  <si>
    <t>Benito Lo</t>
  </si>
  <si>
    <t>…están en el casia de aprobar que sea provincia Castellón. El Sr. Cortes satisfizo á varias observaciones que habia hecho el Se Requisito* para ser diputados á Cortes: discurso de D. Benito Lo,ñor Sancho. bato y Caballero, diputado á ellas en la legislatura de 1820 y 1821. El Sr. Romero Alpuente dijo :.Me parece que cuando se trata dé Se hallará en las librerías de Víllareat, en la de Mlnutria y en la dé ana provincia grande dividida.en dos ó tres…</t>
  </si>
  <si>
    <t>Ló, Florentino</t>
  </si>
  <si>
    <t>Florentino Ló</t>
  </si>
  <si>
    <t>…ado del Sr. D. Julián de Sojo , juez letrado de primera sos de enfermedad, ausencia ó á falta del presidente, ejercerá interina instancia y de la Hacienda pública, y escribanía de D. Florentino Ló mente sus funciones en la junta y fuera de ella con el título de vice pez Paro, se siguen autos por el señor fiscal de la extinguida subdelepresidente el mas antiguo de los concurrentes por el orden de sü nom gacion de Mostrencos contra el F.xcmo. Sr. D. Jose…</t>
  </si>
  <si>
    <t>Lo, Manuel</t>
  </si>
  <si>
    <t>Manuel Lo</t>
  </si>
  <si>
    <t>…e á la comisión la proposición que se acababa calera : para el de IUescas á D. Tadeo Capablanca : para el de Orgaz á de leer. D. Antonio Mádolell: para el de Mal de Sto. Domingo á D. Manuel Lo mismo se verificó con otra de los Sres. Moscóso, Quiroga y Lo Perez Aransolq: para el de Ocañi á D. Juan Bermejo: para el de Cor sada, relativa á que en el caso de que las Cortes aprobasen una quinta ral de Almaguer á D. Josef Antonio Martin palomino: para el…</t>
  </si>
  <si>
    <t>Ló, Marcial Antonio</t>
  </si>
  <si>
    <t>Marcial Antonio Ló</t>
  </si>
  <si>
    <t>…ada la mayor parte de las casas de la misma, pereciendo entre las lla mas de este incendio los archivos y oficios donde se custodiaban los do nota. La indicación hecha ayer por el Sr. D. Marcial Antonio Ló cumentos y escrituras respectivas á su jurisdicción , y entre ellas los tí- pez , y aprobada por las Cortes, de la cual se hace mención en la gace •tulos de egresión de dos escribanías, tina de rentas, y otra de número ta de ayer, se redujo á que estas mandas…</t>
  </si>
  <si>
    <t>Ló, Miguel</t>
  </si>
  <si>
    <t>Miguel Ló</t>
  </si>
  <si>
    <t>…nrados, la nobleza y la - total extinción de los diezmos. - • generosidad. » No ignoráis, les dice, que las milicias nacionales son Asimismo oyeron con agradó otra felicitación de D. Miguel Ló por; su naturaleza ei . antemural de la independencia y de la liber pez sobre la ley de abreviación de causas. . - -' tad de, la Nación. Su obligación es defender sus hogares de los ene Las Cortes oyeron igualmente con agrado otra felicitación de los migos in…</t>
  </si>
  <si>
    <t>Lo-</t>
  </si>
  <si>
    <t>…as oirás sociedades del mismo género, como la socie volverlos á la vida, cuarto á los que han sido mordidos por animales dad de medicina en XVUna , que tiene por director al señor profesor Lo- rabiosos: quinto á los envenenados__ Carta 16 del compadre del hol bewein; la sociedad de los amantes de la lengua rusa en Jaro claco Ec.; gazán. Se hallarán en la librería de Castillo. SUPLEMENTO</t>
  </si>
  <si>
    <t>…scritos periódicos que ■ - - Cádiz. 01 de Julio. ■ saliesen en'diáí determinados, cualesquiera que fuesen su título y su ob Ayer entraron en esta puerto la goleta inglesa Aurora , capitán Lo-</t>
  </si>
  <si>
    <t>Loa, Juan Bautista</t>
  </si>
  <si>
    <t>Juan Bautista Loa</t>
  </si>
  <si>
    <t>…Sr. D'r. D. Josef Angel Gazano, diputado por México; el Sr. Lie. Don Entre tanto por el artículo de Paris arriba expresado se ve que la Josef María Daza, diputado por Tiaxcala; el Sr. D. Juan Bautista Loa derecha .de.los austríacos ha sido batida completamente ; y que el ge bo , suplente por Oajaca ; el Sr. D. Francisco- Pablo- Vázquez, diputa neral Carrascosa se adelantó hasta Spoleto. Siendo esto cierto, la po do por Puebla; el Sr. Dr. D. Antonio Manuel Cout…</t>
  </si>
  <si>
    <t>Loaches, Jacinto Gaona y</t>
  </si>
  <si>
    <t>Jacinto Gaona y Loaches</t>
  </si>
  <si>
    <t>…oca de Setiembre, en que debe primera instancia de esta M. H. villa, refrendada de su escribano del reunirse este Congreso, se alterase .mucho la situación de los negocios, número D. Jacinto Gaona y Loaches, se ha señalado el dia 30 del y sucediera tal vez lo que menos se esperará. corriente á la hora de las 11 en punto de su mañana en una de las sa Se decía que la Puerta habia rehusado acceder al ultimátum de la las del ayuntamiento para el primer remate de cua…</t>
  </si>
  <si>
    <t>Lobariñas, Antonio Vicente</t>
  </si>
  <si>
    <t>Antonio Vicente Lobariñas</t>
  </si>
  <si>
    <t>…Marcos Saraudeses; en León en la de Don Bracamente; para Andujajr á D. Francisco de Paula Molino; para Ube- Antonio Chalanzon ; en Búrgos en la de D. Paulino Alegría, del co da á D. Antonio Vicente Lobariñas; para Bezmar á D. Josef Santerías mercio, y en Avila en la de D. Antonio Salcedo, boticario; y los de-' y lerin; nara la Carolina á D. Francisco de Paula Villa-Real, y pa mas depositarios que gusten seguir en dicha venta de fumigaciones podrán ra Cazorla á D.…</t>
  </si>
  <si>
    <t>Lobato</t>
  </si>
  <si>
    <t>…, pues el expediente r*&gt; arrojaba ningún por suficientemente .deliberada,, y. se admitió á discusión, documento de la justicia con que se verificó. El Gefe político , solo, por El Sr. Lobato indicó que. no siendo preciso eL nombramiento de la. reclamación de nulidad de algunos individuos, sin mas justificación, dichos Sres. consejeros de Estado al principio de esta legislatura , podia sin oir á los posesionados , y sin otra porción de. circunstan…</t>
  </si>
  <si>
    <t>…te sobre se avisa asi para noticia del público y satisfacción del interesado. los fondos urbanos. Se mandó unir á los antecedentes. No hubo lugar á votar sobre una proposición del Sr. Lobato, que Los individuos que habiendo servido en el batallón de infantería li decía: i) Siendo muy propio de la benignidad de las Cortes tomar en gera, i.° de voluntarios de Aragón, y obtenido sus licencias absolutas, consideración las peticiones de los pueblos en…</t>
  </si>
  <si>
    <t>…doitd , y com sion ancargada de dar cuenta del estado de la Nación , y se apro entregada por el Sr Rauurez.Gd. bó la adición del Sr. Romero Alpuente sobre que asistiesen los mi Ei Sr. Lobato hiz &gt; presente una representación-, que por su medio, nistro». , se dirigía á las Cortes , de! pueblo de Viliatiores, en la que exponia La comisión de División del territorio, español presentó su dicta que mandando la Constitución que se repartiesen con igual…</t>
  </si>
  <si>
    <t>…aYáft' éon prescripción y sobre la abolición delyvoto de Santiago , no lo habia he i .. .tí . exactitud.—¿:.....¡:.¡ ARTICULO DE ÓFICiIQó v o i,;cho en los términos que suponía el Sr. Lobato , sino que para obligar á las Cortes a que providenciasen lo conveniente en este asunto habia i j n, o o. b:::. ;í; :. :., • . ,■ eoiniriu sl-.cl1 enlazado el referido caso de la abolición - del voto .de Santiago con la . - El Exento. Sr^ secretario de: Estad…</t>
  </si>
  <si>
    <t>…a yes lo que no era suyo, no podía haber una verdaJera prescripción. les habia tomado aquella resolución. En cuanto á lo primero, si el campo que riega y trabaja di labrador es El Sr. Lobato dijo: que con el grande aparato y fuerte ataque que ■lina propiedad sagrada para é!, ¿cuánto mas sagrada é inviolable será ¡a habia dado el Sr. Marina al asunto de que se frutaba, creia que habia de un valeroso que regió con su propia sangre los campos que di…</t>
  </si>
  <si>
    <t>…dia á las dos y cuarto;-7lias; blicará, ” convendrá añadir: ’&gt; con expresión de la hora de su fijación.” - Cortes quedaron en secreta. • Se leyó otra adición al mismo artículo del Sr. Lobato, que decia: » que donde se habla de las personas qué se encuentren reunidas con' ARTICULO DE OFICIO. los facciosos .aunque no tengan armas, serán juzgadas militarmente,” se debería expresar el sentido en estos términos: » Los que esten re Circulares del minis…</t>
  </si>
  <si>
    <t>…á la comisión de Instruc responsable de las bajas que ocurran por deserción de los individuos ción pública. con que hayan contribuido, debiendo estos reunir las cualidades que El Sr. Lobato dijo que de resultas del decreto que dieran las Cor designen las Cortes para su admisión.” tes sobre extinción de monacales y órdenes militares, habían quedado El Sr. Puigblanch fue de parecer que debería hacerse extensivo et sin destino muchos empleados en l…</t>
  </si>
  <si>
    <t>…n los casos en que S. M. ponga la suya; ponga lo que mas convenga.” y de una exposición del ayuntamiento constitucional de Pruna, en Ja Se leyó por primera vez una proposición del Sr. Lobato, que decia provincia de Sevdla, felicitando a las Cortes por la aprobación de ios asi : » Siendo las capellanías y demás fundaciones de sangre unas verda artículos i.“ y z ° del dictamen de la comisión de Legislación sobre se deras desmembraciones del patrimo…</t>
  </si>
  <si>
    <t>…o están comprendidos en el artículo 21 de la Constitu tual favorece á muchas clases en perjuicio de otras. ción, y que solo se entienden comprendidos, en él los negros esclavos El Sr. Lobato dijo que el.puebloydistrito.de Sandoval, en la pro venidos de Africa. vincia de León, le había dirigido una representación., á fin de que la Se leyó la siguiente indicación del Sr. Lobato: ■ presentase á las Cortes, manifestando que todos sus individuos han s…</t>
  </si>
  <si>
    <t>…do progresos; y los periodistas opinan de diferentes modos acerca de clero y las fábricas de las iglesias.” ella, según el interes que mueve su pluma, ó el modo de ver los acon El Sr. Lobato dijo: Yo no soy tan generoso 'como el Sr. Marte!, tecimientos. que mira con mucho respeto el dictamen de la comisión especiaL de Se sostiene, tal vez pro formula, el rumor de un nuevo Congreso Hacienda; pero 'estimo tanto á los señores que la componen como ab…</t>
  </si>
  <si>
    <t>…os y aldeas de su respec __Los periódicos dicen secamente que S- M. el Rey Fernando 1 se ha tiva provincia.” lla enfermo en Roma. L- En Ñapóles continuaban Jas prisiones de las El Sr. Lobato dijo: las casas que habitan los colonos en el campo personas que se declararan por la Constitución , que los sacaba del esta nada producirían sino las habitasen.de! mismo modo que si el palacio do de esclavos para elevarlos á la dignidad de hombres; y se daba…</t>
  </si>
  <si>
    <t>…se percibirá sobre el valor de los efectos abandona Se mandó pasar á la comisión especial de Hacienda úna. indicación dos, y en tiempo de guerra solo se percibirá la mitad. ' del Sr. Lobato , hecha con el objeto de que las Cortes manden pasar las 2. J Los vales á la orden, las secciones de acciones y fracciones de reclamaciones del clero de Astorga á dicha comisión de Hacienda, a éstas, procedentes de compañías ó sociedades particulares 3e accio…</t>
  </si>
  <si>
    <t>…jarlo para el leglamento. por la falta de salida de sus consumos. El Sr. Marte! manifestó no tenia inconveniente la comisión en A la de Hacienda se mandó pasar otra indicación del Sr. Lobato admitir las modificaciones que se creyesen oportunas. Quedó aprobado. sobre abonos de suministros para el pago de las contribuciones. Art. 49. « En este establecimiento se darán las enseñanzas siguien El Sr. Palarea pidió que en el art. 2.0 de los adicionales…</t>
  </si>
  <si>
    <t>…La renovación de los vocales de estas juntas, tiempo en ds decretos sobre patentes. Quedó aprobado. que deben hacerse, plazo de sus convocaciones, y demas pertenecien Adición del Sr. Lobato al art. 4.^ sobre consumos, y señaladamen te á las formas que deberán observar, todo será materia de un regla te al c - *, en donde se dice: » JYó comprenderán en ellos las propie—mento formado por ellas, y remitido para su aprobación al Gobierno. dudes sujet…</t>
  </si>
  <si>
    <t>…l reemplazo del egército. lo bien. Se mandó pasar á la comisión de Instrucción pública la siguiente El primero, señores, es desconceptuaros y envileceros á los ojos indicación del Sr. Lobato: » Pido que la gracia concedida á los bachi del pueblo. Mirad, dirá y repetirá este, cómo cuidan de vuestros inte lleres de la universidad de Oviedo se haga extensiva á todos los demas reses aquellos á quienes habéis encargado su conservación. Bien lejos de d…</t>
  </si>
  <si>
    <t>…ha de verificar, si será recargándolos en ó extrangera. el presupuestó, ó de qué,otro modo: en el primer caso lo creo de todo Se leyeron por segunda vez •; is proposiciciones del Sr. Lobato punto imposible, porque vemos que los pueblos no pueden pagar las acerca de los bienes nacionales aplicados al Crédito público , que se cantidades que se les han señalado para su contribución directa, v mu mandaron pasar á la comisión especial de Hacienda: ot…</t>
  </si>
  <si>
    <t>…lítica dé la Turquía. He aquí la razón que de renta en la librería de Perez. indican los periodistas de la santa alianza para una intervención que Respuesta seria que un amigo del Sr. Lobato, diputado- de las nos llena de rubor el escribirla. actuales’ Cortes, ds al impugnador joco-serio del folleto intitulado: Pero iy cuáles podrán ser los resultados de la interposición de la Condiciones y semblanzas de los diputados á Cortes para la legislatura…</t>
  </si>
  <si>
    <t>…s á no salir de elia para el despacho cilidad que tienen Jos habitantes de aquellas cercanías fseaun ha dicho de sus negocios, forzosamente habrá de incomodarles, y aun perjudi el Sr. Lobato) de ir á la capital, debo manifestar qur á los mercado* carles el pasar á otra donde no tienen las relaciones que en la suya, í van únicamente en el verano, y no tan frecuentemente como ha di Jo que se agrega esta idea desagradable de no ver ya figurar á su p…</t>
  </si>
  <si>
    <t>…ta de que la hicieron volvían á sus hogares; de manera que puede decirse que solo capital fuese Plasencia. Barcelona, Torlosa y el puerto de Sta. María son los puntos de la Pe fcl Sr. Lobato pidió que se leyeran todos los documentos que exis nínsula en qne este azote cruel aflige á la humanidad. Sin embargo, el tían con aquella representación, y se verificó su lectura; los cuales se Gobierno francés va tomando, como puede verse en el artículo de…</t>
  </si>
  <si>
    <t>…perdido la mayor'parte de su vecindario en la^última guerra á íiih eñ póbl.ácohi ' ' • " V"' • - ' causa de su mucho patriotismo. Mérida es un pueblo que éstá mas en - Vea aquí-el.Sr. Lobato destruido todo el argumento en que ha fun «l dentro,-y de consiguiente mas cercano de la mayoríade. los pueblos, dado su opinión para decir que debe «star la capiial en -PUsencia. (Y Jo cual se puede demostrar en el mapa; asimismo está mas-cerca; de hemos de…</t>
  </si>
  <si>
    <t>…to que no tiene réplica sin que muy útil: pero que supuesto esto se debía observar lo que habia manifesta tenga inconvenientes , porque verdaderamente no se puede dar una ra do el Sr. Lobato, esto es, que la división se hiciese con igualdad , y que zón con la cual se demuestre que puede tener este método inconve no se dividiese á unas provincias en muchas partes, y á otras en pocas, nientes. A la comisión no se la ocultaba que no es otra cosa que…</t>
  </si>
  <si>
    <t>…dría discutirse la pro tado en el despacho de 7 de Junio último por la comisión especial de posición indicada. Gobierno económico-político de las provincias acerca de las varia El Sr. Lobato: Todo el mundo conoce el tiro que nos está hacien ciones que deberán hacerse en la citada instrucción.” do , y ¡os graves males que está causando la introducción de esa mone Se mandó pasar á la comisión la exposición , y después de una li da torénica ó como l…</t>
  </si>
  <si>
    <t>…spués, no dejaría de re mos muy exactos en nuestras expresiones. Contratándome á la peregri sultar que el dinero que quedase circulando valiese mas; y produciría na ocurrencia del Sr. Lobato, digo que es inadmisible por su naturaleza, un mal á la Nación , porque vendrian los extrnngeros .1 traer dinero v la comisión ha creído qué el Gobierno, que habia causado estos males, a cambiarlo con efectos nuestros ; y como tendrían menos valor por lá debi…</t>
  </si>
  <si>
    <t>…e equilibraba lo que le faltaba de,peso. de la cornis ón sobre prohibición del curso de la moneda francesa, y 2Que asi convenía al honor de la casa y de los buenos artistas el del Sr. Lobato , centrino á la aprobación del art. 3.0 y sucesivos que que tenemos en ella , para que si se notaban algunas sombras en el gra se aprobaren dr aquel proyecto. bado , se supiese dependía.del cuño anterior que,tuvieron. be din cuenta de u.m exposición de D. Mig…</t>
  </si>
  <si>
    <t>…una reclusión de uno á tres años, ración indirecta, ía cual no podia ser.sino culpa mas ó menos grave;y sin perjuicio de otra pena mayor, si estuviere señalada al delito que ha el Sr. Lobato quería probar que el que cooperaba merecía la niisma:pe- gan cometer con el suborno , conforme al- art. 16 del tít. preliminar:” na qué ei que excitaba al delito , siendo asi que eran cosas enteramente y como, las personas que.se dejasen sobornar, debian ser…</t>
  </si>
  <si>
    <t>…e en que se hallan sus individuos por no trava en- el código penal , y de ningún inpdp.erj el civil .. . . haberse procedido hasta el dia á la formal liquidación de haberes qua El Sr. Lobato: Por este ..artículo se supone que los padres son. fauto- les han. correspondido y debido percibir desde .que cesaron de hacerlo j res da los dalitos.de los hijos : yo no sé cóma si puede suponer quedos. por las escaseces del erario público ; ha tenido á bien…</t>
  </si>
  <si>
    <t>Lobo, Leite</t>
  </si>
  <si>
    <t>Leite Lobo</t>
  </si>
  <si>
    <t>…prueba de ilustración, Se continuó la discusión sobre diezmos, en la que hablaron varios mi título para aspirar á la reputación de gran talento, y, digámoslo Sres. diputados; y el Sr. Leite Lobo , después de manifestar.que los diez asi, un testimonio de cultura y de buenas costumbres? ¡No era esto antes mos no eran de derecho divino, y que la nación se hallaba «goviada de la revolución dq 1789? con el peso de la deuda pública , hizo ver que la desigu…</t>
  </si>
  <si>
    <t>Lobo, Manuel</t>
  </si>
  <si>
    <t>Manuel Lobo</t>
  </si>
  <si>
    <t>…vos de'que detíe ganización de este ramo, presentado1 por la maestranza del Ferró! , y hacerse uso en el desgraciado caso de aparecer un enfermo en alguna de varias reflexiones de D. Manuel Lobo , capitán‘de la armada, y D. Juan nuestras casas: todo lo ha prevenido , como es de su deber; mas por Pedro Coronado , capitán de navio. desgracia las ocufrerfcias desagradables de Torrosá vertidas en los pape A‘Ja comisión de Aranceles varios expedientes, re…</t>
  </si>
  <si>
    <t>Lobo, Teresa</t>
  </si>
  <si>
    <t>Teresa Lobo</t>
  </si>
  <si>
    <t>…ncias que los bienes de Jos patronatos laicales fundados por Doña Leonor de dictan, sujetándose á las fórmulas constitucionales, es lo mismo que Reina, Dona Elvira García Hidalgo, Doña Teresa Lobo, Doña Ma empeñarse en hacer compatible el amor á la Consiitucion con el que ría Lobo y Alonso Fernandez Lobo, se dividan entre los parientes que brantamiento de su art. 7.0, en que está consignado uno de los princi acrediten serlo legítimanente de los fundado…</t>
  </si>
  <si>
    <t>Lobo, Vasco Josef</t>
  </si>
  <si>
    <t>Vasco Josef Lobo</t>
  </si>
  <si>
    <t>…su desdeñosa Villaviciosa, en las que se referia el modo con que habia jurado las alianza; pero quiero ceñirme á las dos épocas que he hecho presentes, bases de la Constitución el obispo D. Vasco Josef Lobo , remitiendo de las cuales saco una consecuencia sencilla é incontestable. Antes de la una copia de su protesta; y pidió que la Regencia procediese inmedia revolución, y cuando el clero era rico, se perdió en Francia la religión. tamente á la averiguación del…</t>
  </si>
  <si>
    <t>Lodantes</t>
  </si>
  <si>
    <t>…on cogidos en Bucharest una embarcación de 90 toneladas, destinada para las costas de Africa, fueron-empalados vivos. Este horrible suplicio causó en la ciudad el y mandada por el capitán Lodantes: este buque sha ¿ cargar, según sé mayor terror; pero era ya imposible el huir. Se impuso una gtati con</t>
  </si>
  <si>
    <t>Lodares</t>
  </si>
  <si>
    <t>…a; por consiguiente la contribución se Se mandó pasar á la comisión de División de territorio español otra debe imponer esencialmente por el valor de las casas para po cometer del Sr. Lodares, reducida á que se reúna en una misma provincia el tantas Injusticias. Se excluyen-los pueblos que na llegan i 8a casas,</t>
  </si>
  <si>
    <t>Lodares, Rafael Casim.ro</t>
  </si>
  <si>
    <t>Rafael Casim.ro Lodares</t>
  </si>
  <si>
    <t>…rativos dei Crédito público , y de los que traten con nigo de S. Isidro de Madrid'. D. Ramón Trujillo, juez de hecho en i a .él en los negocios de su atribución. villa de Madrid ; D. Rafael Casim.ro Lodares , diputado provincial. Su 3. " Que el 4 por too se pague solamente de las ventas y fincas plente. D. Josef Nuñez de Arenas, capitán del cuerpo de artillería. cuya subasta se haya empezado y concluido desde la ejecución del ci Por la provincia de háavarra. D.…</t>
  </si>
  <si>
    <t>Lodi</t>
  </si>
  <si>
    <t>…saparecer aquéllas distinciones de provincias muchas familias distinguidas. En León' se había mandado prender al francesas conquistadas, reputadas por extranjeras, de estado! 6 de conde Lodi, que fue ministro de la Guerra; pero ha sido puesto en li elección, cada una de las cuales estaba cercada de un recinto dóble de bertad á petición del Gobierno del Piamonte. Se asegura qué le han guardas y de contrabandistas , cuya guerra intestina poblaba la…</t>
  </si>
  <si>
    <t>Loeches, Jacinto Gaona y</t>
  </si>
  <si>
    <t>Jacinto Gaona y Loeches</t>
  </si>
  <si>
    <t>…España en el dia no goza aun toda Ja cho término por el mencionado juzgado y por la escribanía del nú felicidad que su Constitución la promete, no puede atribuirse, no, á mero de D. Jacinto Gaona y Loeches. las buenas intenciones de su adorado Monarca, ni á la rectitud de Se halla vacante el partido de cirujano de la villa de Tendilla , si sus ministros, ni al deseo ardiente por la felicidad de la patria, de que to en la carrera para los baños de Sacedon : su d…</t>
  </si>
  <si>
    <t>…trado en ga , á los sugetos siguientes: primera instancia de esta M. H. villa, refrendada de su escribano del Para la de Santa Fe á D. Luis Ruiz Diosayuda; para la de Izna- número D. Jacinto Gaona y Loeches, se ha señalado el dia zt del lloz á D. Juan Berges ; para la de Guadix í D. Francisco Tarrago Ri- corriente en la casa de S. S., y hora de las 12 de su mañana , para el queime; para la de Haza á D. Juan Víctor Navarro; para la de Hues remate de una casa, sit…</t>
  </si>
  <si>
    <t>…a legitimidad ma» buen. comprobada, la mera instancia de esta M. H. villa, refrendada de su escribano del húme mas fundada, la mas sólida, la mas noble, la mas duradera, lá mas ro D. Jacinto Gaona y Loeches, su fecha 9 dél corriente, se ha sus brillante, y la mas grata y digna de un Monarca, es la que se funda en pendido la junta general de acreedores de D. Josef María Veladiez, la que ya se tiene por sucesión , cuando esta legitimidad de sucesión está señalada…</t>
  </si>
  <si>
    <t>…ero Castilla la Vieja, y juez letrado en primera instancia de esta M. H. vi determinndo por la ley; y ademas ha tenido á bien mandar que se su lla, por-la escribanía del número de D. Jacinto Gaona y Loeches; en priman en Zaragoza el convento de agustinos calzados de la Mantería, la inteligencia de que para el remate de todas se ha señalado el dia 11 el de S. Lamberto de trinitarios calzados, el dé agonizantes, el colegio de Junio próximo, y hora de las í 2 de su…</t>
  </si>
  <si>
    <t>…, Lugo y Chantada. do de primera instancia de esta M. H. villa , refrendada en este dia El Rey, á consulta del consejo de Estado se ha servido nombrar por su escribano del número D. Jacinto Gaona y Loeches, se han manpara plazas de regentes en las-audiencias de Navarra y Mallorca ¿Don dado sacar á pública subasta por término de 30 dias, contados desde Juan Garrido y López y á D. Lucas Iscio Fernandez. el en que se inserte este anuncio en la gaceta de Madrid, co…</t>
  </si>
  <si>
    <t>…de alguno; y M. H. villa, y de Los negocios contenciosos di la hacienda pública, y 4.a que en cualesquiera de estas cosas que falte, sufrirá la pena de co escribanía del númeto de D. Jacinto Gaona y Loeches, se ha denun miso, en la que sin necesidad de juicio se declara incurso el mismo in ciado ,en el concepto de no tener dueño conocido, un solar sito en esta teresado , asi como en la de quedar nula la patente obtenida, con pér corte , calle de S. Dámaso , sin…</t>
  </si>
  <si>
    <t>…821” trado honorario de la audiencia de Castilla la Vieja, y juez letrado en primera instancia de esta M. H. villa, refrendada en este dia por el es VARIEDADES. cribano del número D. Jacinto Gaona y Loeches, se han mandado sacar á pública subasta por término de 30 dias, contados desde el siguiente Salud pública. en que salga este anuncio en la gaceta de esta capital, dos corra’ones Diálogo entre un nuevo magistrado.y un amigo suyo verdadero J¡“ y un lavadero, qu…</t>
  </si>
  <si>
    <t>…íos, juez en tanciándose la apelación interpuesta de un auto del inferior dado en 1/ primera instancia de esta M. H. villa, refrendada de su escribano del de Junio de 1820. número D. Jacinto Gaona y Loeches, se ha señalado el dia 2 ds Ene 1 r. Un procesado por robo. No consta el dia-en que principió la ro del año próximo venidero en una de las salas del Exmo. ayunta causa ni la prisión. Ultimo estado de esta causa. En eL relator para dar miento de esta M.H. vill…</t>
  </si>
  <si>
    <t>Loeches, Jacinto Gaona'y</t>
  </si>
  <si>
    <t>Jacinto Gaona'y Loeches</t>
  </si>
  <si>
    <t>…sin censura , callaríamos ; pero do en primera instancia de esta M. H. villa, refrendada de su escribano lío debemos hacer o cuando se nota que la censura de Paris permi de número D. Jacinto Gaona'y Loeches, se ha mandado sacar á públi te tan escandalosamente atacar á los españoles, porque queremos ser fe ca-subasta una casa y lavadero de ropas, sito extramuros de esta corte, lices i nuestro modo. Si la Francia quiere seguir máximas góticas, y al otro lado del P…</t>
  </si>
  <si>
    <t>Loepara</t>
  </si>
  <si>
    <t>…nes del Príncipe de Hesse-Hombourg, la cual no ha descansado publiquen en alemán. Dícese que se están haciendo averiguaciones aqui sino una noche. La cuarta columna , al mando del general Loepara encontrar una Apelación á los polacos, que ha debido imprimirse derer , llegó el sábado, y salió ayer. Mañana esperamos otro cueipo. clandestinamente. Si es cierta la existencia de este escrito, puede ase Ayer se colocó un gran parque de artillería austríaca…</t>
  </si>
  <si>
    <t>LoH</t>
  </si>
  <si>
    <t>…ncluso el capitán V oficiales, de cia nacional activa. la polacra S. Cristóbal, procedente de la Havana, del convoy de la La comisión de Legislación, en vista de la indicación del Sr. LoH</t>
  </si>
  <si>
    <t>Loizaga</t>
  </si>
  <si>
    <t>…los títulos, el cual no habia tenido por bierno económico-político de las provincias al Sr. Villa en lugar del conveniente adoptarlo la comisión , porque consideraba que podía pa Sr. Loizaga. sar el término sin que los poseedores de los señoríos pudiesen presentar Las comisiones reunidas de Guerra y Marina presentaron una indi los títulos, creyendo mas oportuno el medio que se expresaba en el ar cación , que juzgaron oportuna, antes de exponer su…</t>
  </si>
  <si>
    <t>…e visión, acalorando los partidos, y calumniando áitoda autoridad se leyeran las representaciones que habia. indicado en su proposición. Verificada que fue la lectura de estas, el Sr. Loizaga manifestó los r , , ANUNCIOS. inconvenientes que habia deque se hiciese una provincia separada 4a de El Dr. D. Salvador, Gosaives1, médico-.c’trujano de esta corte, Guipúzcoa; y ¿enrostró que aquella provincia, después de haberles primer ayudante de egércitó;…</t>
  </si>
  <si>
    <t>…otras dos, á pesar de esto, bastante recargadas, comparando las Las fueros de Vizcaya son una cuestión que hasta ahora no se ha circunstancias que concurren entre sí. Ha dicho el Sr. Loizaga ( conti atacado con animosidad. Generalmente la-mayor parte de las personas' nuó ) que Bilbao ha pagado Ja cantidad de J-iooS rs. por lo respecti instruidas en e&gt;ta especie de conocimientos , que-son las que pudieran" vo á las aduanas j y que « excesiva esta…</t>
  </si>
  <si>
    <t>…erá el de juntar estos argumentos, que las Cortes oyeron con gran prolijidad, no produ jeron ningún efecto» Las razones que generalmente se daban para no .’ los. Por otra parte el Sr. Loizaga ha dicho ei estado que tiene en su pro creer necesarias tantas provincias eran los muchos gastos que se iban á vincia la agricultura, la industria y el comercio; y es bien seguro que aumentar; pero el Sr. Clemencia , uno de los individuos de la comi estando s…</t>
  </si>
  <si>
    <t>Loizi-ga</t>
  </si>
  <si>
    <t>…e lo han dicho les Sres. diputados de aquellas provincias, tincantes de fierro deGinpuzcoa, dirigida con recomendación por la di y si aderiias están tan desunidos como ha dicho el Sr. Loizi-ga (Pu'-s putación dé la misma provincia , en solicitud de qué se prohíba la in que en esto no quiero hacer mas rr.ér.tp que de lo que han • ocho al troducción de hierro extt^rigero, mediante las razones que en ella se gunos Sres. diputados), ¡qué razón habrá pa…</t>
  </si>
  <si>
    <t>Londonderla</t>
  </si>
  <si>
    <t>…Esta proposición fue apoyada • por ios Sres. Benaet, P. Grant, BrougSS. MM. han hecho en tres dias y medio su viage desde laybach. ham, \Vilson &amp;c., é impugnada por Mr. Guolborn, lord Londonderla comitiva de la corte se componía de cuatro coches. Hallábase re 1y &amp;c. Los ministros declararon que el Gobierno se había dedicado al unida en el palacio de Schoenbrunn la familia imperial; y el archiduque examen de las leyes crimínales de las islas Jónicas pa…</t>
  </si>
  <si>
    <t>Londonderri</t>
  </si>
  <si>
    <t>…e Agosto hace las siguientes re » No habia mas que un camino que seguir ; y por desgracia la Rei flexiones. na habia consentido que su nombre , su causa y su influencia se iden El lord Londonderri y sus parciales han abierto a! fin los ojos. EL tificasen con las intenciones y proyectos de una facción que cuando Courrier nos dice ahora lo que sigue: » Los triunfos de las armas rusas Ja Reina llegó á este pais era formidable, y con razón inspiraba temo c…</t>
  </si>
  <si>
    <t>Londonderry</t>
  </si>
  <si>
    <t>…d 4 de Mayo de 1821. ron las sesiones de las Cámaras; en la de los Comunes tomó asiento, Circular del ministerio de Gracia y Justicia. como representante de la.villa de Oxford, el lord Londonderry (Ca,t- Por el ministerio de Gracia y Justicia se ha comunicado al de la' lereagh ). No se había tratado cosa alguna interesante en dicha Crinara Gobernación de la Península la Real orden siguiente: ni en la de los Lores___ La insurrección griega , que á mucho…</t>
  </si>
  <si>
    <t>…tos de economía tria, y su prurito de tiranizar á los Estados pequeños de Europa , no interior de est; cuerpo, y conocimientos locales del importante pais reparando en inculpar al lord Londonderry en la aprobación de la con del Alto-Duero, soy de dictamen que la compañía misma presente el ducta de aquellas potencias. La discusión fu» acalorada y muy intere plan de su reforma , oyendo á los ayuntamientos del distrito , a los co sante , y concluyó pidien…</t>
  </si>
  <si>
    <t>…ste modo en virtud de nos días i su casa de una tertulia, cuando fue herido por una mano su petición. desconocida, rec:b¡endo una-puñalada en un hombro. Felizmente no » Por fin el lord Londonderry manifiesta su viva esperanza de que fue profunda U herida, y se cree que curará; pero al dia siguiente por S. E. no considerará esta comunicación como dirigida de modo alguno la mañana se halló a la puerta del palacio un pasquín, que decía que ¿ limitar la li…</t>
  </si>
  <si>
    <t>Londres</t>
  </si>
  <si>
    <t>…cias de Laibach hasta que hayan llegado rodos los ministros. Se di INGLATERRA. ce que se espera un plenipotenciario de S. M. el Rey de España, como también al marques de Marialva, embajador Londres go de Enero. de S. M. el Rey de.Portugal en la corte de Francia. • Corre la voz de que el marques de Tavistock no hará el lunes próximo su propuesta para que se examine la con ALEMANIA. ducta de los ministros; pero este es un rumor que carece de fundamento, p…</t>
  </si>
  <si>
    <t>Longet, Clemente</t>
  </si>
  <si>
    <t>Clemente Longet</t>
  </si>
  <si>
    <t>…á obtenerlos; y hasta cumplida di 21 de Febrero, á la orden del precitado D. Josef María Sánchez, y cho término no se proceda á dar á los expedientes la demas instrucción cargo de D. Clemente Longet, y endosada también á la casa de Miqui- que está prevenida, ni á calificar el mérito de ninguno de los que los litorena en 23 del próximo A-layo, y remitida á Londres con la acep hayan solicitado.” , tación de Longet. Y por último otra de 700 ducados ó 14,532…</t>
  </si>
  <si>
    <t>Longoria, Josef García</t>
  </si>
  <si>
    <t>Josef García Longoria</t>
  </si>
  <si>
    <t>…discusión sea A las comisiones de Hacienda y Visita del Crédito público ss larga; los secretarios del Despacho tendrán que hablar; muchos señores acordó pasase una exposición del capitán D. Josef García Longoria, diputados, que aun no han p-dido la palabra, la pedirán tal vez según teniente agregado a! estado mayor de esta plaza , en la que pide se le el juicio que vayan formando en el progreso de la discusión ; y seria admita la capitalización de varios sueldos que…</t>
  </si>
  <si>
    <t>Longoria, Josef López</t>
  </si>
  <si>
    <t>Josef López Longoria</t>
  </si>
  <si>
    <t>…na-dicen entre otras cosas lo siguiente: co Pola, hacendado. Partido de Salas D. Toribio de Mones, cura da ” A pesar de los sucesos de Smirna, y de la situación política de Muros; D. Josef López Longoria, promotor fiscal; D. Josef Lorenza la Turquía , se trabaja con la mayor, actividad en nuestras fábricas de Salas, coronel retirado. Partido de Navia D. Bartolomé Méndez de paños, y el comercio de esta ciudad no ha experimentado tantos atra Luarca, hacendado;…</t>
  </si>
  <si>
    <t>Lonmuchas</t>
  </si>
  <si>
    <t>…erno británico , no. debía ilevar otras firmas tidarios de Alí-Bajá han conseguido sucesivamente vanas ventajas en que ias.de su gato* ingles,* ; pero esta razón. no le ocurrió al lord Lonmuchas partes de Albania y del Epiro. La escuadra de ios griegos ha douderry cuando coulesó francamente que ignoraba la' causa de esta destruido enteramente a la que tenían ios turcos para proteger ai ejér ointsion;..... . ■ ; ■ , cito otomano que obraba contra el c…</t>
  </si>
  <si>
    <t>Lope, Mateo</t>
  </si>
  <si>
    <t>Mateo Lope</t>
  </si>
  <si>
    <t>…Vatened, rambla de la Canaleja y Otra eñ dicha calle j núm, 23» que linda con otra dé ágüas vertientés, eñ 6697 rs; y 9 mrs. D. Pascual Añquiz, dicha calle dé victorio y con la de D. Mateo Lope? , en 8795 rs. kúmero. 13. Otra en la plazuela de Cevallos, núm. 17, linda coñ otra de D. Josef Roca y de D. Gerónimo Gómez, en En la provincia de Guadalajara procedentes de secu si,869 rs. larizaciones , cuyo primer remate- debe verificarse en Un trozó de ti…</t>
  </si>
  <si>
    <t>López</t>
  </si>
  <si>
    <t>…. Snbrié por 67: r 1 el Sr. Govantes por 70: 12 el Sr. Va- se suspendió con motivo de tenerse que Jeér la contestación al discurso dillo por 72: 13 el Sr, Lorenzana por &lt;52: 14 el Sr. López (D. Mar de S. M. , y concluida esta se siguió leyendo la precitada memoria. cial) por 79: 15 el Sr. San-Miguel por Ó9: 16 el Sr. Marín. Titule Concluida la lectura dijo el Sr. presidente,-que las Cortes cuidaban</t>
  </si>
  <si>
    <t>…se dejan al arbitrio de Jos Se leyó en seguida el artículo del reglamento que trata de este cpipisionados de los Gefes políticos , se acabó la libertad españolaf y la asumo: y el Sr. López ( D. Marcial) dijo que el Sr. Giraldo, que era Constitución y todo; y.concluyó pidiendo se declarase haber lugar.á la presidente en la legislatura pasada, propuso á las Cortes cuando se tra formación de causa contra el Gefe político, de Murcia, por haber in t…</t>
  </si>
  <si>
    <t>tud de que se le hagan, cirgos por su conducta militar y política; seña En lugar del citado dictamen propuso [el Sr. López ( D. Marcial) lándole parage del reino donde deba presentarse. la siguiente indicación: „Pido, que el informe de la comisión de• Bellas "Sé pasó i'li» de Legislación, con urgencia, una solicitud de D. Fran* arte, vuelva á la misma, para que con arreglo á las…</t>
  </si>
  <si>
    <t>…to había hecho el A la de Guerra se pasó un oficio del Sr. inspector déMiliciasrpro- año pasado. • : ' vínciales sobre si deben1 considerarse válidos los sorteos finalizados an El Sr. López ( D. Marcial ) pidió que mediante á no ser urgente tes del dia 14 de Noviembre último. el despacho de este asunto, no se revolviese por ahora, y pasase ¿ la co A las comisiones de Guerra y Marina se pasó una consulta del se misión de Hacienda para que lo tuvi…</t>
  </si>
  <si>
    <t>…l de la misma por haberle puesto Habiéndose anunciado la discusión del proyecto de ley sobre ins sin motivo en la cárcel pública en calidad de detenido. trucción pública, pidió el Sr. López (D. Marcial) que asistiese á ella A la misma una exposición de D. JuanRuiz, vecino de Málaga, en el Sr. secretario de la Gobernación de la Península, suspendiéndose que manifiesta haber sido desterrado por creerle autor de un suplemen entre tanto la discusión…</t>
  </si>
  <si>
    <t>…lo» miento y secretario, conforme á las leyes, luego que se haya verificado pueblos de 1000 vecino», debería ser también para los que tenían ec-c. el reparto en cada término.. El Sr. López (D. Marcial) .hizo presente que la Constitución r,o .Los Sres. Moreno Guerra , Díaz Morales,, O-Daly y Gisco pre-. marcaba el número de alcaldes que debía haber en los pueblos: cae sentaron las siguientes indicaciones : t.'1 Que se declare da libre comer la c…</t>
  </si>
  <si>
    <t>…dejasen de presentar sus títulos, ó probasen como su pose se crea conveniente, en atención á la miseria en que están la mayor sión era inmemorial. parte de aquellos habitantes. El Sr. López (D. Marcial) dijo, que de permanecer los señoríos en Las Cortes quedaron enteradas, y mandaron repartir los egempla-' el modo que hasta aqui resultaba-una extraordinaria desigualdad entre res de la circular expedida por el ministerio de Marina acerca del lu l…</t>
  </si>
  <si>
    <t>…referida plaza de médi contra el egército austríaco., refiriéndose á papeles públicos de aquella co era necesaria la calidad dé casado.. : . plaza. Después de haber manifestado'el Sr. López (D. Marcial) que la El Liberal Guipuzcoano anuncia también una derrota de los austría comisión no-habia querido "mezclarse en abolir loqué prevenía el artí cos en tres combates consecutivos , fundándose en noticias de París hasta culo citado de los estatutos…</t>
  </si>
  <si>
    <t>…a en el dictamen lo creía na cuando fue electo diputado á Cortes, y creía estar aquel en el mis muy fundado; por lo que esperaba que las Cortes lo aprobarían. mo caso que este. El Sr. López (D. Marcial) dijo tenia muy presentes la grandes re El Sr. Giraldo dijo que el Sr. obispo de Pamplona no fue nombra flexiones que se hicieron cuando se trató del empréstito, por lo que do diputado por Navarra, sino por Galicia.miraría con mucha escrupulosidad…</t>
  </si>
  <si>
    <t>…de consiguiente presumible durase poco dicha percep juzgados en los términos que lo es un militar en campaña. ción, tenia mas cuenta á la Hacienda pública el pagarle de esta ma El Sr. López (D. Marcial) dijo que la noticia que había dado el nera, que no-remunerarle con ninguna otra cosa. Se mandó volver á la Sr. secretario del Despacho de la Guerra extraúabi mucho que hubiese . comisión. venido por conducto de un capitán general, cuando debía ha…</t>
  </si>
  <si>
    <t>…e ia co misión. Madrid ly de Abril. La especial de Hacienda presentó su dictameivacerca de' la indica SS. MM. y AA. continúan sin, novedad en su importante salud. ción que hizo el Sr. López (D. Marcial) en 11 del corriente para que lassubastas de las fincas aplicadas al Crédito público no tengan efecto hasta CORTES. pasado un mes de publicadas en la gaceta. La comisión, habiendo oido á uno de los directores del citado establecimiento, era de par…</t>
  </si>
  <si>
    <t>…ría probar con respecto al decreto de gresos de los caudales públicos, y su distribución circunstanciada.” i-1 de Octubre del año próximo pisado , que dice en su artículo 23: • El Sr. López (D. Patricio) hizo otra indicación para que la comi- » Todos los bienes muebles é inmuebles de los monasterios que se su tion de Ultramar expusiese á la mayor brevedad su dictamen en orden priman ahora, ó que.se supriman eii lo sucesivo, en virtud de los aral…</t>
  </si>
  <si>
    <t>…e el general D. Francisco Javier de Castaños, ticulares que se han hecho sobre la elaboración de salitres. á quien se dió el Gobierno político y militar de la provincia de Cata El Sr. López (D. Marcial) pidió que se leyese una proposición luña en dicho intermedio , que por lo mismo intervino en la cansa que suya relativa á que las Cortes tomasen en consideración las exposicio se formó al general Laci y otros patriotas, muchos de los cuales su ne…</t>
  </si>
  <si>
    <t>…que actualmente no debía discutirse el d ctamen Entraron á jurar, y tomaron asiento dos señores diputados. en su totalidad , y que cualesquiera que fuesen lo, méritos del exce El Sr. López (j D. Marcial) dijo que la situación en que se encontra diente en la parte histórica, se debía prescindir de ellos, porque no tra ba la patria le hacia prever un cúmulo de males, que quizá experimenta tándose en el momento del dictamen en su totalidad, sino s…</t>
  </si>
  <si>
    <t>…ndo ascendiere de una á otra no hu Se declaró proposición, y esta primera lectura. biese vacante efectiva en la compañía, quedará de supernumerario el Se aprobó una indicación del Sr. López ( D. Marcial), que decía: individuo de la respectiva clase, pata que el alumno desempeñe el des » Pido que las Cortes manden que el Gobierno, suspenda por ahora la tino como propietario durante el tiempo señalado en el artículo anterior. dirección de los estu…</t>
  </si>
  <si>
    <t>…lentitud y nunca suficientemente podifin se declaró por primera lectura. reunirse en Aquila. Pronto experimenté los: funestísimos efectos de tan-' ' Se aprobó otra indicación del Sr. López (D. Marcial), relativa á to desorden y de tantó desproveimiento. Dos batallones nacionales, man-, que el Sr. secretario del Despacho de Hacienda informase con la 111a-• dados por el teniente coforiel Pisa , y destinados á defender por el punto yor brevedad so…</t>
  </si>
  <si>
    <t>…D. Josef María Santiago , relativa á hacer una. impre sión estereotípica de la Constitución; y sí que se le permita imprimirla guerra.” . • Volvió la diputación de p'alacio, y el.Sr. López £D. Marcial ) dijo con los adornos y dimensiones que ha propuesto. que S..M. habia contestado á la diputación con tm agrado particular, El Sr. sgcibrario de la Gobernación de la Península manifestó que habiendo oído con grande satisfacción la manifestación de…</t>
  </si>
  <si>
    <t>…, deben ó no ser aplicadas al Crédito pú tó,595 hombres.”.: , blico para la extinción de la deuda nacional. * Después de haberse propuesto por algunos Sres. diputados que seria El Sr. López (D. Marcial) dijo que por los papeles públicos tenia necesario se añadiesen á este número los 2500 hombres que según te noticia de que en Galicia habiansido presos distintos súgetos, con in nían entendido eran necesarios para el reemplazo de la marina en este…</t>
  </si>
  <si>
    <t>…va indicación. nos se prorogase hasta que Jas Cortes del año de 1822 determinen lo El Sr. Ramos Arispe dijo que este asunto era de la mayor grave que estimen conveniente: otra del Sr. López (D. Marcial) para que dad, y por lo mismo pedia se pasase á una comisión para que expusie en atención á las graves urgencias del Estado se. fije nuevamente la se su dictamen, pues los procedimientos de aquel capitán habian sido ley del máximum del modo que la…</t>
  </si>
  <si>
    <t>…l Gobierno sentia en lo íntimo abrir la comunicación con Gibraitar. de su corazón esta clase dé desórdenes. - ' El Sr. secretario dúo que en su tiempo no había sido nombrado ElíEi Sr. López ( D. Marcial) dijo que quedaba satisfecho: y que solo zakle, y que creía habia sido removido inmediatamente que se había deseaba saber dei Gobierno si contaba eon bastantes medios para el sabido la circunstancia que expresaba el señor preopinante: y que pór l…</t>
  </si>
  <si>
    <t>…etario de la Gober rina con 1500. nación de la Península manifestase lo que hubiese relativo á la indica Art. 2.0 ’&gt; Cada provincia contribuirá á este reemplazo con el nú ción del Sr. López (D. Marcial), aprobada por las Cortes, que decia; mero de hombres que le corresponde por su población, según el censo de v Pido que estas acuerden que el secretario de la Gobernación de ¡a</t>
  </si>
  <si>
    <t>…sta ahora hayan te tomándolo las Cortes en consideración se sirviesen dar las providencias nido los diezmos. que tuviesen por convenientes; y otra de D. Manuel Serrano , en nom El Sr. López (D. Marcial) dijo que el tomar por base el'valor qus bre de su hijo político D. Gabriel Gali, pidiendo el reintegro de cier hasta ahora han tenido los diezmos-, expondría á grandes equivocacio tas multas que se habían exigido al padre de dicho Gali por adicto…</t>
  </si>
  <si>
    <t>…olanot que el levanta El Sr. presidente nombró para la comisión de Bellas Artes en lugar miento de Zaragoza dió impulso al de Cataluña. Los catalanes no ne del Sr. Vargas Ponce al Sr. López ( D. Marcial). cesitaron de tal impulso; y aunque es cierto que la insurrección de Se leyó la siguiente adición del Sr. Romero Alpuente á la que hi Barcelona se verificó en el día en que se supo allí la noticia de la de zo el Sr.. Lorenzana en la sesión extra…</t>
  </si>
  <si>
    <t>…ragatas Prueba y Venganza , fondeadas, sentimientos y méritos patrióticos de. los inmortales zaragozanos, dijo en Acapulco, habian llevado 300 hombresdí tropa; y Reguero, coman el Sr. López ¿D. Marcial) que se faltaría á sí mismo si guardara si dante de aquella parte del Oriente, ofrecía que de acuerdo.con los de las. lencio en este asunto, porque había sabido con muy grande sentí míen-, fragatas recobraría pronto á Acapulco y su fortaleza. to s…</t>
  </si>
  <si>
    <t>…conservarán bien custodiados para las com bre, que tan necesarias son para la" marina v las "artes íce. probaciones que puedan necesitarse en lo succs.vo. Habiendo manifestado ¿1 Sr. López ( D. Marcial) que deberla na-</t>
  </si>
  <si>
    <t>…r , que no disfrutarla asistiendo á la cátedra; facultad' en citedrai-establecida y aprobada por el Gobierno. y esto con mucho mas motivo ahora, que debe ser mas esmerada la en El Sr. López (D. Marcial) dijo que debía aprobarse el artículo sin señanza; y no se diga que tendrán un estímulo para seguir trabajando •perjuicio de que estas adiciones pasasen á la comisión. Quedó aprobado en razón de que serán las rentas mayores en lo sucesivo; porque…</t>
  </si>
  <si>
    <t>…aprobados estos artículos después de una ligera discusión, y la segunda á que el secretario de la Guerra remita á las Cortes una y se mandaron pasar á la comisión una adición .del Sr. López (Don lista de los capitanes generales , cabos, comandantes generales , coman Marcial), y otra del Sr. San Miguel. dantes de provincia y gobernadores, que por su ministerio hayan sido Se principió la discusión de. las, adiciones á los artículos del plan nombra…</t>
  </si>
  <si>
    <t>…n sus ma Se leyó el dictamen de la comisión ordinaria de Hacienda sobre el ridos. presupuesto de gastos de la Nación para el año económico inmediato, y Asimismo se aprobó otra del Sr. López (D.Marcial) para que las se mandó imprimir. Cortes aprueben un expediente, cuya resolución quedó pendiente en la Se leyó el dictamen de las comisiones de Premios y de Hacienda sesión de anteayer. reunidas, que presentaron en virtud de varias indicaciones que…</t>
  </si>
  <si>
    <t>…asta el did Cortes por muchas corporaciones y personas particulares de la Penínsu i:° d¿.Noviembre de 1821.” la, en-las que decían haber representado á 9. M. para que convocase Ei Sr. López ( D. Marcial) preguntó ¿i JS cóthisioñ hah'iá óidd Cortes extraordinarias luego que se cerrasen las sesiones de las ordinarias.' al Gobierno antes de proponer su dictamen; y'habiendo Contestado . A la comisión ordinaria de Hacienda se mandó pasar con urgencia…</t>
  </si>
  <si>
    <t>…cio del Sr. secretario de la Gobernación de la Penín lítico respectivos. sula , en que participaba á las Cortes que á ¡a hora misma en que reci Se leyó y aprobó una indicación del Sr. López (D. Marcial) , diri bió el oficio para que asistiese él y el Sr. secretario de Estado a la dis gida á que las Cortes se sirvan acordar que la comisión especial de Ha cusión sobre los artículos de correos y loterías tenían que asistir a una cienda se ocupe sin…</t>
  </si>
  <si>
    <t>…tidades recibidas á cuenta de sus sueldos desde el año 19 para to de la'Monarquía. desvanecer toda equivocación. El Sr. Giraldo apoyó este dictamen, é hizo una indicación para' El Sr. López (D. Marcial) presentó una exposición de la milicia que ínterin se paga aquel denativo continúen ios arbitrios que se es nacional de Daroca, en la que manifestando sus sentimientos patrióti tablecieron para su pago. Quedó aprobado. cos , pedia á las Corles se…</t>
  </si>
  <si>
    <t>…n otro tanto mas.” Aprobado. Se leyó el dictamen de la comisión de Instrucción pública acerca Se aprobó» una indicación del Sr. conde de Toreno para que se co de la indicación del Sr. López ( D. Marcial), relativa al estableci munique por decreto separado el art. 29, que trata del proyectó de miento de escuelas normales en todas 'as provincias; la comisión con— nueva población en Tejas presentado por hk. Pasquier. 7</t>
  </si>
  <si>
    <t>…porque nada puede comprometer tanto como podía d.-iarse este asunto para el último día de la legislatura. la falta de recursos. Este es el legítimo motivo que hay para proponer El Sr. López ( Marcial) dijo que abundaba en las m.smas ideas este empréstito." ■ que el Sr. preopinante; que hasta ayer noche no había.querido suscri El Sr. conde de Toreno dijo: La comisión solo ha tenido cuatro ó birse al dictamen de ia comisión, porque vió demostrada…</t>
  </si>
  <si>
    <t>…la economía que recomiendan las estrecheces del erario. que con urgencia proponga lo que estime conveniente. Att. 7.0 &gt;&gt; Que se planteen y vengan á la aprobación de las Cortes El Sr. López (D. Marcial) dijo que la falsificación de moneda tam las contadurías de pósitos y propios y arbitrios con sus sueldos, de que bién era úní'asunto de la mayor consecuencia, pues todos los dias iba habla el art. 5.0 del cap. i.'J del decreto de 23 de Junio de 1…</t>
  </si>
  <si>
    <t>…ó por primera vez una proposición del Sr. Castrillo, relativa militares presentado por el Sr. Serr.illach. i que se permita,profesar á las que pretenden ser monjaspuesto que lo El Sr. López (D. Marcial) dijo que mucho tiempo hace presentó resuelto por las Cortes sobre el particular era una medida interina. una proposición acerca de una reforma general de sueldos: sufrió ¡dos El Sr. presidente dijo que habiendo llegado la hora señalada por lectur…</t>
  </si>
  <si>
    <t>…hasta en los egércitos, y de aquí han na por consiguiente no podian tener ya el uso que se les quería dar. cido ias revolucionas militares que hemos visto poco há.” (Nueva con El Sr. López (D. Marcial) dijo: La comisión ha tenido presente iá moción muy fuerte á la dírécha: al Orden, al orden: &amp; ia cuestión: multitud de fundaciones de capellanías no espiritualizadas, y á estas es larga interrupción. ) á las que se refiere. La diputación provinci…</t>
  </si>
  <si>
    <t>…leído acompañe el Gobierno las tificaciones necesarias. bases sobre que las ha formado.” 3.0 Que recibidos que sean en este ministerio los citados documen Habiendo manifestado el Sr. López fD. Marcial) que existían en tos, se pasen originales á esa tesorería general, á fin de que por ella se la comisión de Instrucción pública una porción de expedientes, memo dé conocimiento a las de las provincias respectivas de las asignaciones rias, libros &amp;c…</t>
  </si>
  <si>
    <t>…epartimiento t.-n las provincias.” PORTUGAL. Después de una ligera discusión no hubo lugar á votar sobre est» indicación. J.isboa 20 de Junto. Se aprobóla siguiente indicación del Sr. López ( D. Marcial): » Pi cortes___Sesión del 14. do á las Cortes autoricen al Gobierno para que pueda aprobar interina El Sr. secretario Filgueiras dió cuenta de un oficio de la Regencia, mente , sin perjuicio de dar cuenta á las Cortes, los arbitrios que le en qu…</t>
  </si>
  <si>
    <t>…sazón por aquellos paises Con su lectura del proyecto de decreto de división del territorio. Concluida compañera Mr. Bomplund ; y habiendo puesto en práctica este remedio esta, el Sr. López (D. Marcial) manifestó que según habia notado en la el célebre médico Santa María, natural de esta corte, en la Havana y lectura que se acababa de hacer , la comisión había hecho varias adicio Veracruz, aseguró á dicho Canel habérsele desgraciado poquísimos,…</t>
  </si>
  <si>
    <t>…omo lo ege- cual corre como un antílope, y solamente conoce á su señor. Mi nue vo gorro colorado me sienta perfectamente: mi espada tiene un hercutó la diputación. Proposición del Sr. López (D. Marcial): «Pido á las Cortes que moso filo, son-brillantes mis pistolas, y mi cinturón centellea cuando antes de discutirse el proyecto de decreto sobre división del territorio recibe la luz del sol. español, se impriman las variantes ó adiciones, y se di…</t>
  </si>
  <si>
    <t>…Sr. Clemencin, abundando en las mismas ideas que el Sr. pre opinante, apoyó el dictamen de la comisión, manifestando que había Iba aumentado un partido mas' en dicha provincia. El Sr. López ( D- Marcial ) dijo-. Yo también he sido uno de lo* creido ser muy útil, como se demostraría cuando se tratase de ello, el que tuvieron el honor de asistir á la comisión que entiende en el arre adoptar cuatro clases de provincias, y asimismo el número de gefe…</t>
  </si>
  <si>
    <t>…an recobrado todo el territorio los pueblos, ylque puedan recibirlas con menos repugnancia. ¡Ai "Macedonia. Alejandro continuaba en sus victorias. Se confirma que , Lo que dijo el Sr. López ( D. Marcial) acerca de la Francia me .toda la. isla de Gandía está en poder de los griegos, 'í.excepción de cin- parece no favorece mucho á su argumento. La nación francesa antes de .ct*)1(ortaíezas, de las cuales las tres están casi desmanteladas. su revolu…</t>
  </si>
  <si>
    <t>…acer'una buena necesita; y últimamente el Gobierno podrá contar cor, ia”cooperación división de su territorio. de mayores luces en todos los ramos de la administración pública. El Sr. López ha extrañado que la comisión haya establecido una La comisión hubiera querido dar á todas las provincias la igualdad cuartadase de provincias; pero en esto la comisión no tiene empeño que se apetece de extensión, población ócc. ; pero no ha tenido las particu…</t>
  </si>
  <si>
    <t>…isiou del territorio , y auméntense que no hay palabras con que manifestar la necesidad de esta división. las provincias , pero que sea con la mayor proporción; á saber: que no El Sr. López (D. Marcial ) dijo: el Sr. preopinante ha manifestado pase cada una de 360© almas, y que no baje de 200S); pero no se ■resultar un ahorro con respecto á la dotación de los gefes políticos , y guarde una desproporción tan considerable como la que se verifica ,…</t>
  </si>
  <si>
    <t>…endió esta para continuar la discusión de división del terr se quite provincia alguna de las que hoy componen la Península. Par titorio; y el Sr. presidente concedió la palabra al Sr. López ( •). Mar tiendo de este principio analicemos el número de provincias que sé cial) para hablar en contra del proyecto, el cual dijo: » Voy á hablar propone por la comisión para ver si son muchasó pocas, y empecemos al contra el artículo z.° del dictamen de la…</t>
  </si>
  <si>
    <t>…e mas pleitos,y,es sion para-que lo presente bajo otras fiases.. . ^¡n(,i .. equivocaciones-quérdi— virtuosa! Resulta pues que, hecha esta división son. 44 las provincias que ■ El Sr. López (D. Marcial) deshizo algunas llevamos hasta ahora. No hablemos de Sevilla,, Jaén y Cádiz, porque en jo haber padecido en. su.discurso el Sr. Pajarea,. , . esta parte no hay mas qu,e aumentar la del condado de Niebla , que es -i, JU Sr.rClemencin, como individ…</t>
  </si>
  <si>
    <t>…reconoce la superioridad de las luces-del la en la sesión de mañana; y se levantó la de este día á ias tres de ra Congreso, admitirá gustosa las reformas que se hagari- tarde. El Sr. López (D. Marcial) dijo: Aquí no tengo mas que una sola ARTICULO DE OFICIO. pretensión, y es que lo mismo que se verifique en una provincia se ve rifique r.specto á las demas; yo soy de Opinión que se nombren las- pro Circular del ministerio de la Gobernación de la…</t>
  </si>
  <si>
    <t>…n se .ha visto en la necesidad de proponer que estas sean dos solver que Ca.atayud sea capó ai. distintas. El Sr. Lastarria hizo presente que la provincia de Caiatayud y la de 1.1 Sr. López (D. Marcial.) dijo: Las dos provincias que propone Teruel tenían 105S almas, por lo cual no creía que fuese necesario el la comisión tienen como unas-ii i3 almas, y para esto debe haber dos que se hiciesen dos provincias, y se estableciesen en ellas dos diput…</t>
  </si>
  <si>
    <t>…el cual había desaparecido, y lo único que mayores ventajas sobre todas las demás poblaciones que la forman. existía era un borrador que habia conservado D. Felipe Bauza, encar El Sr. López (D. Marcial) manifestó las ventajas que tenia la ciu gado de proponer la nueva división. dad de las Palmas sobre todas las demas de las islas Canarias, por cu • El Sr.Cortés prosiguió: La provincia del'.norte de Valencia debe yo motivo debia de ser aquella la…</t>
  </si>
  <si>
    <t>…os. Aprobado. Si el Sr. preopinante hubiera ido como yo desde Cuenca á Brihuega Su capital Guadalajara. hubiera visto los caminos que tiene la provincia por esa parte tan malos El Sr. López (D. Marcial): Si en alguna provincia cabe que la co que si se estableciera en ella la capital, se entorpecerla con-iderablemisión se aparte de sus principios , seguramente es en Guadalajara , por mer.t: la acción delGobierno. Ademas desde la invasión francesa…</t>
  </si>
  <si>
    <t>…mbién porque son bastante conocidos ios anuncian. establecimientos de beneficencia, y que se trata bastante de ellos en par ticular en el proyecto.. En cuanto á la proposición del Sr. López ( Don XUKBKO 339. Marcial) conozco que su Señoría la ha hecho con muy buen z.-io; pero yo me rein-to en este particular al plan de instrucción pública, en el cual En la provincia de Bsírgos, procedentes de monasterios extinguidos, cutampoco se trató de los re…</t>
  </si>
  <si>
    <t>…o en rama , y pidiendo su prohibición : del intendente de Cara Provincia de Vitoria , su capital Vitoria. cas , haciendo presente algunos inconvenientes que se ofrecen al poner El Sr. López (D. Marcial) dijo que habia oido con sorpresa lo que en egecucionla ley de aranceles: de la diputación provincial de Galicia, se acababa de leer acerca de las islas Canarias, pues la comisión , lejos haciendo algunas observaciones sobre las aduanas: del inten…</t>
  </si>
  <si>
    <t>15/7 Utico, que es dejar esta provincia sin nombrar la capital. de aquella provincia sigan como hasta aquí residiendo en ios mismos paEl Sr. López (D. Marcial) dijo que quisiera saber si la comisión rages. La representación de aquel gefe político creo que se reduce á pro tuvo motivos para fijar la capital en S. Cristóbal de la Laguna; y te bar la necesidad que hay de que sigan las autoridades en los mis…</t>
  </si>
  <si>
    <t>…s de aprobar el ayuntamiento constitucional de Ciudad-Rodrigo, en la que hacia pre dictamen de la comisión. sente que esta ciudad fue en otro tiempo capital de la provincia que El Sr. López (D. Marcial) dijo que el Sr. preopinante se habla ahora lleva el nombre de Salamanca , y concurriendo en ella todas las valido para demostrar la centralidad de población en Sta. Cruz de unos cualidades necesarias para serlo actualmente de una provincia separa…</t>
  </si>
  <si>
    <t>…e ade tanto mas cuanto que la división del territorio es excesiva, y deba lantaría en el despacho de ellos. considerarse el aumento que hay que hacer con este motivo por lo que El Sr. López ( D. Marcial): Las reflexiones que ha hecho el señor toca á ia parle administrativa. Lo digo esto porque no me he hallado en Diaz Morales en cuanto al despacho de los negocios no tienen réplica; la discusión de este asunto; pero sé que se ha dicho que solamen…</t>
  </si>
  <si>
    <t>…obvias las observaciones que han hecho los De los Sres. Carrasco y Marrel acerca de los de la de Salamanca. Sres. preopinantes contra este artículo, que me parece que no puede Del Sr. López acerca de los de la provincia de Calatayud. oponerse á ellas razón alguna. La desigualdad que se advierte en Ja Del Sr. Fernandez acerca de los de la de Guadalajara. asignación de gefes políticos, puesta en el número 3° del apéndice, es Los Sres. Desprat, Oli…</t>
  </si>
  <si>
    <t>…va chos irc., que se mandó volver á la comisión. lor ó avalúo de géneros de cualquiera clase por causa de averías.” El ait. 4. como .está en el decreto de 5 de Octubre de 1820. El Sr. López (D. Marcial ) hizo algunas observaciones acerca de Art. 5.0 En los casos en que se permita la introducción ó exporta este artículo. ción .en buques de-pabellón extrangero pagarán los géneros de sus car El Sr. Cavaleti hizo varias reflexiones para manifestar q…</t>
  </si>
  <si>
    <t>…una aduana de primera ó segunda Del Sr. Mendez al art. 7.0, después de salida añádase y entrada. clase.” De! Sr. Bnnqueri, para que al art. 7.° se zínAn afianzando los dueños ñ El Sr. López fD. Marcial) dijo: Voy á hablar no contra el ar consignatarios de los generos, estar á las resultas de lo que se resolviere. tículo , sino contra las aduanas de tercera y cuarta clase, que son mu Del Sr. Gallegos al artículo 19 para que se añada, á excepción…</t>
  </si>
  <si>
    <t>…mo él mismo habia oido, pedia á los demás indi felicidad general. viduos de la comisión que reformasen este articulo en la parte que ha El Sr.~Gonzalez Allende dijo: Siento que el Sr. López haya senta bía manifestado; y caso que quisiesen distinguir en alguna cosa la mi do la proposición de que nuestras casas de moneda están en e! mayor licia activa del egército permanente, fuese tan solo en el lazo , que po abandono; porque acaso en ia Europa n…</t>
  </si>
  <si>
    <t>…de la mayor con- que no tener ni un cuarto. He dicho que en el empréstito no han entra aideracion. do itiises ni medios iuises , y es, menester añadir que Ja msyor parte de él El Sr. López (D. Marcial) se explicó asi: El Sr. González Allende ha entrado en barras, y se han acuñado en las;casas de monedas de Es acaba de decir que extrañaba el que yo hubiese dicho que este ramo se paña, como lo prueban las medias onzas acuñadas en el año 20, y hal…</t>
  </si>
  <si>
    <t>…para la Marina. Por el oficial mas graduado ó antiguo.” lo mismo me opongo á que se suspenda esta discusión. El Sr. Gil de Linares dijo: Yo quisiera que se suspendiera la discu El Sr. López (D. Marcial): No me opondría á que si las luces del sión del art. i.° y la de los arts. 9 y JO, ó que si se aprueban , sea sin Sr. secretario de la Gobernación se creyesen necesarias para la discusión perjuicio de-la discusión relativa al fuero de marina y al…</t>
  </si>
  <si>
    <t>…ación de Europa, cuya marina ha llegado al mas al to grado de prosperidad por sus sabias ordenanzas y por la vigilancia ARTICULO DE OFICIO. de un Gobierno sumamente cuidadoso. El ¡Sr. López (D. Marcial) manifestó la necesidad de que se aña El Sr. secretario del Despacho de Marina dice al Sr. secretario de la diesen dos comerciantes mas en la jun¿,a del almirantazgo. Gobernación de la Península desde el Real sitio de 5. Lorenzo con fe El Sr. Oliv…</t>
  </si>
  <si>
    <t>…armada á que contrajesen en un buque mas que una chaqueta de marinero: : no tiene ración de grandes méritos; marinero, y un sueldo que basta para subsistir; jpuds qué razón hay El Sr. López (D. Marcial) dijo que veia por un lado que la ma para que un pobre no pueda entrar de guardia marina; yor parte de este proyecto orgánico era reglamentario, y por otro que El br. Rovira contestó que en un buque se necesitaban planos, li se cargaba á la Nación…</t>
  </si>
  <si>
    <t>…o de ellos hermafrodita, y entonces como se establece en el artículo que se discute es una medida muy lo diremos. prudente, adoptada ya con respecto á la introducción de trigo. El Sr. López ( D. Marcial) dijo que no se tenían otros conoci El Sr. Díaz del Moral dijo que no había pensado hablar en esta mientos de esto que se llama sanidad que las ideas generales estableci asunto, tanto porque no se le atribuyese un espíritu de provincialismo, das…</t>
  </si>
  <si>
    <t>…derecho de En la mies de Avageda, una tierra ai sitio de la Maya, de un car 5 por 100 sobre este avalúo.” ro labrantío, en venta 33 rs__En id. y sitio de la Sota , un carro y 3 El Sr. López (D. Marcial) dijo que desconocía los principios por octavos de prado, en venta 43 rs__ En id., 218 carros y medio de los cuales se guiaba la comisión de Hacienda, porque cuando se habla prado, en venta 19,(565 rs--- En id. y sitio de las Peredo Oía Sota, 3 ha…</t>
  </si>
  <si>
    <t>…as, y antes que salgan de los puertos dé la Pe blanqueada á 14 rs , cobrándose el derecho de 10 por roo.” nínsula les pueden encargar otros marineros que les traigan una gavia, El Sr. López ( D. Marcial) dijo que tratándose en este artículo de una maestra , un (loque, ó un juego completo; luego cuando los precios las hilazas crudas , se hace la ofensa mayor que pudiera hacerse á los en España sean muy altos no se proveerán en ella los marineros,…</t>
  </si>
  <si>
    <t>…ue he dicho mas que luises que hayan quedado en Francia-, debiendo no perderse de vista lo hacer una reflexión á las Cortes, y es que por la Real cédula que he. que ha indicado el Sr. López (D. Marcial) con respecto á la falsi citado se'ha aumentado considerablemente esta introducción , llegando ficación.’ á calcularse que ascendia á aoo9 rs. diarios, y la pérdida era de unos- : Desearía saber si las monedas que se lleven á la casa de este nom 2…</t>
  </si>
  <si>
    <t>…contra podrá hacerse io que ahora procura la comisión. . bando que se está haciendo con la moneda extrangera. Muchas de las dificultades que se proponen no son contra la totali El Sr. López (D. Marcial} dijo que el señor preopinante había di dad del proyecto, sino contra algunos artículos , y ctia»- que han prócho que ya era un defecto el que no estuviesen planteadas las casas pu sto algunos Sres. diputados contra la totalidad son irremediables:…</t>
  </si>
  <si>
    <t>…s perjuicios que he indicado, aunque f por consiguiente el desfalco que por el pronto se ha de hacer no- ha se tarde mas de medio año. .de ser de mayor cantidad que esta. : . • El Sr. López (D. Marcial ): El Sr. preopinante -ha hecho una por* Asi pues eljplazo que se señala hasta r.° de Enero se debe tener cion de,observaciones que venían mejor en la discusión del art. 2.“; pe por suficiente, atendidos todos les recursos que tienen las casas de…</t>
  </si>
  <si>
    <t>…s..diratádos éo-casbl de qup.nenpuídan ihacádcréffiaejprCJáiE.lpercluidas en esta cédula.'’ í.iií;; '.¡'.i miso-Ahora bien, la diputación permanente ha convocado á todasios^iij El Sr. López (DI Marcial ) dijo. s-Quíe-podía suprimirse lapalabrir putados, y esta es tór^iO Tdebia bícírtttlWiSifácjérflá las Cortes , según tiapoleonerde oro-, y que en cuantoiá lo gueqhabia, manifestado -el. Sel- modo creo gue.,esta ñor Navarro ( D. Andrés), relativb.…</t>
  </si>
  <si>
    <t>…esta clase de monedas. En ios años 17 y daría un solo resguardo, lo mismo que al que llevase 1000, 500 ó 100. 18, cuando se dio la ordenanza por la que se aumentó esta introduc El Sr. López (D. Marcial) dijo que se les daría un tolo resguardo, ción , la mayor parte de los individuos del Congreso estaban ausentes con la sola diferencia de que el uno seria de mayor cantidad que el en países extranjeros; y debe tenerse entendido que si con motivo r…</t>
  </si>
  <si>
    <t>…nsula, y estableciendo la otra junta tenga la instrucción competente en la mmerologia. que acababa de proponer. El Sr. Azaola dijo que no le parecían muy fundadas estas observa El Sr. López ( D. Marcial) dijo que en esta discusión no haría ciones , porque en cuanto á la primera ya habia en la junta á mas del mas quedar las explicaciones convenientes; y contestando á Ja pregunta químico un ensayador que tenia á su cargo las operaciones úcscimásUc…</t>
  </si>
  <si>
    <t>…obre del Gobierno de 3 de Setiembre anterior, por la que mandó reducir la formación de facultativos &amp;c.” por ahora, y hasta la determinación de las mismas, á 20 rs. vn. la ar - El Sr. López (D. Marcial) dijo que estaba mandado que en las ca-- roba de vino nacional, valorada á 40 en el arancel general para la exac sas de moneda hubiese cierta clase de estudios, por cuyo medio fueran ción del 2 por 100 de administración, pero afianzándose la difer…</t>
  </si>
  <si>
    <t>…jo haber pade ces y de los tribunales. La comisión, deseando el acierto, hizo una cido el Sr. preopinante. proposición á las Cortes que tuvieron á bien aprobarla, y en su conse El Sr. López (D. Marcial): En vista de las observaciones que ha cuencia han recibido hasta el día de hoy 42 informes , de los cuales, leído el Sr. Calatrava se comprueba fácilmente la necesidad de que esta dará cuenta individual por un extracto que ha hecho de los mismos.…</t>
  </si>
  <si>
    <t>…do se verifique 1« padecido el Sr. preopinante. discusión del código de procedimientos. El Sr. ia Bodega dijo: Ni apoyo ni impugno el proyecto de que se Otro.de los argumentos del Sr. López ha sido que falta en este có trata, y digo solamente que por ahora no se debe discutir. Mi opinión digo un tratado do penas correccionales; es muy cierto que no se ha está fundada en que no tenemos código civil, y en que no tenemos ni tratado de estas penas;…</t>
  </si>
  <si>
    <t>…la comisión es cual cor dras ú otra materia semejante que tendrían que arrojar al mar, traen * este carbón, y lo venden á un precio sumamente ínfimo. Bajo este su responde. ‘' El.Sr. López (D. Marcial) manifestó que en Utn’lla y en otros puesto, y madiante.á las muchas utilidades que reportará la Nación dal parages de Aragón se beneficiaban las minas sin máquinas, y á pesar fomento de esta industria, mi opinión es que se apruebe ei dictamen de…</t>
  </si>
  <si>
    <t>…esguardo maiítimo y terrestre por servicios importantes y quedó aprobado, suprimiéndose las palabras cxcepl o ios recargos im extraordinarios.” puestos á la bandera extrangera. El Sr. López (D. Marcial): Siempre me opondré á que se ponga un Art. 5.a a Se considera ademas á los resguardos de mar y tierra artículo de esta clase «n-«ualquieia proyecto que se presente, porque ó</t>
  </si>
  <si>
    <t>…uviese la facultad de distribuirla según mas conviniese, las misma aprehensión que hubiesen verificado.” Corles tenían la de señalar el níimero de individuos que se habían de. Del Sr. López (D. Marcial) al art. rq.: « Después de la palabra vi destinar er. el resguardo. gías se añada. Según lo permita el estado de las rentas públicas.” Declarado este asunto, suficientemente discutido, quedó aprobado, 'Del Sr. Losada al art. 2.0: « Que los oficial…</t>
  </si>
  <si>
    <t>…ía tranjero transeúnte, y no domiciliado en España, que no lleve tres me padecido el Sr. preopinante. ' ses cumplidos de residencia en ella, cometiere alguna culpa ó delito que K1 Sr. López ( D. Marcial) expuso que se diría un despropósito si sea una mera contravención de la ley , ordenanza ó reglamento parti subsistiesen las palabras litio en rama rastrillado; y después de haber cular de este reino podrá &amp;c.y en seguida » pero en ningún caso se…</t>
  </si>
  <si>
    <t>…fiebre amarilla , y despuat ca , que habia abusado de su empleo, y faltado á él contra los intere la del código penal; y levantó la sesión á las tres y media. ses de la Nación. El Sr. López ( D. Marcial ) dijo que tenia que hacer dos observa ARTICULO DE OFICIO. ciones: 1.a Que supuesto que en la primera parte del artículo se decia: 5» los cómplices serán castigados respectivamente con la misma pena El Sr. secretario del Despacho de Marina dice a…</t>
  </si>
  <si>
    <t>…mor de la rendición de Lima, refiriéndose únicamente á venir al beneficio de la patria y de la humanidad. cierta carta escrita desde Buenos-Aires. Creemos que semejante noticia Ei Sr. López (D. Marcial} opinó que el dictamen era demasiado sea falsa, y mañana indicaremos las improbabilidades que en sí encierra. diminuto, y que á fin de que en la primavera próxima no se renova sen los estragos que se acababan de experimentar, era absolutamente COR…</t>
  </si>
  <si>
    <t>…ue hubiese tenido por nor de ios artículos precedentes, esté permitida la entrada de los mis conveniente. mos efectos, y d. ba qu. dar prohibida de nuevo, cuyas épocas señalará El Sr. López (D. Marcial): TJ-; de las reflexiones mas fuertes que el Gobierno.” Fue aprobado. se hicieron para que se desaprobase el nrt. 11 fue la del Sr. S Miguel, Las mismas comisiones reformaban el artículo que presentaron so relativa á que obligándose á un catatan ,…</t>
  </si>
  <si>
    <t>…tienen los primeros empleos públicos. Un mensage á S. M. pidiendo la hallaban en el caso de hacerlo por sí. reforma del ministerio puede comprometer el decoro del Congreso y el El Sr. López (D. Marcial): Este es un asunto tan interesante y de bien nacional , si por desgracia S. M. viera las cosas de otro modo: al una resolución tan trascendental, que seria muy conveniente que lodos ' contrario sucedería pidiendo la responsabilidad de los ministr…</t>
  </si>
  <si>
    <t>…er una historia de las naciones para no comprender que nada hayvque presen medida que fuese fácil y pronta. te mas dificultad que el adoptar un buen sistema de hacienda, porque El Sr. López , al mismo tiempo que ha impugnado el dictamen de esta materia choca desde el momento con los intereses de todos, y por la comisión ha dicho que la conducta del ministerio en cuanto á los que nuestras oficinas de Hacienda pública están aun montadas bajo el su…</t>
  </si>
  <si>
    <t>…i- tar mas sueldo que el que disfrutan actualmente. dadés, escuelas especiales, colegios y casas particulares. ; El SréSánchez Salvador-reprodujo ios motivos expuestos en su vo El Sr. López (D. Marcial) dijoique si estuviese convencido deque’ to particular; y después de una corta discusión ese declaró, no! haber lu en España no se podían fabricarestos instrumentos , desdecluego apro gar á votar. baría el dictamen dé la comisión, porque todo lo q…</t>
  </si>
  <si>
    <t>…si creo que las Cortes deben aprobar este arSéptimo: Los fiadores respecto de ta persona que hayan fiado, y con ticii’o. anecio á las circunstancias y condiciones de la fianza. E1 Sr. López (D. Marcial): Debo hacer una breve observación res Octavo: Los mesoneros , fondista» y cualesquiera otros que reciban pecto de este artículo. Me parece que muchas veces ¡os padres no pue biiéspidcs, aunque s;a por obsequio, responderán también mancomu den ser…</t>
  </si>
  <si>
    <t>…en su alfo grado de perfección, parece imposible que se prive á El Sr. Rey contestó á estas observaciones. un hombre de la sociedad cuando puede serle mil , por haber hecho un El Sr. López (D. Marcial) opinó que no debia aprobarse esta pe mal que ya hecho no tiene remedio. Someto esta» obstiraciones á la na, porque solo servia para provocar á nuevos delitos; añadiendo que sabiduría é ilustración del Congreso. habia visto algunas veces lievar á…</t>
  </si>
  <si>
    <t>…que se deje solo allí que no que decía fulano viene por condena sucia ó por condena limpia. haya una duplicación que para nada puede servir. Después de haber apoyado esta pena el Sr. López ( D. Alarcial } El Sr. Calatrava manifestó que á los Sres. de la comisión les era quedó aprobada. indiferente que se pusiese este artículo en el código de procedimientos-, 2. '1 La inhabilitación para egercer empleo, profesión ó cargo públi sin embargo que cr…</t>
  </si>
  <si>
    <t>…os. respectivas provincias este plan general de beneficencia.” . n pióse entonces á unos motivo para temer, y pretexto £ otros para Se'mandaron pasar £ La comisión una adición del Sr. López (Don alarmar y para zaherir al Gobierno. Entonces se ha visto á personas Marcial) al art. 132, y otra del Sr. García (D. Antonio) al i-.¡g. de todas clases pedir á V. M. la separación del ministerio, y de las pe Habiéndose concluido el plan de beneficencia, c…</t>
  </si>
  <si>
    <t>…vo el que cierta clase de reos de que trataba el artículo respecto de la pena pecuniaria que se establecía. llevasen manchas de sangre en la túnica;,i la comisión le era indife El Sr. López fD. Marcial ) fue de opinión que deberían quitarsa rente el que usasen de este ó de otro trage, y por lo mismo no se pro del artículo las palabras el mas profundo suénelo, pues el objeto que sí ponía defender .el artículo; pero consideraba indispensable el qu…</t>
  </si>
  <si>
    <t>…onducido el delincuente á v Las Cortes'extraordinarias, usando de la facultad que se les concede una isla. por la Constitución , han decretado: Se señala el término de un año s El Sr. López (D. Marcial) hizo varias reflexiones respecto del des para la venta ó extracción á países extrangeros ó con destino á las pro canso que debían tener los delincuentes condenados í trabajos perpetuos; vincias de Ultramar de toda clase de tejidos extrangeros de…</t>
  </si>
  <si>
    <t>…e presente la gele del establecimiento puede dársela cuando no esté en actual, trabajó. diferencia de que hablo, porque influye notablemente en si ánimo El Sr. A laman dijo que el Sr. López habia hecho una observücion de un legislador al tiempo de imponer la pena á los que se fuguen de que probaba :a necesidad de que -se reformase..este,artículo*, y le perecía los destinos en donde han de permanecer toda su vida. que seria mejor dijese que el re…</t>
  </si>
  <si>
    <t>…ción original no se estimase por bastante documento. salón. Se declaró este asunto por suficientemente discutido, y quedó apro Continuó !a sesión , y el Sr. presidente dijo que el Sr. López (Don bada la proposición del Sr. Marte! por 58 votes contra 51 , habiendo Marcial ) informaría á las Cortes del estado de los trabajos ds ia comi dicho en seguida el Sr. presidente , que podia retirarse la comisión á eva sión especial que se habia nombrado. c…</t>
  </si>
  <si>
    <t>…se trata, porque si es por el de detobedien.. tamen se declarase no haber lugar í la Formación de .ausa. cía, yo quisíeta preguntar si se ha manifestado á ia autoridad Real ó á El Sr. López (D. Marcial) manifestó que si no »e había equivo las Cortes. cado , la expresión del Sr. secretario del Despacho &lt;1 ; la Gobernación La calificación de la conducta de Cádiz y Sevilla por la desobedien solo había recaído sobre si convendría ó no tomar estas ó…</t>
  </si>
  <si>
    <t>…e ha la firmaban no les movia mas deseo que el bien de su patria, y que por bla incurrido el Sr. preopinante. lo mismo no se las debia formar causa, puesto que no habían cometi El Sr. López (D. Marcial) dijo que para rectificar la Opinión sobro do ningún delito: que por otra parte se habia dicho que esta era una un hecho importante debía decir que aunque la comisión liabia nota facción; pero que él por su parte no la graduaba de tal, puesto que…</t>
  </si>
  <si>
    <t>…superiot que cuando no pueda impedir el rompimiento presentará una neutralidad politico.de las provincias. armada , y por eso se han puesto en marcha todas las guarniciones de El Sr. López (D. Marcial) opinó qüe no debían aprobarse las dota Bohemia y Moravia para reforzar el cordon de Jas fronteras de Turquía. ciones según las proponía la comisión ; porque había una porción de » El Rey de Francia ha conferido la dignidad de pares á los ex- pueb…</t>
  </si>
  <si>
    <t>…abiéndose hecho esta pre Enero inclusive.” EL Sr. presidente dijo que mañana se discutirían los tres dictámenes gunta por el Sr. secretario, se determinó que se discutiera hoy. El Sr. López (D. Marcial) manifestó que el motivo que habia te- • de comisión de Aranceles que se habían leído en la de hoy; luego el de la de División territorial, y si hubiere tiempo el código penal; j nido la comisión para proponer este dictamen habia sido el de que no…</t>
  </si>
  <si>
    <t>1043 El Sr. López se conformó con el dictamen de la comisión. Se procedió a k disensión del dictamen de las comisiones de Ha El Sr. San Aligue!: La comisión propone el núincr d-.- oficiales y cienda y División del territorio, que estaba señalado para la discusión escribientes…</t>
  </si>
  <si>
    <t>…cayó acerca de otra exposición de los gefes de la Diferencia de menos...................... 995,100•a ¿r *--~ milicia nacional de Cádiz, concebida en los mismos términos, y con El Sr. López ( D. Marcial) preguntó si inmediatamente que fuesen igual fecha que la anterior. vacando las plazas de oficiales segundos se iría poniendo en planta la Igual resolución recayó sobre una exposición del ayuntamiento cons* que habían aprobado ayer las Cortes. ti…</t>
  </si>
  <si>
    <t>López', Josef Pinto y</t>
  </si>
  <si>
    <t>Josef Pinto y López'</t>
  </si>
  <si>
    <t>…s dieren, y proceder de oficio en su gado de primera instancia de dicha villa y escribanía de su número de consecuencia á la aprehensión de los géneros prohibidos que se hallaren, D. Josef Pinto y López', que se admitirán las que hicieren siendo ar asi en la zona que forma la línea de aduanas con la de contraregistros, regladas. . como en lo interior del reino, arreglándose á las formalidades prescri , Para la celebración de una junta general de los interesad…</t>
  </si>
  <si>
    <t>López'f’D</t>
  </si>
  <si>
    <t>…Sres. que la componen, y que yo, que soy acaso de los lidad del dictamen ,''Se leyó el árr.. i.° ,■ mas interesados en este caso. Por mi parte puedo asegurar que rio tenia r.o« El Sr. López'f’D. Marcial) dijó': Fs bien cierto que. no solo hay lícía de este dictamen , que trata de un punto el mas interesante y digno minqs de carbón de piedra en Sevilla., Cataluña y Asturias, sino, tam de la atención de las Cortes Digo el mas digno, porque aunque pare…</t>
  </si>
  <si>
    <t>López, Agustin</t>
  </si>
  <si>
    <t>Agustin López</t>
  </si>
  <si>
    <t>…da de Ja iglesia colegiata de S. Hipólito; D. Antonio Eamirez de Arelladas por el Gobierno, á lo menos egecutadas impunemente- Las tropas no , juez de primera instancia de Málaga; D. Agustin López del .Baño, asiáticas hacen sombra á los genízaros: estos amenazan con desórdenes médico de Lucena. Suplente. D. Juan María de Rojas, abogado. y trastornos, y ya han comenzado los incendios, que es uno d • ios me Por Valencia. D. Cayetano Valdés, ex-ministro d…</t>
  </si>
  <si>
    <t>López, Basilio</t>
  </si>
  <si>
    <t>Basilio López</t>
  </si>
  <si>
    <t>…slativo, mirando . A la de Poderes se mandaron pasar los de D. Josef María Pugct, con el mayó* desprecio las fanáticas convocatorias que se le .han diri diputado, por N., y los de-D. Basilio López , que lo es por la provincia gido , v entre-las cuales algunas merecen ser reprobadas con .ei mayor de Oajaca , con el acta de las respectivas elecciones. rigor. Én el Co-irríer, por egemplo, se han leído artículos dignos de los A ia comisión dé Política se m…</t>
  </si>
  <si>
    <t>López, Carlos Escosura</t>
  </si>
  <si>
    <t>Carlos Escosura López</t>
  </si>
  <si>
    <t>…re de 1820. caución se evitaría, no el que al fin se quemasen los vestidos, pero sí que hiciesen llama. 2.0 Cogen una masa que se parece al plomo, y la fun Escribanía de Cámara de D. Carlos Escosura López. den en una caldera, y la están meneando con los pies hasta que se en fria. Pero esto no es mas que una ilusión ó un engaño; el tal metal es 1. a Causa. Dos procesados por delito de incendiarios. Principió en una composición que se funde al temple del agua hi…</t>
  </si>
  <si>
    <t>López, Domingo</t>
  </si>
  <si>
    <t>Domingo López</t>
  </si>
  <si>
    <t>…rca noticias del Emperador Muley-Soliman, y se ignora si permanece en de que se perdonase á D. Rafael Serrano , á D. Manuel García, veci Rabat. no de Villanueva del Cardillo , y á D. Domingo López , vecino deMadrid 2 de Abril. . Guadarrama, las cantidades que adeudaban á la Hacienda pública, en SS. MM. y AA. continúan sin novedad en su importante salud. atención á los muchos perjuicios que sufrieron por las tfopas francesas y extrangeras en tiempo de l…</t>
  </si>
  <si>
    <t>López, Fermín Sanz y</t>
  </si>
  <si>
    <t>Fermín Sanz y López</t>
  </si>
  <si>
    <t>…a de En la audiencia teiritorial de Navarra á D. Manuel Lejalde, Don la napolitana, y resolverá los asuntos un lugzr-íeráentc nombrado por el Josef María de Zuasna; ar y Francia y D. Fermín Sanz y López: en la Rey en unión con un consejo de ministros. En la 4.'' y 5.a se crean 2 de Sevilla á D. Teotuno Escúdelo, D. Josef Gírela Infante y D. Jo cuerpos con el nombre de consultores de Estado, uno para Ñapóles y sef Villanueva; y en la de Valencia a D. Francisc…</t>
  </si>
  <si>
    <t>López, Francisco</t>
  </si>
  <si>
    <t>Francisco López</t>
  </si>
  <si>
    <t>…cas de su historia. Este es el origen de aque Se mandó pasar al Gobierno para que informase una exposición d» lla Constitución; y es menester estar obcecado por el espíritu de par D. Francisco López, teniente de Reales Guardias de infantería, que tido mas violento para tacharlo de criminal. Confiemos en que la apli jándose de no habérsele concedido el ascenso que le correspondía. cación de estas penas no será necesaria, y que todo» los españoles, sean A…</t>
  </si>
  <si>
    <t>…n. gimas hechos , que prueban existir ya en aquella ciudad el fomes de la Lo que parece haber hecho que la gaceta de Francia se haya quifiebre amarilla. El arcipreste del Sagrario D. Francisco López, confesor - -Tado-emeramente la máscara es el haber quedado documental y públi del difunto gobernador Miralles, tuvo la desgracia de ver á su propia camente desmentida, y tenida por calumniadora á la faz de toda la Eu ama ser -víctima del n’.ab Las autoridade…</t>
  </si>
  <si>
    <t>López, Francisco Bruno</t>
  </si>
  <si>
    <t>Francisco Bruno López</t>
  </si>
  <si>
    <t>…anecer del día 6, tomando un guia en dicho ques de Tabalosos . émpleado en la embajada de España en punto, me dirigí á Alfocea, adonde llegué como á las Francia: para la de Puno á D. Francisco Bruno López, nueve de la mañana, donde e! Sr. alcaide me informó de subdelegado que ha sido de cuatro distintas provincias de que los ladrones en la tarde anterior habían ya cruzado el aquel continente : para la de la Piara, disrrirode Charcas, á rio por la barca de Uteb…</t>
  </si>
  <si>
    <t>López, Francisco Javier</t>
  </si>
  <si>
    <t>Francisco Javier López</t>
  </si>
  <si>
    <t>…el Gobierno de Ñapóles, á fin sueivan en su vista lo mas conveniente. de poder hacer frente á los gastos de' la última guerra, y que se baria Se concedió el permiso que solicitaba D. Francisco Javier López, bajo la garantía de Rusia, Prusia y Austria. juez electo de primera instancia del partido da Colmenar, en la pro Todas las noticias de Viena anuncian que se continúan con la vincia de Málaga, para que pueda prestar su juramento en la audiencia mayor activida…</t>
  </si>
  <si>
    <t>López, Josef</t>
  </si>
  <si>
    <t>Josef López</t>
  </si>
  <si>
    <t>…manaque náutico y efemérides astronómicas para el año ble del árbitro de la elegancia, como llamaron á Petro- de 1823, con un apéndice que'contiene varias tablas para faci nio, de D. Josef López de la Huerta en su preciosísimo Edt litar el cálculo de .la ecuación de alturas correspondientes por sayo de sinónimos. D. Josef Sánchez Cerquero, teniente de fragata de la armada Como quiera, el libro del profesor de Gotinga, á pesar nacional. Se hallará en…</t>
  </si>
  <si>
    <t>…el de franciscos, agregándose sus individuos al Don Joaquín María de Ugarte, caballero de la orden de Cárlos ni. de Villamañan y León, de igual orden; en Valderas el de carmelitas Don Josef López é Ingles, presbítero. calzados ; en Cisneros, provincia de Palencia, el de dominicos; en Cer- Don Melchor de Abalos, soldado distinguido que fue del regimien vera.del rio Pisuerga, de la misma provincia, el.de agustinos calzados, to de infantería de Logroño.…</t>
  </si>
  <si>
    <t>…en la compañía de mugeres de con esta seña al autor, quien sabido el número, remitirá la contraseña; Gerona. con lo que quedará el enfermo tan confiado como si recibiese las fumi D. Josef López é Ingles , presbítero. gaciones de la mano del autor, que vive en esta corte en la calle deHorManuel Melero, natural de Martos en la provincia de Jaén, solda taleza, núm. 15, cuarto principal, manz. 312. do que fue de varios regimientos de infantería. D. Euge…</t>
  </si>
  <si>
    <t>López, Josef Alonso</t>
  </si>
  <si>
    <t>Josef Alonso López</t>
  </si>
  <si>
    <t>…pero resistién ríos que fueron eclesiásticos, según lo que resultaba del estado presen dose abiertamente á obedecer, los pasaron por las armas, y se dirigie tado por el dignísimo diputado D. Josef Alonso López, creía debían ron hácia los que se les habían presentado , y no pudieron alcanzar por tener un ínteres directo en que se declarase este punto; que la cuestión la distancia á que se hallaban. ■ se reducía, como habian observado algunos señores diputados , á si…</t>
  </si>
  <si>
    <t>López, Josef Pinto</t>
  </si>
  <si>
    <t>Josef Pinto López</t>
  </si>
  <si>
    <t>…aldes constitucionales villa de Colmenar Viejo , en 4 del cómante mes y año, ante el escri y las demás autoridades, asi civiles como militares, velarán cuidadosa bano de su número D. Josef Pinto López, se ha mandado formar Ja mente en la persecución del fraude y estricta observancia de lo preve pédula del tenor siguiente. Quien quisiere hacer postura á 8 toros da nido en esta Real orden , por depender de ellas el fomento de la rique edad de 5 años, tasado…</t>
  </si>
  <si>
    <t>López, Josef Sañudo</t>
  </si>
  <si>
    <t>Josef Sañudo López</t>
  </si>
  <si>
    <t>…ez de Cenarbe, blecieron en los artículos 8.°, g.° y to de las bases de la Constitución, Pamplona. de Pamplona. por conocer que aquella libertad es el apoyo mas seguro del sistema D. Josef Sañudo López, de San Vidarte&gt; primos, de id. constitucional, decretan lo siguiente : tander. Whagon, hermanos, de Bilbao. D. Josef y D. Francisco Bruntt, "Wásman Gower y compañía, re titulo i. de S. Sebastian. servándose dar el nombre del Sobre la extensión de la libertad…</t>
  </si>
  <si>
    <t>López, Juan</t>
  </si>
  <si>
    <t>Juan López</t>
  </si>
  <si>
    <t>…l mayor entusiasmo se ofrecieron á obrar cienda: el uno sobre perdón del alcance de 274 rs. que resultó contra en todo evento contra las proyectos de la junta aplazada en Manurga. D. Juan López, estanquero que fue de Murcia; y el otro acerca de si el Forjen los amigos de la tiranía cuantas fábulas les sugiera su imagina decreto de 6 de Agosto último ha de ser extensivo ¿ los extrangeros ción, fecunda en delirios, que mientras haya españoles tan resu…</t>
  </si>
  <si>
    <t>…ortes oyeron.con agrado, y mandaron pasar á la biblioteca al ; - El Sr; Sancho manifestó que cuándo en: dias pasados ¡sohabia pre gunos egemplares-de unaobra publicada en 1814 por D. Juan López sentado el dictamen de la comisión , las .Cortes, habían mandado que Cancelada, con el título de Ahorro de clero al Estado, presentados volviese;á la misma ,¡porqué parecía qué estas, no;debían-¡entrometerse por el- mismo. en. una facultad que.era; péculiar.'…</t>
  </si>
  <si>
    <t>López, Juan Jacinto</t>
  </si>
  <si>
    <t>Juan Jacinto López</t>
  </si>
  <si>
    <t>…47.... Dia 19................ ......... 6......... ....... 1....... ......... 0........... .... 48.... Francisco Jaquete, D. Francisco de Paula Martínez, D. Josef Mari.» Torrijos, D. Juan Jacinto López , D. Juan Josef Sánchez , D. Luis de Dia ao................ ......... 7......... ......... 1....... -•••• s............ .... 49.... Ibarróla , D. Nicolás Alonso, D. Telesforo Polo y D. Ventura de 23- s- 19. 194. la Peña. Parroquia de Sta. Cruz, 8 electores. J…</t>
  </si>
  <si>
    <t>López, Julián</t>
  </si>
  <si>
    <t>Julián López</t>
  </si>
  <si>
    <t>…tribunal, de Cortes; de vecino de Sevilla , Mateo Martin , natural de esta corte , á D. f rancisco ¡nodo que no hay diputado, por elevado carácter que tenga , que esté Ricall, y á D. Julián López, natural de Icrrejon. libre de esta sujec:on. Veo mas; este juramento con que nos ligamos Se accedió) igualmente, con arreglo al dictamen de la expresada co aqui de guardar y hacer guardar la Constitución se ha quebrantado; :y misión , á la solicitud del duqu…</t>
  </si>
  <si>
    <t>López, Manuel</t>
  </si>
  <si>
    <t>Manuel López</t>
  </si>
  <si>
    <t>…ilizar la tercera dei supremo tribunal de justicia por no haber dado . Jugar a á la lonja de París, y es que el combate de Rieti debe haber sido una on recurso de nulidad: otra de D. Manuel López, vecino y regidor cosa, muy leve, y que si la victoria ha sido completa, y tos austríacos de Rioseco, contra el alcalde constitucional de dicha población Don han entrado en' los Abruzos, tanto peor para ellos1, porque alii pe Manuel Velascor otra del. tribuna…</t>
  </si>
  <si>
    <t>…sos su existencia por la salud de la pa de varios efectos que se le secuestraron en Aranjuez en 1808: otra de tria : que la causa de ir descalzos debe existir en algún empleado pú D. Manuel López, arrendador dé aguardiente en Toledo, para que en blico, que no se atrevía á señalar cuál era; por lo que suplicaba á las atención á los perjuicios que ha süfrido se le abone el importe de los Cortes que teniendo en consideración lo que habia referido , hicie…</t>
  </si>
  <si>
    <t>…a instancia en ella D. Julián Díaz de Yeia, por ante el es cional , con la correspondencia para Ultramar, deberá esta ponerse en el cribano de provincia y cartulario de su juzgado D. Manuel López de oficio del correo eeneral de está corte con la anticipación necesaria para Ribas , se acordó unánimemente ( entre otras cosas} citar por medio que no experimente el menor atraso. de ios periódicos la gaceta y diario á los acreedores de la misma Do ña María…</t>
  </si>
  <si>
    <t>López, Marcial</t>
  </si>
  <si>
    <t>Marcial López</t>
  </si>
  <si>
    <t>…ón del dictamen de la comisión sobre arreglo del estado ecle mar las disposiciones necesarias para llevar á efecto dichas medidas. siástica; y á consecuencia de una indicación del Sr. D. Marcial López, ‘ Se leyó el artículo y nota siguiente: ... • . se mandaron repartir dichos egemplares , y pasar ia exposición á lá co Art. 14. »Estarán sujetos al derecho proporcional dé uel medio misión especial de Hacienda. por 100 los actos que se expresan en la rióta.n…</t>
  </si>
  <si>
    <t>…Gobernación de la Península al oficio que se le pasó en 14 de Mayo El Sr. Díaz Morales dijo que no le parecía el punto de Sanlúcar de último, á consecuencia de una indicación del Sr. D. Marcial López, Barrameda el mas á propósito para escuelas de agricultura , y que opir manifestando los recursos con que cuenta para el pago de las escuelas de naba seria mas ventajoso establecerlas en Córdoba ó en. las inmediacio primera educación. nes de Ecija. El Sr. Lal…</t>
  </si>
  <si>
    <t>…icia nacional activa, y se levantó la sesión á las tres. tienen en ello un conocido ínteres. Tampoco esta junta puede presentar las ventajas que ha indicado el ARTICULO DE OFICIO. Sr. D. Marcial López, de estimular y premiar el verdadero mérito, de examinar el de los grabados, de proponer los mejores &amp;c. &amp;c., porque en El Sr. secretario del Despacho de Marina dice al Sr. secretario de la una junta en donde no habrá mas que un individuo facultativo de cada…</t>
  </si>
  <si>
    <t>…indas las lo el pensar al tiempo de su muerte que sus hijos tendrían segura una faenas altas y bajas, tanto sobre cubierta como en cofas y vergas, pa carrera distinguida: y que el Sr. D. Marcial López había dicho que si ñoles y bodegas. Al mismo tiempo se egerclurán en todas las observa un ministro era cual debia ser, propondría á las Cortes el premio que ciones, cálculos y levantamientos de pianos, y en todas las demás ope considerase oportuno para estos…</t>
  </si>
  <si>
    <t>…contra que tengan á bien los Sres. diputados. Lo mismo digo con sión , apoyándose en el art. 140 de la Constitución y 109 y 112 del re respecto á las reflexiones que hizo ayer el Sr. D. Marcial López. Uta glamento interior , que eran los que estaban en favor del dictamen : que de ellas es á mi juicio muy filosófica , que es sobre si en el p/oyecto se la comisión propuso á Pontevedra por capitafde la provincia que ahora atiende á la sensibilidad de los hom…</t>
  </si>
  <si>
    <t>…otar , opinó que no halda m. -tivo presente en este mismo proyecto los que deban quedar como necesarios.” para dejar de entrar en la discusión preliminar de si debian o no esta De D. Marcial López &gt;, La Nación no reconocerá otros empleados blecerse los jurados. en los gobiernos políticos sino los gefes, secretarios y oficiales pri Después de una corta discusión retiró el Sr. Gaseo su proposición, meros.” y se leyó la siguiente del Sr. presidente: Del b…</t>
  </si>
  <si>
    <t>López, Marcial Antonio</t>
  </si>
  <si>
    <t>Marcial Antonio López</t>
  </si>
  <si>
    <t>…calle de Arcos por tonio Gómez, que se le admitirá siendo arreglada. Instituciones de derecho político, aplicadas! la ConstituciónIdem 733 rs. nf mrs. de la monarquía española por D. Marcial Antonio López, in Bernardino Márquez sobre casas en dicha calle por dividúo de la academia de la Historia , diputado en las actuales ídem ,367 rs. 22 mr-s. Cortes. Se reúnen en esta obra original las doctrinas de los mas Juan Cantoral . sobre casas calle de la Higuera por…</t>
  </si>
  <si>
    <t>…ensables para gobernar á un Los suscriptores á las Instituciones de derecho natural y de gentes, pueblo que ya ha visto dos revoluciones. publicadas para el uso de la juventud por D. Marcial Antonio López, -Según otras noticias del mismo punto del 28 de Febrero, se habia diputado en las actuales Cortes, podrán recibir cuando gusten el tomo descubierto una conspiración, tramada por el duque de la Marmeiuda, primero y último de la obra. Su precio en venta es el…</t>
  </si>
  <si>
    <t>…staba la necesidad ca y comisión de Instrucción púbücaj, un tratadito sobre política, que de que se le facilitase la cantidad conveniente para proveerlo: la comi ha escrito el Sr. diputado D. Marcial Antonio López. sión opinaba que se le recomendase al Gobierno, para que en cuanto Se mandó pasar á la comisión de Poderes un oficio de D. Juan Jo sea posible atienda á la necesidad de dicho regimiento per cuenta de la sef Echevarría, en el que desde Saltenango participaba…</t>
  </si>
  <si>
    <t>…stión, principal se reduce á forme á la Constitución política de la Monarquía española, .presentado si la enseñanza privada, habiendo de producir efectos públicos, y de por el Sr. diputado D. Marcial Antonio López. La comisión, habiendo biéndose igualar á la enseñanza uniforme para que tengamos excelentes examinado dicho plan, encontraba en él doctrinas sólidas y apreciables, magistrados y buenos eclesiásticos , ha de prestar ó no algunas garan eri cuya consecuencia op…</t>
  </si>
  <si>
    <t>…bios como lodos los demas , son susceptibles de mayores partamentos de mannade Cádiz, Ferrol y'Cartavena. vcr.tijas; v asi se dice rincón oor rincón Caiatayud en Aragón. «ota. El Sr. D. Marcial Antonio López propuso en la sesión da .as montanas de Aibirracm acaso son las primeras montañas del ayer que las Cortes pusiesen ó quitasen por regla general á todas las reino : i: estar, la« tanas mas finas de A razón,que compiten con las de provincias sus nombres antiguo…</t>
  </si>
  <si>
    <t>…o en que consista e'l delito.” impreso. E Sr. Moreno dijo que el ser dobles las penas pecuniarias en Ul tramar daba á entender que habia doble delito, por lo cual se oponía E! Sr. diputado D. Marcial Antonio López ha remitido á esta re al artículo. dacción la nota siguiente : El Sr. Calatrava dijo que el dinero tenia menos valor en Ultramar Cuando hablé ayer en las Cortes antes de principiarse la sesión sobre que en la Península, pues no se adquiría allí con un peso fu…</t>
  </si>
  <si>
    <t>López, Marcial-A'ntonio</t>
  </si>
  <si>
    <t>Marcial-A'ntonio López</t>
  </si>
  <si>
    <t>…. .«.¡¡.¡...c* 7 , e-j1:-■ • ■: : - por M: Rv: traducidas con sus-notás y un ¡apéndice ¡de ¡política xpor Fitinas poderoso púéstde-Ios-Monarcas 'reunidos e;i Laybach es el1 au- ¡ D. Marcial-A'ntonio López , de'la-academiaide'. la¡ historia ,. diputado'. tor , el modelo y el maestro dé las .Constiulcidneseuropeas. SU ’cOra-1 en las actuales Cortes. Esta obra escrita, para el uso de la juventud , tiene1 zon parecía ansioso de la prosperidad' de todas-clasí nacio…</t>
  </si>
  <si>
    <t>López, Mateo</t>
  </si>
  <si>
    <t>Mateo López</t>
  </si>
  <si>
    <t>…s Américas y el continente; y su valor me guez. Baeza D. Antonio Lafuente y Oquendo; D. Nicolás Vázquez. dio ha sido de 6.7009 francos. Alcalá la Real D. Ildefonso Zejalvo. Martas D. Mateo López. An» Las fábricas de Limoux y de Chalabre, cuyo* productos han sido áujar D. Josef Garzón. también muy considerables , no tienen menos actividad que las de Car- Provincia de Zamora. Zamora D. Josef García Fierro, canóniga casona; y no es fácil formar un cálcu…</t>
  </si>
  <si>
    <t>López, Miguel</t>
  </si>
  <si>
    <t>Miguel López</t>
  </si>
  <si>
    <t>…gundo contrario á la dél8.° 714;* hubiese lugar á la formación de causa contra el citado ayuntamiento: y en cuanto al 8.° solo en la parte de que se componga el-consejo or otra de D. Miguel López, vecino de esta corte, quejándose dé infrac dinario de guerra de ofictales.de la milicia nacional cuando esta hiciere ción cometida por el alcalde constitucional de Fuente la Encina, por la aprehensión. ----una informalidad que cometió en un juicio de concili…</t>
  </si>
  <si>
    <t>López, N.</t>
  </si>
  <si>
    <t>N. López</t>
  </si>
  <si>
    <t>…la cual se ve que aun en las naciones sargento de marina, segundo condestable de los almacenes de artillería, mas adelantadas está en la relación de 10 á 3 ó 4 respecto .de su po D. N. López, era-la quemianifestaba que hallándose destinado en 1820 blación mercantil ó fabril; y supuesto que ahora en España va á haber en el arsenal de la Carraca, facilitó la entrada al general Quiroga con una inmensidad de campos, que se van ú reducir á la clase de…</t>
  </si>
  <si>
    <t>López, Patricio</t>
  </si>
  <si>
    <t>Patricio López</t>
  </si>
  <si>
    <t>…onciliar la justicia con la clemencia. los Sres. D. Josef María Puget , diputado por Puebla dedos Angeles,' ■ -Otros varios Sres. diputados hablaron eú -favor y en contra, recor y D. Patricio López, que lo es por Oajaca; y habiéndoles examinado" dando unos lo practicado en España con el obispo de Orense encaso con el acta de-sus respectivas- elecciones'; opinaba podran aprobarse ; y' casi iaual. deseando otros que se diese tiempo al patriarca para conoc…</t>
  </si>
  <si>
    <t>…s de teología y leyes se ne Las Cortes quedaron enteradas, y mandaron pasar al Gobierno cesita presentar certificación que acredite haber ganado los cursos si un oficio que el Sr. diputado D. Patricio López dirigía á los Sres. secre guientes en alguna universidad de provincia, ó haber sido examinado tarios de las Cortes, haciendo presente que habia fallecido en la desem en ella en los respectivos ramos, y obtenido la competente certifiiacion bocadura del canal d…</t>
  </si>
  <si>
    <t>López, Rainon</t>
  </si>
  <si>
    <t>Rainon López</t>
  </si>
  <si>
    <t>…obre la razón de las leyes derivadas de las ciencias Sres. diputados que son también individuos de la comisión del código fisicas , ó sea sobre la filosofía de la legislación, por D. Rainon López penal , no continuaría ahora aquella discusión, y en su lugar se verifica Mateos, médico del colegio de esta corte, académico de número, y ría !a de las adiciones propuestas por la comisión de Marina al pro primer secretario de gobierno de su academia de medi…</t>
  </si>
  <si>
    <t>López, Román</t>
  </si>
  <si>
    <t>Román López</t>
  </si>
  <si>
    <t>…s y regulares. . ■■ A fines del mes de Junio próximo pasado remitió por el correo Los monacales y demas regulares extinguidos, que según la ley de desde Valencia D. Josef Florin á D. Román López , ó acaso por equi 25 de Octubre de 1820 gozan pensión en'el Crédito público, presen vocación puso en el sobre Ramón López, una certificación dada en la tarán en ia contaduría general de recaudación con su correspondiente, contaduría de,aquella ciudad en. Abr…</t>
  </si>
  <si>
    <t>López, Tiburcio</t>
  </si>
  <si>
    <t>Tiburcio López</t>
  </si>
  <si>
    <t>…e Estado D. Evaristo Perez de Castro, Aguado y D. Esteban Cabañez, vindicándose de una queja dada contra D, Agustín Argfieiles, D. Ramón Gil de la Cuadra , D. Manuel Gar ellos por D. Tiburcio López. cía Herreros, D. Josef Canga Argíielles , D. Cayetano Valdes y Don Se dió cuenta de una exposición de D. Luis Sánchez Prieto, vecino Juan Jabaí, en atención al estado en que se hallaban, á los distinguí-</t>
  </si>
  <si>
    <t>López-</t>
  </si>
  <si>
    <t>…cha 21 del corriente, dando gracias al Congreso El Sr. Villa contestó que este era el parecer de la comisión. por su resolución de 1 5 del corriente acerca del mensage de á. M. El Sr. López- continuó diciendo que en esta parte era de la misma Se díó cuenta de una exposición, fecha 2t del corriente, que dirigen opinión ; pero que sin embargo quería que se diese una explicación mu desde Cádiz el comandante, oficiales, sargentos, cabos y soldados de…</t>
  </si>
  <si>
    <t>López.Blanco, Hemeterio</t>
  </si>
  <si>
    <t>Hemeterio López.Blanco</t>
  </si>
  <si>
    <t>…como independientes del Rey; y q.a Que Rafael Pujol, procedente del juez de primera instancia de esta ca también los autorizan para no pronunciar ni aun su nombre. Lo que es pital D. Hemeterio López.Blanco. Preso en ip de Agosto de 1820 por ciertamente imposible de comprender es que en la culta Europa , en el robo. Estado de esta causa. En el procurador del reo. Providencia de siglo jcix y en la Atenas moderna haya personas que discurran: tan es visita: siga. t…</t>
  </si>
  <si>
    <t>Lopez.zzD, Eugenio</t>
  </si>
  <si>
    <t>Eugenio Lopez.zzD</t>
  </si>
  <si>
    <t>…rt. 108. » El Gobierno señalará el uniforme que deba'usar, em ónela. zzD. Ramón Marco.z=D. Manuel Sierra. =D. Serapio Marin.zzr pleándose en él solo géneyos nacionales.” Aprobado. D. Eugenio Lopez.zzD. Josef Percz.=D. Luis Zueco. = D.. Vicente El Sr. Rovira manifestó que la comisión, después de haber oido al Pastor. zzD. Valentín Jope. ~ D■ Ignacio Flesas. zz D. Ramón Cana- gunas observaciones hechas por diferentes oficiales del cuerpo de mari les. = D. Jo…</t>
  </si>
  <si>
    <t>Loren</t>
  </si>
  <si>
    <t>…Enero último D. Francisco Fuertes, contador del Crédi las preguntas que pudiera hacerles; concluyendo con pedir que si no to público en la ciudad de Sevilla , puso denuncia contra D. Loren se acordaba la venida de los seis ministros por no parecer necesario, zo Zamora, por haber insertado en el número 44 del periódico inti se señalase una sesión secreta, en la que podría hablar sobre este punto. tulado el Defensor de la patria un artículo comun…</t>
  </si>
  <si>
    <t>…oderado especial D. Justino Matute, por injurio bierno de la gran Nación, y huir del intruso que detestan, no podemos sos y libelos infamatorios dichos impresos; la ley absolvió á D. Loren en medio de nuestra general desolación desentendemos de la justicia y zo Zamora, responsable de ellos , y en su consecuencia mandó el Se de la gratitud, y manifestarla, ya que no podemos de otra manera , ex ñor D. Luis Ortiz de Zúñiga , juer de primera instan…</t>
  </si>
  <si>
    <t>Lorena, Bernardo Juan de</t>
  </si>
  <si>
    <t>Bernardo Juan de Lorena</t>
  </si>
  <si>
    <t>…ra que las Cortes las- reconozcan y abonen si lo hallaren justo y El de la de Infracciones de Constitución, relativo á que no debía conveniente.” accederse á la nueva instancia de D. Bernardo Juan de Lorena, en la El art. 20 decía asi; que pedía se exigiese la responsabilidad al juez y escribano que habian Art. 20. ‘ » Las direcciones de Hacienda pública soti cinco; á saber: intervenido en la causa que se le había formada. •’ ■ - dirección de contribuciones dire…</t>
  </si>
  <si>
    <t>Lorent, Gaspar</t>
  </si>
  <si>
    <t>Gaspar Lorent</t>
  </si>
  <si>
    <t>…ecial de Crédito público.” les ,■ según el estado' presentado y archivado en el tribunal, aparece ser Acto continuo el Sr. secretario del Despacho de Marina pasó á D. Juan Pricer, D. Gaspar Lorent, D. Josef Plat. D. Salvador Masleer la memoria de su ramo. • tincla, D. Pedro Juan Bastard y D. Josef Puig; y se avisa para que lle El Sr. secretario del Despacho de Marina leyó la memoria de este gue á debido conocimiento de dichos interesados. ramo; conclui…</t>
  </si>
  <si>
    <t>Lorente, Fabián</t>
  </si>
  <si>
    <t>Fabián Lorente</t>
  </si>
  <si>
    <t>…Cabrera: para el de Borja á D. Manuel Uc las lleras: para el de Tara( D. Felipe), Yuste , Desprat, Romero ( D. Josef), Moreno Guerra, zona á D. Juan Ortega: para el de Calatayud á D. Fabián Lorente; pa Díaz Morales , Fernandez , Pierola , Zavala, López Constant , Medra- ra el de Ateca á D. Agustín Palacios: para el de Daroca á D. Juan no, García Page , Solana , Zorraquin, Golfín , Cortazar, Gutiérrez Antonio Bernal: para el de Albarracin á ó Pedio Alzam…</t>
  </si>
  <si>
    <t>Lorenzana, Pedro Charro de</t>
  </si>
  <si>
    <t>Pedro Charro de Lorenzana</t>
  </si>
  <si>
    <t>…robadas juntamente con Agronomía ó diccionario manual del labrador , traducido del fran algunos artículos que se hablan mandado volver á la comisión , y esta cés al castellano por D. Pedro Charro de Lorenzana. Entre los libros los presentó con las variaciones que se habían ofrecido al tiempo de su que se han dado á luz en estos últimos tiempos merece una estimación discusión. particular el que ahora publicamos. El autor de este pequeño dicciona Habiendo cumplido e…</t>
  </si>
  <si>
    <t>Lorenzo</t>
  </si>
  <si>
    <t>…realmente no plaza en el bergantin llamado Virgen de Gracia el coronel y diputado habría venido esta noticia por el ministerio de Estado, porque el señor del Parlamento napolitano D. Lorenzo deConciliis, en compañía de su encargado de esta secretaría la habría sin duda participado á las Cortes; ntuger y un criado, procedente de Ñapóles, de donde salió el dia 23 deduciendo que la que se habia dado hoy no era tan fundamental ni del próximo pasado,…</t>
  </si>
  <si>
    <t>…Al que prendiere á uno de los individuos abajo nombrados se ble que estq junta no mire con indiferencia los asuntos de Espa le dará el premio de mil ducados. Q cerca de 16D rs.). D. Lorenzo de ña añade el autor del artículo. Esto será tal vez una simple conje Conciüis, D. Miguel Morelli, D. Josef Silvati, I&gt;. Luis Minichini, tura; pero en todos casos probablemente se tratará de dar consejos, y D. Josef Cappuccio." Otra igual orden se ha publicad…</t>
  </si>
  <si>
    <t>…á cierta edad debia saber las leyes’, sin que su ignorancia Asimismo ha tenido á bien S. M. conceder honores de magistrado ie pudiera servir de excusa. : ... de dicha audiencia, á D. Lorenzo de la Cuesta y Torre, á D. Juan Gó Habiéndose declarado el punto suficienterfíénte discutido, quedó, mez y Díaz, y a D.'Martin de Pineda y Lara. aprobado. - Habiéndose suspendido esta discusión, nombró el Sr, presidente pa-: Seria necesario consagrar la mayor…</t>
  </si>
  <si>
    <t>Lorenzo, Joséf Martínez</t>
  </si>
  <si>
    <t>Joséf Martínez Lorenzo</t>
  </si>
  <si>
    <t>…n á la últi Mariano Rodríguez Parras y á D. Joaquin Fernandez Compagni; y ma sesión, y se citará como egemplo de gloria para las Dos Sicilias la para los de la ciudad de Granada a D. Joséf Martínez Lorenzo, á Don inalterable firmeza de aquellos decididos é imperturbables defensores de Ramón Rodríguez Velasco y á D. Pedro García Zambrero. su patria , de la libertad de sus conciudadanos, y de su Rey constitu cional. No , no es posible que deje de ser libre la nac…</t>
  </si>
  <si>
    <t>Lorenzo, Manuel</t>
  </si>
  <si>
    <t>Manuel Lorenzo</t>
  </si>
  <si>
    <t>…uerte' de otros siete ú ocho. birach ,-habilitado para su secretario. __El segundo comandante del extinguido batallón ligero de Clarines Parte del lazareto sucio de todo el dia 6, D. Manuel Lorenzo dió parte en 9 de Junio de haberse presentado en Barceloneta, existencia anterior 193: entrados ó acometidos 302 Tinajas los enemigos; y aunque habiendo salido en su seguimiento no lalidos ó curados 5: convalecientes 47: muertos 2(5: existentes 192. los halló…</t>
  </si>
  <si>
    <t>Loriga</t>
  </si>
  <si>
    <t>…á su asiento qué á Si- presidente es el Sr. virey, el vice-presidente Laserna, con cinco'voca narniri ; pdro en cuánto á la integridad de la representación y la auto les mas, y el secretario Loriga, coronel de artillería Los- búqiíes ene ridad moral delajey,, nó háy’ ninguna"diferencia; y por tanto voto migos se hallan en Huacho; su cuartel general en Huaura; y' parece se porque no se tome én tóhsideracion la propuesta. (Aplausos á lá iz extienden á Cas…</t>
  </si>
  <si>
    <t>Losada</t>
  </si>
  <si>
    <t>…lica, con pre Habiéndose procedido á la elección de suplentes salió por la clase ferencia á la de intereses, subastando las fincas en aquellas cuatro pro de diputados de Europa el Sr. Losada por 66 votos de 99, y por la de vincias entre sus respectivos acreedores, y haciéndose ias ventas por los 'Ultramar elSr. Ramirez Torres por 64 votos de 96. comisionados del Crédito público. El Sr. presidente levantó lá sesión á la una y media de la mañana. 4…</t>
  </si>
  <si>
    <t>…la palabra vi destinar er. el resguardo. gías se añada. Según lo permita el estado de las rentas públicas.” Declarado este asunto, suficientemente discutido, quedó aprobado, 'Del Sr. Losada al art. 2.0: « Que los oficiales de la marina militar en los términos que habia manifestado el Sr. Alaman. qué soliciten el mando de estos buques sean atendidos con conside Art.’8.a «Los ao buques expresados en el art. 2.0 se distribuirán ración.” en cinco cr…</t>
  </si>
  <si>
    <t>Losada, Ápoüñario</t>
  </si>
  <si>
    <t>Ápoüñario Losada</t>
  </si>
  <si>
    <t>…idad, y qu e el capitán relacionados Sres. comandantes del R y y Domínguez, el de la com comandante de la compañía’de la caballería voluntariaD. Apolinario Lo pañía de caballería. D. Ápoüñario Losada, y el de la artilleríaD. Fer sada arrestase a D. Mariano Salas, para evitarle cualquiera atropeílamín Iñigo, con diferentes oficiales, sargentos, cabos y milicianos de los mieuto que pudiera intentarse contra su persona: quedando encar.ados sobredichos cuerpo…</t>
  </si>
  <si>
    <t>Losada, Josef</t>
  </si>
  <si>
    <t>Josef Losada</t>
  </si>
  <si>
    <t>…e ¡as rentas tallón de la Princesa; el ayúdame del estado mayor D. Rafael Marín; de ¡os arzr.bispados de Braga y Bvora y de los obispados de Ovorto y el sargento mayor de la plaza D. Josef Losada, y los interinos ayudan Cambra se recaudará todo lo que exceda de 7.200c) reis ; y por ulti tes de ella el teniente y subteniente retirados D. Juan de la Fuente y mo, de todas las rentas de los demas obispados del reino se recaudará D. Anvel Sanz Llórente. Jo…</t>
  </si>
  <si>
    <t>Losada, Juan Bautista</t>
  </si>
  <si>
    <t>Juan Bautista Losada</t>
  </si>
  <si>
    <t>…e acerca del aforo y despacho de hierro , y Galicia. Puente de Hume D. Juan Ignacio Pesquerías , escribano. opina que se adopte lo que proponen Jas comisiones de Hacienda y Co Tuy D. Juan Bautista Losada, abad de salcidos. Viga D. Manuel Bar men :io en esta parte. cena, alcalde i.' Cambados D. Francisco Taboada, teniente general, A la referida comisión se pasó una exposición de la diputación pro propietario. Pontevedra D. Fernando Saravia, coronel retirado de…</t>
  </si>
  <si>
    <t>Losada, Manuel María</t>
  </si>
  <si>
    <t>Manuel María Losada</t>
  </si>
  <si>
    <t>…y los demás se han ido á disfru vos y castaños, donde estaba preparado un abundante rancho, que en tar del campo. También ha contribuido mucho á esta deserción U sali compañía di D. Manuel María Losada, individuo de la diputación</t>
  </si>
  <si>
    <t>Losada, Ramón</t>
  </si>
  <si>
    <t>Ramón Losada</t>
  </si>
  <si>
    <t>…e les sirva de disculpa haberlo man cin , diputado por la provincia de Murcia ; para vice-presiderite el señor dado el Rey: y en el párrafo 2° del art. 261 del título 5.0 está asi D. Ramón Losada , diputado por la de Galicia; y para secretario el se mismo marcado, como una de las atribuciones del tribunal supremo ñor D. Nicolás García Page, que lo es por la de Cuenca. de Justicia, la de juzgar á los secretarios de Estado y del Despacha cuando las Cort…</t>
  </si>
  <si>
    <t>Louis</t>
  </si>
  <si>
    <t>…su plaza de regidor del. ayunta-* á los Sres. Decazes, Camilo Jourdan, Royer Collard, Gouvion St. Cyr tr.iemo de Santander, previo el correspondiente juramento ,y.que se de- y el barón Louis; pero que parecía que el - segundo y tercero rio querían clarase por punto general que los individuos de.ayuntamiento, una vez ser, concolegas de Mr. Decazes. nombrados para servir su cargo , no podían serlo para otro de .la mis El mismo periódico cita carras…</t>
  </si>
  <si>
    <t>…diputados de los cantones en nisterio , y se compondrá de Mr. Decazes, presidente del consejo do que se profesan las dos religiones cristianas, yen que son bastante fre ministros; barón Louis, ministro de Hacienda; Mr. Pasquier (_ el in cuentes los matrimonios entre protestantes y católicos. Ün convenio ce amovible), ministro de Estado , y el general Sebastian!, ministro da la lebrado entre la mayor parte de estos cantones reconoce la validez de s…</t>
  </si>
  <si>
    <t>Lozano, Francisco</t>
  </si>
  <si>
    <t>Francisco Lozano</t>
  </si>
  <si>
    <t>…e la comisión en general, y cisco Joaquín Inarte, de Pamplona-, D. Francisco de Gorbea y sobri manifestó que las Cortes no debían discutir provincia por provincia, nos, de Madrid; D. Francisco Lozano; D. Francisco Javier García; porque en este caso resultana la necesidad de atender á mil circunstan D. Gabriel Odier y compañía^ de Paris ; Doña Graciosa de Meoqui, d* cías indispensables, pues cada Sr. diputado querria que aquel pueblo á Pamplona; D. Joaquin…</t>
  </si>
  <si>
    <t>Lozano, Francisco de Paula Ribera y</t>
  </si>
  <si>
    <t>Francisco de Paula Ribera y Lozano</t>
  </si>
  <si>
    <t>…ara el de A a reda á D Manuel Mateo cia , en los autos de testamentaría de D. Juan Rodrrguez, radicados en Gentico; y para el de Arnedo á D. Tomas Rebert y Pauló. la escribanía de D. Francisco de Paula Ribera y Lozano, se convoca á todas y cualesqiera personas que se contemplen con derecho que expo Cumpliendo como director del Fomento general del reino con lo ner á los bienes de dicha testamenta! ía para que lo deduzcan en dicho que se me previene en el artículo 12 de la l…</t>
  </si>
  <si>
    <t>Lozano, Joref</t>
  </si>
  <si>
    <t>Joref Lozano</t>
  </si>
  <si>
    <t>…iendo que Hacienda nacional. debería fabricarse lo mismo en América que en la Península. Quedó A la de Infracciones de Constitución se mandaron pasar: una ex aprobado. posición de D. Joref Lozano, síndico procurador del ayuntamiento El Sr. presidente dijo que continuase la discusión sobre la ley orgá constitucional de Tarifa, quejándose de una infracción de Constitución nica del egército. cometida por el comandante de aquel presidio: otra del juez de…</t>
  </si>
  <si>
    <t>Lppez</t>
  </si>
  <si>
    <t>…sea necesario para el cumplimiento de los artí cular, y después de una corta discusión se aprobó el artículo,, supri culos 4.0*, 5.0 y 6 i de este decreto.” miendo á solicitud del Sr. Lppez D. Marcial estas palabras: y serán Ei Sr. Alaman: Mediante á que el art. 6. ° se ha retirado,y al espí atendidos y premiados según lo sea ia importancia de sus auxilios. ritu del artículo creo que se debe redactar en estos términos: &gt;1 Eí Go Se leyó en seguida el art. 1…</t>
  </si>
  <si>
    <t>Lu</t>
  </si>
  <si>
    <t>…se separó para no volver jamas. Efectivamente si compara Nueva gramática latina, escrita con sencillez filosófica por mos el riesgo y la dificultad de-las'operaciones con las ven D. Lu is de Mata y Araujo, catedrático de latinidad , retórica y tajas y gloria que resultarían del buen éxito, este riesgo y es poética de ios pages de S. M., individuo y examinador de la ta dificultad nó;teridrian: fuerza alguna para con los hombres academia lati…</t>
  </si>
  <si>
    <t>Lu-, Josef</t>
  </si>
  <si>
    <t>Josef Lu-</t>
  </si>
  <si>
    <t>…etario del Despacho de la Guerra remitió 186 egempla do varias reflexiones sobre la divergencia de opiniones que habia acer res de la memoria publicada por el consejero de Estado ’D. Josef Lu- ca de este asunto, dijo que convenia con lo que habia dicho el Sr. Cayando sobre gastos de marina y sus reformas: las Cortes lo recibieron latrava: que los que impugnaban el dictamen de la comisión atacaban con ag ado, y mandaron se.repartiesen. el decreto de…</t>
  </si>
  <si>
    <t>Lu-, Pedro de</t>
  </si>
  <si>
    <t>Pedro de Lu-</t>
  </si>
  <si>
    <t>…endado y labrador de Baza; D- Alfonso García Valdecasas, quedarán con ellos los empleados que asistieron á la detención pura be natural, vecino y hacendado labrador de Montefrio ; D. Pedro de Lu- neficiarlos según inas les convenga. que, capitán del cuerpo nacional de zapadores-minadores-por.toneros, Art. 9.0 « En cualquiera de los casos de la venta y subasta , ó de natural de Montefrio; D. Antonio Sequera, capitán graduado de te quedarse á beneficio…</t>
  </si>
  <si>
    <t>Lúc</t>
  </si>
  <si>
    <t>…dictamen dé la co xotas.' En ía vacéta del 3ii“9 , col.-4.1, lín-, 89 .dónde dice /). rTi'Oiñ misión sobré correos marítimos, prosiguiéndose la discusión cfel plan Tej'aít#,'léase D. Lúc~¡t‘s ñé Cuáilros\ y eñ la del’id, coU;4.J-, lín.-8g, de Hacienda . ' " - ' ': : ' 'donde fliée Ramírez Ci'l', féasé N/in:.’i é2._Efi ia misma; ctfl.j:8.\'It; Nvanto I* sesiojí pública á las tres para continuar las Cortes en ñea 10', donde dice tiré tararse, l…</t>
  </si>
  <si>
    <t>Lucas</t>
  </si>
  <si>
    <t>…r batallón del Rey D. Josef Rodríguez Rubio, en que daba greso en la legislatura pasada en solicitud de ¡a agregación de aquella cuenta de sus operaciones, dirigidas á auxiliar al comandante D. Lucas vifla, en unión con el puebio de Sta. Gádea y demas, que estaban si González que se hallaba en Sta. Lucía , y debía según noticias ser ata tuados al norte de las montañas, á las provincias Vascongadas , siempre cado el 14 por Bermudez. Llegó efectivamente á t…</t>
  </si>
  <si>
    <t>LucasSer-</t>
  </si>
  <si>
    <t>…ados y A la referida una queja de varios vecinos de Murcia contra Don facultades baste solamente el examen y aprobación.” ... Manuel González ¿amorano, alcalde Constitucional , y._D. LucasSer- ... .Después de apoyada por su-autor, dijo, el Sr.-Romero-'AIpuente d¡d"°, regidor. que, no se podía dudar que’ los estudios, particulares eran no solo súfiá A la misma otra de D. Diego .Gaveta de la Riva;. vecino.de Si- cjentes, sino mayores. y mejores que.…</t>
  </si>
  <si>
    <t>Luccapalli</t>
  </si>
  <si>
    <t>…es protectoras parti n¡ para el del Interior; el general Fardella para el- de Guerra, y para culares de canales y caminos nacionales, encargando la continuación de el de Marina al Sr. Luccapalli. .dichas obras á los ingenieros de canales y caminos que tengan á su cui El Emperador de Rusia se ha dignado premiar los méritos del se dado las demas obras públicas del distrito , bajo la autoridad de la úni ñor Pilat, primer redactor del periódico de Viena…</t>
  </si>
  <si>
    <t>Luchoi</t>
  </si>
  <si>
    <t>…ribunales, mo ministro interino de Justicia: del general vaideoa, ídem de Guer Después de una ligera discusión se mandó volver dicho artículo á ra y de Negocios eclesiásticos; dei caballero Luchoi , ídem de Marina; la comisión. del marques Andrea, ídem de Hacienda; del-ir \ eechioni, idern dat La comisión en lugar del artículo 27 , que no fue aprobado en la Interior, y dei Sr Blasiis, director de Policía general. También se pu legislatura pasada, y dec…</t>
  </si>
  <si>
    <t>Ludolf</t>
  </si>
  <si>
    <t>93</t>
  </si>
  <si>
    <t>…res sobre nuestros conciudadanos, sobre el suelo, que nos ha la ley para la abolición de los fideicomisos en Sicilia. visto nacer, que nbs mantiene y cubrirá nuestras cenizas,, Él conde Ludolf, nuestro ministro plenipotenciario en podrá mostrarse indiferente á la esperanza de.ver formado un la corte de Londres, fue admitido el 2 2 del pasado á la nuevo estado , capaz de reunir todos los-individuos de-una audiencia de S. M. B., y en ella tuvo la hon…</t>
  </si>
  <si>
    <t>Lúea</t>
  </si>
  <si>
    <t>…os:Suales'lés han arrancado 60 millones Se pasó á una comisión extraordinaria la exposición indicada por .de. pesos,-habiendo.entradoda-mítad dü'este dinero en i¿ tesorería del el diputado Lúea , sobre que eFPríñíipé Regente y e¡ Príncipe de Sa-Gran Señor.' La ¡Puerta pide'por'sú parte á la Rusia que esta’ le resti- lerno deseaban ir al egército, y que seria necesario asignarles los fondos -tiiya algunos fuertes situados‘en Asia-í.'• necesarios para…</t>
  </si>
  <si>
    <t>Luengas, Eugenio</t>
  </si>
  <si>
    <t>Eugenio Luengas</t>
  </si>
  <si>
    <t>…nicos, los dos también de la provincia de Patencia, en cuyo ar do que fue de varios regimientos de infantería. reglo quedó acordada la supresión de estos cuatro conventos; y se fa Don Eugenio Luengas, graduado de subteniente, y cadete que fue cultó al Gefe político y diocesano de León para la agregación de sus del batallón de Tiradores de Cádiz. religiosos; y que se supriman igualmente en Mayorga el de dominicos; Don Genaro Mayordomo, natural de la ciudad…</t>
  </si>
  <si>
    <t>…orte en la calle deHorManuel Melero, natural de Martos en la provincia de Jaén, solda taleza, núm. 15, cuarto principal, manz. 312. do que fue de varios regimientos de infantería. D. Eugenio Luengas, graduado de subteniente, y cadete que fue del ANUNCIOS. batallón de Tiradores de Cádiz. D. Genaro Mayordomo , natural de la ciudad de Cuenca, y resi Tratado elemental de geografía matemática aplicada á la topogra dente que dice ser en esta corte. fía y parte…</t>
  </si>
  <si>
    <t>Lugo, Estanislao</t>
  </si>
  <si>
    <t>Estanislao Lugo</t>
  </si>
  <si>
    <t>…l art. 36 se añada Búrgos á las capitales en que de sanidad algunos farmacéuticos. se establecen universidades de tercera enseñanza.” A la de Instrucción pública una exposición de D. Estanislao Lugo, El Sr. Tapia se opuso á esta adición, á consecuencia de haber apro en la que pide se le devuelvan los libros de que se apoderó la extingui bado ya las Cortes el establecimiento de universidades de tercera ense da inquisición; y otra de D. Gaspar Ballester, d…</t>
  </si>
  <si>
    <t>Luis</t>
  </si>
  <si>
    <t>…parte esa audien resolución de 16 del propio mes se había servido el Rey cia de los individuos que en su distrito se encuentren eri determinar, á consulta de dicho Tribunal, que á D. Luis, este caso para tomar las disposiciones indicadas. De Real D. Miguel y D. Francisco Baza, huérfanos del sargento Orden 16 comunico á V. S. para su inteligencia y cumpli mayor que fue del regimiento infantería de Sta. Fe, se les miento de ese tribunal. Madrid…</t>
  </si>
  <si>
    <t>…los cia de Chiapa, capitanía general de Goatcmala. herederos de Doña María ' ictoria, Inlanta de España, y del Infante Las Cortes quedaron enteradas, y mandaron repartir 200 egem- D. Luis, se les pagase por la tesorería general las distintas cantidades plares de Ja circular expedida por la secretaría de la Gobernación de que acreditan del Estado por las asignaciones que se les hicieron, de Ultramar , encargando bajo la mas estrecha responsabil…</t>
  </si>
  <si>
    <t>Luís</t>
  </si>
  <si>
    <t>…oyeron con agrado , y mandaron pasar á las comisiones constitucional de Molina, en el mismo reino, y otra del ayuntamien de Industria, Artes y Comercio reunidas, una exposición de D. Luís to constitucional de Jaén para que se aprueben ciertos arbitrios que Gerett, de nación francés, á que acompañaba un plan de.escuela de ar proponen con el objeto de atender á sus gastos municipales. tes y oficios, manifestando la necesidad de que la Nación pro…</t>
  </si>
  <si>
    <t>…permiso que solicitaban D. Francisco Javier Campa, de adhesión conocida al sistema constitucional y aptitud, prefiriendo juez electo de primera instancia del partido de lortosa, y D. Luis la antigüedad solo en los casos de igualdad de circunstancias.” López, que lo es del partido de Cantoria, en la provincia de Granada, - 2.0 » Se anulan todas las disposiciones contrarias á la p esente.” para que puedan prestar su juramento en otras audiencias…</t>
  </si>
  <si>
    <t>…Constitución habian merecido la gratitud nacional. ne función el batallón! de la milicia nacional, el cual se encaminó al El de la ordinaria de Hacienda acerca de la instancia de D. Luis templo entonando himnos patrióticos al compás de su música marcial. Leprince, pidiendo se le continuase cierta pensión, á lo cual opinaba El párroco pronunció una - ¿ración fúnebre; en la que se descubría'el lá comisión no debia accederse, atendida la decaden…</t>
  </si>
  <si>
    <t>…fabetos de las letras desconocidas que se encuen va en ia parte inferior del grabado. » La revolución vuelve la ley funda tran en las antiguas medallas y monumentos de España: por D. Luis mental á España.” La ley va colocada al frente de la viñeta de la intro Josef Velazquez : un tomo en 4/ marquilla-----Memoria histórica sobre ducción de la Constitución, para demostrar que esta és ia que preside y cuál ha sido la Opinión nacional de España ac…</t>
  </si>
  <si>
    <t>…Derschawin. «»ta causa. Para sentencia. Providencia de visita: siga. Los nombres de los mejores autores rusos, como Dmitriece , KaramAntonio González, remitido por el juez tercero D. Luis dj¡ Zúñi- sin , Krilous, Schichkow y otros muchos que la sociedad cuenta en el ga en 2y de Noviembre de 1820 por desacato a la justicia, y haber número de sus individuos , inspiran la mas fundada esperanza sobre los atropellado con armas una patrulla. Estado…</t>
  </si>
  <si>
    <t>…ón; y resultaron de ella algu ta causa de la Nación-, cupo en suerte del primer extracto de lá de este nos heridos y varias prisiones. día á Doña María del Carmen Autetas, hija de D. Luis, capitán de caballería de voluntarios de Madrid , muerto en el campo del honor. Continúa la lista de los suscriptores á la empresa del empréstito nacio nal desde el ay del corriente hasta hoy. D. Andrés Cantero.' D. Josef Abajo y Manzano. ' Se han recibido pe…</t>
  </si>
  <si>
    <t>…rrión'á D. Julián Bringas : para el de Cer'vera fuese provincia ó nó lo fuese, mientras no viese que por las Cortes se de Pisuerga á D. Victoriano Escribano: para el de Saldaría á D. Luis hubiesen aprobado algunas bases, como la de extensión, población &amp;c., Antonio del Campo; y para el de Reinosa á D. Pedro Diez. á las cuales se hubiese contraído k comisión. En lá provincia de Santander: para el juzgado de la Capital á Don El Sr. Rovirá manife…</t>
  </si>
  <si>
    <t>…ntería y artillería de Ma parroquianos de la expresada de Sta. María Magdalena; presidido por rina se refundirán en uno solo, instruido igualmente eh el manejo] del. su lu-.ninero D. Luis La puente, y-autorizado por mi el infrascrito es cañón y demas piezas de artillería que en el del fusil y evoluciones cribano secretario, para tratar sobre la ninguna intervdncion que han militares.” Aprobado. tenido los individuos de la misma parroquia en ias o…</t>
  </si>
  <si>
    <t>Luis, Miguel</t>
  </si>
  <si>
    <t>Miguel Luis</t>
  </si>
  <si>
    <t>…io de Monner, hacendado de Itona. Balaguer D- Ramón de Sisear mo también si faltaren alguno ó algunos en las horas señaladas, sin que y de Calderón, hacendado de Agramunt. Tortora D. Miguel Luis de por ello se suspenda la lectura, y quedando responsable el que faltare Septien , hacendado de Horta. Falcet &gt;D. Jaime de Osó , hacendado de de la indefensión que puede resultar. Vinebra. Olot D. Bruno Bret, arcipreste de Ja colegiata de S. Juan de Art. 2.0…</t>
  </si>
  <si>
    <t>Luis, Ramón</t>
  </si>
  <si>
    <t>Ramón Luis</t>
  </si>
  <si>
    <t>…-persona y recomendables /.otro los portadores de ias órdenés de:exoneracioo á;sus respetivo» an circunstancias, estaba ,resuelto con todos sus oficiales á;impedir conti tecesores D. Ramón Luis de ;Escóvedo * y D. Manuel -de 'Velasen, núase su marcha á Cádiz, y á sostener á toda, costa ¡el. régimen consti mientras que Escovedo en oficio del 17 dió parte al Gobierno 'dé que tucional. De este suceso dió parte elbaron de Andida albrigadier Jáu aquella…</t>
  </si>
  <si>
    <t>…nta consecuencia; y aun á pesar ds cha representación , porque parece que ha sido remitida particularmen todo no puede menos de decir francamente que todavía es preciso con te por D. Ramón Luis fiscovedo, según su oficio de 17 del corriente. siderar sus trabajos como desempeñados con la mayor premura. Mas i pesar de esto, visto el objeto á que se dirige, y calificando los La contestación dada por las Cortes al mensage del Rey dió moti efectos de aqu…</t>
  </si>
  <si>
    <t>Lujan, Pedro</t>
  </si>
  <si>
    <t>Pedro Lujan</t>
  </si>
  <si>
    <t>…s varas, que ha habido ocasión en que ha quedado alguno de D. Manuel Monge, vecino de Plasencia. «líos muerto del golpe que ha recibido: el resto de la función consiste La Serena■ D. Pedro Lujan , vecino de Castuera. en la lucha de gladiadores, y en la de un enorme oso con varios perros . D. Juan-Antonio Donoso, vecino de Campanario. dogos ó de presa &amp;c. D. Tomas Martinez del Hortal, vecino de Cabeza del Buey,. Truj’llo. D. Josef Atocha. CORTES EXTRA…</t>
  </si>
  <si>
    <t>Lumbreras, Joaquín</t>
  </si>
  <si>
    <t>Joaquín Lumbreras</t>
  </si>
  <si>
    <t>…o pere de los fatales golpes que su comercio ha recibido. pietario en Illescas. D. Ramón Gil de la Cuadra. « La determinación que tome la Sublime Puerta, respecto de los Suplente. D. Joaquín Lumbreras, catedrático en Alcalá. créditos cuantiosos que tienen los europeos', contra los griegos que han Por la de Toledo. D. Gregorio Sanz de Villavieja, cura de la par emigrado , aunque existen aquí sus propiedades, decidirá de la mayor ó roquia de S. Josef de Madr…</t>
  </si>
  <si>
    <t>Lun</t>
  </si>
  <si>
    <t>…con 1 goo-: hombres , los que salió de Constantinopla el día zi, y trae las noticias siguientes, que cuales fueron rechazados, ha comunicado inmediatamente á nuestro gobernador el conde Lun— i..,.- . ,Pest¿fde:Aigosto. ... Se sabe con referencia á algunas cartas de Semlin que llegó unagefom - .... La escuadra turca, compuesta a principios de Julio dedos navios de caravana á Beigrad.trei 28 de Jubo con noticias de la ciudad de ñores, línea, tres…</t>
  </si>
  <si>
    <t>Luna, Fernando Diaz de</t>
  </si>
  <si>
    <t>Fernando Diaz de Luna</t>
  </si>
  <si>
    <t>…e. ANUNCIOS. Si nos hubiéramos de atener á lo que dice Mr. de Tott (tom. i.°, pág. 118) en punto á los disturbios suscitados por el patriarca Kirils, Se desea saber el paradero de D. Fernando Diaz de Luna, oficial cualquiera creería que los griegos están todavía imbuidos de aquellas de infantería; el cual habiendo pasado por ia ciudad de Murcia el año preocupaciones supersticiosas , que acaso fueron la principal causa de su 18ro , dejó sus poderes para que adm…</t>
  </si>
  <si>
    <t>LUNES</t>
  </si>
  <si>
    <t>Núm. 101. ( f cuartos.) 489 n&amp;m G ACE T A D E M A D R I D. LUNES 9 DE ABRIL DE i8ai. NOTICIAS IXTRANGERAS. la junta nacional, los ministros hacen el suyo. Carlos Alberto volverá á tomar aliento con vuestra concordia y resolución; el Rey Cárlos ' ITALIA. Félix os dará gracias algún dia por haberle conservado el trono, =5 Tu…</t>
  </si>
  <si>
    <t>Núm. 108. (7 cuartos.) 5=9 G ACETA D E M A D R I D. LUNES 16 DE ABRIL DE 1831. NOTICIAS EXTRANGERAS. de la nación y.los esfuerzos de nuestros compatriotas. El comandante tiene la gloria de haber sido un fiel intérprete de los sentimientos qué INGLATERRA. experimenta esta patriótica población, Ja cual no retrocederá…</t>
  </si>
  <si>
    <t>Núm. 129. O cuartos.) *53 ■fsmmmm. GA G E T A D E M A D R 1 D. LUNES 7 DE MAYO DE i8ai. NOTICIAS EXTRANGERAS. dividuos, del cuerpo legislativo, sino que serian ademas, malps cíudar danos. La nota de intolerancia recae igualmente sobre todas .las-comu- ■ INGLATERRA. . alones'religiosas» pues^todaspretenden estar en posesión tex…</t>
  </si>
  <si>
    <t>( ,. cuartos.) G,AC E TA DE M A D R 1 D. LUNES 24 DE SETIE'~1BRE DE 1821. NOTICIAS EXTRANGERAS. " El.Storthing ordínario acaba de c:e:rarse. Este es el tercero en orden, pero tal vt!1: el prunero por ~u escncia; pUl!'sto que nos ha p;H~ci;.. SUECIA. . do" que la feiicid~d Ó la milla de la patria d::p"ndia…</t>
  </si>
  <si>
    <t>Niim. góy. ( 14 cuirtcn.) 20 rg G A C E T A DE M A D R I D. LUNES 24 DE DICIEMBRE DE 1821. NOTICIAS EXTRANGERAS. do que se escondió para evitar las impertinencias dedas personas que que rían que se siguiesen los usos establecidos y quecumpliere con su deber. ACSTMA. 1 IKANCIA. Vierta 'jo de Noviembre. Se nota que desde la l…</t>
  </si>
  <si>
    <t>Luque, Juan</t>
  </si>
  <si>
    <t>Juan Luque</t>
  </si>
  <si>
    <t>…ro. La Rusia, Austria y Prusia parecen irsé preparando para grandes - D. Juan Ferrar. D. Aíiguel Balseira. acontecimientos: la apatía dé la Prusia se convierte en vigilancia, y po D. Juan Luque. Dona Teresa, Doña Josefa y ne en movimiento alguiias tropas. De la Rusia ya se decía haber entra D. Justo Josef de Binqueri. Doña Tomasa Ravasa. do efectivamente sus tropas en el territorio turco; haberse apoderado de D. Josef Martínez Moscoso. D. Teodoro de…</t>
  </si>
  <si>
    <t>Luque, Pedro</t>
  </si>
  <si>
    <t>Pedro Luque</t>
  </si>
  <si>
    <t>…Dominguez, Huerta, Torrens, conde de Toreno, Almudevar á D. Joaquin Ruiz Arechavaleta : para el de Cinco Villas Argaiz , Loizaga, Fraile, conde de Montenegro, Martínez de la Ro á D. Pedro Luque: para el de Jaca á D. Josef Pía y Puig; y para el de sa , Montoya, Freiré, Lecumberri , Clemencin., Cañedo, Ramos Gar Ainsa á D. Buenaventura Portóla. cía, Espiga, Martel, Vallejo , Valle, Ligarte (D. Agustín), San Juan, Dolarea, Torres, Rey , Ugarte QD. Gabr…</t>
  </si>
  <si>
    <t>Lus-</t>
  </si>
  <si>
    <t>…ré S y p si trasladó el féretro' á la iglesia, donde se colocó En un periódico de Nuremberg se lee el artículo siguiente: una guardia. A eso de la inedia noche entraron en elia el doctor Lus- n Si los griegos consiguen quebrantar sus cadenas, y elevarse á una hington , Mr. Wtide, lord Hood, Mr. Vassaíi, sir R. Wilson y el existencia libre é independiente , no es difícil prever que llegarán á ser aldenmn VVood , y los testamentarios hicieron clavar…</t>
  </si>
  <si>
    <t>Lusanta</t>
  </si>
  <si>
    <t>…incias, según el nuevo plan propuesto por la comisión; y después Destinada ya la mitad del diezmo al clero y al culto, y no teniendo de una discusión entre dicho Sr. diputado y el Sr. Lusanta, se aprobó el aquel otras fincas ni patrimonio dé que vivir, ¡cuál será su vigilancia dictamen. para cobrar lo que se le ha asignado: Y estando solo destinado para También se aprobó el de la ordinaria de Hacienda, relativo a la esto la mitad del diezmo, ¡quié…</t>
  </si>
  <si>
    <t>Lushington</t>
  </si>
  <si>
    <t>…l pa lo en la estufa; pero antes se pidió á los albaceas su aprobación; paso recer infundado, causó un fuerte descontento en el pueblo. que pareció indispensable. Uno de ellos, el doctor Lushington, con En uno délos últimos coches del acompañamiento iban Mr. Bailey testó dirigiéndose á sir Jorge Naylcr, rey de armas, y á Mr. Bailey, y dos sugetos que han de acompañar el cadáver á Brunswick, y asisti director del acompañamiento: rán á las últimas exequia…</t>
  </si>
  <si>
    <t>…guiente se debió sacar el cuerpo de Brandebourg House el lunes 13; entrar ei entierro en la ciudad. Luego que los soldados abandonaron el que atendiendo á las representaciones del doctor Lushington se habia combate de Drury-Lane prorumpió en vítores el pueblo, y enarboió retardado la ceremonia hasta el día siguiente; pero que desobedece un pendón , en que estaba escrito: Poder de ¡a opinión pública. ría al Rey si consintiese m lyores dilaciones &amp;c. Mien…</t>
  </si>
  <si>
    <t>Lúshingtón</t>
  </si>
  <si>
    <t>…ue estaba colgada de negro é iluminada, Todos ctan~ ingleses los te para defender el canal que divide á esta isla del continente. que llevaban el féretro. Se hallaban presentes ¿1 doctor Lúshingtón, lord Los ingleses han enviado nuevas -tropas á CefaloDÍa, y esto hizo y lady- HamiltodVy como otros sesenta-ingleses. Iba la corona Real de creer injustamente que .querían socorrer i ¿los turcos que: defienden el lante del féretro.en, una almohada de terciop…</t>
  </si>
  <si>
    <t>Lushmgton</t>
  </si>
  <si>
    <t>…este acontecimiento, y otro ai lord .idmouth, noticiándole lo ocurrido El Sr. Gu-rreiro desaprobó el que se excluyesen de ser diputados en la iglesia de Colchcstcr después que ei doctor Lushmgton, Mr. Wii- los regulares, y no los de las órdenes militares, cuando creía que eran de y otras personas pusieron sobre el féretro de la Reina la inscripción ' iguales, asi como también el que no entrasen en las elecciones los exque ella misma habia pedido: A la…</t>
  </si>
  <si>
    <t>Lustarria</t>
  </si>
  <si>
    <t>…de los años anteriores, que parece debe revisarse Sr. Yandiola que los instrumentos de física debían ser objeto de un nue antes de tratar del de este año. ........ vo dictamen. El Sr. Lustarria opinó que siendo los instrumentos de que se trata CORTES EXTRAORDINARIAS DEE AÑO DE 1821, ba interesantes para la instrucción pública , se la agraviaba con hacerles pagar derechos. PRESIDENCIA. DEi SEftOR CIEMENCIN. Habiéndose declarado el punto por suficient…</t>
  </si>
  <si>
    <t>Luxigo, Juan</t>
  </si>
  <si>
    <t>Juan Luxigo</t>
  </si>
  <si>
    <t>…tado pida que sea nominal, en cuyo huja y Mey: para -Piedrahita á D. -Pedro Remolí y Zalduendo; para caso decidirán las Cortes si lo ha de ser ó no. La que recaiga sobre Xedesma á D. Juan Luxigo de i’edrosa; para Vitigudino á D. Euge elección ó propuesta de personas se liara por escrutinio secreto. Ar nio Arizmendi; y para Be¡ar á D. Francisco de Paula Grande. tículo I i-j. Los secretarios para la vc-tacion de la primera ciase usarán Igualmente para…</t>
  </si>
  <si>
    <t>Luyando, Josef</t>
  </si>
  <si>
    <t>Josef Luyando</t>
  </si>
  <si>
    <t>…a Razón de los gastos de la marina militar, y reformas de que son sus y habilidad trasforman de mil modos las materias toscas: trabaja el ceptibles: memoria escrita por el Excnio. Sr. D. Josef Luyando; Vén uno recíprocamente para el otro los instrumentos y'utensilios que ne dese en el despacho de la imprenta Nacional; en el depósito de Mari cesita para su oficio, y se hace el cambio de estos objetos, sin que el na, calle de Alcalá, y en los departamentos-…</t>
  </si>
  <si>
    <t>Luzuriaga, Andrés Moya</t>
  </si>
  <si>
    <t>Andrés Moya Luzuriaga</t>
  </si>
  <si>
    <t>…a. que tienen á su cargo representar á sus conciudadanos. Cuanto mas au Parroquia de S. Millan, xy electores. gustas y mas sagradas son las funciones de.este cargo, cuanto mayores D. Andrés Moya Luzuriaga, D. Antonio Ruiz Rostriaga, Den virtudes se reconocen necesarias para ser árbitro de los destinos de una Fermín del Rio y de la Vega, D. Francisco Acebal y Arratia, D. Fran patria adorada, tanto mas repugna á sus comitentes el haber de desnu cisco Fernandez,…</t>
  </si>
  <si>
    <t>…corte. sas para que avancen ; que el Emperador recorrerla los tres egércitos que tiene contra los turcos, y que el conde Wlttgensrein, que es el quo D. Juan Antomo Castejon, abo- D. Andrés Moya Luzuriaga, gefe debe dirigirse costeando el mar Negro sobre Constantinopla, se acerca gado. de la dirección del fomento ge- mas A las fronteras turcas. D. JosefPio Molina , hacendado.. neral del reino. Austria. Apuros y mas apuros. La civilización se extiende por to D.…</t>
  </si>
  <si>
    <t>M, Jo S.</t>
  </si>
  <si>
    <t>Jo S. M</t>
  </si>
  <si>
    <t>…cialmente el comandante de la división á los seño han experimentado en la Península, y. se repiten en el presente año; res D. Joaquín Somoza , D. Jaime Prito, D. Antonio Vázquez , D. Jo S. M. ha tenido á bien mandar que V. S. recuerde de continuo á las sef de la Torre, D. Hilario Nogueras, D. Frar cisco Balct, D. Cipria autoridades dependientes de ese gobierno político de su cargo la urgente no Aragón, D. Josef Soiano, D. Josef María Salomón, D. J…</t>
  </si>
  <si>
    <t>M, Josef María Quirós y</t>
  </si>
  <si>
    <t>Josef María Quirós y M</t>
  </si>
  <si>
    <t>…os pueblos de Saltipeque, Sácala, ga su dictamen en materia tan interesante. ChiquimuJas y Goaral ; eíi Goatemala, se les conceda al primero el tí Entró á jurar, y tomó asiento el Sr. D. Josef María Quirós y M¡tulo, deciudad, y: á los otros tres el de villa. . Tlan, diputado por la provincia de Sonora y Sinaloa. : Se leyó una adición del Sr. Silves al art. z.°'de señoríos, que decía Se Je leyó el siguiente dictamen de la comisión de Fuerza armada. asi: Que á las pa…</t>
  </si>
  <si>
    <t>M, Mar de S.</t>
  </si>
  <si>
    <t>Mar de S. M</t>
  </si>
  <si>
    <t>…r 67: r 1 el Sr. Govantes por 70: 12 el Sr. Va- se suspendió con motivo de tenerse que Jeér la contestación al discurso dillo por 72: 13 el Sr, Lorenzana por &lt;52: 14 el Sr. López (D. Mar de S. M. , y concluida esta se siguió leyendo la precitada memoria. cial) por 79: 15 el Sr. San-Miguel por Ó9: 16 el Sr. Marín. Titule Concluida la lectura dijo el Sr. presidente,-que las Cortes cuidaban</t>
  </si>
  <si>
    <t>M, San S.</t>
  </si>
  <si>
    <t>San S. M</t>
  </si>
  <si>
    <t>…fort hablan hecho un movimiento , que indicaba 511 Lie ja y Aquisgran para ir á Alemania. Antes de salir de aquí compró intención de cortar las comunicaciones de las tropas que el general San S. M . magníficos encajes de Bruselas, que como todos saben están pro martín habia dejado en Haunra con Armales y Pisco. Todo el terr-tohibidos severamente en Inglaterra, y algunos otros arlículos de curiosi rio que separa á Buenos-Aires de Chile está infestado de…</t>
  </si>
  <si>
    <t>M, V.</t>
  </si>
  <si>
    <t>V. M</t>
  </si>
  <si>
    <t>…demas de despedir con cuya vida euarde Dios muchos años. Tarragona 9 de Mayo de 182i.cn preferencia á los mas antiguos cumplidos én cada clase , según previene Señor. = Á L. R. B. D. V. M. él citado artículo 37 , se aplicará esta preferencia á los individuos qué » El coronel.Antonio Bray.=Los capitanes Manuel deBances , Ma pertenezcan á un mismo pueblo , -provincia ó departamento de donde nuel Hedrada, Josef Toyos , Josef Palacio , Miguel Kray,…</t>
  </si>
  <si>
    <t>M-artel</t>
  </si>
  <si>
    <t>…las funciones del presidens'ejerós- de -Estado embajadores y genérales *, ” pero habiéndole hecho¡ te;en&lt;U.ausencia ó enfermedad •, y en defecto de ambos , hará de pre presente el Sr. M-artel que ahora solo se trataba de los concurrentes á sidente el primer mes el secretario mas antiguo , y en los demas el lás galerías ;• y que-nada se prevenía en el artículo en que se trataba presidente anterior. - . •.. .. de las tribunas, la retiró su autor. ;…</t>
  </si>
  <si>
    <t>M., A.</t>
  </si>
  <si>
    <t>A. M.</t>
  </si>
  <si>
    <t>…á Selenópolis , corte desconocida de los habitan que los nuestros son excelentes y baratos , y en lugar de aumentar aquel tes de la tierra , escrito por el mismo, y publicado p~r D. A. M. y E.: consumo se disminuirá. Asi que lo que se quiere es que no sea una un tomo en 8. : su-precio 8 rs. en. pasta, be hallará en la librería de prohib eion absoluta: no porque sea útil á los franceses , s no poique Hurtado. no sacaríamos de este modo la reciprocid…</t>
  </si>
  <si>
    <t>M., S.</t>
  </si>
  <si>
    <t>S. M.</t>
  </si>
  <si>
    <t>…reforma en el método de su enseñanza, escrito en francés menos porción de esa población industrial y tan poco industriosa, sin por P. J. G. Cabanis, y traducido al castellano por D. S. M. En esta trabajo y sin pan á la primera crisis política ó mercantil que obstruye obra encontrarán los profesores un cuadro perfectamente trazado de la salida de sus productos, ó detiene la introducción de las primeras los progresos que ha ido haciendo el arte de…</t>
  </si>
  <si>
    <t>Ma</t>
  </si>
  <si>
    <t>…. se había digna de Priego á D, Francisco Manes: para el de Buenache á do manifestarle sus deseos de que conservase su empleo; en D, Juaa Gabaidon Tendero, y para el de Tarazona á D. Ma cuya consecuencia, como no era del- mismo parecer que-sus' nuel Esteban Balmaseda. colegas, respecto al bilí de penas y multas contra la Reina, se fue ai continente. A su vuelta no estaba aun definitiva KUM. I 5.mente concluido el proceso; y aunque diferia de…</t>
  </si>
  <si>
    <t>…Manifestó en primer lugar que no se trataba, solamente Oporto 14 de Enera. de cubrir con exactitud las obligaciones del Estado como L -Copia de.una.carra escrita á la Excma. Sra. Doña Ma se había hecho .en tiempos de mas escasez , sino de que sa- ría Rita de Sampayo da Cunha y Castro por el casero de risfechos con amplitud todos los presupuestos quedase todavía su quinta de Marrocos. sobrante una suma considerable que sirviese de primer recur…</t>
  </si>
  <si>
    <t>…ocas -ho lia: para la de Mataró á D. Gaspar Borraz: para la de Fo jas. Al tratar de cada edificio público refiere las circuns gueras á D.' Josef Porret: para la de Santa Colonia á D. Ma tancias relativas á su fundación , y las anécdotas ó aconte nuel María Cabrera Ruiz : para la de La Bisbal á D. J uan cimientos históricos que tienen relación con ella. En gene Antonio Perez. ral la lectura de esta obrita es interesante aun para el hom bre in…</t>
  </si>
  <si>
    <t>…final se dijo una ora sidente al Sr. D. Antonio Cano Manuel, diputado por la ción fúnebre por un dominico constitucional en elogio de provincia de furcia; para vice-presidente al Sr. D. Ma las virtudes cívicas de aquellos ilustres difuntos. Vueltos nuel de la Bodega, que lo es por la de Lima; y para se los huesos al carro se les dio sepultura en el común ce cretarios 4 los infrascritos que Jo somos’ respectivamente menterio de la puerta de S. V…</t>
  </si>
  <si>
    <t>…an Veirer, de El tribunal especial de Guerra y Marina ha mandado se ci id. En Cuenca en la de D. Valentín Mariana, librero. En te y emplace por medio de la . gaceta del-Gobierno á Doña Ma ría Campani, viuda de D. Ramón Compani, vecino que fue Belmonie en la de D. Rufino Crespo, del comercio. En dé la ciudad de Palma, en la isla de Mallorca , para que dentro Plasencia en la de D. Antonio Monredon y Acevedo, boti del término de 40 dias precisos…</t>
  </si>
  <si>
    <t>…Paula Maestre, .vecino de Priego, solicitando reba ja 4. * Que estas resoluciones se comunicarán á los legos católicos ro de unos arriendos de diezmos; otra de D. Fermín Arnedo y'D. Ma manos del condado de Limerick, nuel Palomeda, pira que se. les paguen por el tesoro público ciertos Es bastante probable que el segundo i/W, llamado técnicamente bilí sueldos que-acreditan :estárseles debiendo; otra de-Dofia Elena Prieto, de relaciones con Ro…</t>
  </si>
  <si>
    <t>…iudad la universidad que manente.”, actualmente se halla. El Sr. Sánchez Salvador pidió se leyese el voto contrario que hizo A l is de Comercio y Hacienda unidas una exposición de D. Ma acerca de este artículo y Tos. 12 y 13, sobre lo cual leyó también al nuel Mores y compañía, pidiendo se Ies despachen, según los antiguos gunas observaciones el.Sr. ministro de la Guerra; y después de algunas aranceles, algunos efectos que les han venido de…</t>
  </si>
  <si>
    <t>…de la tarde, por los cuales aparecía estar los ánimos dijo que no habia que teme- fue con relación á una iunta de que se muy poco tranquilos con motivo de la sentencia dada contra D. Ma trataba , v que se di¡o existir en Madrid: que "el Gobierno en roda* tías Vinuesa; pero que se creia no podia haber tumulto alguno hasta las maquinaciones habia tomado providencias , aconsejándole antes del por la noche, y que para entonces podrían tomarse op…</t>
  </si>
  <si>
    <t>…ose antes razón de sus arregle á las órdenes vigentes. nombres , apellidos, oficio qtle tengan ó modo de vivir , la cual se El de la de Hacienda á consecuencia de la exposición de D. Ma extenderá por duplicado , quedando tina copia en el ayuntamiento del nuel Perez, vecino de Arabaca, eti esta provincia, para quei sele perdo pueblo de su origen, y lá otfá en la secretaría del Gefe político de la nase cierta cantidad que está debiendo á la Ha…</t>
  </si>
  <si>
    <t>…nsura de Paris, y el las luces, léase á las luces. s ¡encio de aquel Gobierno. En el número de 27 de Abril no tuvo re ofr v. En la gaceta de ayer , col. 3.a, K7V. -55 , donde dice D. Ma paro en hab ar de un tribunal revolucionario én Esp ftá, ni de citar nuel de Meno, icase D. Manuel de Tena. _^_En la misma columna, lí con este motivo á los monstruos que dishonraron la Francia, Robespier- nea Ó7 , ‘donde dice D. Manuel Peña, léase £&gt;. Manuel…</t>
  </si>
  <si>
    <t>…tismo por la persecución del contrabando. La noche del 19 ante el cuerpo examinador, que en cada uno de los lugares en que ha del corriente varios individuos de ella, al mando del capitán D. Ma ya universidad de tercera enseñanza nombren todos los años las corres nad Perez y del teniente D. Francisco de Paula Puche, verificaron una pondientes subdirecciones de Lima y México.” ; aprehensión ; y esperamos que si coutinúan las medidas que se adoptan, E…</t>
  </si>
  <si>
    <t>…a vigilancia de la justicia. Se absuelve a D. vlanuel » Al mismo tiempo encargó el divan á los labradores de los distri de Landaida, D. Claudio Santos de Eguia, Josef de Uriarte y D. Ma tos de la Moldavia, en donde se hallan soldados del príncipe Ipsilanti, nuel Cayetano de Abasólo,.y se declara que la prisión que han sufrido que los persiguiesen en el caso que se hallasen todavía en su territo no debe ofender á su opinión. Se multa a D. Jua…</t>
  </si>
  <si>
    <t>…magistrado togado honorario , juez interino de pri »&gt; Las Cortes se han enterado del oficio de V. E. de 19 del actual mera instancia en ella, y escribano cartulario de su juzgado D. Ma acerca de si el tesorero general D. Antonio Martinez ha de continuar en nuel López de Ribas, se ha acordado entre otras cosas citar y empla el egercicio de sus funciones el próximo ano económico, por no poder zar, como se hace por el presente, á todos los acr…</t>
  </si>
  <si>
    <t>…a total ascendía á un dir Jas amias. millón y 700© cruzados. El barón Cuvier, comisario delRey, tomó la palabra , y rebatió El Sr. Sarmentó se opuso á la asignación de la Princesa Doña Ma completamente todos los sofismas de los enemigos de la enseñanza mu ría Teresa, respecto á que habiéndose casado con un infante de España tua : hizo ver que en la distribución de los fondos, destinados á fomen no pertenecía á Portugal: que con respecto al Sr.…</t>
  </si>
  <si>
    <t>…Antonio Ribeiro da Costa, .diputados secretarios. la mitad; cuando no hiciese entrar ias bellas artes mas que por la cen __ En la sesión del 5 hizo la siguiente proposición el Sr. diputado Ma tésima parte de las sumas que se calcula traen aqui los extrangeros , re rino Miguel Francini : sultaría que aquellas dan trias producto á la Francia que lo que esta pa ” Los felices acontecimientos del día 4 de Julio quedarán entera ga para su fomento. Obser…</t>
  </si>
  <si>
    <t>…D. Francisco de Paula Martinez Aibea, en Guadix D. An púbiiéa.subasta, con intervención de los contadores, las fincas que no tonio Tuque, en Muesca D. Francisco Domenech, en Ibiza D. Ma lo estuvieren, cuyo arrendamiento no tendrá validación sinla compe riano Ramón de Arabi, en Jaca D. Gerónimo Roca-Tallada, en Jaén tente aprobación de la junta. D. Sebastian Vicente .García, en león el marques de Monte-Virgen, 1:2. Si existiesen algunas finca…</t>
  </si>
  <si>
    <t>…; y condenó á dicho Sr! Cepero en todas las cos jamas han existido mayores. La división del disidente Bermudez apare tas de esta causa á justa tasación y regulación; y al impresor D. Ma ció en los pueblos situados entre las dificiles montañas al oriente de Ca nuel Carrera, por haber faltado al artículo 28 de la ley de libertad de racas, inmediatamente que pasaron los dias prescritos por él armisticio imprenta, le condenó en 50 ducados de mul…</t>
  </si>
  <si>
    <t>…rior...... entrados ó acome Partido de Ocaña. tidos .... salidos ó curados ...... convalecientes ....... muertos .... exis D. Pedro Alcántara Sanz, cura párroco de Villasequilla ; D. Ma tentes ..... nuel Ventura Martínez Aedo , vecino de Estrcmera; D. Victoriano Ciudad, existencia anterior 298: entrados ó acometidos 17: salidos Gómez y López de la Fuente, presbítero , vecino de Colmenar de Ore ó curados 11 : convalecientes 24: muertos 8: exi…</t>
  </si>
  <si>
    <t>…rancesas. Todo tene voluntad á continuar el servicio. dor de medios luises debería acudir á tesorería,y allí se le daría el mis Las Cortes quedaron enteradas de una exposición del Sr. D. Ma mo número en monedas corrientes. Para esto no se necesitaba un gran nuel de la Bodega , en la que manifestaba que habiendo llegado la se repuesto de dinero. mana pasada á Madrid , pensó presentarse inmediatamente en el Con Después paraque la tesorería no perd…</t>
  </si>
  <si>
    <t>…es de Jos patronatos laicales fundados por Doña Leonor de dictan, sujetándose á las fórmulas constitucionales, es lo mismo que Reina, Dona Elvira García Hidalgo, Doña Teresa Lobo, Doña Ma empeñarse en hacer compatible el amor á la Consiitucion con el que ría Lobo y Alonso Fernandez Lobo, se dividan entre los parientes que brantamiento de su art. 7.0, en que está consignado uno de los princi acrediten serlo legítimanente de los fundadores, con…</t>
  </si>
  <si>
    <t>…delinquen á pretexto de serles sospechosos ; la ley da de pesos fuertes serán dobles en las provincias de Ultramar; pero absolvió á D- Juan María Caldera , D. Manuel de la Rocha, D. Ma no las que consistan en un tanto por ciento, ó en cantidad relativa al nuel Al varado y D. Julián de Lima , editores responsables de dicho impute d.l daño ó del objeto en que consista e'l delito.” impreso. E Sr. Moreno dijo que el ser dobles las penas pecunia…</t>
  </si>
  <si>
    <t>Ma, Anselmo de Vierna y</t>
  </si>
  <si>
    <t>Anselmo de Vierna y Ma</t>
  </si>
  <si>
    <t>…iempos las soberbias armadas de Corinto para ir á fundar Siracusi, ■temala. , Corcira y otras muchas colonias. Sin embargo esta proximidad de las Asimismo se -há servido nombrar á D. Anselmo de Vierna y Ma costas origina el inconveniente de que se puede invadir fácilmente el zo , magistrado electo de la audiencia de Caracas , para la magistratura Peloponeso haciendo una travesía rápida. Los etolios, ladrones famo con que debe completarse la de Cuba, . sos de la…</t>
  </si>
  <si>
    <t>Ma, Francisco</t>
  </si>
  <si>
    <t>Francisco Ma</t>
  </si>
  <si>
    <t>…de Poderes, relativo á que podían aprobarse los de los se amonos el parabién de tener en nuestro seno un respetable eclesiástico ñores D. Luciano Castoreña , diputado por México ; D. Francisco Ma que tanto nos honra. Grabemos su memoria con caracteres indelebles ría Ramírez por Oajaca , y D. Tomas Arguello por la de Nicaragua.para que viva eternamente.Dichoso yo si con este elogio logro estimu El de la segunda de Legislación sobre la solicitud de D. M…</t>
  </si>
  <si>
    <t>Ma, Josef</t>
  </si>
  <si>
    <t>Josef Ma</t>
  </si>
  <si>
    <t>…son las de Sevilla, Córdoba, Murcia, Valencia, Gcbl. rno. Zaragoza, Toledo, Cuenca y Santiago; pero al mismo tiempo es nece Ei de la de Hacienda, con respecto á la queja qtie dió D. Josef Ma sario ver cómo están Jas demas de la Península. ría Sánchez contra el intendente honorario de egército y efectivo de Dice la comisión en la pág. 1 2 que se lisonjea haber conciliado Granada D.Manuel de Inca Yupangui, opinaba que en atención de no todos los in…</t>
  </si>
  <si>
    <t>…Chico, Mora ( D. Ignacio), Aguirre, Lasiarria , Paul, Quio, Ló I.'1 Habrá tres secciones de Cortes en América , una en la Septen pez. Constante, Hermosüla» Pierola , Moya, Moreno (D. Josef Ma trional y dos en la Meridional: ¡a primera se compondrá de los diputa riano), López (D. Patricio), García Sosa, Sanjuan , conde de Alcados de toda la Nueva-España, inclusas las provincias internas v Goa- raz , Lallave (D. Pablo) y Ramos Arispe. temala: ias do…</t>
  </si>
  <si>
    <t>Ma, Juan</t>
  </si>
  <si>
    <t>Juan Ma</t>
  </si>
  <si>
    <t>…esta isla D. Nicolás Mahi. Luego que S. E. puso el pie tual , ha recibido de la provincial de sanidad el oficio que sigue: en el muelle, sobre el cual le esperaban ya su antecesor D. Juan Ma » Con motivo de la llegada á Malta del bergantín maltes la Cons nuel Cagigal y el ayuntamiento "de la ciudad, se dirigió al inmenso gentío tancia , procedente de Alejandría, habiendo muerto en la travesía tres de todas ciases que se había reunido para verle d…</t>
  </si>
  <si>
    <t>Ma, Juan Félix</t>
  </si>
  <si>
    <t>Juan Félix Ma</t>
  </si>
  <si>
    <t>…en poder del promotor fiscal con traslado. Providencia de visita: siga. de los griegos, con quienes no tienen relación alguna. Asi es que mas Manuel Montes, remitido por el mismo juez D. Juan Félix Ma de 400 de ellos habian abandonado ya las Banderas de Teodoro. ruri en 27 de Octubre de 1820 por haberle levantado la mano á ua » Los boyardos que se hallaban en Bucharest habían formado una hombre bueno, y ser desertor de presidio. Estado de esta causa. El de…</t>
  </si>
  <si>
    <t>Ma, Manuel</t>
  </si>
  <si>
    <t>Manuel Ma</t>
  </si>
  <si>
    <t>….zz D. Manuel Fansarte. = D.‘ Vicente Gracia. = D. Manuel siguientes: 1«L-a fuerza de este cuerpo será la que se estime necesaria Pascual.zrzD. Mariano Ferrcr.zzD. Pedro Milian.zz D. Manuel Ma para las atenciones de Ja armada; y i.u El Gobierno presentará los re ría.zrD. Mariano Andreo.zzD. Antonio Martin. = D. Gabriel Pé glamentos para la organización particular de este cuerpo, asi comó.parez, zz D. Mariano I’uyol.zzD. Josef Rubia. zzD. Julián Irr…</t>
  </si>
  <si>
    <t>…Josef de Madrid. D Ramón Luis Escovedo, gefe político menor pérdida de estas factorías. Entretanto se ve que el Gobierno de de Sevilla. D. Francisco Benito, capitán de ingenieros. D. Manuel Ma poniendo el rigor, se inclina ál partido de la clemencia, como lo de ría iaez de Buruaga, abogado y cura de Calera. D Francisco BlSs Gamuestran los firmanes que se expiden continuamente á las escalas, re roz, abogado y hacendado de Yébenes de Toledo. comendan…</t>
  </si>
  <si>
    <t>Ma, Pedro</t>
  </si>
  <si>
    <t>Pedro Ma</t>
  </si>
  <si>
    <t>…primera vez el de las comisiones reunidas de Agricul los votos particulares de los Sres. Cabalen, Si I ves, Ramos ^García, Le- tura, Hacienda y Comercio acerca de la solicitud de D. Pedro Ma cumberri, Cabrera ,Carrasco, Larribay Ugarte (D. Gabriel) &gt; contra nuel Folgueras sobre que se le perdonasen ciertos derechos que debia rios á la aprobación de los artículos 3. y 4.0 del plan de Hacienda, y satisfacer según la ordenanza de minas del año 84, y…</t>
  </si>
  <si>
    <t>Ma, Tomas</t>
  </si>
  <si>
    <t>Tomas Ma</t>
  </si>
  <si>
    <t>…zgado de primera instancia de esta M. H. villa del Sr. Don cia sin haber olvidado nada y sin haber aprendido nada, para impug Julián de Sojo, y escriban a de número de la misma de D. Tomas Ma nar las ideas liberales ó ponerlas en ridículo, estas no han podido me ría Manrique, pende la dimisión de bienes hecha por D. Francisco nos de cundir por todos los pueblos cultos de la Europa , tomando el Ameller, vecino y d i comercio de esta corte, en la qu…</t>
  </si>
  <si>
    <t>Ma-, Nicolás</t>
  </si>
  <si>
    <t>Nicolás Ma-</t>
  </si>
  <si>
    <t>…s propia’para la inspara la segunda á D. Josef Mariano Márquez: para la ter ■ truccion de los niños próximos á la adolescencia. En 18 04 cera á D. Josef Esteve; y para la cuarta á D. Nicolás Ma- publicó el á Family tour througk the British empire , viage latesta y Mayor: para la de Tarrasa á D. Juan Barata: para ae una familia por la Gran Bretaña, y fue tan bien recibido la de Gerona á D. Francisco Juan Cantarella: para la de como la obra antecedente…</t>
  </si>
  <si>
    <t>Mac-</t>
  </si>
  <si>
    <t>…tanto el,noble lord habia pedido la pala instantes. bra para hacer públicos los verdaderos sentimientos de ¡a nación , dis Esta proposición , que fue apoyada vigorosamente por el Sr. Mac- cutiendo a! mismo tiempo los principios proclamados por los aliados chiaroli, pasó á la comisión extraordinaria para que informase con y los resultados de.su conducta. En primer lugar descubre muy pacas urgencia. . . esperanzas de libertad en los principios m…</t>
  </si>
  <si>
    <t>Mac-Crukon, Juan</t>
  </si>
  <si>
    <t>Juan Mac-Crukon</t>
  </si>
  <si>
    <t>…-; en-¡¡I concepto de-que nota. En la gaceta del 22, col. 3.1, lín. 37, donledice .D. Juan con .cita fecha lo.traslada ai'.Kc obispo ele la .diócesis y al gobernador Lacran, léase D. Juan Mac-Crukon, SUPLEMENTO</t>
  </si>
  <si>
    <t>Mac-Mahon, Diego</t>
  </si>
  <si>
    <t>Diego Mac-Mahon</t>
  </si>
  <si>
    <t>…z de Elias, D. Juan Nepomuceno Escurdia, de sobresalga en conocimientos del catecismo político. de Cádiz. la Coruña. Se adjudicarán seis premios de 60 rs. vn. cada uno en la forma D. Diego Mac-Mahon, de Bilbao. T&gt;. Juan Francisco Barrie, id. siguiente : D. Dionisio Antonio de Ariz- D. Juan Tomas de Iturralde, de Uno al alumno mas instruido en gramática castellana de-todas las mendi, de S. Sebastian. Pamplona. escuelas de esta ciudad. D. Domingo Hilario d…</t>
  </si>
  <si>
    <t>Macar</t>
  </si>
  <si>
    <t>…se previene en el artículo anterior Se suscitó una breve discusión sobre si deberían ó no presentarse para las ordinarias. impresas las memorias de los ministros, como proponía el Sr. Macar if</t>
  </si>
  <si>
    <t>Macchiaroli</t>
  </si>
  <si>
    <t>…^ S. M. en los condados, sabrá la nación qué valor debe dar juntamente con su compañero, y se empezó la discusión. á las exposiciones que tengan por objeto el restablecimiento El Sr. Macchiaroli pronuncio un largo discurso, en el del nombre de S. M. en la. liturgia. cual examinó las ilegalidades del mensage; sentó que había ----Mr. Rothschild , principal de la casa de comercio de este una conspiración contra la Constitución, y concluyo vo nombre, y c…</t>
  </si>
  <si>
    <t>…y no ha podido ver sin extrañeso el ministro de la Guerra para la compra de caballos, y los que pro . za que se haya dicho en este documento que semejantes principios sean puso el Sr. Macchiaroli para hacer en cuatro dias 80$) capotes y 8o9 también los de la Gran Bretaña, aunque ciertos motivos particulares pares de zapatos. le impedian el adoptar las demas resoluciones de los aliados. Se leveron en seguida las peticiones de los alumnos de la escuela…</t>
  </si>
  <si>
    <t>Macedo</t>
  </si>
  <si>
    <t>…ronel-de caballería D. Amonio Sierra, pacho , sobre esta reunión, que se había intentado yaco otra ocasión. para que se le admita á un hijo suvo en el seminario de Vertirá , en El Sr. Macedo propuso que no se incluyesen en ei plan lo, estable- atención á los muchos servicios que tiene hechos á la p;’.:r:a. A la comisión -de TiiUticCione» de Constitución- cou urgencia sa' e TivCiitC'S tic cundid o } v apiujuj* .</t>
  </si>
  <si>
    <t>…larmente respecto á los ni sotros. ) ños expósitos, con grave perjuicio de la población y de la humanidad; ..Nuestras sesiones, prosiguió el orador, son como representaciones y el Sr. Macedo dijo que era preciso dar iguales providencias para las teatrales; se pregunta de antemano quiénes son los diputados que ha casas de Coimbra y demas del reino; se acordó que pasase á las comi blan , de la misma manera que se procura saber en el teatro quiénes…</t>
  </si>
  <si>
    <t>…disturbio. justicia, ó dejase su destino; y que como ya no estaba en él, nada ha Los alborotos en Junio de 1H10 , .a agitación militar del mes de Agos bia que exigir; y aunque el Sr. Macedo manifestó que de la conclusión to siguiente, /a conspiración del Este; todo esto ha sucedido duranto 7 decisión de las Cortes sobre este asunto pendía la justificación del ex-</t>
  </si>
  <si>
    <t>…convocación dirigida á todo el territorio portugués.” respeto , ha salido magullado de pies á cabeza: tantas fueron las pie Se leyó después el art.' 33 . respecto deL cual dijo el Sr. Macedo que dras y ladrillos que llovieron sobre éi. (Star.) no podia recaer resolución hasta que se aprobasen los artículos qu« Idem iS. habían vuelto á ia comisión, pues en ellos se fijaban los derechos La conmoción del martes dio lugar á que hubiese un consejo pri…</t>
  </si>
  <si>
    <t>Machado</t>
  </si>
  <si>
    <t>…ñas del título 4.0; y no pudiendo pagar esta, en doblado tiempo, alto Duero; y considerándose urgente, se acordó que á la de aquella. segunda lectura se discutiese. VARIEDADES. El Sr. Machado hizo dos proposiciones: r.a Qué se; proceda á la venta de algunos bienes nacionales á papel- Continúa el artículo anterior. moneda para ir amortizando la deuda pública. 2.'1 Que para Habiendo empleado una hora en estas operaciones, me perpetuar la memoria de…</t>
  </si>
  <si>
    <t>…aciones, como habia he Aun podría continuar esta relación: podría mostraros la religión cho con el de España, tanto mas poderosa, cuanto mas pobre bajo los furores de la conven El Sr. Machado presentó un proyecto sobre dispensas en diversos ción y bajo las vejaciones del directorio; y por el contrario podría grados de parentesco para contraer matrimonio. mostrárosla perdiendo mucha parte de su influjo y de su poder cuando El Sr. Borges Carneiro le…</t>
  </si>
  <si>
    <t>Machado, Juan Ferrera y</t>
  </si>
  <si>
    <t>Juan Ferrera y Machado</t>
  </si>
  <si>
    <t>…enido por una bomba, que bledo y Aivarez; para el de Laguna á D.. Josef Antonio Morales ; pa apoyará en un zócalo proporcionado, todo en la forma que manifiesta ra el de Ürotava á D. Juan Ferrera y Machado; para el de Garachico el modelo presentado por el Gobierno. Eí león estará de pie , asegu á D. Manuel Díaz de Arce y,Revuelta; para el de Granadilla á Don rando con la garra derecha la parte superior del 1 bro de la Constitu Josef Diez Bermudo, y para el de f…</t>
  </si>
  <si>
    <t>Machado, Serpa</t>
  </si>
  <si>
    <t>Serpa Machado</t>
  </si>
  <si>
    <t>…acto el que tan ardientemente hizo á-.prié estos manifestasen que se necesitaban tropas, podrían enviarse. meros del -Marzo restaurador. Acabada la ceremonia salió el batallón El Sr. Serpa Machado, hizo ver que aunque á su entender no había hacia la‘plaza de la Constitución, en donde su bizarro comandante les en Rio-Janeiro deserciones, porque todos sé habían apresurado volun arengó en los términos mas enérgicos. Se vitoreó la Constitución -,1a tariame…</t>
  </si>
  <si>
    <t>Machiaioli</t>
  </si>
  <si>
    <t>…el Príncipe de Salerno saldría á reunirse con el Rey; y que en Sáleme hechos en ¡os cuales no se sabia qué pena imponer; tal habia sido la habia sido sacrificado por el pueblo el diputado Machiaioli. be publi queja dada contra el juez de primera instancia de Zamora por haber ca una proclama del duque de Calabria con la carta de su augusto pa tomado declaración a un reo bajo juramento inadvertidamente; por dre del 19 en Florencia acerca de la situación de…</t>
  </si>
  <si>
    <t>Machiaroli</t>
  </si>
  <si>
    <t>…Campocc’niaro . y este ex9I faldamento decretó á unanimidad de votos que se les su mini-ui'o entró en el salón mostrando la mavor serenidad. ministrasen forrages sin tardanza. El Sr. Machiaroli propul Leyó un manuscrito, en que probo que no tuvo parte algu so que se pidiese cuenta al ministro de la Jus.ieia del re na en el men-rge inconstitucional ; en seguida biso ir.v.t ex sultado de las pesquisas que debían haberse hecho sobre las posición ingenu…</t>
  </si>
  <si>
    <t>Mackinnon, Reinaldo</t>
  </si>
  <si>
    <t>Reinaldo Mackinnon</t>
  </si>
  <si>
    <t>…Contemplaciones sobre la noche. Conr mplaciones sobre los ciclo-; es el señalado para el primero el sábado, y para el segundo el domingo. trellados : traducidas al castellano por D. Reinaldo Mackinnon , pro fesor de idiomas modernos, tx-catedrltico dél colegio de Yergau, é VARIEDADES. individuo de número de la sociedad económica matritense. Esta obra amena y sublime, que en Inglaterra ha tenido ya cerca de 40 grandes En el resumen de la población de Turquí…</t>
  </si>
  <si>
    <t>Macla, Ramón</t>
  </si>
  <si>
    <t>Ramón Macla</t>
  </si>
  <si>
    <t>…diferentes idiomas. España sola al cabo de en esta forma: tantos siglos carecia en el suyo de este precioso monumento de la anti En la audiencia territorial de Castilla la Nueva á D. Ramón Macla gua Grecia, fecundicen noticias de su administración pública, y lleno de de Lleopart: en la de Valladolid á D. Josef Martinez Areta: en la de fuego y patriotismo en medio de las intrigas y convulsiones políticas Granada á D. Josef de la Vega Carballo, D. Anto…</t>
  </si>
  <si>
    <t>Mádolell, Antonio</t>
  </si>
  <si>
    <t>Antonio Mádolell</t>
  </si>
  <si>
    <t>…ásáibas á D. Josef María de la Es Se declaró que pasase á la comisión la proposición que se acababa calera : para el de IUescas á D. Tadeo Capablanca : para el de Orgaz á de leer. D. Antonio Mádolell: para el de Mal de Sto. Domingo á D. Manuel Lo mismo se verificó con otra de los Sres. Moscóso, Quiroga y Lo Perez Aransolq: para el de Ocañi á D. Juan Bermejo: para el de Cor sada, relativa á que en el caso de que las Cortes aprobasen una quinta ral de Almag…</t>
  </si>
  <si>
    <t>Madrid, Josef Eustaquio</t>
  </si>
  <si>
    <t>Josef Eustaquio Madrid</t>
  </si>
  <si>
    <t>…el i.° de Octubre último se han fabrica Provincia de Jaén. Jaén D. Vicente Moreno; D. Juan JosefTor do solamente en Carcasona 16,700 piezas de paño, destinadas para el eada. Ubeda D. Josef Eustaquio Madrid; D. Antonio Gallego Rodrí Levante, la India , las dos Américas y el continente; y su valor me guez. Baeza D. Antonio Lafuente y Oquendo; D. Nicolás Vázquez. dio ha sido de 6.7009 francos. Alcalá la Real D. Ildefonso Zejalvo. Martas D. Mateo López. An» Las fáb…</t>
  </si>
  <si>
    <t>Maeso, Antonio María</t>
  </si>
  <si>
    <t>Antonio María Maeso</t>
  </si>
  <si>
    <t>…apo , D Pe V. S. con esta resolución dará al Rey una nueva prueba de su zelo por dro Antonio Fernandez, D. Lino Castelo, D. Ramón Valguera, Don el servicio nacional.” Juan Faldón, D. Antonio María Maeso, D. Antonia García Liñan, De Real orden lo comunico á V. S. para su cumplimiento. Ma D. Josef Porta! y D. Juan Bolet, oficiales de todas armas y graduacio drid 8 de Octubre de 1821. nes, cuyos hechos particulares, dignos del mayor elogio, sentimos no Circular…</t>
  </si>
  <si>
    <t>Maestre, Francisco de Paula</t>
  </si>
  <si>
    <t>Francisco de Paula Maestre</t>
  </si>
  <si>
    <t>…mientos á la Cámara de los Pares, á la cual se suplicará no dé su A la comisión de Hacienda se mandaron pasar una exposición de sanción á estas cláusulas vergonzosas. . , , • ■ .ó D. Francisco de Paula Maestre, .vecino de Priego, solicitando reba ja 4. * Que estas resoluciones se comunicarán á los legos católicos ro de unos arriendos de diezmos; otra de D. Fermín Arnedo y'D. Ma manos del condado de Limerick, nuel Palomeda, pira que se. les paguen por el tesoro públ…</t>
  </si>
  <si>
    <t>Magaihacs, Sousa de</t>
  </si>
  <si>
    <t>Sousa de Magaihacs</t>
  </si>
  <si>
    <t>…d'ittsurgentes griegos." El Sr. Borges Carneiro llamó la atención sobre la palabra señor , á El Constitucional de Paris publica noticias muy curiosas acerca da lo que respondió el Sr. Sousa de Magaihacs que la comisión de re- • la secta de los ■hrferit.as, contra la que ya el Observador austríaco soltó dicción habia seguido el egemplo de España , que distingue asi de los su bilis; y ahora salimos con que es obra ruso-austro-anglo-europea. demas ciudadanos .á…</t>
  </si>
  <si>
    <t>Magaihaens</t>
  </si>
  <si>
    <t>…mordimiento serviría de continuo número será proporcionado á la población. El egército , asi verdugo para castigarlos. como ios denias ciudadanos, no tienen derecho de reunirse El Sr. Magaihaens añadió juiciosamente que estaba cier ó de obrar sin la orden competente. La deuda pública que to de que las opiniones de los Sres. diputados, en que se da reconocida. La erección de los establecimientos públicos, observaba la moderación, tenían por fundamento…</t>
  </si>
  <si>
    <t>Magalhacs, Pinto-de</t>
  </si>
  <si>
    <t>Pinto-de Magalhacs</t>
  </si>
  <si>
    <t>…pira que informase sobre si estado actual de las - gestad, y cada uno de sus individuos el de Excelencia.” .causas mandadas formar en Cádiz por los funestos, sucesos del roda ' El Sr. Pinto-de Magalhacs se opuso á este artículo, y en vista de Marzo de 1820, acompañando los informes que le han dado,sobre «1 ' las razones que expuso, se le añadió mientras durare su encargo. particular. ' Se aprobaron los.artículos 7.° y 8;°, que decían: , A la especial de Haci…</t>
  </si>
  <si>
    <t>Magalhaes, Pinto</t>
  </si>
  <si>
    <t>Pinto Magalhaes</t>
  </si>
  <si>
    <t>…os pueblos representar si el haberse,desechado algunas.proposiciones, se aprobó la-adición propuesta, ministerio hubiese sido engañado en la elección. Nuestros gobernadores por el Sr. Pinto Magalhaes, que decia :» El que desobedezcaal mandato, eclesiásticos los Sres. Delgado y Huebra publicaron tiempo há una de la autoridad legítima-hechd en los términos que prescribe ia ley se pastoral, que hace ver sus patrióticos sentimientos, y han cido última hace re…</t>
  </si>
  <si>
    <t>…tes. una bula para suprimir algunos conventos de regulares, originó esto Todas estas circunstancias, y otras varias que no podemos explicar una larga discusión , en la que dijo el Sr. Pinto Magalhaes que esta pro mas claramente, han convencido á los principales francos que habitan videncia era una atribución del poder temporal, y que se admiraba de en Pera de que la Rusia y la Puerta romperán al fin las hostilidades. Por que en el siglo xix se dudase de e…</t>
  </si>
  <si>
    <t>Magalhaes, Pinto de</t>
  </si>
  <si>
    <t>Pinto de Magalhaes</t>
  </si>
  <si>
    <t>…pondió á Mr. Girardin , dijo que ni aun Se pasó á la discusión del reglamento para la Regencia; y opinó siquiera se debia sentar semejante cuestión: y me parece que insistir en el Sr. Pinto de Magalhaes que era preciso ampliar ó extender mas por este asunto no es usar de la palabra. ( Aprobación en el centro y la de- menor el reglamento de lo que lo habia hecho la comisión. -n Jícha.) “ Se leyó el art. 1.', que decia: ,, Li Regencia s* compondrá de cinc* El…</t>
  </si>
  <si>
    <t>…el Sr. presidente levanté clarado que era asunto de la mayor urgencia, se hizo la segunda lectu la sesión pública para quedar en secreta. ra de las proposiciones, y á petición del Sr. Pinto de Magalhaes se le yó) el artículo 80 del proyecto de Constitución , que trataba de este NOTICIAS DE ESPAÑA. asunto, ydecia asi: «En todo el tiempo de la legislatura, contado des de el día en que conste su elección en la diputación permanente, no Fsientespina (jprovincia…</t>
  </si>
  <si>
    <t>Mágalhaes, Pinto de</t>
  </si>
  <si>
    <t>Pinto de Mágalhaes</t>
  </si>
  <si>
    <t>…mo traidores.” l os españoles han defianza de laqmbicion de los rusos. , - clarado tales á los que ayudaren ó favorecieren al Rey en iguales cir cunstancias. ■ c ’ ■ • FRANCIA. El Sr. Pinto de Mágalhaes impugnó esta proposición, diciendo que -isrCohstitueion . no eta-Tín código penal, én el cual era donde debían designarse los casos, recayendo siempre la responsabilidad sobre los mi París 6 de Octubre. ^ El termómetro político señala guírra; y"guerra qite pu…</t>
  </si>
  <si>
    <t>Magalhaes, Sousa de</t>
  </si>
  <si>
    <t>Sousa de Magalhaes</t>
  </si>
  <si>
    <t>…culo para evitar la generalidad que por él se esta tro que se cerrara la discusión ; y asi se adoptó. blecía. En seguida habló el relator de la comisión insistiendo en su'dicta El Sr. Sousa de Magalhaes impugnó esta opinión, apoyando el ar men , y luego leyó el presidente algunas adiciones ó modificaciones tículo en los términos que se hallaba. propuestas por varios diputados, las cuales se fueron desechando suce El Sr. Gouvea Durao sostuvo enérgicamente el…</t>
  </si>
  <si>
    <t>Magarinos</t>
  </si>
  <si>
    <t>…lpar la con Se leyó y aprobó él acta de la sesión anterior, y se mandó agregar ducta política de los ministros , el silencio estudiado que habian guar á ella el voto contrario del Sr. Magarinos á la resolución de las Cortes dado acerca de los acontecimientos del Piámoñte , la parcialidáa y exa del dia anterior acerca de la indicacion del Sr. Cañedo. geración con que el ministro de Hacienda había dado al síndico de los A las ■'comisiones ordinaria y…</t>
  </si>
  <si>
    <t>Magariños</t>
  </si>
  <si>
    <t>…rseguido que fiie Leída y aprobada el acta de la sesión anterior, se mandó agregar á después por su adhesión al sistema constitucional, por el cual resultó ella voto contrario del Sr. Magariños á la resolución que tomaron las condenado á la pena de garrote; era de dictamen que se le señalase una Cortes en la sesión anterior acerca de la adición que hicieron los seño pensión de 300 ducados anuales por el fondo de espolios, y se le re res Canabal y La…</t>
  </si>
  <si>
    <t>…no para el examen de las proposiciones de dicho Sr. diputado y giesen los sugetos de mayor talla para la de granaderos y dé medbt del Sr. Paul las tres indicaciones siguientes del Sr. Magariños: para las de cazadores; y que las dudas que puedan ocurrir en laLortnit.* « Que se diga al secretario del despacho de Estado exiia enca cion , sean decididas por la autoridad superior local. Aprobado. recidamente del Gobierno portugués del Brasil que ponga en…</t>
  </si>
  <si>
    <t>Magariños, Francisco</t>
  </si>
  <si>
    <t>Francisco Magariños</t>
  </si>
  <si>
    <t>…cipios; restituirse á su patria, donde seria fiel observador y obediente alas leyes y,generalmente se han separado de las bases principales que ha tenido constitucionales; otra de D. Francisco Magariños, diputado suplente presentes la comisión. El tomar el mapa y formar una división de fi que habia sido por Buenos-Aires, dando á entender estar conforme con guras'geométricas regulares será muy sencillo en la teórica; pero.con lo dispuesto por la junta prepara…</t>
  </si>
  <si>
    <t>Magaz, Joaquín</t>
  </si>
  <si>
    <t>Joaquín Magaz</t>
  </si>
  <si>
    <t>…uida una proclama del mismo 3 los hab-tanD. Antonio González Ron, teniente coronel de artillería. Suplente. tes del Perú, animándolos a concurrir, á la conquista de dicha capital. D. Joaquín Magaz, catedrático de cánones de Valladolid. De Nueva-Esp.vña decían los periódicos angloamericanos que ei virey Noveila y los principales sugetos de México no han querido san cionar el tratado ajustado enere O-JDonojú é Itúrbide.* Se han recibido periódicos extran…</t>
  </si>
  <si>
    <t>Magdoné</t>
  </si>
  <si>
    <t>…ueldo les correspondía por su nuevo mitad dé un batallón ñacioftál dé Campobasso que estaba bajo las órde empleo; y verificado que sea dicho informe, pase á la comisión de nes del coronel Magdoné én Fagliacórza. Se desbandaron igualmente dos Hacienda para que informe á las Cortes si han de seguir cobrando el • batallones nacionales, que bajo las órdenes del general Ruffo estaban en nuevo sueldo dichos empleados, ó si deben seguir con el antiguo. 1 Civ…</t>
  </si>
  <si>
    <t>Magdone</t>
  </si>
  <si>
    <t>Él capitán Parry, que debe salir dentro de 10 dias á hacer^ nuevos y el coronel Magdone se retirasen sobre Isernia con los pocos cente descubrimientos al polo ártico, dió el'dia id "a bordo de la Baria un nares de hombres que les quedaban, y que los mariscales Verdinos y espléndido almuerzo - á los lores del almirantazgo y a otros muchos Mari se…</t>
  </si>
  <si>
    <t>Magin</t>
  </si>
  <si>
    <t>…nstituyen su mayor parte , y tamen de lás comisiones. ... para que sepa el mundo entero que la milicia nacional de Zaragoza , tan Estas mismas, habiendo examinado la exposición de D. Magin lejos de fomentar el germen maligno de la insubordinación , horror y Posa , comerciante de extracto de regaliz en -imposta, opinaban que desolación, lleva siempre por divisa, y sellará con su sangre, si necesario hecha la rebaja de cuatro reales en libra de d…</t>
  </si>
  <si>
    <t>Magni</t>
  </si>
  <si>
    <t>…agni, el brigadier general Nord Alexis, y los individuos que com —Según cartas de Riga el espíritu púbiieo en toda la Rusia está en fa ponen la comisión de instrucción pública. El general Magni á presen vor de los griegos, y generalmente se desea la guerra. La Rusia , que cia de los alumnos dirigió el siguiente discurso á los individuos de di ya lleva hechos gastos inmensos en aprestos militares, dficilmtnte da cha comisión. ría ya un paso atrás sin…</t>
  </si>
  <si>
    <t>Magny</t>
  </si>
  <si>
    <t>…gía, se manifestaron mas decididamente. Por Jos días de Navidad hubo pone que se haga una reducción de 10 por 100 en los derechos que ss en el .Cabo alguna fermentación , pero el general Magny consiguió apa deben pagar por razón de los referidos artículos que salgan de Varsovia ciguarla con sus medidas. para .el interior durante los dias de estas ferias. El coronel Paulino trató de sobornar con el dinero que había ga Los comerciantes de Gibraltar c…</t>
  </si>
  <si>
    <t>…nario, y le acompañarán los Sres. Flonet, conde Josef de Esterhazy y -..Los negros siguen siempre conspirando contra el presidente Boyer. conde de Guttemburgo. Habiendo sabido el general Magny, comandante del Cabo-Frailees, _Se va á señalar muy luego al general conde de Bubna una conside que el general negro Romain habia procurado seducir á dos regimien rable dotación en recompensa de los distinguidos servicios que ha he tos con el objeto de asesin…</t>
  </si>
  <si>
    <t>Magsriíios</t>
  </si>
  <si>
    <t>…é atendiese á -Iá solicitud referida; y así se acordó. Angeles, provincia de México í- se-recibíó con agrado. • Las Coi tes recibieron con agrado la felicitación que con motivo El Sr. Magsriíios dijo que cori ehobjeto de asegurar las especula-* de sw nüeva instálieioh les dirígiá-la milicia nacional de ambas armas ¿ ciónes que se,hiciesen. en la-América del Sur , y para aliviar á los■■ ha de ia ciudad dé Badajoz. r bitantes de aquellas provincias de…</t>
  </si>
  <si>
    <t>Maguemos</t>
  </si>
  <si>
    <t>…do para noticia de S. M. y efectos correspondientes.” Madrid 20 Regresada esta, se leyeron el acta de la sesión de 18 de Julio de de Setiembre de 1821. 1820, una certificación del Sr. Maguemos, y el expediente relativo a la elección de diputados por la Havana. Habiendo tomado el batallón i.° de Cataluña provisional el nom Se procedió á la votación del dictamen de la comisión, y quedó bre de batallón de Bailen , 13 ligero, se avisa al público para q…</t>
  </si>
  <si>
    <t>Mahamud</t>
  </si>
  <si>
    <t>…n se dice, han recibido órdenes cerradas , que no deberán abrirse hasta lleros que estaban 4 sus órdenes. Esta severidad no ha bastado para un día determinado. Se cree que el Gran Señor Mahamud no tenga bas apagar el espíritu de sedición; y se teme que tenga malas resultas pa tante autoridad sobre el pueblo y sobre los genízaros fanatizados para ra los cristianos este castigo, que en lo general ha disgustado á los ma d3r esta satisfacción; en cuyo c…</t>
  </si>
  <si>
    <t>Mahi, Nicolás</t>
  </si>
  <si>
    <t>Nicolás Mahi</t>
  </si>
  <si>
    <t>…Valencia sj de Mayo. deos el buque francés María Teresa, que ha conducido al nuevo capi Esta junta nacional de comercio y agricultura, con fecha 11 del ac tán general de esta isla D. Nicolás Mahi. Luego que S. E. puso el pie tual , ha recibido de la provincial de sanidad el oficio que sigue: en el muelle, sobre el cual le esperaban ya su antecesor D. Juan Ma » Con motivo de la llegada á Malta del bergantín maltes la Cons nuel Cagigal y el ayuntamiento…</t>
  </si>
  <si>
    <t>Maidonado, Francisco Severo</t>
  </si>
  <si>
    <t>Francisco Severo Maidonado</t>
  </si>
  <si>
    <t>…a y Valaquia; que harán que ma ¿anta iglesia; D. Juan Manuel Caballero; Lie. D. Juan de Dios Ca cesen las hostilidades, y que se forme un arreglo enire priegos y turcos. ñedo; Dr. D. Francisco Severo Maidonado, cura p.írroco de Xalosto- También creen otros que &gt;e exigirá ia cesión de dichas dos provincias titlam; D. Josef García Monasterio, cura párroco. á la Rusia, o ai Au.tria en nn.on con aquella, y con el objeto de que Suplentes. Dr. D. Josef de Jesús Huerta ,…</t>
  </si>
  <si>
    <t>Maílol, Manuel</t>
  </si>
  <si>
    <t>Manuel Maílol</t>
  </si>
  <si>
    <t>…acometen , también deben tener Caner; Carmen, D. Barto!omé Font; S. Antonio, D. Cristóbal For— los soldados el privilegio de tomar por su parte venganza. ¡Quién po ner; S. Josef, D. Manuel Maílol; Santa Faz, D-’Antonio Scrdá; Eccedrá señalar (dice) en medio de tanto peligro y confusión el momento Homo, D. Jacinto Amengua!. preciso en que debe vengarse de los agresores! Si los soldados hubiesen Pontona para limpia del puerto una.__Gángui!es para idem d…</t>
  </si>
  <si>
    <t>Maimprenta, Joaquín</t>
  </si>
  <si>
    <t>Joaquín Maimprenta</t>
  </si>
  <si>
    <t>2'7 naron algunos SreS. diputados que debía haber libertad de por Guadalajara: D. Pablo de la Llave y D. Joaquín Maimprenta, pero previa la censura, porque si no, podía perju niau, por Veracrtiz : D. Lorenzo Zavala y D. Josef López dicar á la moral evangélica, poniendo por egemplo (as ter Constante, por Yucatán ; acordando que el de este último ribles consecuencias del fanatismo e…</t>
  </si>
  <si>
    <t>Maitíand, Sír Tomas</t>
  </si>
  <si>
    <t>Sír Tomas Maitíand</t>
  </si>
  <si>
    <t>…ara de las Estados generales. desde que se les han dado esperanzas de que va á ser reemplazado por Continúa esta Cámara sus discusiones sobre el sistema de Haciénda otro el actual gobernador Sír Tomas Maitíand. la sesión de ayer, á la que asistieron el director general de recauda ción y el ministro de Instrucción pública como comisarios del Rey, fuá AUSTRIA. del mayor interes. Se leyó una carta del diputado Rosier, fiscal de lo criminal ea FRONTERAS DE LA VAUVQUIA.…</t>
  </si>
  <si>
    <t>Maitland</t>
  </si>
  <si>
    <t>…empo que los egércilos principa » A los ingleses se les mira con el mayor odio, y es aborrecido parti les ; pero no se pueden comparar estas tropas con los peores solda cularmente lord Maitland , gobernador.oe las Siete-1».as , quien no solo dos europeos , pues no son mas que unas milicias visoñas , y unas favorece abiertamente á ¡os turcos, sino que a cada instante csu mani verdaderas hordas asiáticas , incapaces de resistir á un egército europeo f…</t>
  </si>
  <si>
    <t>…an procedido las Cortes en el La Gaceta de ias islas Jónicas del dia 3 del corriente publica una asunto relativo á las ocurrencias de Cádiz y Sevilla , haciéndose con proclama dei general Maitland con fecha 29 de Octubre, en que cre esto los representantes de la Nación acreedores á las bendiciones de las yendo insuficientes las providencias tomadas, añade que desde dicho dia generaciones futuras. ■ ■ ningún buque de las partes beligerantes, ni de otra…</t>
  </si>
  <si>
    <t>Majal, Pinto de</t>
  </si>
  <si>
    <t>Pinto de Majal</t>
  </si>
  <si>
    <t>…ntestación al que aquella le ha dirigido conhaba adoptado para el egéroto 2cc. la escarapela de su Real casa, di motivo de los premios que le fueron otorgados por las mismas.jo ei Sr. Pinto de Majal haes que por este decreto se conocía cuán irnprop.o era que ciudadano alguno usase de un distintivo que era peculiar « Excmo. Sr. -. Sabedor por lá voz pública del contenido del «ficie</t>
  </si>
  <si>
    <t>Makinnon, Reinaldo</t>
  </si>
  <si>
    <t>Reinaldo Makinnon</t>
  </si>
  <si>
    <t>…a del consejo de generales, dada por haber dirigido librería de Ortega. . ■ c y firmado una representación contra el expresado Córdoba, en cuya sentencia se hallaba este incluido. D. Reinaldo Makinnon, de nación ingles, profesor que fue en el •úw ¿cv&gt;,ülo .a sesión ..publica, quedauuo las Cortes en secreta. colegio ue \7"ergara, continua ensenando las lenguas inglesa , íY.utccsu y portuguesa en su casa ¿-calie de las Veneras , núm. 3 , cuarto principa!. AE…</t>
  </si>
  <si>
    <t>Mal-, Pimental</t>
  </si>
  <si>
    <t>Pimental Mal-</t>
  </si>
  <si>
    <t>…zados, entremezclando algún oleoso ó destino á Josef Ignacio de Costa una corta dósis del crémor tártaro: las bebidas diluentes en abundan Se leyó la siguiente proposición del Sr. diputado Pimental Mal- cia: las lavativas comunes con alguna cucharada de vinagre, y los si donado: napismos en las plantas de los pies y pantorrillas son los mas condu « Observemos que con menosprecio de los países católicos se ve centes en el primer período; y en el segundo, si s…</t>
  </si>
  <si>
    <t>Málaga, De</t>
  </si>
  <si>
    <t>De Málaga</t>
  </si>
  <si>
    <t>1174</t>
  </si>
  <si>
    <t>…antoña, puerto de la Cadena, el de el Gobierno en la legislatura del año de 18 2 2 , comprendiendo en ella V-aüecas. no solo los ramos de la hacienda pública, sino de la tesorería general De Málaga á Granada. y contaduría de-valores y distribución, expresándose en el presupueste De Bailen á Granada queda á la prudente discreción del Gobierno la que se forme los gastos de la fabricación y compras de tabaco, sal &amp;c., aplicación de los fondos necesarios pa…</t>
  </si>
  <si>
    <t>Malborough</t>
  </si>
  <si>
    <t>…, parece que femias de ttn energúmeno, y por no abusar de la paciencia de los lec ”, M. ha debido salir temprano esta mañana para Portsrnouth. tores.) * El marques de Londonderry, lord Malborough y otros muchos « ¡ Asi es , prosigue nuestro redactor, como hollando los juramentos, personages se reunieran ayer por la mañana entre n y u en. casa de mas solemnes , se incita al Monarca español al perjurio! ¡ Asi es como lord Liverpool, en donde permanecier…</t>
  </si>
  <si>
    <t>Maldonado</t>
  </si>
  <si>
    <t>…debían ser extraordi religiosos el cadáver , cubierto de un riquísimo paño de ter narias las medida- que se tomasen. ciopelo, fue conducido á-la parroquia’ para la~ celebración F! Sr. Maldonado j apoyando las pronoMciones de! se de los divinos oficios sobre la—misma cureña del fara1' ca ñor Fernandes Thornaz, propuso que se formase una guar ñón que causó tal desgracia. Abrían la triste marcha las co dia nacional, y que se denominase iduardia constit…</t>
  </si>
  <si>
    <t>…a el beneficio qüe le estaban haciendo ahora ios dipu Paula, S. Agustín, Trinitarios y Franciscos descalzos, eti tados. Jos cuales no hay el número de individuos ordenados in saEl Sr. Maldonado opinó que no debían tratarse como cris que se requieren para su subsistencia, é igualmente delincuentes los comprendidos en la propuesta amnistía, y los de Capuchinos y Carmen descalzo ; pero atendiendo á que debían considerarse nuias ias sentencias pronuncia…</t>
  </si>
  <si>
    <t>…ad general de la nación, expresada por sus representantes; Después de una corta discusión se admitió la proposi y todos los ciudadanos tienen derecho de votar en las elec ción dei Sr. Maldonado para que se legalizasen los actos ciones : á los representantes de la nación únicamente perte de los días 24 de Agosto y 15 de Setiembre. nece formar las leyes. En las Cortes reside el poder legis El Sr. secretario Filgueiras leyó un proyecto de decre lativo…</t>
  </si>
  <si>
    <t>Maldónado</t>
  </si>
  <si>
    <t>…es públicos en las horas de recreo. Otros vió que pasase á la comisión de Artes con el diseño presentado por el muchos proyectos de fuentes, calzadas y demas concernientes á la de Sr. Maldónado para el monumento que se proyectaba levantar en la coración y aseo de este pueblo se piensan entablar por este infatigable plaza del Rocío. funcionario público; y si el Gobiernq, como es de esperar, llega á El Sr. Filgueiras leyó por segunda vez el proyecto d…</t>
  </si>
  <si>
    <t>…isperso, des bó el artículo como se hallaba en las bases. contento y despreciado que se hallaba el egército, abrumado bajo el Se pasó.á tratar ,'deLaít. ..¿3., acerca del .Cuál ¿I Sr. Maldonado dijo, peso de la arbitrariedad, y que los ministros debían ser responsables comparando la iniciativa de las leyes con el derecho de petición que de estos males, no solo al Rey, sino también á la Nación y al egército. tiene cualquier particular, que .¡por qué…</t>
  </si>
  <si>
    <t>…abajos que ha sufrido por S. M. la presentase al Congreso, añadiendo en ella los últimos aconte ser adicto al sistema.1 que nos rige , por cuyos méritos pedia una re cimientos. El Sr. Maldonado recordó que era necesario se extendiese el compensa. decreto sobre el recibimiento de S. M. á su llegada á Portugal, y se A la de Infracciones de Constitución, con urgencia, una exposición acordó que la comisión de Legislación lo extendiese y presentase ai de…</t>
  </si>
  <si>
    <t>…gos para el comandante en gefe del ejér Fueron también aprobados los artículos S.° y 7.0 cito de observación que se baila en las fronteras de Transilvania: con Sobre el 8. dijo el Sr. Maldonado: El día que el Rey entre este motivo se habia excitado sumamente la curiosidad pública, y se en este salón ¡i prestar su juramento sera un día plausible v de elor-a formaban diferentes conjeturas, entre ellas algunas bien aventuradas. eterna; pero no será mas…</t>
  </si>
  <si>
    <t>…gracia dé Dios • y por da Constitución de «tebia ser recibido &amp;c................. —.... ........... ........ la Monarqoía española, Rey dé lásEspañas, á todds los que las pre » El Sr. Maldonado .observó que seria necesario.tomar providencia» sentes vieren y entendieren, sabed: Que' las- Cortes han decretado'ló ' Jespecto de la diputación, que .debía .ir á bordo, pues ral vez S. M. quer-, siguiente: ....... - • • - • •' ' -• ' &gt;. v* íia desembarcar h…</t>
  </si>
  <si>
    <t>…as que acompañaban á S. M , pulso de las pasiones encontradas, que sabe obedecer, que sabe pedir, las cuales eran sospechosas á la opinión pública. y por fin que-sabe reclamar. El Sr. Maldonado dijo que no había nada que temer; pero que ha » El sacrificio del ínteres particular al interes público es, Señor, la llaba muy justo que se tomasen todas las disposiciones convenientes pa mas imperiosa cláusula del pacto social. Todos los portugueses procla…</t>
  </si>
  <si>
    <t>…iciones siguientes: ces que hubiesen de juzgar á los diplomáticos siempre que se les for ■ Art. 7.0 La Puerta promete proteger la religión cristiana y sus mase causa. iglesias. El Sr. Maldonado manifestó que todas las Constituciones permitian Art. 16. la 'Rusia restituye á la Puerta toda la Besarabia con que el Rey pudiese hacer observaciones sobre cualquier decreto ; que •las ciudades de Akierman , ICilia, Ismail y el castillo de Bender. por mas li…</t>
  </si>
  <si>
    <t>…el dia siguiente, y en vista del objeto para que se convocaba resolvió que pasasen sus facul Sesión de Cortes del dia 4. tativos á averiguar si era fundado lo que se aseguraba. El Sr. Maldonado leyó una proposición contraria ¿ la que habia he Reunida otra vez la junta á las doce del mismo día, recibió el par cho en otra sesión el Sr. Borges Carneiro sobre que se trasladase el Con te de los facultativos comisionados, en el que manifestaban que ha gre…</t>
  </si>
  <si>
    <t>…ndidos también los suplentes desde el honor y energía.” ' ■ ( dia que toman asiento en el salón de Cortes.; ___Los fondos han tenido una subida considerable, debida a la suposi El Sr. Maldonado hizo ia siguiente proposición: « Debiendo ser ción de que no se alterará la paz entre la Rusia y la Puerta. Esta su una de las atribuciones de las Cortes el examinar y sancionar la educa posición se funda en las seguridades que según dicen ha dado el ryis- ci…</t>
  </si>
  <si>
    <t>…se remitió á alma, y la penetran del fuego de la juventud. Se interesa por los grie su comisión. gos como por sus amigos ó. como por sus compatriotas. « Mis griegos, ' 3.a lia del Sr. Maldónado para que se declarasen legales y de pú •mis pobres griegos” exclama frecuentemente. Es cierto que si Voltai- blica utilidad todos los servicios hechos por el ex-gobernador de la re viviera en la actualidad no pensaria como el señor conde Achille; el Madera Xa…</t>
  </si>
  <si>
    <t>…de Jorge nr. Por varios testigos de vísta se saben las circunstancias siguientes: Sesión de Cortes del 22. *1 pueb*o había arrancado ya mas de 30 varas de las verjas de hierro El Sr. Maldonado manifestó que seria preciso declarar cuál de las de Hide-Park, y esuba demoliendo la pared para proveerse de pie dos escarapelas deberían usar aquellas personas que fuesen á un mismo dras y ladrilos; cuando sir Roberto Baker leyó en voz aita el riut-act, tiem…</t>
  </si>
  <si>
    <t>Maldonado, Francisco</t>
  </si>
  <si>
    <t>Francisco Maldonado</t>
  </si>
  <si>
    <t>…nan las Cortes.á S. S. por ra, fecha 3 del corriente, que en sustancia decia: » Que D. Juan de ahora , y por, via de ofrenda , 200Í) rs. anuales sobre las cantidades que Padilla , D. Francisco Maldonado, procuradores de Toledo , Salamanca están señaladas en ¡os anteriores concordatos, sin perjuicio de aumen y Segovia en las Cortes del reino de 1320 , hicieron vivas reclamacio tar esta nueva asignación si se hallase el reino en adelante en estado nes á la mag…</t>
  </si>
  <si>
    <t>Maldonado, Pimentel</t>
  </si>
  <si>
    <t>Pimentel Maldonado</t>
  </si>
  <si>
    <t>…aridades de esta obra: se ha americanos la aceptaban ; sin embargo que opinó que se lla llarán en casa de Mr. Hostel, calle de Santiago, núm. 164. masen diputados de las islas. El Sr. Pimentel Maldonado —-Ayer jueves i.rj de Febrero á las ocho de la noche re dijo que el Brasil estaba en circunstancias mas felices y su cibió el Rey con las ceremonias acostumbradas á la diputa periores al Portugal por diversas causas, y que por consi ción de la Cámara de los P…</t>
  </si>
  <si>
    <t>Maldonado.leyó</t>
  </si>
  <si>
    <t>…a promovido para asegurar la itran^uilidad; oomision de Constitución, que estaba trabajando en este asunto. del pueblo; pudiéndonos prometer que con estos vigorosos medipS'-tk* E! Sr. Maldonado.leyó el dictamen de la comisión de Poderes so trascenderá el mal á esta ciudad, ni tomará tampoco cuerpo en la Bar.-: bre la.diputación enviada por el gobierno de la isla Tercera, reducido celoneta.ee:Barcelona 14 de Agosto de 1821.= Juan Francisco'BaraJ á que en…</t>
  </si>
  <si>
    <t>Maldoriado</t>
  </si>
  <si>
    <t>…allí para hacer una hasta la reciente fecha de 15 de Enero, traídos por el na Constitución portuguesa,,y no española. • vio el Jaques Monroe, que ha hecho elviage^mas pronto : El Sr. Maldoriado dijo que podia añadirse en el artícu y feliz de que hay memoria, pues-.no ha tardado, mas-'que lo quemadle podia ser preso sin tener causa formada; con 16 dias en su travesía desde New-Yorck á Liverpool; He cuya adición fue aprobado el artículo 4.0 , mos extr…</t>
  </si>
  <si>
    <t>Malet, Antonio</t>
  </si>
  <si>
    <t>Antonio Malet</t>
  </si>
  <si>
    <t>…genieros: los de 10 años en adelante, nientes D. Feliciano Polo y D. José María Omlin; los subtenientes de tenientes de infantería, caballería, zapadores, y trenes de artillería é D. Antonio Malet, D. Antonio González y D. Josef Iturrigaray; los ingenieros: los cadetes que llevasen 4 años en dicho destino, de capi sargentos primeros Fulgencio Manzano y . Josef Cruz, y los sargentos tanes de infantería ó .zapadores: los subrigadieres y cadetes de mas se…</t>
  </si>
  <si>
    <t>Mallagaray, N. Apoita</t>
  </si>
  <si>
    <t>N. Apoita Mallagaray</t>
  </si>
  <si>
    <t>…o ciertas condiciones que le pusieran en estado de organizar los cuerpos, y Josef Villena. castigar á los que lo merecieran. Parece que ya han conocido los grie Por la de Vizcaya. D. N. Apoita Mallagaray , presbítero y abo gos de la Morea que la ausencia de dicho general perjudicaba mucho á gado ; D. Domingo de. la-Torre , diputado provincial. Suplente. Dan sus intereses, pues han resucito prestar atención á una fuerte represen León de J.u.’regui. tación del…</t>
  </si>
  <si>
    <t>Malta, Juan Leen y</t>
  </si>
  <si>
    <t>Juan Leen y Malta</t>
  </si>
  <si>
    <t>…el príncipe de Me- Se leyó y aprobó el acta de la anterior. tternich, no solo no han perdido de vista ioi intereses de: la orden de A la comisión de Hacienda paió una solicitud de D. Juan Leen y Malta, sirio que han tomado muchas'resoluciories á favor de esta anti D. Juan Arenas , para que se íes rebaje el precio de un arriendo : y otra gua orden, cuya existencia nos recuerdan tantas memorias honoríficas. de D. Víctor C.lleja , vecino de Montiel , para que…</t>
  </si>
  <si>
    <t>Mancha, Francisco</t>
  </si>
  <si>
    <t>Francisco Mancha</t>
  </si>
  <si>
    <t>…s. cual Puertoias , del primer batallón del de España: á D. Josef Toma- Nuevo diario de Madrid. Se suscribe en su oficina, carrera de San s o, del primer batallón del de Toledo: á D. Francisco Mancha, del Gerónimo, frente á la Fontana, á 6 rs. al mes llevado á las casas , y pa segundo batallón del de Murcia: a! coronel D. Vicente Sancho, del ra las provincias á 28 rs. por trimestre, franco de porte. Este d¡3rio con secundo batallón de! de la Princesa:» D.…</t>
  </si>
  <si>
    <t>Mandone</t>
  </si>
  <si>
    <t>…el general acercarse nuevos socorros á los Ñapóles en la noche. austriacos, mandó la retirada, y los enemigos se volvieron á sus pues ;A1 salir el correo se supo en Nápoles que el coronel Mandone ha tos. El enemigo tuvo muchos hombres muertos; y nosotros unos 30 en bia reconquistado á Aquila. Ya estaban reunidos io9 milicianos de los tre muertos y heridos.” Es de sentir que la gaceta de Genova no haya que se habian retirado: en el ataque de Antrodocco…</t>
  </si>
  <si>
    <t>Manesc.ui</t>
  </si>
  <si>
    <t>…Alpuente por 76: 4/ el Sr. Gira Ido por 75: 5.’ el Sr. Caiatrava nerva, que hasta el dia tiene publicados el coronel D. Miguel Tenorio. por 72: 6. el Sr. Echevarriá por 85: 7.' el Sr. Manesc.ui por 81: En seguida el Sr. ministro de la Gobernación de Ultramar pasó á 8.J el Sr. Navarro (D. Felipe) por '77.: 9.° el Sr. Larriba por 85: la tribuna y principió la lectura de su memoria; la que á poco tiempo 10 el Sr. Snbrié por 67: r 1 el Sr. Govantes por…</t>
  </si>
  <si>
    <t>Manescau</t>
  </si>
  <si>
    <t>…alcalde conde de Goyeneche 71; Huerta por 72; Vecino por 62 , y Moya por 66. la carra inserta en el papel titulado el Censor, núm. 28, como injurio Se dió cuenta de un oficio del Sr. Manescau, presidente del tribu sa al Excmo. ayuntamiento constitucional: declarado por los jueces de nal cesante de Cortes, en que participaba que no habia conocido sino hecho haber lugar á la formación de causa, y pasada la denuncia al en la testamentaría del Sr. Var…</t>
  </si>
  <si>
    <t>Manescau, Josef María</t>
  </si>
  <si>
    <t>Josef María Manescau</t>
  </si>
  <si>
    <t>…la humanidad doliente, ra plazas de regentes de audiencias territoriales, en esta forma: parala por carecer del pronto é inmediato surtido de sus benéficas fumigacio de Sevilla á D. Josef María Manescau; para la de Cataluña á D. Juan nes contra el mal venéreo, las cuales tan maravillosos efectos han pro López de Vinuesa, y para la de Aragón á D. Pedro María Ríe. ducido en toda la Península y fuera de ella, ha resuelto dicho Go . Asimismo ha tenido á bien nom…</t>
  </si>
  <si>
    <t>Maní, Francisco de Paula</t>
  </si>
  <si>
    <t>Francisco de Paula Maní</t>
  </si>
  <si>
    <t>…s con.nuestra suer con tanta velocidad como se habla, que está á cargo del profese?r é in te, solo deseanios consolidar nuestras instituciones; yero no podre ventor de este método D. Francisco de Paula Maní, y bajo la protecr mos menos de insinuar aqui que el Gobierno prusiano ha dado no cion de iá sociedad económica matritense por encargo del Gobierno. pequeño motivo para que el pueblo prusiano conozca muy bien la Esta enseñanza esgratniu para toJos los que qui…</t>
  </si>
  <si>
    <t>Manían, Joaquín</t>
  </si>
  <si>
    <t>Joaquín Manían</t>
  </si>
  <si>
    <t>…operación de V. A. R.” diputado suplente por Canarias ; D. AgustinTorres, diputado suplente por Cataluña ; D. Mariano Zorraquín , diputado NOTICIAS DEL REINO. suplente por Madrid;-D. Joaquín Manían y D. Pablo LaMadrid 20 de Febrero. llave, diputados por Veracruz; D. Lorenzo Zavala y Don , SS. MM. y AA. continúan sin novedad en su impor Juan López Constan te , diputados por Yucatán, y D. Juan tante salud. Bernardo O-Gavan , diputado por la Havana. S. M. ha despachado hoy co…</t>
  </si>
  <si>
    <t>Maniau</t>
  </si>
  <si>
    <t>…slación y Hacienda se pasó una solicitud Sesión del dia zi de. Marzo. de:D. Francisco Navales y Sancho, por sí,y á nombre de 25 habitan Aprobada el acta.del dia anterior,-pidió el Sr. Maniau se le per tes de la provincia de Guipúzcoa, sobre que se les ponga en posesión, mitiese á él y al Sr. Lallave acercarse al Gobierno á-.tratan asuntos de de las fincas de obras pías, con que se les'pagó la contrata que hicie interes; y el Sr. .presidente conte…</t>
  </si>
  <si>
    <t>Maniauv, Joaquín</t>
  </si>
  <si>
    <t>Joaquín Maniauv</t>
  </si>
  <si>
    <t>…de. Inglaterra se'hari 'hecho por con-] miento. rj i, i i:.-.- . - r - ,1 ■ v: - : tratas , porque es el medio menos costoso, y es' bien seguro que los in Por Veracruz los señores D. Joaquín Maniauv .intendente honoraé gleses no son méritos a'mqnfés-'de1 fa libertad que nosotros. La Constitu río dé egército , diputado que frió de las Cortes .extraordinarias por U ción no sé 'qué prohíba Hacer, estas especulaciones ; y asi me parece qpe provincia de Verac…</t>
  </si>
  <si>
    <t>Manifiesto, Ramón Ma</t>
  </si>
  <si>
    <t>Ramón Ma Manifiesto</t>
  </si>
  <si>
    <t>…edieron D. Jacobo Villaurrutia y D. Antonio González Rodríguez: en ia de y motivaron. Véndese á 2 rs. en la librería de Hurtado. Mallorca á D. Manuel de Lizana: en la de Galicia á D. Ramón Ma Manifiesto que hace un ciudadano á sus compatriotas con motivo ría de Moya y D. Juan Nepomuceno Vela: en la de Sevilla á D. Jo de haber acordado S. M. que baya Cortes extraordinarias , y las obser sef de Mier y D. Pedro Simó López de Haro: en la de Astúrias á Don vacion…</t>
  </si>
  <si>
    <t>Maniré, Juan Pcrez</t>
  </si>
  <si>
    <t>Juan Pcrez Maniré</t>
  </si>
  <si>
    <t>juez de primera instancia en Cataluña, y de D. Juan Pcrez Maniré, munidad al monasterio que fue de Benitos, inmediato á la misma puer juez interino de-primera instancia de Talayera de luReina , sobre que se ta de Fuenc3rral; de Capuchinos del Sto. Cristo de ia Paciencia, y sus íes permitiese jurar en la audiencia de Castil…</t>
  </si>
  <si>
    <t>Manne, Cristóbal</t>
  </si>
  <si>
    <t>Cristóbal Manne</t>
  </si>
  <si>
    <t>…iene -ni debe ;D. Guillermo-Gorman, natural de Francia, otra de D. Juta:Mani tenéYñingun poder, jurisdicción, superioridad, preeminencia ó auto Alié, natutal.de Sicilia, y otra de D. Cristóbal Manne, natural■ de ridad 'eclesiástica ó espiritual en este reino. Asi Dios me asista: ” Francia , solicitando cartas &lt;fe ciudadanos. ■ : ¿ «Atendiendo á que los católicos romanos súbditos del Rey;en la A la de Infracciones de Constitución -una exposición de D. Fra…</t>
  </si>
  <si>
    <t>Manners</t>
  </si>
  <si>
    <t>…, bien que se ha reemplazará á Mr. Sturges Bourne en la presidencia chl despacho del re bia esparcido la voz de hallarse bastante enfermo—Parece que ei Archi gistro; Mr. Sancin al lord Manners como canciller de Irlanda, y duque Ranerio, hermano del Emperador, y virey del reino Lombardo- E. Plumket será procurador general. Véneto, pensaba dejar su destino; pero que se arreglarla su permanen Francia. Ya había salido da la cuarentena en Marselta el fa…</t>
  </si>
  <si>
    <t>Manos, Blas Josef de</t>
  </si>
  <si>
    <t>Blas Josef de Manos</t>
  </si>
  <si>
    <t>…z. 209, que pertenecieron- al extinguido para la d; Cazalla á D. Josef López y Requena: para la de Carinona monasterio de los Cartujos del Paular de Segovia, Usada la primera en á D. Blas Josef de Manos: para la de Eclja á D. Bartolomé Vega y I3®&gt;3-14 rs- &gt; y subastada en 68o3, y la segunda en 88,992 , y rema Agudo: para la de Estepa á D. Juan Tomas Encina: para la de Fre- tada en 560,500, rebajados 4$ rs. que tienen de carga cada una de genal á D. Martin Al…</t>
  </si>
  <si>
    <t>Manri, Joaquín</t>
  </si>
  <si>
    <t>Joaquín Manri</t>
  </si>
  <si>
    <t>…comisión que entiende en los asuntos relativos á casas de mo ranza de conservar las cosas actuales, sino el deseo y ¡a esperanza de neda una exposición de D. Elias Villalobos y de D. Joaquín Manri obtener y conservar cosas nuevas , nuevas presas, nuevos robas y nuevos que y Manrique, regidores comisionados por el ayuntamiento constitu saqueos. Esto era lo que existía en los amigos y compañeros de Catili cional de esta villa para el resello de los medio…</t>
  </si>
  <si>
    <t>Manrique</t>
  </si>
  <si>
    <t>…cutía; y en seguida leyó; parte del capítulo 5.° del tratado acerca del mente á los secretarios de la Gobernación de la Península y Guerra número de eclesiásticos por el reverendo obispo Manrique , y otros que se presenten luego luego á dar cuenta de lo ocurrido en aquella varios papeles; citó vario* casos sucedidos en el consejo de Castilla, provincia.” Y quedó aprobada; pero habiendo manifestado el Sr. pre y últimamente las providencias tomadas por…</t>
  </si>
  <si>
    <t>Manrique, Tomas María</t>
  </si>
  <si>
    <t>Tomas María Manrique</t>
  </si>
  <si>
    <t>…io de la audiencia de Castilla la Nueva , y juez de primera ins fijaron reglas para la formación de causa ó relevación de ella á los fac tancia de esta M. H! villa , refrendada de D. Tomas María Manrique, ciosos según la clasificación que en él se expresa, no se limita á las cau-; escribano del número de la misma, se ha mandado celebrar junta ge sas contra los aprehendidos en Salvatierra y provincia de Burgos, sino neral de todos los acreedores á la dimisión…</t>
  </si>
  <si>
    <t>Manse, Feliciano</t>
  </si>
  <si>
    <t>Feliciano Manse</t>
  </si>
  <si>
    <t>…Gijon y Vaca , id.: D. Josef Palacio, id.: D. Tomas Ibañez, El Sr. presidente dijo que estando ya casi impresa la Constitución, id. : D. Josef Guerra, id. : D. Diego Pulido, id.: D. Feliciano Manse iba á distribuir muy pronto, y debefia tomarse en consideración en silla, ¡d.: D. Antonio Peran Moya, subteniente: D. Miguel Gargallo, todrf la semana próxima, á fin de que pudiese empezarse su discusión id.: D. Tadeo Aresanenaga, id. : D. Domingo de la Rosa,…</t>
  </si>
  <si>
    <t>Manso, Éélix María</t>
  </si>
  <si>
    <t>Éélix María Manso</t>
  </si>
  <si>
    <t>…son estosmisrftos griegos, armados hoy Por la provincia de Soria. R. Manuel Casildo González , propieta contra él Los soldados ¡turcos-tienen, armas'y.valor í-pérh áu'réúnion rio; D. Éélix María Manso, juez de primera instancia de Sto. Domin ■cnxy merece el nombre ide-egército , pues se reduce á unospelptóncs tan ¿n- go de la Calzada-, D. Manuel Riiiz del Rio , coronel retirado y propiet.disc¡plinac!os,.que el último Sultán perdió ,1a yida por haber querid…</t>
  </si>
  <si>
    <t>Mantilla, Pedro Benito</t>
  </si>
  <si>
    <t>Pedro Benito Mantilla</t>
  </si>
  <si>
    <t>…rmanos, que solamente difieren de ellos ella y su juzgado , ha señalado para junta de acreedores á los bienes de por algún punto que otro dei dogma. la concursada testamentaría de D. Pedro Benito Mantilla el dia rj del » Semejante situación en un siglo como el presente demuestra su próximo mes de Agosto á las 9 de la mañana en su posada, que la tie ficientemente que la casi totalidad de. la nación armenia está sumida ne calle del Burro, núm. 10; lo que se hace…</t>
  </si>
  <si>
    <t>Manueí</t>
  </si>
  <si>
    <t>…al especial de Guerra y Marina acerca de ia causa que se ha seguido esta cantidad! La mayor parte de los otros individuos del Parlamento en el mismo al coronel D. Pedro Reber y al teniente D. Manueí huyeron á las provincias; pero quedaron como una docena de ellos, que López por haber servido al Rey intruso; y pedia se aclarase el decre proponiéndose imitar al senado romano, se reunieron y celebraron se to de las Cortes generales y extraordinarias de 24 d…</t>
  </si>
  <si>
    <t>Manuel</t>
  </si>
  <si>
    <t>…ferenciales de órdenes superiores de dos variables; la inter ción de párrocos, que eleva al soberano Congreso el doctor pretación geométrica de las soluciones particulares de las D. Manuel de la Pinta Nava , cura párroco de ¡a villa de ecuaciones diferenciales de primer orden ; la integración de Fuentelaencina, en el arzobispado de Toledo. Trata su autor dé las ecuaciones simultáneas; la integración de las ecuacio la provisión de las sacristías…</t>
  </si>
  <si>
    <t>…e la capital y por sus alrede Carvajal y Trej’o: para la de Lérida á D. Josef María Aguí- dores (Preambulations in Ion don and its environs), en lar Oviedo: para la de Tarragona á D. Manuel de. Rada: el cual les ha hecho conocer los monumentos públicos, ¡as para la de Momblanch á D. Juan Francisco Alonso Caballe preciosidades y rarezas , el estado primitivo y engrandeci ro : para la de Falces á D. Josef Ramos Calderón: para la miento progresivo…</t>
  </si>
  <si>
    <t>…ano, el tio contra el sobrino. {Se do nombrar para dos plazas de ministros de las deqlaradas continuará.) interinas en el tribunal supremo de Justicia á D. Vísente Cano Manuel y á D. Manuel de la Bodega. cambios. Madrid y Febrero 21 de 1821. Londres..................................................... 3&lt;5f Constando de un modo positivo ó'indudable al Sr. Don París............................................................) 15-18 Francisco Yañez…</t>
  </si>
  <si>
    <t>….el tribunal .de Otros en.escuelas especiales. _ . - justicia. " r,;; ( . ..... . _ ..En .seguida el Sr,,.García (D. Mariano) presentó Ja siguiente adi Ala misma una exposición de D. Manuel y D. Pedro Carrillo de ción al art.,33 : » No : obstante, que las;haya privadas con destinó al Albornoz, hermanos del capitán g^nd-’i-nrcTríno de'Yucaían,-pidien mismo objeto.” La, cual), después de- una breve discusión , la -retiró*su do que los Sres. .'Secretarios del Despacho…</t>
  </si>
  <si>
    <t>…or el ministerio de Guerra y Hacienda en- estos últimos días. • dos que extiéndan por mas tiempo sú dominio, como lo han hecho A la comisicfn-'de Legislación pasó una solicitud de D. Manuel hasta ahora; Mé parece que no lo es. Ballesteros, vecino de Moraleja, provincia de Zamora, en que se que El Papa actual", Pió vil, en su decreto de 6 de Junio de 181 ó abo ja de no haber procedido con la debida formalidad en un asunto de lió todos los derecho…</t>
  </si>
  <si>
    <t>…s propios de aquella provincia 283 pesos y 2 rs. que se le deben. territoriales y solariegos ; y todas las razdnes que quieran darse so A la de Infracciones una queja del teniente general D. Manuel bre propiedad, derecho &amp;c., no vienen al caso; que el asunto en cues Fxeire por los procedimientos en la causa que se sigue por los desgra tión era mas claro que la luz del dia, pues se trataba solamente de ciados sucesos de 10 de Marzo del año último en C di…</t>
  </si>
  <si>
    <t>…iscutiéndo El Rey se ha servido nombrar en 10 del actual capitán general de se en la Cámara el bilí de los católicos , y, hablan sido desechadas una Andalucía al mariscal de campo D. Manuel "Velatcc, que servía igual modificación hecha y una cláusula añadida. ■ ' destino en ExtiCmadura ; para este empleo al de la misma clase D. Fe Las noticias de Alemania hasta el 30 de Marzo anuncian ser bas lipe de Arco Agüero, comandante general de la provind…</t>
  </si>
  <si>
    <t>…se da á ios oficiales de egército cuando tienen que embat- - señalado todo lo que debía'hacer un oficial cuando tuviese el carácter carse; una exposición de la madre y hermana del teniente D. Manuel. de juez, que con soló saber leer se podía poner en aptitud de.desem Martínez, pidiendo que en atención á lo mucho que han padecido por , peñar este encargo cualquier individuo de la milicia local; y que á la la persecución que se hizo al referido Martínez po…</t>
  </si>
  <si>
    <t>…en 16,629 rsl semejantes; y habiéndose dado traslado de esta solicitud á dichos últi 128 'Otra id. , núm 8, en 13,526 rs. mos tenedores, é ignorándose la existencia y paradero de D. Manuel 129 Otra calle, del Rosario de Triana , núm. 23 , en 15,212 rs. Valera y D. Antonio Martinez se ha mandado que se les ate y em 130 Otra id., núm. 22, en 13,694 rs. place-corno se hace por el presente , para que en el término de 30 dias, 131 Otra en la Enramad…</t>
  </si>
  <si>
    <t>…Muñoz, presos en 15 de Febrero: Teresa Mata, Gabriel Continúa la lista tttím. 8¿ de las Jincas que se están subastando de tas Manzanares y D. Josef Solesio Castelar en 5 de ídem : D. Manuel aplicadas al Crédito público para pago de la deuda nacional &amp;c. Hernández (alias el Abuelo) , Maximino González, Juan Alconero, Pedro del Campo, Gregorio Alonso, Cirilo Gome? y Gregorio Co Fincas del monasterio de Moreruela, que se rematáis el dia 29 en ronad…</t>
  </si>
  <si>
    <t>…haga ¡por, bio Sánchez -Pareja-, cura de ; la .parroquia -jdc ¡Stai Catalina Mártir de esa compañía'pero- sí quiero que'el Gobierno admita .proposiciones sp-; México:,.licenciado D. Manuel,Gortazari, residente jeu,&gt;Españá; -mar bre esa empresa/para que se estimule á btrás cóñipanias a que las,ha-, ques del Apartado; conde deíS.Mateo Valparaisoylicenciadó D; Lu • ga mas ventajosas. Si no se.to'iriá está providencia / es lo mismo que de ciano Cas…</t>
  </si>
  <si>
    <t>…dó que. quedase pendiente este que se hayan tasado, y el en que fueron rematadas. asumo p.ua,otra sesión, y se levantó la de este dia. Se concedió el permiso que solicitaba el Sr. diputado D. Manuel ' Madrid Viernes 4 de Mayo. - j Bodega .para .pasar al pueblo de Aranjuez á fin de resfabíecer su salud. El Sr. presidente nombro para la comisión que debía entender en S5-: Al.VÍ. y A A. continúan sin novedad en su. importante salud. . las indicaciones que h…</t>
  </si>
  <si>
    <t>…o las órdenes ;haber pasado, á segundas nupcias. , e oportunas, avisando el resultado para noticia de S. M., y posteriores . El. de }a.misma sobre que no opte al teniente retirado D. Manuel . resoluciones que.cpnyengam Lo comunico á V. S. de Real orden para .; Artieda.el.haber nacido; por-casualidad fuera de. España para¡gozar de «su^puntiiaf cumplimiento. Madrid;28 de Abril de 1821. J°?.',í(érech.os. de ciudadano, siendo sus padres;naturales y…</t>
  </si>
  <si>
    <t>…rez por Oajaca , y D. Tomas Arguello por la de Nicaragua.para que viva eternamente.Dichoso yo si con este elogio logro estimu El de la segunda de Legislación sobre la solicitud de D. Manuel lar a aquellos eclesiásticos que con sus luces y talentos pueden hacer Careo y Garay, tasador del supremo tribunal de Justicia y demas de ia feliz á la Nación de que se glorían ser individuos. Tal es el objeto que corte , en la que pedia se declarase debia eg…</t>
  </si>
  <si>
    <t>…r ; que las Cortes mismas se escandalizarían A la comisión de Infracciones de Constitución lina solicitud de al presentárseles las bases de dicho repartimiento por los motivos que D. Manuel y D. Julián. Serrano, vecinos de Esquivias, reproduciendo1 tenia expuestos, y por los cuales no podía menos de hacer preséntelos otra anterior; y alegando nuevas razones para que las Cortes declaren resultados que preveía. que el ayuntamiento constitucional de aquella vi…</t>
  </si>
  <si>
    <t>…unto. llo, vecino de Brúñete , sobre que se declare á su favor la sucesión de El Sr. ministro de la Guerra dijo que partia inmediatamente (si las un vínculo, y no al de su hermano D. Manuel, por los motivos que Cortes no mandaban lo contrario ) á dar las órdenes oportunas para que expresaba. La comisión opinaba que el interesado debia sujetarse ú lo se suspendiese la del Gobierno, de que se acaba de tratar. dispuesto por las Cortes en la ley sob…</t>
  </si>
  <si>
    <t>…aron que lo que se decía en para la plaza de regente de la audiencia territorial de Castilla la Nue este artículo era que sin perjuicio de que se enviase ia orden al alcalde, va á D. Manuel de 'Villafañe,; y para una de magistrado, de jas de este lo hiciese saber al ayuntamiento respectivo. Quedó aprobado este claradas interinas, á D. Francisco Cándido de Paz. artículo. Asimismo ha tenido á bien nombrar para plazas de magistratura, Art. 58. ” La…</t>
  </si>
  <si>
    <t>…ero constitucional de esta villa sobre lo que raciones de estos Congresos, elevarse siquiera al liberalismo tan fácil y debia hacer respecto á haberse excusado los jueces de hecho D. Manuel asequible de los ministros ingleses. Siempre se les encuentra en armo Garrido, redactor tercero del diario de Cortes, y D. Antonio Llaguno, nía con aquella extraña prevaricación de ideas, que quiere reducir á las oficial de la secretaría de las mismas, á la c…</t>
  </si>
  <si>
    <t>…o, y se mandó custodiar en el archivo de curas. las Cortes. Art. i.° » Llamados estos á la capital del obispado , y reunidos Se dió cuenta de una exposición del capitán de fragata D. Manuel bajo la presidencia del R. obispo, elegirán los seis párrocos y un bene Santibañez, por la que ponía á disposición de las Cortes un excelente ficiado , que han de ser individuos de la misma junta. barómetro que poseía, para la construcción de ¡a carta de Espa…</t>
  </si>
  <si>
    <t>…es el trabajo no se hizo para los Reyes.” carro y cuarto de tierra , coa 90 pies , de Doña Glara del Rizo , y prado Los Monarcas que oyeron esto , y no eran Federicos ni Henri- de D. Manuel de la Muela__Idem en la vega del Palacio, carro y me ques iv, se dejaron alucinar; y prestando su nombre sagrado para sellar dio de tierra poblado de viña, linda herederos conde D. Fernando de los caprichos de la rapiña y de la tiranía, declararon qii’e todo…</t>
  </si>
  <si>
    <t>…eramente distinta, y asi conservan el brado S. M. á los directores del referido Banco D. Joaquín María Fer d.-recho de sacudir el yugo de los opresores de su pais, loi cuales rar, D. Manuel de la Turre y Rauri, D. Gabriel B.iiez, D. Andrés con su conducta para con los pueblos que han vencido , se han atraído Caballero , D. Fraile sco Crespo de Tejada; y por parte de este ayunta la execración eterna del género humano.” . miento á su regidor I). J…</t>
  </si>
  <si>
    <t>…cristianismo; de la Cuesta, ademas de D. Josef Francisco Muguiro é Iribarren , nom ansiosa de que los griegos que han emprendido su emancipación no brado por el ayuntamiento, y de D. Manuel de lá Torre y Rauri, por lleguen á conseguirla, parece complacerse en publicar noticias desfavo el Banco nacional de S. Cirios, y para suplentes los Síes D. Francisco rables á los progresos de la insurrección griega: ella forja cartas de Sainz y D. Andrés Can…</t>
  </si>
  <si>
    <t>…ra la de Estepa á D. Juan Tomas Encina: para la de Fre- tada en 560,500, rebajados 4$ rs. que tienen de carga cada una de genal á D. Martin Al varezSotomayor: p3ra la deMarchena i D. Manuel farol y sereno , á.pagar en créditos contra el Estado, y con sujeción al Moraño: para la de Moran í D. LuisOrtiz de Zúñiga: para la de Osuna reglamento aprobado por las Cortes en 3 de Setiembre último; los que á D. Joaquín Antonio Hernández: para la de Sanlúc…</t>
  </si>
  <si>
    <t>…o del número de dicha ciudad y del mismo juzgado, en lo civil, Madrid 3 de Agosto de i8ax. y * instancia de D. Manuel Andrés Ramírez , como tutor de los hi jos menores del difunto D. Manuel de las Cuevas, vecino y del co A consulta del Consejo de Estado se ha servido S. M. nombrar para mercio que fue de la expresada ciudad, se cita para junta de acreedores ia canongía magistral de la iglesia catedral de Manila, que se hallaba á los bienes de su…</t>
  </si>
  <si>
    <t>…fames, y es muy Sermones que compuso y predicó en la santa iglesia catedral de la fácil que den gato por liebre. Mucha precaución será necesaria para sa ciudad de Sigüen/n el Dr. D. Manuel de los Arcos , canónigo'que fue ber discernir lo que efectivamente está escrito por Bonaparte de lo que déla misma iglesia, examinador sinodal del obispado, y rector del se es pura invención para sacar dinero, excitando la curiosidad de los que minario concil…</t>
  </si>
  <si>
    <t>…ansas al tiempo de la 'remisión de listas á los fines que entre los que han pedido la palabra. 6? Cuando no se declare por dis la Constitución designa. Prevéngase al gefe político D. Manuel dejáucutido un negocio, á pesar de haberlo preguntado el presidente por sí ó regui, que en casos iguales al de esta causa no permita que se ingieran excitado por algún diputado, continuará la discusión; pero bastará en las atribuciones de su destino personas…</t>
  </si>
  <si>
    <t>…ncia de 18 de Junio se ha mandado se cite y. em bados por la muchedumbre. Por supuesto que entre los espectadores no plaza á los endosantes de la letra ce que se trata, que lo son D. Manuel falrabar. tímidos incrédulos , y cada cual exponía su parecer; ni'tampoco Dacosta, de S. Juan de Luz; D. Miguel Pedrererta , la casa de Galarzay podían faltar personas á quienes de resultas del nuevo invento devoraba la Goicoechea y la deMiqueletorena hermano…</t>
  </si>
  <si>
    <t>…ridas, quemaduras de toda clase y sabañones reven to estuvo de su parte para desempeñar fielmente su alta comisión; pera tados, con el método de su uso y aplicación, dispuesto por D. Manuel dejando aparte aquellos tiempos de esclavitud y de oprobio , en que era Nestar y Gómez, individuo del colegio nacional de profesores farma preciso aparentar que creíamos que el indigno Godoy era un hombre céuticos de esta corte. Se hallará en la droguería de…</t>
  </si>
  <si>
    <t>…-- renzo Arias, D.'Mamerto Landaburu , D. Manuel Cavero y Garay Dia io..t........ ....... 0....... ....... O...... ....... 1...» ........ 6........ D. Manuel García de la Madrid , D. Manuel de la Lastra, D. Mamid Dia 17............. ....... 0...... I** ...* .... .. 0.... ....... 5..... López Malo, D. Pedro Sainz Castellanos, D.Ramón Toriño, y D. Ra Dia i3............. ....... 1...... ....... I.............. .. 0.... ....... 5..... món Vega y Vel…</t>
  </si>
  <si>
    <t>…rrosa. = D. Pedro Aznar.ez:Di Manuel Vallen. zzD. lo clusive , y los 125 ,,129 , ,13o y 135 , poniendo en su lugar los dos mas Bailo.zz D. Manuel Fansarte. = D.‘ Vicente Gracia. = D. Manuel siguientes: 1«L-a fuerza de este cuerpo será la que se estime necesaria Pascual.zrzD. Mariano Ferrcr.zzD. Pedro Milian.zz D. Manuel Ma para las atenciones de Ja armada; y i.u El Gobierno presentará los re ría.zrD. Mariano Andreo.zzD. Antonio Martin. = D. Gabr…</t>
  </si>
  <si>
    <t>…n, sea por lo que quie buen éxito de la empresa. ra, vimos (y no nos pesa) que por último se acudió al ex-gobernador FKAKCIA. arcediano de Ledesma y magistral de esta Sta. iglesia D. Manuel Del gado Valie, el cual ha cumplido este encargo del modo que se podía Parts 6 de Noviembre. ^ esperar con una exhortación, en que con estilo sencillo y claro, y fun Se sabe por noticias de Nápoles que allí se piensa en negociaciones dado en principios constituci…</t>
  </si>
  <si>
    <t>…os pueblos en que por 'Martin de VaideiiíJesias. desgracia se ha manifestado hasta el dia, ó se desarrolle en lo sucesivo, Surtientes. D. Diego Parada , propietario de esta corte. D. Manuel ai se comunica siempre ó alguna vez por contagio ó roze de persona á de Rivacoba y Gorvea, del comercio de esta corte. persona ó de efectos comerciales, ó si no se propaga saliendo las per sonas atacadas fuera del foco , y acampándose en barracas al aire libr…</t>
  </si>
  <si>
    <t>…los portadores de ias órdenés de:exoneracioo á;sus respetivo» an circunstancias, estaba ,resuelto con todos sus oficiales á;impedir conti tecesores D. Ramón Luis de ;Escóvedo * y D. Manuel -de 'Velasen, núase su marcha á Cádiz, y á sostener á toda, costa ¡el. régimen consti mientras que Escovedo en oficio del 17 dió parte al Gobierno 'dé que tucional. De este suceso dió parte elbaron de Andida albrigadier Jáu aquella tirde se había ireunrdo en…</t>
  </si>
  <si>
    <t>…España ileoronel vivode-infantería D. Agustín González; del que se proponía en este mensage, conocerían que eráufl documento de de Mallorca alJcomandáSite del r^Miento de Granada D. Manuel aquellos que por su celebridad merecian ocupar uno de los lugares mi* Fernandez OJu$£s^9£&amp;yKMurcia al comandante del 1° batallón del distinguidos en los fastos de Ja historia de ias naciones libres, y que mismo D- Loren%éFCerlio; del de Asturias al comandante…</t>
  </si>
  <si>
    <t>…s límites Suplentes: D. José f María Escobar, promotor fiscal del juzgado de pri de la frontera poiaca después que los guardias han tomado sus acanto mera instancia de Marbella, y D. Manuel de la Calle, capitán retira namientos. No se cree que haya ningún movimiento por parte de las do , vecino de Mi jas. tropas rusas mientras dure el invierno; pero se han acampado todos los Por hr provincia de Cádiz. D. Francisco Javier Isturiz; D. Pedro regimi…</t>
  </si>
  <si>
    <t>…ente constituidas. En vista de todo la mayoría da autoridades que han firmado la representación dirigida á las Cortes : fi la comisión opina que ha lugar á la formación de causa á D. Manuel nalmente por resultado de todo Ja mayoría de la comisión presentará de Velasco, D. Ramón Luis de Escovedo, y demás autoridades y susu opinión sobre el punto de responsabilidad, que es el que las Cortes getos que han firmado la representación. le lian cometido…</t>
  </si>
  <si>
    <t>…yr vejando á los que no delinquen á pretexto de serles sospechosos ; la ley da de pesos fuertes serán dobles en las provincias de Ultramar; pero absolvió á D- Juan María Caldera , D. Manuel de la Rocha, D. Ma no las que consistan en un tanto por ciento, ó en cantidad relativa al nuel Al varado y D. Julián de Lima , editores responsables de dicho impute d.l daño ó del objeto en que consista e'l delito.” impreso. E Sr. Moreno dijo que el ser doble…</t>
  </si>
  <si>
    <t>Manuel, Antonio</t>
  </si>
  <si>
    <t>Antonio Manuel</t>
  </si>
  <si>
    <t>…zquierdo y Payan, sé cita y emplaza á todos los acreedo derá según los trámites prescritos en la ley de~x i de Noviembre de 1820, res que se conceptúen con.derecho á los bienes dé D. Antonio Manuel relativa á esta materia,con las modificaciones siguientes: Art. 2.0 Cuan de Oviedo ', de aquella vecindad, para que por sí , 6 por medio .de apode do se denuncie un impreso; que haya dado i luz un diputado bajo su rado que los represente, ocurran á deducir su…</t>
  </si>
  <si>
    <t>Manuel, Antonio Cano</t>
  </si>
  <si>
    <t>Antonio Cano Manuel</t>
  </si>
  <si>
    <t>…la retaguardia la milicia nacional. El dia inmedia para los años de 1820 y 18ai', y han elegido para su pre to se celebró misa de réquiem , y á su final se dijo una ora sidente al Sr. D. Antonio Cano Manuel, diputado por la ción fúnebre por un dominico constitucional en elogio de provincia de furcia; para vice-presidente al Sr. D. Ma las virtudes cívicas de aquellos ilustres difuntos. Vueltos nuel de la Bodega, que lo es por la de Lima; y para se los huesos al c…</t>
  </si>
  <si>
    <t>Manuel, Cano</t>
  </si>
  <si>
    <t>Cano Manuel</t>
  </si>
  <si>
    <t>…expongan sus méritos. Parlamento y generales de las Dos Sicilias que lleguen á España. g¡° Que para la propuesta y provisión'de destinos se tenga muy Apopada por su autor, dijo el Sr. Cano Manuel que la Nación espa presenté la Real orden de 14 de este mes, con arreglo á la cual las ñola practicaba las virtudes sociales en toda su extensión, y que las Cor plazas de indispensable provisión solo han de recaer en empleados ce tes no necesitaban dictar ley…</t>
  </si>
  <si>
    <t>…creto de 21 de Octubre último; p.-.o que no pasaron 20 dias cuando truyan las sociedades patrióticas. ? se llegó á conocer su falta y utilidad ; que desde entonces están claman El Sr. Cano Manuel: el señor preopinante,’que tíme tantos males do los verdaderos amigos del sistema por que vuelvan a reponerse di de las sociedades patrióticas, opina que estas no deben reunirse, porque chas sociedades; y que por ultimo todos se han ido convenciendo de la "ha…</t>
  </si>
  <si>
    <t>…é impartiendo su auxilio” „para los electos conve debía ir por los trámites que prescribe la Constitución para los pr&amp;yec- nientes.” tos de ley. Se leyó el art. 8.°, que decía: El Sr. Cano Manuel indicó debia considerarse como segunda lectu 8.° ,,Los asuntos que estas reuniones quieran sujetar á su discusión ra la que se habia hecho del citado proyecto de ley. se anunciarán con 24 horas de anticipación , y no podran ventilarse ni Se leyó el art. 135 d…</t>
  </si>
  <si>
    <t>…anecer la mala impresión que haya podido hacer.” lud del pueblo es la suprema ley. Asimismo no -.se .admitió á. discusioio.o.fra adición al artículo 4.0 Se leyó una indicación del Sr. Cano Manuel, que decia: « Pido ajas. del Sr. Lastarria, que decia: -,¡Qu.e toda expresión que se haya de escri Cortes se sirvan declarar si sobre el negocio del pase de las ■ bulas del bir, asi.como toda Otra qué se haya anotado , sea escrita y leida por su muy R. arzobi…</t>
  </si>
  <si>
    <t>…medi El Sr. Martel dijo que la comisión la habia tomado en considera das que hayan tomado para remediarlo. ción , y que se oponían varias dificultades; pero que sin embargo se El Sr. Cano Manuel dijo que el Gobierno hace pocos dias hábil trataba del parage en que se podrian colocar para oir bien las discusiones. comunicado á las Cortes una circular que habia pasado á todos los tri El Sr. presidente dijo que respecto á que , según habia dicho el se bu…</t>
  </si>
  <si>
    <t>…su sanción;: habia de ir á palacio debían disponerse para verificarlo , y nombró al á lo que contestó el Sr. presidente que las Cortes quedaban enteradas y Sr. Espiga en lugar del Sr. Cano Manuel, que no se hallaba presente,, complacidas de oír los sentimientos de S. M. después de lo cual salió la diputación referida. El Sr. Martínez de la Rosa manifestó debía mirarse con-mucha con-, Se leyó el caso cuarto del art. 7.0, que decia: » Para quitar ó coar…</t>
  </si>
  <si>
    <t>…uesen aprehendidos se "perjudicial i todo el Estado, como lo dice benjamín Cohstant, autor que paradamente. no tiene ni la nota de exaltado ni de ultra, y que siempre clama con El Sr. Cano Manuel contestó , que aun cuando se habia expresado en tra las leyes de exención, y á ellas atribuye todas las desgracias acae el proyecto de ley que los que hiciesen resistencia á la tropa, aunque esta cidas en Francia. Por cuyos motivos me opongo al parecer de la…</t>
  </si>
  <si>
    <t>…. el Emperador Alejandro , rogando do para esto la resistencia’sin necesidad de la aprehensión. ... . ... . í este Monarca que no reuse su poderoso auxilio á estos dos princiin El Sr. Cano Manuel «lijó p« su pirte no-tenia inconveniente dos (Valaquia y Moldavia}, que son los mas expuestos á un peligro en que se hiciese aquella variación en el artículo, debiendo ser juzgado inminente.” . militarmente todo el que hiciese resistencia á la'tropa , aunque…</t>
  </si>
  <si>
    <t>…acienda, relativo á la propuesta que en 1818 hizo el Exento. Sr. vidos por la. v ¡a. ordinaria.” , rey del Perú, para que no se descontase de la mitad de -la paga la gratifi- , El Sr. Cano Manuel contestó que en las ordenanzas militares estaba cacion. que se da á ios oficiales de egército cuando tienen que embat- - señalado todo lo que debía'hacer un oficial cuando tuviese el carácter carse; una exposición de la madre y hermana del teniente D. Manuel.…</t>
  </si>
  <si>
    <t>…icable lo que proponía la que se promulguen para estos delitos:” la segunda „ lo mismo los reos comisión. comprendidos en esta ley, y sus cómplices que sean aprehendidos por la El Sr. Cano Manuel apóyó la'Opinión del Sr. Gareli; hizo algunas tropa yus! del egército permanente como ds la milicia-nacional dentro</t>
  </si>
  <si>
    <t>…nte dijo que no podia menos de manifestar que algu cha, milicia*, ; - nos Sres. diputados habian llamado su atención sobre la solemnidad de "Volvió la diputación de palacio , y el Sr. Cano Manuel dijo: ,,La los dias de mañana y pasado mañana , y que no creyéndose con sufi diputación hombrada ha desempeñado la.com ¡sion que las Cortes le ha- ciente autoridad para decidir que no hubiese sesión en estos dos días, Jbian encargado. Yo, al frente de esta mi…</t>
  </si>
  <si>
    <t>…acón ia, donde jamas han permitido que Se declaró en seguida haber lugar á votar sobre este artículo ; y el se interne un turco. Aman con idolatría la virtud y la libertad; parece Sr. Cano Manuel preguntó si habría ó no lugar á los juicios de conci que la gran sombra de Licurgo habita entre ellos: á lo menos se en liación , con respecto á lo que se expresaba en él; siendo de parecer que cuentran en sus costumbres muchos vestigios de las instituciones…</t>
  </si>
  <si>
    <t>…corrien los peligros que corre la libertad política, reclama á lo menos alguna te que tuviera en la plaza. independencia á favor de la única institución que en t.empos calamito Ei Sr. Cano Manuel dijo: yo me he enterado de este negocio, y co sos pueda siquiera ofrecer un asilo á la libertad civil, y una garantía a nozco la justicia de la solicitud de este interesado. Por el decreto de las todo ciudadano contra la parcialidad del espíritu de partido, y…</t>
  </si>
  <si>
    <t>…de conciliadores, lo cual es y debe entenderse sin perjuicio del Cortes dijesen sobre cual se ha de tratar. fuero que competa al demandado, para que no se le juzgue sino por su El Sr. Cano Manuel se opuso á lo que habia propuesto el Sr. conde juez competente cuando no se conciben las partes. g.° Para que se cele de Toreno; y habiendo apoyado no solo el primer artículo, sino el bre el juicio de conciliación no debe preceder petición por escrito; bas di…</t>
  </si>
  <si>
    <t>…y voto porque la capital sea bastante tiempo ; hay que considerar también que estas lo tienen tam bién que comunicar á sus respectivos pueblos, empleando en elio bas Albacete. El Sr. Cano Manuel, después de haber manifestado las desventajas con tante tiempo; pues la circular que fue, v. gr., á la Coruña, tiene que que entraba en esta discusión, dijo que no sabia qué fatalidad había te desandar eí camino que había hecho para acercarse casi a la Castil…</t>
  </si>
  <si>
    <t>…arte que pueden ganar en elías. Que Chinchilla tenia edificios magníficos cons dice su capital Chinchilla. truidos de piedra de sillería, y aunque le faltaban'molinos y lonja?, El Sr. Cano Manuel, continuando su discurso, dijo : Ayer demostré tenia vasta extensión en que poder fabricarlas. Que en cuanto á cose que Chincijiila era mas central que Albacete, y ahora añado que no chas las ha tenido de trigo ant.s de la güeña que le han valido medio solame…</t>
  </si>
  <si>
    <t>…no lo hay. hi la embriaguez se ha excluido por Se continuó la discusión sobre la totalidad del código pena!. la dificu’tad que hay de probar si un hombre esta ó no ebrio, á pe El Sr. Cano Manuel dijo: Es una verdad, que no podemos dudar, sar de que hay señales que lo pueden dar á conocer, ; cómo se ha de que hay una urgente necesidad del código criminal; verdad que cono probar el que haya mala intención para que haya delito: Esta es una cieron las Co…</t>
  </si>
  <si>
    <t>…que en adelante no se permita la entrada desemejantes fosfoios, el. que la ley castigase con mas de una pena. cuya prohibición recomienda el Gobierno, fundado en que teiiemo’. El Sr. Cano Manuel manifestó que este artículo parecia injusto, otros equivalentes, y cuando no superiores, á lo menos mas seguros porque no se consideraba que el legislador debía mirar los delitos y para encender luces. De orden de las Cortes lo comunico á V.E/ccn los delincue…</t>
  </si>
  <si>
    <t>…a CORTES EXTRAORDINARIAS DEL AÑO DE 1821. jarse nías la pena, por cuanto entonces se protegería en cieno modo la impunidad de los delincuentes. PRESIDENCIA DEl SEÑOR CLEMENCIN. El Sr. Cano Manuel y el Sr. Tapia hicieren algunas observaciones acerca del artículo, y después de una corta discusión quedó aprobado, Sesión del 10 de Diciembre. Se aprobó el artículo 20 , que decía asi; - Art. 20. « Las mugeres, hijos, nietos ó biznietos que en cualquie Se le…</t>
  </si>
  <si>
    <t>…e trabajos perpetuos por toda la vida, irreglo á lo que se estableciese en el código de procedimientos. porque ya no se castigaba solo ehdelito, sino la reincidencia é incovre- El Sr. Cano Manuel: No me conformaré en que se imponga al de gilnlidad que manifestaban en el solo hecho de volver a delinquir. Ba lito que se refiere en esta última parte del articulo la pena de muerte. jo este principio manifestó que no debían examinarse los delitos de que La…</t>
  </si>
  <si>
    <t>Manuel, Cano-</t>
  </si>
  <si>
    <t>Cano- Manuel</t>
  </si>
  <si>
    <t>…ía dar servación-/ y es que mas- bien se deben considerar, entre lp£ cómpliceslugar á muchas dudas. ios i que-guardan-las espaldas: que entre:-Jos,auxiliadores.? Entcl«: párrafoEl Sr. Cano- Manuel dijo que no extrañaba que este artículo sufriese 3.0 del art. 15 están declarados por cómplices los que á sabiendasvy es alguna contradicción-, porque eñ Ja manera queestaba extendido parecía. pontáneamente provocan ó incitan por ¿us discursos i cometer una c…</t>
  </si>
  <si>
    <t>Manuel, Capo</t>
  </si>
  <si>
    <t>Capo Manuel</t>
  </si>
  <si>
    <t>…ente, vice-presidenté y secretarios; y fue Otra ca-a calle Rubios, núm. 36, en 16,5 7 2 rs. O.ra casa calle de la Encarnación vieja, núm. 13 , ett ron elegidos, para presidente el Sr. Capo Manuel, por 74 votos; para vice-presidente el Sr. la Bodega, por 7; ; para 17,610 rs. secretarios el Sr. Couto, por 73, el Sr. Traver, por 74 en Otra casa calle Real, en la callejuela sin salida, núm. 8, segundo escrutinio; el Sr. Peña fiel por 78, lambien en se ert…</t>
  </si>
  <si>
    <t>Manuel, Eugenio</t>
  </si>
  <si>
    <t>Eugenio Manuel</t>
  </si>
  <si>
    <t>…allero y á D. Gaspar Josef de Aguilar: para la de Aragón á D. Es coroneles ó tenientes coroneles, y en lugar de un segundo comandante teban González Varea •- para Ja de Asturias á D. Eugenio Manuel mayor se sustituyese un segundo comandante encargado del detall; cu Cuervoj y para la de Extremadura á D. Manuel Martin Bernal. yas variaciones admitió la comisión, y con las mismas se aprobó el ar tículo. Dirección general de estudios. Habiendo expuesto ¿ la…</t>
  </si>
  <si>
    <t>Manuel, Vicente Cano</t>
  </si>
  <si>
    <t>Vicente Cano Manuel</t>
  </si>
  <si>
    <t>…os en 1080 rs. cada uno, que -cumple en i.° de Octubre de Mateo Valdemoro; para el de Gobernación de Ultramar á D. Ramón j 840, en 58,634 rs. Feliú; para el de Gracia y Justicia á D. Vicente Cano Manuel^ para Otra núm. 4, calle Caraballo , en 16,134 rs. el de Hacienda á D. Antonio Barata; para el-de Guerra a D. a-ornas Otra núm. .5, en la misma calle de Caraballo, en 20,696 rs. Moreno, y para el de Marina á D. Francisco de Paula Escudero. Ten- Otra núm. 2 2…</t>
  </si>
  <si>
    <t>…Sr. (Sarcia, aprobada to correspondiente , y habia tomado posesión de Ja secretaría de Gracia en la sesión de ayer, de la que resultaría difundirse irífe y mas la ilus y Justicia D. Vicente Cano Manuel. tración, aunque no se multiplicasen tanto los establecimientos públicos. Se mandó pasar á la comisión en que existen los antecedentes una El Sr. Cabrero pidió se conservase la universidad de'Huesca, fun exposición de £&gt;. Manuel Beltran de Lis, en que. hacía…</t>
  </si>
  <si>
    <t>…ia al público, para que los que se circule. Está rubricado de la Real mano.=En Palacio á 17 de Mayo crean con mériios é idoneidad en el arte para su buen desempeño, y de 1821. = A D. Vicente Cano Manuel. reúnan la circunstancia de ser adictosá láConstitución ,presenten, con forme á lo prevenido en Real orden de to del corriente , sus respecti - Por el ministerio de Gracia y Justicia se ha dirigido al de la Go vas solicitudes en el término de un mes al superi…</t>
  </si>
  <si>
    <t>…publique y cirfrente de las banderas.” Después de una ligera discusión se mandaron cule.=Está rubricado déla Real mano.zuEn Palacio á 6 de Junio de 1821. pasar á la comisión. = A D. Vicente Cano Manuel. Se mandó insertar en el acta el voto particular del Sr. Gutiérrez Acuña, contrario á la aprobación de las Cortes de que el art. i.° se ANUNCIOS. votase por partes. Lo mismo se verificó con el de los Sres. González Allende, Ro nota. En la gaceta de ayer , col…</t>
  </si>
  <si>
    <t>…a en el vastísimo imperio romano, Ie. = Está rubricado de la Real im,no. = En Palacio á 5 de Julio de cupo en parte al Emperador de Oriente después de la funesta división 1821.= A D. Vicente Cano Manuel. de aquel imperio, y tuvo la misma suerte que las demás provincias después que los turcos dieron en tierra con el trono de Bizancio. ■ 2o. Don Fernando vn por la gracia de Dios y por la Constitución de Desde e»ta época tan fatal al cristianismo y á la civiliz…</t>
  </si>
  <si>
    <t>…de libertad de imprenta, y para el de las de Está rubricado de la Real mano.rcEn Palacio á 5 de Julio de 1821.— México, Lima y Manila. Cap. i.° De la forma y dependientes de la A D. Vicente Cano Manuel. junta. Art. 1.° La junta se compondrá de los siete individuos que prescribe la nueva ley de libertad de imprenta, y de un secretario El Rey , á consulta del consejo de Estado , se ha servido nombrar nombrado por ella, y que no sea individuo suyo. Art. i.’ Se…</t>
  </si>
  <si>
    <t>…irse que los medicamentos la cule. = Está rubricado de la Real mano.= En Palacio á 12 de Agos habían puesto en este estado, y que no le faltaba mas que un esfuerzo to de 1821.=: A D. Vicente Cano Manuel. de voluntad para conseguir este primer ensayo; pero esto ¡continuarla da la misma manera por espacio de ocho dias, sin la menor ircomodidad, . VARIEDADES. sin la menor fatiga, y sin los dolores que aun sintió el dia anterior; A este egemplo han seguido otras…</t>
  </si>
  <si>
    <t>Manuel, Vísente Cano</t>
  </si>
  <si>
    <t>Vísente Cano Manuel</t>
  </si>
  <si>
    <t>…i el hermano contra el hermano, el tio contra el sobrino. {Se do nombrar para dos plazas de ministros de las deqlaradas continuará.) interinas en el tribunal supremo de Justicia á D. Vísente Cano Manuel y á D. Manuel de la Bodega. cambios. Madrid y Febrero 21 de 1821. Londres..................................................... 3&lt;5f Constando de un modo positivo ó'indudable al Sr. Don París............................................................) 15-18 F…</t>
  </si>
  <si>
    <t>Manuel-Coimbra</t>
  </si>
  <si>
    <t>…■ u reemplazo del egército se adopten las mismas medidas que en el de ia A la de Infracciones de Constitución se mandaron pasar las-recla Marina. ■■■■ maciones siguientes : una de D. Manuel-Coimbra , asesor del consulado A la comisión Eclesiástica pasaron unas observaciones del clero de de la Havana , Contra el comandante general de'dicho apostadero: otra la provincia de Guipúzcoa sobre el arreglo y establecimiento de par de D- Francisco Ruiz Fernandez…</t>
  </si>
  <si>
    <t>Manuel.dijo, Gano</t>
  </si>
  <si>
    <t>Gano Manuel.dijo</t>
  </si>
  <si>
    <t>…o se aprueban los ocultar su verdadera población, ■ presupuestos sin Hatos,, Granada se declarará insolvente. Después de hacer varias reflexiones sobre el modo que tuvo la asam El Sr. Gano Manuel.dijo; .Es sumamente difícil el poderse contraer blea constituyente de verificarla división, pasó el orador á,manifestar á cada uno de los puntos que ofrece el dictamen de la comisión, y es su utilidad, la cual la fundó en las ventajas que podrán lograr por este me…</t>
  </si>
  <si>
    <t>Manuela</t>
  </si>
  <si>
    <t>…onel Don én defensa de la justa causa de la Nación , cupo en la suerte del pri Juan Antonio de Prado, primer ayudante del regimiento infantería de mer extracto de la de este dia á Doña Manuela de la Huerta, com Vaienzay, en la que cede a favor de la Nación los 12,600 rs. vn. que prendida en las de los víctimas del Dos de Mayo. alcanza del tiempo que estuvo prisionero de guerra en Francia , y S. M., al mismo tiempo que ha tenido á bien admitirle el…</t>
  </si>
  <si>
    <t>ManuelpolíticosLuquetdeáMadri</t>
  </si>
  <si>
    <t>….......en París 47,236-30 'I 1 S Asignacionespor ayuda adeestablecimientoscosta y establecimiento..................piadosos y otros. 140,285-12120,000 &gt; 394.759” 7 "" l GobiernosA D. ManuelpolíticosLuquetdeáMadridcuenta ydeCataluña,......dos joyeles........ 10,554-1820,000 (.Cesantes y jubilados..........................................—. 6,986- 7 Id. de UltramarÁS¿cm^ d(ii despacho-, 39*5 37- (.Dependencias subalternas.. 3»397~ 1 42,934»24 ■Consejo de Estado y sus se…</t>
  </si>
  <si>
    <t>ManuelXlorente</t>
  </si>
  <si>
    <t>…. los-griegos Taboada, oficial de la secretaría de la Gobernación de la PenínsuIa; -para-fabricar armas y municiones. La absoluta ignoranciadel arte.de la D.-Josef Santiago Mtfro; D. ManuelXlorente, sargento mayor de ía guerra y.la falta de disciplina militar con desventajas'comunes-á unos columna de granaderos provinciales de Galicia, ¡el Dr. D. Joaquín Pa y otros -, pero los griegos conocen que .adolecen de este defecto, y traba- tino . bibliotecario…</t>
  </si>
  <si>
    <t>Manuel’Ayala</t>
  </si>
  <si>
    <t>…e que el Rey de Inglaterra hará al Hannóver le acompa relativos á.qué podía áccedérsé á las solicitudes de D. Antonio del ñarán el lord Castiereagh y el conde de Liverpool. Pando, D. Manuel’Ayala, D. Juan Becerra y García, D. Andrés Garrido y D. Manuel Nasarre sobre dispensa de edad y permuta de rOKTUGAl. estudios para recibirse de abogados. La comisión de Hacienda presentó su dictamen acerca de las di " Lisboa a de Mayo, ferentes solicitudes que le h…</t>
  </si>
  <si>
    <t>Manuel’Beltráñ</t>
  </si>
  <si>
    <t>…o , partió en busca de' con el expediente que obra alli. ’ \ ■ - , 7los bandidos con solas dos escopetas y las varas de sus arados ; y lle Ala de Hacienda se ^asó una instancia de D. Manuel’Beltráñ de gando al sitio señalado , vieron cuatro hombres bien armados, sobre los Lis, en que pide se le indemnice dé'las considerables sumas de que se cuales se arrojaron, á pesar de que haciendo estos uso de sus armas, ha desprendido para conseguir la libertad de…</t>
  </si>
  <si>
    <t>Manzanares, Josef Diaz</t>
  </si>
  <si>
    <t>Josef Diaz Manzanares</t>
  </si>
  <si>
    <t>…ar auxilios á las is Nulidades de la enseñanza mutua por Lancaster, comparada con los las del Archipiélago. Multitud de noticias se publican sobre turcos y sistemas españoles, por D. Josef Diaz Manzanares: este papel es muy griegos, y el conjunto de ellas presenta horrores y desórdenes terribles, Util é interesante á cuantos aprecian y se hallan dedicados á la ense ¿i patriarca griego de Constantinopla ha perecido cruelmente, y su ñanza. Se hallará en la libre…</t>
  </si>
  <si>
    <t>Manzanares, Ramón</t>
  </si>
  <si>
    <t>Ramón Manzanares</t>
  </si>
  <si>
    <t>…levántenlo aprueban, y los D. Pedro í.ezcauo; para Peúafiel á D. Juan García Barba; para Medi que queden sentados reprueban. El secretario que hubiere hecho Ja pre na deL Campo á D. Ramón Manzanares; para Olmedo á D. Esteban gunta publicará el resultado, si no tuviere duda alguna; mas si la hu Sánchez de la Iglesia; para Tordesiilas á D. Eugenio Hernández Borbiere, ó pidiere algún diputada que se cuenten los votos, aunque sea bon; paraRioteco á D. Zacarí…</t>
  </si>
  <si>
    <t>Manzano, Francisco</t>
  </si>
  <si>
    <t>Francisco Manzano</t>
  </si>
  <si>
    <t>…los Pares continuaba sus deliberaciones sobre la conspi los herederos de D. Pedro Collado, del .convento de la ración del 19 de Agosto; la Cámara de los Diputados tuvo Merced y de D. Francisco Manzano, en 17,820 rs. el dia 7 una discusión acalorada ‘obre reclamaciones hechas Fincas que se rematan el dia ay. por varios oficiales de la guardia Real de Josef Napoleón ea Un cercado, nombrado de Zalema, sito en el pago de sa España. • nombre, con su casa, cerca…</t>
  </si>
  <si>
    <t>Manzano, Josef Ruiz</t>
  </si>
  <si>
    <t>Josef Ruiz Manzano</t>
  </si>
  <si>
    <t>…esta cia de los partidos de la provincia de Córdoba, en esta forma: para el villa y corte los conventos de Dominicqs.de nuestra señora de Ato de la capital á D. Francisco Do,a! y D. Josef Ruiz Manzano; para el cha ; de Carmelitas calzados, de S. Dámaso; de Carmelitas descalzos, de Bujalance á D. Andrés Gamez y Plata; para el de Baena á Don de S. Hermenegildo; de Trinitarios calzados, de la Santísima Trinidad; Antonio Pardo; para el de la Carlota á D. Indal…</t>
  </si>
  <si>
    <t>Mar</t>
  </si>
  <si>
    <t>…an á la Nación del decreto de Para la de Instrucción pública. la reforma de regulares y de la abolición de los diezmos, rebatiendo Sres. Muñoz Torrero, Martínez de la Rosa, López (Don Mar al mismo tiempo con solidez las especiosas objeciones que secreta y ma cial), Ctemencin, Toreno, La-Llave (D. Pablo), Tiñan, Janer y liciosamente suelen esparcir los infames enemigos de nuestra adorada Ugarie (D. Gabriel). Constitución; y demostró casi matemá…</t>
  </si>
  <si>
    <t>…encia territorial , y juez de primera" instancia la diócesis, y me remitió V. E. con su oficio de 5 de Marzo último, de esta M. H. villa , refrendada por el escribano de su número D. Mar se ha servido S. M. resolver en su vista que subsistan en Santander el tin Santin y Vázquez, se sacan á pública subasta por término de 30 convento de franciscos, y los de la misma orden en S. Vicente de la días dos casas en esta población, la una en la calle…</t>
  </si>
  <si>
    <t>…lid, el de' franciscos descaLzos; en Aguilar de Campos y en Ma- Andrés Domínguez, sargento segundo disperso. yorgáj .de la misma provincia, los de franciscos calzados. S. M. ha te Doña Mar&gt;a .Casademuut, que sirvió en ¡a; compañía, de mugeres nido á bien resolver^igualmente que se supriman en León el de domi de Gerona. nicos; en Castroverae el de franciscos, agregándose sus individuos al Don Joaquín María de Ugarte, caballero de la orden de Cár…</t>
  </si>
  <si>
    <t>…ula la Real orden siguiente: » Habiendo dado cuenta al Rey de la consulta de esa dirección , en ARTICULO DE OFICIO. que manifiesta que por el juez de primera instancia de Valencia D. Mar tin Serrano se lia pasado oficio al administrador del ramo en aquella El Rey ha expedido el decreto siguiente: ciudad para que le remita á su juzgado las cartas que lleguen á la ad Don Fernando vn por la gracia de Dios y por la Constitución de ministración á…</t>
  </si>
  <si>
    <t>…lava. El Excmo. Sr. D. Miguel Ricardo de ti lacos, ingleses y ,junios; dos holandeses y tres españoles. Se observa Alava , teniente general de ¡os ejercites nacionales. Surtiente. D. Mar que no ha entrado en este puerto ningún buque giiego procedente de la tin Ramírez de la Piscina , abad de la coiegiai de Alfaro. Mosca ni del Archipiélago. Por la provincia de Murcia. D. Josef Rodríguez Paterna ; D. Juan __El príncipe Demetrio ípsilanti dejó…</t>
  </si>
  <si>
    <t>…scusión la proposición referida, y se leyó el ar -con el didjido-conocimiento y seguridad íkc. tículo 15 deleitado decreto. El Sr. Gaseo: A pesar de la contestación que ha dado él Sr. Mar El Sr. Martel: He pedido la palabra para apoyar la proposición del tel , en mi concepto fi. S. ó no ha tenido presente que tiene bastante Sr. Calatrava , y rogar á las Cortes que mediante la importancia de fuerza una de las observaciones del Sr. Palarea, ó se ha ol…</t>
  </si>
  <si>
    <t>Mar, Antonio</t>
  </si>
  <si>
    <t>Antonio Mar</t>
  </si>
  <si>
    <t>…isión de Hacienda se mandó pasar una exposición de la primeros artículos de la minuta de decreto sobre señoríos, leída en Ja junta nacional del Crédito público, remitiendo otra de D. Antonio Mar sesión de esta mañana, por contenerse en ellos la declaración del decre tínez, para que sé le perdonen 195 rs. que está adeudando por el arrien to de 6 de Agosto de 1811 , dado en virtud de una consulta del tri do que hizo del convento de agustinos calzado? d…</t>
  </si>
  <si>
    <t>Mar, Antouio</t>
  </si>
  <si>
    <t>Antouio Mar</t>
  </si>
  <si>
    <t>…51 , 3855 , 3856, 3940, 394J, El Rey ha expedido el decreto que sigue : S94z, 3943,3944, 3945 &gt; 3940» 3947.3948,3949, 3950, i¿,6i8, ,, Atendiendo á los méritos y circunstancias de D. Antouio Mar 10,651 , 10,706, 10,749 y (0,855 , y uno no consolidado de 100 ¡se tínez, contador general de recaudación del Crédito público , he venido sos, núm. 6212; y habiendo sido interceptada la mala en que venían en nombarle tesorero general de la Nación, por jubilac…</t>
  </si>
  <si>
    <t>Mar, Francisco</t>
  </si>
  <si>
    <t>Francisco Mar</t>
  </si>
  <si>
    <t>…te, více-presidente y secretario mas antiguo el Sr. D. Diego. cío los restos de nuestras pasadas glorias; y convencido de la oportu Clemencin, han sido elegidos para presidente el Sr. D. Francisco Mar nidad de resucitar nuestro antiguo espíritu marcial, ó sostener la repu tínez de la Rosa , diputado por la provincia de Granada -. para vice tación del que siempre tuvimos para afirmar nuestra libertad é inder presidente el Sr. D. Francisco Ramoaet, diputado…</t>
  </si>
  <si>
    <t>Mar, Josef</t>
  </si>
  <si>
    <t>Josef Mar</t>
  </si>
  <si>
    <t>…icho mal Observador con esta palinodia; canta ANUNCIOS. todavía la siguiente: ,,E1 general Frimont está lejos de despreciar ásu Por providencia del señor juez de primera instancia D. Josef Mar enemigo: la circunspección con que ha abandonado su primer proyecto tínez Moscoso se cita, llama y emplaza por término de 30 días, con de marchar directamente sobre la ciudad de Nápoles por Roma y Ter tados desde su publicación en la gaceta, á todos los que s…</t>
  </si>
  <si>
    <t>…mismo que el de'toda escuelas.'- - ¡ .. i . : , ■ . la" Iglesia-, és uno: solamente que se divide: eñ ¡vacias personas, para el A la de Legislación-se mandó pasariuna solicitud de D. Josef Mar mejor servicio de la religión: Estas son la¿ bulas, en que á . mi. entender rón, coronel de egército, y capitán del provincial de Valladolid, para se necesita mas el consentimiento de ¡las,Cortes, para que el Rey .les que en atención á sus servicios,-y á esta…</t>
  </si>
  <si>
    <t>Mar, Josefa</t>
  </si>
  <si>
    <t>Josefa Mar</t>
  </si>
  <si>
    <t>…os, que mientras haya españoles tan resueltos que traten en tabacos. y amantes de la libertad como los guipuzcoanos, nada mas que para Se dió cüenta de un expediente promovido por Doña Josefa Mar hacer desprecio se hablará entre nosotros de los satélites del despotismo. cial, viuda del administrador de salinas de Granada, para que se la Madrid 6 de Marzo, conceda una pensión, mediante no disfrutar viudedad; y se pasó á la SS. MM. y AA. continúan sin n…</t>
  </si>
  <si>
    <t>Mar, Juan</t>
  </si>
  <si>
    <t>Juan Mar</t>
  </si>
  <si>
    <t>…la Diputación per La haza de la fuente del Suero , con 276 aranzadas de manente, leyó el acta deja sesión celebrada por esta en el labor, gravada con 900 rs. á la copel la nía de D. Juan Mar dia de ayer, en la cual, con arreglo á lo mandado en la tínez , y con 20 rs. á tá iglesia de S. Dionisio , en 218,20c rs. Constitución, habían sido elegidos para egercer el cargo de Dos hazas en Taba jete divididas; á saber: ja ¡transidas secretarios en las j…</t>
  </si>
  <si>
    <t>Mar, Juan Francisco</t>
  </si>
  <si>
    <t>Juan Francisco Mar</t>
  </si>
  <si>
    <t>…cardenal Bardují cié Azara, y de los auditores de la Rota romana, de realengo , que hayan recibido del erario ú censo perpetuo , también D. Manuel Martínez del Campo y Guerra , y D. Juan Francisco Mar continuarán pagando la cantidad estipulada en sus contratos en la mis_ co y Catalan , panuque se declaré que sus dignidades no están compren ma forma que las anteriores ; pero aunque el censo se haya establecido didas en el decreto de 2 de Setiembre último. c…</t>
  </si>
  <si>
    <t>Mar-</t>
  </si>
  <si>
    <t>…la elección para el mes entrante , y salieron elegi Antonio Marau, vecino di la Ollería; D. Pedro Nolasco Morales , al dos, para presidente el Sr. Trigosó, para vice-presidente el Sr. Mar- calde constitucional de Játiva; el barón de Casanova , de Bocairenre, giochi , para secretarios los Sres. Queiroga, Riveiro Costa, Freire y y D. Baltasar Fusrer , de Enguera—En Alicante el Excmo: Sr. Don Feigueiras, y suplentes los Sres. Miranda y Pinto Magal…</t>
  </si>
  <si>
    <t>Maran, Melchor</t>
  </si>
  <si>
    <t>Melchor Maran</t>
  </si>
  <si>
    <t>…e el divan evite catástrofes que com Murcia ; D. Francisco Belda y Asensio, teniente de ingenieros. Suprometerán su existencia política, acelerando una guerra cuyos resul plentes. D. Melchor Maran, abogado; D. Josef Agulló, propietario de tados podrán ser terribles. Por otra parte no parece sino qu¿ los m s- Elche; D. Josef March ; D. Josef Cuevas, abogado. mos turcos desean entrar en campaña, fiados en el entusiasmo nacional, Por Avila. D. Leandro Lad…</t>
  </si>
  <si>
    <t>Marañon, Josef Perez</t>
  </si>
  <si>
    <t>Josef Perez Marañon</t>
  </si>
  <si>
    <t>…sboa. D. Josef Pantaleon de Aguirre, de NOTICIAS DE ESPAÑA. D. Andrés García del Hoyo, de Bilbao. Bilbao. D. Josef Ruet y la Torre, id. Sevilla 4 de Agosto. D. Angel Martínez, id. D. Josef Perez Marañon, de San D. Anselmo Elguizabal, id. tander. (Continua el artículo de ayer.) D. Antonio Coma, de Cádiz. D. Josef García Carrasco, de CáA los .que se presenten leyendo bien en prosa, sabiendo doctrina Bayo é hijo , de Bdbao. ceres. cristiana y con conocimiento d…</t>
  </si>
  <si>
    <t>Marcelo</t>
  </si>
  <si>
    <t>…ontra su Hijo Félix Sarasa, capitán retirado de la extinguida división de Navarra, y Jesucristo . v cuanto se esmeran particularmente en seducir á los Céle* *n compañía de su hijo D. Marcelo, individuo di terció de lanceros con una falsa fi’osofia y con encubiertos engaños ,v para separarlcwdr la de la milicia nacional de esta capital : efectivamente á la media hora de doctrina de la Iglesia, y para dividir ydestruir con estueizos siempre va esta…</t>
  </si>
  <si>
    <t>March, Josef</t>
  </si>
  <si>
    <t>Josef March</t>
  </si>
  <si>
    <t>…acelerando una guerra cuyos resul plentes. D. Melchor Maran, abogado; D. Josef Agulló, propietario de tados podrán ser terribles. Por otra parte no parece sino qu¿ los m s- Elche; D. Josef March ; D. Josef Cuevas, abogado. mos turcos desean entrar en campaña, fiados en el entusiasmo nacional, Por Avila. D. Leandro Ladrón de Guevara; .D. Josef Cano. Su que por todos los medios posibles procuran estimular; de manera que plente. D. Juan Manuel Enguídano…</t>
  </si>
  <si>
    <t>Marchámalo, Francisco Mateo</t>
  </si>
  <si>
    <t>Francisco Mateo Marchámalo</t>
  </si>
  <si>
    <t>…la reunión de las Por la provincia de Guadal.-,jara: D. Miguel Atienza, presbítero tuntas electorales en caso de que haya alguna negligencia en ello. 2.° propietario en Jadraque: D. Francisco Mateo Marchámalo, del tribu Preparar la reunión de las Cortes en conformidad de los arts. 59 y si nal supremo de Justicia. Suplente : D. Gregorio García Tabernero , abo guientes. g.° Convocar las extraordinarias en los casos prevenidos en el gado propietario de Guadalajara. a…</t>
  </si>
  <si>
    <t>Marcial</t>
  </si>
  <si>
    <t>…arbitrio de Jos Se leyó en seguida el artículo del reglamento que trata de este cpipisionados de los Gefes políticos , se acabó la libertad españolaf y la asumo: y el Sr. López ( D. Marcial) dijo que el Sr. Giraldo, que era Constitución y todo; y.concluyó pidiendo se declarase haber lugar.á la presidente en la legislatura pasada, propuso á las Cortes cuando se tra formación de causa contra el Gefe político, de Murcia, por haber in tó de este neg…</t>
  </si>
  <si>
    <t>tud de que se le hagan, cirgos por su conducta militar y política; seña En lugar del citado dictamen propuso [el Sr. López ( D. Marcial) lándole parage del reino donde deba presentarse. la siguiente indicación: „Pido, que el informe de la comisión de• Bellas "Sé pasó i'li» de Legislación, con urgencia, una solicitud de D. Fran* arte, vuelva á la misma, para que con arreglo á las observaciones…</t>
  </si>
  <si>
    <t>…ho el A la de Guerra se pasó un oficio del Sr. inspector déMiliciasrpro- año pasado. • : ' vínciales sobre si deben1 considerarse válidos los sorteos finalizados an El Sr. López ( D. Marcial ) pidió que mediante á no ser urgente tes del dia 14 de Noviembre último. el despacho de este asunto, no se revolviese por ahora, y pasase ¿ la co A las comisiones de Guerra y Marina se pasó una consulta del se misión de Hacienda para que lo tuviese presente.…</t>
  </si>
  <si>
    <t>…ma por haberle puesto Habiéndose anunciado la discusión del proyecto de ley sobre ins sin motivo en la cárcel pública en calidad de detenido. trucción pública, pidió el Sr. López (D. Marcial) que asistiese á ella A la misma una exposición de D. JuanRuiz, vecino de Málaga, en el Sr. secretario de la Gobernación de la Península, suspendiéndose que manifiesta haber sido desterrado por creerle autor de un suplemen entre tanto la discusión. Se acordó…</t>
  </si>
  <si>
    <t>…y secretario, conforme á las leyes, luego que se haya verificado pueblos de 1000 vecino», debería ser también para los que tenían ec-c. el reparto en cada término.. El Sr. López (D. Marcial) .hizo presente que la Constitución r,o .Los Sres. Moreno Guerra , Díaz Morales,, O-Daly y Gisco pre-. marcaba el número de alcaldes que debía haber en los pueblos: cae sentaron las siguientes indicaciones : t.'1 Que se declare da libre comer la comisión para…</t>
  </si>
  <si>
    <t>…presentar sus títulos, ó probasen como su pose se crea conveniente, en atención á la miseria en que están la mayor sión era inmemorial. parte de aquellos habitantes. El Sr. López (D. Marcial) dijo, que de permanecer los señoríos en Las Cortes quedaron enteradas, y mandaron repartir los egempla-' el modo que hasta aqui resultaba-una extraordinaria desigualdad entre res de la circular expedida por el ministerio de Marina acerca del lu los hombres:…</t>
  </si>
  <si>
    <t>…aza de médi contra el egército austríaco., refiriéndose á papeles públicos de aquella co era necesaria la calidad dé casado.. : . plaza. Después de haber manifestado'el Sr. López (D. Marcial) que la El Liberal Guipuzcoano anuncia también una derrota de los austría comisión no-habia querido "mezclarse en abolir loqué prevenía el artí cos en tres combates consecutivos , fundándose en noticias de París hasta culo citado de los estatutos del hospital…</t>
  </si>
  <si>
    <t>…uencia El Sr. Cañedo dijo, que después de haber considerado las oportu de la marcha que hace algún tiempo emprendieron las compañías de nas reflexiones hechas por los Sres. López (D. Marcial), Rey, Ciscar granaderos y cazadores de aquel regimiento provincial , se habian susci y Martinez de ia Rosa, creia que la cuestión de que se trataba era en tado quejas de parte de algunos ayuntamientos del tránsito sobre el ser tre la Nación y los propietario…</t>
  </si>
  <si>
    <t>…tamen lo creía na cuando fue electo diputado á Cortes, y creía estar aquel en el mis muy fundado; por lo que esperaba que las Cortes lo aprobarían. mo caso que este. El Sr. López (D. Marcial) dijo tenia muy presentes la grandes re El Sr. Giraldo dijo que el Sr. obispo de Pamplona no fue nombra flexiones que se hicieron cuando se trató del empréstito, por lo que do diputado por Navarra, sino por Galicia.miraría con mucha escrupulosidad cualquiera…</t>
  </si>
  <si>
    <t>…ente presumible durase poco dicha percep juzgados en los términos que lo es un militar en campaña. ción, tenia mas cuenta á la Hacienda pública el pagarle de esta ma El Sr. López (D. Marcial) dijo que la noticia que había dado el nera, que no-remunerarle con ninguna otra cosa. Se mandó volver á la Sr. secretario del Despacho de la Guerra extraúabi mucho que hubiese . comisión. venido por conducto de un capitán general, cuando debía haber sido El…</t>
  </si>
  <si>
    <t>…ión. Madrid ly de Abril. La especial de Hacienda presentó su dictameivacerca de' la indica SS. MM. y AA. continúan sin, novedad en su importante salud. ción que hizo el Sr. López (D. Marcial) en 11 del corriente para que lassubastas de las fincas aplicadas al Crédito público no tengan efecto hasta CORTES. pasado un mes de publicadas en la gaceta. La comisión, habiendo oido á uno de los directores del citado establecimiento, era de parecer ss PRES…</t>
  </si>
  <si>
    <t>…y 20, quedan aplicados ál Crédito público &amp;c.” Es dó pasar á la misma comisión de Ultramar. decir que estos bienes ( por ponerse en el articulo la palabra ¿quedan ) El Sr. López (D. Marcial) presentó un plan acerca del estado estaban antes aplicados a! Crédito público. El sentido que las Cortes eclesiástico, que dirigía á las Cortes cierto ciudadano, cuyo nombre no dieron á las palabras quedan desde ahora de la ley de 6 de Agosto fue quiere que…</t>
  </si>
  <si>
    <t>…l D. Francisco Javier de Castaños, ticulares que se han hecho sobre la elaboración de salitres. á quien se dió el Gobierno político y militar de la provincia de Cata El Sr. López (D. Marcial) pidió que se leyese una proposición luña en dicho intermedio , que por lo mismo intervino en la cansa que suya relativa á que las Cortes tomasen en consideración las exposicio se formó al general Laci y otros patriotas, muchos de los cuales su nes de varios…</t>
  </si>
  <si>
    <t>…puedan ser útiles; y considerando que eran el Sr. presidente nombró para ella ú los Sres. Cano Manuel, Lopei dignos dichos empleados de la consideración de las Cortes, hacia uní (D. Marcial), Canabal, Alvarez Sotomayor y S. Miguel. indicación, á fin de que se les concediese aiguna pensión, ó se les ocu Las Cortes quedaron enteradas, y mandaron pasar ¿ la comisión es pase con algún empleo; no fue admitida á discusión. pecial de Hacienda un estado…</t>
  </si>
  <si>
    <t>…nte no debía discutirse el d ctamen Entraron á jurar, y tomaron asiento dos señores diputados. en su totalidad , y que cualesquiera que fuesen lo, méritos del exce El Sr. López (j D. Marcial) dijo que la situación en que se encontra diente en la parte histórica, se debía prescindir de ellos, porque no tra ba la patria le hacia prever un cúmulo de males, que quizá experimenta tándose en el momento del dictamen en su totalidad, sino so amente ríamo…</t>
  </si>
  <si>
    <t>…re de una á otra no hu Se declaró proposición, y esta primera lectura. biese vacante efectiva en la compañía, quedará de supernumerario el Se aprobó una indicación del Sr. López ( D. Marcial), que decía: individuo de la respectiva clase, pata que el alumno desempeñe el des » Pido que las Cortes manden que el Gobierno, suspenda por ahora la tino como propietario durante el tiempo señalado en el artículo anterior. dirección de los estudios de S. Is…</t>
  </si>
  <si>
    <t>…nunca suficientemente podifin se declaró por primera lectura. reunirse en Aquila. Pronto experimenté los: funestísimos efectos de tan-' ' Se aprobó otra indicación del Sr. López (D. Marcial), relativa á to desorden y de tantó desproveimiento. Dos batallones nacionales, man-, que el Sr. secretario del Despacho de Hacienda informase con la 111a-• dados por el teniente coforiel Pisa , y destinados á defender por el punto yor brevedad sobre el aumen…</t>
  </si>
  <si>
    <t>…aría Santiago , relativa á hacer una. impre sión estereotípica de la Constitución; y sí que se le permita imprimirla guerra.” . • Volvió la diputación de p'alacio, y el.Sr. López £D. Marcial ) dijo con los adornos y dimensiones que ha propuesto. que S..M. habia contestado á la diputación con tm agrado particular, El Sr. sgcibrario de la Gobernación de la Península manifestó que habiendo oído con grande satisfacción la manifestación de los sentir…</t>
  </si>
  <si>
    <t>…os. San Miguel, Ezpsleta, Casaseca, Castañedo, Martínez (D. Javier), La comisión1, habiendo examinado .detenidamente este negocio-, ob Flavas, Lorenzana, Yandiola, Gareli, López ( D. Marcial), Tapia, servaba.por una parte la justicia y* por otra la benignidad , virtudes que Queipo, Xariva, Liñan, Vila,.£adares, Domínguez, Huertas, conde ambas á dos exigen la.atención de las Cortes. Reflexionando sobre este de Toreno , Argaiz, Montenegro , Freire,…</t>
  </si>
  <si>
    <t>…o ser aplicadas al Crédito pú tó,595 hombres.”.: , blico para la extinción de la deuda nacional. * Después de haberse propuesto por algunos Sres. diputados que seria El Sr. López (D. Marcial) dijo que por los papeles públicos tenia necesario se añadiesen á este número los 2500 hombres que según te noticia de que en Galicia habiansido presos distintos súgetos, con in nían entendido eran necesarios para el reemplazo de la marina en este tervención…</t>
  </si>
  <si>
    <t>…ón. nos se prorogase hasta que Jas Cortes del año de 1822 determinen lo El Sr. Ramos Arispe dijo que este asunto era de la mayor grave que estimen conveniente: otra del Sr. López (D. Marcial) para que dad, y por lo mismo pedia se pasase á una comisión para que expusie en atención á las graves urgencias del Estado se. fije nuevamente la se su dictamen, pues los procedimientos de aquel capitán habian sido ley del máximum del modo que las Cortas lo…</t>
  </si>
  <si>
    <t>…entia en lo íntimo abrir la comunicación con Gibraitar. de su corazón esta clase dé desórdenes. - ' El Sr. secretario dúo que en su tiempo no había sido nombrado ElíEi Sr. López ( D. Marcial) dijo que quedaba satisfecho: y que solo zakle, y que creía habia sido removido inmediatamente que se había deseaba saber dei Gobierno si contaba eon bastantes medios para el sabido la circunstancia que expresaba el señor preopinante: y que pór lo remedio de…</t>
  </si>
  <si>
    <t>…a Gober rina con 1500. nación de la Península manifestase lo que hubiese relativo á la indica Art. 2.0 ’&gt; Cada provincia contribuirá á este reemplazo con el nú ción del Sr. López (D. Marcial), aprobada por las Cortes, que decia; mero de hombres que le corresponde por su población, según el censo de v Pido que estas acuerden que el secretario de la Gobernación de ¡a</t>
  </si>
  <si>
    <t>…ión de los títulos, le parecia se hallen en caso semejante. que en este caso , lo misino que en ¡os demás , debía presentarse igual Se aprobó la siguiente indicación del r. López (D. Marcial ) : »&gt; Pi mente el t;tu!o primitivo; porque todo el que compra una cosa , lo pri do que el Gobierno presente á las Cortes á la mayor brevedad , y an mero qne hace es ver si es verdadera propiedad aquella. Continuó asi tes defenecer la presente legislatura, lo…</t>
  </si>
  <si>
    <t>…después de una discusión entre varios Síes, diputados, -no varro (D Felipe), á-los Sres, Romero Alpuente, L»llave. (D. Pablo), hubo Jugar á votar sobre dicho dictamen. . _ López (D. Marcial), Cortés , Zorraquin , Sancho y Traver. La de Milicias nacionales presentó también su dictamen acerca'dé Se aprobó una indicacion^del Sr. González Allende, relativa i que la solicitud dirigida por el Gefe político y diputación provincial d« las Cortes autoric…</t>
  </si>
  <si>
    <t>…es, Navas, Subercase , Marín Tauste, Bernabeu , Becerra , Yandiola , Súf no tengo inconveniente por mi parte en acceder á ello. ra Pambley, Novoa, Vecino, Gareli, Giraldo, López ( D. Marcial ), El Sr. secretario de Hacienda insistió en lo que habia dicho, mani Tapia , Queipo , Sandjno, Rodríguez , Coraminas, Matizan, Masca-: festando asimismo que si al clero se le asignaba una parte de los diez reñas, Gisbirt-, Manescau ■, Lamba, Liñan., Cano Man…</t>
  </si>
  <si>
    <t>…ayan te tomándolo las Cortes en consideración se sirviesen dar las providencias nido los diezmos. que tuviesen por convenientes; y otra de D. Manuel Serrano , en nom El Sr. López (D. Marcial) dijo que el tomar por base el'valor qus bre de su hijo político D. Gabriel Gali, pidiendo el reintegro de cier hasta ahora han tenido los diezmos-, expondría á grandes equivocacio tas multas que se habían exigido al padre de dicho Gali por adicto al nes por…</t>
  </si>
  <si>
    <t>…n. los votos particulares de los Sres. Banqueri, Ugarte, Cavaleri, Traver, También se leyeron y aprobaron los que siguen : Ramírez Cid , Ramonet, Larriba , Lagraba , Villa, López (D. Marcial), El de la comisión de Instrucción pública , relativo á la memoria Marin Tauste y Lobato, contrarios á la aprobación de varios artículos presentada por D. Antonio García sobre enseñanza de medicina, re Ael plan de Hacienda. glamento y organización de las acad…</t>
  </si>
  <si>
    <t>…l levanta El Sr. presidente nombró para la comisión de Bellas Artes en lugar miento de Zaragoza dió impulso al de Cataluña. Los catalanes no ne del Sr. Vargas Ponce al Sr. López ( D. Marcial). cesitaron de tal impulso; y aunque es cierto que la insurrección de Se leyó la siguiente adición del Sr. Romero Alpuente á la que hi Barcelona se verificó en el día en que se supo allí la noticia de la de zo el Sr.. Lorenzana en la sesión extraordinaria de…</t>
  </si>
  <si>
    <t>…eba y Venganza , fondeadas, sentimientos y méritos patrióticos de. los inmortales zaragozanos, dijo en Acapulco, habian llevado 300 hombresdí tropa; y Reguero, coman el Sr. López ¿D. Marcial) que se faltaría á sí mismo si guardara si dante de aquella parte del Oriente, ofrecía que de acuerdo.con los de las. lencio en este asunto, porque había sabido con muy grande sentí míen-, fragatas recobraría pronto á Acapulco y su fortaleza. to suyo que en e…</t>
  </si>
  <si>
    <t>…sextos ; io5t los séptimos; 90 los Declarado este punto suficientemente discutido; preguntó el Sr; Ló octavos ; 83 los cinco primeros escribientes, y 7-3 ios cinco últimos. pez ( D. Marcial ).si se opondría la aprobación de este artículo á que El Sr. Ochoa dijo: en la época actual debemos reducir todo lo po se reformasen los sueldos en adelante, teniendo las Cortes en conside sible las cargas del Estado , lo mismo en la clase de los canónigos qu…</t>
  </si>
  <si>
    <t>…bien custodiados para las com bre, que tan necesarias son para la" marina v las "artes íce. probaciones que puedan necesitarse en lo succs.vo. Habiendo manifestado ¿1 Sr. López ( D. Marcial) que deberla na-</t>
  </si>
  <si>
    <t>…disfrutarla asistiendo á la cátedra; facultad' en citedrai-establecida y aprobada por el Gobierno. y esto con mucho mas motivo ahora, que debe ser mas esmerada la en El Sr. López (D. Marcial) dijo que debía aprobarse el artículo sin señanza; y no se diga que tendrán un estímulo para seguir trabajando •perjuicio de que estas adiciones pasasen á la comisión. Quedó aprobado en razón de que serán las rentas mayores en lo sucesivo; porque aunque •«ste…</t>
  </si>
  <si>
    <t>…Cortes por muchas corporaciones y personas particulares de la Penínsu i:° d¿.Noviembre de 1821.” la, en-las que decían haber representado á 9. M. para que convocase Ei Sr. López ( D. Marcial) preguntó ¿i JS cóthisioñ hah'iá óidd Cortes extraordinarias luego que se cerrasen las sesiones de las ordinarias.' al Gobierno antes de proponer su dictamen; y'habiendo Contestado . A la comisión ordinaria de Hacienda se mandó pasar con urgencia uno de los s…</t>
  </si>
  <si>
    <t>…Sesión de Cortes del i.° El de la especial de Hacienda, acerca de las indicaciones de los se Habiendo llegado el ministro del Interior le dijo el presidente! ñores Villa , López (D. Marcial), Ezpeieta y Lagrava, en que se pro )&gt; El Soberano Congreso ha llamado á V. E. para que conteste á las ponía la rebaja de los derechos que se pagaban para el canal de Tauste; acusaciones que se le van á leer; y habiéndole leído las presentadas opinaba la comi…</t>
  </si>
  <si>
    <t>9 31 pez (D. Marcial) al art. i.° de la ley sobre enajenación de vinculacio seos del Sr. Quiroga, cuando se trata de un acto de justicia que-la Na nes , opina que puede añadirse á dicho art. lo siguiente: » Prestado el ción española ha hecho con este ilustre caudillo: por lo mism…</t>
  </si>
  <si>
    <t>…secretario de la Gobernación de la Penín lítico respectivos. sula , en que participaba á las Cortes que á ¡a hora misma en que reci Se leyó y aprobó una indicación del Sr. López (D. Marcial) , diri bió el oficio para que asistiese él y el Sr. secretario de Estado a la dis gida á que las Cortes se sirvan acordar que la comisión especial de Ha cusión sobre los artículos de correos y loterías tenían que asistir a una cienda se ocupe sin intermisión…</t>
  </si>
  <si>
    <t>…ibidas á cuenta de sus sueldos desde el año 19 para to de la'Monarquía. desvanecer toda equivocación. El Sr. Giraldo apoyó este dictamen, é hizo una indicación para' El Sr. López (D. Marcial) presentó una exposición de la milicia que ínterin se paga aquel denativo continúen ios arbitrios que se es nacional de Daroca, en la que manifestando sus sentimientos patrióti tablecieron para su pago. Quedó aprobado. cos , pedia á las Corles se sirviesen de…</t>
  </si>
  <si>
    <t>…el gefe político, á hacer su elec No hubo lugar á votar sobre la siguiente adición al art. s¡.° del se ción y nombramiento según la Constitución y las leyes.” Aprobado. ñor López (D. Marcial): ” Y serán también admitidos á examen en las Art. 9.0 » Mas como puede suceder que haya algunas poblaciones, universidades los graduados en Jas extrangeras, siendo suficiente la prer cuyos vecinos no esten en egercicio de los derechos de ciudadano, ni tentac…</t>
  </si>
  <si>
    <t>…sultado á ladas las entradas y los gastos, que hubiera sobrado dinero si no hubie las Cortes. ra sido porque se pagaron de atrasos mas de 120 mdlones; y pregunto Los Sres. López ( D. Marcial ) y Zapata manifestaron la necesidad yo ahora, ; cuántos se han cobrado de atrasos, puesto que si se han pa de que se aprobase el dictamen de la comisión. gado parte de estos , es preciso también que se hayan cobrado atrasos que El Sr. Cavaleri dijo que este…</t>
  </si>
  <si>
    <t>…a que recomiendan las estrecheces del erario. que con urgencia proponga lo que estime conveniente. Att. 7.0 &gt;&gt; Que se planteen y vengan á la aprobación de las Cortes El Sr. López (D. Marcial) dijo que la falsificación de moneda tam las contadurías de pósitos y propios y arbitrios con sus sueldos, de que bién era úní'asunto de la mayor consecuencia, pues todos los dias iba habla el art. 5.0 del cap. i.'J del decreto de 23 de Junio de 1813 pa creci…</t>
  </si>
  <si>
    <t>…ra vez una proposición del Sr. Castrillo, relativa militares presentado por el Sr. Serr.illach. i que se permita,profesar á las que pretenden ser monjaspuesto que lo El Sr. López (D. Marcial) dijo que mucho tiempo hace presentó resuelto por las Cortes sobre el particular era una medida interina. una proposición acerca de una reforma general de sueldos: sufrió ¡dos El Sr. presidente dijo que habiendo llegado la hora señalada por lecturas, se admit…</t>
  </si>
  <si>
    <t>…os egércitos, y de aquí han na por consiguiente no podian tener ya el uso que se les quería dar. cido ias revolucionas militares que hemos visto poco há.” (Nueva con El Sr. López (D. Marcial) dijo: La comisión ha tenido presente iá moción muy fuerte á la dírécha: al Orden, al orden: &amp; ia cuestión: multitud de fundaciones de capellanías no espiritualizadas, y á estas es larga interrupción. ) á las que se refiere. La diputación provincial de Astorg…</t>
  </si>
  <si>
    <t>…stían una porción ella los votos particulares de los Sres. Solanot, Traver, Marín Tauste, de adiciones hechas por varios Sres. diputados, y que las Cortes de Zubia, Ovalen, López (D. Marcial) y García (D. Antonio), con terminaran si se habian de discutir ó pasar á la comisión, se acordó trarios á la aprobación de vanas partidas de contribuciones. por Jas mismas que no se leyeran. Las Cortes quedaron enteradas, y mandaron se repartiesen los La com…</t>
  </si>
  <si>
    <t>…t.-n las provincias.” PORTUGAL. Después de una ligera discusión no hubo lugar á votar sobre est» indicación. J.isboa 20 de Junto. Se aprobóla siguiente indicación del Sr. López ( D. Marcial): » Pi cortes___Sesión del 14. do á las Cortes autoricen al Gobierno para que pueda aprobar interina El Sr. secretario Filgueiras dió cuenta de un oficio de la Regencia, mente , sin perjuicio de dar cuenta á las Cortes, los arbitrios que le en que trasladaba…</t>
  </si>
  <si>
    <t>…recibirle. entraron en el segundo, por haber reunido mavor número de votos, __El dia 2"2 entró en esta capital S M. el Sr. D. Fernando vti . Rey los Síes. Ezpeleta , Paul, López (D. Marcial) y Navarro (D. Felipe); constitucional de ia Monarquía española. En ninguna de »us entradas</t>
  </si>
  <si>
    <t>…se la de lienzo; el ch&amp;ó co S. M., compuesta de los Sres. conde de Montenegro, Zubia , Florez mo el de la infantería de línea,con la diferencia deque no tendrá cha Estrada, López (D. Marcial), Fraile, Can tero , Chavarría , Espiga , Milla, pa alguna: las carrilleras de meta! empavonado. En el pompon, que se Alvarez Sotomayor, Mascareñas, Muñoz Torrero, Lasanta , Cano Ma rá verde con centro blanco, llevarán el número del regimiento: el morral nuel…</t>
  </si>
  <si>
    <t>…ario.’’ Comercio. Sres. Zubia,Romero, Desprat, Maniau, Florez Estrada, Oliver y González Allende. Madrid Sábado 39 de Setiembre. Monedas. Sres. Oliver, Tundióla, Peñafiel y López (D. Marcial). Guerra. Sres. Sancho, Serrallac, Gu£ierrez Acuña, Ramonet, SS. MM. y AA. continúan sin novedad en su importante salud. Sánchez Salvador y González Allende. Milicias nacionales. Sres. Quiroga , Florez Estrada, Villa, Rome ro Alpuente , Ezpeleta y Losada. EL…</t>
  </si>
  <si>
    <t>…cual corre como un antílope, y solamente conoce á su señor. Mi nue vo gorro colorado me sienta perfectamente: mi espada tiene un hercutó la diputación. Proposición del Sr. López (D. Marcial): «Pido á las Cortes que moso filo, son-brillantes mis pistolas, y mi cinturón centellea cuando antes de discutirse el proyecto de decreto sobre división del territorio recibe la luz del sol. español, se impriman las variantes ó adiciones, y se distribuyan ,…</t>
  </si>
  <si>
    <t>…todo el territorio los pueblos, ylque puedan recibirlas con menos repugnancia. ¡Ai "Macedonia. Alejandro continuaba en sus victorias. Se confirma que , Lo que dijo el Sr. López ( D. Marcial) acerca de la Francia me .toda la. isla de Gandía está en poder de los griegos, 'í.excepción de cin- parece no favorece mucho á su argumento. La nación francesa antes de .ct*)1(ortaíezas, de las cuales las tres están casi desmanteladas. su revolución estaba p…</t>
  </si>
  <si>
    <t>…erritorio , y auméntense que no hay palabras con que manifestar la necesidad de esta división. las provincias , pero que sea con la mayor proporción; á saber: que no El Sr. López (D. Marcial ) dijo: el Sr. preopinante ha manifestado pase cada una de 360© almas, y que no baje de 200S); pero no se ■resultar un ahorro con respecto á la dotación de los gefes políticos , y guarde una desproporción tan considerable como la que se verifica , pues es por…</t>
  </si>
  <si>
    <t>…engaño, que no tiene la co vidirse en cuatro provincias, que aumentadas á las 39 resultan 42. El misión inconveniente en reformar la cuarta clase de provincias; por con Sr. López (D. Marcial) ha dicho que desde Teruel i Da roca no hay siguiente en este caso tenemos que aumentar unas, disminuir otras &amp;c., cordilleras que se opongan á la comunicación, dato que es evidente; y es preciso presentar el máximum y el mínimum; ahora bien, tenemos pero es…</t>
  </si>
  <si>
    <t>…os,y,es sion para-que lo presente bajo otras fiases.. . ^¡n(,i .. equivocaciones-quérdi— virtuosa! Resulta pues que, hecha esta división son. 44 las provincias que ■ El Sr. López (D. Marcial) deshizo algunas llevamos hasta ahora. No hablemos de Sevilla,, Jaén y Cádiz, porque en jo haber padecido en. su.discurso el Sr. Pajarea,. , . esta parte no hay mas qu,e aumentar la del condado de Niebla , que es -i, JU Sr.rClemencin, como individuo.de la com…</t>
  </si>
  <si>
    <t>…a superioridad de las luces-del la en la sesión de mañana; y se levantó la de este día á ias tres de ra Congreso, admitirá gustosa las reformas que se hagari- tarde. El Sr. López (D. Marcial) dijo: Aquí no tengo mas que una sola ARTICULO DE OFICIO. pretensión, y es que lo mismo que se verifique en una provincia se ve rifique r.specto á las demas; yo soy de Opinión que se nombren las- pro Circular del ministerio de la Gobernación de la Península.…</t>
  </si>
  <si>
    <t>…sto en la necesidad de proponer que estas sean dos solver que Ca.atayud sea capó ai. distintas. El Sr. Lastarria hizo presente que la provincia de Caiatayud y la de 1.1 Sr. López (D. Marcial.) dijo: Las dos provincias que propone Teruel tenían 105S almas, por lo cual no creía que fuese necesario el la comisión tienen como unas-ii i3 almas, y para esto debe haber dos que se hiciesen dos provincias, y se estableciesen en ellas dos diputa gefes polí…</t>
  </si>
  <si>
    <t>…ía desaparecido, y lo único que mayores ventajas sobre todas las demás poblaciones que la forman. existía era un borrador que habia conservado D. Felipe Bauza, encar El Sr. López (D. Marcial) manifestó las ventajas que tenia la ciu gado de proponer la nueva división. dad de las Palmas sobre todas las demas de las islas Canarias, por cu • El Sr.Cortés prosiguió: La provincia del'.norte de Valencia debe yo motivo debia de ser aquella la capital. fo…</t>
  </si>
  <si>
    <t>…o. Si el Sr. preopinante hubiera ido como yo desde Cuenca á Brihuega Su capital Guadalajara. hubiera visto los caminos que tiene la provincia por esa parte tan malos El Sr. López (D. Marcial): Si en alguna provincia cabe que la co que si se estableciera en ella la capital, se entorpecerla con-iderablemisión se aparte de sus principios , seguramente es en Guadalajara , por mer.t: la acción delGobierno. Ademas desde la invasión francesa, que fue qu…</t>
  </si>
  <si>
    <t>…curso preliminar se dad del proyecto es indudable. Con respecto á la indicación que ha he manifiesta el zelo y actividad que ha habido en esta parte; pero no ha cho el Sr. J.opez (D. Marcial) me opongo, porque esta ya es una cues podido hac rse con la prolijidad que quizás correspondía. tión secundaria. El hr. López ( D. Marcial) expuso: Señor , la ley que vamos á dar Acerca de la segunda parte, esto es, si e¡ proyecto de ley , ó ba ha de ser par…</t>
  </si>
  <si>
    <t>…y pidiendo su prohibición : del intendente de Cara Provincia de Vitoria , su capital Vitoria. cas , haciendo presente algunos inconvenientes que se ofrecen al poner El Sr. López (D. Marcial) dijo que habia oido con sorpresa lo que en egecucionla ley de aranceles: de la diputación provincial de Galicia, se acababa de leer acerca de las islas Canarias, pues la comisión , lejos haciendo algunas observaciones sobre las aduanas: del intendente de la…</t>
  </si>
  <si>
    <t>15/7 Utico, que es dejar esta provincia sin nombrar la capital. de aquella provincia sigan como hasta aquí residiendo en ios mismos paEl Sr. López (D. Marcial) dijo que quisiera saber si la comisión rages. La representación de aquel gefe político creo que se reduce á pro tuvo motivos para fijar la capital en S. Cristóbal de la Laguna; y te bar la necesidad que hay de que sigan las autoridades en los mismo; niéndolo…</t>
  </si>
  <si>
    <t>…Real. » Se continuó la discusión de la división territorial. á ello ? Dijo también el Sr. García Page , que reuniendo las tres provincias , yT’i’ó'oineia de Bilbao. El Srl López ( D. Marcial) dijo Después de haberse discutido el sé podia evitar el demasiado contrabando que podia haber en Bilbao por medio de la diputación provincial. Yo soy franco, y creo que.no dictamen de la comisión relativo á las provincias Vascongadas que ha- ■ está al alcanc…</t>
  </si>
  <si>
    <t>…r el ayuntamiento constitucional de Ciudad-Rodrigo, en la que hacia pre dictamen de la comisión. sente que esta ciudad fue en otro tiempo capital de la provincia que El Sr. López (D. Marcial) dijo que el Sr. preopinante se habla ahora lleva el nombre de Salamanca , y concurriendo en ella todas las valido para demostrar la centralidad de población en Sta. Cruz de unos cualidades necesarias para serlo actualmente de una provincia separada, datos qu…</t>
  </si>
  <si>
    <t>…mas cuanto que la división del territorio es excesiva, y deba lantaría en el despacho de ellos. considerarse el aumento que hay que hacer con este motivo por lo que El Sr. López ( D. Marcial): Las reflexiones que ha hecho el señor toca á ia parle administrativa. Lo digo esto porque no me he hallado en Diaz Morales en cuanto al despacho de los negocios no tienen réplica; la discusión de este asunto; pero sé que se ha dicho que solamente se si cinc…</t>
  </si>
  <si>
    <t>…satisfecho de la certeza de que las asignaciones de los cante. gefes políticos para este asunto eran cortas, ha tenido que aumentar De ¡os Sres. Romero Alpuente, Cortés , López ( D. Marcial ) , La- las con las cantidades asignadas para gastos imprevistos. En la cantidad grava y Gil de Linares para que el pueblo de Orihuela y otros del parti de los 8oo3 rs. á que subirá , según manifiesta la comisión, el exceso do de Aibarracinse agreguen á la pr…</t>
  </si>
  <si>
    <t>…., que se mandó volver á la comisión. lor ó avalúo de géneros de cualquiera clase por causa de averías.” El ait. 4. como .está en el decreto de 5 de Octubre de 1820. El Sr. López (D. Marcial ) hizo algunas observaciones acerca de Art. 5.0 En los casos en que se permita la introducción ó exporta este artículo. ción .en buques de-pabellón extrangero pagarán los géneros de sus car El Sr. Cavaleti hizo varias reflexiones para manifestar que debía gam…</t>
  </si>
  <si>
    <t>…on las ha considerado,. porque de" otro modo seria como un medio penales del contrabando.” muy subalterno. Desengañémonos, mientras que las aduanas no sé Los Sres. Zapata y López (D. Marcial), Banqueri y' Quintana consideren de este modo, será imposible que prosperé la industria y el opusieron algunas dificultades acerca de la inteligencia de este artículo; comercio. Se podrán alegar principios sentados por hombres sabios con pero habiéndolas des…</t>
  </si>
  <si>
    <t>…orme que so Se leyeron y aprobaron los artículos 3.0, 4. ’, 5.“ y 6.°, concebi bre lo mismo presentó la comisión especial de Hacienda, di¡o el se dos en estos términos: ñor López (D. Marcial): Art. 3.' » La insignia de los batallones de infantería ligera será - La comisión presenta un proyecto de decreto tati ncssaro, c mo un león de bronce de las mismas dimensiones, y sin otra diferencia en .es necesaria la operación de impedir toda falsika-.on…</t>
  </si>
  <si>
    <t>16/o El Sr:'López’(D. Marcial) dijo que la comisión habia querido,an dez de los mismos empleados que cita la comisión. Propone esta que te rodas cosas, desterrar todos los establecimientos de lujo, procurando los individuos di la junta sean el intendente, el grabador genera! &amp;c.', la mayo…</t>
  </si>
  <si>
    <t>…ina. Por el oficial mas graduado ó antiguo.” lo mismo me opongo á que se suspenda esta discusión. El Sr. Gil de Linares dijo: Yo quisiera que se suspendiera la discu El Sr. López (D. Marcial): No me opondría á que si las luces del sión del art. i.° y la de los arts. 9 y JO, ó que si se aprueban , sea sin Sr. secretario de la Gobernación se creyesen necesarias para la discusión perjuicio de-la discusión relativa al fuero de marina y al tribunal es…</t>
  </si>
  <si>
    <t>…ropa, cuya marina ha llegado al mas al to grado de prosperidad por sus sabias ordenanzas y por la vigilancia ARTICULO DE OFICIO. de un Gobierno sumamente cuidadoso. El ¡Sr. López (D. Marcial) manifestó la necesidad de que se aña El Sr. secretario del Despacho de Marina dice al Sr. secretario de la diesen dos comerciantes mas en la jun¿,a del almirantazgo. Gobernación de la Península desde el Real sitio de 5. Lorenzo con fe El Sr. Oliver contestó…</t>
  </si>
  <si>
    <t>…que ofrece la situación to Después de una discusión, en que hablaron los Sres. Rovira, Dolapográfica del mismo; y que en atención á que se han formado provin reá, Ramonet, López (D. Marcial)» Oliver, Lasanta y Sánchez Sal cias de corto vecindario, se forme otra en las inmediaciones de aque vador, se votó el artículo por partes, y se aprobó solo hasta las pala lla ciudad, siendo ella su capital; y por último una exposición de Don bras propuesta d…</t>
  </si>
  <si>
    <t>…diendo, como se había dicho, este artículo de lo* do O’ Fanis. ' caro.' . , anteriores, debía aprobarse. El coronel D. MígueJ. Ángel Ro Secretario el abogado D. Do El Sr. López (j D. Marcial) dijo: Todos conocemos que con respec bería. mingo Napolerano. to á las tarifas ha habido muchos abusos que se deben remediar; pero La policÍ3 de Ñapóles no se descuida ; y los austríacos están muy vamos i ver lo que dice este artículo. *&gt; Con previa noticia…</t>
  </si>
  <si>
    <t>…expuso: La cuestión va separándose de su verdadero con respecto á marina, y para esto tienen el tribunal especial que hé jpunto de vista. Convengo con lo que ha manifestado ei Mr. D. Marcial referido de Guerra y Marina. Asi yo propondría que todo este título López; pero no puedo convenir con los Sres. de la comisión en algu volviese 3 la misma comisión, para que arreglándose á lo que lis Cortes nas particularidades que s; fijan en el artículo. En…</t>
  </si>
  <si>
    <t>…e contrajesen en un buque mas que una chaqueta de marinero: : no tiene ración de grandes méritos; marinero, y un sueldo que basta para subsistir; jpuds qué razón hay El Sr. López (D. Marcial) dijo que veia por un lado que la ma para que un pobre no pueda entrar de guardia marina; yor parte de este proyecto orgánico era reglamentario, y por otro que El br. Rovira contestó que en un buque se necesitaban planos, li se cargaba á la Nación con nuevos…</t>
  </si>
  <si>
    <t>…e se igualasen sus sueldos con dé 28 de Octubre de este año, cuando se trató de este asunto. los del egército, cuando desembarcados los unos no hacen nada mas ""•Él Sí.' ‘Ix/pez (-D. Marcial) dijo que no podis menos de hacer presen que pasearse ,y los otros están en un continúo servicio, se quería abo te al Congreso que el-ayuntamiento de Vergara padecia equivocación lir en la marina la ciase de brigadieres y otros oficiales que existían en tn lo…</t>
  </si>
  <si>
    <t>…ermafrodita, y entonces como se establece en el artículo que se discute es una medida muy lo diremos. prudente, adoptada ya con respecto á la introducción de trigo. El Sr. López ( D. Marcial) dijo que no se tenían otros conoci El Sr. Díaz del Moral dijo que no había pensado hablar en esta mientos de esto que se llama sanidad que las ideas generales estableci asunto, tanto porque no se le atribuyese un espíritu de provincialismo, das por los Sres.…</t>
  </si>
  <si>
    <t>…En la mies de Avageda, una tierra ai sitio de la Maya, de un car 5 por 100 sobre este avalúo.” ro labrantío, en venta 33 rs__En id. y sitio de la Sota , un carro y 3 El Sr. López (D. Marcial) dijo que desconocía los principios por octavos de prado, en venta 43 rs__ En id., 218 carros y medio de los cuales se guiaba la comisión de Hacienda, porque cuando se habla prado, en venta 19,(565 rs--- En id. y sitio de las Peredo Oía Sota, 3 hablado de otr…</t>
  </si>
  <si>
    <t>…que salgan de los puertos dé la Pe blanqueada á 14 rs , cobrándose el derecho de 10 por roo.” nínsula les pueden encargar otros marineros que les traigan una gavia, El Sr. López ( D. Marcial) dijo que tratándose en este artículo de una maestra , un (loque, ó un juego completo; luego cuando los precios las hilazas crudas , se hace la ofensa mayor que pudiera hacerse á los en España sean muy altos no se proveerán en ella los marineros, ni españoles…</t>
  </si>
  <si>
    <t>…lí-Effendi, se hallaba en el caso de hablar bastante bien el idioma , lo de la moneda francesa. que le facilitó mucho para poderse erfterar circunstanciadamente de to El Sr.López (D. Marcial}: El presente negocio es-, como ayer dijo do lo relativo á la función. el Sr. conde de Toreno, uno de los mas arduos que pueden ofrecerse á Para elinmediato dia el bostandgi-bachi ( mayordomo mayor de par la deliberación de las Cortes , y la comisión hará obs…</t>
  </si>
  <si>
    <t>…mas que luises que hayan quedado en Francia-, debiendo no perderse de vista lo hacer una reflexión á las Cortes, y es que por la Real cédula que he. que ha indicado el Sr. López (D. Marcial) con respecto á la falsi citado se'ha aumentado considerablemente esta introducción , llegando ficación.’ á calcularse que ascendia á aoo9 rs. diarios, y la pérdida era de unos- : Desearía saber si las monedas que se lleven á la casa de este nom 203 rs. diari…</t>
  </si>
  <si>
    <t>…á hacerse io que ahora procura la comisión. . bando que se está haciendo con la moneda extrangera. Muchas de las dificultades que se proponen no son contra la totali El Sr. López (D. Marcial} dijo que el señor preopinante había di dad del proyecto, sino contra algunos artículos , y ctia»- que han prócho que ya era un defecto el que no estuviesen planteadas las casas pu sto algunos Sres. diputados contra la totalidad son irremediables: Ta de moned…</t>
  </si>
  <si>
    <t>…s que he indicado, aunque f por consiguiente el desfalco que por el pronto se ha de hacer no- ha se tarde mas de medio año. .de ser de mayor cantidad que esta. : . • El Sr. López (D. Marcial ): El Sr. preopinante -ha hecho una por* Asi pues eljplazo que se señala hasta r.° de Enero se debe tener cion de,observaciones que venían mejor en la discusión del art. 2.“; pe por suficiente, atendidos todos les recursos que tienen las casas de mone ro es m…</t>
  </si>
  <si>
    <t>…aenmnesr»b!aí:í¡ÍO'c,on««i«i?n» 1 ta á da^dSoiKesise &amp;dhr%i* dioeneia y ó sfe»ha&gt;»que tienen que recibir. " ,.. e.:i:íui’umnn) , a ’-i te--Si.-el idípistad*tcpfeifi El Sr. López ( D. Marcial) contestó..! las observaciones del sefiorl cb sininn mútlvdi-1; -gí*irttt&gt;^ creó^je -dcsd-xJ rá&gt;¡srrfW'd^»tqueíhídejaiJi* preopinante, manifestando entre otras cosas que en la casá-óe-la tnone-, de¡ presen tañe.noidBbs'.JÜaírütar.rfB las dieiat',y'aéa«?*s lab…</t>
  </si>
  <si>
    <t>…de monedas. En ios años 17 y daría un solo resguardo, lo mismo que al que llevase 1000, 500 ó 100. 18, cuando se dio la ordenanza por la que se aumentó esta introduc El Sr. López (D. Marcial) dijo que se les daría un tolo resguardo, ción , la mayor parte de los individuos del Congreso estaban ausentes con la sola diferencia de que el uno seria de mayor cantidad que el en países extranjeros; y debe tenerse entendido que si con motivo riel otro, se…</t>
  </si>
  <si>
    <t>…ableciendo la otra junta tenga la instrucción competente en la mmerologia. que acababa de proponer. El Sr. Azaola dijo que no le parecían muy fundadas estas observa El Sr. López ( D. Marcial) dijo que en esta discusión no haría ciones , porque en cuanto á la primera ya habia en la junta á mas del mas quedar las explicaciones convenientes; y contestando á Ja pregunta químico un ensayador que tenia á su cargo las operaciones úcscimásUcas-, del Sr.…</t>
  </si>
  <si>
    <t>…bierno de 3 de Setiembre anterior, por la que mandó reducir la formación de facultativos &amp;c.” por ahora, y hasta la determinación de las mismas, á 20 rs. vn. la ar - El Sr. López (D. Marcial) dijo que estaba mandado que en las ca-- roba de vino nacional, valorada á 40 en el arancel general para la exac sas de moneda hubiese cierta clase de estudios, por cuyo medio fueran ción del 2 por 100 de administración, pero afianzándose la diferencia; recib…</t>
  </si>
  <si>
    <t>…on aquí de Missotunngi , en Etolia- Drspties de una ligera discusión entre los Sres. Rey , Martel y Ló r&gt; Et bajá de Egipto protege á los griegos pacíficos en su provincia, y pez (D. Marcial ) , quedó aprobado e! dictamen de la comisión. hace armar una segunda escuadra!” ' ' Se continuó la d-sciasi'on-dé la'dtvision-. territorial'militar. No deja, de-extrañarse la llegada de estas reliquias á Liorita!&amp;c. Art. 2.0 &gt;&gt; Los límites de cada distrito m…</t>
  </si>
  <si>
    <t>…Rasión había propuesto este método únicamente atendiendo á la grande *nonet-=Go!fin.=Gonzatez Allende.” &gt; ' economía que resultaba. ' . oe.leyó la siguiente adición del Sr- López (D. Marcial) al artí El Sr. Sancho manifestó que se deberla poner en'el 'artículo des culo 3-0&lt; . pués de la palabra sean las-siguientes á lo menos coroneles. - « Reduciendo el sueldo de los comandantes generales á los 90$ En seguida se declaró este asunto suficientement…</t>
  </si>
  <si>
    <t>…se el art. 3,0, porque las Cor ViiUnueva, Manescau, Losada , García (D. Antonio), Traver, Vitotes habían ya decretado lo que en ¿i se proponía ; y en su cons cuencia rica y López (D. Marcial). *e retiro dicho artículo , y se aprobaron el i.“ y t.° como los presen Se leyó el aviso del Gobierno de que SS. MM.y AA. continuaban taba la comisión. sin novedad en el dia de ayer en el Escorial. Las Cortes lo oyeron Se leyó la minuta de decreto sobre arre…</t>
  </si>
  <si>
    <t>…de ces y de los tribunales. La comisión, deseando el acierto, hizo una cido el Sr. preopinante. proposición á las Cortes que tuvieron á bien aprobarla, y en su conse El Sr. López (D. Marcial): En vista de las observaciones que ha cuencia han recibido hasta el día de hoy 42 informes , de los cuales, leído el Sr. Calatrava se comprueba fácilmente la necesidad de que esta dará cuenta individual por un extracto que ha hecho de los mismos. discusión s…</t>
  </si>
  <si>
    <t>…dria hacer todas las reflexiones que tu El Sr. Vadillo dijo: Uno de los argumentos que ha hecho el Sr. Ló viese por convenientes. Tal vez con muchos artículos no me conforma pez ( D. Marcial ) contra este proyecto es que debia preceder á esta dis ré, y cuando se trate de ellos expondré las razones en que me fundo cusión la del código de procedimientos, y que muchos de los artículos para no aprobarlos; pero entre tanto, sin impugnar el proyecto en…</t>
  </si>
  <si>
    <t>Después de uta ligera discusión entre ios Sres. López (D. Marcial) Península! Constitución, Señor, y su observancia dirigen unánime y Vadillo quedó aprobado el.artículo. mente el voto de los individuos de esta diputación provincial de Avi Las Cortes oyeron con satisfacción la comunicación que les hacia la , para recordar á…</t>
  </si>
  <si>
    <t>…esidente de este género, y asimismo la facilidad de su extracción. en lujar del rir. García-Piwpéal i»r. Martínez-de la Rosa. El Sr. Cavaleri apoyó la opinión de los Srcs. López ( D. Marcial) Juró y ¡ornó asiento.en el Congreso el Sr. Ochoa. y San-Miguel, manifestando que medíante la abundancia de minas de Se procedió. á la discusión del- dictamen de .¡las comisiones de Ha carbón que habia en España, no sabia porque se habia de permitirla cienda…</t>
  </si>
  <si>
    <t>…iítimo y terrestre por servicios importantes y quedó aprobado, suprimiéndose las palabras cxcepl o ios recargos im extraordinarios.” puestos á la bandera extrangera. El Sr. López (D. Marcial): Siempre me opondré á que se ponga un Art. 5.a a Se considera ademas á los resguardos de mar y tierra artículo de esta clase «n-«ualquieia proyecto que se presente, porque ó</t>
  </si>
  <si>
    <t>…acultad de distribuirla según mas conviniese, las misma aprehensión que hubiesen verificado.” Corles tenían la de señalar el níimero de individuos que se habían de. Del Sr. López (D. Marcial) al art. rq.: « Después de la palabra vi destinar er. el resguardo. gías se añada. Según lo permita el estado de las rentas públicas.” Declarado este asunto, suficientemente discutido, quedó aprobado, 'Del Sr. Losada al art. 2.0: « Que los oficiales de la mar…</t>
  </si>
  <si>
    <t>…transeúnte, y no domiciliado en España, que no lleve tres me padecido el Sr. preopinante. ' ses cumplidos de residencia en ella, cometiere alguna culpa ó delito que K1 Sr. López ( D. Marcial) expuso que se diría un despropósito si sea una mera contravención de la ley , ordenanza ó reglamento parti subsistiesen las palabras litio en rama rastrillado; y después de haber cular de este reino podrá &amp;c.y en seguida » pero en ningún caso se manifestado…</t>
  </si>
  <si>
    <t>…lla , y despuat ca , que habia abusado de su empleo, y faltado á él contra los intere la del código penal; y levantó la sesión á las tres y media. ses de la Nación. El Sr. López ( D. Marcial ) dijo que tenia que hacer dos observa ARTICULO DE OFICIO. ciones: 1.a Que supuesto que en la primera parte del artículo se decia: 5» los cómplices serán castigados respectivamente con la misma pena El Sr. secretario del Despacho de Marina dice al Sr. secreta…</t>
  </si>
  <si>
    <t>…endición de Lima, refiriéndose únicamente á venir al beneficio de la patria y de la humanidad. cierta carta escrita desde Buenos-Aires. Creemos que semejante noticia Ei Sr. López (D. Marcial} opinó que el dictamen era demasiado sea falsa, y mañana indicaremos las improbabilidades que en sí encierra. diminuto, y que á fin de que en la primavera próxima no se renova sen los estragos que se acababan de experimentar, era absolutamente CORTES EXTRAORD…</t>
  </si>
  <si>
    <t>…tenido por nor de ios artículos precedentes, esté permitida la entrada de los mis conveniente. mos efectos, y d. ba qu. dar prohibida de nuevo, cuyas épocas señalará El Sr. López (D. Marcial): TJ-; de las reflexiones mas fuertes que el Gobierno.” Fue aprobado. se hicieron para que se desaprobase el nrt. 11 fue la del Sr. S Miguel, Las mismas comisiones reformaban el artículo que presentaron so relativa á que obligándose á un catatan , andaluz ó a…</t>
  </si>
  <si>
    <t>…bia , Berdú, Casaseca , Peñafiel, Lbrenzana, Yandiola , Novoa , Galle , cir que el silencio.en un asunto de tanta gravedad es ominoso. gos , Sandíno , G ¡raido , Moscoso, López £ D. Marcial"}, Queipo, Sal El Sr. Gaseo dijo: Las observaciones que han precedido han des- vador, Cuesta , Tapia, Maníau, Ruiz del Padrón, ¡Rodríguez £D. Jo . cubierto todo el secreto, que para mí lo estaba ya por las observaciones sef}, Mascarefía , Gisbert, Manescau, L…</t>
  </si>
  <si>
    <t>…de la liquidación de los haberes librados al egército desde i.° de Enero propuesta por el Sr. preopinante. de 1815 hasta i.° de Julio de 1820. Se mandaron repartir. El Sr, López (D. Marcial) dijo que no debia entregar»*: el menor Iguai resolución recayó sobre la remisión hecha por el Sr. secreta que hubiese cometido una accion'criminal á sus padres, tutores Sec., rio de Hacienda de otros 200 egemplares de la circular expedida en 5 sino ponerlo e…</t>
  </si>
  <si>
    <t>…que Leido este (.■sinse nuestro número anterior) pidieron la palabra en tengo presentada, para que á lo menos hablen seis en cada sen ti do. contra de ¿1 los Sres. Cuesta , López (D. Marcial ), Palarea , Priego, El Sr. Alaman dijo: Las Cortes están de acuerdo con el Sr. pre Muñoz Arroyo, Romero Alpuente, Ochoa , Navarret.:, Quintana, opinante en cuanto á la gravedad del negocio de que van á ocuparse, Uraga , Cepero, Dolarea, Ramonet, Lastarria, P…</t>
  </si>
  <si>
    <t>…primeros empleos públicos. Un mensage á S. M. pidiendo la hallaban en el caso de hacerlo por sí. reforma del ministerio puede comprometer el decoro del Congreso y el El Sr. López (D. Marcial): Este es un asunto tan interesante y de bien nacional , si por desgracia S. M. viera las cosas de otro modo: al una resolución tan trascendental, que seria muy conveniente que lodos ' contrario sucedería pidiendo la responsabilidad de los ministros. Esta los…</t>
  </si>
  <si>
    <t>…para visitador de Almadén á un enemigos del sistema constitucional para que lo desacreditasen. hombre que no tiene las cualidades que prescriben los decretos. A esto F1 Sr López f D. Marcial ) apoyo igualmente el dictamen d- la se allega el haberse nombrado para este ministerio i un hombre cuyos comisión i añadiendo á las razones del Sr. Giraldo , que se debía estre conocimientos no son los necesarios para este importantísimo ramo. char á las per…</t>
  </si>
  <si>
    <t>…rra, Cortés, Florez Estrada, Lázaro, 'rrieta, Berdug, Díaz del Moral, ANUNCIOS. Castañedo, Villanueva, Navas , Subcrcase, Marín Tauste, Bernabeu, Yandíola , Novoa, Giraldo, López (D. Marcial), Azaola, Peñafiel, Segunda parte del dictamen de la comisión Especial hombrada ton Sancho , Sierra Pambley. Dominguez, Huerta, Manzanilla, Bihamon- motivó del mensage de S. M., relativo á los sucesos de Cádiz , impre de , conde de Torenc , Priego, Marina, O…</t>
  </si>
  <si>
    <t>…sueldo que el que disfrutan actualmente. dadés, escuelas especiales, colegios y casas particulares. ; El SréSánchez Salvador-reprodujo ios motivos expuestos en su vo El Sr. López (D. Marcial) dijoique si estuviese convencido deque’ to particular; y después de una corta discusión ese declaró, no! haber lu en España no se podían fabricarestos instrumentos , desdecluego apro gar á votar. baría el dictamen dé la comisión, porque todo lo que-concurría…</t>
  </si>
  <si>
    <t>…las Cortes deben aprobar este arSéptimo: Los fiadores respecto de ta persona que hayan fiado, y con ticii’o. anecio á las circunstancias y condiciones de la fianza. E1 Sr. López (D. Marcial): Debo hacer una breve observación res Octavo: Los mesoneros , fondista» y cualesquiera otros que reciban pecto de este artículo. Me parece que muchas veces ¡os padres no pue biiéspidcs, aunque s;a por obsequio, responderán también mancomu den ser responsable…</t>
  </si>
  <si>
    <t>…grado de perfección, parece imposible que se prive á El Sr. Rey contestó á estas observaciones. un hombre de la sociedad cuando puede serle mil , por haber hecho un El Sr. López (D. Marcial) opinó que no debia aprobarse esta pe mal que ya hecho no tiene remedio. Someto esta» obstiraciones á la na, porque solo servia para provocar á nuevos delitos; añadiendo que sabiduría é ilustración del Congreso. habia visto algunas veces lievar á presenciar l…</t>
  </si>
  <si>
    <t>…s de estos cargos, que la ¡un ha mandó agregar al acta de la sesión anterior el voto de los seño ta creyese ser necesarios un secretario y un contador, dotado» y de fue res López (D. Marcial) y Florez Estrada, contrario á la aprobación de ra de su seno , lo hará presente al ayuntamiento , para que informando la pena de trabajos perpetuos, y otro del Sr. Lallave (D. Pablo), con sobre ello á ia diputación provincial , pueda asta consultar al Gobier…</t>
  </si>
  <si>
    <t>…ues solo mismo tiempo los espectadores concibiesen todo el iibrror que es de de proponía que fuese en un sitio separado de los cementerios. sear de delito semejante. El Sr. López (D. Marcial &gt; opino que debería decirse en el artícn'a Se declaró suficientemente discutida esta parte del artículo , y quedó que los cadáveres de lo» condenado» por tra.c.on o parricidio serian se-' aprobada. ; pultados en'cementerios separados. •* Los reos sacerdotes q…</t>
  </si>
  <si>
    <t>…delincuente á v Las Cortes'extraordinarias, usando de la facultad que se les concede una isla. por la Constitución , han decretado: Se señala el término de un año s El Sr. López (D. Marcial) hizo varias reflexiones respecto del des para la venta ó extracción á países extrangeros ó con destino á las pro canso que debían tener los delincuentes condenados í trabajos perpetuos; vincias de Ultramar de toda clase de tejidos extrangeros de lana exis y…</t>
  </si>
  <si>
    <t>…e Martin.Igual y-D. Amonio.Pacheco. . :¡ c Valladolid.y, las universidades de Valladolid y Salamanca. • Quedó aprobada ía primera paite del articulo. ; •• - - - e ¿* El Sr.-López (Don Marcial) dijo que se oponja á la última patte Art. .54. « Los reos condenados á trabajos rperpetüos,.’ deportación del artículo, por la palabra colonias, pues en el día la España solo tenia ó destierro perpetuo del re:noj,c&amp;e..cons¡dcraran como muertas para- tdjtrovi…</t>
  </si>
  <si>
    <t>…l estado de los trabajos ds ia comi dicho en seguida el Sr. presidente , que podia retirarse la comisión á eva sión especial que se habia nombrado. cuar su encargo. El Sr. López ( D. Marcial) dijo: La comisión ; desde el punto que Se continuó la discusión del código penal. se la nombró, no ha cesado de ocuparse en el negocio que se la ha con Art. g8. &gt;» Los reos condenados á presidio serán conducidos inme fiado, pues conoce su importancia}' urgen…</t>
  </si>
  <si>
    <t>…ueron nombrados para la -comisión que debe informar sobre la nal y obediente á ias leyes: no es el que representa; son solomo ó .50 -proposición del Sr. Calatrava los Sres. López £D. Marcial), Rey , -Flo personas que invocan el nombre del pueblo , y solo estas deben ser res rea Estrada , Calderón y Subrié. ponsables. No hay pues necesidad de que las. Cortes exciten al Gobier fie leyó ia siguiente exposición del Sr. Martel : „ Pido que la comi no…</t>
  </si>
  <si>
    <t>…orque si es por el de detobedien.. tamen se declarase no haber lugar í la Formación de .ausa. cía, yo quisíeta preguntar si se ha manifestado á ia autoridad Real ó á El Sr. López (D. Marcial) manifestó que si no »e había equivo las Cortes. cado , la expresión del Sr. secretario del Despacho &lt;1 ; la Gobernación La calificación de la conducta de Cádiz y Sevilla por la desobedien solo había recaído sobre si convendría ó no tomar estas ó las otras pr…</t>
  </si>
  <si>
    <t>…maban no les movia mas deseo que el bien de su patria, y que por bla incurrido el Sr. preopinante. lo mismo no se las debia formar causa, puesto que no habían cometi El Sr. López (D. Marcial) dijo que para rectificar la Opinión sobro do ningún delito: que por otra parte se habia dicho que esta era una un hecho importante debía decir que aunque la comisión liabia nota facción; pero que él por su parte no la graduaba de tal, puesto que do que había…</t>
  </si>
  <si>
    <t>…plimiento Vecino, Berdug, Casaseca, ViUanueva, Peñafiel, Valcarcel , Yan- i esta resolución, avisando á este ministerio las que tome al efecto. diola, Giraldo , Mosco so , López ( D. Marcial), Gareti, Cuesta , Ta Madrid 10 de Diciembre de 1821.M. pia, Coraminas, Mascareñas, Maniau, Rodríguez , Gisbert, Manej es u , Liñan, Azaola, Lorenzana, Villa, Subercase, Cabezas, Sancho, BISECCION GENERAX. DE IOTKKrAS. Zayas , Benitez, Domínguez , Huerta, Man…</t>
  </si>
  <si>
    <t>…ue cuando no pueda impedir el rompimiento presentará una neutralidad politico.de las provincias. armada , y por eso se han puesto en marcha todas las guarniciones de El Sr. López (D. Marcial) opinó qüe no debían aprobarse las dota Bohemia y Moravia para reforzar el cordon de Jas fronteras de Turquía. ciones según las proponía la comisión ; porque había una porción de » El Rey de Francia ha conferido la dignidad de pares á los ex- pueblos, como Bú…</t>
  </si>
  <si>
    <t>…echo esta pre Enero inclusive.” EL Sr. presidente dijo que mañana se discutirían los tres dictámenes gunta por el Sr. secretario, se determinó que se discutiera hoy. El Sr. López (D. Marcial) manifestó que el motivo que habia te- • de comisión de Aranceles que se habían leído en la de hoy; luego el de la de División territorial, y si hubiere tiempo el código penal; j nido la comisión para proponer este dictamen habia sido el de que no se podia ve…</t>
  </si>
  <si>
    <t>…de otra exposición de los gefes de la Diferencia de menos...................... 995,100•a ¿r *--~ milicia nacional de Cádiz, concebida en los mismos términos, y con El Sr. López ( D. Marcial) preguntó si inmediatamente que fuesen igual fecha que la anterior. vacando las plazas de oficiales segundos se iría poniendo en planta la Igual resolución recayó sobre una exposición del ayuntamiento cons* que habían aprobado ayer las Cortes. titucional de S…</t>
  </si>
  <si>
    <t>Marcial, López C D-</t>
  </si>
  <si>
    <t>López C D- Marcial</t>
  </si>
  <si>
    <t>…ino no podían prohibirse absolutamente materias tan im de 30 por 100 sobre el avalúo del arancel general.” portantes , dijo que con el máximum establecido por las comisiones, y El Sr. López C D- Marcial) dijo que estaba muy bien que se adop derecho de 30 por roo que debian pagar los que viniesen del extrantase el sistema prohibitivo para todos aquellos productos de la agricul gero en el caso establecido en el mismo artículo, se concillaban todas tura que hac…</t>
  </si>
  <si>
    <t>Marcoleta, Pedro</t>
  </si>
  <si>
    <t>Pedro Marcoleta</t>
  </si>
  <si>
    <t>…suscitasen argumentos inútiles diesen ¡os honores de consultor de egército. sobre esta cuestión , limitándose solamente á si deben ó no presentar A la de Hacienda la solicitud de D. Pedro Marcoleta, oficial se los títulos. - . gundo reformado de la secretaría de Gracia y Justicia , sobre pago de El Sr. Moreno Guerra dijo que si se hubiera reducido la discusión sueldos atrasados. á sus verdaderos límites estaría ya concluida; pues tratándose de eva A la…</t>
  </si>
  <si>
    <t>Marcos, Matías</t>
  </si>
  <si>
    <t>Matías Marcos</t>
  </si>
  <si>
    <t>…y malignos miasmas hiibíé- Se mandó tener presenteen la discusión de división de territorio ran indispensablemente venido á exhalar su postrimer aliento en nues unk exposición de D. Matías Marcos y otros vecinos de Palma , soli tras moradas",'acabando de inficionar con sus vapores el aire que'respi citando continuase esta siendo la capital de provincia en lugar di h» ramos ; observa con la mayor atención , la voracidad ó decadencia' dél que se'señalab…</t>
  </si>
  <si>
    <t>Marg-iochi</t>
  </si>
  <si>
    <t>…rjudiciales en el derecho civil, dos visitasen á S. M. ó Je besasen la mano sin licencia de Jas Cortes: y ¡o eran con mas razón en el derecho criminal; que por consiguiente las el Sr. Marg-iochi dijo que ni los diputados ni ciudadano alguno debia disposiciones del decreto, asi como la aplicación de las penas, se ha besar la mano al Rey, porque el ciudadano no estaba obliaado á hacer bían déjado al arbitrio de los jueces, los cuales debían atender pri…</t>
  </si>
  <si>
    <t>Margiochi</t>
  </si>
  <si>
    <t>…dis greso los viñedos, y calculó que la extracción de vinos para putar á la nación el derecho de poner otro mejor. el Brasil, era el principal objeto para contrabalancear el va El Sr. Margiochi presentó los proyectos de decreto lor de los géneros que se recibían de aquel pais, y que estaba siguientes: aun muy lejos de poder igualar. Añadió á este otros cálculos i.° Sobre extinguir el juicio de inconfidencia.- 2.0 Sobre sobre la extracción é introduc…</t>
  </si>
  <si>
    <t>…r á la muchedumbre. de Ultramar cuando formó su Constitución, y que los portu El lord Hamilton volvió á tomar la palabra para defen gueses no estaban en iguales circunstancias. El Sr. Margiochi der sti propuesta ; pero habiendo pasado á votación fue des pidió que se pasase e! decreto á una comisión, para que echada por 310 votos contra 209. meditando sobre este delicado asunto , se viese en qué tér minos podrá hacerse semejante convocación. Persuada…</t>
  </si>
  <si>
    <t>…os beneméritos, que podían prestarle todavía grandes El R. obispo de Segovia y el Gefe político de la misma servicios. provincia han remitido el que han formado , en cumplimien El Sr. Margiochi dijo que aprobaba el decreto, y que lé to de esta Real disposición, y en su vista se ha servido re parecía digno de elogio su autor; pero qt.e le era sensible solver S. M., con fecha de I 2 de este mes , lo siguiente: que sus benéficas miras dirigidas al nort…</t>
  </si>
  <si>
    <t>…taba persuadido de que si aquella no Parts 6de. Febrero. existiera, los presentes diputados no estarían ahora reuní-; El 5 de este mes se botó ai agua en Cberbourg , en me dos. El Sr. Margiochi demostró.que se oponía abiertamente dio de. los gritos; de viva el Rey , la fragata Clorincta, de al artículo, porque encerraba en sí la esclavitud de los por-, 58/cañones, siendo los 30 del Calibre de á 24. ‘ tugueses; que la suspensión del babeas corpas era…</t>
  </si>
  <si>
    <t>…reso Madrid i.° de Marzo. luciones no debían tener fuerza de ley hasta el dia en que los publica A las 10 de la mañana de este dia salió S. M. el Rey acompaña se la Regencia; y el Sr. Margiochi opinó que para evitar los inconve do de la Reina y de SS. AA. los Sres. Infantes y sus dignas Esposas nientes que resultarían de que se dejasen de poner en el diario de Cor del Real palacio , y con la correspondiente comitiva se dirigió por la tes los proyect…</t>
  </si>
  <si>
    <t>…oluto para el equilibrio de ios A" la misma se pasó una solicitud del ayuntamiento de la Coruña, poderes. dirigida por la diputación provincial de Galicia, sobre que se le admi El Sr. Margiochi dijo que residiendo la soberanía en la nación , no ta el arbitrio de un reparto entre los propietarios de casas para el alum podía conceder al Rey el veto, ó sea la primera prerogativa de esta brado de aquella capital. soberanía; y discurriendo después sobre…</t>
  </si>
  <si>
    <t>…dé' continuar la enseñanza defosqué ‘concurran í cían.la confianzaldé la nación. ■■■ - " - ..... el la y - satisfagan. - Los Señores - súscríptores continuarán disfriifá'ndo ■ .El Sr. Margiochi dijo: Es preciso considerar para qué sirve este con- • del derecho que se les concedió de conservar siempre en ella un ju sejoróes inútil, «necesario :si es inútil,no hablemos mas de él;-pe-’- gar para el alumno-que designen, y al que se dará enséñá'nza"gratu…</t>
  </si>
  <si>
    <t>…a pronta á seguir las opera sueldo. ciones. Leyó el Sr. Freire el proyecto sobre extinción de las comisarías, y El 19 habla dado el Príncipe Regente un decreto, anulando el del el Sr. Margiochi, comparando los gastos de estas con lo que podian emburgo de buques austríacos. El 23 se publicó un bando del consejo importar los necesarios para sostener un egército de go3 hombres, opi de Seguridad pública para impedir los desórdenes que pudieran resultar…</t>
  </si>
  <si>
    <t>…de ias en el Egipto y en la Siria. Ya se ha hablado de la protección que el bajá Cortes (jart. 97) &amp;c.” de Egipto ofrecía á los cristianos, y la inclinación que manifestaba ea El Sr. Margiochi habló largamente sobre este asunto, desaprobando favor de los griegos. Se ha hablado también del levantamiento de loe el párrafo; pero le rebatió el hr. Annes, quien , entre otras cosas, dijo drusos del monte Líbano, acometiendo al bajá de Damasco con el áni…</t>
  </si>
  <si>
    <t>…las le con las ideas de honor y patriotismo de que tantas pruebas había dado yes, el peidon de las injurias, el amor al próximo , al Príncipe y á la el egército Stc. &amp;c., dijo el Sr. Margiochi , que era indecoroso el estar patria, la fraternidad y el olvido de las ofensas, y sus partidarios se siempre alabando al egército y prodigándole elogios; y que esto debía ya verán precisados á coulesur que nosotros estamos bien Ivjos de ser enc acabarse, pue…</t>
  </si>
  <si>
    <t>…a, y portugués , ó reducirlas á una sola; se acordó que se redujesen á una sola. que entre ellos y las tropas que los persiguen hay todos los dias fuertes E11 la discusión dijo él Sr. Margiochi que presentaría un proyecto refriegas.. de ley sobre los esclavos. Se han cogido algunos capitanes de cuadrilla, entre otros el famoso Se continuó la discusión del primer párrafo del artículo ir que Maestrino, que se habla hecho temible. decía: « Son portugue…</t>
  </si>
  <si>
    <t>…ara la resolución conveniente por la secretaría del la; pues para ello le autorizaba la libertad de imprenta. Despacho de mi cargo. S. M. ha oido con admiración y singular apre El Sr. Margiochi manifestó que este era un medio de sembrar la cio los extraordinarios hechos de aquel valiente español, que es. la desconfianza entre la nación y los diputados, y que mucho tiempo há guerra de la independencia, defendiéndose por dos veces en una casa que debi…</t>
  </si>
  <si>
    <t>…as Cortes para el mes próximo, y salieron electos, para co á los turcos con 4D hombres, los derrotó, les mató 400, cogió presidente el Sr. Castello Branco; para vice-presidente el Sr. Margiochi, muchos prisioneros, y se volvió á sus montañas. y para secretarios los Sres. Ribeiro Costa, Quiroga, Eelgueiras y Freire; —’&gt; Se han descubierto rastros de una conspiración en Transílvania; y con lo que se levantó la sesión. han sido presos varios ministros…</t>
  </si>
  <si>
    <t>Mari, Josef</t>
  </si>
  <si>
    <t>Josef Mari</t>
  </si>
  <si>
    <t>….. «..»»«« IO.... *• .... 47.... Dia 19................ ......... 6......... ....... 1....... ......... 0........... .... 48.... Francisco Jaquete, D. Francisco de Paula Martínez, D. Josef Mari.» Torrijos, D. Juan Jacinto López , D. Juan Josef Sánchez , D. Luis de Dia ao................ ......... 7......... ......... 1....... -•••• s............ .... 49.... Ibarróla , D. Nicolás Alonso, D. Telesforo Polo y D. Ventura de 23- s- 19. 194. la Peña. Parr…</t>
  </si>
  <si>
    <t>María</t>
  </si>
  <si>
    <t>…ase oficio al diputados á Cortes en los años de 13 y 14. Excmo. Sr. gobernador.de esta plaza para que las tropas de la guarni . A la comision .de Hacienda se pasó una solicitud de Doña María ción uniformen sus sentimientos con el del vecindario y milicia 11a-. Saavedra, hija de D. Francisco, consejero que fue de Estado, sobre cional; que se pida al mismo señor gobernador de la plaza, oficie con que se la continúe la pensión que tiene asignada has…</t>
  </si>
  <si>
    <t>…tivas: después se trató del consejo de listado, ha tancia. biendo ocurrido algunas dudas sobre lo discutido y acordado en la. se A la comisión de Hacienda se pasó una solicitud de Doña María sión anterior acerca de este punto; pero convenidos en que solamente se Manuela López, i fin d-e que se la conceda una per.síon por los méri habia votado que se formase el consejo, quedando pendiente su nombra tos que contrajo su difunto marido. miento y atri…</t>
  </si>
  <si>
    <t>…icias disciplinadas para la defensa de la provin que se remitieron a las Cortes por el Gobierno, en que solicitaban los cia de Chiapa, capitanía general de Goatcmala. herederos de Doña María ' ictoria, Inlanta de España, y del Infante Las Cortes quedaron enteradas, y mandaron repartir 200 egem- D. Luis, se les pagase por la tesorería general las distintas cantidades plares de Ja circular expedida por la secretaría de la Gobernación de que acredit…</t>
  </si>
  <si>
    <t>…ieron cinco adiciones ó modificaciones por diferentes de este ramo acerca de la solicitud de los hijos de D. Pascual de Liñan, diputados; la primera fue la siguiente: T&gt;. Felipe y Doña María, para que se declare á su padre benemérito de « En conformidad del art. 21 del reglamento el presidente llamará la patria. Una representación de D. Eusebio Gavilán, en que solicitaba al orden al orador que se separe; no obstante, cualquier vocal de la igual d…</t>
  </si>
  <si>
    <t>…el Epiro, y que ya habia habido un encuentro con gran pérdida de en defensa de ¡a justa causa de la Nación , cupo en la suerte del pri los turcos. mer extracto de la de este dia á Doña María de los Dolores Jiménez, En Francia continúa la Cámara de los Diputados en sus curiosos hija de D. Antonio, capitán del regimiento de infantería de Jaén, debates. muerto en ei camoo del honor. ARTICULO DE OFICIO. So han recibido periódicos, cuyas noticias alca…</t>
  </si>
  <si>
    <t>…vación, pues su carta venia con periódicos, y que ade ■» Colocado, según mi rango, en las tropas que se oponen al egército mas como era de una camarista, de la Serma. Sra. Infanta Doña María invasor, me contaba como un general que animado de los mas vivos Francisca, hallaba muy probable que hubiese llamado mas la curiosi deseos de salvar la patria, debia esponerse á participar de las fatigas dad para abrirla,como le pirecia indudablemente según t…</t>
  </si>
  <si>
    <t>…para explicarlas, sujetándose después á las reglas granos , harinas ó; instrumentos de labbr. establecidas en la materia.” El de la especial de Hacienda acerca de la solicitud de Doña María . El Sr. García (D. Antonio) hizo varias reflexiones acerca de l* del Carmen Elias, en la que pedia que en virtud de los distinguidos ser circunstancia de que fuesen examinados los que tratasen de establéese vicios de su marido á favor de la causa de la liber…</t>
  </si>
  <si>
    <t>…ópez Carriedo__ Idem en dicha vega de la Redonda, comiendas y pensiones, nuestras rentas y sueldos de generales dé para un prado suelo de tres carros de tierra, linda con prado de Doña María da. No basta que cerréis los ojos á nuestros desvarios; también es ne de Bustillo Mora y Josef de la Muela Parra—Idem en la vega da cesario cerrar la boca y aguantar el dolor; y las obras en que tratareis Palacio de Solobio, medio carro de tierra, prado con a…</t>
  </si>
  <si>
    <t>Maria</t>
  </si>
  <si>
    <t>…te. El Gobierno impelido por los malo , Carrion. . . principios de esta misma civilización, aunque no lo sea por los suvos &gt;7 Se declara que para !a formación de esta causa contra D. Maria propios, no puede ver al rededor de sí mas que hombres y ciudadanos. no Rufino González ..magistrado de la audiencia de Navarra, por ti En todas las ocurrencias de la vida social debe dar cuenta de cada uno tulada conspiración contra el sistema constitucional…</t>
  </si>
  <si>
    <t>María, Alfonso de</t>
  </si>
  <si>
    <t>Alfonso de María</t>
  </si>
  <si>
    <t>…oteca un egemplar de la obra intitulada El contapo destruido i impo lidos ó curados 2 : convalecientes 27: muertos ... existentes 34. tencia de la sanidad, presentada por su autor D. Alfonso de María; y Hospital del Seminario , existencia anterior 173: entrados ó acome asimismo otra obra intitulada Memorias sobre la epidemia de Andalu tidos 20: salidos ó curados 4: convalecientes 32: muertos 20: exis cía desde 1800 hasta 18IC). tentes 169. Mr. Devizr, iné…</t>
  </si>
  <si>
    <t>María, Antonio</t>
  </si>
  <si>
    <t>Antonio María</t>
  </si>
  <si>
    <t>…comisión de Comercio sóbre la empresa del canal potlan el grande. de Guadalquivir; y qué si hubiese tiempo se proseguiría la discusión Por la provincia de Valladolíd los Sres. Rr. D. Antonio María sobre señoríos ,’y levantó la sesión. . Úraga; Lie. D. Jijan NepomMcenQ.Gomez de Navarrete, abogado dé México, y,Lie. D., Manuel Diago Solórzano, abogado de id. Suplente, DIRECCION GENERA!. DE IOTF.R1AS NACtokÁtBS. eí . capitán R. Josef -Mariano Michelena. Nú…</t>
  </si>
  <si>
    <t>María, Cárlos</t>
  </si>
  <si>
    <t>Cárlos María</t>
  </si>
  <si>
    <t>…e el invierno se reunieron A la comisión de Hacienda se mandaron pasar dos solicitudes de en aquel punto hasta el número de 2 hombres. La mayor parte de los Sermos. Sres. Infantes D. Cárlos María y D. Francisco de Paula sus oficiales han servido en las tropas de otras naciones de Europa. Los para que se les paguen ciertos créditos; y otra de Dona María Dolores principales son Colocotrone , Crisospathe , Andrutzo , Ulises y Petron, García, viuda de un teniente coronel, para q…</t>
  </si>
  <si>
    <t>María, Cirios</t>
  </si>
  <si>
    <t>Cirios María</t>
  </si>
  <si>
    <t>…sus injusticias, á pesar de seis años que ha que está su escuela bajo los auspicios del Sermo. Señor que están viendo que las dos naciones en que esta libertad goza de ma Infante D. Cirios María, presentó el 25 de Febrero á exámenes públi yor extensión son las que han conseguido mayor prosperidad. Hablen cos los discípulos mas aplicados de su escuela. En este acto, que a nom Inglaterra y los Estados-Unidos de América. bre de S. A. R. presidió su secr…</t>
  </si>
  <si>
    <t>María, Fermin</t>
  </si>
  <si>
    <t>Fermin María</t>
  </si>
  <si>
    <t>…romovido á instancia de que se hiciese mención honorífica en el diario. los administradores de mar y tierra de la Havana en el año de 1807 Asimismo se dió cuenta de una memoria de D. Fermin María de acerca de los inconvenientes que causa el haberse puesto en cgecucioii liria Nafarroodo, en que propone los medios que estima correspondien</t>
  </si>
  <si>
    <t>María, Gines</t>
  </si>
  <si>
    <t>Gines María</t>
  </si>
  <si>
    <t>…de Puente del Mondoñedo. Arzobispo á D. Ramón Domínguez de la Torre. A la misma comisión se mandó pasar otra de los Sres. Torre Ma- En la de Avila: para el partido de la capital á D. Gines María rin , Eanqueri, Huerta, Muñoz, Solana . Martínez de la Rosa, Ra Serrano: para el de Arévaio á Di Gil de S. Juan Benito: para el de mos Gatcía , Cosío y Diaz del Moral, en la que prefijaban los límites Peñaranda á D. Manuel Martin Martin: para ei'de Morrtbeitr…</t>
  </si>
  <si>
    <t>María, Ignacio</t>
  </si>
  <si>
    <t>Ignacio María</t>
  </si>
  <si>
    <t>…as faldas de ios montes Helicón y Cileron d f, asesor .del gobierno é intendencia de Puebla de los Angeles. Y á pues por su inalterable tranquilidad ha merecido la denominación ds D. Ignacio María ‘de Olloqui, abogado en Méjico, para la fiscalía dé mar de, los Alciones. Mr. Scrofani asegura que se observa una especie d{ la propia audiencia de Guadalajara, vacante por promoción de D. Mi marea'.de seis horas en el golfo de Lepanto; pero este hecho necesi…</t>
  </si>
  <si>
    <t>María, Infante D Carlos</t>
  </si>
  <si>
    <t>Infante D Carlos María</t>
  </si>
  <si>
    <t>…ando solo destinado para También se aprobó el de la ordinaria de Hacienda, relativo a la esto la mitad del diezmo, ¡quién será el que falte á su pago ni en un solicitud del Sermo. Sr. Infante D Carlos María, para que se pagasen ápice? Habrá hombre que pagará mas de lo que debe soto por el desti á su Sra. Esposa Doña María Francisca los 8o9 pesos para joyas esti no que se le da á esta contribución. Y si no podemos qu-tar esta es pulados en las contratas matrimoni…</t>
  </si>
  <si>
    <t>María, Josef</t>
  </si>
  <si>
    <t>Josef María</t>
  </si>
  <si>
    <t>…arro ganaban ya 2 -j por too sobre la par. jó por el precipicio con el Farolero. Los milicianos que han hecho este distinguido servicio VARIEDADES. son los siguientes: infantería, teniente D. Josef María 'Ba rona: subteniente D. Andrés Ochagavia : sargentos segundos Reflexiones sobre el imperio de Rusia. D. Calixto Mora yD. Cipriano Díaz: cabos segundos Don El imperio de Rusia es el país de las contraposiciones Santos García del Barrio*, D. Josef del Moyo. D.…</t>
  </si>
  <si>
    <t>…344.. ....... 4000.... ................ Mataró; ’ Potosí-, y.:.I ■ ■ . a533^.-......... 2000....................... S. Fernando. . 7 Por la provincia de Sonora y Sinaloa los Sres. D. Josef María 35214....... 1000.................... Cádiz. Quirós y Mi lian , provisor,y vicario general de la Sonora, y el licen 31304.. .....!.. 1000......... Madrid. ciado D. Francisco Delgado; vecino de.la villa del Fuerte de MontesClaros. Suplente, el teniente coronel…</t>
  </si>
  <si>
    <t>…ente y secretario mas antiguo, que lo era el Sr. D. Estanis señores de la comisión dé Premios, y que en ella se halla también lao de,Peñafiel, han sido elegidos para presidente e! Sr. D. Josef María otro presentado por mí á las Cortes á nombre de varios ciudadanos be Moscoso, diputado por la provincia de Galicia.; para vice-presidente neméritos de la parroquia de S. Pablo de la. misma ciudad de Zarago el Sr. D. Demetrio O-Daly, diputado por la de Puerto-…</t>
  </si>
  <si>
    <t>…a de una buena administración , que siempre está mejor en manos de Mendizabal y Zubialdea; Dr. D. Josef María Oller, cura de Tiacote5 ó 5 personas que en la de una sola. pec; Lie. D. Josef María de la Llave , cura del Sto. Angel de esta ciu Se pasó á tratar del artículo i.*’, y después de una viva discusión se dad; D. josef María Ovando y Parada, capitán, regidor de este,ilustre</t>
  </si>
  <si>
    <t>…cabeza de ella; de minado Campo grande, y desplegado en batalla oyó) con entusiasmo ¡a manera que es casi inevitable para toda la nación griega , en ia cual se arenga que hizo su comandante D. Josef María lllescas, cuya adhesión hallan muchos individuos enteramente inocentes , el verse totalmente al sistema es bien conocida, contestando con una descarga cerrada: en destruida y entregada á la iia de Dios. seguida desfiló el batallón formado por mitades con dire…</t>
  </si>
  <si>
    <t>…co Raberto y D. Felipe Trullet, profesores de cirugía. Don el Sr. Pezuela habia dejado el mando, y se le descubrió su enredo. Juan Vieta se ofreció para inspeccionar los cadáveres D. Josef María . Otro periodista, que aun no quiere que Lima sea conquistada, la po Bauza, D. Pedro Matamala, capellán de milicias, D. Miguel Maza, ne en grandes apuros, y dice que era allí muy grande la carestía: el baritaliano, profesor de medicina, y D. Daniel Dolífus, e…</t>
  </si>
  <si>
    <t>…i antes no se ad En la provincia de Toledo: para el partido de la capital á Don mitían á discusión , y se mandaban pasar á la comisión. Juan Perez Maniré: pira el" de"Mehásáibas á D. Josef María de la Es Se declaró que pasase á la comisión la proposición que se acababa calera : para el de IUescas á D. Tadeo Capablanca : para el de Orgaz á de leer. D. Antonio Mádolell: para el de Mal de Sto. Domingo á D. Manuel Lo mismo se verificó con otra de los Sre…</t>
  </si>
  <si>
    <t>…propuesta del consejo de Estado, se ha servido nombrar Otra tierra en dicho término y pago, de un cuartal,en venta 20 rs., y para una plaza de ministro de la audiencia de Aragón á D. Josef María en renta uno__ Otra en el mismo término y sitio , de cabida 1 hemiPuig: para una de las dos fiscalías de la de Valladolid á D. Francisco nas, en venta 24 rs., y en renta un real y 17 mrs—Otra tierra en el Crespo Rascón; y para otra de las dos fiscalías de la…</t>
  </si>
  <si>
    <t>…Manzano, del segundo batallón del déla Reina: á D. Manuel del tiempo en que fueron inventadas las comedias antiguas, las de ci Valcarcel, del segundo batallón del del Príncipe: á D. Josef María pa y espada, las de santos, las tragedias, los autos sacramentales, los Jo.nís, del segundo batallón del del Infante D. Antonio: á D. Hipó del nacimiento, misterios y alegorías santas, las zarzuelas, óperas, lito Angulo, del primer batallón del de la Corona:…</t>
  </si>
  <si>
    <t>María, Josef Joaquín de Santa</t>
  </si>
  <si>
    <t>Josef Joaquín de Santa María</t>
  </si>
  <si>
    <t>…s de tir en la mas triste y penosa extremidad de su vida.’Por último las Corla lotería moderna nacional en eL sorteo de ayer. tes, atendiendo á las circunstancias que concurren en D. Josef Joaquín de Santa María , i sus distinguidos y dilatados servicios /que han sido ya ZCúmeros. Premios. Administraciones. tomados en consideración en Abril del año de 1818 , se han servido de 4544..... 10000 pesos fuertes. En Cádiz. clarar que puede S. M. dispensarle sin ejemplar, si…</t>
  </si>
  <si>
    <t>María, Juan</t>
  </si>
  <si>
    <t>Juan María</t>
  </si>
  <si>
    <t>…G¡1; de Capuchi Josef Arjona y Zapata; para el de Montilla á D. Diego Crespo de nos, de S. Antonio del Prado; de Agustinos calzados , de S. Felipe el León; para el de Pozoblanco á D. Juan María de la Torre: para el da Real ; de Agustinos Recoletos, de nuestra Sefiora de Copacayana’; de La Rambla á D. Josef Sánchez del Aguila, y. para el de Priego á Don Mercenarios calzados, de S. Josef; de Mercenarios descalzos, de Santa Vicente Pereda Laso de la Ve…</t>
  </si>
  <si>
    <t>…e S. Basilio , sustanciándose por pobre ante el Sr. Ríos ,1821. = Excmo. Sr.=;Manuel Dejuan. = Excmo. Sr. secretario del des y escribanía de D- Alfonso de Yébenes , á instancia de D. Juan María pacho de la Gobernación de la Península.” Garrido , suplica á quién los hubiere encontrado los llevé á la calle del « Excmo. Sr.: La diputación de esta provincia me ha pasado para Almendro , casa núm. 3 , cuarto principal, juntó á S. Pedro, enTá que la dirija…</t>
  </si>
  <si>
    <t>María, Julio</t>
  </si>
  <si>
    <t>Julio María</t>
  </si>
  <si>
    <t>…a nación que pierde la ocasión de adquirir su li sagrada congregación de Ritos. = En Jugar dél selio del bertad merece ser esclava eternamente.” Eminentísimo y Reverendísimo Señor cardenal Julio María El Sr. Castello Branco leyó otro discurso, no menos de la Samagíia, prefecto de la sagrada congregación de Ri elocuente; y después de una larga discusión sobre el artícu tos, estampado sobre oblea encarnada cubierta.de papel. = lo i.°de lastimes, acerca del cual ex…</t>
  </si>
  <si>
    <t>María, Rafael</t>
  </si>
  <si>
    <t>Rafael María</t>
  </si>
  <si>
    <t>…o y actividad del comandante del batallón de la milicia na seo de todos los amigos del orden, de todos los franceses amantes de cional y alcalde primero constitucional de Montilla D. Rafael María ia tranquilidad y del honor de su patria. Ya es tiempo de conocer á de Aguayo es digno del mayor elogio. Luego que este patriota tomó el esos hombres que se divierten en perturbar la paz común, en inquietar mando, estableció una cátedra pública de Constitució…</t>
  </si>
  <si>
    <t>…co Daimau, Mariano tirana, Josef León y Josef Zaragoza, en las principales capitales de provincia de todo-il reino. Aunque para remitidos por el juez de primera instancia de Ayora D. Rafael María los" profesores seria enteramente inútil recomendar la obra, que no-pue Calabuig en 19 de.Diciembre de 1814. Presos él i.° en 3 de Diciem de suplirse con ninguna otra de las publicadas hasta ahora en cualquie bre de ídem, el 2.“ en 21 de Junio de 2817, el 3.0…</t>
  </si>
  <si>
    <t>María, Sebastian de Juan y Santa</t>
  </si>
  <si>
    <t>Sebastian de Juan y Santa María</t>
  </si>
  <si>
    <t>…S. de la provincia de Valencia; ha nota réditos de 3 por 100 al año á favor de las fundaciones y obras pias de do su irregularidad, y que á lo menos no debia ser Valencia la capi D. Sebastian de Juan y Santa María sobre las rentas provinciales de S¡tal : examínense los puntos de la costa que es mas conveniente se atien gtienza, y las del tabaco y salinas de Himon, y generalmente sobre la da , y se verá que no es tan montuosa esta división como á S. S. le ha renta del t…</t>
  </si>
  <si>
    <t>María-Cansmos</t>
  </si>
  <si>
    <t>244</t>
  </si>
  <si>
    <t>…a de alargar excesivamente los vocablos, aumen -de Sto. Domingo; con 66 rs. al de la vcracruz, y con 19 tándolos por ambos extremos, esto es, por el principio y el is. y 2-7 mrs á Doña María-Cansmos. fin; asi de berengena. se forma aberenjenado, de francés una-suerte llamada Dos Gamas, con 35 aranzadas de la afrancesado Soc. bor , gravadacon 147 rs. ¿ favor dei hospital de S. Juan d.e En las voces adversativas expresamos la preposición des •Dios , en 68,…</t>
  </si>
  <si>
    <t>Mariana, Valentín</t>
  </si>
  <si>
    <t>Valentín Mariana</t>
  </si>
  <si>
    <t>…er mejor que Doña Josefa Gabriela Valdearenas. id. En Palma de Mallorca en la de D. Juan Veirer, de El tribunal especial de Guerra y Marina ha mandado se ci id. En Cuenca en la de D. Valentín Mariana, librero. En te y emplace por medio de la . gaceta del-Gobierno á Doña Ma ría Campani, viuda de D. Ramón Compani, vecino que fue Belmonie en la de D. Rufino Crespo, del comercio. En dé la ciudad de Palma, en la isla de Mallorca , para que dentro Plasencia en…</t>
  </si>
  <si>
    <t>Mariano</t>
  </si>
  <si>
    <t>…rán; Jy. tancia de Granada, contra aquella audiencia territorial y.el tribunal .de Otros en.escuelas especiales. _ . - justicia. " r,;; ( . ..... . _ ..En .seguida el Sr,,.García (D. Mariano) presentó Ja siguiente adi Ala misma una exposición de D. Manuel y D. Pedro Carrillo de ción al art.,33 : » No : obstante, que las;haya privadas con destinó al Albornoz, hermanos del capitán g^nd-’i-nrcTríno de'Yucaían,-pidien mismo objeto.” La, cual), despué…</t>
  </si>
  <si>
    <t>…Durango á D. Francisco Javier de Elexpuru: para el de lante debe separar de los cargos públicos , si quiere consolidar su obra; Guernica á D. Manuel Aizpuru: para el de Sopuerta á D. Mariano la cual valdría mas no haberla principiado, que permitir sufra retroce Ambrosio Morales. so. ¡Y á quién deberia atribuirse? á los hombres del sistema antiguo, Provincia de Navarra. Para el de Pamplona á D. Antonio Cha- tenazmente adictos á él, y de consiguien…</t>
  </si>
  <si>
    <t>Mariano, Francisco</t>
  </si>
  <si>
    <t>Francisco Mariano</t>
  </si>
  <si>
    <t>…ecibida con mucha satis Vkge de la razón por la Europa, por el marques Caraccíolo: facción por ser confórme al voto del pueblo. Pensaban pu traducido del francés ai castellano por D. Francisco Mariano blicaría ei x8 ó 19 de Diciembre. Nifo , undécimp impresión: 2 tomos en 8.° Se hallará con las Las noticias de Londres hasta el 21 tratan de exposi demas obras del autor, nuevamente reimpresas y correctas, en la ciones al Rey y á la Reina, y de la dimisión ya…</t>
  </si>
  <si>
    <t>Mariano, Josef</t>
  </si>
  <si>
    <t>Josef Mariano</t>
  </si>
  <si>
    <t>…as. : cia de Canarias; D. Pedro Antonio Cosío, por la de Granada; Don Cuadros Ae Eyck. Un ingles ha comprado, en Aquisgran dos her Francisco Javier Caro, por la de'Sto. Domingo, y D. Josef Mariano mosos cuadros de Eyck- ( Hubertvan.); que adornaban en otro tiempo Michelena, por la de Nueva-España. 2.°La sala de segunda instancia la la catedral de S., Bavor en Gante. Ha dado.por. ellos too,óoo fran compondrán los Sres. D. Eusebío María Canabal , diputad…</t>
  </si>
  <si>
    <t>Maríano.Niner, Francisco</t>
  </si>
  <si>
    <t>Francisco Maríano.Niner</t>
  </si>
  <si>
    <t>…se hallarán en dicha librería : las obras del erudito marques d.e no aspira á menos que al exterminio total de los rebeldes para no te Oaracciolo , traducidas á nuestro idioma por D. Francisco Maríano.Niner ya nada que temer de su descontento. Asi es que después de Ja fo, última edición, las que se venden jumas y separadas por tratados. SUPLEMENTO '</t>
  </si>
  <si>
    <t>Mariapen</t>
  </si>
  <si>
    <t>…mpre la paz? Sean jus Juan Antonio Sánchez y tíe Doña Catalina "V elez.. Contrajo tos los Gobiernos, y está conseguido el fin. No se usur matrimonio en 13 de Diciembre de 1808 con Doña Mariapen á Jos pueblos los derechos que Dios les ha dado, y que de Avila, natural de la villa de Brúñete-, y al principio del forman la parte mas esencial de su existencia. siguiente año de 1809 se ausentó de esta capital sin motivo ¿Qué entenderá el falsificador de l…</t>
  </si>
  <si>
    <t>Maríinez</t>
  </si>
  <si>
    <t>…. ....... . t . , . . que si en cada año se hacia esta misma operación , las Cortes no po Circular del ministerio de Hacienda. . drían continuar sus tareas, y todo sería nulo. El Sr. Maríinez de la Rosa fue de la misma opinión que todos lo» ,» Con esta fecha digo al intendente de las provincias vascongadas demas Sres. diputados, diciendo queda respuesta que se debía-dar á loque sigue: S. M. era que las Cortes no podian separarse en un ápice de sus…</t>
  </si>
  <si>
    <t>Marimon, Cayetano</t>
  </si>
  <si>
    <t>Cayetano Marimon</t>
  </si>
  <si>
    <t>…l en la testamentaría del Sr. Vargas Ponce y en las causas de D. Pedro Í’uez de primera instancia, se averiguó que el autor de la referida carta Fernandez de Castro, presbítero, y D. Cayetano Marimon , los dos o es D. Sebastian Miñano: se procedió en seguida al juicio de conci del número de los diputados que en 1S14 firmaron la famosa repre liación prevenido en el artículo 52 de la ley de libertad de imprenta sentación á S. M., los cuales no se habian con…</t>
  </si>
  <si>
    <t>Marimon, N.</t>
  </si>
  <si>
    <t>N. Marimon</t>
  </si>
  <si>
    <t>…a presentar un A la comisión que entendió en el asunto de los 6) cx-diputados se proyecto de ley dirigido ¿asegurar mas .eficazmente la independencia mandó pasar una exposición de D. N. Marimon , uno de los que fir de! Parlamento, excluyendo de él á ciertas personas que obtienen des maron la representación .sobre que en atención á lo que exponía, se le tinos nombrarlos por eí Gobierno. No hubo lugar á votar sobre la pro repusiese en su empleo y hono…</t>
  </si>
  <si>
    <t>Marín</t>
  </si>
  <si>
    <t>…o por 72: 13 el Sr, Lorenzana por &lt;52: 14 el Sr. López (D. Mar de S. M. , y concluida esta se siguió leyendo la precitada memoria. cial) por 79: 15 el Sr. San-Miguel por Ó9: 16 el Sr. Marín. Titule Concluida la lectura dijo el Sr. presidente,-que las Cortes cuidaban</t>
  </si>
  <si>
    <t>Marín'fue, Torre</t>
  </si>
  <si>
    <t>Torre Marín'fue</t>
  </si>
  <si>
    <t>…star qué la comisión se ha propuesto proteger i ios la introducción se hubiese verificado en Ultramar. extrangeros en la introducción de sus géneros en perjuicio de los naciona El Sr. Torre Marín'fue de opinión que no debía exigirse el 2 por les, siendo asi que la comisión ha hecho por atacar en ló posible la in loo que se proponía en este ariícuio, con respecto á los géneros que dustria extrangera en favor de la nacional. En efecto, éstos han sido ¿atuvi…</t>
  </si>
  <si>
    <t>Marin, Fernando</t>
  </si>
  <si>
    <t>Fernando Marin</t>
  </si>
  <si>
    <t>…elatará todos los abusos de libertad de haber declarado las Cortes que recibían con agrado la exposición del imprenta, cuya facultad tendrá tambieri cualquiera otra persona, excep coronel D. Fernando Marin , manifestaba de orden de S. M. que Ma to en los casos prevenidos por el art. 14, en los cuales solo podrán rín no era digno de tal declaración, porque siempre sus ¡deas habían si hacerlo los sugetos ofendidos.” ' do conformes á los diversos sistemas, cuando…</t>
  </si>
  <si>
    <t>Marin, Fernando Antonio</t>
  </si>
  <si>
    <t>Fernando Antonio Marin</t>
  </si>
  <si>
    <t>…pudiese responder á las objecio Las Cortes oyeron con agrado, y mandaron pasar al Gobierno, uña nes que se hicieran , y con este motivo,se suspendió esta discusión. exposición del-teniente D. Fernando Antonio Marin, suplicando se le Se aprobó el dictamen.de ia comisión de Legislación, relativo á que recomiende al Go.biernQ .para que se le destine á Ja persecución y extinse dispense á D. Josef Nicolás Espinosa un año que le falta para reci ' cion de los-facciosos, L. " .…</t>
  </si>
  <si>
    <t>Marín, Rafael</t>
  </si>
  <si>
    <t>Rafael Marín</t>
  </si>
  <si>
    <t>…edido sér empleados el segundo'gefe del benemérito ba Jo que exceda de la cantidad líquida de 10 millones de reis. De ¡as rentas tallón de la Princesa; el ayúdame del estado mayor D. Rafael Marín; de ¡os arzr.bispados de Braga y Bvora y de los obispados de Ovorto y el sargento mayor de la plaza D. Josef Losada, y los interinos ayudan Cambra se recaudará todo lo que exceda de 7.200c) reis ; y por ulti tes de ella el teniente y subteniente retirados D.…</t>
  </si>
  <si>
    <t>Marín, Torre</t>
  </si>
  <si>
    <t>Torre Marín</t>
  </si>
  <si>
    <t>…no pudo proporcionar el dinero en el acto Tribunales imponer como pena á los delincuentes el servicio en los de convenirse #n la compra. egércitos nacionales: otra proposición del Sr. Torre Marín , sobre que A las comisiones Eclesiástica y de Legislación se pasó una queja las asambleas de todas las órdenes militares presenten á las Cortes sus del ayuntamiento de Segovia por haberse admitido á la oposición de estatutos corregidos y arreglados al sistem…</t>
  </si>
  <si>
    <t>…AÑA. Se mandó pasar á la comisión de División del territorio una expo sición del ayuntamiento de Granada, relativa á lo mismo, presentada Algeciras ¡ de Abril. á las Cortes por el Sr. Torre Marín. El ayuntamiento constitucional de S. Roque habiendo recibido una El Sr. Vítorica presentó1 otra del ayuntamiento constitucional de circular del Sr. Gefe político del partido para que solemnizase con toda Santander, en que manifestaba algunas exenciones que g…</t>
  </si>
  <si>
    <t>…rias reflexiones para que se decrete su abolición. 1 que de lo contrario seria gravar demasiado la agricultura. Se mandó pasar á la comisión especial de Hacienda una indicación El Sr. Torre Marín dijo que esta contribución deberla calcularse .del Sr. Cavaleri, reducida á que las contribuciones que se pagan por los por el valor que tuviesen los predios urbanos , y no por susalquileres; predios rústicos las paguen los propietarios , y no los colonos. á'…</t>
  </si>
  <si>
    <t>…, lejos de estar quejosos de su gobernador el capitán Som- ta por el Gobierno. Aprobado. merset, le han regalado un magnífico vaso de plata. Se aprobó la siguiente indicación del Sr. Torre Marín: Que el El Rey ha dado una función sin etiqueta en su palacio de Carlton, Gobierno señale la cantidad que haya de pagar ía provincia de Grana la cual estuvo muy divertida por un baile de niños , hijos de las prin da, y la que haya de satisfacer la de Málaga,…</t>
  </si>
  <si>
    <t>Marin, Torre</t>
  </si>
  <si>
    <t>Torre Marin</t>
  </si>
  <si>
    <t>…o pues en el examen de los fundamentos que puede raciones para demostrar la preferencia que se merecía Baza. haber para que Baza lo sea, ó bien Almería , creo que encontraremos El Sr. Torre Marin rebatió algunas observaciones del Sr. Palarea, una gran diferencia entre los que hay á favor de la primera y ios de ia manifestando que no podía formarse por los mapas un concepto tan segunda. Una vez que el objeto de la formación de estas provincias y exacto…</t>
  </si>
  <si>
    <t>…uivalía á una verda nerse á esto, que trataría de que fuese mas extensivo , y que se toma dera prohibición. sen las medidas mas enérgicas que fuesen posibles para atajar el con El Sr. Torre Marín se opuso á que se aprobase la segunda parte de trabando , por lo que apoyaba el artículo en cuanto a la primera parte; este artículo, exponiendo que el precio de 75 rs. no era bastante para pero no en cuanto á la última, en que se concedía la introducción de…</t>
  </si>
  <si>
    <t>…a del ayuntamiento constitucional de Rcus, manifes que asi lo exigen las medidas de una justa policía.” tando la sorpresa que ha causado a sus habitantes ei haberse establecido Ei Sr. Torre Marín hizo algunas observaciones en contra del artícu la capital de aquella provincia cu larrg'na. lo , que fueron cont.stadas por el Sr Calderón. Las t.c.rtes qu daion cnt radas de dos exp siciones,!» una del ayun El br Gilí rra opinó que las formalidades aprobada…</t>
  </si>
  <si>
    <t>…comisión las siguientes adi desde el 8.11 hasta el 13 inclusive me parece que deben retirarse en ra ciones. zón de que son puramente reglamentarios, y de que es propio del Go Del Sr. Torre Marín al art. 4.° que se añada «El pago de costas bierno establecerlos. Por esta razón creo que el art../.0 se debe aprobar en los juicios de comiso sea también satisfecho con el valor de los gé eri los términos referidos, y pasar á la discusión del art. 14 en ade…</t>
  </si>
  <si>
    <t>Marin.zzr, Serapio</t>
  </si>
  <si>
    <t>Serapio Marin.zzr</t>
  </si>
  <si>
    <t>…obado. D. Narciso Olivas. =D. Andrés Ester. ^D. Juan Anel.zzD. Blas- Añ Art. 108. » El Gobierno señalará el uniforme que deba'usar, em ónela. zzD. Ramón Marco.z=D. Manuel Sierra. =D. Serapio Marin.zzr pleándose en él solo géneyos nacionales.” Aprobado. D. Eugenio Lopez.zzD. Josef Percz.=D. Luis Zueco. = D.. Vicente El Sr. Rovira manifestó que la comisión, después de haber oido al Pastor. zzD. Valentín Jope. ~ D■ Ignacio Flesas. zz D. Ramón Cana- gunas obse…</t>
  </si>
  <si>
    <t>Marina</t>
  </si>
  <si>
    <t>480 En seguida dijo el Sr. Marina que todas las prestaciones que habían bien de decir nada favorable) se Ies permite toda la libertad posible salido de la corona Real debian volver á ella; que para distinguir estas para insultar á los Gobiernos. . de las que fuesen de propiedad individual ó p…</t>
  </si>
  <si>
    <t>…o requisito no han podido ni pueden ra , la audiencia territorial de Asturias y el ayuntamiento constitu considerarse pertenecientes á propiedad particular,” cional de Tíldela. El Sr. Marina manifestó no habia hablado hasta ahora, porque es Las Cortes oyeron con agrado, y mandaron pasase 4 la organiza peraba oír los discursos de los demas señores diputados acerca de este ción de Fuerza armada, una exposición del director general de artille asunto…</t>
  </si>
  <si>
    <t>…y trabaja di labrador es El Sr. Lobato dijo: que con el grande aparato y fuerte ataque que ■lina propiedad sagrada para é!, ¿cuánto mas sagrada é inviolable será ¡a habia dado el Sr. Marina al asunto de que se frutaba, creia que habia de un valeroso que regió con su propia sangre los campos que disfruta, llegado el exterminio de los señoríos, y que habia ganado la plaza; y ganó como bienes castrenses en una batalla?- Es bien evidente que es pero…</t>
  </si>
  <si>
    <t>…há con los protestantes! {Morning-Chronicle.') á las Cortes por el brigadier D. Manuel Díaz de Herrera, y se mandó pasar á las comisiones Eclesiástica y de Marina. T RANCIA- . El Sr. Marina .presentó una obra de filosofía que le han remitido varios literatos.de la Havana, á fin de que las Cortes la mandasen pa París g de Abril. sar á la comisión de Instrucción pública , y oída esta la declarasen obra Los políticos que se dedican al exameh de los…</t>
  </si>
  <si>
    <t>…o de primera clase; á las cuales se mandaron agregar unas tro ; porque si este hubiera de leer y examinar todos los expedientes observaciones que en apoyo de .lo mismo presentó el Sr. Marina. relativos á su ramo, sufriría un grande entorpecimiento la marcha de Sa mandó pasar á la comisión Eclesiástica una exposición que pre los negocios; y asimismo era preciso tomar en mucha consideración el sentó el Sr. Rovira de algunos eclesiásticos de América…</t>
  </si>
  <si>
    <t>…como quiera que esta está enteramente resuelta, me parece que debía nos que se proponia. terminarse la discusión del proyecto, y la comisión retirar todos ios Se concedió al señor diputado Marina el permiso que solicitaba demas artículos , ¿vitando de este modo que hubiese necesidad de san para pasar ú Arganda, á fin de restablecer su salud. ! cionarlo, porque en efecto los artículos que siguen tienen carácter Se leyó el dictamen de la comisión de Pod…</t>
  </si>
  <si>
    <t>Marina, Francisco Martínez</t>
  </si>
  <si>
    <t>Francisco Martínez Marina</t>
  </si>
  <si>
    <t>…rustra i Discurso sobre las sociedades patriótricas y su organización , por el do ha sido el de Frimont, el de los diplomáticos de Laybach, y-no el diputado de las Cortes actuales D. Francisco Martínez Marina: un tode los napolitanos: estos han creído que toda su defensa estaba en los ■ mo en 8? de papel fino y buena letra. Se vende en la librería de Sojo Abruzzos: los Señores de Laybach querian se conquistase la capital de á rs. Nápoles. Frimont se dirigía á esto…</t>
  </si>
  <si>
    <t>Marina, Francisco Martinez</t>
  </si>
  <si>
    <t>Francisco Martinez Marina</t>
  </si>
  <si>
    <t>…vasallos de Cortes generales y extraordinarias, y promulgada en Cádiz á 19 de los amos á quienes adula el periodista. ¡Y un esclavo se atreve á de Marzo de 1812: por el ciudadano D. Francisco Martinez Marina, ca cir que las ¡deas liberales conducen al yugo y á la barbarie! Los que no nónigo que fue de la iglesia de S. Isidro de Madrid, y actualmente de conocen mas que yugo y barbarie ¡juzgar de principios benéficos, justos la de Lérida, individuo de número de las…</t>
  </si>
  <si>
    <t>Mariu, Torre</t>
  </si>
  <si>
    <t>Torre Mariu</t>
  </si>
  <si>
    <t>…rtes no podian me drigo Fuentes y otros individuos de la casa de S. Marcos de León, so nos de aprobarla. licitando se íes indemnice de tos gastos que hicieron para entrar en di El Sr. Torre Mariu hizo varias reflexiones acerca de los 150 mi cha casa, ó bien se les conceda una pensión. llones que se querían imponer sobre las rentas territoriales, y manifes A la de Marina una exposición dél Sr. ministro de este ramo a tó que siendo asi que el año pasado…</t>
  </si>
  <si>
    <t>Marjiochi</t>
  </si>
  <si>
    <t>…de.D. Juan Bautista Vargas, de las comisiones sé pasó á tratar sobre la abolición de la Inquisición; cura párroco de Escalona, para que en las oraciones del santo sacrificio y el Sr. Marjiochi, autor de la proposición, tomó la palabra, y pronun de la misa cuando se habla del Monarca se añada la palabra constitució un elocuente discurso, en el que empezó por examinar el origen de 'tional. su establecimiento en el siglo xvt en tiempo del Sr. D. Juan…</t>
  </si>
  <si>
    <t>Mármol, Manuel María del</t>
  </si>
  <si>
    <t>Manuel María del Mármol</t>
  </si>
  <si>
    <t>…de este caso habia el autor confiado el secreto , autorizándolo para descu la jurisdicción espiritual pertenece á la cabeza visible de la Iglesia, úni brirlo, lo hizo nombrando al doctor D. Manuel María del Mármol, naca arca de salvación', fuera de Ja cual es inevitable el naufragio; de esta tural de Sevilla, capellán de S. M. en la Real de S, Fernando, cateIglesia que adora, como dice Pascal, al que ha sido adorado siempre. drático de la universidad, censor de la soci…</t>
  </si>
  <si>
    <t>Marmol, Manuel María del</t>
  </si>
  <si>
    <t>Manuel María del Marmol</t>
  </si>
  <si>
    <t>…amigas deberán pre Bayona. bao. sentar los alumnos y alumnos de sus clases que aspiren á estos premios D. Francisco de Lancariz, de Bil D. Marcial Francisco del Adalid, en casa de D. Manuel María del Marmol, presidente de la comisión bao. de la Coruña. de curadores de la sociedad,el dia 4 de Noviembre. En ella serán exa D. Francisco Josef de Jáuregui, id. Doña María Teresa de Michelena. minados , y se adjudicarán los premios , entregándoselos á los alumnos D. Fr…</t>
  </si>
  <si>
    <t>Maroto, Josef</t>
  </si>
  <si>
    <t>Josef Maroto</t>
  </si>
  <si>
    <t>…nza; y en su vista se ha servido S. M. re diente en el juzgado de primera instancia de Valladolid del cargo solver que subsistan en la ciudad de Soria el convento de franciscos de D. Josef Maroto en u de Mayo. observantes; en Burgo de Osma el de carmelitas descalzos; en Calahor La formada contra Fr. Alonso Rico, mercenario calzado, que ra el de S. Francisco y el de carmelitas descalzos; en Logroño el de egercia la cura de almas en la misma villa por n…</t>
  </si>
  <si>
    <t>…dugo en la hora y sitio acostumbrado. disposiciones de la Rusia se limitarán ponahora á poner fuerzas impo nentes en las fronteras, y que el Emperador Alejandro ofrece 30ÍJ Por el Sr. D. Josef Maroto, juez interino de primera instancia dé hombres al Austria; pero no se sabe si -este los ^admitirá.” La gaceta de Valladolid, se formó en 17 de Abril último causa criminal en averi Francia añade: „ De pocas horas á esta parte (en el artículo de Vie guación de…</t>
  </si>
  <si>
    <t>…publique y circule. =: se llevase á debido efecto , y que pagase las costas del proceso. Está rubricado de la Real mano de S. M.=:En Madrid á 22 de Mayo de 1821. Por sentencia del Sr. D. Josef Maroto , juez interino de primera instancia de hl ciudad de Valladolid, dada en la causa formada contra Resolución de las Cortes, comunicada al ministerio de Gracia y -Juan Albite, Pedro y Francisco Trugeo , Antonio Lillo, Josef Anto Justicia. nio Alcain y Miguel Ob…</t>
  </si>
  <si>
    <t>…le. =Está rubricado de la Real mano. En palacio á 28 de Mayo de 1821. = A D. Antonio Barata. Se han recibido periódicos extrangeros, cuyas noticias alcanzan , las Por sentencia de D. Josef Maroto, juez interno de primera instan de París hasta el 27 de Alayo; las de Londres hasta el 23, y las de cia de la ciudad de Valladolid , se absolvió á Fr. Alonso Rico , merce Alemania hasta el 21. nario calzado de la misma, y cura ecónomo que ha sido de la villa…</t>
  </si>
  <si>
    <t>…; paraRioteco á D. Zacarías Romero Velez; para Villalon á Don después de la publicación; acto continuo se contarán efectivamente Domingo Bacas P»oj-.: para la Puebla de Sanabria á D. Josef Maroto; del modo siguiente: dos diputados que hayan votado, uno por la afir para Gradefes á D. Quirico Antonio Egafia; y para Benavente á Don mativa y otro por la negxiiva, contarán el número de los diputados que Antonio Vitini Villamarin. •,tan en pie, y otros dos…</t>
  </si>
  <si>
    <t>Márquez, Joaquín María</t>
  </si>
  <si>
    <t>Joaquín María Márquez</t>
  </si>
  <si>
    <t>…a en compañía de un herrador dé Morent; para la de Ugijar á D. Josef Martínez Bustamante; paro la la guardia Real del intruso. Quien supiere su paradero se servirá avi de Dalias á D. Joaquín María Márquez; para la de Torbiscon á Don sarlo a) notario mayor de la vicaría eclesiástica de esta corte D. Josef Josef Ganancias; para la. de Oriiba á D. Luis Muñoz Palao ; para María Patón, en cuyo oficio está radicada la solicitud de Rivero para ja de Motril á D. Josef…</t>
  </si>
  <si>
    <t>Márquez, Josef Mariano</t>
  </si>
  <si>
    <t>Josef Mariano Márquez</t>
  </si>
  <si>
    <t>…del’Dr. Mavoi, aunque es mas interesante á su enten Para la primera de Barcelona á D. Victoriano Gisbertt der la'obra de miss Wakefield, y mas propia’para la inspara la segunda á D. Josef Mariano Márquez: para la ter ■ truccion de los niños próximos á la adolescencia. En 18 04 cera á D. Josef Esteve; y para la cuarta á D. Nicolás Ma- publicó el á Family tour througk the British empire , viage latesta y Mayor: para la de Tarrasa á D. Juan Barata: para ae una f…</t>
  </si>
  <si>
    <t>Marquina, Camilo</t>
  </si>
  <si>
    <t>Camilo Marquina</t>
  </si>
  <si>
    <t>…que ta se le siga pagando la pensión que se le concedió anteriormente. solamente han acordado los artículos deque se quejan dichos individuos, Lo mismo se mandó en la instancia de D. Camilo Marquina, sar y que no podrán menos las Cortes de apoyar; en fin , el Gobierno solo gento mayor de milicias provinciales, en que solicitaba lo propio. se ha propuesto el acierto, y está pronto á suspender el término se- Se leyó un oficio del Sr. secretarlo de Hacienda…</t>
  </si>
  <si>
    <t>Marquina, Josef Feijoo y</t>
  </si>
  <si>
    <t>Josef Feijoo y Marquina</t>
  </si>
  <si>
    <t>…le toque en suerte el cial de Compostela; D. Josef Martínez Moscoso, juez de primera ins número siguiente. Los batallones ligeros tendrán su escala separada des tancia de Madrid; D. Josef Feijoo y Marquina, propietario. pués de los de línea , siguiendo el mismo orden de preferencia por la antigüedad que tienen los existentes, y ios nuevos por suerte, y unos„En 23 de Octubre último tuvo el Rey á bien elevar á la dignidad y otros , ademas de sus nombres, tomarán…</t>
  </si>
  <si>
    <t>Marrojeni, Juau</t>
  </si>
  <si>
    <t>Juau Marrojeni</t>
  </si>
  <si>
    <t>…ento a soste máticas por medio de ministros plenipotenciarios turcos, A consecuen nerle en su tentativa. Su proyecto era sorprender a Mareard , en don cia de ' esta disposición el Sr. Juau Marrojeni, que por espacio de de hay un depósito dé armas pata !li rtiibc'tt; este le pro to años ha desempeñado con mucho decoro el empleo de encargado porcionado muchos medios pata su empresa* Hay apariencias di qoe de Negocios cerca de nuestra corte, presentó el 8 c…</t>
  </si>
  <si>
    <t>Marschalt</t>
  </si>
  <si>
    <t>…e viven actualmente; el mayor han entrado también en esta cap.tal el conde de Bulou, ministro de número son de la ciase noble, v la octava parte cocrespor.d*n al clero. Prusia; el barón Marschalt , ministro del ducado de Nasau ; Mr. Gor- En 1807 se contaban cerca de 49 obras en lengua rusa, y en. el día don , encargado de negocios de Inglaterra cerca de la corte da Viena, su número pasa de 89. y la condesa de I.ivwen, espoci del embajador ruso eñ Lond…</t>
  </si>
  <si>
    <t>Marsigli</t>
  </si>
  <si>
    <t>…da á Lo menos que ocupará la Servia, luego que los rusos hayan pasado Parece que el príncipe de Harembcrg habia contado el hecho que el Danubio. Asi se verificará lo que decia el conde Marsigli hace mas sigue, y lo confirmaban varias cartas. de un siglo. » No se necesita mas que andar para conquistar la Turquía; « La princesa Matilde de Schwartzemberg, que hace ya muchos años pero la dificultad está en ponerse de acuerdo sobre su división.” se halla…</t>
  </si>
  <si>
    <t>…entes 7: muertos uno: existentes 19. que los rusos hayan pasado el Danubio. De este modo va á verificarse De los 2 enfermos de S. Gerónimo ha muerto uno. En la Bar lo que decía el conde Marsigli hace mas de un sigto. » Para conquistar celoneta hay otro que está de observación. En ios demas puntos no la Turquía no se necesita mas que marchar contra, ella; pero la dificul ocurre novedad. tad consiste en quedar de acuerdo sobre su repartimiento.” De ord…</t>
  </si>
  <si>
    <t>Marte</t>
  </si>
  <si>
    <t>…cción pública. Código penal; y en seguida se continuó la discusión sobre el art. z.° El Sr. Romero Alpuente: á mí me seria indiferente que lo nom del dictamen sobre señoríos, y el Sr. Marte! dijo : reproduciré las mis brara el Gobierno 6 las Cortes, porque de todos modos se puede hacer; mas ideas que ya he manifestado sobre este asunto, en el que cada dia pero en el primer caso se ve que los resultados del examen quedarán en se desfigura mas su…</t>
  </si>
  <si>
    <t>…tes modos acerca de clero y las fábricas de las iglesias.” ella, según el interes que mueve su pluma, ó el modo de ver los acon El Sr. Lobato dijo: Yo no soy tan generoso 'como el Sr. Marte!, tecimientos. que mira con mucho respeto el dictamen de la comisión especiaL de Se sostiene, tal vez pro formula, el rumor de un nuevo Congreso Hacienda; pero 'estimo tanto á los señores que la componen como abor europeo, al que se llevan Reyes dé todas part…</t>
  </si>
  <si>
    <t>…resente, y para- su- cumplimiento, y dispondréis se imprima, publique y circu -no proceda bajo otro .concepto. le. — Está rubricado de la Real mano, am En Palacio á 15 de Mayo :E1 Sr. Marte! di jó-: He obfiitf oncoino comisionado. *ñ et: reparti de iSii.nzRamon Feliu.” miento del clero en el año de4t8; y habiendo b*eho uaa'.doasutta á la .junta .suprema j repartidora de esteísubsidio , contesto.,..«le^quedában i.° Don Fernando vn por la gracia d…</t>
  </si>
  <si>
    <t>…mo orden deberían ban la suma decadencia y miseria en que se hallaban aquellos pueblos fijarse en este, y no dejarlo para el leglamento. por la falta de salida de sus consumos. El Sr. Marte! manifestó no tenia inconveniente la comisión en A la de Hacienda se mandó pasar otra indicación del Sr. Lobato admitir las modificaciones que se creyesen oportunas. Quedó aprobado. sobre abonos de suministros para el pago de las contribuciones. Art. 49. « En…</t>
  </si>
  <si>
    <t>…hacer el Se continuó la lectura del proyecto sobre beneficencia, que se man servicio de soldados , y mezclarse en sus filas, formando una compañía. dó imprimir; y á solicitud del Sr. Marte! se mandó pasará la comisión Las Cortes oyeron con particular agrado este sublime rasgo de pa especial de Hacienda con urgencia la parte que trata de ios fondos. triotismo; mandáronse hiciese mención en la gaceta, y que pasase al. El Sr. presidente dijo que p…</t>
  </si>
  <si>
    <t>…ienen que hacer. De aquí resulta que Cortes d.b.'n d-:c&gt;.,que nu a lugar á ía reun on de estos dos ramos. las competencias que puede haber entre unas y otras autoridades no ias El Sr. Marte! : L&lt; cuestión de que se trata, relativa á si conviene veo tan difíciles de evitarse , y mas cuando ambas direcciones están á la ó no la reunión d ias juntas de b.nefic.'ncia y salud púbu'ca, se puede vista del ministerio de la Gobernación, y será muy fácil q…</t>
  </si>
  <si>
    <t>…te documento. salón. Se declaró este asunto por suficientemente discutido, y quedó apro Continuó !a sesión , y el Sr. presidente dijo que el Sr. López (Don bada la proposición del Sr. Marte! por 58 votes contra 51 , habiendo Marcial ) informaría á las Cortes del estado de los trabajos ds ia comi dicho en seguida el Sr. presidente , que podia retirarse la comisión á eva sión especial que se habia nombrado. cuar su encargo. El Sr. López ( D. Marci…</t>
  </si>
  <si>
    <t>…toda comunicación con los expresados bu lio haya sesión.” ques , -xcepto en el caso en que medie la intervención de los comisio No se admitió á discusión la siguiente adición del Sr. Marte! á’ la nados del Gobierno jónico nombrados para el efecto ; y manda que todo proposición anterior aprobada: &gt;&gt; Pido que la proposición del Sr. Gar individuo siibdito ó residente en las islas jónicas, que en adelante inten cía Page se haga extensiva al dia de…</t>
  </si>
  <si>
    <t>Martei</t>
  </si>
  <si>
    <t>…y gravedad de los negocios lo exigiere se nombrará asimismo mediatamente para repartirla á: los-Sres. diputados.” una comisión especial para los negocios qué ocurtan.” • Otra del Sr. Martei al 68: „Que se añada él dia del Corpus por la ■ También se aprobó otra del Sr. Berdú' al art. 87, y era (con respec mañana.” " : - - . • • - to á ios individuos de las comisiones) » á no ser que á juicio de las Se aprobó el art. 85, que deciar Cortes convenga…</t>
  </si>
  <si>
    <t>…n hasta el. día t.° hacer, ¡a siguiente proposición, . . . ■ - , ‘ de Enero la época en que'Ha de cesar la .tarifa, del año dé i8i8-;Pero El Sr. secretario leyó la proposición del Sr. Martei ; qué deciá ásii considerando bien -este-asunto, páreceque es necesario establecer un » Pido-:que: )as Cortes se sirvan tómar la próvidenc¡a que estimeh ;iconplazo mas corto para aquellas provincias frontenías en las cuales puede ■venienre para que los Sres.…</t>
  </si>
  <si>
    <t>Martel</t>
  </si>
  <si>
    <t>…a comisión de Hacienda. nocimiento exacto para arreglar este punto , sobre el cual tenia ya he Se pasaron á la misma comisión dos expedientes remitidos por el cho algún trabajo el Sr. Martel; después de lo cual se mando pitar la comisario,general de Cruzada ; el uno sobre el repartimiento de bulas á indicación á la comisión del Diario. varios empleados, y el segundo de los niños expósitos de esta corte, El Sr. Martel, individuo de la comisión esp…</t>
  </si>
  <si>
    <t>…an Bretaña y -las potencias- extrasngeras acerca, de la revolución de cerrado los ordinarios. - , - ■ . Ñapóles, y atacó vigorosamente los principios asentados en la circular ’ El Sr. Martel, conviniendo en lo sustancial con las ideas. de su de las potencias aliadas. La: Cámara dé los comunes habia entablado preopinante, creyó sin embargo que..debían expresarse de un modo una nueva discusión relativa á la Reina..La gaceta de Viena del 13 siempre…</t>
  </si>
  <si>
    <t>…denuedo en la defensa heróica que hi En la de vice-presidente no hubo elección en primero ni segundo cieron de su pueblo. escrutinio; y habiéndose procedido al tercero , quedó el Sr. Martel poc Excitados por las exhortaciones y egemplo del alcalde constitucio 73 votos de 142. nal y del comandante, los oficiales del batallón, algunos sargentos y En la de secretario tampoco hubo elección eñ primero y segundo todos los individuos de la milicia de c…</t>
  </si>
  <si>
    <t>…monet, que, decia : Cuando se ofrezca alguna ocurrencia ex efe la;presentación de un obispado es un negocio particular , porque ve-, traordinaria sobre que fonvenga.hablar-” ..del Sr. Martel al art. 8.' so rificada la vacante, S. M. usa del derecho ds patronato; y asi conven- No se admitió á discusión una adición go; en lo que ha dicho el Sr. Giraldo; pero cuando hay una represen-, bre la variación de la-materiá¡que se habia de discutir, que decí…</t>
  </si>
  <si>
    <t>…á conspiraciones, acerca del estado que ten propósito, conforme lo propuso dias pasados en una indicación. gan los procesos, los motivos del retraso que se advierte, y las medi El Sr. Martel dijo que la comisión la habia tomado en considera das que hayan tomado para remediarlo. ción , y que se oponían varias dificultades; pero que sin embargo se El Sr. Cano Manuel dijo que el Gobierno hace pocos dias hábil trataba del parage en que se podrian col…</t>
  </si>
  <si>
    <t>…no debia decir su opinión necesidad de que se aprobaran aquellas medidas, que ¿tras eran una particular. prueba del ardiente zcÍo;de la comisión por el. bien dé la Nación , por El Sr. Martel opinó debia pasar á la comisión de Milicias naciona el decoro mismo de la Sta. Sede,:y por la religión.católica apostóli les para que diera su informe sobre esce particular. ca romana, ley principalísima y fundamenta! del Estado, que debemos El Sr. Cepero ext…</t>
  </si>
  <si>
    <t>…tica de los Gabinetes de Austria y Rusia, dignidades , canongías y prebendas de las iglesias catedrales.” sin que se aclare aun cuál sea el motivo de la suspensión de la marcha El Sr. Martel manifestó, que siendo imposible la aplicación de los délas tropas rusas y de los armamentos austríacos. El Observador aus predios rústicos y urbanos hasta que pasara algún tiempo, los estable tríaco pretende disculpar las intenciones de aquellos dos Gabinetes…</t>
  </si>
  <si>
    <t>…á estos tes, la dirección general, tomando los conocimientos necesarios, deter á que se retirasen cuando no pudiesen servir las cátedras. : minará los que deban ser jubilados.” El Sr. Martel manifestó que si el catedrático estaba imposibilitado Después de una ligera-discusión entre los Sres. Rey y Martel quedó de poder servir, entonces no se le permitirla continuar; y que la co aprobado este artículo. misión solo habia tenido presente que podría…</t>
  </si>
  <si>
    <t>…cantidades La comisión de Instrucción pública, después de haber examinado aquel ayuntamiento á la dirección de este ramo: opinaba la comisión detenidamente la adición hecha por el Sr. Martel sobre la enseñanza que debía suspenderse dicho recargo, y decir al Gobierno tome las pro privada , proponía á la deliberación de las Cortes los tres artículos si videncias oportunas á fin de que se vaya satisfaciendo á dicha dirección guientes 1 ; lo que adeu…</t>
  </si>
  <si>
    <t>…. Casa de expósitos y colegios de niñas de de su ruina. Cuando se ieyó el plan de beneficencia hizo presente el la Paz 170,42a. Colegio de niños desamparados 42,78a. Casa de bene 'Sr. Martel la deplorable situación de estas casas; y aunque parece que ficencia íi hospicio 1.695,118. Hospitalidad domiciliaria 102,300. se trata de levantar y formar edificios tan sólidos v -perfectos, como ¡establecimientos en tas provincias. Hospitales 2 millones Ho…</t>
  </si>
  <si>
    <t>…mayor proximidad á la capital, y por no tener mora', y asimismo señalaba los límites que habia de tener. que pasar ríos para ir á ella, como les tiene que suceder agregándola á El Sr. Martel hizo una observación , reducida á que no habiéndo otra; y no asi como quiera, sino rodear cuatro ó cinco leguas para po se opuesto el Sr. preopinante á que se aprobase la provincia de Zamora; der pasar por el puente de Castro Gonzalo. sino solamente á que sig…</t>
  </si>
  <si>
    <t>…e fundación particular de alguna manifiesta la Constitución, y asimismo el decreto de Cortesque ha cita persona, familia ó corporación, ó que estuvieren encargados por el Go do el Sr. Martel, se ve que en nada se opone el plan, que la comisión bierno a personas ó cuerpos: particulares con sujeción á reglamentos, ha presentado á la deliberación de las Cortes, á los derechos, ó sean solo locara al ayuniamientú, si observare abusos, dar parte de ell…</t>
  </si>
  <si>
    <t>…atallón zzF.l miliciano del ter El Sr. Lagrava deshizo algunas equ-lvccacior.es , que dijo haber pa cer batallón Felipe Sierra, zz El teniente del 4-° batallón Josef Lo- decido el Sr. Martel en la sesión anterior. prz.zz Manuel Garcés , miliciano del tercer batalIon.zz Alberto Ramo, El Sr. Alaman dijo: Mis dignos compañeros queme han precedido, sargento 2.0 del primer batal Ion. =z Andrés Gómez, teniente del primer asi los que han sostenido el di…</t>
  </si>
  <si>
    <t>…s del gefe político que preside las dos , entrará el obispo y un in proponer al Gobierno los establecimientos de casas de ben-fieencia que dividuo .de la diputación provincial. El Sr. Martel en la sesión de ayer, se creyesen convenientes, en cuidar de que los fondos de estos estu hablando de este asunto, dijo que para las juntas de beneficencia eran: viesen bien administrados, y la humanidad doliente bien asistida ; y muy á propósito los eclesiás…</t>
  </si>
  <si>
    <t>…: no deben aprobar es extrangeros que por ignorancia ó mala fe niegan la autoridad soberana ta proposición. déla Nación española.añadiremos ademas las autoridades siguientes. - El Sr. Martel: Mi proposición no tienéobjito:determinado; he oí ..Siendo la soberanía de la Nación uno de los artículos fundamen do murmurar de la ausencia de los Sres. diputados.; yhe creído de mi tales de nuestro Código 'constitucional, y habiendo reconocido las po deber…</t>
  </si>
  <si>
    <t>…amonedación. cen con fecha de :o de este mes lo que sigua: Se aprobó la primera y segunda parte del artículo. ” Las Cortes extraordinarias se han enterado del oficio del antece El Sr. Martel dijo que debia variarse la parte tercera, porque no sor de V. E. de 23 de Octubre próximo, con.ultando la resolución sabia lo que quería decir » llevar á debido efecto lo mandado sobre del Gobierno de 3 de Setiembre anterior, por la que mandó reducir la forma…</t>
  </si>
  <si>
    <t>…rjuicio, como he El Sr. Lagrava , después de haber manifestado con mayor extensión dicho, de los mismos establecimientos. Asi como deseo que se respete las ideas propuestas por el Sr. Martel, y haber añadido que la junta la libertad de la Nación, también deseo que se respete la del Gobierno que se proponía por la comisión ocasionaba una cantidad de gastos que en cuanto sea compatible con la Constitución. por su pequenez era despreciable , concluy…</t>
  </si>
  <si>
    <t>…discusión del proyecto de bene sef Feijoo y Marquina y D. Pedro Fernandez Cid, propietarios. Rlva- ficencia. davia D. Josef Fermoso, abogado. Carv.illino D. Antonio Monroe , al El Sr. Martel pidió que quedara este expediente sobra la mesa para calde constitucional de Brues. Celanova D. Ramón íieuriquez , propie que los Sres. diputados io examinasen , y viesen la urgentísima necesi tario. Maceda D. Fernando Miranda , abogado y alcalde constitucio…</t>
  </si>
  <si>
    <t>…sas correccionales en yor facilidad en la confianza del asilo que se promete á los niños en todo el reino. Jas casas de beneficencia. Se me dirá que también sin esta persuasión El Sr. Martel dijo que la comisión no desconocía la necesidad de se consigue el fin que se prometen varios hombres, y que entonces no estos establecimientos; pero que no los habia comprendido en este pro habiendo estos asilos se causarían mayores males; pero yo no creo que…</t>
  </si>
  <si>
    <t>…la discusión parti sobre el mismo nueva adición ó declaración &amp;c.; pero debia averiguar cular de ellos. se si estaba aprobado por las Cortes el proyecto de ley de división del El Sr. Martel dijo: Se ha hablado tanto á favor y en contra de la territorio ó no; y siendo cierto que todavía no estaba acordado el pro totalidad del proyecto, qiie poco se puede añadir; pero sí diré que las yecto de la comisión, sino que duraba todavía la discusión porqu…</t>
  </si>
  <si>
    <t>…de apostar los buques.; y que El Sr. presidente anunció que se continuaba la discusión del código tío consideraba que se opusiese á las facultades del Gobierno, el ha penal; y el Sr. Martel dijo que debia advertir que algunos Sres. diputa cer esto, lo cual no era mas que manifestar la distribución en grande;. dos habían pedido, se imprimiese esta discusión separadamente de los 7 que sin embargo de ésto si los Sres. de la comisión sé conformaban…</t>
  </si>
  <si>
    <t>…cuidar de que se imprimiesen por separado las discusiones mas inte la Gobernación de la Península desde el Real sitio de S. lorenzo coa resantes. ' fecha de ayer lo que'sigue : El Sr. Martel dijo que si está discusión se imprimiese por separa »SS. MM. y AA. continúan sin novedad en su importante salud." do, se repartiría entre las personas «¡ue comprasen el diario y ya no re sultaría este vacío, y era menester advertir que si se imprimiese la dis…</t>
  </si>
  <si>
    <t>…que de nes ó amenazas , ó por medio de artificios culpables hace cometer el este modo quedase mas exacto. ; delito ó culpa, que de otra manera no se cometería &amp;c.sin embargb . El Sr. Martel apoyó el artículo, manifestando que con respecto á la que cuando se habia tratado dél delito ó culpa se decía que eran facto culpa podian encontrarse auxiliadores, encubridores &amp;c. io mismo res de un delito &gt;» los que hacen á otro cometerlo contra su voluntad…</t>
  </si>
  <si>
    <t>…ó de sus hermanos, no sufrirán por Anseáticas sobre aranceles, mediante á estar ya decidido tsie punto. esto pena alguna , excepto si expendieren ó distribuyeren alguno de los El Sr. Martel leyó por primera vez el proyecto de Beneficencia re efectos en que consistía el delito,ó se aprovecharen de alguno de ellos, formado por la comisión, confoime á lo resuelto por las Cortes; se sabiendo su procedencia, én cuyo caso serán castigadas con la octav…</t>
  </si>
  <si>
    <t>…en esta CORTES EXTRAORDINARIAS DEL AÑO DE 1811. do de atender al socorro de estos establecimientos por la escasez de fon. dos de Ja tesorería. PRESIDENCIA DEL SEÑOR CIEMENCIN. El Sr. Martel dijo: Que á las comisiones constaba la certeza de cuan to exponía la junta de Beneficencia de Granada, como igualmente que Sesión del i£ de Diciembre.- el arzobispo de aquella ciudad había hecho grandes sacrificios en favor leida el acta anterior quedó aproba…</t>
  </si>
  <si>
    <t>…as escrupulosa economía en ¡a inversión de los Se rirocerfió í la discusión del proyecto de beneficencia. fondos , claridad en las cuentas , y buen desempeño en las respectivas El Sr. Martel dijo que creía no era necesario discutir el proyecto en obligaciones de cada empleado , dando cuenta al ayuntamiento si nota su tota'idad , por cuanto 1a comisión había suprimido del anterior to sen en alguno poco zelo y actividad , y suspendiendo en el acto…</t>
  </si>
  <si>
    <t>…y deliberar sobre él con toda la cir muerte.” cunspección que exige una medida de esta naturaleza. Asi pues , sin El art. tíg se suspendió. oponerme á la prontitud que apetece el Sr. Martel, me parece que no Art. 64. » El reo condenado á ver egecutar !a sentencia de muer es admisible su proposición, porque el tiempo que en ella se prefija es te será conducido con el reo principal en pos de él y en igual cabal demasiado corto. gadura ; pero con s…</t>
  </si>
  <si>
    <t>…del pueblo , y solo estas deben ser res rea Estrada , Calderón y Subrié. ponsables. No hay pues necesidad de que las. Cortes exciten al Gobier fie leyó ia siguiente exposición del Sr. Martel : „ Pido que la comi no para que'tome providencias que sin esta excitación puede tomar con sión que -se nombre para presentar su dictamen sobre la proposic.on del •respecto á lo que esté sucediendo en aquella ciudad: lo que-se necesita Sr. Calatrava, la evacú…</t>
  </si>
  <si>
    <t>Martel'</t>
  </si>
  <si>
    <t>…u. cumplimienB?, fior/presidente, ó causa legítima para no venir, que conste á las Cortes, y dispondréis se imprima1, piiblique y circule. = En S; Lorenzo á j ■la próposíciori del señor Martel' no es nueva. En. las Cortes extraor-' Noviembre de i8ai-=.A&gt;D. Estanislao Salvador— ' .. dinarias de Cádiz se hizo lá misma proposición con- motivo de haber pedido algunos Sres. diputados licencia y haberla cumplido, y con esté • - -i ; ' : VARIEDADES. -motiv…</t>
  </si>
  <si>
    <t>Martel, Miguel</t>
  </si>
  <si>
    <t>Miguel Martel</t>
  </si>
  <si>
    <t>…valiéndome únicamente de los brazos de los árabes. Elementos de filosofía moral para el uso é instrucción de los «Desde Tebas subí á la Nubia para visitar el gran tem jóvenes: por D. Miguel Martel, catedrático jubilado de filosofía plo de Ibsambul, que tiene enterrados en la arena , cerca moral en la universidad de Salamanca: el autor ha procurado de la segunda catarata, casi dos tercios de su altura. Encon dar á su escrito toda la claridad y orden que…</t>
  </si>
  <si>
    <t>…para presidente el Sr. D. Josef despachados. •. María Gutiérrez de Teran , diputado por la provincia de México; para DIKKCCrON GENERA!. DE LOTERIAS NACIONALES. vice-presidente el Sr. D. Miguel Martel, diputado por la de Salaman Noticia de los pueblos donde han cabido los premios mayores de ca , y para secretario el Sr. D. ManuelLuis González Allende, que lo Ja lotería moderna nacional en el sorteo de ayer. es por la de Toro.” Pfúmeros. ■ Premios. jidminis…</t>
  </si>
  <si>
    <t>MARTES</t>
  </si>
  <si>
    <t>GACETA DE M A D R I D. MARTES $ DE ABRIL DE i8ái. NOTICIAS EXTRANGERAS. que los pequeños ;Estados . de i Alemania , que poco há fueron el juguete del usur pador del trono de los Borbones, lo fueran ahora de los que se ALEMANIA. empeñan etí renovar.tiempos■Lan.tdesgraciados como ignominios…</t>
  </si>
  <si>
    <t>Núm. 151. (7 cuartos.) 791 G ACETA D E M ADR I D. MARTES 29 DE MAYO DE 1821. NOTICIAS EXTRANGERAS. y ai que prímerámente miraroh como un contraría, á quien era preciso refutar, luego le miran como á un enemigo , que es preciso destruir, i . aiemaniA* • , Es un error común en los hombres ensoberbecidos por el poder…</t>
  </si>
  <si>
    <t>Núm. 158. ( 7 cuartos.) «37 G A G E T A D E M ADR I D. MARTES 5 DE JUNIO DÉ i 8ar. NOTICIAS EXTRANJERAS En vano os dirá el relator- de vuestra comisión que proceder de otro modo.es lo mismo que llamar.la religión a. la barra 1 estas frases, que IStGC-ATERRA. yo confieso que no entiendo ,-.no deben arredraros. Considerad…</t>
  </si>
  <si>
    <t>Núm, 2/3- ( 7 cuartos. ) *433 *y»4í^rVtt G A G E T A D E M A D R I D. MARTES 25 DE SETIEMBRE DE i8ai. NOTICIAS EX IR'A N G E R A. S. pero el general nada quiere emprender hasta que lleguen Ipsilanti y Cantacuzeno. Se está trabajando en dar una nueva planta al pais: la Alorea, que tomará su antiguo nombre de Peloponeso , se dividirá en…</t>
  </si>
  <si>
    <t>Núm. 339- (.7 cuartos.) 1827 GACETA DE M A D R I D. MARTES 27 DE NOVIEMBRE DE .i8ai. NOTICIAS EXTRANGERAS. puestas á aceptar la amnistía de la Sublime Puerta; pero las precaucio nes tomadas por los navarcos de Hidra, Spezzia y Psara , asegu TURQUIA. rándose de muchas personas que cogieron en rehenes , cortaron estas…</t>
  </si>
  <si>
    <t>Núm. 3-,&lt;5. ^ i-f cuartos*) ífc/7 gxss' G A G E T A DE AI A D R I D. MARTES 4 DE DICIEMBRE DE 1821. NOTICIAS EXT RANGER AS. el éxito de las negociaciones y los sucesos ulteriores, que no es dado prever á la prudencia humana. Ne h¡u cosa estable en el imperio des AUSTRIA. pótico de los turcos mas que sus hábitos, y ninguno puede preve…</t>
  </si>
  <si>
    <t>MARTES, GACETA DEM ADR</t>
  </si>
  <si>
    <t>GACETA DEM ADR MARTES</t>
  </si>
  <si>
    <t>Núm. 317- (¡4 cuartos.) zt58$ m I D. GACETA DEM ADR MARTES 6 DE NOVIEMBRE DE 1821. NOTICJAS EXTRANGERÁS. madas las tropas asiáticas de la Romelia, Algunos cuerpos que debían salir para el Danubio no han querido obedecer las órdenes, y tratan de ISLAS JONICAS. volver al Asia. No será fácil detenerlos , mayormente ahor…</t>
  </si>
  <si>
    <t>Martes, Juan Félix Madrid</t>
  </si>
  <si>
    <t>Juan Félix Madrid Martes</t>
  </si>
  <si>
    <t>…arias diligencias por el promotor fiscal y acumulación enviaron á Constantinopla con un expreso. de causas. Providencia de visita: siga. Vicente Montero, remitido por el susodicho juez D. Juan Félix Madrid Martes ¿y de Julio. Maruri en 17 de Noviembre de 1820 por la muerte dada á Josef GarSS. MM. y AA. continúan sin novedad en su importante salud. cilaso de la Vega. Estado de esta causa. En sumario, y estarse prac ticando varias diligencias pedidas por la muger del mu…</t>
  </si>
  <si>
    <t>Martí</t>
  </si>
  <si>
    <t>…va dijo que como de la comisión debía manifestar titucional el que las Cortes puedan efectuar uno y otro. Ha manifestado que habia padecido varias equivocaciones su digno amigo el Sr. Martí el Sr. Martinez de la Rosa que correspondía el nombramiento de visi nez de la Rosa: la primera fue decir que la comisión identificaba ó tador al Gobierno , porque según la Constitución á este toca adminis confundía la palabra señorío con la de dominio, fundán…</t>
  </si>
  <si>
    <t>…en su pais las Todos los españoles conocen el mérito de tal establecimiento, que costumbres ásperas y agrestes de los habitantes del Norte, sino al con inventó en España el dicho Sr. Martí, y lia conservado la sociedad tarlo las costumbres voluptuosas de los Orientales. Prescindiendo del económica matritense. delito religioso que hubieran cometido los griegos abjurando sus alta VARIEDADES. res, se puede asegurar que nada hubieran adelantado som…</t>
  </si>
  <si>
    <t>Martí, Alfonso</t>
  </si>
  <si>
    <t>Alfonso Martí</t>
  </si>
  <si>
    <t>…la fecha, que se les señala por primero , segundo y tercer en su mano la suerte de todas las personas, por elevadas que fuesen en término , acudan á dicho juzgado y escribanía de D. Alfonso Martí dignidad. nez Barquero á decir y exponer lo que les convenga en dichos autos. La patria seria dichosa si todos-.sus magnates tomaran por modelo Se ha pubücado el núm. 7.0 de las Décadas médico-quirúrgicas, el la vida y conducta política del malogrado marques…</t>
  </si>
  <si>
    <t>Marti, Jcsef</t>
  </si>
  <si>
    <t>Jcsef Marti</t>
  </si>
  <si>
    <t>…er pre D. Benito Antón Pisador, el conde de Clavito, D. Diego Parada,. sente los vecinos los nombres de sus conciudadanos qué en los anteriores D. Dionisio Solis, D. Felipe Bauza, D. Jcsef Marti, D. Josef Nuñez merecieron la confianza pública; pero no nos ha sido posible reunir la Arenas , D. Juan Ailonca, D. Juan Lasaña , D. Manuel Flores Calde lista completa de todos los compromisarios. Esperamos que tanto este rón , D. Mariano Lagasca, el marques…</t>
  </si>
  <si>
    <t>Martí, Josef Joaquin</t>
  </si>
  <si>
    <t>Josef Joaquin Martí</t>
  </si>
  <si>
    <t>…es sin consideración á los de la humanidad! D. Antonio Dodero gm. Franco, lona. de Barcelona. Sres. Cortadilla y compañía, de id. NOTICIAS DE ESPAÑA. Xa dirección de hidrografía., D. Josef Joaquin Martí, de BarD. Gabriel Odier y compañía, de celona. Madrid Domingo 18 de Noviembre. - Paris. D. Pablo Miralta , de Barcelona. Doña Ana Clemencia Fernandez Sres. Broin Compte y compañía, Si la libertad de imprenta es, como hemos dicho otra vez; el pa- de Pescia , d…</t>
  </si>
  <si>
    <t>Martí, Josef Joaquín de</t>
  </si>
  <si>
    <t>Josef Joaquín de Martí</t>
  </si>
  <si>
    <t>…inar las contratas que sobre el parti A la comisión primera de Legislación se mandó pasar una expo cular se hayan hecho ó se hicieren, y cerrarlas si son ventajosas, por sición de D. Josef Joaquín de Martí, ex-gencral del egército , pidiendo que siendo cierto que los comandantes de los buques correos son árbi se le oiga en tribunal competente, y se le castigue si fuese culpado, ó se, tros de batirse cuando se les présenla el enemigo , y que en algunos le repong…</t>
  </si>
  <si>
    <t>Martí, Joseí Joaquín</t>
  </si>
  <si>
    <t>Joseí Joaquín Martí</t>
  </si>
  <si>
    <t>…ad Lisboa 18 de Octubre. para la admisión de suscriptores y recaudo de acciones á los Sres. Don Manuel y Ramón de Llano y Chavarri, D. Manuel de Mier y Esca Sesión del sy. lante y D. Joseí Joaquín Martí (este último se halla ausente); mas sin • Se continuó la discusión del art. 74 del proyecto de Constitución; embargo los indicados Sres. Chavarri y Escalante no pueden desenten y habiéndose leido el párrafo que dice: » Los diputados de una legisla derse de se…</t>
  </si>
  <si>
    <t>Martin</t>
  </si>
  <si>
    <t>…por. ellos too,óoo fran compondrán los Sres. D. Eusebío María Canabal , diputado por la pro cos, cuando estas obras maestras habían sido vendidas en otro tiempo vincia de Sta. Fe; D. Martin deHinojosa, por la de Salamanca; Don á Mr. de Nieuwenhuicen por la módica suma tfc.79. Manuel Benito Lorenzana, por la de Galicia; D. Antonio Valcárcel, Dibujos y grabados. Los l ibreros Rodsvel y Martin , en I.óndrés, por la de León , y D. Angel Govantes , p…</t>
  </si>
  <si>
    <t>…pañol como los demás; conquisdó-sujeto al derecho feudal: El mismo Rey casó después al Infante det1 tar-á- un hombre que estaba esperando porí momentos le librasen de las., Aragón D. Martin ; y dióje por elote muchos pueblas por -áqiiel- mis— cadena;-que arrastraba; y lo mismo sucedió en la conquista de Vajenmó estilo / Armanera que los que ÍMS h-ábian sido propietarios y due—- c-a. "ELlibrar de una dominación extranjera á otros pueblos que'an ñ…</t>
  </si>
  <si>
    <t>…el Buen tire, D. Juan 'íriay: pingüe sardo Virgen .—Parece que el Courrier cree que porque es lícito á un particular cuan del Rosario, D. Juan Bautista Colombino; laudes , Carmen, D. Martin do peligra su vida matar á los que le acometen , también deben tener Caner; Carmen, D. Barto!omé Font; S. Antonio, D. Cristóbal For— los soldados el privilegio de tomar por su parte venganza. ¡Quién po ner; S. Josef, D. Manuel Maílol; Santa Faz, D-’Antonio Sc…</t>
  </si>
  <si>
    <t>…Militares y de ¡a de S Juan la parte del subsidio que les corres ponde, con proporción al medio diezmo y primicia que perciban en En auto proveído con fecha 13 de este mes por el Sr. D. Martin de sus respectivos territorios , procediendo á esta designación en el térmi Pineda y Lara, magistrado honorario, y juez de primera instancia de no preciso de 20 dias, á cuyo fin puedan pedir ias juntas, y los co corte, y escribanía del número al cargo del sec…</t>
  </si>
  <si>
    <t>Martin, Casimiro</t>
  </si>
  <si>
    <t>Casimiro Martin</t>
  </si>
  <si>
    <t>…a padres amantísi- Don Antonio Baras , D. Bartolomé Labrador, D. Benito Corta mos y virtuosos, que funden en inmutables bases su presente y futura zar, D. Carlos González Llanos , D. Casimiro Martin, D. Francisco felicidad! ¡Con qué placer no se persuade el ciudadano de que es im Calzada, D. Francisco Villaescusa, D. Gaspar Aguilera, Da Josef posible que se albergue en pechos tales cosa alguna despreciable y mun Castropol, D. Josef Segundo Mondejar, D; M…</t>
  </si>
  <si>
    <t>Martin, Domingo de San</t>
  </si>
  <si>
    <t>Domingo de San Martin</t>
  </si>
  <si>
    <t>…ayo, ha emprendido este año el reconocimiento de los tual decadencia los manantiales de riqueza que tiene la nación: puertos y costas de Córcega, c igualmente el de los sitios por D. Domingo de San Martin. Se vende en la librería de Her que se hallan cerca de esta isla. moso, y en su puesto de libros, calle de las Carretas, y en la Este oficial ha reunido todos los materiales necesarios librería de Paz, á 3 rs. Puede ir por el correo. para formar el. plan de d…</t>
  </si>
  <si>
    <t>Martin, Josef</t>
  </si>
  <si>
    <t>Josef Martin</t>
  </si>
  <si>
    <t>…: su au conferencias que vari á tenerse en-Laíbaclt. • tor el comandante de escuadrón del regimiento de caballería Al Austria se la ha visto cotí motivo dé- los Sucesos dé del Rey D. Josef Martin. Nápoles tornar un aspecto guerrero mientras se discútiaii Continuación y conclusión del sistema militar adapta estos'asuntos eri el Congreso; y continúa tomando; provi ble á la España, y recursos de esta gran Nación al efecto, dencias militares que es probab…</t>
  </si>
  <si>
    <t>Martin, Josef Antonio</t>
  </si>
  <si>
    <t>Josef Antonio Martin</t>
  </si>
  <si>
    <t>…. Moscóso, Quiroga y Lo Perez Aransolq: para el de Ocañi á D. Juan Bermejo: para el de Cor sada, relativa á que en el caso de que las Cortes aprobasen una quinta ral de Almaguer á D. Josef Antonio Martin palomino: para el de provincia en Galicia, se formase otra compuesta del territorio com Sta. Cruz de la Zarza á D. Jorge Ferrer y Vigcr de Pomar: para el da prendido entre la ria de Navia y el cabo de Ortega!, cuya capital fuese Talavrra dé la Reina á D. Greg…</t>
  </si>
  <si>
    <t>Martin, Josef de San</t>
  </si>
  <si>
    <t>Josef de San Martin</t>
  </si>
  <si>
    <t>…se echaron al agua, y pe PORTUGAL. recieron. Habla en la misma carta de su herida. __ _ El comandante general de las armas de Guayaquil dice al excelen Lisboa 21 dt Abril. tísimo Sr. D. Josef de San Martin que en la madrugada del 9 procedió á tomar los cuarteles y fuertes de la plaza, á deponer las autoridades y Sesión de Cortés del z8. gefes militares, y establecer provisionalmente un Gobierno, que lleve Se leyó una representación del Sr. conde de Sampayo (ind…</t>
  </si>
  <si>
    <t>Martin, Josef Martínez Sari</t>
  </si>
  <si>
    <t>Josef Martínez Sari Martin</t>
  </si>
  <si>
    <t>…la Turquía. Se opina que el Gobierno ingles sabe ya la re gobierno poutico, superior de esta provincia. solución difinitivadel Sultán ; pero que hay razones que impiden llegue • • D. Josef Martínez Sari Martin, brigadier ele los egércitos tiaclonaá traslucirse por medio del ministerio ingles. Aguardamos las próximas les, y gefe político superior interino de esta provincia : noticias con la mayor impaciencia. - Mando: que todos los !extrangerós, sin distinción de cl…</t>
  </si>
  <si>
    <t>Martin, Juan</t>
  </si>
  <si>
    <t>Juan Martin</t>
  </si>
  <si>
    <t>…recaver esta desgracia.” nido por un extraordinario, que decía asi: « Me apresuro á dar Ja ad- El Sr. conde de Toreno dijo que todos tenían un interes en soste v junta noticia. El general D. Juan Martin el Empecinado con fecha ner la libertad, habiéndose dado para el efecto al Gobierno todas las » de ayer decía desde Puente Duero , que al salir de Herrera se habían facultades necesarias , siendo prueba de ello que no hacia un mes se » encontrado con la parti…</t>
  </si>
  <si>
    <t>…u Constitución y ias leyes por no haberles permitido introducir en ella brir las cargas que se referian no Ib parecía asequible; y que sentado'el tina partida de ganado; y otra de D. Juan Martin, á nombre de D. Juan axioma de que la riqueza territorial no podia gravarse sino hasta cierto Martínez , vecino de Almansa, quejándose del alcalde constitucional de punto, esto es , un 32 por 100; y sabiendo á cuánto asciende la rique aquella ciudad por haber…</t>
  </si>
  <si>
    <t>Martin, Manuel Martin</t>
  </si>
  <si>
    <t>Manuel Martin Martin</t>
  </si>
  <si>
    <t>…lana . Martínez de la Rosa, Ra Serrano: para el de Arévaio á Di Gil de S. Juan Benito: para el de mos Gatcía , Cosío y Diaz del Moral, en la que prefijaban los límites Peñaranda á D. Manuel Martin Martin: para ei'de Morrtbeitran á Don que debia tener la provincia de Almería. Diego Cimeros Valencia: para el de Oropesa á D. Julián Calleja;- y El Sr. Diaz Morales presentó la siguiente proposición: » Pido que para el de Villafranca de Avila á D. Eugenio María Alv…</t>
  </si>
  <si>
    <t>Martin, Pedro</t>
  </si>
  <si>
    <t>Pedro Martin</t>
  </si>
  <si>
    <t>…mientras que los turcos tienen el Por la provincia de Segóvia-. D.'-Sántiago Sedeño , obispo electo de. Asia menor para retirarse en .caso de apuro, y no pelean mas que por Coria; D. Pedro Martin dé Bartolomé' ex-gefé políjieq interino de Seuna provincia que pertenece á su Soberano: 8.° Los mejores soldados que govia. Suplente. D. N. Gil de Silleruelo. tenia el Sultán-en'suégéícito son estosmisrftos griegos, armados hoy Por la provincia de Soria. R. M…</t>
  </si>
  <si>
    <t>Martin, S.</t>
  </si>
  <si>
    <t>S. Martin</t>
  </si>
  <si>
    <t>…es familias del reino. bución territorial; y no se comprendan las dos en un nu'^ino reparti __Con fecha 2g de Febrero escriben desde Santiago de Chile que el miento.” egército del general S. Martin se habia retirado de las inmediaciones de A esta indicación añadió el Sr. Cepero las siguientes palabras, que Lima , y habia ¡do hasta Hanacha, lo cual daba á entender que la con fueron aprobadas: » Y que la misma separación se haga entre las pro quista de aq…</t>
  </si>
  <si>
    <t>…o al general Copons, gefe político en aquella época, poTque pare cargo de haberse removido al gefe político de Madrid D. Francisco ce no accedia á su» intenciones , y nombrando al Sr. S. Martin , que no Copons. Jamas dije al general Copons que cerrase la sociedad de la solo accedió , cerrándose la sociedad patriótica de la Fontana, sino que Fontana; y si le hubiese dado orden para ello , diciéndoie que yo era hizo arrestar al dueño del café sin las…</t>
  </si>
  <si>
    <t>Martin, Saint</t>
  </si>
  <si>
    <t>Saint Martin</t>
  </si>
  <si>
    <t>…les ínterin presentan los tí hechos pedazos eran un bergantín francés, capitán Vieulles, otro id. tulos. Si después de los juicios de incorporación quedan los señorío* francés, su capitán Saint Martin, quien pereció con su criado; una territoriales á favor de los llamados señores, los pueblos tienen que bombarda francesa, su capitán Robert; un bergantín español, su capi seguir pagando como hasta aquí, y 1© mismo les sucede si los señoríos tán Femericas; un…</t>
  </si>
  <si>
    <t>Martin, San</t>
  </si>
  <si>
    <t>San Martin</t>
  </si>
  <si>
    <t>…2o3 pesos fuerte» ticias de Chile han sido presos y llevados á Valparaíso unos 30 ofi Estos musulmanes habían formado el proyecto de hacerse llevar, si no ciales del egército de! general San Martin. Se cree que conspiraron en los recibían en Tánger 0 causa de la naturaleza del cargamento el el Perú contra el comandante en gefe; pero esto necesita confirmación. cual consistía en algodón que traian de Alejandría), á otro puerto'de __Una caita de Malla de…</t>
  </si>
  <si>
    <t>…el 18 de Agosto, recibida en Buenos-Aires el 2, anunciaba que la vantó la de este dia. goleta Moteznma acababa de llegar del Callao con I3 noticia de oficio Idem del IJ- de que el general San Martin se habia apoderado á la fuerza de la ciu Habiendo manifestado el Sr. presidente que debía continuarse la , dad de Lima.” discusión sobre los foraes que estaba pendiente , se empezó esta, y se La primera improbabilidad de esta noticia,es que un suceso de esta…</t>
  </si>
  <si>
    <t>Martin, Santiago</t>
  </si>
  <si>
    <t>Santiago Martin</t>
  </si>
  <si>
    <t>…rtes, que fueron presos en el lugar del En vista de todo lo expuesto acordó la sociedad conceder al expresado Rasdlo unidos y armados. Pasó á la audiencia en apelación , interpues D. Santiago Martin una medalla de plata, certificación, y que se anun ta por los ocho condenados a pena capital, )’ cinco á presidio; por pa ciara en los papeles públicos de esta corte para que le sirva de premio recer del fiscal se entregaron los autos á los condenados; pidió…</t>
  </si>
  <si>
    <t>Martiné, Josef</t>
  </si>
  <si>
    <t>Josef Martiné</t>
  </si>
  <si>
    <t>…dente de 'encomiendas veteantes de número que egerce D. Juan Raya. - _ ■ Moafiel -y ladea, para cuyo prhnerfrématey. que wha df- verificar ’ ~í Ai virtiid de ' próvidenCiá'del Sri D. Josef Martiné¿"MóSéosó5; jn¡enda villa de. Infantes, está señalado 'el dia 24 descorriente. nistro togado ;!.ju¿Z2letr;ido de primera instancia'en está vilfe; refrendada del-escnb'ano de número D. Juan Villa y Oliéry se ba-íiiáhLá dehesa ^titulada de Palacios, compuesta de…</t>
  </si>
  <si>
    <t>Martínez</t>
  </si>
  <si>
    <t>…a el año de 1809, en que entró de mayordomo deL Sr. D. Tellp sesión secreta. Mantilla, teniente de navio que fue, en cuya casa ha subsistido bas Por último, habiendo satisfecho el Sr. Martínez de la Rosa, indi- ta su fallecimiento intestado, sin haber dicho si tenia algunos pa . viduo de la misma comisión , á varias observaciones del señor Mos- rientes, y en qué pueblos. Lo que se avisa al público para que los que coso sobre otros puntos del proyec…</t>
  </si>
  <si>
    <t>…laban, porque era para y por de pronto quedan muy satisfechas de la parte que el ministerio ellos muy amargo. ha tontado por el ramo de la Gobernación de la Península en el cum El.Sr. Martínez de la Rosa hizo ver la amargura en que se halla plimiento de la ley que se ha leído, en .la que se previene que se dé ban aquellos dignísimos ciudadanos, y que si las Cortes deseaban ad noticia del estado de la Nación. Para que esto tenga efecto cumplido quir…</t>
  </si>
  <si>
    <t>Martinez</t>
  </si>
  <si>
    <t>…ít 4.0 de la ley Cortes reformado; para cuya discusión señaló el Sr. presidente el dia de libertad de imprenta, mandando se* lleve á debido efecto. 1 j. Habiendo hecho presente el Sr. Martinez de la Rosa que si se imprimiese .en el Diario de Cortes el referido proyecto ocuparía-un lugar estéril para la Nación, a la cual interesaba más instruirse en las disensiones del Congreso y opiniones de sus representantes, que en los ANUNCIO. pormenores de un…</t>
  </si>
  <si>
    <t>…£ lós-milifaVés-el- derecho' de rvótar eft sus tes para que expusiera las medidas nías convenientes. 'jpárroquias castrenses y entéridiéndóse'1 en líos pú'eblós ó plázas de ar- EI Sr. Martínez dé la'Rosa hizo¡ ver;qne estaba sujeto el'Sr. obis - znas donde se hallen residentes.’’ Pór-líj que ópina:'deT'misnio modo. po de Tarazona aL tribunal de Cortes por. haber firmado lá represen Después de uriá brévé discusiori- sé suspendió' este asiVntó hasta…</t>
  </si>
  <si>
    <t>…claro que por el manifiesto de ser juzgado si viene. : pues &lt;-ué remedio: Dar mas claridad á la in del año 14 debió someterse el reverendo obispo á Ja lev de 26 de Oc dicación del Sr. Martínez de la Rosa , diciendo, no que vuelva al Go tubre del año próximo, por Ja cual se dejaba el derecho de cleeir entre bierno para que este use de sus facultades , sino que teniendo las Cor los extremos que abrazaba alas personas para'quienes se hizo; pero tes la…</t>
  </si>
  <si>
    <t>…al reunión la provincia de Astúrias. art. 77: „0 hará despejar las galerías y tribunas.” La comisión de Hacienda presentó su dictamen sobre el expediente Se leyó otra adición del Sr. Martínez de la Rosa al art. 83 , la que remitido poc el Sr. secretario del Despacho de Hacienda, relativo á la decía: ,, Después de la palabra publicarse se añadirá , y repartirse á los tasa de la limosna de bulas para el año de 102-2 hecha por la Co Sres. diputados a…</t>
  </si>
  <si>
    <t>…o fin llevará registro formal de entrada y salida , confor la discusión sobre la indiéacion qtie habia quedado pendiente en la me con el de la secretaría-de las" Cortes. misma del Sr. Martínez de-la-Rosa /suscrita también por los señores- 98. En cada comisión habrá un archivo y todoslos-utensilios ne Banqueri y Magariñós; y después de algunas contestaciones se declaro cesarios para el despacho de- lds-negocios: habrá también Un libro de no haber lu…</t>
  </si>
  <si>
    <t>…(D. Gabriel), los referidos conocimientos , parece -muy justo que á ellos se confie esta Couto y Traver. parte de la instrucción pública. Siguió después la discusión, en la que el Sr. Martínez de la Rosa Quedó en seguida aprobado el artículo. manifestó las razones que habían movido á la comisión para reducir á' Las Cortes quedaron enteradas de un oficio del ministro de Marina, nueve el número de Jas universidades en cuestión, ciiyas razones ha en q…</t>
  </si>
  <si>
    <t>…e'establecía la Constitución Séercá de concluyó que existiendo tales dominios jamas podría haberla. lá-’fibilgitéió'tt dé cótísérváf porTcyes sabias y justas lá prepiédád y los Ef Sr. Martínez de la Rosa dijo que esta discusión se debía resolver dérScfios' lc^ftrmós'ldéítcfdós'-los individuos: qué consideraba 'que en Tai por Tas leyes generales de la justicia entre la Nación, y los propietarios , y présíáéiohes q&amp;e' resultabán-dé derechos' territor…</t>
  </si>
  <si>
    <t>…del intendente de marina de Cádiz , y otras corporaciones eclesiásticas dijo, para siempre del santuario de tas ¡ave?. y seculares. ¡. En seguida se opuso y refutó el parecer del Sr. Martínez de la Ro El Sr. presidente dijo que dichas felicitaciones abundaban de senti sa. Dijo que esta cuestión de ninguna manera debía ventilarse entre la mientos patrióticos, dignos de tenerse presentes , y que no se ignorasen Nación y los propietarios, sino entre…</t>
  </si>
  <si>
    <t>414 El Sr. Calalrava dijo: el Sr. Martínez de la Rosa confundió en la prevenia la Constitución en el art. 4.0: que era verdad que toda ley po sesión anterior las diferentes clases de señoríos; no se trata, prosiguió, día derogarse, y por consiguiente la primera de la Novísima Reco ni la comisión habla…</t>
  </si>
  <si>
    <t>…n claro que por la presentación de los títulos de adquisición; y, grado y único objeto que el Omnipotente se propuso cuando sacó el por consiguiente aquí es verdad lo que dijo el. Sr. Martinez de la Ro mundo de la nada, y el que sigue en su conservación; que ni el hom sa : que la cuestión estaba entre la Nacían y los señores, debiéndose- bre ni los pueblos conocen ni pueden conocer por la razón, nj por el: volver á la-Nacion los bienes- que la pert…</t>
  </si>
  <si>
    <t>…la Nación, si los señoríos fuesen reversibles á ella: que se había di los Gefes políticos, con conocimiento del itinerario de las tropas que cho para contrarestar las razones del Sr. Martinez de la Rosa , que si se deben transitar por sus respectivas provincias , puedan comunicar coa suponía que este salón quedaba desde ahora i disposición del Rey , se anticipación las órdenes convenientes ; se ha servido resolver S. M. que daba á entender que ant…</t>
  </si>
  <si>
    <t>…se discutía, dijo que todavía se dudaba del estado de la dis co López Ingles arengó á la milicia y a! pueblo; y en seguida se sir cusión, y que no convendría con lo que indicó el Sr. Martínez de la vió á los milicianos un agasajo, prevenido por el ayuntamiento cons Rosa, de que se trataba de los intereses de la Nación y de los llama titucional. Por la noche hubo iluminación general, y con el mayor dos antes señores, sino en la parte de las fincas…</t>
  </si>
  <si>
    <t>…a, que no estaba tan abundante .de sino á favor de la Nación; y que coqvenia con lo que habia manifesministros como se habla supuesto, y particularmente en el obispado de _tado el Sr. Martinez de la Rosa de que la cuestión versaba esencial Vich , y entonces podrían re.ultar consecuencias de mucha considera- mente entre la Nación, y los poseedores,-puesto que la primera reclacion; por lo que pidió se. añadiese á dicho artículo trias que ios que , ma…</t>
  </si>
  <si>
    <t>…deas que habia manifestado en su cientemente discutido en su totalidad. discurso. Se leyó el art. 1. , y después de una cortísima discusión , y de ha Se leyó el artículo 3.0, y el Sr. Martínez de la Rosa manifestó te berse leído el art. 371 de ¡a Constitución y úna parte del dictamen á pe nia que hacer algunas reflexiones sobre este artículo: dijo que para’ tición del Sr. Zapata, se aprobó en los mismos temimos que lo pre contener los abusos que po…</t>
  </si>
  <si>
    <t>…resentes debido. Y haciendo algunas reflexiones sobre este asunto , concluyó vieren y entendieren, sabed: Que las Cortes han decretado lo siguiente: desaprobando la indicación del Sr. Martínez de la Rosa. ,,Las Cortes , habiendo examinado la propuesta de S. M. sobre la tasa El Sr. Martínez eje la Rosa manifestó que su indicación no quería hecha por el comisario general de Cruzada de la limosna con que han de decir que solo hablasen los socios, sino…</t>
  </si>
  <si>
    <t>…anos; que esta manera de censurar cado proyecto, pudiendo el Sr. presidente señalar dia para su discusión. era muy distinta de la que se usaba en los escritos, pues entonces se El Sr. Martínez de la Rosa: una multitud de señores diputados han tenían presentes los términos expresos , y podía calificarse, sin dificul hecho en esta legislatura proposiciones para que se abrevíase el proyec tad hasta qué grado eran subersivos, lo que no podia suceder co…</t>
  </si>
  <si>
    <t>…Dr. Mi- ella el voto de los Sres. Diaz Morales , Romero (D. Josefa y Fan 11er y otros dos eclesiásticos romanos. Declaran estos francamente que farria, contrario á la adición del Sr. Martínez de la Rosa al ait. g.' los bilis presentados por Mr. Plunkett á la C unara de los Comunes no del proyecto de ley sobre sociedad.es patrióticas. corresponden á las esperanzas, ni dejarán satisfechos los derechos y las A la comisión especia! de Hacienda se mand…</t>
  </si>
  <si>
    <t>…; por A la de Infracciones de Constitución pasaron, una exposición de lo cual opinaba que podian suprimirse. D, Saturnino González Donoso', vecino de Orellana la vieja, partido El Sr. Martínez de la Rosa indicó) que en este proyecto habia ar de Castuera, quejándose del alcalde constitucional de aquella villa Don tículos aprobados, que no debían ser objeto de esta discusión, y que Juan Gallardo, por haber infringido los artículos 267 y 309 de la sol…</t>
  </si>
  <si>
    <t>…are máximas ó doctrinas que tos que en los mismos artículos se expresa. tengan una tendencia directa á destruir ó trastornar la Constitución po Leídos estos artículos manifestó el Sr. Martinez de la Rosa que lítica de la Monarquía, sufrirá , según la gravedad de las circunstancias, habiendo aprobado las Cortes la indicación del Sr. Calatrava, seria mu la pena de uno i cuatro años de confinación en algún pueblo de las islas cho mas á propósito para…</t>
  </si>
  <si>
    <t>…enteradas y Sr. Espiga en lugar del Sr. Cano Manuel, que no se hallaba presente,, complacidas de oír los sentimientos de S. M. después de lo cual salió la diputación referida. El Sr. Martínez de la Rosa manifestó debía mirarse con-mucha con-, Se leyó el caso cuarto del art. 7.0, que decia: » Para quitar ó coar sideración el artículo que se discutía; que suplicaba á los señores mili tar la libertad de los diputados en sus deliberaciones.” tares man…</t>
  </si>
  <si>
    <t>…rreglo á titución y'al Rey constitucional; verificándose la tercera y última salva la facultad novena. de artillería. Las calles estaban adornadas con colgaduras 'enrías ventar El Sr. Martínez de la Rosa se opuso al citado artículo, manifestan ras , y en la noche hubo iluminación general y baile en él palacio del do que era peculiar del Rey, el distribuir la fuerza armada', y que no Gobierno. 1 debiéndose entrometer el po*dcr legislativo en las fac…</t>
  </si>
  <si>
    <t>…mismo rigor, era por no ser buena para los otros la ley dicho artículo la-palabra orden, puesto que la jurisdicción ordinaria que se discutía. no podia dar órdenes á la tropa. El Sr. Martinez de la Rosa hizo algunas observaciones sobre el pro ' El Sr. Cano Manuel contestó que con respecto á la primera parte yecto de ley de que se trataba, manifestando que la comisión lo habia ao tenia inconveniente en que se hiciese alguna adición á este artí pres…</t>
  </si>
  <si>
    <t>…los sentimientos labras jpor el término indicado. . „,r. .... - qué expresa', por su lenguage.gótico y anticuado , y porque se dirige á Se aprobó el art. 5.°, y sé leyó el &lt;S.°.E1 Sr. Martínez de la Ro suscitar la guerra civil entre sus vasallos, solo porque asi lo quiere y sa , después de haber hecho algunas, reflexiones sobre este artículo, es- su voluntad expresa. Este era eL idioma del siglo xm, y los que vi hizo la siguiente adición á él: » En…</t>
  </si>
  <si>
    <t>…fames calumnias del general austríaco. La na sententiis, in hoc uno judicio positdm esse ac drjixam putetis. ción y ei Rey siempre han estado acordes: sosteniendo esta lucha in El Sr. Martínez de la Rosa manifestó insistía en la misma opinión justa, defendiendo la patria, defendemos nuestras leves, al trono v que ya habia expuesto: que en la aprobación del art. i.° del dicta al Rey.” ' ‘ 1 men de la comisión no habia habido mucha divergencia de opi…</t>
  </si>
  <si>
    <t>…ia de nombrar habia de ser por las Cortes ó por el Gobier rige. Estamos en el caso de considerar á uno que ha sido señor Juris-jno ; y dijo que después de lo que ha manifestado el Sr. Martinez de la diccional y feudal de un pueblo , y á quien no le ha quedado sino el do Rosa sobre que debe ser por el Gobierno, debía añadir que estas medi minio: ¡debe conservarse á estos señores el derecho de propiedad? das son peculiares de las Cortes; pero que en…</t>
  </si>
  <si>
    <t>…l decreto timientos patrióticos el regimiento de caballería de Numancia, el regi de 24 de Marzo de 1813.” miento infantería del Imperial Alejandro, y la milicia nacional de Gra El Sr. Martinez de la Rosa hizo algunas observaciones contrarias á nada y de Santander. la indicación referida. A la comisión de Guerra una exposición dirigida por el Sr. minis El Sr. Palarea dijo que la Constitución prevenia en ia vigésimatro de este ramo, en que con motivo…</t>
  </si>
  <si>
    <t>…acienda pública.. Después de haber hecho algunas observaciones contra lo que habia Habiendo observado esta dirección general que las solicitudes á ju manifestado en su dictamen el Sr. Martínez de la Rosa acerca de este bilación que se hacen por ios individuos de la Hacienda pública de su mismo asunto, concluyó diciendo estaba íntimamente persuadido de la dependencia, las unas las envían directamente los interesados, debiendo justicia con que se hab…</t>
  </si>
  <si>
    <t>…ue las leyes señalan á los pongan de acuerda con las competentes autoridades de la provincia desertoses.” á que se destinan dichos religiosos; y que para verificar este arreglo El Sr. Martínez de la Rosa manifestó, que siendo el sentido de este asignen el término mas breve que sea posible, debiendo dar cuenta á artículo el que se castigase á los españoles que rehusaran entrar á servir S. M. luego que se halle completamente egecutado. Lo que de Real…</t>
  </si>
  <si>
    <t>…os juicios de conciliación , prosiguiéndose , si había tiem pruebas de ser desafecto para que recayese un castigo. po, la del dictamen sobre señoríos. El Sr Cortés: la adición del Sr. Martínez de la Rosa podia muy Se levantó la sesión pública ¿ las dos y cuarto para continuar ¡as bien admitirse; pero yo la tengo por superfina. ¡Como se forma con Cortes en »ee:eta. cepto de ios hombres públicos en la sociedad! ¡Como se forma de un. militar si es val…</t>
  </si>
  <si>
    <t>…os y otros efectos del difunto profesor esta asociación por el anterior Gobierno. Sparman se ha vendido en Stockolmo por 18 escudos de banco el crá Después de haber manifestado el Sr. Martínez de la Rosa que la neo del célebre Descartes. compañía habia celebrado un contrato particular con e! Gobierno pa En los Estados austríacos se habia prohibido la venta de los tomos sado, por el cual se le habían concedido diferentes arbitrios, y que p.° y 10 de…</t>
  </si>
  <si>
    <t>…n disfrutarán la mitad del haber de sus maridos, padres ó hijos mientras ellos aquella subordinación, de que tantas veces habian dado prueba;. estos esten en poder del enemigo. El Sr. Martínez de la Rosa: es tan triste el espectáculo de ayer Art. 1Ó8. „ Los militares absolutamente inutilizados en actos del tarde, que no hubiera provocado esta discusión, si no fuera porque el servicio percibirán su haber íntegro hasta que sean colocados en otros Gob…</t>
  </si>
  <si>
    <t>…mo él ya lo habia hecho enDoña Teresa Gómez Sólicitándó una pensión...... algunas noticias que se le habian pedido. Ala comisión donde están los antecedentes se mandó pasar una El Sr. Martínez de la Rosa manifestó que la comisión había con exposición de D. Mariano-Carrillo de Albórnoz , capitán general de la - testado'conforme al mensage; que habia procedido con mucha delica provincia dé-’Yiicatan, dando cuenta de los antecedentes que motivaron dez…</t>
  </si>
  <si>
    <t>…an sin resistencia todas las provincias napolitanas, das las providencias para conservar el orden público. confiesan que el castillo de Civitella del Tronío, cuyo gobernador es El Sr. Martínez de la Rosa expuso que las Cortes habian aprobado el coronel Pepé , resiste aun, y que algunos centenares de carbonariosya el dictamen de la comisión acerca de la contestación que debia darse han logrado refugiarse en ella. ... á lo que habia dicho el Sr. secr…</t>
  </si>
  <si>
    <t>…medios para el sabido la circunstancia que expresaba el señor preopinante: y que pór lo remedio de estos niales; á lo que contestó él br. secretario que el Got que habia dicho el Sr. Martínez de la Rosa , siempre que hubiese una bierno habia oido al consejo de Estado, el que había contestado a dos' posibilidad de deponer las autoridades , ei Gobierno lo haría asi. consultas que se le habían hecho: que se habían tomado varias provi En seguida contm…</t>
  </si>
  <si>
    <t>…n acerca de la incorporación ó reversión de dichos señoríos ter Austria se halla en estado de poner. ritoriales.” En un articulo de Roma del 18 de Abril se anuncia que la escua El Sr. Martinez de la Rosa dijo: desde el primer dia que hablé so drilla napolitana, luego que supo los acontecimientos de Ñapóles, habia bre este asunto manifesté que se trataba de dos cuestiones, la una entre dado la vela para Gibraltar, con el. objeto de dirigirse á Améri…</t>
  </si>
  <si>
    <t>…inútil esta indicación, porque no El Sr. conde de Toreno dijo: me parece que la comisión está de habia necesidad de participar al Gobierno que tuviese un buque dis acuerdo con el Sr. Martínez de la Rosa; por mi parte podría sustituir puesto para llevar esta noticia á América, puesto que todasna no se se al nombre que se propone en el artículo el de comisiones ó juntas sabia la resolución de las Cortes , de la cual todos estaban ignorantes. reparti…</t>
  </si>
  <si>
    <t>…todos los maestros y catedráticos se Ies asignará unas este artículo , y también me opongo en el presente. dotación competente, cuya cuota respectiva se. señalará en. ios regla El Sr. Martínez de la Rosa contestó á estas observaciones y á las mentos. que había opuesto el Sr. Garell acerca del mismo artículo, y conclu Art. 85. « Los mismos reglamentos señalarán la época en que pue yó diciendo que era indispensable que las oposiciones se celebrasen e…</t>
  </si>
  <si>
    <t>…ia de vadamente , concluyendo con que no podia aprobar esta parte del ar Jos servicios de'su mando. . . tículo. El de la de Instrucción pública acerca.del plan de educación con El Sr. Martínez de la Rosa dijo: La cuestión, principal se reduce á forme á la Constitución política de la Monarquía española, .presentado si la enseñanza privada, habiendo de producir efectos públicos, y de por el Sr. diputado D. Marcial Antonio López. La comisión, habiendo…</t>
  </si>
  <si>
    <t>…principalmente en el de director, nota. En la sesión de ayer cuando volvió la diputación de pala que tenia 30© rs. sin hacer nada, opinaba que no era necesaria la apro cio dijo el Sr. Martínez de la Rosa , como presidente de ella , que ente bación de esta partida. rado S. M. del objeto de la diputación, había contestado que asistir:*</t>
  </si>
  <si>
    <t>…de las instituciones y la causa de la humanidad dependen en gran Marín y Sánchez; y para la de Cataluña á D. Francisco Asín. manera de vosotros.” Acto continúo ocupó la tribuna el Sr. Martínez de la Rosa, y le A mediados del mes de Octubre próximo.debe salir del puerto de vó el acta de la instalación de la Diputación permanente ; la de la se- Cádiz un buque correo con la correspondencia para Ultramar. Lo -que su ti que celebró esta el dia iy del co…</t>
  </si>
  <si>
    <t>…ticipar todos de una misma desgracia ha de hacer que nos au lo habían verificado en el dia de la instalación. xiliemos mútuamente hermanando nuestros sentimientos. Una parte de El Sr. Martínez de la Rosa leyó la contestación al discurso pro nosotros es miserable, y necesita para su subsistencia ser socorrida : á fin nunciado por S. M. en el dia de ayer, y quedó aprobada. de remediarla en lo posible ha providenciado el Excmo. ayuntamien Se presentar…</t>
  </si>
  <si>
    <t>…milicias ya se habrán re ley está dada, y por consiguiente debe haberse cumplido. Si habia algu tirado. nas dificultades para el cumplimiento de la ley, ¡por qué no se expusie El Sr. Martínez de la Rosa expuso: La discusión presente manifiesta ron con antelación? El Congreso sabe que entonces no se puso dificul con cuánto pulso deben proceder los representantes de la Nación en un tad alguna al cumplimiento de la ley. Esta se ha dado, y no se ha ej…</t>
  </si>
  <si>
    <t>…lante el pedir mas ti las la explicación que viene haciendo el Gobierno al Congreso es muy di necesitaba. ferente de la que hace por estos puesto que con respecto á la primera _El Sr. Martínez de la Rosa, para calmar en cierta manera la des viene á fijarse en cierto número de tropas , y por lo que hace 4 la confianza que ha creído S. S. que podria haber , y fuese motivo de que segunda se contenta con una friolera , pues con uno ó dos regimientos se…</t>
  </si>
  <si>
    <t>…ueblos de Gali tido, no se aprobó la capital que proponia la comisión. cia, han icio reuniendo allí mucha gente poderosa, las cuales han reuni Se leyó la siguiente proposición del Sr. Martínez, que quedó do todas las propiedades, y después de haber reducido i los naturales aprobada. al estado de colonos y jornaleros, se han ido á residir á otros parages; en « Pido que respecto á no haber tenido á bien las Cortes señalar por Pontevedra pues hay edií…</t>
  </si>
  <si>
    <t>…tivas provincias pueblo; pero que sin embargo podía sustituirse á esta palabra otra mas en los casos siguientes: indeteimiuada. i.° Cuando se ataque la persona sagrada de! Rey. El Sr. Martínez de la Rosa dijo que ei dar las ordenanzas y reeia2.0 &gt;3 Cuando se impida la elección de diputados á Cortes en Ia9 m en tos al ejercito, armada y indicia nacional en todos los ramos qus épocas que previene la Constitución. Ja constituyen es propio de las Corte…</t>
  </si>
  <si>
    <t>…erno para la apto- ga, gefe general de renovación de Vales y expedición de documentos. bacion de las Cortes.” El Sr. conde de Toreno pidió que pasase á la comisión de tíacieft* El Sr. Martínez de la Rosa dijo; Es evidente que dando la Consté da para qué diese su dictamen sobre este asunto; y el Sr; Caiatravá lo tucion á las Cortes la facultad de arreglar los aranceles, estas son las apoyo, añadiendo que deberían unirse á dicha comisión los señores…</t>
  </si>
  <si>
    <t>…iones, y esto era muy fácil, y entonces seria una deducía que muchas cooperaciones merecian la misma pena. injusticia imponer al sobornador la misma pena que al funcionario pú- El Sr. Martinez de la Rosa hizo un largo discurso contra el dicta blicofporque habiéndose establecido en la'primera parte desarticulo men de la comisión , en el cual quiso probar que tratándose aqui de las la regla general, que si era cómplice un funcionario público se le ca…</t>
  </si>
  <si>
    <t>…iscusión , se anterior. En cuantos libros buenos y malos de derecho se han escri mande pasar á la comisión. to no se reconoce mas caso de los que se citan en el artículo que el El Sr. Martínez de la Rosa manifestó que los Sres. que habían im de mandato , esto es, manda uno á otro cometer un delito, y este se pugnado él artículo habían sido de distinta opinión, y que no todos excede. Los jurisconsultos se dividen respecto de este caso en dos opi lo…</t>
  </si>
  <si>
    <t>…os Sres. diputa- D. Josef de la Cruz Gómez , capitán que fue del batallón de tiradores lados de la comisión. de Cuenca, y que en primeros de i3iz se pasó al egército francés, ó El Sr. Martínez de la Rosa : Sin entrar en la discusión de la propo de alguno de sus herederos , se servirá avisarlo á esta oficina, la que sición debo manifestar que extraño que por un diputado del Congreso necesita averiguarlo para asegurar los intereses pertenecientes á l…</t>
  </si>
  <si>
    <t>…; y es claro que sí. la segunda preguntó si se prorogaria por una mas ia de estgfoia; y se acordó asi. trata de ias causas que originan los desgraciados efectos que hemos vis-, El Sr. Martínez de la Rosa: Creo que no se-gcor.drá á lo que aca to, es imposible remediar estos fin entrar en el examen de las medidas ban de acordar las Cortes el que luego se pregunte si se declarará se- . . para atajar aquellas. En un .sistema representativo no puede men…</t>
  </si>
  <si>
    <t>…a pueda examinar con madurez, y asimismo determinar el dia preciso en mente de la que se ha leído , creo que se podrá tomar ahora en con que se deba discutir. ^ - sideración. r El Sr. Martínez de la Rosa: En mi opinión hay grandes inconve El Sr. Gaseo: Dos motivos me han obligado á tomar la palabra en nientes en que se suspenda esta discusión. La resolución de las Cortes de este asunto. Primero el verme reconvenido como uno de los Sres. di que se c…</t>
  </si>
  <si>
    <t>…que Es verdad que las circunstancias del día son tnuy distintas; pero si hay después de haber bosquejado el cuadro de la conducta del ministe unas en pro , hay otras en contra. El Sr. Martínez de ia Rosa dijo poco rio correspondía bosquejar el cuadro en que se halla la Nación. Di hace que no habia que t.mer, que todos los temores eran infundados; ce S. S. que no se-puede separar uno ú otro ministro, sino que es indis porque teniamos Cortes , Diputa…</t>
  </si>
  <si>
    <t>…echas por la audiencia de blica , y que no están sujetos á lo prevenido en la ley en cuanto á sus Pamplona, universidad de Zaragoza &amp;c. fondos y en cuanto á su administración.” £1 Sr. Martínez de la Rosa manifestó que en cuanto á la primera El Sr. presidente señaló para mañana el dictamen de las comisiones parte del artículo estaba conforme; pero no asi en cuanto á la segunda, de Hacienda y Comercio, que quedó sobre la mesa , y dijo que en se en la…</t>
  </si>
  <si>
    <t>…aciones que Alt. 50. » Si el reo fugado en cualquiera de los casos del artículo pareciesen convenientes. precedente cometiere después de su fuga otro delito a que este señalada El Sr. Martínez dé la Rosa hizo algunas aclaraciones respecto de pena corporal ó de infamia, s.e le condenara á que no pueda salir nun las ideas que habia manifestado en su discurso, á las que contestó el ca de ¡os trabajos perpetuos , ni disfrutar de la gracia que se expres…</t>
  </si>
  <si>
    <t>…cuerpo se hubiese desviado de sus juramentos será exter bía dicho una palabra que sonase á inculpación. minado. Si al egército se le tira el guante , él lo recogerá. Lo mas ad Ei Sr. Martínez de la K.osa dijo: Creo que no se puede presentar á mirable, y lo que á mí mas me ha sorprendido en esa exposic-on, es un Congreso legislador una cuestión tan importante cómo la que se dis ver en ella la firma del teniente coronel del regimiento de Farnesio, d…</t>
  </si>
  <si>
    <t>…ay casos en que es preciso no prestar obedien cia al Gobierno; qutf igualmente era cierto que los decretos que habia Haciénda lo que copio: . citado eran del año once; pero que el Sr. Martinez de la Rosa no ha Con fecha 4 del actual me dice la dirección general de loterías na bía reparado en que estaban revalidados por otro decreto de 14 de cionales lo que sigue: « Todas las rifas y loterías de cartones en los ca fés y casas públicas sabe V. E. han…</t>
  </si>
  <si>
    <t>Martínez, Angel</t>
  </si>
  <si>
    <t>Angel Martínez</t>
  </si>
  <si>
    <t>…sa del empréstito nacio nal desde el ay del corriente hasta hoy. D. Andrés Cantero.' D. Josef Abajo y Manzano. ' Se han recibido periódicos extrangeros', que tolo alcanzan á un nú D. Angel Martínez. D. Manuel Victoriano Cáscales. mero trias de los que ya habián llegado .por extraordinario: las noticias í&gt;. Antonio Albani. D. Manuel de Erezuma. de Alemania llegan hasta el 16; las de'Lóiiílfés hasta el 17, y las de D. Blas Lamota. D. .Manuel Luciano de la…</t>
  </si>
  <si>
    <t>…Alejandro Baile , de Lisboa. D. Josef Pantaleon de Aguirre, de NOTICIAS DE ESPAÑA. D. Andrés García del Hoyo, de Bilbao. Bilbao. D. Josef Ruet y la Torre, id. Sevilla 4 de Agosto. D. Angel Martínez, id. D. Josef Perez Marañon, de San D. Anselmo Elguizabal, id. tander. (Continua el artículo de ayer.) D. Antonio Coma, de Cádiz. D. Josef García Carrasco, de CáA los .que se presenten leyendo bien en prosa, sabiendo doctrina Bayo é hijo , de Bdbao. ceres. cr…</t>
  </si>
  <si>
    <t>Martínez, Antonio</t>
  </si>
  <si>
    <t>Antonio Martínez</t>
  </si>
  <si>
    <t>…y después de una discusión en dividuo que falta en la junta nacional del Crédito público, hecha eti tre dicho diputado y los Sres. Gaseo, Zorraquin y Elorez Estrada, re los Sres. D. Antonio Martínez , D. Josef Manuel de Aranalde yD.Jo- tiró este la referida representación. sef Señan y Velazquez. El Sr. presidente dijo que señalaría dia. Se leyó la siguiente indicación del Sr. Villanueva: » Propóngase i A la comisión de Legislación se pasaron, una exposic…</t>
  </si>
  <si>
    <t>Martinez, Antonio</t>
  </si>
  <si>
    <t>Antonio Martinez</t>
  </si>
  <si>
    <t>…creación de Ene 121 Otra id.; núm. 52, en 30,674&gt;.rs.' ro de'1808; el uno de 6oó pesos, señalado con el núm. 364,354, en 122 Otra id., húm. 51, en 36,842 rs. dosado últimaniente-á D. Antonio Martinez; el segundo de 300 pesos, 123 Otra id., núm. 29,en 63,382 rs. señalado con el núm. 83,586 con el último endoso á D. Manuel Va124 Otra id,, núm. 1 , en 14,548 rs. lera; y-el tercero de 150 pesos, señalado con el núm. 271,680 , endo 125 Otra id. , núm. 2, en 1…</t>
  </si>
  <si>
    <t>…y actualmente corte Sr. secretario sobre el nombramiento que ha hecho S. M. de una comi del Rio-Janeiro , el mismo Sermo. Sr. Príncipe Real, después de sión compuesta de los Sres. D. Antonio Martínez, tesorero general, haber leido en el balcón de la misma casa, ante el pueblo y la tropa D. Francisco Antonio Canseco, gefe de sección de la dirección general que se hallaba presente , el Real decreto de S, M. el Rey nuestro Se di rentas, y D. Tomas Josef Gonz…</t>
  </si>
  <si>
    <t>…s reiteradas cargas de caballe tro de Hacienda, del decreto de nombramiento de tesorero general de la ría. terminaron volviendo la espalda. En todo este tiempo estuve en nación en D. Antonio Martínez, en lugar de D. Domingo de Torres. gran manera contento de las tropas y de los batallones nacionales, cu A la comisión de Diputaciones provinciales se mandaron pasar una yo valor excedió en mucho mis esperanzas. Al cabo de aquellas siete exposición de la dipu…</t>
  </si>
  <si>
    <t>…d. publico, en que incluía la propuesta;para la vacante de contador gene S. M. Mu ley Solimán iprevino á los de Fez.el viejo que les daba tres ral de recaudaciones, por ascenso de D. Antonio Martínez, á D. Jodias-de término.para que.entregasen á su sobrino y otros facciosos; en sef Garay, D. Juan jimeno y D. Ignacio Hidalgo. Las Cortes queda ia- inteligencia que de no hacerlo echaría por tierra la ciudad a fuer— ron enteradas; y el Sr. presidente dijo que…</t>
  </si>
  <si>
    <t>…juez interino de pri »&gt; Las Cortes se han enterado del oficio de V. E. de 19 del actual mera instancia en ella, y escribano cartulario de su juzgado D. Ma acerca de si el tesorero general D. Antonio Martinez ha de continuar en nuel López de Ribas, se ha acordado entre otras cosas citar y empla el egercicio de sus funciones el próximo ano económico, por no poder zar, como se hace por el presente, á todos los acreedores á la misma entrar el propietario en cesación…</t>
  </si>
  <si>
    <t>…món Ferrer, Peregrin de los Santos, Joaquin Peris, remitidos lle Ancha de S. Bernardo , que hace esquina .y vuelve á la de la Gardu por el juez de primera instancia de esta ciudad D. Antonio Martínez ña, señalada por la primera con el núm. 2 de la manz. 497 , con 7210 Arroyo en 5 de Abril de 1819. Presos en 3 de Abril de i8r9 por pies, tasada en 413,149 rs. vn., y la otra en la calle de la Garduña muerte de Vicente Mari. Estado de su causa. Alegando de bi…</t>
  </si>
  <si>
    <t>Martínez, Blas</t>
  </si>
  <si>
    <t>Blas Martínez</t>
  </si>
  <si>
    <t>…brado el por D. Bartolomé Oteíza, D. Francisco i’au'a Navascues, D. Norberto reo , y no habiéndolo hecho este , al que le nombrará de oficio inme del Valle, D. Ignacio Armendariz, D. Blas Martínez y D. Basilio diatamente, con encargo de que en el correo próximo siguiente remita Torres, encargados de la cura de almas de dicha villa de Fitero; ia ley a su defendido las instrucciones convenientes, á fin de que le comuni condenó) á D. Bernardo del Bayo, responsable del…</t>
  </si>
  <si>
    <t>Martínez, Celedonio</t>
  </si>
  <si>
    <t>Celedonio Martínez</t>
  </si>
  <si>
    <t>…verdadera norma, y al mismo tiempo el timbre Suplemento al Diccionario de medicina y cirugía del profemas esclarecido de nuestra literatura. lor D. Antonio Ballano, por los Dres. D. Celedonio Martínez - Mas ya se sabe que en la historia literaria de toda na Caballero y D. Manuel Hurtado de Mendoza. Esta obra, cuya ne ción la poesía se aparece siempre en la cumbre, como fa cesidad absoluta y general conoció el autor mismo del Dicciona reina de las artes y l…</t>
  </si>
  <si>
    <t>Martínez, Felipe</t>
  </si>
  <si>
    <t>Felipe Martínez</t>
  </si>
  <si>
    <t>…judicialmente fue disipada Ramón de Cimps y de Avino; el de igual clase de la compañía de getan falsa delación, exige su ho-nor que se publique $u inocencia en toda fes de Familia D. Felipe Martínez; el subteniente, comandante del la Nación , asi como se prevjehi haccrlanianifieSLU por la gaceta y pe destacamento del batallón de Barbastro Di Josef Fernandez; el capitán, riódicos de Zaragoza en el auto, de absolución ; que igualmente so haga teniente y co…</t>
  </si>
  <si>
    <t>Martinez, Francisco</t>
  </si>
  <si>
    <t>Francisco Martinez</t>
  </si>
  <si>
    <t>…sobre la nota pasada á varios Gabinetes por los 16,650 rs. de Austria, Rusia y Prusia de resultas del congreso de Troppau: es Otra calle Harinas, núm. 3, en 13,433 rs. critas por D. Francisco Martinez de la Rosa. Se hallan de venta en la Otra calle de Tintares, núm. 41 , en 13,298 rs. librería de Paz. Otra en la misma calle, núm. 42 , en 6848 rs. Ideas del Exento. Sr. D. Antonio Escaño sobre un plan de reforma Otra en la plaza de la Constitución, núm. 5 2,…</t>
  </si>
  <si>
    <t>Martínez, Francisco</t>
  </si>
  <si>
    <t>Francisco Martínez</t>
  </si>
  <si>
    <t>…sobre que, se pagué primero sobre ebart. 31 del decreto de 24 de Marzo de 1813. . por. el Crédito público-la pensión concedida por S. M. en 14 de Octu A la misma una exposición de D. Francisco Martínez deMartínez bre de 1814 a todos los militares inutilizados en acciones de-guerra. , sobre que’se le exonere del cargo de alcalde primero constitucional de A la de Infracciones tde Constitución se,pasó una queja dedos regi la ciudad de Granada , por la necesida…</t>
  </si>
  <si>
    <t>…e que en las cercanías de Roma gido cuatro cerca del lugar de Ugartegui. Otro, relativo á haber sido andan vagueando muchas bandas de gentes armadas: que la Sicilia no está cogido D. Francisco Martínez de la Hidalga, cura de la villa de Mar aun de acuerdo con Ñapóles: que el cónsul austríaco en Mecina fue in tínez. Otro relativo á la prisión del presbítero O. Pedro Ruiz de. Ale sultado, y que se vió en la precisión de quitar de su puerta las armas gría y de…</t>
  </si>
  <si>
    <t>…ey, y califica pañola , dedicado á las Cortes por el grabador de Cámara D. Josef do los doce jueces de hecho con la fórmula de aSsuelto el artículo fir María de Santiago* mado por D. Francisco Martinez, inserto en el diario constitucional No pudiendo mTrar con indiferencia el Sr. de Santiago que los es de la ciudad de Barcelona de 9 de Abril último, y denunciado el día pañoles tuviésemos que mendigar el auxilio de manos extrangeras para 10 del mismo por el…</t>
  </si>
  <si>
    <t>…tiene aqui? Cuan Josef María de Calatrava, por la de Extremadura; D. Demetrio 0-Daly,_ do ei bien de la Nación está por medio , ninguna fuerza tienen todas por la de Puerto-Rico; D. Francisco Martinez de la Rosa, por la de las delicadezas y miramientos que ha expuesto el Sr. Florez Estrada; y Granada; D¿ Felipe Fermín Paul, por la de Caracas, y D. Bartolomé es tan sagrada la obligación de un diputado, que debe sacrificar süho- Gutiérrez Acuña, por la de Cá…</t>
  </si>
  <si>
    <t>Martínez, Francisco de Paula</t>
  </si>
  <si>
    <t>Francisco de Paula Martínez</t>
  </si>
  <si>
    <t>….. ......... 4—•• ....... 1....... «..»»«« IO.... *• .... 47.... Dia 19................ ......... 6......... ....... 1....... ......... 0........... .... 48.... Francisco Jaquete, D. Francisco de Paula Martínez, D. Josef Mari.» Torrijos, D. Juan Jacinto López , D. Juan Josef Sánchez , D. Luis de Dia ao................ ......... 7......... ......... 1....... -•••• s............ .... 49.... Ibarróla , D. Nicolás Alonso, D. Telesforo Polo y D. Ventura de 23- s- 19. 194…</t>
  </si>
  <si>
    <t>Martínez, Gonzalo</t>
  </si>
  <si>
    <t>Gonzalo Martínez</t>
  </si>
  <si>
    <t>…él contaduría general de Reconocimiento y Extinción; su cantidad es de mismo proyecto; y es menester también deshacer otros de algunos se- 143,361 rs., y ésta expedido á favor de D. Gonzalo Martínez, adminis Sores-diputados qúe no han fijado todavía el punto verdadero de ¡a dis trador que fue de la imprenta Nacional. Se suplica al que le haya encon cusión. • i trado. supuesto que de nada podrá servirle por estar ya acordada su En cuanto al ramo de la eco…</t>
  </si>
  <si>
    <t>Martínez, Gregorio</t>
  </si>
  <si>
    <t>Gregorio Martínez</t>
  </si>
  <si>
    <t>…siguientes dictámenes de comisión. El presupuesto comprende las partidas siguientes: El de la de Infracciones de Constitución, relativo á ia solicitud de Secretaría del Despacho. D. Gregorio Martínez contra el juez de primera instancia de esta cor-, Secretaría del Despacho , oficiales, escribientes y porteros 1.019,500 te D. Manuel Fernandez Gamboa, por haberle tenido detenido mas reales. Gastos de la misma 1209. Para impresión de decretos y circula -' de…</t>
  </si>
  <si>
    <t>Martínez, Ildefonso</t>
  </si>
  <si>
    <t>Ildefonso Martínez</t>
  </si>
  <si>
    <t>…. y deseaban dar una prueba de su amor á la Constitución. Sus nombres y apellidos son D. Ramón Quintana, capitán: D. Dionisio Angulo , te Lisboa 26 de Junio-Sesión del 20. niente: D. Ildefonso Martínez, id : D. Juan Baricher, id.: D. Fran El Sr. Maldonado propuso que se crease una orden con el título de cisco García Aicaráz, id.: D. Josef López Pareja, id.: D. Josef Mar Orden de la Constitución para premiar á los beneméritos de la patria tínez Camacho, id.:…</t>
  </si>
  <si>
    <t>Martínez, Josef</t>
  </si>
  <si>
    <t>Josef Martínez</t>
  </si>
  <si>
    <t>…u entre las "cuales se establece la comunicación se llaman, gadas de mediana calidad; linda con dic'ha sélidá y'tierras sostenes ó armaduras; y los otros destinados á verificar de D. Josef Martínez, en 1000 rs. _ la comunicación pór su contacto con las primeras se llaman Otra junto á dicha senda, de % yugadas y 3 cuartas, comúnicadore s. de inferior calidad; linda con un ribazo, tierras del mayo razgo de Pujadas ys conde de C!fuentes, en 300 rs. Otra he…</t>
  </si>
  <si>
    <t>Martínez, Josef Alaría</t>
  </si>
  <si>
    <t>Josef Alaría Martínez</t>
  </si>
  <si>
    <t>…y con apoyo del gefe político de la pro Josef Vidaurreta y D. Gaspar de Aldanta, y los dos segundos de á 30 vincia de Málaga la siguiente exposición, que S, M. ha visto con agra á D. Josef Alaría Martínez y D. Alfonso Ponte. do, mandando que se publique @n la gaceta del Gobierno para satis facción délos interesados: La audiencia territorial de Castilla la Nueva se ha servido confirmar &gt;j Señor: Los ayuntamientos constitucionales de los pueblos de la en todas sus panes la siguien…</t>
  </si>
  <si>
    <t>Martínez, Josef Miguel</t>
  </si>
  <si>
    <t>Josef Miguel Martínez</t>
  </si>
  <si>
    <t>…er lugar á vo D. Juan Matías Rodrigo, apoderado del cuerpo de obreros y distintos tar ,y vuelvan tí la comisión, con varias adiciones de algunos señores sugetos de Chiclana , y de D. Josef Miguel Martínez , vecino de Sun- diputados á los artículos aprobados; por lo que presentaba á la deli lucar de Barrameda , reclamando el pago de lo que les demolieron los beración de las Cortes el dictamen de la comisión actual de Legisla franceses, el cual recomienda en otr…</t>
  </si>
  <si>
    <t>Martinez, Josefa</t>
  </si>
  <si>
    <t>Josefa Martinez</t>
  </si>
  <si>
    <t>…rcione un sitio ticulares, de resultas-de suministros; y otra dé D. Pablo Cabrero, te mejor. Con este motivo someto al juicio de las Cortes un pensamien niente coronel retirado, y Doña Josefa Martinez, duenos de la fábrica to que me ha ocurrido concerniente a! Diario, y es que este se supri dé platería de esta corte con título de Martinez, para que se atienda á ma, y que soló se publique una acta razonada y mas extensa que la aquel establecimiento. actual…</t>
  </si>
  <si>
    <t>Martínez, Josefa</t>
  </si>
  <si>
    <t>Josefa Martínez</t>
  </si>
  <si>
    <t>…bajo, empleándose en él todos los Joaquín María Ferrer. Marques de Pontejos. días de la semana , con inclusión de los lunes. Joaquín YaHar.no!. Marcelo S ¡ n li.01r.aa. Cien rs. á Doña Josefa Martínez, de la villa de Luarca, que pre Joaquín Saenz López. ’ Maríanó de Viliodas. sentó y acreditó haber beneficiado Ja estopa dcllino, hilándola ] blan Joaquín Alcaide. ’ • * Mariano de la Pedrueza. queándola y torciéndola ¿elaborando de ella varios pares de calce…</t>
  </si>
  <si>
    <t>Martínez, Manuel</t>
  </si>
  <si>
    <t>Manuel Martínez</t>
  </si>
  <si>
    <t>…que se han, referido, y que es La comisión ordinaria de Hacienda presentó su dictamen acerca detaban persuadidas de los deseos de S. M. . la solicitud de la madre del subteniente D. Manuel Martínez, hacien El Sr. Romero Alpuente dijo que iba á hacer una indicación para do presénte las varias persecuciones ,que sufrió el referido Martínez ue las Cortes manifestasen su aprecio ¿ las dos compañías del batallón por adicto al sistema constitucional, de cuyas…</t>
  </si>
  <si>
    <t>Martínez, Pedro</t>
  </si>
  <si>
    <t>Pedro Martínez</t>
  </si>
  <si>
    <t>…. Josef Gabriel Somoza , propietario , y D. Nicolás de Prado, aba Se dió cuenta de una exposición que remitia á las -Cortes el Sr. mi te. Ferrol D. Juan Cardcmil, escribano. Paulo D. Pedro Martínez nistro de la Gobernación de la Península del colector general de eslosada, cura de S. Pedro de Ribeiro, Vivero D K;mi n Rebelión, poiios y fondo pió beneficial, á la cual acompañaba una nota de los propietario. Mondoñedo D- Vicente Piñeiro, cura párroco de Ba…</t>
  </si>
  <si>
    <t>Martínez, Simón Fernandez Blanco y</t>
  </si>
  <si>
    <t>Simón Fernandez Blanco y Martínez</t>
  </si>
  <si>
    <t>…ry debe ser „4 D. Francisco Fernandez del Pi el Perú: á D. Miguel de Náxera , auditor de guerra en Popay.in; y á no, regente interino que era en la de Extremadura.”__Igualmente en D. Simón Fernandez Blanco y Martínez, asesor general que lia sido en la provisión de la última plaza de magistrado para Ja audiencia de Ca Manila. taluña debe ser „D. Joaquín Rey” „en vez de D. Francisco Rey.” EN LA IMPRENTA NACIONAL.</t>
  </si>
  <si>
    <t>Martiningo</t>
  </si>
  <si>
    <t>…ncluyó pues diciendo que la propo clama suya se sabe que volverá pronto. En el. enrretanto se sición de Mr. Alix debía pasar á lá comisión correspondien seguirá la causa contra el conde Martiningo,. cuyo delito es te para que informase. haber firmado una representación dirigida al Gobierno ruso, El presidente quiso que se tratase de los asuntos del reclamando la infracción Lde algunas cláusulas dél tratado dia, y pidieron á un mismo tiempo la palabra M…</t>
  </si>
  <si>
    <t>Maryborough</t>
  </si>
  <si>
    <t>…deley y Londonden que en Finlandia no luy mas de 40 hombres de tropa de línea. derry, el conde Bathurst, el de Talbot, el de Liverpool , el vizconde •de Me'.ville, el de Sidmouth, lord Maryborough , el muy honorable BAVIERA. N. Vansittart, el muy honorable Carlos Bathurst, y el muy honorable Fred. Y. Robinson. Nuremberg 1 £ de Setiembre. óeeuh noticias de Francfort el Rey de Inglaterra se casará con un» En Grecia circulan dos proclamas, dirigidas ambas…</t>
  </si>
  <si>
    <t>Marza, Josef</t>
  </si>
  <si>
    <t>Josef Marza</t>
  </si>
  <si>
    <t>…hermosean la obra. plicadísimo el sumario , y constar de 2331 hojas; y han sido compren Hubiera bastado á la sociedad este examen para reconocí r el mérito de didos en el indulto D. Josef Marza y D. Manuel de la Rica, canónigos Martin; pero apeteciendo inteligcnciarse de cuanto era susceptible la de Burgos; Fr. Apolinar Iribarren y D. Pedro Muñoz, monges del ex habilidad de un artista , que jamas habia salido de España , examinó la tinguido monasterio de Mirado…</t>
  </si>
  <si>
    <t>Mas, Mariano</t>
  </si>
  <si>
    <t>Mariano Mas</t>
  </si>
  <si>
    <t>…éjafite procedimiento. Corís- D. Hilario Aíendinueta (O, D. Aíarcelino Casado. tantinopla seguía en una fermentación funesta. De Toion avisaban ha conde.de Goyeneche, alcalde cons D. Mariano Mas. ber entrado allí el r’8 la fragata francesa Louise Manto:se, procedente titucional de esta M. H. villa. Marques de Casa-Pizarro. dé Smirna , cuya tripulación aseguraba habér quemado los tiircos aquella D. Ignacio Perez Sarrio. Marquesa viuda de Villafranca,…</t>
  </si>
  <si>
    <t>Masaveu, Jaime</t>
  </si>
  <si>
    <t>Jaime Masaveu</t>
  </si>
  <si>
    <t>…aminarán cor la renda'de La impiedad. Nadie destacamento de 20 cazadores del regimiento do Toledo , mandados ignora cuan numerosos son estos malvados tan funestos para nues por su teniente D. Jaime Masaveu , bajo la dirección dél patriota Don tros tiempos, que se han conjurado contra el Señor y contra su Hijo Félix Sarasa, capitán retirado de la extinguida división de Navarra, y Jesucristo . v cuanto se esmeran particularmente en seducir á los Céle* *n compañía…</t>
  </si>
  <si>
    <t>Mascarela, Bartolomé</t>
  </si>
  <si>
    <t>Bartolomé Mascarela</t>
  </si>
  <si>
    <t>…ponsabilidad debían antes examinar el modo de proceder da Se mandaron pasar á la comisión de Poderes los presentados por aquellos individuos que hubiesen contravenido á las leyes. D. Bartolomé Mascarela, diputado electo por Cumaná y Nueva- Demostrado por consiguiente (continuó) que es legal el decreto Barcelona. de Marzo de 1813, y que en las facultades de las Cortes está el exa A la comisión de Instrucción pública una solicitud de varios ba minar la conduct…</t>
  </si>
  <si>
    <t>Masleer, Salvador</t>
  </si>
  <si>
    <t>Salvador Masleer</t>
  </si>
  <si>
    <t>…según el estado' presentado y archivado en el tribunal, aparece ser Acto continuo el Sr. secretario del Despacho de Marina pasó á D. Juan Pricer, D. Gaspar Lorent, D. Josef Plat. D. Salvador Masleer la memoria de su ramo. • tincla, D. Pedro Juan Bastard y D. Josef Puig; y se avisa para que lle El Sr. secretario del Despacho de Marina leyó la memoria de este gue á debido conocimiento de dichos interesados. ramo; concluida la cual, manifestó el Sr. preside…</t>
  </si>
  <si>
    <t>Mata, Pedro</t>
  </si>
  <si>
    <t>Pedro Mata</t>
  </si>
  <si>
    <t>ra alguna de dichas personas Reales * en el entre tanto se le D. Josef Baillo, D. Hilario Berso!, D. Pedro Mata y Don presentasen los artículos de la Constitución española , que Josef Chtcutnberri-cuñadería , cabo segundo ij. Pedro Gar citó, y que en todos los actos públicos y diplomas se aña cía Obeso: milicianos D. Máximo Bares. D. Migue! Cadiese á la palabra Rey la de con…</t>
  </si>
  <si>
    <t>Matamala, Pedro</t>
  </si>
  <si>
    <t>Pedro Matamala</t>
  </si>
  <si>
    <t>…ando, y se le descubrió su enredo. Juan Vieta se ofreció para inspeccionar los cadáveres D. Josef María . Otro periodista, que aun no quiere que Lima sea conquistada, la po Bauza, D. Pedro Matamala, capellán de milicias, D. Miguel Maza, ne en grandes apuros, y dice que era allí muy grande la carestía: el baritaliano, profesor de medicina, y D. Daniel Dolífus, extrangero, se ril de harina valia 60 pesos fuertes: el tocino y carne salada se hallaban ofrec…</t>
  </si>
  <si>
    <t>Mateo</t>
  </si>
  <si>
    <t>…trió rio D. Joaquín Sánchez, se cita, llama y emplaza á todos los tico de algunos individuos, y no tiene otros fondos que los acreedores y demas interesados en la testamentaría de D. Mateo donativos de los habitantes ae Nueva-Yorck. Arroyo, vecino que fue de esta corte, para la junta general que se ha de celebrar en la audiencia de S. S., establecida en el UEH.AS ARTES EN NUEVA-YORCK. patio de la territorial, en el día 24 y hora de las 9 de su…</t>
  </si>
  <si>
    <t>…corriente , que por medio de la gaceta y diario de esta Polifemo: » ¡Qué me falta! Tengo leche fresca en invierno y en ve corte se haga saber á ios herederos de D. Angel Leoncini, D. Mateo rano: mil corderos balan en mis anchas cavernas.” Sin embargo, es de Ibarra , D. Joaquín Fernandez Llano y D. Martin Planté , que en una inadvertencia en los viageros el comparar estas tribus ambulantes el termino preciso y perentorio de un mes, contado desde…</t>
  </si>
  <si>
    <t>…n se considere con derecho á tres ¡uros, cuyos privilegios se ¡no recogerán tilas que el desprecio á que se han hecho acreedores. han extraviado , uno de yo,000 mrs. en cabeza del capitán D. Mateo “__ La Ley , el Conservador, el Constitucional y otros varios escritores, Andrés Herrera sobre salinas de Atienza , núm. 15Ó ; otro de 75,0co quéaspiraron alaura popular por medio déla detracción y de'la'mas vil maravedises en la de Juan Herrera sobre-alcabal…</t>
  </si>
  <si>
    <t>…ón de la escuadra otomana se hizo á la el caballero Royet de Choléx: para el ministerio de Guerra y Marina vela el 20 de este mes desde las inmediaciones de Zame, con el objeto el caballero D. Mateo Des. Geneis; y ha sido confirmado el marques de desembarcar en Patrás por tercera vez. Algunos buques griegos que cru de Brignole en el empleo de ministro de Hacienda. zaban delante de Missolumai han sido quemados por los turcos. Ya no se habla de la escuadra gri…</t>
  </si>
  <si>
    <t>Matías</t>
  </si>
  <si>
    <t>…A los pueblos se halla contador de las cajas generales de México : para la de Durían cogidos todos los pasos del rio , me determiné á di rango al intendente honorario de provincia D. Matías de la rigirme al puebio de Alfocea, y no descansar hasta dar al Fuente, ministro contador de las cajas nacionales de la Con cance á los ladrones ; para cuyo efecto dispuse que algunos cepción de Chile , y nombrado intendente del egérciro con milicianos, cuyos…</t>
  </si>
  <si>
    <t>…4 uno llará en las librerías de Sojo , Villa, Brun y Orea; en las que se halla de 42 rs. y 7 mrs al convento de S. Francisco: sobre el 65 uno de rá también el manifiesto del mismo D. Matías ^Vinuesa para vindicar 102 rs. y 13 mrs. á la fábrica de S. Vicente: sobre el 79 uno de 11 su conducta-moral. rs. y 26 mrs. al convento de S. Pablo: sobre el 97 otro de 2 rs. y 1 2 ■ Colección de 12 estampas y su portada en cuartilla de papel de mar mrs. al h…</t>
  </si>
  <si>
    <t>…provincia (se A Ja de Infracciones de Constitución , con urgencia, una exposición gún se pudo entender) de Chimaltenango en el reino de Goatemala. de D. Manuel Linero, regidor, y D. Matías de las Morenas , síndico Se hizo segunda lectura del proyecto de ley sobre la libertad de ca del ayuntamiento de la villa de Osuna, provincia de Sevilla, queján zar; y el Sr. presidente dijo que se señalada dia para su discusión. dose de las infracciones de C…</t>
  </si>
  <si>
    <t>…otor fiscal y defensores de los reos, dijo: que por ios méritos que de halle en' estado de emprender un viage marítimo. la causa resultan debia de condenar y condenó al presbítero D. Matías „Mc doy el parabién de- que la honra que S. M. acaba de conferirme, Vinuesa á ro años á presidio en uno de los mayores de Africa, del dignándose encargarme en estas circunstancias el ministerio de Negocios que no pueda salir sin licencia del tribunal; á la oc…</t>
  </si>
  <si>
    <t>…Antonio Osteret, D. Francisco de Travesedo, D. Francisco depositarios ya de la confianza de sus convecinos , caminando al tem Antonio Pando, D. Francisco Izquierdo, D. Josef Brun, D. Matías plo á implorar del Altísimo que ilumine su entendimiento y separe de lavin, D. Ramón Adan y D. Ventura Rubio. él la pasión ó el error , para que desempeñando dignamente el ilustre P arroquia de S. Ildefonso , 18 electores. cargo de que están revestidos, pueda…</t>
  </si>
  <si>
    <t>Matilla, Manuel Santos</t>
  </si>
  <si>
    <t>Manuel Santos Matilla</t>
  </si>
  <si>
    <t>…ningún cuidado por ’nuestras mer de la misma diputación, comisionados al efecto; y en la de Toro á los caderías. La fuerte posición de nuestra ciudad, situada en úna penínsu Sres. D. Manuel Santos Matilla y D. Agustín Alonso, también in la , nos pone ai-abrigo de lodo ataqué por parte de tierra'; y' para liber dividuos de esta corporación, y comisionados’ igualmente, dentro del tar la rada y el-puerto de todo insulto- ¡tenemos aqui la Sapho, ber término de do dias, quienes' oirán…</t>
  </si>
  <si>
    <t>Mato, Manuel</t>
  </si>
  <si>
    <t>Manuel Mato</t>
  </si>
  <si>
    <t>…A la comisión de Instrucción pública pasó una exposición de Dolí "El Sr. Tapia dijo: » Apoyo en un todo la indicación del Sr. Gar Guillermo Valdivieso, el marques de Selvaalegre y D. Manuel Mato;, cía Page, pues sé por los taquígrafos de la gaceta que apenas se oye á vecinos de Quito, sobre la necesidad de que subsista aquella-univer los Sres. diputados del lado opuesto á este en que me hallo : por con sidad. . ... siguiente es preciso que haya mil i…</t>
  </si>
  <si>
    <t>Matri, Juan Muer Naci Hem Hem</t>
  </si>
  <si>
    <t>Juan Muer Naci Hem Hem Matri</t>
  </si>
  <si>
    <t>…o D. Josef Casimiro Nacidos. Muertos. monios.! Totales. Lavalle, en junta celebrada en 7 del corriente ante el Sr. auditor de guerra de esta capitanía general de Castilla la Nueva D. Juan Muer Naci Hem Hem Matri Sanmartín, acordaron entre otras cosas, se citase y emplazase bras. ¡Varonas. tos. monios* dos. bras. Varones. por último término á los acreedores y demás interesados ausen tes á la testamentaría del Sr. Lavalle, para que en el término de un mes, contado desd…</t>
  </si>
  <si>
    <t>Mattel</t>
  </si>
  <si>
    <t>Eí Sr. Mattel concluyó la primera lectura del reglamento interior secución de malhechores desde el i.° de Julio de 1820 hasta el presente, de Ce tes reformado. los individuos que se hallan separados del cuerpo y tuviesen derecho V orificado esto, se procedió, con arreglo a…</t>
  </si>
  <si>
    <t>…ue el primero de dichos El Sr. presidente dijo seguía la discusión sobre el dictamen ,dp seartículos necesitaba una explicación, y el segundo una reforma ; que Jo , .fioríos; y el Sr. Mattel, después de haber manifestado la-delicadeza de que proponía la comisión en el art. a.° le parecía contrario al cap. p.° la’materia de que se trataba, dijo que la Constitución misma declaraba del concilio de Trento, por dirigirse á privar la ordenación de los…</t>
  </si>
  <si>
    <t>…vine con el dictamen de la líticos y demas empleados. misma ; y protesto que en esto no llevé ínteres ninguno particular, y • Volvió la diputación- de palacio , y su presidente el Sr. Mattel dijo solo el del bien de mi patria. Es tan indudable' la necesidad que hay que S. M. habia recibido la diputación con la bondad que le es caracte de la división del territorio, que cualquiera razón que se dé para pro rística ; á lo que contestó el Sr. preside…</t>
  </si>
  <si>
    <t>…culares, y en la que se decide la victoria con la espada ó por prestigios Se leyó en efecto dicha ley. políticos ; ¡y ácuántos desastres nos conduciría esta ! Experimentaríamos El Sr. Mattel hizo la siguiente proposición, que fue aprobada des todos los horrores de la anarquía, y los hombres que apareciesen como pués de una corta discusión por 85 votos contra 58. héroes se sustituirían unos á otros todos ios días, devorándose como Sa w Pido á las…</t>
  </si>
  <si>
    <t>Matute, Justino</t>
  </si>
  <si>
    <t>Justino Matute</t>
  </si>
  <si>
    <t>…do su de este año por el diputado en Cortes D. Manuel López Capero,, en su patria, su fortuna &gt;y todo lo que les es mas amado, por buscar el Go nombre y como su apoderado especial D. Justino Matute, por injurio bierno de la gran Nación, y huir del intruso que detestan, no podemos sos y libelos infamatorios dichos impresos; la ley absolvió á D. Loren en medio de nuestra general desolación desentendemos de la justicia y zo Zamora, responsable de ellos , y…</t>
  </si>
  <si>
    <t>Matute, Pedro</t>
  </si>
  <si>
    <t>Pedro Matute</t>
  </si>
  <si>
    <t>…sco Orea, D. Josef Larreategui, D. Josef Perez Morales, D. Josef 7■ 5- 3- 34- Pío de Molina, D. Manuel García del Barrio, D. Marcos Cubilio, D. Mariano Valero, D. Nicolás de Puga, D. Pedro Matute, D. Ra Hay ademas cuatro sospechosos. fael Costa y D. Tomas Polo Catalina. Madrid l.° de Noviembre. Parroquia de S. Marcos, p electores. En el domingo próximo 4 de Noviembre se han de celebrar en toda D. Josef de Arca, D. Josef Huel, D. Juan Antonio Villarino…</t>
  </si>
  <si>
    <t>Mau-</t>
  </si>
  <si>
    <t>…ca , y que los principios liberales dominan sin resistencia en Sesión de Cortes del 2. la mayoría ilustrada de la Nación. Ei Sr. secretario leyó por segunda vez la proposición del Sr. Mau- El árbol de la libertad es una planta propia para prevalecer en el r:;io, relativa á las sesión.s extraordinarias; y te dzcitlu» que hubiese hermoso china de España , y asi se le ve echar tan profunda» raíces, U!1a el sábado de vita semana. y Jar tan tempranas y…</t>
  </si>
  <si>
    <t>Mauco, Juan Santiago</t>
  </si>
  <si>
    <t>Juan Santiago Mauco</t>
  </si>
  <si>
    <t>…por esta cordille Habiéndose extraviado en el año de 1809 dos vales de caja de te ra, y por el confin oriental de la mesa central, el golfo de Ñipóles, sorería general á favor de D. Juan Santiago Mauco, uno de • 4/5 2$ rs., de Romania , baña la dilatada y fértil, llanura, de, la,antigua Argolida, y otro de 9299 rs. , dados por D. Francisco Manuel de Bedova en 7 primer asiento de la civilización griega; y.que con motivo del hermoso de Abril y. 18 de Mayo del…</t>
  </si>
  <si>
    <t>Mauri</t>
  </si>
  <si>
    <t>…37.......... 100c................ Idem, forme conjeturas bastante desventajosas al considerar los principios que aquel profesa. A este efecto traen á la me moria algunos al famoso cardenal Mauri, gran defensor de los Borbones, y que luego supo acomodarse bellamente al. Se han vrecibido periódicos extranjeros con noticias que régimen del aventurero usurpador del trono. alcanzan , hasta el 26 de Diciembre las de Alemania; 1 -s de Londres hasta el 50, y…</t>
  </si>
  <si>
    <t>Maurocordalo</t>
  </si>
  <si>
    <t>…mo modo que a los naturales de Man- lísimo con una autoridad muyextensa. be había elegido con este objeto dingoi i Por qué no se obliga á los habitantes á permanecer cri paz, y al príncipe Maurocordalo : pero hasta ahora solo le lian reconocido por se permite que dos jóvenes talen un hermoso país: ¡Dónde hai.aran, los su comandante algunas tribus de griegos albaneses, y ios suliotas: la habitantes un abrigo? tpiensan acaso que los recibirán Fonta o las nego…</t>
  </si>
  <si>
    <t>Maurocordato</t>
  </si>
  <si>
    <t>…buena armonía que reina cutre los Mo y cuatro de lo; principales de Hidra forman un consejo permanente. El narcas , y de su constante solicitud por asegurar á sus Estados el goce príncipe Maurocordato , sobrino del rico príncipe lvaraza , recien lle de los beneficios de la paz, de suerte que sin tener las formas de un gado de Marsella á Morea con muchos oficiales alemanes y franceses, congreso reuniría poco mas ó «renos todas sus ventajas. ha tomado el man…</t>
  </si>
  <si>
    <t>Maximiliano</t>
  </si>
  <si>
    <t>…s días antes de la llegada de S. Al. á aquella capital habia publi JNuremberg 2£ de Mayo. cado el Diario de las Dos Sicd'-as un decreto del marques de Circello, Ayer llegó aquí el príncipe Maximiliano, que viene de Dresde. presidente del gobierno provisional, dado á consulta del ministro de Las noticias de Viena recibidas por un extraordinario manifiestan Policía, que contiene providencias extrañas. que habiéndose detenido el Emperador Alejandro tres días…</t>
  </si>
  <si>
    <t>Maximtano, Eramisto</t>
  </si>
  <si>
    <t>Eramisto Maximtano</t>
  </si>
  <si>
    <t>…el Sr. Antonio Teixeira Rebelloj llegar tiempo en que manifestase su opinión sobre este par para Negocios extrangeros el Sr. Anselmo Josef Bfaam— ticular. carnp; y para Marina el Sr. Eramisto Maximtano de El lord Grey habla hablado en favor de una absoluta Soasa. neutralidad en todos casos (el conde Grey no, no); de es £1 Sr. Pimentel propuso que se extendiese la fórmula del te principio resultaría todo menos la-neutralidad; pues si se juramento de la Regencia, y…</t>
  </si>
  <si>
    <t>May</t>
  </si>
  <si>
    <t>…s fragmentos manuscritos de los discursos de Cicerón, con piradores) que un Soberano que procedía contra los principios del aco los que quedarán completos los ya publicados por el profesor May. ran no merecia ocupar el trono, propuso. Cabaky que se:depusiese a-Selim, y se coronase á Musíala , hijo del Sultán Abdui-Hameth. Esta pro FORTUCAI, posición fue recibida con mucho aplauso, y los insurgentes trataron in Lisboa 11 de Setiembre.mediatamente de…</t>
  </si>
  <si>
    <t>Mayordomo, Genaro</t>
  </si>
  <si>
    <t>Genaro Mayordomo</t>
  </si>
  <si>
    <t>…e fue cultó al Gefe político y diocesano de León para la agregación de sus del batallón de Tiradores de Cádiz. religiosos; y que se supriman igualmente en Mayorga el de dominicos; Don Genaro Mayordomo, natural de la ciudad de Cuenca, y resi e'n Mánsiüa de las Muías el de agustinos calzados, y en Villalon el de dente que dice ser en esta corte. S. Francisco de Paula y el de dominicos, todos cuatro en la provincia Don Saturio Ceballos Escalera, natural de la…</t>
  </si>
  <si>
    <t>…o principal, manz. 312. do que fue de varios regimientos de infantería. D. Eugenio Luengas, graduado de subteniente, y cadete que fue del ANUNCIOS. batallón de Tiradores de Cádiz. D. Genaro Mayordomo , natural de la ciudad de Cuenca, y resi Tratado elemental de geografía matemática aplicada á la topogra dente que dice ser en esta corte. fía y parte militar: por D. Angel Laborde y Navarro, capitán de fra D. Antonio Luis de Ascárate, cadete que fue del 2.0…</t>
  </si>
  <si>
    <t>Maz</t>
  </si>
  <si>
    <t>…tazgo, se dijo par los Sres. de puede ser el cuerpo-de pilotos tan necesario como entonces. Desde el ja comisión que las facultades del Gobierno quedaban expeditas para tiempo del Sr. Maz3rredo y otros beneméritos marinos , los.efi Tales ss salirse de la terna cu ¡a elección , si lo juzgaba conveniente.. Ademas dedicaron mas á los cálculos y á la astronomía náutica ; y- desde enton ,«n el art. 77 no se trata de otra cosa mas que del orden -da-…</t>
  </si>
  <si>
    <t>Maza, Miguel</t>
  </si>
  <si>
    <t>Miguel Maza</t>
  </si>
  <si>
    <t>…ieta se ofreció para inspeccionar los cadáveres D. Josef María . Otro periodista, que aun no quiere que Lima sea conquistada, la po Bauza, D. Pedro Matamala, capellán de milicias, D. Miguel Maza, ne en grandes apuros, y dice que era allí muy grande la carestía: el baritaliano, profesor de medicina, y D. Daniel Dolífus, extrangero, se ril de harina valia 60 pesos fuertes: el tocino y carne salada se hallaban ofreció á cortar la epidemia si esta se dec…</t>
  </si>
  <si>
    <t>Mazarredo, Juan</t>
  </si>
  <si>
    <t>Juan Mazarredo</t>
  </si>
  <si>
    <t>…liza de samur, que concluyo que las Cortes deben preferir á Vigo para capital de esta y haciéndolo de otras cuatro algo inferiores al secretario D. Francisco provincia. Pvrez , al caballero D. Juan Mazarredo, que se halla en aquel país co El Sr. Quiroga dijo: Que apelaba á los mas imparciales para que mo viajante, á D. Salvador de Cea Bermudez, hermano del ministro</t>
  </si>
  <si>
    <t>Mctiteiro, Luis</t>
  </si>
  <si>
    <t>Luis Mctiteiro</t>
  </si>
  <si>
    <t>…pla) habían visto con complacencia qué de 40 años a esta naba entre la corte de Portugal y la de España. parte principian los griegos de Levante á salir del estado de entorpeci El Sr. Luis Mctiteiro desaprobó que la comisión diese el título de miento en que estaban tiempo há, y que los sugetos principales han encargado de Negocios á D. Josef María Pando , cuando creía que n© dado a su nación cierto impulso que se dirige á regenerarla*. Las fami tenia otr…</t>
  </si>
  <si>
    <t>Mctterních</t>
  </si>
  <si>
    <t>…a , y proceder sucesivamente á su ven na de 27 de Diciembre, que dice asi: «Ayer l.egl á esta ta. 11. En cuanto al modo de socorrer á los trabajadores , y capital desde Troppau el príncipe Mctterních, ma tana lle que continúen las obras, comenzadas, se establecerá un mé gará el Emperador y la Emperatriz , y el 30 el Emperador todo económico, el mas sencillo , con reglas invariables pa Alejandro: también están aquí el príncipe Hardemberg, el ra iinpedir ab…</t>
  </si>
  <si>
    <t>Me, Diego Antonio</t>
  </si>
  <si>
    <t>Diego Antonio Me</t>
  </si>
  <si>
    <t>…Partido de Cuenca D. Cayetano Izquierdo. D. Josef Royo Cantos. lución , y sin suspender las diligencias de lectura y cotejo, que en el D. Andrés Villora. D. Juan Francisco Sierra. D. Diego Antonio Me término de 24 horas después de la notificación nombre cada uno un na. D. Nicolás Escolar y Noriega. defensor suplente , que deberá ser de los mismos que defienden á otros Partido de S. Clemente D. Josef del Campo Moragon. D. Josef Vi reos, ó de ios demas mili…</t>
  </si>
  <si>
    <t>Me, Pedro</t>
  </si>
  <si>
    <t>Pedro Me</t>
  </si>
  <si>
    <t>…s, y en adelante contará Otro trozo de tierra,en el mismo partido, linda con lás cada año con la asignación de 20S. Los católicos alemanes de Andrés Martínez, acequia de Domingo y D. Pedro Me han tratado también de reunir sus esfuerzos á los de los diavila, su cabida 3 tahullas, 4 ochavas y una braza, en protestantes , y han formado una sociedad en Ratisfcona . en 6307 rs. donde obran de común acuerdo los ministros de ambos Otro trozo de tierra mo…</t>
  </si>
  <si>
    <t>Me-</t>
  </si>
  <si>
    <t>…ste artículo parece que ha sacado sus memorias acer murió después de 66 dias dé ayuno (no contando los cuatro dé que ca de la situación política de la España de la cartera (1) del cura Me-‘ hemos hecho mención), durante los cuales no lomó sino un poco de riño ó de la del pastor Zaldivar. Mejor informado, y menos olvidadi agua caliente. Su cuerpo., como se deja fácilmente.entender , estaba en zo, hubiera hallado en el discurso del Rey, al cerrar…</t>
  </si>
  <si>
    <t>Mealegro</t>
  </si>
  <si>
    <t>…i no naciones para que sea una fuente de riqueza del Estado. En cuanto á la habia, no debía gravarse á los pueblos. “. formar un nuevo arreglo de sueldos, no soy de la epinion del señor Mealegro mucho de que el plan general de Hacienda se discuta Moreno Querrá , porque después de ser una economía insensible en el antes que se. presenten los presupuestos de gastos , porque es necesario presupuesto, seria indispensable que se pagase á los empleados con…</t>
  </si>
  <si>
    <t>Meca, Amonio Perez de</t>
  </si>
  <si>
    <t>Amonio Perez de Meca</t>
  </si>
  <si>
    <t>…ai de Alfaro. Mosca ni del Archipiélago. Por la provincia de Murcia. D. Josef Rodríguez Paterna ; D. Juan __El príncipe Demetrio ípsilanti dejó el mando de la Motea , porque Alix; D. Amonio Perez de Meca; D. Bonifacio Sotos; D. Ramón sus tropas insubordinadas degollaron á varios prisioneros turcos , á quie Reille. Suplentes. D. Bartolomé Cei Castiiio; D. Josef Aguilur. nes había ofrecido su protección. Con este motivo se embarcó para Hidra, Por la provincia ¡…</t>
  </si>
  <si>
    <t>Mecrimen</t>
  </si>
  <si>
    <t>…de varios artículos de la ley de 26 de Abril de este año. ce que será mejor que se contenga á un individuo el que cometa un El Sr. presidente nombró para ia comisión de Guerra al Sr. Mecrimen , de lo cual resulta un bein-Gcio á él y á la sociedad en gene drano. ral , que no el que lo egecute. Pero ia comisión no llega á usar de Las Cortes oyeron con satisfacción la comunicación que las hacia este freno, digámoslo asi, porque en el código no aplica…</t>
  </si>
  <si>
    <t>Medaño</t>
  </si>
  <si>
    <t>…y los que las delitas; pero no veo la calificación de las culpas; lo que veo es delitos constituyen verdaderamente tales.” calificados por penas que no son tales, sino culpas. EL Sr. Medaño dijo que ayer , estando ya levantada la sesión, se De consiguiente yo veo que no hacemos mas que perder el tiempo, recibió el aviso del Gobierno de que en el dia anterior SS. M\í. y A A. tratando de definiciones que ya se aprenden en las escuelas , y pido que…</t>
  </si>
  <si>
    <t>Mediano</t>
  </si>
  <si>
    <t>…an.__Otra de 2 celemines,desegundaid , en den resultar de él, suplica á las Cortes se sirvan aprobarlo.. Salcedillo, en venta 68 rs., yen renta ur cuartillo de pan—Unacasa, El Sr. secretario Mediano leyó de orden del Sr. presidente .dos ofi hablada por el padre prior, en venta 5© rs. , y en renta 6 fanegas de cios del Gobierno: con el primero se remitían la primera parte del pro pan.^_Üña huerta, de una fanega, de primera calida-', enfrente de yecto de b…</t>
  </si>
  <si>
    <t>…s que no han recibido En seguida el Sr. secretario del Despacho entregó !a carta ai señor á un gran número d-r etlo. parque no tenían armas; tampoco gustan de presidente, y el Sr. secretario Mediano la leyó, la cnai estaba .or.ee¡os jovenes que no hayan estado nunca en la guerra. Las intrigas de bida en estos términos : los agentes extraageros , que ¿iau sido causa de que se les haya desgra- » A las. Coi tes: Cou la mayor amargura de mi corazón he sabido…</t>
  </si>
  <si>
    <t>Medici</t>
  </si>
  <si>
    <t>…ey de Ñapóles no habia querido que se le presentara el ex-r igual instituto , que se suprime; y en Vilialpando el de franciscos, tras ministro del Interior del reino de Nápoles el Sr. Medici, que se halla ladando á él dos religiosos del de Aguiiar deCampos. S. AI. ha tenido ba refugiado en Roma desde el principio de la revolución. á bien resolver que se supriman también en Toro el de agustinos, el de En Nápoles continuaba el rigor y la severidad…</t>
  </si>
  <si>
    <t>…o de Negocios ex 600Q onzas (cada onza viene .1 ser unos eo rs.), y si se tiene presente tranjeros Continuamente se envían pliegos á varios ministros que ss que el presupuesto de! ministro Medici había dejado un déficit de 5 2S) hallan futra de la ciudad. onzas: que hay una gran disminución en los p odnetos del sello, del __En las islas Jónicas , con especialidad en Corfú , no se oye hablar registro y de las hipotecas, porque hay menos v mas y menos p…</t>
  </si>
  <si>
    <t>Medicís</t>
  </si>
  <si>
    <t>…o como estaba por 44 votos contra 37. » Se trata de mudanzas de ministros en Nápoles, y de que volverá Art. 79. » Desde el dia en que se presenten á la diputación perma i serlo el Sr. Medicís, á pesar de la oposición del duque de Calabria. A nente hasta el es que se*-acaben las sesiones gozarán el sueldo que se los diarios censurados no se les permite confesar que la Sicilia está en hubiere designado por las Cortes en el segundo año de la .anterio…</t>
  </si>
  <si>
    <t>Medina</t>
  </si>
  <si>
    <t>…enientes. Lo El Sr. Échavarria apoyó esta indicación , y quedó aprobada. j que se anuncia al público para noticia de los que gusten concurrir á Se leyó la siguiente indicación del Sr. Medina, que decía asi: disfrutar unas aguas tan saludables, y cuyos buenos efectos, con espe «Habiéndose nombrado una comisión para que se ocupase en presen cialidad para cierta clase de enfermedades, son tan conocidos y prodi tar á la deliberación de las Cortes las…</t>
  </si>
  <si>
    <t>…se remitió este expediente, y ya oficio. también porque el asunto es de la mayor importancia; y asi desearía que Después de una breve discusión se acordó por las Cortes que vol el Sr. Medina suspendiese esta indicación, porque me parece no hay viera á Ja comisión Ate artículo. motivo por ahora para hacer innovación en este asunto. El Sr. Medi Art. -12. «Todas las personas que ocupen los gefes en sus oficinas, na dijo que retiraba la indicación. y…</t>
  </si>
  <si>
    <t>…cusiones pen diputación provincial de dicha provincia. dientes. El Sr. Giraldo dijo que esta determinación le parecía muy acerta Se leyeron por segunda vez tanas proposiciones del Sr. Medina, re da , y deseaba fuese extensiva á las demas audiencias ; y se aprobó el lativas á la abolición del pago de ciertos derechos que se exigen en va dictamen con la adición referida. * rias provincias de la España ultramarina, y se mandaron pasar a las co- Se l…</t>
  </si>
  <si>
    <t>Medina, Joaquin</t>
  </si>
  <si>
    <t>Joaquin Medina</t>
  </si>
  <si>
    <t>…presentaba á 'la deliberación de las Cortes los.;',trésisá^ículds,si-D,. Juan Guell, D. Ignacio Mora ,■ D. Josef Alaría Moreno , D. Josef guientes: 7xoc:. íc:--’-v; María Jiménez, D. Joaquin Medina y D. Domingo Sánchez, diputa - i.° Que se diga al Gobierno se informe del R.imincio d¡&gt;¿S. S. eii dos por varias provincias de Ultramar. esta corte, si exige para lá secularizacioíXdédós reguláres las'causas'dé A la comisión de Instrucción pública se mandó pasar la exposición tra…</t>
  </si>
  <si>
    <t>Medina, Josef</t>
  </si>
  <si>
    <t>Josef Medina</t>
  </si>
  <si>
    <t>…e una materia tan. denaleros. Iicsdn. A las de Infracciones de Constitución y Legislación otra exposi En seguida se acordó se leyera dicho dictamen , lo cual se verificó.' ción de D. Josef Medina, alcalde constitucional de Tresjuncos , que Se tuvo por primera lectura, y se mandó imprimir el dictamen de jándose de la infracción de Constitución cometida por D. Ignacio Ro la comisión Eclesiástica. ' dríguez de Fon seca, Gefe político de la provincia de C…</t>
  </si>
  <si>
    <t>Medina, Mateo Hernández de</t>
  </si>
  <si>
    <t>Mateo Hernández de Medina</t>
  </si>
  <si>
    <t>…rador con poder bastante , d usar de su derecomercio. En Gandía en la de D. Alejo Clavier , de: idem. cho en ios autos que sigue en el mismo D. Josef Agustín Va-En Zamora en la de D. Mateo Hernández de Medina, de llester, vecino y dél comercio de Vinaróz, con D. Joaquin Meid. En Valencia en la de D. Bernardino Pesseto ; y en San seguer , de la propia vecindad , sobre pago del importe de 79 bar tander en la de D. Antonio de JaCuesta, boticario. En cu riles de-harin…</t>
  </si>
  <si>
    <t>Medina, Tadeo Diez de</t>
  </si>
  <si>
    <t>Tadeo Diez de Medina</t>
  </si>
  <si>
    <t>…que veia el pueblo esta A la de Ultramar y Hacienda unidas una exposición de D. Ambro clase de causas dependía ó de la complicación de las leyes, ó de la sio Guerra, apoderado de D. Tadeo Diez de Medina , vecino de la Paz, mala administración de (justicia; que esta clase de delitos era la que manifestando no habérsele querido liquidar en aquella ciudad un fon mas convenia castigar; que veia que las causas se complicaban en mu do vitalicio por no haber presen…</t>
  </si>
  <si>
    <t>Medrano</t>
  </si>
  <si>
    <t>…bre los montes de aquella ciudad. Sesión del dia ig de Marzo. El Sr. diputado Díaz Morales presentí) varias propuestas para la Aprobada el acta del dia anterior, se le concedió al Sr. Medrano marina militar de España, hechas por un sugeto que reservaba su el permiso que solicitaba para acercarse al Gobierno ¡í tratar asuntos nombre, ambicionando solo contribuirá la prosperidad de su Nación. particulares. Las Cortes las recibieron con agrado, y man…</t>
  </si>
  <si>
    <t>Médrano</t>
  </si>
  <si>
    <t>…o -Rey de Cerdeña que .dejamos publicada, y bía. Jlésémpeñado su encargo. .... : que según,se ve fue hecha en.Módena á 23 de Marzo, no pudo sin em ’Se:continuó la discusión, .y el Sr. Médrano hizo una modificación bargo .publicarse en Turin hasta el día 30. Esta pesadez en circunstan én este ¿rtíciÜo, -'.y lo ."presentó en los ..términos siguientes: „ Los cias^ tan apuradas hace conocer que aquel nuevo Monarca no tiene muy ájjiritamienios de los p…</t>
  </si>
  <si>
    <t>…ue estas exposiciones esta que sigue : ■ ban en la comisión de Aranceles, retiraron la proposición sus autores. Articulo comunicado. —St. editor: „ Jamas con deliberación y co 1*1 Sr. Medrano leyó el siguiente oficio del Sr. secretario de la Go nocimiento atenté de palabra ú obra contra la vida política dé mis se bernación de la Península , fecha 1 2 de! corriente , que decía asi: mejantes; y si fatalmente -alguna vez equivocado ó sorprendido he »…</t>
  </si>
  <si>
    <t>…e mandaran quedar sobre lo contrario por los Sres. Yandiola, Oliver y otros Sres. diputados, -la mesa. . añadiendo que saliendo un millón cada dia de la casa de moneda, que El Sr. secretario Medrano dijo que ayer habiéndose ya levantado la acaso dará mas, quedaban destruidas las objeciones que se habian hecho sesión habia recibido la secretaría un ofieiVdél Sr. ministro de la Go sobre este particular; y últimamente que la medida propuesta era muy bernaci…</t>
  </si>
  <si>
    <t>…para resolver, oyendo dictamen de la comisión , se declaró) este asunto suficientemente discu i h junta d rrctiva, cualesqui :ra dudas qu- se suscitaren en la egecucion tido, y el Sr. Medrano manifestó) que según lo que habian expuesto de e-te decreto” en lugar ¡le acuerdo , cuya palabra debía suprimirse. los Sres. de la comisión , se pondria á votación la siguiente parte del ' El Sr. Azaola dijo que ia comuion no tendría ningún inconve- artículo…</t>
  </si>
  <si>
    <t>Medrano, Manuel Ros de</t>
  </si>
  <si>
    <t>Manuel Ros de Medrano</t>
  </si>
  <si>
    <t>…a de este dia. Valencia ra de Junio. Sesión del g. Se ha publicado en nuestro diario la siguiente pastoral: El Sr. presidente dijo que noticiaba al Congreso, en nombre del se JVbr D. Manuel Ros de Medrano, por la gracia de Dios y de la Santa ñor Borges Carneiro, que estaba redactada y corregida la Constitución, Sede apostólica obispo de Tortosay su diócesis &amp;c. y se acordó que se mandase imprimir, y luego se repartiese para su dis A nuestro ■venerable clero, y…</t>
  </si>
  <si>
    <t>Medrano, María</t>
  </si>
  <si>
    <t>María Medrano</t>
  </si>
  <si>
    <t>…edidas qué en iguales casos se han -adoptado ett aquel to de 31 de Agosto último. • pais. Quedó aprobada. .................................. ... A la de Hacienda una exposición de Doña María Medrano, viuda, Lo mismo se verificó con otra del Sr. Gisbert, que decia: Que solicitando el perdón de cierta cantidad que dejó en descubierto su las Cortes declaren que no debe ponerse pedimento para ios juicios de difunto marido, procedente de la venta de bulas; y…</t>
  </si>
  <si>
    <t>Medrauo</t>
  </si>
  <si>
    <t>…activas , no puede haber duda sobre este asunto; fe, asegurado dé la conducta del regimiento, se la diera. y no puedo menos de decir con.la franqueza que me es característica, El Sr. Medrauo expuso: Efectivamente el águila no la tienen los que estrafio que el consejo de Estado haya dudado, poique no es moti franceses mas que en el primer batallón, y los demas tienen una ban vo para ello el que se declarasen las milicias como tropa de línea, dera,…</t>
  </si>
  <si>
    <t>Medroes, Abad de</t>
  </si>
  <si>
    <t>Abad de Medroes</t>
  </si>
  <si>
    <t>…ta consecuen El Sr. Annes dijo que debería hablar solamente con los que ataca cia : que es preciso proscribir á los que no la profesan; y ia Si. Par- sen la moral universal , y el Sr. Abad de Medroes manifestó que nin thelemy, la revocación del edicto de Mantés, el sitio de la Rochela, las gún escritor diría que era injusto lo que prohibían los mandamientos de ¿vagonadas, las degollaciones de Cubrieres y de Merindolles vendrán la ley , y que solo contra e…</t>
  </si>
  <si>
    <t>…- ofrecido, y debía libres, Libertad , igualdad /.propiedad, tales son los derechos que anal izó? cumplirse. y humanidad y justicia- los deberes que consignó. Defender pues ta» El Sr. Abad de Medroes dijo que no se necesitaban mas tropas en caros intereses y llenar deberes tan sagrados es, milicianos, vuestro de Rio-Janeiro, porque allí había regimientos de línea, milicias de infan ber, les dijo el.digno párroco con una vehemencia extraordinaria. EL tería…</t>
  </si>
  <si>
    <t>Megías, Juan</t>
  </si>
  <si>
    <t>Juan Megías</t>
  </si>
  <si>
    <t>…orden con el título de cisco García Aicaráz, id.: D. Josef López Pareja, id.: D. Josef Mar Orden de la Constitución para premiar á los beneméritos de la patria tínez Camacho, id.: D. Juan Megías, id.: D. Josef Abellan , id : Don por servicios constitucionales. Domingo Gijon y Vaca , id.: D. Josef Palacio, id.: D. Tomas Ibañez, El Sr. presidente dijo que estando ya casi impresa la Constitución, id. : D. Josef Guerra, id. : D. Diego Pulido, id.: D. Fel…</t>
  </si>
  <si>
    <t>Mehemed</t>
  </si>
  <si>
    <t>…mbos sexos, los cuales establecimientos están com píre, rina^ion los persas , y que es para ellos de mucha devoción. Ha si prendidos en esta ley.” do una equivocación decir que el príncipe Mehemed se habia declarado Artículo adicional. » Las juntas de beneficencia promoverán la* independiente del Rey su padre , pues este , que tiene unos 140 hijos, los instituciones piadosas que tengan por objeto el alivio de los presos en mantiene á todos en una rigor…</t>
  </si>
  <si>
    <t>Meid, Joaquin</t>
  </si>
  <si>
    <t>Joaquin Meid</t>
  </si>
  <si>
    <t>…o Clavier , de: idem. cho en ios autos que sigue en el mismo D. Josef Agustín Va-En Zamora en la de D. Mateo Hernández de Medina, de llester, vecino y dél comercio de Vinaróz, con D. Joaquin Meid. En Valencia en la de D. Bernardino Pesseto ; y en San seguer , de la propia vecindad , sobre pago del importe de 79 bar tander en la de D. Antonio de JaCuesta, boticario. En cu riles de-harina, y-áatisfác'er de ellas la suma de40,140 es., que ya ciudad han s…</t>
  </si>
  <si>
    <t>Meihor, Márquez de Gástelo</t>
  </si>
  <si>
    <t>Márquez de Gástelo Meihor</t>
  </si>
  <si>
    <t>…í al conde de Westmoreland, al du .votos: el Sr. conde de S. Payo por 40: el Sr. Jon-fi de que de VVellington , al lord canciller, ai lord Liverpool &amp;c. Silva Carvalho por 43 : el Sr. Márquez de Gástelo Meihor Luego que S. M. se sentó en el solio, fue el ugier, lla por 41; y el Sr. Souto-Mayor, el cual habiendo salido em mado de ia vara negra, á avisar á ia Cámara de los Comu patado con el Sr. Manuel Antonio da Fonseca, decidió la nes para que ptea-e á ¡a de los Lores, y…</t>
  </si>
  <si>
    <t>Mejía, Francisco</t>
  </si>
  <si>
    <t>Francisco Mejía</t>
  </si>
  <si>
    <t>…genal, dictada en ri del corriente mes en los autos de oficio so la lista de las comisiones que se hayan nombrado. En seguida se dará bre el fallecimiento intestado del presbítero D. Francisco Mejía, se cuenta en extracto de los trabajos preparados por la Diputación peima-" ha mandado que respecto á ignorarse el paradero del presbítero Don nenie, para que pasen á las comisiones respectivas. Art. 82. En el si-- Juan Mejía, hermano del difunto, y ser neces…</t>
  </si>
  <si>
    <t>Mel-</t>
  </si>
  <si>
    <t>…iembre volvia á hablarse generalmente en Lóndres de y en vez de acceder á esta solicitud prendieron á dicho cónsul, quien que Mr. Canning entraria en el ministerio reemplazando al lord Mel- mandó salir inmediatamente del puerto á un buque francés que ar ville__ Según noticias de América, que en la misma fecha corrían en ribó cuando él se hallaba preso , para que no se expusiera á tropelías. iqueila capital, se proclamó la independencia de Lima e…</t>
  </si>
  <si>
    <t>Melchor</t>
  </si>
  <si>
    <t>…S. A. R. i.° de Setiembre de i808,.encabezados- en favor, del‘ Sr. mar el Duque de Angulema contestó en los términos mas aten ques d.e Castelfuerte, y sus últimos endosos en el de D. Melchor eos á uña carta que en el año. pasado' le dirigió ,1a sociedad Sanzol , núms. 231,597, 533,414, 237,193, 2.39,38 I, 247,666 bíblica de Londres. y 249,130 :.ün vale' dinero’del notado valor.y creación , encabe En el primer aniversario de la soriedauJ. bíblica…</t>
  </si>
  <si>
    <t>Melchor-Mayor</t>
  </si>
  <si>
    <t>…. los! pode Otra de D._ Alejandro Culebra, médico, vecino de Tuy,"contra el res concedidos á la- Regencia 'eiatf muy'distintos de los qué se han alcalde constitucional de la misma D. Melchor-Mayor, por haberse «fe dar al Rey, y que el citado nombramiento era el mas inconstitu negado á un juicio de conciliación.; | cional que podía hacerse. &lt;.;77 D. Santiago Moreno, abogado de Goatemala, quejándose de aque- 1 .. El'Sr. Borges Garneiro recordó que todos…</t>
  </si>
  <si>
    <t>Melendez, Andrés</t>
  </si>
  <si>
    <t>Andrés Melendez</t>
  </si>
  <si>
    <t>…e este aviso, acudan ¿dicho supremo tribunal por la escri la Arcadia la esceiia de sus descripciones tan sencillas como graciosas; banía de Cámara al cargo del secretario de 5. M. D. Andrés Melendez pero con el trascurso de los tiempos ha vuelto el Peioponeso al estado á otorgar los dos primeros las correspondientes escrituras de retroventa de Ja naturaleza inculta. á favor de la Hacienda pública de los respectivos oficios de corredores Aun si este fuese…</t>
  </si>
  <si>
    <t>Melgarejo, Francisco Fernandez</t>
  </si>
  <si>
    <t>Francisco Fernandez Melgarejo</t>
  </si>
  <si>
    <t>…ruina de su población , que empezó por la emigra La milicia nacional estaba formada en la plaza á las ordene* ción de los habitantes cjue siguieron á su Príncipe, ó trataron de su comandante D. Francisco Fernandez Melgarejo; y al de sustraerse: á la desconfianza suspicaz y á la persecución tiempo de descubrirse la lápida la saludó con una descarga, sistemática del enemigo, se aumentó por las dos funestas desfilando después por delante de ella, y saludándola con el invasiones de…</t>
  </si>
  <si>
    <t>Melgases, Alfonso</t>
  </si>
  <si>
    <t>Alfonso Melgases</t>
  </si>
  <si>
    <t>…ras partes de sus concolegas. elegidos D. Rainon Romero, médico; D. Diego Moreno, de Alcan Esta remoción no le impedirá el poder ser reelegido en lo futuro.” tarilla, propietario; D. Alfonso Melgases, de Carabaza, propietario; y Se descebó la proposición del Sr. Vascoucellos sobre .que si algún D. Francisco de Alpera, idem. diputado fuese elegido por soborno del poder egecutivo , fuese inme Játiva 9 de Noviembre. diatamente echado del Congreso. Han sido n…</t>
  </si>
  <si>
    <t>Mellar, Antonio</t>
  </si>
  <si>
    <t>Antonio Mellar</t>
  </si>
  <si>
    <t>…en consideración á los servicios de su marido le fue señalada en 18 íq. solamente era contrario al ínteres de la Nación , sino también al de ¡os A Ja misma pasó otra solicitud de D. Antonio Mellar, que pide particulares, y sobre todo al hor.cr.de muchas familias; por lo que se le continúe pagando la asignación de 83 rs. que por Real orden de 2U pedia que las Cortes tomasen en consideración este asunto, y que se de Diciembre de r8i£&gt; debia percibir en A…</t>
  </si>
  <si>
    <t>Meló, Lucas</t>
  </si>
  <si>
    <t>Lucas Meló</t>
  </si>
  <si>
    <t>…ortante salud.*' Sesión de Cortes del 16. Han sido electos diputados á Cortes por la provincia de Burgos Se continuó la discusión del párrafo del art. 98 del proyecto de los Sres. D. Lucas Meló, presbítero y catedrático de lógica en .Ma Constitución sobre la elección de presidente de la diputación perma drid : D. Manuel Florez Calderón, secretario de la dirección general nente de Cortes que se hallaba pendiente; y después de una1 larga dis de estudi…</t>
  </si>
  <si>
    <t>Melville</t>
  </si>
  <si>
    <t>…tarse sin incur esparcido ayer ei rumor, y nosotros lo tenemos por bien fundado , de que rir en la pena de falso testimonio. Condenado por solo el dicho d: un •1 lord Harrowbv, el vizconde Melville y ellord Sidmouth han hecho relator en un tribunal inferior , sede remitía á una de las salas del Par dimisión 'de1 sus empleos : y se señala á Mr. Canning para reemplazar lamento , algunas veces á mas dé too leguas de distancia. al lord Melville en el almira…</t>
  </si>
  <si>
    <t>…al como era cuando la mirantazgo, con facultad para elegir por sí mismo los demas individuos presentó por primera vez á la Francia. Bien sabéis vosotros mismos de aquel cuerpo. El lord Melville tendria á su cargo el despacho de lo que si se exceptúa este recinto, en cualquiera otra parte es peligros» Interior. El lord Sidmouth se retirana, conservando sin embargo el hablar de elia; y acaso debe atribuirse á este motivo el no haberla destino de canci…</t>
  </si>
  <si>
    <t>…n esas resoluciones, creería estar en medio de asesinos y desalmados ! triste triunfo de un partido , y justa desesperación de ia razón. Después de haber hecho algunas reflexiones lord Melville y el conda «Si los periódicos fuesen libres, cada cosa estaría en el lugar que le de Carnavon, fue desechada la proposición, y admitida la adición. corresponde. Los periodistas dirian lo que deben decir como, tales, y los diputados hablarían como diputados. F…</t>
  </si>
  <si>
    <t>…para el despacho de la Justicia, lord Westmorclard será chambelán, ponía los siguientes artículos, que después di varias observaciones he M. Canning primer lord del almirantazgo, lord Melville gobernador chas por el Sr. üliver fueron aprobados, y estaban concebidos en esto* general de la India, el marques de Buckingham lord teniente de Irlan términos : da.:_.Los disturbios de Irlanda están lejos de apaciguarse; 2 ó) gD Art. i.° » Que el puerto del…</t>
  </si>
  <si>
    <t>Membrede</t>
  </si>
  <si>
    <t>…onocida sobre el sistema constitucional. Si la Prusia da tan no- dia no hahia en el salón treinta diputados. lile egemplo, no creemos que será perdido; y la Atenas de Alemania, El Sr. Membrede , que hacia de presidente, manifestó "que no podía Saxonia, que no necesita mas que un leve impulso, aprovechará este haber sesión por falta det número necesario de vocales para'tfetibe— momento favorable para ponerse al nivel con las demas potencias da rar;…</t>
  </si>
  <si>
    <t>Mén</t>
  </si>
  <si>
    <t>…nacionales aplicados al Crédito público , que se cantidades que se les han señalado para su contribución directa, v mu mandaron pasar á la comisión especial de Hacienda: otra del Sr. Mén cho menos podrán pagar el sobrecargo de 5 millones y tantos mi! rs. dez sobre casas de expósitos en las provincias de Ultramar . que se á que asciende los ido9 á un 3 por too. Por otra parte estos millones mandó pasar á la de Beneficencia; y otra del Sr. Argu…</t>
  </si>
  <si>
    <t>Menacho</t>
  </si>
  <si>
    <t>…tica ó del párroco mas antiguo, de un Gómez de-Lara, D. Josef del Hoya, administrador de rentas estanca individuo de la.diputación provincial, dos del ayuntamiento, dos ve das, el teniente Menacho y varios oficiales del segundo de Cataluña cinos iiusirados y de probidad , y dos profesores , uno de medicina y otro son los oradores que instruyen al puebio en su dignidad y en las leyes de cirugía de los de mas opinión. Exceptúale de e»ta regla en cuanto a…</t>
  </si>
  <si>
    <t>Mencía</t>
  </si>
  <si>
    <t>…anuel; der tierras de sus propios para acudir á los gastos municipales ; otra pero sus argumentos fueron tan débiles , como lo son siempre los de deFayuntamiento constitucional de Doña Mencía, provincia de Cór quien defiende una causa perdida y_ condenada por la justicia, la razón doba, en que solicitaba se Je concediese la venta de 16 fanegas de tierow *-.«., ••.c p**.&lt; c— ,4.,-as» i«*oi.,.. «- ¿«ál___vt&gt;. j lAÍd ~&gt; au1, ..&gt; caUUtia,1,4 »»»j ..j…</t>
  </si>
  <si>
    <t>Mendaz</t>
  </si>
  <si>
    <t>…no-originarios de Africa, las Cortes:no pueden decidir lo, porque si no tienen esta cualidad, deben ser ciudadanos ; y si lo som, , iSesián del día II. r :• .. la proposición del-Sr. Mendaz es contraria á lk Constitución. . ¡ - ‘ Se leyó y aprobó el acta de Ja;anteríor. .r Despüe-s de úna larga discusión se declaró no haber .lugar á. votaE A la comisión especial de Hacienda se mandó pasar una consulta acerca de dicha proposición. - - - - ~... de…</t>
  </si>
  <si>
    <t>Mendez</t>
  </si>
  <si>
    <t>…e ley. sión acordaron las Cortes quedase sobre la mesa (.véase el suplemento'), Si se trata de que siga la discusión de este artículo, digo que no de acerca de los que presentó el Sr. Mendez, los cuales fueron aprobados ben presentarse los títulos ante los jueces de primera insranc a, porque después de una corta discusión; no son hombres que puedan responder de los ataques de los señores y La comisión de Legislación, en vista de la exposición de…</t>
  </si>
  <si>
    <t>Méndez</t>
  </si>
  <si>
    <t>…alarea y Martínez £t&gt;. Javier) , contrarios á Ja resolución de las gada de carabineros que lo soliciten , aunque hayan perdido su tiempo.” Cortes, en que aprobaron los poderes del Sr. Méndez, diputado por la Se aprobó una indicación de los Sres. Cepero, Cavaleri , Vecino, provincia de Sonsonate. Zapata , Azaola y García'"? D. Antonio ) &gt; que decía asi : &gt;1 En aten Las Cortes quedaron enteradas de un oficio del Sr. ministro de la ción á lo resuelt…</t>
  </si>
  <si>
    <t>…s tíe las pro miliarizados con los hábitos análogos al nuevo sistema de Gobierno, vincias de Ultramar. pueden aun darles alguna débil esperanza de llevar al fin sus intentonas, El Sr. Méndez hizo una indicación relativa á que sin pérdida de ' también deben conocer que el pueblo español es por naturaleza dema tiempo se quemasen las causas que hubiese formado el extinguido tri siado despierto para dejar de conocer las infinitas ventajas de que afor…</t>
  </si>
  <si>
    <t>…ánchez Salvador, relativa á que las Cortes ex sente legislatura.” citen i la comisión de Milicias para que presente á la mayor brevedad Se leyó por primera vez una proposición del Sr. Mendez, relativa sus trabajos acerca de! levantamiento de milicias provinciales en las pro á que á fin de evitar arbitrariedades, y que no se prive en lo sucesivo vincias que no las tienen, y el repartimiento que corresponde con res del derecho de ciudadano á los mu…</t>
  </si>
  <si>
    <t>…gar del capital reconocido de 31 millones J3¿O florines deben empezarse á pagar'desde 11 de Setiembre dia de la fecha del decreto, ó desde á los autores de aquellos atentados.” El Sr. Mendez presentó una memoria del estado político y eclesiás Enero de 1820, ó desde 9 de Marzo como propone la comisión. tico de la capitanía general de Guatemala; las Cortes la recibieron con La razón mas fuerte que puede darse para que„se pague, solo en adelan aprec…</t>
  </si>
  <si>
    <t>…lla-provin.cia por-no estar biemmarcadas las atríbücio— sentan en el Congreso.” nes de estos y las de las diputaciones, y solicitando se declare el de Se aprobó upa indicación del Sr. Mendez, relativa á que se-pidie creto de las Cortes de 23 de Junio de 1813. sen al Gobierno todos los antecedentes acerca del monte pió de cose Se dió cuenta de una exposición de distintos ciudadanos de Barce cheros de añil en la provincia de Goatemala, por el cual…</t>
  </si>
  <si>
    <t>…ciones rudas é ignorantes de oficina.de la Hacienda pública. nuestra provincia y de fuera de ella , incapaces de entender las verdades, Se leyó por primera vez una proposición del Sr. Méndez para, que que son las reglas de Ja mas sana moral , y los deberes de un hombre se declarase que los caudales destinados á la formación de distintos en sociedad. Hable Barcelona en aquella parte llamada ínfimo vulgo: conventos en ia provincia de Goatemala por…</t>
  </si>
  <si>
    <t>…correspondiente , teniendo las autoridades adminis suya cabeza fuese Saldada. trativas en aquel país muchas mas facultades que las de-España ; pero Se leyeron varias adiciones del Sr. Mendez á los capítulos del plan que este método no se podia introducir, porque escandalizaría esta prác de Hacienda pública aprobados ya por las Cortes, las cuales se manda— - tica. En Inglaterra (continuó) hay un consumo considerable de cerbe— ron pasar á la comisi…</t>
  </si>
  <si>
    <t>…chos años. =rSantander 8 de Mayo de 1821. == Excmo. se lamente podrá introducirse por cuenta del Gobierno.’» ñor. = Joaquín de Velarae. = Exento. Sr. secretario de Estado y del El Sr. Mendez hizo presente las grandes pérdidas é inconvenientes Despacho de la Guerra.” ■ ■ que iban á sufrirse en Ultramar con la imposición que se proponía , ata cando en algún moda la libertad , que debia ser tan igual para todos , y Se han recibido periódicos extrang…</t>
  </si>
  <si>
    <t>…tos ciudadanos: yo desearía cia ó del Gefe político superior mas inmediato. que se formase un expediente general de esta y demas solicitudes de la Se dió cuenta de una adición del Sr. Méndez 4 los artículos apro misma especie; que se calificasen los méritos y servicios que alegasen, bados del plan de Hacienda, que.se mandó pasar 4 la comisión. y que antes de concluirse esta legislatura se manifestase a estos dignos Se leyeron dos minutas de decre…</t>
  </si>
  <si>
    <t>…sarios; pero.el que declara nia. Se mandó pasar á dicha comisión. •no ha visto mas que otra corbeta insurgente, que Je pareció de igual Se leyó por segunda vez una proposición del Sr. Méndez, relativa porte que la que le saqueó, y; demoraba sobre las Berlingas. á que se declarase que los llamados mulatos'no están comprendidos en ' Madrid Lunes ir de Junio. el art. 2 2-de Ja Constitución ; y qué en dicho artículó se ''consideran comprendidos solam…</t>
  </si>
  <si>
    <t>…grandes alarmas. sota. La indicación que en la gaceta del 14, col. id del suple La Cámara de los Diputados Je Francia continúa en sus debates , y mento , lín. 31 , se atribuyó al Sr. Méndez , fue hecha por el Sr. Herla de los Pares, como tribunal, en el proceso sobré la famosa conspi mnsilla. En la misma indicación , donde dice Chi.mimuias, Sahei'c.¡ue, ración de Agosto. Saeafa y Goaral, léase Ckiyuimttla , Qiicsalteyequc, Sacan a y G ¡talan. SU…</t>
  </si>
  <si>
    <t>…diputado. A la de Ultramar la contestación del Sr. ministro de aquella Go Se aprobó asimismo el dictamen de la comisión de Marina acerca bernación con motivo de la indicación del Sr. Mendez, remitiendo el de la solicitud del capitán de fragata D. Josef N., en el cual manifes expediente que se le pidió, relativo á los cosecheros de añil de la pro taba su opinión sobre que debia recomendarse este interesado al Go vincia de Goatemala. bierno para q…</t>
  </si>
  <si>
    <t>…ó, y se mandó quedase sobre la mesa. sea extensivo á la provincia de‘Yucatán.” „ Se aprobó el dictamen de la comisión de Diputaciones provinciales También se leyó la siguiente del Sr. Mendez: « Que se añada á sobre la adición que hizo el Sr. Ochoa en la sesión del 19 del corrien Goatemala.” te al dictamen de la misma comisión (véase dicho dictamen en la ga Ambas adiciones se mandaron pasar á la comisión. ceta del 20). La comisión opinaba que las…</t>
  </si>
  <si>
    <t>…a extrangero, que hayan sido despachados ó admitidos á libre circulación, Ultramar añádase é islas Canarias. mediante el pago de derechos en alguna aduana de primera ó segunda Del Sr. Mendez al art. 7.0, después de salida añádase y entrada. clase.” De! Sr. Bnnqueri, para que al art. 7.° se zínAn afianzando los dueños ñ El Sr. López fD. Marcial) dijo: Voy á hablar no contra el ar consignatarios de los generos, estar á las resultas de lo que se res…</t>
  </si>
  <si>
    <t>…ua y Hon-\proh¡b;do&lt; 3 2 Se declaró este asunto suficientemente discutido,y quedó aprobado. duras y Novales. j Se continuaron aprobando sin discusión varios artículos que se es El Sr. Méndez se opuso á este artículo, manifestando que no en tablecían en la tarifa , hasta que se leyó el siguiente. " . ■ contraba razón para que no se siguiese el mismo método que se había es Comercio extranjero. tablecido con respecto al algodón. Con respecto á este…</t>
  </si>
  <si>
    <t>…en la gaceta, á fin de que los individuos que re que se referían á un1 punto que ya estaba determinado. uniendo las calidades necesarias para servir el referido empleo de audi El Sr. Mendez, apoyándose en varios casos particulares, opinó que tor, cuya dotación es la de i3 duros anuales , quieran solicitarlo, lo debían aprobarse los poderes del Sr. O-Gavan. verifiquen en el término de dos meses , contados desde el dia de hoy, El Sr. Giraldo conte…</t>
  </si>
  <si>
    <t>…a autoridad Real de V. M., y puesto en ol putación que debía presentarlo á S. M.; y el Sr. presidente nombró al vido uno de los principios mas importantes que consagra nuestra ley Sr. Mendez en lugar del Sr. Cepeda. En seguida salió dicha diputación, fundamental, creyeron que ante todas cosas aebian asegurar la obser y continuó la discusión pendiente. vancia de la Constitución y'la obediencia al trono, y se complacen en Se leyeron y aprobaron los…</t>
  </si>
  <si>
    <t>Méndez, Bartolomé</t>
  </si>
  <si>
    <t>Bartolomé Méndez</t>
  </si>
  <si>
    <t>…Muros; D. Josef López Longoria, promotor fiscal; D. Josef Lorenza la Turquía , se trabaja con la mayor, actividad en nuestras fábricas de Salas, coronel retirado. Partido de Navia D. Bartolomé Méndez de paños, y el comercio de esta ciudad no ha experimentado tantos atra Luarca, hacendado; D. Josef Rodríguez dé Castro, juez de primera sos como se podía temer en vista de los sucesos del Oriente. Desde el instancia del partido de la Vega deRivadeo; D. Josef…</t>
  </si>
  <si>
    <t>Mendez, Pedro Briceño</t>
  </si>
  <si>
    <t>Pedro Briceño Mendez</t>
  </si>
  <si>
    <t>…ar compromisos con los aliados. Por otra parte insinúan te de ella, á los señores general de brigada Antonio Josef también que el Austria hará cuanto sea posible por no lle Sucre, coronel Pedro Briceño Mendez, y teniente coronel gar á un rompimiento, pues ademas de los muchos gastos Josef Gabriel Perez , los cuales autorizados competentemen .que este le acarrearía, y que no puede soportar, entra en su te, han convenido y convienen en los siguientes artículos: cálc…</t>
  </si>
  <si>
    <t>…por las dos causas ; y deseando economizar la sangre cuan Por cuanto los á¿res. general de Brigada Antonio Josef to sea posible, se establece que ios militares ó empleados Sucre, coronel Pedro Briceño Mendez, y teniente coronel que habiendo antes servido á cualesquiera de los dos Go Josef Gabriel Perez, mis comisionados para ajustar y con biernos hayan desertado de sus banderas, y se aprehendan cluir un tratado que regularice la guerra entre rispada y bajo la del…</t>
  </si>
  <si>
    <t>Mendinueta, Hilario</t>
  </si>
  <si>
    <t>Hilario Mendinueta</t>
  </si>
  <si>
    <t>…y convenidos ; y dicha certifi sar al nuevo tribunal las causas citadas en el oficio anterior. cación dice asi •• En seguida dijo el Sr. presidente que en la sesión de mañana se ,,D. Hilario Mendinueta, conde de Goyeneche , caballero del orden empezaría á leer la memoria del ministro de Hacienda, y se daria de Santiago, alcalde constitucional de esta villa: certifico que en el li cuenta del expediente de Hellin que estaba sobre la mesa; y levantó la bro de…</t>
  </si>
  <si>
    <t>…glamento; y que sin pérdida de tiempo encargue y recomiende á las Madrid los individuos siguientes: autoridades superiores ds Cádiz, Barcelona y ucmas puntos contagia Per Madr-J. D. Hilario Mendinueta, conde de Goyeneclie. dos , para que poniéndose de acuerdo con los profesores mas ilustra Par Colmenar Pleja. D. Pedro Abella, vecino de Aicobendas. dos procedan á hacer obserraciones y experimentos directos , con J’or AUa'.ú. D. Manuel de Miguel Bravo , veci…</t>
  </si>
  <si>
    <t>Mendizabal, Antonio de</t>
  </si>
  <si>
    <t>Antonio de Mendizabal</t>
  </si>
  <si>
    <t>…objeto á un individuo , por evitar gastos.” obligaciones de los mismos , egemplares qué ha dirigido á las Cortes La comisión era de opinión debía aprobarse; lo cual se declaró por D. Antonio de Mendizabal, vecino de Calahorra. ...... las Cortes. . . - Se leyó el dictamen de la comisión especiaL nombrada á consecuen La misma comisión presentó sü dictamen acerca de la indicación cia de la proposición ó indicación del Sr. Romero Alpuente en la se del Sr. Linares,…</t>
  </si>
  <si>
    <t>Mendizabal, Gabriel de</t>
  </si>
  <si>
    <t>Gabriel de Mendizabal</t>
  </si>
  <si>
    <t>…isión estará en las inmediaciones de Salvatierra, en donde se halla macia desde cónsul; en la eclesiástica desde provisor, y en la de legis también él capitán general de Guipúzcoa D. Gabriel de Mendizabal , y latura desde-juez de primera instancia ..todos inclusive , y antes de egeel de Navarra D. Miguel López Baños con algunas tropas, y que ademas cutar la suspensión, se dé cuenta á las Cortes para su aprobación. estaban llegando, otras de distintos-cuerpos.…</t>
  </si>
  <si>
    <t>Mendizubál</t>
  </si>
  <si>
    <t>…el estandarte de la insurrección griega. los pueblos. i e suspendió esta discusión; y el Sr. secretario déla Guerra dio , ARTICULO DE OFICIO. cuenta á tas Cortes de. un parte del general Mendizubál, en el cual anunciaba haber sido dispersados enteramente los facciosos de las pro Por el ministerio de Gracia y Justicia se ha comunicado al de la vincias vascongadas. Gobernación de la Península la Real orden siguiente: Asimismo otro de Santander, en el que…</t>
  </si>
  <si>
    <t>Mendo, Josef</t>
  </si>
  <si>
    <t>Josef Mendo</t>
  </si>
  <si>
    <t>…de Legislación tres exposiciones, una de D. Joaquín Hidal sobre abusó de dicha libertad en Sevilla, remitida por la junta interi go de Cárdenas, otra de D. Josef Calvo , y otra de D. Josef Mendo na de libertad de imprenta , y una consulta de la misma acerca de lo za , solicitando permutación de estudios. acaecido en un sorteo de jueces de hecho. El Sr. presidente dijo que el Sr. secretario de la Gobernación de A la de organización de Fuerza armada di…</t>
  </si>
  <si>
    <t>Mendoza</t>
  </si>
  <si>
    <t>…xento.’Señor: Ayer entró en este puerto, procedente de Puerto- talina Gordo y Galino, viuda de D. Rodrigo de la Vega Acuña y Cabello, la goleta española Ntra. Sra. del Carmen-, su capitán Don Mendoza j nadie ha comparecido &gt; se ha mandado por el expresado se Manuel Orta; de donde salió con otros 17 buques con destino á leís ñor juez en 20 r1,: corriente que se cite y emplace por gaceta y diario, puertos de la Península el 4 de Junio último, con carga de 5…</t>
  </si>
  <si>
    <t>Mendoza, Hilario</t>
  </si>
  <si>
    <t>Hilario Mendoza</t>
  </si>
  <si>
    <t>…culo de D. Joaquin de la. Cárcel; para Liria Don Tomas Oltra; para Chelva que se trataba, añidiendo que el dictamen de la comisión contenía D. Antonio Toribio Cordon, y para Chiva D. Hilario Mendoza. ' esencialmente lo que se mandaba, en el artículo g.° del decreto de 6 de Agosto de t8n. Atendiendo S. M. á los méritos y servicios de D. Francisco Alon El Sr. presidente dijo que mañana después de dar cuenta del despa so de Viado, residente en la Iiavana, s…</t>
  </si>
  <si>
    <t>Mendoza, Hurtado de</t>
  </si>
  <si>
    <t>Hurtado de Mendoza</t>
  </si>
  <si>
    <t>…Debates del vigésimo cua de la fiebre amarilla , y se refuta el sistema de la infección , recopi.ado dro de los «unos anales de tos viajes, historia y geografía, que acaban por el doctor Hurtado de Mendoza en ¡ujlíonnrralia de dicha li bre: y de publicar los Ves. Eiries y Maitc-Brun , se leen algunas particulari &lt;5.° un análisis de dos manifiestos publicados por la academia médicodades nuevas é interesantes. práctica de Barcelona 1 una noticia de las memorias r…</t>
  </si>
  <si>
    <t>Mendoza, Juan Manuel</t>
  </si>
  <si>
    <t>Juan Manuel Mendoza</t>
  </si>
  <si>
    <t>…estó en este so ministerio de Hacienda en sus principales bases. lemne acto. EL discurso, pronunciado por el teniente cura Art. 7.0 Zelará que la tropa perciba puntualmente de los D. Juan Manuel Mendoza después de La misa del Espíritu fondos de la respectiva división territorial su prest, vestuario Santo, mereció los mayores elogios por la eficacia y ener y demas utensilios que le esten señalados para servicio ordi gía con que trató de inclinar los ánimos há…</t>
  </si>
  <si>
    <t>Mendoza, Manuel Hurtado de</t>
  </si>
  <si>
    <t>Manuel Hurtado de Mendoza</t>
  </si>
  <si>
    <t>…ía del profemas esclarecido de nuestra literatura. lor D. Antonio Ballano, por los Dres. D. Celedonio Martínez - Mas ya se sabe que en la historia literaria de toda na Caballero y D. Manuel Hurtado de Mendoza. Esta obra, cuya ne ción la poesía se aparece siempre en la cumbre, como fa cesidad absoluta y general conoció el autor mismo del Dicciona reina de las artes y la estampa colosal de las perfecciones rio., está formada con la Teunion de materiales recogidos po…</t>
  </si>
  <si>
    <t>…men de las comisiones de Ha que parece amenazarnos ya todos los veranos. Insertaremos pues la si cienda y Comercio sobre la'extracción de géneros para las Califor guiente carta de D. Manuel Hurtado de Mendoza sobre las observacio nias , y luego el Código criminal. nes hechas por el Sr. Lagasca , y dice asi; Se levantó la sesión á las tres. „ En el número 309 del 30 dé Octubre insertan vds. el extracto dtf una carta del Sr. D. Mariano Lagasca , en la que este profe…</t>
  </si>
  <si>
    <t>Mendoza, Pedro Hurtado de</t>
  </si>
  <si>
    <t>Pedro Hurtado de Mendoza</t>
  </si>
  <si>
    <t>…. obispo debia considerarse coSe aprobó e! dictamen de la misma comisión acerca de las expo .'2110 ur. subdito de lü Nación cspúuolíi f- vjuíí d-'bía ¡óspeisir las íso siciones de D. Pedro Hurtado de Mendoza, cura en la provincia de -me detendré, dijo', én hacer ver la soberanía de nuestra Nación, pues Murcia, en que manifiesta la influencia de los poderosos en las vota •allí enfrente tenemos una inscripción para "tenerla presente , y que nos ciones-para las :jii…</t>
  </si>
  <si>
    <t>Mendoza, Vicente</t>
  </si>
  <si>
    <t>Vicente Mendoza</t>
  </si>
  <si>
    <t>…, en. mente injurioso a su persona, se declaró por-los nueve jueces de hecho g666 rs. que previene la ley no habA lugar á la formación de la causa pretendi Dos cercas nominadas de D. Vicente Mendoza, inmediatas al pue da por el denunciador. blo de la Cumbre , en g6,666 rs. VARIEDADES. Dos llamadas del Pajarito y Moranta, cerca de la población de la Erguijuela , en 3166 rs. Si alguna vez la falta de pundonor y la insolencia se han des Un cercon al sitio d…</t>
  </si>
  <si>
    <t>Menendez-, Ramón Lamas y</t>
  </si>
  <si>
    <t>Ramón Lamas y Menendez-</t>
  </si>
  <si>
    <t>…te defecto, y traba- tino . bibliotecario de la universidad de Santiago; el coronel D. Ferjan/por corregirlo , cuya, circunstancia aumenta extraordinariamente sus nanrto .Saravia; D. Ramón Lamas y Menendez-, D. Domingo Somoza, r tuerzas. De ésta suerte tienen los griegos nueve ventajís capitales con- provisor» y gobernador del- obispado de Oviedo.. tra.cuatro, y deben triunfar. Para esto, es.preciso que dediquen todo su Faltan los nombres de otros dos diputados…</t>
  </si>
  <si>
    <t>Meneses, Josef García de</t>
  </si>
  <si>
    <t>Josef García de Meneses</t>
  </si>
  <si>
    <t>…uba.” dia 30 de Agosto último, se presenten á¡deducirlo en los autos de dicha Admitida á discusión, la apoyó su autor, manifestando que con testamentaría y escribanía del cargo de D. Josef García de Meneses, respecto al Perú era notorio que estaba sin comunicación con el Go con la prevención y apercibimiento que cumplido, sin mas citación ni bierno , por estar bloqueado por la escuadra insurgente; razón muy po llamamiento, se convocará á junta á los presentes ac…</t>
  </si>
  <si>
    <t>Meno, Manuel de</t>
  </si>
  <si>
    <t>Manuel de Meno</t>
  </si>
  <si>
    <t>…os héroes, y se guardase el proceso de los mismos en el archivo de formado y dirigido á las Cortes la diputación provincial de la misma: Cortes. Se leyó asimismo una exposición de D. Manuel de Meno , co la comisión dijo que habia observado algunas informalidades en dicha misionado para dicha exhumación, con que remitía 200 egemplares del división; y entre otras la de que no se habia hecho con acuerdo de aque expediente formado al intento para repartirse…</t>
  </si>
  <si>
    <t>Menor, JuanDagés</t>
  </si>
  <si>
    <t>JuanDagés Menor</t>
  </si>
  <si>
    <t>…ue por la estufa; y en verdad que no Pedro Cífuentes, D. Diego Cosío , D.-Josef Álturena, D. An habia necesidad de hacerle entrar por semejante conducto, tonio María de Cárdenas y D. JuanDagés Menor, tenedores, el cuando hay para ello una buena puerta. primero de 3 vales de 300 pesos,creación de i.° de Mayo, nú Este raro monumento se conserva y se conservará; pues meros 435,5 ió ,471,847 y. 485,41 í ; el segundo de 2 de 600 pe el pueblo aleman, á pesar d…</t>
  </si>
  <si>
    <t>Menor, Pedro</t>
  </si>
  <si>
    <t>Pedro Menor</t>
  </si>
  <si>
    <t>…con que to dos los sábados contribuyen los muchachos, cuyo número es de 100 poco VARIEDADES. mas ó menos. Se dirigirán los memoriales francos .de porte al alcalde ds dicho pueblo D. Pedro Menor, advirtiéndose que la provisión de xostA. Sociedades bíblicas. Los progresos de estas sociedades, favo esta plaza ha de ser en ei dia ir de Agosto. recidas por la liberalidad del Emperador y de los grandes, son su nota. En la gaceta extraordinaria del go de J…</t>
  </si>
  <si>
    <t>Meoqui, Graciosa de</t>
  </si>
  <si>
    <t>Graciosa de Meoqui</t>
  </si>
  <si>
    <t>…ia, nos, de Madrid; D. Francisco Lozano; D. Francisco Javier García; porque en este caso resultana la necesidad de atender á mil circunstan D. Gabriel Odier y compañía^ de Paris ; Doña Graciosa de Meoqui, d* cías indispensables, pues cada Sr. diputado querria que aquel pueblo á Pamplona; D. Joaquin de Meñaca y Batiz, de Bilbao; D. Joaquín Ca que tiene mas cariño fuese preferido á los demas. no; D. Joñas Hagerman, de Paris ; D.* Juan Redondo y Garzón , da En s…</t>
  </si>
  <si>
    <t>Mercado, Francisco Arias</t>
  </si>
  <si>
    <t>Francisco Arias Mercado</t>
  </si>
  <si>
    <t>20 - 6 equiparase con el resarcimiento de danospero que esto podría ser voluntarios de Castilla: á D. Francisco Arias Mercado, de! primer ba objeto de una adición. Se aprobó el artículo. tallón del de Vitoria; y á D. Baltasar Retonillo, del primer batallón Art. 98. « Nmguna condenación que cause egecutoria se notificara del de Vaiencey. al reo constituido en estado de verdadera deme…</t>
  </si>
  <si>
    <t>Mercar, Antonio</t>
  </si>
  <si>
    <t>Antonio Mercar</t>
  </si>
  <si>
    <t>…s, el marques de Espinardo Lebrija. Parroquia de S. Lorenzo, 20, electores. Del 13 al ao... ....... 63..... •• 3*...... ...... 46... D. Aníbnio González, D, Antonio de la Iglesia, D. Antonio Mercar, D. Antonio Sala, D.Francisco Gallinas, D. Francisco Javier Sanlúcar de Barrameda. Delgado,D. Francisco Hernández Montañer,D. Isidro Blanco, Don Dia 14............. 3" •••♦ ••••••• z. .♦»*. .... .. 0.... ....... 6..... Isidro Merino, D. Josef Sánchez, D. Juan…</t>
  </si>
  <si>
    <t>Mercenarios</t>
  </si>
  <si>
    <t>…blanco á D. Juan María de la Torre: para el da Real ; de Agustinos Recoletos, de nuestra Sefiora de Copacayana’; de La Rambla á D. Josef Sánchez del Aguila, y. para el de Priego á Don Mercenarios calzados, de S. Josef; de Mercenarios descalzos, de Santa Vicente Pereda Laso de la Vega. Bárbara; de Mínimos, dé nuestra Señora deja Vitoria: los de Esco En ia fro-vincia Je Valencia. Para las seis judicaturas de la capi lapios, de S. Fernando y de S. Antoni…</t>
  </si>
  <si>
    <t>Merino</t>
  </si>
  <si>
    <t>…publicado una se al Gobierno: que los partes que se habian leido probaban las ramifi proclama sobre el particular: que volvía á repetirse la idea de un nuevo caciones que tenia el cura Merino, del cual eran víctimas una parción Congreso en Viena , á que asistirían algunos Soberanos que no habian de gente: que las medidas que se tomasen debian ser preventivas; esto concurrido á los de Troppau y Laybach. La gaceta del Necker dice que es, no tanto pa…</t>
  </si>
  <si>
    <t>…o debe hacerse, porque en su poder, fecha 29 del corriente , se sabia haber vuelto 4 levantar principalmente se debe tratar, no solo de fijar el máximum para los cabeza el rebelde cura Merino, y que en Cebrecos habia logrado sor muchos cesantes que hay , sino tratar también del máximum para los prender á un destacamento de ocho soldados catalanes con un oficial, mismos eclesiásticos. Debemos sacar partido de los sefioríós, para podet cometiendo mu…</t>
  </si>
  <si>
    <t>…tiene las atribuciones de remover estos lide , sino para remover los obstáculos que lo entorpezcan.-Yo sé que obispos; porque si no son una causa primitiva, á lo menos son una el cura Merino por sí Solo no vale nada, y que seria muy difícil coger concausa muy poderosa de que se esté derramando sangre española. lo por de pronto, como fue muy dificii aprisionar esa partida de ban Ademas de esto debe separar á todos los curas y clérigos que tanto do…</t>
  </si>
  <si>
    <t>…écha, larga interrupción;)': ' hablado el’Sr. Calatrava en la sesión anterior , relativos al levantamien El orador se volvió hácia el presidente, y le dijo: Nunca he' inter to del cura Merino, dijo entre otras cosas que el Gobierno habia reci-' rumpido yo ¿ nadie: suplico ¿ vmd. me mantenga la palabra. ( Je con bido por el correo anterior noticias de/grande importancia, tanto de ¡a tinuará. ) ■ Península como de Nueva-España; y en seguida dió cuen…</t>
  </si>
  <si>
    <t>…inculcar estos princi padres de la Patria y por el Rey constitucional , concluyendo todos con pios con 1a mayor claridad y'sencillez. La razón que alcea la comi la voz de muera el cura Merino, perezcan los facciosos: terminada la sión no es tan poderosa como le parece, y podria decir runcho mas comida con una alegría universal , se entonaron canciones patrióticas, sobre el particular. La cuarta razón que hizo presente el Sr. Tapia fue sieuió'se un…</t>
  </si>
  <si>
    <t>…o de los individuos de la comisión- contestó tengan á bien conceder á las viudas de los nueve militares asesinados que habia pasado al Gobierno para que informase. por el faccioso cura Merino los mismos haberes que tenían sus ma Se leyó el dictamen de la comisión ordinaria de Hacienda sobre el ridos. presupuesto de gastos de la Nación para el año económico inmediato, y Asimismo se aprobó otra del Sr. López (D.Marcial) para que las se mandó imprimi…</t>
  </si>
  <si>
    <t>…Cruz y Miyar, y en la de Sanz. ce saber que se ha prohibido á los periodistas de Madrid hablar de los Memoria sobre las aguas medicinales de los hervideros de Fuensan asuntos del cura Merino; dice que al general Eiio se le juzga por una ta : por D. Josef Torres, capitán de infantería, y médico director de los ley de 1821, pues no habia ley alguna preexistente; hace huir de Ma baños de dichos hervideros. Se hallará en ia librería de Tieso, y en el…</t>
  </si>
  <si>
    <t>…Francia no ocurre novedad, pues los asuntos de Turquía atraen barra de lluelva vió una goleta-insurgente, que traia un jabeque y un toda la atención El Monitor hablando del famoso cura Merino dice laúd apresados; que dicha goleta se aproximó tanto a un místico que que este digno realista permanece en España: no sabemos si es digno venia en su compañía, que le rompió el botalón; no les robo nada, y realista el que piensa introducir la guerra civil;…</t>
  </si>
  <si>
    <t>Merino, Gerónimo</t>
  </si>
  <si>
    <t>Gerónimo Merino</t>
  </si>
  <si>
    <t>…. Petersburgo y En la villa de Madrid , reunidos los jueces de hecho, examinaron algunas otras ciudades fronterizas'de los gobiernos de Novogorow y el papel intitulado Proclama de D. Gerónimo Merino á sus trovas, que Fleskou, y está mandada por el general conde Milloradowitch á las ór empieza: « Soldados, la patria está en peligro”; y concluye: » El general denes inmediatas del Emperador; y tercero, el cuerpo de egército de- en gefe Merino” ;-y en su vis…</t>
  </si>
  <si>
    <t>…uatro letras sula é islas adyacentes lo que sigue: » Deseando S. M. que las escriba nías de los juzgados de primera instancia se provean guardándose la de cambio interceptadas por D. Gerónimo Merino, las cuales venían dirigidas á los Sres. Miquiiitorena hemiarios, del comercio de giro de graduación prevenida en la circular de 12 de Diciembre último, se ha servido mandar que luego que haya alguna vacante se hagan fijar edic esta corte Una de dichas letras…</t>
  </si>
  <si>
    <t>Merure, Juan Perez</t>
  </si>
  <si>
    <t>Juan Perez Merure</t>
  </si>
  <si>
    <t>…uítas en aquella ciudad de Palma se designe para el estable Legislación. cimiento de ciencias y biblioteca pública; y que la asignación de los A la misma comisión una instancia de D. Juan Perez Merure, mismos sobre temporalidades se destine para Ja segunda. juez interino de primera instancia de Talavera de la Reyna, que soli En seguida el Sr. secretario leyó el parte que en 7 de Marzo pasó al cita se le admita en Castilla la Nueva el juramento que debía, p…</t>
  </si>
  <si>
    <t>Mesa, Juan de</t>
  </si>
  <si>
    <t>Juan de Mesa</t>
  </si>
  <si>
    <t>…, ó por medio de procurador con Otra casa en el patio de la Soledad , núm. 1 , linda con poder bastante, á evacuar un traslado que tiene pendiente en el la del mayorazgo que posee D. Juan de Mesa, taller de expediente que sigue con Domingo González Figueroa , mari Víctor de Castro, casa que habita el alcaide que fue de la do de Rosa Sevilla; con apercibimiento que pasados le parará extinguida inquisición, corral de la misma y dicho patio todo perjuici…</t>
  </si>
  <si>
    <t>Mesias, Pedro</t>
  </si>
  <si>
    <t>Pedro Mesias</t>
  </si>
  <si>
    <t>…as enérgicas, fuertes y vigorosas exi- .sus caseríos, que está gravado con 412 rs. y 17 mrs. á fa geu imperiosamente .de nosotros las circunstancias en que vor de los herederos de D. Pedro Mesias, en 422,309 rs. se encuentra" la Nación y la Europa entera. Pero nada po ; El hato de Humeruelos, con 443J aranzadas de labor, drá resistir al zelo ilustrado, firme y prudente de los re casas y demas que le pertenece, en 444,71; rs. presentantes españoles, cu…</t>
  </si>
  <si>
    <t>Metternich</t>
  </si>
  <si>
    <t>…enos de lá cantidad que se saldrá .al encuentro mas allá de aquella ciudad. El i.° de dé generalmente por todos los maestros del pueblo, á fin Enero saldrá de aquí para Laibacn el príncipe Metternich de no hacerles mala obra, privándolos de sus oficiales. con los principales empleados y la chancillería; el 2 el Em 15. Por esta razón no deberá admitirse en la casa de Am perador; el 3 el Emperador Alejandro, y el 4 los embaja paro sino á los que busquen en…</t>
  </si>
  <si>
    <t>…... El conde Bernstorff, ministro deEstado de Pru.ia, había salido a to el presente decreto, no se empezará á cubrir esta diierenoa hasta que da priesa para Hannóver, donde ya el príncipe Metternich ha tenido los demás pueblos de la Península que np tienen milicias provinciales una audiencia del Rey de Inglaterra. hayan llenado la parte de su respectivo cupo. Después de una ligera discusión se suspendió esta por haber dicho CORTES EXTRAORDINARIAS DEL AÑO…</t>
  </si>
  <si>
    <t>…guida el árt. jji,-^ue'decía asi: _ ,t vé cuál'haya sido el résúStado de las visitas diplomáticas dé Hinnóver, ' » No depende de ía'sanción Real Lá preseftté Constitución y las El príncipe Metternich llégó él dia 3 á Francfort;'salió para Jóhannisalteraciones que en'ella puedan hacerse'para ló futuro, conforme al ar berg, volvió el 6, y el 9' partió para Viena. Todos los diplomáticos, tículo 28 : 2.° Todas las leyes ú otras ■" cita lésqhiera disposiciones…</t>
  </si>
  <si>
    <t>México, Manuel Cortes de</t>
  </si>
  <si>
    <t>Manuel Cortes de México</t>
  </si>
  <si>
    <t>…emente por S M., y cias de Cataluña , Aragón y Valencia. removido á su libre voluntad: será inviolable respecto de la sección de Las mismas recibieron con agrado una exposición de D. Manuel Cortes de México, y solo responsable de su conducta al Rey y á las Polo, en la que remitía algunos.egemplares de ia gramática latina que Cortes generales, con arreglo á la Constitución y á las leyes. ha compuesto para el uso de los seminarios conciliares; y otra de Don tí.a P…</t>
  </si>
  <si>
    <t>Mi</t>
  </si>
  <si>
    <t>…de ancho:acerca de la venida del Príncipe Real á Portugal; pero que cuatro de 19 y 3 de alto , y 12 y 9 de ancho, y dos de 15 y 6luego se habia desmentido esta voz, y designaban á D. Mi de alto, y 12 y ó de ancho: cada una á 10 rs. gue!,....... que debía venir con el encargo de arreglar las nota. La plaza de cirujano latino de la villa de Navalmo» diferencias que existiesen, y hacer algunas concesiones. ral ( de Toledo), inmediato al de Pusa…</t>
  </si>
  <si>
    <t>…trances, aumen aplicación'y aprovechamiento que han 'teni¿o, en los estu tada con una memoria de Delambre sobre la aritmética de dios los cadetes del cuerpo nacional de artillería D. Mi los griegos. Antes de la publicación de esta memoria apenas guel Imaz y Arias de Saavedra ,D. Carlos López de Hoyo, podía concebirse como los griegos pudieron egecutsr las JD. Francisco Tejada y Urbina, D. Sérapio de Pedro y operaciones indicadas en Arquimede…</t>
  </si>
  <si>
    <t>…luña, Aragón y Navarra. vido nombrar para jueces letrados en la provincia de Ma 2.“ El de Vizcaya, Santander, Asturias y Galicia. llorca, en esta forma: para el partido de Palma á D. Mi 3.0 El de Zamora, Salamanca, Extremadura y Sevilla. guel Fluxá; para el de Esportas á D. Ignacio Vich y San- 4.0 El de Cádiz, Málaga, Granada y Cartagena. tandreu ; para el de Inca á D. Oaoíre Gradoli; para el - Debiendo variar cada año de departamento los su…</t>
  </si>
  <si>
    <t>…politano á su frente, se dirigieron al palacio del hospodar mó contra Nicolás Tiburcio de Aguirre, vecino de la misma villa, y reinante para obligarle á marchar inmediatamente. El príncipe Mi demas que contribuyeron á su fuga cuando lo llevaban preso y escolta guel Suzzo abandonó con lágrimas en los ojos las riendas del Go do á dicha villa de Bilbao; se ha condenado á D. Fernando de Zavala, bierno, y salió de Jassy con su familia, su servidumbre y…</t>
  </si>
  <si>
    <t>…loqui, abogado en Méjico, para la fiscalía dé mar de, los Alciones. Mr. Scrofani asegura que se observa una especie d{ la propia audiencia de Guadalajara, vacante por promoción de D. Mi marea'.de seis horas en el golfo de Lepanto; pero este hecho necesi guel-López Andreu á magistratura del supremo tribunal^de Justicia, ta un examen ulterior. La estrechez'de este golfo hacia su emboca Igualmente ha tenido ájbien conferir Jas dos magistraturas…</t>
  </si>
  <si>
    <t>Mi, Camilo</t>
  </si>
  <si>
    <t>Camilo Mi</t>
  </si>
  <si>
    <t>…o ; en Segovia en Ja de Don- fueron Cassini , Legendre y Mechain. \ St‘ continuará. ) Francisco Viílaverde , del-comercio; en Toledo en la de D. Josef Ximéno; en Falencia en la de D. Camilo Mi guel, boticario; en Baza en la de D. Ramón Serraren _ ' - - anuncio. ■ Soria en ’n de D. Pedro Martínez de Aparicio; én Avila' Cartas sóbre los apuntes publicados por el Sr. D. Joaquin ló-en la dé D. Antonio Salcedo, boticario ; en Ciudad-Real renzo Villanuev…</t>
  </si>
  <si>
    <t>Mi, Diego</t>
  </si>
  <si>
    <t>Diego Mi</t>
  </si>
  <si>
    <t>…D. Tosef Cisnéros y criptiva. Lanuza , D. Bernardo Elfo y Ximenez-, D. Antonio To- La trigonometría es sin disputa una de las mas-útiles rija y Carrese, D. Joaquín Salvador y Udi, D. Diego Mi aplicaciones de la geometría elemental: es la base de la geor randa y Morales, D. Josef Labastida y Bustamante, y desia, de la geografía, dé la astronomía y de la navegación.D. Manuel Pascual y Bañúeias; ha tenido á bien promo El mas apreciable monumento geod…</t>
  </si>
  <si>
    <t>Michelena</t>
  </si>
  <si>
    <t>…resentada por la seria que Laybach hubiese abortado algún plan funesto para ¡á Turquía, junta de infantería. La resistencia de Ali-Baiá por tanto tiempo contra todo el imperó-, 11 Sr. Michelena hizo varias observaciones acerca de si había de otomano puede dar nrotivoa conjeturas sobre la mfloen^.a -”■ * re z een ser extensiva A las provincias de Ultramar ; á lo que contestó el señor esle apunto. La potencia que tenga miras do apropiarse alguna» piov…</t>
  </si>
  <si>
    <t>…este nombramiento se ha co por su parte otro tanto.” No se admitió i discusión. ce por los electores de partido, y estos me parece que no pueden hacer Se leyó otra indicación del Sr. Michelena , que decia asi: * Que el otro. Por lo mismo desearía que los Sres. de la comisión propusieran se diga al Gobierno que esté pronto un buque para salir á ¡a p-imera el modo de elegir estos individuos, exigiéndose ademas la cualidad de orden, y que se agite lo…</t>
  </si>
  <si>
    <t>…conveniente. Se mandó so también presentará sus artículos modificados, i consecuencia de ¡a* pasar ¡i dicha comisión. observaciones que se han hecho sobre este asunte. 1 ttra del Sr. Michelena para que el proyecto de ley constitutiva del Estas observaciones no son de ningún Sr. diputado , sino de uno?’ eaército pase á una comisión especial, á fin de que proponga las modi papeles que se han repartido; y el otro día dije, y repito boy, que na' ficaci…</t>
  </si>
  <si>
    <t>…, las rentas de este año no podían cubrir las obligacio estaban pendientes, y á los cuales se debía atender. nes del Estado. Se ha dicho que era mejor tomar uua anticipación, y El Sr. Michelena dijo: Las razones que se han expuesto para hacer yo no.encuentro diferencia ninguna de esta á un empréstito. Ei señor ver que este asunto no está pendiente prueban hasta la evidencia que Romero Alpuente ha indicado otro medio, que es muy perjudicial, y Jo est…</t>
  </si>
  <si>
    <t>Michelena, María Teresa</t>
  </si>
  <si>
    <t>María Teresa Michelena</t>
  </si>
  <si>
    <t>…mandaron pasar los expedientes que &lt; dice que hará lo mismo la.universidad de Cambridge, y se están dispo-' siguen: V niendo otras semejantes en todos los puntos del reino. Uno de'Doña María Teresa Michelena , viuda'del tesorero géne__¡Algunas .personas dicen que .Nápoles no puede por falta de rentas y raL D. Julián Fernandez,¡en solicitud de que á mas de la pensión que de. crédito ,-lévantarcy anantener un egército. Lo mismo decía Pitt aL goza en virtud de Real…</t>
  </si>
  <si>
    <t>Michelena, María Teresa de</t>
  </si>
  <si>
    <t>María Teresa de Michelena</t>
  </si>
  <si>
    <t>…e D. Manuel María del Marmol, presidente de la comisión bao. de la Coruña. de curadores de la sociedad,el dia 4 de Noviembre. En ella serán exa D. Francisco Josef de Jáuregui, id. Doña María Teresa de Michelena. minados , y se adjudicarán los premios , entregándoselos á los alumnos D. Francisco de Gotssens. D. Miguel Cuff. que ios hayan merecido en el primer dú de la junta general píiblica de Sres. Gómez , hermanos, de Cádiz. D. Narciso Plandolit, de Barce la socied…</t>
  </si>
  <si>
    <t>Michelotti</t>
  </si>
  <si>
    <t>…ci te coronel. euCappl. eu \rillani. uu: El conde de Castelborgo , mayor de pe Duque de Calabria que las determinaciones",dé-ios Soberanos alia plaza..— El caballero;Baravino. =E1 caballero Michelotti, coronel en dos son conformes en rodo ala carta que le ha escrito el Rey su Padre. cargado de los puentes, y calzadas. i'.a „ A que declare que á S. A. R. corresponde ahora juzgar y pe sar , hacer que juzguen y pesen sus consejeros por una parte las venta ' r…</t>
  </si>
  <si>
    <t>Micheo, Pablo</t>
  </si>
  <si>
    <t>Pablo Micheo</t>
  </si>
  <si>
    <t>…todos losha fondeado en este puerto el bergantín de guerra español Jasan , su negocios por la larga discusión de señoríos, que actualmente ocupaba comandante el teniente de navio D. Pablo Micheo , que salió de Car al Congreso , y- lo necesario que era adoptar una medida'pirra-que esta tagena el 26 de Febrero, y de la bahía de Argel el 28, sin haber co asunto se abreviase, ya d.scutiéndole en sesiones extraordinarias, ya énl municado: habló con su cón…</t>
  </si>
  <si>
    <t>Micolta, Josef</t>
  </si>
  <si>
    <t>Josef Micolta</t>
  </si>
  <si>
    <t>…caudarán estas en dividuos que siguen y otros varios: tenientes coroneles retirados Don los términos prevenidos en los arts. 2.“, 3. , 4. y 6. , como si su pro Francisco Legovier, D. Josef Micolta y D. Domingo Quevedo: tenien ducto total procediese de un solo beneficio ó pensión ” tes retirados D. Juan Antonio Benitez, D. Francisco Benitez, D. Jo be leyó el art. 9. , que decía: « De las rentas de la mitra patriarca1, sef Giiarte y D. Jíián Josef Benitez : D. Pedro Sorda, c…</t>
  </si>
  <si>
    <t>Mídina</t>
  </si>
  <si>
    <t>…á la aprobación de uno tido á todas las discusiones que ha tenido la comisión, y por lo mismo de los artículos del plan de Hacienda. el Gobierno estará bastantemente enterado. El Sr. Mídina lia dicho</t>
  </si>
  <si>
    <t>Mídrano</t>
  </si>
  <si>
    <t>…la representación del gefe político, El Sr. presidente suspendió esta discusión para continuarla miñan i; debia haber tomado las noticias necesarias de los Sres. diputados de y el Sr. Mídrano manifestó que en cumplimiento del art. 96 cada co aquellas islas,del Gobierno,y últimamente de cualquiera persona que misión debería nombrar un secretario , y pasar la noticia á la secretaria hubiera podido darlas en la materia, y no presentar un dictamen que…</t>
  </si>
  <si>
    <t>Mieg, Juan</t>
  </si>
  <si>
    <t>Juan Mieg</t>
  </si>
  <si>
    <t>…la obrita titulada bían de atener las juntas diocesanas para proceder al .repartimiento de Paseo por el gabinete de historia natural de Madrid, publicada en los diezmos. 1819 por D. Juan Mieg, director del Real gabinete de física &amp;c. Un Ei Sr. presidente dijo que habia señalado ya la discusión de este cuaderno de 29 láminas , dibujadas y grabadas por el autor, que con asunto, y que no podia variarla sin que las Cortes determinasen si se tienen 211…</t>
  </si>
  <si>
    <t>MIERCOLES</t>
  </si>
  <si>
    <t>Núm. 71- (7 «artos.) 339 GACETA DEM ADR I D. MIERCOLES 14 DE MARZO DE 1821. . Advertencia., Habiéndose notado que el título de Gaceta del Gobierno, que se ha dado a este periódico, ha hecho creer á.muchos que todo lo que en él se contiene emana directamente del Gobierno, y que ex-, presa en cierta manera su opini…</t>
  </si>
  <si>
    <t>Nú«i. 1.38. ( 7 cuarto».} 7°? ■CíAí^S GACETA D E M A D R I D. MIERCOLES 16 DE MAYO DE 1821. NOTICIAS EXTRANGERAS. sacudido-, y han recobrado la libertad por el valor y virtudes de algún ciudadano distinguido; pero si reflexionamos isobre los medios emplea ISLA DE SANTO DOMINGO. dos^ para llevar á cabo tan generosas empresas, siem…</t>
  </si>
  <si>
    <t>Nú»i. *4tf. (7 cuartos.) _ , , . M'xfip' , 8K&amp;» GACETA DE MAD R 1 D. MIERCOLES 29 DE AGOSTO DE 1821. NOTICIAS EXTRANGERAS. de acuerdo en ciertos puntos muy interesantes , que aunque en realidad ' no son preliminares; deber} con todo arreglarte antes de proceder á to P RUSIA. mar medidas ulteriores. Es cierto que las tareas del Congreso…</t>
  </si>
  <si>
    <t>Núm. 282. (_ 7 cuartos. ) 1481 G AGE T A DE MADRI D. MIERCOLES 3 DE OCTUBRE DE 1821. NOTICIAS EXTRAN6ERAS. de elección que s* debe adoptar, sino que reconoce también la insf&gt;¡ración y la arbitrarían, y quiere por En que se elija á uno solo. De ÍRUStA. Jas tres mudanzas indicadas podría S- S. admitir la segunda, tenien do…</t>
  </si>
  <si>
    <t>Núm. ic¡6. (7 cuartos.) 1567 mm GAC ETA D E M A D R I D. MIERCOLES 17 DE OCTUBRE DE 18» 1. NOTICIAS EXTRANGERAS. protección de Ios-embajadores y cónsules del Emperador de Rusia, el cual'podrá: poner á este fin agentes en aquellos puntos que crea conve ............ - SAJONIA. nientes. 4.0 Para asegurar el cumplimiento de esta…</t>
  </si>
  <si>
    <t>Núm. 315- ' (7 cuartos.) 1739 G A C E TA D E M A D R I D. MIERCOLES 14 DE NOVIEMBRE DE 1821. NOTICIAS E XTRA N G E R A S. rio que habia cubierto todas las negociaciones, y el secreto se Ies ha escapado involuntariamente. - • . . -■ Africa. ■ . :;í‘ v . JNo sabemos aun de positivo si estas negociaciones están tan adelan ,, - •…</t>
  </si>
  <si>
    <t>Nám. 3S*. (yeuártM.) í?8j i^*aKcg»aF3apq«ipq«gígqHroc3{aB«f^ G A G E T A D E M A D R I D. MIERCOLES ai DE NOVIEMBRE DE i8at. NOTICIAS EXTRANGERAS. La mudanza de ministros, de que hicé'bastante tiempo »e hablo, 1!9 ha tenido efecto, y parece se difiere hasta una época muy remota. Entré ALXUANIA. tanto todo se va arruinando con el sistema que se ha seguido ha…</t>
  </si>
  <si>
    <t>Núm- 354' ( 7 cuartos.) m G A G E T A DE M A D R I D. MIERCOLES 12 DE DICIEMBRE DE i8»i. NOTICIAS EXTRANGERAS. las, aunque se dice que contiene algunas estipulaciones acerca de los negocios de Alemania. De todos modos es muy positivo que ei sistema AUSTRIA. austríaco (asi se llama aquí la unión íntima con la corte de Vien…</t>
  </si>
  <si>
    <t>Miércoles, Madrid</t>
  </si>
  <si>
    <t>Madrid Miércoles</t>
  </si>
  <si>
    <t>…Cortes lo comunicamos á V. E. NOTICIAS" DÉ ESPAÑA. al efecto , incluyéndolas adjuntas. Dios guarde a V . E. muchos años. Madrid 28 de Junio de 18 2 1.= Francisco Fernandez Gaseo , diputado Madrid Miércoles 18 de Julio. secretario. = Pablo de la Llave , diputado secretario, =eir. secretario de SS. AA. continúan sin novedad en su importante salud. litado y del Despacho de la Guerra.”</t>
  </si>
  <si>
    <t>Migoni, Francisco de Borja</t>
  </si>
  <si>
    <t>Francisco de Borja Migoni</t>
  </si>
  <si>
    <t>….se había limitá- para las Cortas, ordinarias de 1815 y 1816, residente en Madrid. Su do cómo debía' al■ artíf riló; dé' qué': sé ‘ trata: qué ; lbs ' antecedentes; qué plente, el Sr. D. Francisco de Borja Migoni, del comercio , residente habiateriido lá comisión para resolver sobre. este asunto eran proposi en Londres. . t'.ií -.i- ■ ciones y :éxposiciones de_dirérentes .corporaciones y compañías ; q-ee la Póir, laL,provincia de laiPuebla; los señores coronel, dél re…</t>
  </si>
  <si>
    <t>Migue</t>
  </si>
  <si>
    <t>…stitución española , que Josef Chtcutnberri-cuñadería , cabo segundo ij. Pedro Gar citó, y que en todos los actos públicos y diplomas se aña cía Obeso: milicianos D. Máximo Bares. D. Migue! Cadiese á la palabra Rey la de constitucional. ma'eño, D. Juan Saíz Lastra, 1). Franeí-co Casarietto y Se procedió al nombramiento de cinco diputados para D. Mannel Gutiérrez; y ademas el ciudadano D. Francisco la comisión que debe establecer las bases de la…</t>
  </si>
  <si>
    <t>MígueJ</t>
  </si>
  <si>
    <t>…ariscal de campo D Edmon- El barón Don Genaro Bamma- lo cual, y no dependiendo, como se había dicho, este artículo de lo* do O’ Fanis. ' caro.' . , anteriores, debía aprobarse. El coronel D. MígueJ. Ángel Ro Secretario el abogado D. Do El Sr. López (j D. Marcial) dijo: Todos conocemos que con respec bería. mingo Napolerano. to á las tarifas ha habido muchos abusos que se deben remediar; pero La policÍ3 de Ñapóles no se descuida ; y los austríacos están…</t>
  </si>
  <si>
    <t>Miguel</t>
  </si>
  <si>
    <t>…e se borren los dos con poder bastante, acudan á deducir su derecho ante rasgos que se hayan' grabado en él: asi el grabador egecuta el propio Sr. juez: y. escribanía del cargo de D. Miguel de sobre una hoja de acero reblandecido el dibujo que había Llama; en la inteligencia que se ha señalado para celebrar de haber egecutado sobre el alambre: Mr. Perckins conduce junta de todos los acreedores el día 28 de Enero del año después la lámina de acer…</t>
  </si>
  <si>
    <t>…y á su augusta familia , á quie se está preparando un navio de hnea para conducir á Lisboa res cordialmenre aman y adoran; pero no vivian contentos, al Príncipe Real o al Infante D. Miguel; pero aun esta me ni el contento pueda hallarse jamas unida en una nación</t>
  </si>
  <si>
    <t>…l Rey cia de los individuos que en su distrito se encuentren eri determinar, á consulta de dicho Tribunal, que á D. Luis, este caso para tomar las disposiciones indicadas. De Real D. Miguel y D. Francisco Baza, huérfanos del sargento Orden 16 comunico á V. S. para su inteligencia y cumpli mayor que fue del regimiento infantería de Sta. Fe, se les miento de ese tribunal. Madrid 16 de Eneró de 1821;” continuase abonando por la tesorería de egército de Valen cia la pe…</t>
  </si>
  <si>
    <t>…de la noche. ... '• Cádiz a de .Marzo. ■■’• ror.TUc.At. .; , . ... i; ; .Ha entrado en este puerto el bergantín goleta española MaríetlsáLisboa 2 8 de Febrero. .. , ..... bel, su capitán D. Miguel. Martin Barón ¿ procedente de. Veracruzv-1» Havana.y Ja Guaira, en;¡4r días.desde.ebúltimo puerto, con añil, ca Sesión de Cortes del ¿7. , ., cao., café y correspondencia. Dice este capitán que la división'de buLeída y aprobada el acta de la anterior ,.¿e: di…</t>
  </si>
  <si>
    <t>…reflexiones cristianas sobre nuestra flaqueza: obra Llegó el siglo xvm, siglo de-filosofía y luces, durante el cual no -.de.Sor Luisa de la Misericordia, traducida del francés por D. Miguel pudieron menos de hacer rápidos progresos los sanos principios de una Copin: un tomo en 8.°, segunda edición Se hallará en la librería de política ilustrada. En efecto, asi se vió en la insurrección de las colo- la viuda de Ramos á 9 rs. en pasta. . 1 11 as i…</t>
  </si>
  <si>
    <t>…aban sus sentimientos patrió han gastado para este efecto. ticos , y lo sensible que les habia sido el que el juez de primera ins A la de Guerra se mandaron pasar una solicitud de D. Miguel tancia de dicha ciudad, cumpliendo una oiden dada por Ja audiencia Josef Aiberni, pidiendo una recompensa por sus servicios, y una ex de Valladolid, se haya apoderado de la persona del Farolero, que coa posición de D. Josef Martínez Flom y diferentes oficiale…</t>
  </si>
  <si>
    <t>…l Despacho , podrán acudir ,en el término perentorio de ocho guo hospodar de Moldavia, general mayor al servicio de Rusia, pera días, contados desde el de la publicación, al señor diputado D. Miguel sin empleo un añu hd, se dirigió desde la Besarabia á jassi con un nu Martel, individuo secretario de la comisión del Diario, quien está au meroso séquito, de arnautas,anunciando querer libertar á los .griegos torizado para manifestar las condiciones bajo las…</t>
  </si>
  <si>
    <t>…ión. , años Villareal 25 de Abril de t82l.=Excmo. 3r.=El capitán coman A la de Hacienda se mandó pasar una exposición de D. Josef Pla dante, Fernando Alvarez de Sotomayor. =£xcmo. Sr. D. Miguel de za, vecino de Cádiz , solicitando se pongan en egecucion las ordenan Alava.” ... . zas del cuerpo de artillería de Nueva-España, y se le faciliten algunas P. D. Se ha conseguido libertar todos los prisioneros que llevaban. cantidades en calidad de reintegr…</t>
  </si>
  <si>
    <t>…mpañía titución , tal cual se hiciere en Portugal por las Cortes.=Príncipe Real, habia arrancado del Gob ernó arbitrios para una empresa, que aunque D. Pedro de Alcántara: Infante D. Miguel. (_Suf¡emento al diario de costosísima, habían excedido aquellos á las obras que se habían hecho; la Regencia dt Portugal de 27 de Atril.)</t>
  </si>
  <si>
    <t>…misma sobre que vuelva al Gobierno el recurso de Dona mas empleados de su secretaría, especificando los que no lo estuviesen Ana María de Tejeda , vecina de Chinchilla, y viuda de D. Miguel en virtud de Real licencia, y no hallarse esta cumplida. López del Castillo’, en solicitud de que se le asigne por viudedad la 2." A estas certificaciones pondrán los Gefes políticos su-visto bue sexta parte de la renta de un vínculo que posee .su hija menor…</t>
  </si>
  <si>
    <t>…es han remitido de li adoptaba en ios mismos términos. Aprobado. mosna desde la Havana. La comisión añadió el siguiente artículo ademas de los aprobados El de D. Josef Salvadores, D. Miguel y D. Rafael de 1» Puente so respecto de tesorero». bre que se les admitan créditos liquidados en pago de lo, que deben n Los tesoreros de provincia continuarán siendo propuestos por el como arrendatarios de las rentas de la mitra de Astorga. La comisión tesorero general…</t>
  </si>
  <si>
    <t>…o lo hiciesen los diputados. do hoy las aguas, y le han probado bien.” A las dos y media se recibió aviso de que S. M. había desembarca do, y que le acompañaban los Sres. Infantes D. Miguel y D. Sebastian. Por el mismo conducto se comunica que el Rey ha oido con aera A las tres y media llegó otro de que S. M. estaba en el palacio de do las alocuciones siguientes: las Necesidades, é iba á apearse. i.i „ A la entrada de SS. MM. en el territorio déla provincia de…</t>
  </si>
  <si>
    <t>…n. para ellos, y en su defecto para sus mugeres é hijos. 2,= con que adora á su augusto Soberano, fue el que dirigió sus accio A los mariscales de campo D. Felipe de Arco-Agüero , D. Miguel nes en la heroica resolución que tomó. = Montevideo 20 de Marzo López Baños , D. Demetrio O-Daly y D. Carlos Espinosa se señal3 de x 821.” Siguen las Jimias de los gefes y oficiales de los cuerpos. otra rema anual de 408 rs., y otra de ao3 al brigadier D- Man…</t>
  </si>
  <si>
    <t>…egún dicen ha dado el ryis- ción del Príncipe Real y la de los Sres. Infantes, y hallándose el t.r. effendi, el cual ha manifestado que ja Puerta baria todo io posible por Infante D. Miguel en la edad en quemas se necesita de buenos direc evitar la guerra con la Rusia, á causa de que no habiendo podido so tores, pido que se pregunte al ministro del Interior cómo se ha mirado focar la insurrección de los griegos, le seria mucho mas difícil, y aun…</t>
  </si>
  <si>
    <t>…iebre amarilla: ia en que contestando á la pregunta de las Cortes sobre la educación que circunstancia de haber arribado á este puerto de dos meses ¿ esta parte se daba al Infante D. Miguel, manifestaba que su maestro era Fr. An un gran número de buques procedentes de la Havana , donde reina endé tonio da Arrabidas; y de francés un eclesiástico de aquella nación. micamente: la misma confimacion que ha dado en la inspección de es Se leyó un ofici…</t>
  </si>
  <si>
    <t>…uales. Éstos mismos montes Oniqs, que forman un tirapo separado de los del continente y de los de la península , ofrecen al Peloponeso i El lie y/se.ha servido nombrar al teniente general D. Miguel de una defensa natural, que mediante algunas fortificaciones podria casi Alava comandante general interino del distrito, militar de Aragón, en llegar á ser inexpugnable. atención á stfs relevantes prendas, á sus particulares méritos-y servicios, Al oeste de e…</t>
  </si>
  <si>
    <t>…Príncipes, haciendo que los Estados, Se suspendió el tratar de los viages que debia emprender -el Señor se gobiernen por medio de caimacan.s, quí tiene ya nombrados, y que Infante D. Miguel para otra sesión, y se levantó la de esté dia. los habitantes y, el pueblo sean-protegidos por los empleados que ha es tablecido. ■ NOTICIAS DE ESPAÑA. Si lá corte de Rusia, queriendo mas bien calmar Ja desconfianza y la inquietud de una grande nación1 que co…</t>
  </si>
  <si>
    <t>…stituyan á sus casas. Extracto de varios partes de oficio recibidos de Caracas. Modificación. A la tropa española americana se la permitirá con Con fecha de aS de Mayo da parte el brigadier D. Miguel de la sultar su voluntad, pudiendo marchar el que quiera á Puerto-Cabello Torre desde el cuartel general de Valencia de que el dia 14 entró en con sus armas y municiones, ó alistarse en el servicio de la república, la plaza de Caracas el general enemigo Bermu…</t>
  </si>
  <si>
    <t>…S. á encargarse inmediatamente del mando político de esa pro lla cesión, voluntaua en el nombre, pero en realidad exigida á la vincia, una vez que egerce ya el militar el teniente general D. Miguel fuerza, haria criminal el silencio de los recurrentes, y se cubrirían de una Alava , nombrado anteriormente para desempeñarlo, disponga se for infamia que excitaría justamente contra ellos el odio de toda la Na me la correspondiente surqyia de los sucesos aca…</t>
  </si>
  <si>
    <t>…isterio de Hacienda, á quien pertenecía este asunto, de Escamará. Di Rafael Tramagalia. había tratado de remediar estos males, y sobre ello había informado 1* El mariscal de campo D. Miguel El juez D. Agustín CappelU. dirección de la Balanza; y que las Cortes no: debían permitir que si Candrían. El barón D. Genaro Ferrara. guieran estos abusos, sino cortarlos de raiz á la mayor brevedad; por El mariscal de campo D Edmon- El barón Don Genaro Bamma-…</t>
  </si>
  <si>
    <t>…d., 3 carros de prado, en venta 198 rs---El Rey, en atención á los distinguidos servicios del mariscal de En id. , 4 carros de prado, enventa 264 rs__ En id. , 2 carros y un campo D. Miguel de la Torre, general en gefe del egército expedicio octavo labrantíos, en venta 163 rs—En id., 2 carros y 1 octavos de nario de Costafirme, ha venido en condecorarle con Ja gran cruz de la prado, en venta 148 rs----En id. , 2 carros y 6 octavos de prado, en o…</t>
  </si>
  <si>
    <t>…vincia de háavarra. D. Josíf Luis Munarriz; D. Fer tado decreto de 29 de Junio hasta la de este, aunque no estén pagadas, mín Alvarez Enlate, penitenciario de Santiago de Galicia; D. Miguel tomada posesión ni otorgadas las escrituras. Escudero. Suplente. D. Angel bata&gt;eta de Jlurdoz. 4. " y por úitirno que no se satisfaga dicho derecho por ningún*</t>
  </si>
  <si>
    <t>…Gutiérrez Acuña , Paul, Calatrava, Lallave (D. Vicente), 0I¡daderos enemigos del sistema están levantando la cabeza, amenazando ver , Serrallach, Rovira, Vadillo, Cosío, Ramírez (D. Miguel), Ló á la causa de la Nación, /atentando contra la libertad , que tan glorio pez (D. Patricio) , Ayestarán , Puchet y Zapata. samente ha recobrado; y por lo mismo es necesario que el Gobierno Los Sres. que votaron contra el dictamen fueron los siguientes: Gil…</t>
  </si>
  <si>
    <t>Miguel'JdsefRamifSíydi</t>
  </si>
  <si>
    <t>…o haber líigár á tomar en consideración la proposición referida, . ' vasaUáge, que les obligan á hútaillabiónes indecentes y á lós'sácnficios Entró a jurar, y tomó' asiento el Sri D. Miguel'JdsefRamifSíydi mas gravosos: cuando un indio se presenta delante de su protector, en putado por Nueva-Galicia. tra con la cabeza baja, las .manos-cruzadas ,;con humillaciones profun - Lá comisión de Marina presentó su, dictamen acerca de las distin das, y cargando sobre sus…</t>
  </si>
  <si>
    <t>Miguel, Evaristo S.</t>
  </si>
  <si>
    <t>Evaristo S. Miguel</t>
  </si>
  <si>
    <t>…. ....... ....... O.......... .... ag... Parroquia de S. Josef, 8 electores. Dia 20 ........... ........ 2....... ....... 2....... ....... O...» ...... 2(5... D. Clemente Noguera, D. Evaristo S. Miguel, D. Felipe de 1 a i6. 6. 2. 91. Calle, D. Gabriel Josef García, D. Gregorio Sainz de Villavieja,. L&gt;, Josef Espinosa, D. Josef Ruiz de Porras, el marques de Espinardo Lebrija. Parroquia de S. Lorenzo, 20, electores. Del 13 al ao... ....... 63..... •• 3*......…</t>
  </si>
  <si>
    <t>…Vil la nueva, magistra D. Pedro Goosens, oficial de la se. Ultimos partes Til ¡huios del Puerto de Sta. María. do de ésta audiencia. cretaría de Guerra. D.Ramon Truxillo , médico. D. Evaristo S. Miguel, oficial del En la población. Invadidos de ., Muertos. Curados. Existentes. D. Rodrigo Aranda, hacenda estado mayor del egército. la liebre. * Dia 21.............. ....... 12,.*... ........ 4....... ....... 12.... ......127 Dia 22............. ........ 20....…</t>
  </si>
  <si>
    <t>Miguel, Evaristo San</t>
  </si>
  <si>
    <t>Evaristo San Miguel</t>
  </si>
  <si>
    <t>…s Cortes recibieron con agrado, y mandaron pasar á la biblioteca, época en adelante se deberán pagar los intereses. Esta es la razón mas ocho egemplares remitidos por el ciudadano D. Evaristo San Miguel fuerte que se puede oponer para que se paguen dichos intereses desde de una obrita acerca de la organización del egército permanente, limi Setiembre en adelante. ' tándose solamente á la infantería y caballería. La comisión pensó que se debería pagar el año e…</t>
  </si>
  <si>
    <t>Miguel, Josef</t>
  </si>
  <si>
    <t>Josef Miguel</t>
  </si>
  <si>
    <t>…ener Vargas, Uraga , Cortazar, Valdés, Fagoaga, Zavala, Rio, Navarreegércitos numerosos, sin los cuales no podría subyugar á aquellos ha te, Arroyo , Montoya, Apartado, Ramírez (_ D. Josef Miguel), bitantes, cansados ya del despotismo. Hacían presentes ademas los varios Guerra f D. Josef Francisco), Sánchez ( D. Josef Domingo), Ayestaartículos de la Constitución que eran impracticables en las provincias rán, Mendez, Dávila, Sánchez Pareja, Castoreña,…</t>
  </si>
  <si>
    <t>…a, cuencia el Sr. presidente nombró para ella á los Sres. Calatrava, To- y qtie el dicho papel me-fue entregado por sorpresa y por mano deseo-reno , Martínez de la Rosa, Ramirez ( D. Josef Miguel) y Murfi. nocida, mal queriente aLD. Josef Decaí; como tambienque es calum Concluido esto , se levantó le sesión á las tres menos cuarto. nioso todo su contenido, cuando el verdadero autor oculta su nombre,y cuando provocado por el ofendido, no ha salido á so…</t>
  </si>
  <si>
    <t>Miguel, S</t>
  </si>
  <si>
    <t>S Miguel</t>
  </si>
  <si>
    <t>…evo, cuyas épocas señalará El Sr. López (D. Marcial): TJ-; de las reflexiones mas fuertes que el Gobierno.” Fue aprobado. se hicieron para que se desaprobase el nrt. 11 fue la del Sr. S Miguel, Las mismas comisiones reformaban el artículo que presentaron so relativa á que obligándose á un catatan , andaluz ó aragonés que vinie lare introducción de máquinas extrangeras , propon &gt;ndo se añadiesen se v. gr. á Madrid á observar Jas leyes y reglamentos…</t>
  </si>
  <si>
    <t>Miguel, S.</t>
  </si>
  <si>
    <t>S. Miguel</t>
  </si>
  <si>
    <t>…de que en lo sucesivo se observara en toda ¡qiiisician” se añada-: o ú otros documentos fidedignos.” 4ü fuerza y vigor lo aprobado ya por las Cortes, respecto á que no .. -...El :Sr. S. Miguel: apoyóñssta adición., manifestando que cuando las -se provean empleos militares que no tengan la vacante efectiva , para Cortes extraordinarias expidieron el decreto de 6 de Agostó -de i81 r, no privar en tanto al egércitó del estímulo que las circunstancias…</t>
  </si>
  <si>
    <t>…lo que hace, y lo que está preveni manifestó que era de mucha necesidad la definición de que se trataba. do por la ley que lo prohíbe. Pero esto sería exigir una cesa que seria El Sr. S. Miguel dijo: Conozco la dificultad de dar una definición muy dificil ó casi imposible probarla. Por otro lado la comisión reco en una materia tan grave; pero también conozco que se debe dar una noce que sin haber voluntad y mala intención hay delito, puesto que idea…</t>
  </si>
  <si>
    <t>y precisos, ó que deben considerarse en todo código como disposicio » Del Sr. S. Miguel: Qus í la palabra ley se añada que prescribe 6 nes comunes; pero sin necesidad de entrar en las cuestiones académicas prohíbe algún acto con cierta pena. de lo que es delito y qué es culpa, en lp que ya hemos visto que no » Del Sr. Cabarcas: Pido que subsista…</t>
  </si>
  <si>
    <t>…rtos delitos aislados le parecía que debía establecerse en habia manifestido al principio de su discurso. este articulo , disminuyendo en lo posible las - penas que se imponían El Sr. S. Miguel opinó que este artículo debía suprimirse, poniendo en el mismo. en el lugar oportuno la pena correspondiente á cada tentativa, gradua Manifestó en seguida que convendría suprimir las palabras par re das por regla general. gla general, porque todas las leyes e…</t>
  </si>
  <si>
    <t>…n de este artículo, sino con respecto policía , que es notorio á todo el mundo que rigen en todas.Jas nacionesal 10 aprobado ya. Sin embargo de estar sentado este principio, la El Sr. S. Miguel: C¡eo que no debe admitirse ¡a excepción que se</t>
  </si>
  <si>
    <t>…abiendas conciertan de con suno la egecucion de una culpa ó delito que llega i tener efecto; pero cabotaje. que no cooperan ni ayudan á su perpetración en el acto de cometerlo, El Sr. S. Miguel leyó por segunda vez parte del código civil. Se procedió á I3 discusión del dictamen de la comisión de Salud-pú ni la causan por ninguno de los medios expresados en el art. 15. Segundo. Los que sin noticia ni concierto previo acerca de la culpa blica sobre la…</t>
  </si>
  <si>
    <t>…r medidas de! Gobierno , que si en algún punto hubieran te har a según las facultades que tiene todo diputado para ello. nido cumplimiento, la anarquía hubiera sido inevitable. El Sr. S. Miguel deshizo algunas equivocaciones que dijo había pa Bajo estos principios no es extraño que unos diputados tan amantes decido el Sr. preopinante. de su patria, como los mismos Sres. de ¡a comisión, manifiesten esta es Se declaró en seguida el punto por suficient…</t>
  </si>
  <si>
    <t>…ortes quedaron enteradas de un oficio del secretario de Ha •si como la dotación para gastos de secretaría. cienda, y mandaron archivar seis medios luises resellados, que acompa El Sr. S. Miguel dijo que el Sr. preopinante habia dicho que Ovie ñaba la junta directiva de casas de moneda. do, entre otras capitales, podia reducirse á la cuarta clase en orden á También quedaron enteradas de otro oficio del mismo secretario , y los sueidos, porque estaban…</t>
  </si>
  <si>
    <t>Miguel, San</t>
  </si>
  <si>
    <t>San Miguel</t>
  </si>
  <si>
    <t>…ar la discusión sobre los eníiteusis y demas foros conacidos en el derecho común , y tratando señoríos. solo de abolir les restes de la feudalidad ; á.saber: que los puebles no El Sr. San Miguel dijo que durante el tiempo que habia mediado .satisfagan verdaderas contribuciones disfrazadas con el velo del derecho desde que dió su dictamen en las Cortes extraordinarias de i8ir,y el de propiedad: que para no perjudicar á los que legítimamente poseyesen…</t>
  </si>
  <si>
    <t>…rrascosa y Ambrosio.” ciones acerca de la reversión é incorporación, concluyó diciendo que era imposible dejar de aprobar el artículo 2.0 de que se hablaba. ARTICULO DE OFICIO. El Sr. San Miguel dijo que para que se procediese á la discusión con la ilustración correspondiente pedia que se leyese la ley 6.a del tír. 5.0 del lib. 3.0 de la Novísima Recopilación, la que decia que per El Rey ha expedido el decreto siguiente: tenecía á los Reyes hacer gra…</t>
  </si>
  <si>
    <t>…para Alcoy D. Josef presentación de los títulos , y haciendo lo misino acerca de lo que ha Villegas Cevallos; para Castellón de la Plana D. Josef Calabuig y V,ebía manifestado el Sr. San Miguel en la sesión anterior , con varias le Jlot; para Alcira D. Antonio Martínez Arroyo; para Alcora: D. Ramón yes sancionadas por los Reyes, en contrario de lo que prevenia la del Bernús; para Nules D. Atanasio Pinos y Palos; para Murviedro Don nño de 1455 , cita…</t>
  </si>
  <si>
    <t>…de la antigua pro tendiéndose el efecto de este bando para los reincidentes.” vincia de la orden , ó á los que estimen mas proporcionados , poniéndose Se leyeron dos adiciones del Sr. San Miguel, una al art. 4.0, y otra de acuerdo con las respectivas autoridades; y-que para verificar este arre al 2.°, 3.0 y ,g.°, que decianr la primera: » Que los que inmediatamente glo asignen el término mas breve que sea posible, dando cuenta á S. M; después de íá p…</t>
  </si>
  <si>
    <t>…o por pregón, y se franqueará á cuantos quietan enterar presente antes de ser filiado. se de él. En este último artículo se añadió á psticien de! Sr. Marín Tauste Y á petición del Sr. San Miguel se añadió: » en el supuesto de que las siguientes palabras: „en el cuerpo á que se suscribe.” pasado dicho término de tres dias no se admitirá redamación alguna.' ■ Asimismo se aprobaron los tres siguientes: Asimismo se aprobaron-las siguientes : Art. 8.° ■&gt;…</t>
  </si>
  <si>
    <t>…nci cluso el fiscal togado de este tribunal, que como tal conoció de ia pios fundamentales. No se admitió á discusión la indicación del señor misma. Se leyó el voto particular del Sr. San Miguel, el cual disentía Puigblanch. del dictamen de la comisión en cuanto á la formación de causa al fiscal Se continuó la discusión sobre instrucción pública. togado, del tribunal especial de Guerra y Marina, y se mandó quedar Art. 48. *&gt; La medicina, cirugía y fa…</t>
  </si>
  <si>
    <t>…rtad nacional y con el decoro de la Constitución. Se suspen en una de las salas del ayuntamiento, á las 12 de la mañana del pri dió esta discusión , y se aprobó una indicación del Sr. San Miguel, re mer dia útil siguiente á los 30 arriba dichos , que deberán contarse des lativa á que se hagan tres lecturas del dictamen de la comisión de Le de aquel en que se inserte este anuncio en la gaceta inclusive. gislación sobre el nombramiento de diputados á C…</t>
  </si>
  <si>
    <t>…ita á las Cortes una y se mandaron pasar á la comisión una adición .del Sr. López (Don lista de los capitanes generales , cabos, comandantes generales , coman Marcial), y otra del Sr. San Miguel. dantes de provincia y gobernadores, que por su ministerio hayan sido Se principió la discusión de. las, adiciones á los artículos del plan nombrados en las provincias de Ultramar desde 9 de Marzo de 1820 de Hacienda sobre diezmos. La comisión aprobaba ,1a. a…</t>
  </si>
  <si>
    <t>…ecutado por virtud deL convenio de su predecesor.” Aprobado. al mismo tiempo que elogio la hermosa conducta del Sr. Quiroga , no La misma comisión , en vista de, la indicación del Sr. San Miguel puedo menos de oponerme á su representación , y á otra cualquiera de al art. a.°, proponía se añadiese á este lo siguiente: » Despues.de las pa los caudillos que ayer recibieron un premio de la gratitud de la Nación labras » pupilos y menores” las de » quiene…</t>
  </si>
  <si>
    <t>…biese de parte deL Señor Después de haber hecho varias reflexiones el Sr. Giraldo en los Ramonee mas delicadeza este año que el anterior para aprobar dichos mismos términos que el Sr. San Miguel, fue de parecer que debería presupuestos. aprobarse el presupuesto por las circunstancias actuales, dejando al Se declaró este asunto suficientemente, discutido, y se aprobó el cuidado del Gobierno el rectificar las equivocaciones que se notaban dictamen de i…</t>
  </si>
  <si>
    <t>…tener este importante objeto. Instruir v comunicar vigor á .as auto la capital que las Cortes aprobasen. ridades encargadas de la administración , apartar abusos, connb nar los El Sr. San Miguel dijo; Nó voy á manifestar razones de provincia intereses de los contribuyentes dando el alivio que la justicia recomen lismo; conozco que todas las provincias,son dignas de estimación y de daba , y pronunciando con franqueza, repetición y energía que sin pa a…</t>
  </si>
  <si>
    <t>…tación provincial ; y que la ciudad de las Palmas quede privada der retirarse á su provincia. Quedó concedido. de la posesión, sin embargo de las muchas razones que la asisten. El Sr. San Miguel continuó la primera lectura del código civil, y El Sr. Rovira dijo; Que por la falta de datos que tiene la comisión, se mandó imprimir la parte que se habia leido. y aun el Gobierno , no ha tenido aquella por conveniente señalarla ca Continuó la discusión sob…</t>
  </si>
  <si>
    <t>…ara secretario saiió erecto lambien en primer escrutinio el Sr. Gar «Y nosotros, ¡señor, hemos oído á lodos los que disfrutan de estos cía Page por 82 votos de 111 ; teniendo 8 el Sr. San Miguel, 6 el se beneficios atribuírselos á aquel.i quien se los ha proporcionado , llenán ñor Priego, 4 el Sr. AzaoU,.2 el Sr. Sancho, y uno respectivamente dole de bendiciones; á V. M., Señor, y á ese genio de vuestras institu los Sres. Torre Marín, Marín Tauste, C…</t>
  </si>
  <si>
    <t>…designio,,luego no se. explica bien el principio á ¡a egecucion del delito ó la prepare. - . -■-•■ - :3 designio can la palabra tentativa, siendo .esta la prueba del designio ó El Sr. San Miguel: Convengo en las ideas que se han imuiféstado .del canato. Por esta razón cuando se, trata de .probar el conato explíci acerca de lo que es la tentativa de ua deiito; pero debo decír'.miópi— to ó manifestado por la acción exterior, se acude muchas.veces á ias…</t>
  </si>
  <si>
    <t>…ue resultarán mayores ventajas sí se aprueba en esos tér - aprobó eí dictamen J&amp;s ccn.'jicucs. ,cürcr.i¿as.d¿ Las 0-H‘tcs quedaron un oficio del Sr..secretario de Gracia minos. El Sr. San Miguel manifestó que en el momento , aun siendo én el ^.Juslici'3^ en el t|u&lt;; pártictgsbii que-S» M. había resucito truila.íarv- a invierno, que era el peor tiempo del año , que se dijese en Gljon v. (,r. esta coité^desde el sitio de S. Lorenzo en compañía cié S- M…</t>
  </si>
  <si>
    <t>…e co otfo modo no creo que deba ser asi, y por io mismo opino que debe metan , sino como se fija en el artículo; y aunque las observaciones del volver este artículo á Ja comisión. Sr. San Miguel son muy justas , sin embargo , considerando este ar El Sr. Vitotica hizo varias reflexiones para apoyar el artículo, y tículo mas por los sentimientos del corazón que por otra cosa ,y por lo manifestó que en él no se trataba de determinar los casos en que un…</t>
  </si>
  <si>
    <t>…á fulano, y lo supiesen raros paitidos, y hirco por 13 noche s- clocií 1 a palabra delito Inclusive. sen y resultasen va.-Í3S muelles, ;se p' dría d e r que el qu‘ acón* ::■&gt; S El Sr. San Miguel: Siguiendo la Opinión de la audiencia de Sevr- que fuesen á dar aquel1» u.ús.ca eta aux.l i.dor de ;&gt;U» muerte»? No</t>
  </si>
  <si>
    <t>…tación del Con de 800 rs. vn. mensuales; el segundo y el de recorrida 700; unos y greso encargada de felicitarle, por su feliz regreso á esta capital. otros sin goce de ración. El Sr. San Miguel continuó la segunda lectura del código de-pro Art. 203. Suprimido. cedimientos. Art. 2g&lt;S. » El recibo de todos los géneros se verificará, previo exa Se suspendió á poco tiempo la lectura del código, y se leyó la lista men y reconocimiento egecutado por el ge…</t>
  </si>
  <si>
    <t>…actado en los términos que se al que lo aconsejaba ; á Jo que contestó el Sr. Vadillo que muchas ve debía. ces el consejo solía ser mas funesto que no el mandato, según las cir El Sr. San Miguel: No reproduciré las razones que según manifesté el cunstancias particulare* que podia haber; y que siendo casi impercepti otro dia había en mi concepto para que las Cortes desaprobasen este ar ble la diferencia que hay entre uno y otro, no se podían establece…</t>
  </si>
  <si>
    <t>…informes sobre este ar experar.za de salir de un estado provisional, y los primeros pasos dados tículo. bajo vuestros auspicios hacia un sistejpa regular de administración; el El Sr. San Miguel hizo varias observaciones sobre él, dirigidas á orden y la disciplina de un egército fiel á quien el honor y ti amor al manifestar que en vez del mínimum y máximum que propone la comi Rey hacen firmemente adicto á sus banderas; todos estos rasgos reunidos sió…</t>
  </si>
  <si>
    <t>…r los hijos, se podía ha | otar en el código penal, sino en el civil. cer alguna adición. El Si. Gareli: La comisión conviene en que estos procedimientos Después de haber hecho el Sr. San Miguel varias observaciones 10a justamente civiles, luego es imposible que en un código criminal contra este artículo, á las que contestó el .Sr. Crespo Cantoiia, se sus u fi|e un procedimiento civil. Puesto que hay un código penal, en este pendió) esta discusión. ¡…</t>
  </si>
  <si>
    <t>…e pusiese en casos extraordiñarlos, en razón de Del Sr. Giraldo al art. 40: « Que se extienda á las cárceles.” que está probado ya que conviene mucho en tiempo de epidemia que Del Sr. San Miguel al art. Ó3 : » Que se añada bajo las reglas que se los enfermos esten lo mas separados que sea posible. establecieren en el código civil.” Habiéndose conformado ios Sres. de la comisión con esta modifi Del Sr. Moreno al art. 111 : « Sin perjuicio de los derec…</t>
  </si>
  <si>
    <t>…an operaciones anatómicas en los cadáveres de los conde bia fundado la «omisión para no haberlas adoptado. nados por traición y parricidio? Me parece que no, y que no merece es El Sr. San Miguel dijo que se conformaba con este artículo , siempre to la pena de que se varíe el artículo. ; Por ventura cree el Sr. Romero que las diligencias que se practicasen fuesen el reconocimiento de la Alpuenle que habrá tantos en España que sean condenados á muerte…</t>
  </si>
  <si>
    <t>…tado contador principal en vez de acudir á V. S. con semejante queja, á las que contestó el Sr. Calatrava. no haya reclamado del intendente de la provincia la apiieacion de la El Sr. San Miguel manifestó que debería hacerse una adición res Real orden de 21 de Julio de 1817, reiterada en 29 del propio mes pecto á este artículo, añadiéndose después de las pa]abm'¿&gt;uena'conducta de este año, por la que se previene la suspensión de un mes de sueldo las…</t>
  </si>
  <si>
    <t>…edó aprobado. Habiendo adoptado esta adición los Sres. de la comisión , y después Art. 97. « Si el reo ó reos ó los que deban responder por el!, r, de haber apoyado el artículo el Sr. San Miguel, quedó aprobado en no tuvieren bastantes bienes para pagar toda la coudsnac. m pecuniaria, los nvnos jvfrr'dns. se aplicará el importe de lo que tengan hasta donde alcance en c.r Art. 8rf. w H apcf'C bítniento iwiícial consistirá en expresarse y de den siguie…</t>
  </si>
  <si>
    <t>…or, vacante por la promoción del duque habiéndola habido en el primer escrutinio por haber tenido el Sr. Zorde Montrose á la de gentilhombre. raquin 36 votos, el Sr. Tapia 40 y el Sr. San Miguel 10 del total _Corre una anécdota singular, de cuya certeza no salimos garantes, 103 , se procedió á segundo escrutinio entre estos tres Sres., y resultó y se teduce á lo siguiente: Se dice que Mr. Car.ning ha titubeado elegido el Sr. Tapia por 61 votos del to…</t>
  </si>
  <si>
    <t>MiguelPaa-</t>
  </si>
  <si>
    <t>…l término nombrado PeñalogroD. Antonio Garnica , D. Bedro Talens, D. Josef Varona, ño, con solo las cuatro paredes de piedra y su puerta vie D. Miguel Gardoqui, D. Antonio Butrón, D. MiguelPaa- ja , en 1,200 rs. din y D. Joaquín Rubalcava. Cinco heredades, compuestas de 29 fanegas , 11 celemi nes , en la misma jurisdicción de Logroño, en 5,696^ rs. N5M. 20. Nota. Las tres antecedentes fincas se hallan libres da Relación de fincas que se están subast…</t>
  </si>
  <si>
    <t>Míhcmcd</t>
  </si>
  <si>
    <t>203,4 de Noviembre. Estas confirman la noticia de ’ia Invasión de los persas Art. ni. Añádate: » Sin perjuicio de la autoridad y derecho» par en el Km distan. El príncipe Míhcmcd, hijo mayor del Schah de Per- roquiales.” sia , ha entrado en el territorio turco por tres puntos, y amenaza al pa Art. 113. Añádase: » Pero esta disposición solo se entenderá para ree r á Bagdad. Este pais ha sido codiciado siempre por la Persia, que lo suce…</t>
  </si>
  <si>
    <t>Miila</t>
  </si>
  <si>
    <t>…troducción del cacao en buques ex Aprobado. tranjeros resultaría una ganancia exorbitante para aqnclios países. Art. 5.0 » Los médicos-cirujanos que no sean necesarios para ios El Sr. Miila: Comí diputado de Ultramar no puedo menos de opo buques de guerra por el corto armamento, podrán una paite de ellos nerme á este artículo, en razón de que le considero perjudicial para pasar á los buques mercantes, gozándola tercera parte del sueldo.” los pai…</t>
  </si>
  <si>
    <t>Milán, Esteban Barezzi de</t>
  </si>
  <si>
    <t>Esteban Barezzi de Milán</t>
  </si>
  <si>
    <t>…os de Grecia. pecha haber concurrido al asalto del cafe, cuyo daño asciende, según ELpríncipe Ipsilanti sigue encerrado todavía en la prisión de Pcst. -cuentan, á 200 escudos. _El Sr. Esteban Barezzi de Milán acaba de descubrir un nuevo méto Francfort 6 de Setiembre. do para atrancar las pinturas al fresco de las paredes en que están colo Siempre vivimos en la incertidumbre¡ sin embargo el barómetro po cadas , y trasladarlas á otra pared sin perjudicarlas en lo ma…</t>
  </si>
  <si>
    <t>Milán, Fernando Antonio de Gaceta de</t>
  </si>
  <si>
    <t>Fernando Antonio de Gaceta de Milán</t>
  </si>
  <si>
    <t>…m mero 11, su fecha 26 de Enero último, denunciado el dia 5 de Febrero prenta , que á todos dejaba el derecho de exponer su dictamen. Cite la próximo pasado por D. Tomas González, D. Fernando Antonio de Gaceta de Milán otra Constitución europea menos improvisada-, que Marín, D. ju.111 Je Saldivia y D. Manuel Morcillo , oficiales de! regi se haya tardado mas cr. formar; que mas se hava discutido: que mas miento de; Aragón, dijo que la ley absuelve á D. Juan Bautista Angui, d…</t>
  </si>
  <si>
    <t>Mile</t>
  </si>
  <si>
    <t>…esta potencia. Si la Rusia tiene desgraciados paises. grandes fuerzas en sus fronteras meridionales , la Puerta quiere oponer » En ia hervía no hay ni habrá alborotos , porque el príncipe Mile otras aun mas grandes , y efectivamente no cesa de enviar refuerzos á losch, guerrero experimentado, y que reina con dureza y energía, tiene la Moldavia y i la Valaqma. Un egército aun mas fuerte se junta en las el mayor interes en que se guarde ia tranquilid…</t>
  </si>
  <si>
    <t>Milian, Blas María de S.</t>
  </si>
  <si>
    <t>Blas María de S. Milian</t>
  </si>
  <si>
    <t>…y el primer remate el señor alcalde 1.° constitucional de Málaga D. Antonio Parejo que de ellas se verificará separadamente el dia rr de Agosto próximo á se pusiera en libertad a D. Blas María de S. Milian y á D. Juan Ruiz las ir de la mañana en una de las salas del ayuntamiento de esta de la Herran , declarando al mismo tiempo que la persecución sufrida M. H. villa, á pagar en créditos contra el Estado, y con sujeción en no les sirviera de nota, ni perjudicara…</t>
  </si>
  <si>
    <t>Milla</t>
  </si>
  <si>
    <t>…SEÍtOR MOSCOSO. mitido al ministerio para quí informase, y que todavía no lo había Sesión del 5. devuelto. Leída y aprobada el acta de la anterior, se mandó) agregar i ella el El Sr. Milla dijo: yo creo que el Sr. secretario del Despacho ha asis voto particular del Sr. Ramírez Cid , contrario á la aprobación de uno tido á todas las discusiones que ha tenido la comisión, y por lo mismo de los artículos del plan de Hacienda. el Gobierno estará ba…</t>
  </si>
  <si>
    <t>…cantidad de qoU rs., vincütsql oficio que se le dirigió en 13 de Mayo último, relativo á una mediante á que las circunstauc.as del erario n» permiten aumentar esta indicación del Sr. Milla, para que se dijese á las diputaciones provin asignación. . ciales y gefes políticos de Ultramar procediesen desde luego á la divi Se leyó una indicación del Sr. Milla, relativa á que en atención á sión de territorio de aquellas provincias; en su consecuencia…</t>
  </si>
  <si>
    <t>…132 n., y en pasta á 168 en la librería de Escribano, y en las provin dos que los que la correspondían. cias en las principales librerías. También se venden sueltas las novelas El Sr. Milla fue de opinión que debía tomarse una resolución ge que contiene, y son la María , ó la Niña desgraciada , un tomo__ La neral con respecto á los Sres. diputados suplentes, y de ningún modo Caravanera, un tomó_-Elisa Bermont, dos tomos___La Gitana ó exceptuar á…</t>
  </si>
  <si>
    <t>…rtes constituyentes del aprobación de esta superior, como que está fuera de sus facultades; en cu año 10. yo concepto no procederán á providencias ruidosas sin su conocimiento, El Sr. Milla dijo que convenía en que aquellas Cortes habían pro teniendo entendido que persistiendo en ella, se dará cuenta al Sr. gefe cedido con mucha circunspección en el ejemplo que habia citado el se superior político y aun al Gobierno, para que con el lleno de sus…</t>
  </si>
  <si>
    <t>…sesión de serlo en el dia , y reúne gado contrarias á que se establezca la capital en Sta. Cruz de Tenerife. ademas la centralidad de población y da movimiento industrial. En s El Sr. Milla! dijo: Veo que es ya molesto el hablar de un asunto guida demostró el orador que siempre habían residido las autoridades que se ha controvertido ya bastante; pero sin embargo quiero manifes en Sta. Cruz de Tenerife, y que si habían estado alguna vez en la tar…</t>
  </si>
  <si>
    <t>…, y asegurar mas en la provincia de Cuenca, y lo útil que les seria pertenecer á la nue y mas el sistema. va de Chinchilla , tanto por la distancia de ambas capitales, como por El Sr. Milla apoyó la proposición , y manifestó que la situación de lá los mejores caminos y otras circunstancias que refieren; por todo lo cual América era bien notoria á toda la Península; pero que especialmente suplicaban á ¡as Cortes se agregase este pueblo á ja últim…</t>
  </si>
  <si>
    <t>…ión quedó aprobado,'añadiendo des debe mirarse este asunto, lo presenta á la deliberación de las í.'oites. pués de la palabra agregados las siguientes : Qus por vacante sean em El Sr. Milla deshizo algunas equivocaciones, que dijo haber pade pleados en eüa. cido el Sr. preopinante. Art. 86. » Los sargentos y cabos del destacamento continuo, dis El Sr. conde de Toreno : No entraré en la cuestión de si se .puede ó frutarán también el mismo haber q…</t>
  </si>
  <si>
    <t>…s por el artículo se infiere que cuando la proposición se acep que quería decir la palabra conjuración. • -ta se ha de castigar, y me parece que no tiene que atenderse a que ha El Sr. Milla dijo: Varias observaciones se han hecho contra est* ya tiu tercero para castigar en sí la acción, porque no creo arreglado a artículo; ss ha dicho entre otras cosas que es el que asegura mas la li ; justicia que si hay uno que no acepta la proposición, no hay…</t>
  </si>
  <si>
    <t>…n que se que no está verdaderamente enterado del reglamento de policía de Ma debia redactar el artículo. drid, se le aplique la pena por entero’ Yo creo que no es justa esta ex El Sr. Milla: No convengo con los principios de la comisión en es cepción, y mas cuando unos y otros se hallan en igual caso. Ademas, te punto. Por lo que se dice en este artículo se requieren dos cosas: i.1 si se admite por excepción la ignorancia de la ley , esta se ale…</t>
  </si>
  <si>
    <t>…ión , y que el uno dice al otro: yo si hubiese tenido dinero hubie este artículo por algunas corporaciones. ra hecho una grande especulación entrando el contrabando por tai par El Sr. Milla dijo: A mí me parece que en cuanto á la primera par te; con cuyas palabras le descubre el medio de entrar el contrabando, te debe suspenderse la discusión de este articulo, supuesto que las Cor el otro , que ignoraba esta proporción , y tiene medios de aprove…</t>
  </si>
  <si>
    <t>…bía servido señalar la hora de la una de este día pa era necesario dejarla al juicio prudente del juez. ra recibir á la diputación encargada de presentar la contestación de las El Sr. Milla apoyó también el artículo con varias reflexiones, redu Cortes al mensage de M. cidas á manifestar que el bien de la sociedad y la debida corrección de Continuó la discusión del código penal. los menores exigian que se adoptase esta medida. Art. 23. » Si las a…</t>
  </si>
  <si>
    <t>…la discusión del código penal pendiente en singular de que la resistencia ha nacido mas bien de partp de los em la segunda parte del art. 27. pleados que de los contribuyentes. El Sr. Milla apoyó dicha parte, fundándose en que un hombre en » La serie de los sucesos que ha enumerado brevemente la comisión, estado de embriaguez carecía de voluntad; y por consiguiente de mali y otros acaso que ignora , han enervado casi del todo la fuerza mo cia pa…</t>
  </si>
  <si>
    <t>…earía saber cuál era la opinión de te , que era muy ventajosa á la sociedad si se aplicaba con economía. las Cortes en esta parre ; y que en su concepto creia que era abrir una El Sr. Milla dijo que con bastante desconfianza habia tomado ¡a puei ta inmensa para qu e no se llevase i efecto io que se proponía en palabra en esta cuestión , que después de haberse ocupado en ella vanos célebres criminalista» y los hombres de mayor nota, no había podi…</t>
  </si>
  <si>
    <t>…elo á cual 7.a La obligación de dar fianza de buena conducta. Aprobada. quier reo que le pidiese , de lo cual se podían originar algunos, males. 8. a La retractación. Aprobada. El Sr. Milla indicó que r.o podía originarse mal ninguno, median Después de haber leido el Sr. Calatrava las observaciones que se ha te á que la sentencia no se suspendía, sir.o únicamente la ejecución; cían respecto á esta pena por el colegio de abogados de Aladrid y Don…</t>
  </si>
  <si>
    <t>Milla, Francisco</t>
  </si>
  <si>
    <t>Francisco Milla</t>
  </si>
  <si>
    <t>…e á la posible brevedad pidiese al Romano Pontífice un nuevo breve .para la secularización de las religiosas. Albacete,xz de_Mayp. - £1 de la de Guerra,.relativo á la.solicitud de D. Francisco Milla, Zeloso el ayuntamiento de esta villa de llenar sus deberes e¡ dia de en el ciial manifestaba los distinguidos servicios de este, y lo mucho la conmemoración de los primeros mártires de nuestra libertad, dispu que había padecido por su adhesión al nuevo rí ‘e…</t>
  </si>
  <si>
    <t>Milla, Juan Esteban</t>
  </si>
  <si>
    <t>Juan Esteban Milla</t>
  </si>
  <si>
    <t>…en las oficinas de la Nación habia malos em comisión los Sres. Moreno y Sánchez. pleados; y concluyó manifestando creia haber demostrado que el dic Entró á jurar y tomó asiento el Sr. D. Juan Esteban Milla, dipu tamen de la mayoría de la comisión estaba arreglado á justicia. tado por Honduras, en Goatemala. Se leyó una representación de D. Vitoriano María Gallego, con Del dictamen de las comisiones reunidas de Hacienda y Comercio, tador de primera clase de la c…</t>
  </si>
  <si>
    <t>Milla-apoyóOíl</t>
  </si>
  <si>
    <t>…manifestación óeldesignio , y nunca de si se.queria que subsistiese ,"se débia pontrest-v definición. be empezar esta definición por acto e.rter.or, sino por man /estación del El Sr. Milla-apoyóOíl art. qus' sé discutía, manifestando que dríignio de cometer el delitos porque la tentativa denota munileslacicn cualquiera que fuese Indefinición del delito siempre, había de haber de de designio, y no nos debemos separar de c ta idea, y por consiguien lito y…</t>
  </si>
  <si>
    <t>Millan</t>
  </si>
  <si>
    <t>…les mandaron pasar. • tós nacionales; el Sr. conde de A dañero; el Dr. D. Mateo Seoane So Art. 3.0 «A fin de que haya mayor comprobación , intervención y bral , médico. Suplente. D. Millan - lonso , hacendado. justificación en los despachos y aduana; se. situarán los contraregistros A ota. Estos son ios verdaderos diputados por la provincia de Va- fio los puntos en;.que .mejor, pueda conseguirse su; objeto, conforme lo Uadolid , y no los que pu…</t>
  </si>
  <si>
    <t>Millan'</t>
  </si>
  <si>
    <t>…las provincias de Sonora y" Sinaloa- los Sres.-Don’ -’^Todo.. el mundo sabe: .que. después que se publicaron los.-Lamosos Josef- María Girón y-D.i'Francisco Delgado ', y suplente D. Millan' dícréfps de .Carlsbad ¿cerca:dé- las sociedades políticas, anunciaron dos: Gutiérrez, i ' periódicos que habían sido'presos en Viena .muchos jóvenes suizos por A la comisión de Diputaciones provinciales pasó otra exposición sospechas¡ dé,haber formado-unataso…</t>
  </si>
  <si>
    <t>Millan, Josef María Quirós y</t>
  </si>
  <si>
    <t>Josef María Quirós y Millan</t>
  </si>
  <si>
    <t>…, en que pideque laasignacion que Se leyó el dictamen dq*Ia comisión de Poderes relativo á los pre se ia concedió en 9 dé Agosto de 1814 se la pague por tesorería, ha sentados por D. Josef María Quirós y Millan, diputado electo por 1* ciéndole, después.d? su muerte.extensiva esta asignación i su hijo hasta provincia de Sonora y Sinaloa, y opinaba debian aprsbarse. Aprobado. la edad de 25 años. La comisión opinaba que esta solicitud debía pa También se aprobó úna ind…</t>
  </si>
  <si>
    <t>Milloradowitch</t>
  </si>
  <si>
    <t>…aron algunas otras ciudades fronterizas'de los gobiernos de Novogorow y el papel intitulado Proclama de D. Gerónimo Merino á sus trovas, que Fleskou, y está mandada por el general conde Milloradowitch á las ór empieza: « Soldados, la patria está en peligro”; y concluye: » El general denes inmediatas del Emperador; y tercero, el cuerpo de egército de- en gefe Merino” ;-y en su vista declararon unánimemente w no haber Georgia, que ocupa esta provincia y la d…</t>
  </si>
  <si>
    <t>Miloradowitsh, Miaden</t>
  </si>
  <si>
    <t>Miaden Miloradowitsh</t>
  </si>
  <si>
    <t>…agones, la Moldavia, lia enviado tiempo há algunos emisarios á la Servia para IRAKCIA. inducir á los comandantes de distrito á declararse á favor de los grie gos. Este geftí es el general Miaden Miloradowitsh, de quien se ha 1 París 23 de Octubre. hahiado alarias veces en la relación de los sucesos de este verano en la Según cartas de Varsovia del 2 1 de Setiembre, parece que con mo Vaiaquia y la Moldavia. Aunque se haila proscrito tiempo há por los tivo de no hab…</t>
  </si>
  <si>
    <t>Milton</t>
  </si>
  <si>
    <t>…era de un momento á otro caras de.la'nación.” Mr. Lambton apoyó esta proposición, en cuya defensa hablaron Mr. Witmor, sir John Mackin- •a Dusseldoríf. ITALIA. tosh, lord Nugent y lord Milton, y la impugnaron Mr. B. Bathurst, Mres. Benkes. Peel y TwifF. Mr. Bennet propuso se difiriese esta discusión, por cuanto había muchos- Nápoles 09 de Enero. El general barón Figuelmont ha sido nombrado minis individuos que deseaban exponer su modo de pensar. A…</t>
  </si>
  <si>
    <t>Mina</t>
  </si>
  <si>
    <t>…NO. sus filas, con sus músicas á la cabeza, entonando los him nos y los vítores sagrados de la España, señora de sus Brihuega 31 de Enero. propios destinos; al .ver la entrada del general Mina en me La villa de Brihuega, que fue el primer pueblo de la dio de los dos capitanes , precedido de las compañías y de provincia de Guadalajata que manifestó su adhesión á las todo él vecindario, deshaciéndose en demostraciones de nuevas instituciones desde qu…</t>
  </si>
  <si>
    <t>…misión de Premios, en el informe que dió en la sesión ante-1 por falta de fuerza y de todos los medios necesarios, no solo no podía' rior á favor de los oficiales que siguieron al general Mina en la no atacar las primeras columnas enemigas, que se 'reunían en mi flanco iz ble empresa de restablecer el sistema constitucional, comprendiese quierdo, sino'qué temía ser atacado y batido en detalle. S. E. el embaja también a muchos paisanos, que por dist…</t>
  </si>
  <si>
    <t>…, forzando al digno Sr. Latre, gefe político superior y capi tiendo que estos son los constitucionales, porque nadie sino ellos serán tán general de esta provincia, á devolver al general Mina el mando los sospechosos en sentir del ministerio. Se crea una junta consultiva militar de que V. M. le habia despojado; porque el obligar á la fuer del ministerio, en la que están ocupados algunos generales con sueldo za á una persona pública, á un agente de…</t>
  </si>
  <si>
    <t>Mina, Espoz y</t>
  </si>
  <si>
    <t>Espoz y Mina</t>
  </si>
  <si>
    <t>…Ñapóles, que la Inglaterra podría manifestar Noticiosa la compañía de voluntarios de esta ciudad del su buena voluntad á los. napolitanos., enviándoles armas* próximo tránsito del general Espoz y Mina por la villa de Tengo noticia, añadió el orador, de que se han envia Idiosa en su viage para Galicia, acordó con sus hermanos do á pedir armas de Ñapóles, y aun he oido decir que se los voluntarios de dicha villa el hacerle un obsequio. No I13 habia .pedido,…</t>
  </si>
  <si>
    <t>Miñano</t>
  </si>
  <si>
    <t>…o que el Excmo. ayuntamiento ARTICULO DE OFICIO. exigía como término final del juicio conciliatorio una satisfacción pú blica , y por el Sr. D. Ramón ,de Salas, como apoderado del Sr. Miñano, Circular del ministerio de Gracia y Justicia. se expuso que como jamas fue la intención del autor de la carta de He dado cuenta al Rey de un «Bcio del Gefe político de la provin nunciada ofender al Excmo. ayuntamiento, á quien respeta, no tiene cia de Asturi…</t>
  </si>
  <si>
    <t>Miñano, Sebastian</t>
  </si>
  <si>
    <t>Sebastian Miñano</t>
  </si>
  <si>
    <t>…s Ponce y en las causas de D. Pedro Í’uez de primera instancia, se averiguó que el autor de la referida carta Fernandez de Castro, presbítero, y D. Cayetano Marimon , los dos o es D. Sebastian Miñano: se procedió en seguida al juicio de conci del número de los diputados que en 1S14 firmaron la famosa repre liación prevenido en el artículo 52 de la ley de libertad de imprenta sentación á S. M., los cuales no se habian conformado con la resolu de 22 de Octu…</t>
  </si>
  <si>
    <t>Miñano, Sebastián de</t>
  </si>
  <si>
    <t>Sebastián de Miñano</t>
  </si>
  <si>
    <t>…por su instalación {que se leyó), de la que mandaron se ca villa, en providencia de 4 de este mes ha declarado que la ley con hiciese mención en el Diario de sus sesiones. dena á D. Sebastián de Miñano , responsable del referido impreso , á la Se leyó por segunda vez el proyecto -del reglamento interior de pena de un año de prisión, expresada erf el art. 21 dél tít 4.0 de la ley Cortes reformado; para cuya discusión señaló el Sr. presidente el dia de libert…</t>
  </si>
  <si>
    <t>Mingo, Josef</t>
  </si>
  <si>
    <t>Josef Mingo</t>
  </si>
  <si>
    <t>…rrencias del dia 2 , y se les- diese el valor D. Alejo Acebes, al capitán D. Joaquín Bejar, D. Antonio Gascón de lo que habían perdido , cobrándolo después la Nación de quien hu y D. Josef Mingo , dijo: que debia declarar y declara que por la re biese lugar. tractación de Josef Espelta y Sebastian Fuster, soldado.- del regimiento El Sr. presidente anunció para la sesión de mañana varios expe del Infante D. Cáelos, Pedro Ros, Fanciseo Simón ¿ Ignacio…</t>
  </si>
  <si>
    <t>Minguez, Francisco</t>
  </si>
  <si>
    <t>Francisco Minguez</t>
  </si>
  <si>
    <t>…l se pasará á una jor servicio el plan de reforma de resguardo para la provincia de Cata comisión especial, y se oirá al.diputado, que expondrá por escrito ó luña , presentado por D. Francisco Minguez. de palabra cuanto juzgue convenirle , y en seguida resolverán las Cortes La ¿misma comisión en el expediente promovido por el secretario si ha 6 no lugar á la formación de causa ; y si la hubiere , se pasará el de la, capitanía,general de Guipúzcoa, solicita…</t>
  </si>
  <si>
    <t>Ministro</t>
  </si>
  <si>
    <t>…sobre la ley orgá constitucional de Tarifa, quejándose de una infracción de Constitución nica del egército. cometida por el comandante de aquel presidio: otra del juez de prime El Sr. Ministro de la Guerra pidió no se discutiesen los artícu ra instancia de Arévalo, vindicándose de la queja que dió contra él los so y 2i (señalados en el proyecto con 21 y Z2) hasta que el Go un vecino de aquella población: otra de D. Luis Perez, vecino de bierno pres…</t>
  </si>
  <si>
    <t>…señalan á los natu pasar á la comisión respectiva tres exposiciones de los consulados de rales del pais.” Bilbao, S. Sebastian y Aíallorca, en que solicitan no se proceda á la El Sr. Ministro de la Gobernación de Ultramar opinó que debia discusión sobre consulados sin oir antes á las corporaciones mercantiles quitarse la palabra denunciar, y después de una corta discusión se susti que pueden informar sobre este asunto. tuyó en su lugar adquirir, y…</t>
  </si>
  <si>
    <t>Minutoli</t>
  </si>
  <si>
    <t>…circunstancias; es de desear que llegue peste se manifestó del mismo modo, después de haber atacado á un so pronto está época. brino de Mr. Clement, comerciante de Alejandría. E¡ caballero Minutoli, mayor general al servicio de Prusia, escribe Sin embargo, desde primeros de este mes han disminuido gocoá po desde Damieta, en el Egipto bajo, lo siguiente: co los progresos de esta enfermedad, y dentro de algunos dias podre n Todos mis viages han sido felic…</t>
  </si>
  <si>
    <t>Mique, N.</t>
  </si>
  <si>
    <t>N. Mique</t>
  </si>
  <si>
    <t>…otos de todo el batallón, que debían recaer sobre los fes que Quedó aprobado, quitando el mínimo dedos años, y añadiendo se considerasen mas beneméritos de él, y salieron elegidos D. N. Mique los cuatro años se contarían desde.el dia en que saliesen los desta ralles, D. N. Arimon y D. N. Massanés. camentos hasta el en que entrasen en sus cuarteles. Examinadas por el Excmo. ayuntamiento sus hojas de servicios y Se leyó el artículo 5°, que decia asi…</t>
  </si>
  <si>
    <t>Mir, Isidoro</t>
  </si>
  <si>
    <t>Isidoro Mir</t>
  </si>
  <si>
    <t>…Malta can ei tesoro. Xa ciudad, las de Jerez de la Frontera, Córdoba, esa ciudad y otros pun misma cantinela han publicado los ultras de Paris respecto de otros ge tos, el llamado coronel D. Isidoro Mir; un capitán de guerrillas nom nerales italianos; y aunque desmentidos á cada paso , no por eso cesan brado Dato; Rojo, oficial retirado; Pinto, auditor jubilado, yOliver, en su prurito de engañar á los lectores. Añaden que un pirata griego paisano ; y se han…</t>
  </si>
  <si>
    <t>Mir-Martinez, Josef</t>
  </si>
  <si>
    <t>Josef Mir-Martinez</t>
  </si>
  <si>
    <t>…puesta de una fane maravedises, n- ■ - ; ■ ga y un celemín de tierra de tercera calidad , correspon Otra suerte de tierra de la misma dehesa, de 43 fanegas diendo la otra mitad á -D. Josef Mir-Martinez, en 1462 rs. y 6 celemines ,-en 410 5 -rs. Otra suerte de la propia dehesa, de 41 fanegas, 8 ce En la provincia de Madrid de la misma proceden lemines , en 4050 rs. ■ ; cia de Temporalidades de los ex-jesidtas, para cayo Otra suerte de idem , de 72 fanegas y…</t>
  </si>
  <si>
    <t>Miralles</t>
  </si>
  <si>
    <t>…eta de Francia se haya quifiebre amarilla. El arcipreste del Sagrario D. Francisco López, confesor - -Tado-emeramente la máscara es el haber quedado documental y públi del difunto gobernador Miralles, tuvo la desgracia de ver á su propia camente desmentida, y tenida por calumniadora á la faz de toda la Eu ama ser -víctima del n’.ab Las autoridades tomaron inmediatamente pre ropa., con motivo de un párrafo.que dió á luz, afirmando que en 21 de cauciones: c…</t>
  </si>
  <si>
    <t>Miralta, Pablo</t>
  </si>
  <si>
    <t>Pablo Miralta</t>
  </si>
  <si>
    <t>…y compañía, de id. NOTICIAS DE ESPAÑA. Xa dirección de hidrografía., D. Josef Joaquin Martí, de BarD. Gabriel Odier y compañía, de celona. Madrid Domingo 18 de Noviembre. - Paris. D. Pablo Miralta , de Barcelona. Doña Ana Clemencia Fernandez Sres. Broin Compte y compañía, Si la libertad de imprenta es, como hemos dicho otra vez; el pa- de Pescia , de Cádiz. "de ídem. ladium de las libertades públicas, el derecho de petición es otra de las D. Josef Mari…</t>
  </si>
  <si>
    <t>Miranda</t>
  </si>
  <si>
    <t>…ral Foy y Mr. Dudon pidieron la palabra; pero no se la Sesión del l£. quiso conceder el presidente, lo cual ocasionó bastante conmoción , y Se hicieron algunas proposiciones, y el Sr. Miranda leyó el dictamen al fin se aprobó el acta en medio de las señales mas expresivas de de de la comisión de Artes y Manufacturas sobre la solicitud de los ro sabrimiento. peros para que se prohibiese á los sastres la venta de ropas hechas , á En seguida tomó la…</t>
  </si>
  <si>
    <t>El Sr. Miranda llamó la atención del Congreso sobre la palabra A las.de Guerra y Hacienda una exposición del ínspector.general aprobar la Constitución, de"qiie se sirve S. Mi','diciendo que debía de caballería ,;manifestando el estado 'en quéUe,'h.áíla el regí míe nto de pr…</t>
  </si>
  <si>
    <t>…to , el cual se compra Leida y aprobada el acta de la sesión extraordinaria anterior, se le áyeso de oro. yó la lista de los señores que habían de llevar á la sanción de S. AI. El Sr. Miranda dijo que estas palabras eran una ofensa que se hacia la minuta del proyecto de ley sobre señoríos , leída en la sesión ordi á los individuos de la comisión , atribuyéndoles venalidad, pues que el naria del mismo dia, según la redactó la secretaría, y que se d…</t>
  </si>
  <si>
    <t>…mentó propuso que se sustituyese á este artículo otro, en intendente, para que por .ella pueda formare! cargo á quien correspon que se evitasen los abusos de gratificaciones; y el Sr. Miranda manifes da en sus respectivos.ajustes. Art: J&gt;.\Cada 15 dias el pagador pagará tó que porque algunos empleados abusasen de las gratificaciones, no era al comandante general y al intendente-generhl nota del haber que exis justo que se tomase una medida general…</t>
  </si>
  <si>
    <t>…s y demas individuos de las compañías Después de alguna discusión se aprobó e| dictamen de la comisión. de. granaderos provinciales, de.Castilla la .Nueva, y los del regimiento El Sr. Miranda dijo que era necesario ¡saliesen"buqués para.todos infantería dé Soria j y'.laíquq.V. El nos*.remitió con oficio del 25 úl los puertos de América con el objeto de ncfticiar las últuraas ocurren timo**'de los del provincias del mismo nombre, manifestando todos…</t>
  </si>
  <si>
    <t>…provincia de Alenirjj ; y habiéndole hecho la pregun también manifestaba cartas, afirmando que había estallado la guerra en ta el Sr.,presidente, y contestado el ministro, dijo el Sr. Miranda que tre la Rusia y la Puerta Otomana; también deseaba saber .si era cierto que.algunos regimientos estaban sin Podem s asegurar que dos cartas fidedignas de S. Petersburgo, con pagar hacia cuatro meses. fecha 29 de Junio, no hacen mención alguna de preparativ…</t>
  </si>
  <si>
    <t>…la virtud Vanos señores diputados se opusieron á que pasase este artículo co y las intenciones mas puras y mas monárquicas no impiden á veces que mo parte de ia Constitución; y el Sr. Miranda manifestó que aunque se ñauan con precipitación ciertas modificaciones, cuyas fatales conse los célibes eran mas á propósito para los empleos , esta indicación po cuencias no se han calculado suficientemente. Confieso que e¡ periódico día tener lugar en cuant…</t>
  </si>
  <si>
    <t>…as fami tenia otro carácter que el de cónsul general; y sobre este punto hubo lias griegas de Fanar, que proveen de dragomanes á la Puerta ¡ y de So alguna discusión, en la que el Sr. Miranda dijo ( fundándose en el ofi beranos temporales á las dos provincias de Valaquia y Moldavia, se cio del ministro de Negocios extranserOs) que ya tenia el carácter de han visto precisados a estudiar los idiomas y la política de Europa para encargado de Negocies…</t>
  </si>
  <si>
    <t>…junta por un proceder sigue con mejoría. El médico D. Salvador Campmany designa 2 enfer tan constitucional. mos de los existentes como acometidos de enfermedades estacionarias El Sr. Miranda leyó el dictamen de la comisión de Artes, después ó comunes, quedando por consiguiente trece invadidos de la enferme- * de oídos los de las comisiones de Comercio y Agricultura sobre la in dad sospechosa. De estos trece solo hay nueve de gravedad. En los de t…</t>
  </si>
  <si>
    <t>…rio , creyó la junta superior que debían elegirse con anticipación provisional. Se aprobó sin discusión. dos lazaretos preventivos, y determinó á este fin la casa del virey del El Sr. Miranda leyó el dictamen de la comisión de Artes acerca del Perú , sita en las ¡nmed^gp-lones de Gracia, y el convento de padres car* talón de Cortes, en que decía que debia construirse en términos que ínclitas descalzos del mismo pueblo. En consecuencia comunicó la…</t>
  </si>
  <si>
    <t>…ancias. ¡Con qué pasión, con qué ardor Se hizo la segunda lectura de las siguientes proposiciones: se interesa el ermitaño de Ferney, el Anciano de los Alpes (como se i.1 • La del Sr. Miranda sobre que se adoptase una escarapela nacio llama á sí mismo), por la suerte de los actuales griegos, cuya situación nal verde y amarilla. Se admitió á discusión. llamaba entonces, lo mismo que en la actualidad, la atención de todos id— La del Sr. Seabra sobre…</t>
  </si>
  <si>
    <t>…reunió todqy putados hablaron en pro y en contra de esta idea. en la puerta de las casas capitulares , pidiendo que se dilataran la, Hesi Se discutió largamente este asunto; y el Sr. Miranda dijo que no tas un dia mas; y así fue concedido por los alcaldes. Desde este mo debia tomarse^resolución alguna hasta oir el citado dictamen délas co mento principió la exaltación en tales términos, que pareció nada cuan-,, misiones, que deberían darlo á la m…</t>
  </si>
  <si>
    <t>…e. dio el curso correspondiente. En el periódico de esta capital, intitulado el Expectador, se lea En ia sesión extraordinaria se trató también de la proposición del lo siguiente: Sr. Miranda sobre que se adoptase Una nueva escarapela; y habiéndo se leído el decreto de S. M. de 7 de fuero de 1796 , por el cual se Copia del o/icio rasado á la secretaría de las Cortes por el general Don Rafael del Riego en contestación al que aquella le ha dirigido…</t>
  </si>
  <si>
    <t>…razón qué debía blo , porque personas de todas clases y condición se unieron á los ranenviarse, tropa. . chos, sin que nada alterase la fraternidad con que todas se miran,' . , El Sr. Miranda manifestó qüe había oído decir'eh el Congreso que Acabado el ranchó al oscurecer, regresó el batallón al pueblo ento la tropa.iba cómo á sujetar, cuando.no era asi, pues solo iba,* asegurar nando los mismos himnos patrióticos; y constituido, en.la plaza; se l…</t>
  </si>
  <si>
    <t>…con descargas de fusilería. Después de dos horas de una acción vivísi erán'los sugetos que le tenían. ma , viéndose los turcos en la imposibilidad de resistir, pegaron fuego I El Sr. Miranda sostuvo que no se habian sacado Jos abastos á su Ja ciudad por mas de veinte partes, y se retiraron. E¡ incendio se ex basta, y que era preciso se hiciese; añadiendo'que supuesto que sir'hatendió bien pronto por todas las calles; entonces desembarcaron los bi…</t>
  </si>
  <si>
    <t>…espués de alguna discusión se aprobaron ambas proposiciones. creído que los turcos no se defenderían; y por qué teneis á los griegos Con este motivo se habió del ministerio ; y Cl Sr. Miranda dijo qu# por buenos cristianos , juzgáis muy racional que destronen á su Sobera los extrangeros no cesaban de elogiar las decisiones de las Cortes, y se no, y á su Soberano legítimo i ; me eutendeis ? porque el derecho de con admiraban al mismo tiempo de que…</t>
  </si>
  <si>
    <t>Miranda, Fernando</t>
  </si>
  <si>
    <t>Fernando Miranda</t>
  </si>
  <si>
    <t>…diente sobra la mesa para calde constitucional de Brues. Celanova D. Ramón íieuriquez , propie que los Sres. diputados io examinasen , y viesen la urgentísima necesi tario. Maceda D. Fernando Miranda , abogado y alcalde constitucio dad que habia de promover la discusión del proyecto á que se refería: nal de Baños de Molgas. Monterey D. Josef Reigadas, auditor hono y asi se acordó. rario. Glnzo D. Francisco Monseo, juez de primera instancia. Bande ■se leyó…</t>
  </si>
  <si>
    <t>Miranda, Juan de Dios</t>
  </si>
  <si>
    <t>Juan de Dios Miranda</t>
  </si>
  <si>
    <t>…ndo escuadrón de Ocho marjales en ídem , idem , en 6400 rs. Artillería; D. Pedro Montehermoso, cirujano de egército Ocho marjales en dicho término , pago del Martes, en retirado ; D. Juan de Dios Miranda , idem ; D. Joset An 5600 rs. tonio Córdoba y López ; D. Bartolomé Gallego , cirujano Siete marjales en dicho término, pago del v ternes, en del regimiento infante ría Ordenas Militare* ; los cirujanos 5250 rs.</t>
  </si>
  <si>
    <t>Miranda, Manuel</t>
  </si>
  <si>
    <t>Manuel Miranda</t>
  </si>
  <si>
    <t>…as adjudicadas al referido estable Félix Ovalle , alcaide constitucional de Madrid en el año pasado. Su cimiento, y después de oido el dictamen dei consejo de Estado, eran plente. D. Manuel Miranda, abogado en Bejar. de opinión que las Cortes podían acordar: Por la provincia de Jaén. D. Manuel Ventura Gómez , prior del iP La revocación del art. 20 del decreto de 29 de Junio que trata Castellar; D. Pedro Litio, capitán del i.° de Cataluña; D. Francisco d…</t>
  </si>
  <si>
    <t>Miranda, Pedro</t>
  </si>
  <si>
    <t>Pedro Miranda</t>
  </si>
  <si>
    <t>…Art. 102. Los gistrados desde que fueron denunciados como delincuentes. Y adviérta individuos de las comisiones y diputados que, hubieren hecho alguna se al gefe político interino D. Pedro Miranda que la atribución de ins proposición podrán pedir la palabra, y el presidente se la concederá, truir los procedimientos contra magistrados es personal de los gefes po cuidando de no'molestar al Congreso con repeticiones inútiles. Art. 103. líticos , y que no…</t>
  </si>
  <si>
    <t>Miranda.-</t>
  </si>
  <si>
    <t>…e presentado efectivamente También se hizo la segunda lectura del proyecto sobre traspones, con ellas , se le mandó hacer alto; pero viendo que el mariscal mandapresentado por el -Sr. Miranda.- - ' ba atacar á lábayoneta, dispararon algunos tiros, que mataron á 10 per •El Sr. Basta hizo una proposición para que los Sres. diputados no sonas é hirieron á mas de 20; visto lo cual tuvo que retirarse. egerzan ningún empleo,asi civil como militar, durante…</t>
  </si>
  <si>
    <t>Miratda, Pablo</t>
  </si>
  <si>
    <t>Pablo Miratda</t>
  </si>
  <si>
    <t>…e inspecto -dictamen de 'las comisiones primeras de Legislación , Caminos y Cá res nombrará tos oficiales que tengan por conveniente para despachar pales acerca de la solicitud de D. Pablo Miratda y compañía, del co los asuntos que esten á su cuidado. , mercio de Barcelona, relativo al proyecto que-habían formado de esta Art. 7.0 »&gt; Para la observancia dé los domas artículos del decreto, el blecer en Manresa una fábrica de paños por el mismo estilo que…</t>
  </si>
  <si>
    <t>Miro, Josef María</t>
  </si>
  <si>
    <t>Josef María Miro</t>
  </si>
  <si>
    <t>…xistan de Gonzalo de Pina y Antonia Jiménez, su muger; fumlador copin y mídio__ Otra en laLlaboría de la Cuesta de Abajo , de un dia el primero de un patronato que en el dia posee D. Josef María Miro, largo de bueyes, en venta 400 rs., y en renta 3 copines—Otraen la del capitan de egército y alférez de Guardias Españolas, á consecuencia de Canto , de un dia de bueyes, con sus abellanos, en venta 66 rs., y en la solicitud de este, para que se proceda á la…</t>
  </si>
  <si>
    <t>Mittcrmeres</t>
  </si>
  <si>
    <t>…obispados : y á es frente de su palacio con la cabeza cubierta, por cuyo motivo no quiso to se reduce su contenido, con solo algunas estipulaciones sobre ia oír el discurso que el profesor Mittcrmeres le dirigía á nombre de la conservación y dotación de los seminarios y présbite: ios. universidad. Durante tu viage y su.permanencia en fipá hizo ptoaiulgar Estos días pasadosha.publicado una bula del Papa-, por 1» cual</t>
  </si>
  <si>
    <t>Miyar, Francisca</t>
  </si>
  <si>
    <t>Francisca Miyar</t>
  </si>
  <si>
    <t>…eración, aunque no se han ¡recibi tancie brevemente la causa sobre su conducta militar. do partes oficiales del cónsul de la nación en Tánger. Se pasó ai Gobierno una solicitud dé Doña Francisca Miyar, viu Madrid Ig de Marzo. da de D. Mariano Soler . teniente del regimiento de infantería de VaSS. MM: y AA. continúan sin novedad en su importante salud. lencey, solicitando se proporcione educación á sus hijos en un colegio. Las Corles recibieron con agrado,…</t>
  </si>
  <si>
    <t>Miyares, Fernando</t>
  </si>
  <si>
    <t>Fernando Miyares</t>
  </si>
  <si>
    <t>…ra su Soberano por separarse de él; Con la misma fecha ha nombrado S. M. gobernador de la plaza de y estas mismas enfurecerse porque imanación entera y lejana se declaro Málaga al brigadier D. Fernando Miyares , debiendo entregar interina libre para mejorar su Gobierno! ¡El contagio napolitano de justicia po mente el mando de la de Clivencia que obtenía á quien corresponda día propagarse á los estados austríacos de Italia: el contagio de la rebe por ordenanza. lión…</t>
  </si>
  <si>
    <t>Mo</t>
  </si>
  <si>
    <t>…nte del pasto espiritual; en tante del expediente. las provincias del antiguo reino de Castilla toca algo mas de 2 por roo Al empezarse la discusión de Hacienda tomó la palabra el Sr. Mo de eclesiásticos, y en las del antiguo reino de Aragón hay de 3 á 5 reno Gueria para deshacer algunas equivocaciones en que suponía ha por 100. Y á cualquiera se le ofrece que si con un eclesiástico de cada ber incurrido el Sr. conde de Toreno cuando le impug…</t>
  </si>
  <si>
    <t>…hizo en ia inteligencia de que habia de pagarse de método, que será poco mas ó menos el que se observa para la provi cada diez uno. Este es el argumento principal que ha puesto el Sr. Mo sión de las cátedras de los estudios del dicho S. Isidro. reno Guerra , el que contemplo muy justo, y al que no se ha dado uní » Fuera de que no es tan desacertado , el que para los teólogos se entera satisfacción. .proponga el pique en el Maestro de las Sent…</t>
  </si>
  <si>
    <t>…e. El gefe político salió á ver si podía calmar los áni para otros delicados asuntos mucho mas trascendentales que la coman mos; pero viendo que no se podia conseguir , accedió el general Mo dancia general de Cádiz, como lo fuá el ministerio de la Guerra y de reno , y se retiró á la Carlota. Éstos son los acontecimientos de que ha la Gobernación , podía reposar tranquilo en que sin duda seria recibido tenido noticia el Gobierno por extraordinario…</t>
  </si>
  <si>
    <t>…ádese áesto que se habla también en el dia de discusión. ' una declaración importante queel Gabinete austríaco debe hacer inme Igual resolución recayó sobre una exposición del Sr. diputado Mo diatamente á la Confederación germánica , acerca de la situación actual reno Guerra , en la que manifestaba que con motivo de los repetidos de las provincias griegas del imperio otomano: asegurándose que el cordones que se habían puesto p r temor de la epidem…</t>
  </si>
  <si>
    <t>…milicia local de caballería , y le significó no respetarla, aunque tenga la de censurar la conducta del ministerio, que quedarle otro arbitrio para salvar su persona, yatm la del general Mo autorice una provisión desacertada, ó de acusarlos si contraviene á las reno , sino el de salir.de la ciudad. En vano instó que para contestar leyes. libremente i: retirase el tumulto y: la milicia local de caballería; las Es verdad qué los empleos no sé debe…</t>
  </si>
  <si>
    <t>Mo, Domingo Garfias y</t>
  </si>
  <si>
    <t>Domingo Garfias y Mo</t>
  </si>
  <si>
    <t>…i tana de Méjico á D. Josef Joaquín de la Pedreeuer:'.; para oirá de la dad se reurte á la de S. Gil; y én atención á la escasez de ministros catedral de Vatladolid de Meehoacan á D. Domingo Garfias y Mo que manifiestan el M. R. arzobispo y Gefe político haber en los bar reno: y para otra de la de Puebla de los Angeles i D. Josef-María Váz rios inmediatos á la puerta de l-uencarial, se trasladará toda esta co quez Ruiz.</t>
  </si>
  <si>
    <t>Mo, Francisco</t>
  </si>
  <si>
    <t>Francisco Mo</t>
  </si>
  <si>
    <t>…ra reprimir unos excesos de tanta trascendencia, man no lejos del origen del-Segre,- de las fuentes del I.lobregar y de la fron dando reponer en su destino á nuestro gefe político D. Francisco Mo tera de Francia, ha asomado Francisco Montaner, natural de Lérida, reda, y que se castigue prontamente á todos los que resulten culpados chocolatero de Berga, :y;sargemo qúa fue de uno de ios; cuerpos del con el rigor de la ley, para que jamas se vea ultrajad…</t>
  </si>
  <si>
    <t>Mo, Manuel</t>
  </si>
  <si>
    <t>Manuel Mo</t>
  </si>
  <si>
    <t>…ión en todo el cuerpo del egército. sus servicios patrióticos. ■ „L?os dias estuvo el enemigo sin saber tal acontecimiento, por cuya A la de Hacienda se pasaron: una exposición de D. Manuel Mo .razón no osó avanzar; mas advertido de ello por sus partidarios, ade ra, vecino de S. Juan de Arenas, sobre que sé le perdone una canti lantó por varios puntos con fuertes columnas , y atacó al mariscal Ruf- dad que se supone estaba debiendo á la Hacienda pú…</t>
  </si>
  <si>
    <t>Mo-</t>
  </si>
  <si>
    <t>…i, hoy :.dia regente del Gobierno, es un oficial todos los súbditos, y otra es-eL poder 'político, qué el Estado, puede con valiente. Fue herido en la batalla de Dresde al kdo del general Mo- ceder ó,negar, según lo exijan la. necesidad ó k .conveniencia, Ciertareaucomo que la misma bala-de cañón quehiríó á esieúltimo sel le . mente es una cosa absurda castigan á un.- ciudadano:.por- causa d¿ ¿U vó la mano izquierda de Ipsilanti- En el Epi.ro los…</t>
  </si>
  <si>
    <t>Mocéní-</t>
  </si>
  <si>
    <t>…contribuir á la defensa de la nación si la guerra fuese iaevitable.” Turin 4 de Enero. , El Sr. Poerio manifestó que todcs los diputados esta Esta noche ha salido para Laibach el conde Mocéní- ban de acuerdo en cuanto al viage deí Rey, y que el Parla go, enviado extraordinario y ministro plenipotenciario de mento había accedido á él con ciertas condiciones, que S. M. S. M. el Emperador de Rusia cerca de nuestra corte; y había ofrecido cumplir; por…</t>
  </si>
  <si>
    <t>Mocénigo</t>
  </si>
  <si>
    <t>…iantes con una magnani bajador en Viena, se dice que tal vez retrocederá el pri midad paternal; pero le era imposible ceder sobre el punto mero. que había originado el motin. ■ El conde Mocénigo, embajador de Rusia en el Pia- S. M. había mandado que de ninguna -manera se hiciese monte, pasó por aqiii antes de ayer dirigiéndose ¿ Lai fuego á los estudiantes, por cuyo motivo no iban cargado* bach.' ios fusiles. El- corone! ingles Browne (que ha sido en…</t>
  </si>
  <si>
    <t>Mocoso, Josef Mirtinez</t>
  </si>
  <si>
    <t>Josef Mirtinez Mocoso</t>
  </si>
  <si>
    <t>…, quien pasados 5 años de primera instancia de ia provincia de Madrid en esta forma: para las podrá nombrarlos por toda su vida; y en la 14:' y tg.a que haya un seis de la corte á D. Josef Mirtinez Mocoso , D. Julián Sojo , Don consejo provincial en cada pcovincia, elegido también por el Rey, y Angel Fernandez de los Rio,, D Juan Gómez y Díaz, D. JosefReel cual se reunirá en la cabeza de partido de la misma para pronunciar mirez Moreno y D. Valentín Recio: par…</t>
  </si>
  <si>
    <t>Modesto, Juan</t>
  </si>
  <si>
    <t>Juan Modesto</t>
  </si>
  <si>
    <t>…de la Constitución y de las leyes sobre Francisco A yuso y Mena: en la de Extremadura á D. Esteban de un discurso pronunciado en la reunión patriótica de la Fontana de Oro Asta y D. Juan Modesto de la Mota. de esta corte. Se vende en las librerías de Sanz, Paz y Minutria. SUPLEMENTO</t>
  </si>
  <si>
    <t>Mohor</t>
  </si>
  <si>
    <t>…énstefn; pero se dice que lo reemplazará'el general ■‘Frimont ¿ al riációñ á la mística lo" que há hecho pensar en esté llamamiento: raracual le sucederá en tal caso en Ñapóles él general Mohor : el egército pocb és'efecto dé !á ambición dé adquirir reliquias, cuiíso sucedió en ausrriaco de Italia constara ahora de unos tooS) hombres , dé que se;in otro tiempo , en que esta ambición precipitó á toda la F.uropa sobre el fiere que el Austria tiene en…</t>
  </si>
  <si>
    <t>Mohr</t>
  </si>
  <si>
    <t>…ben traer á la- memoria* les Al rayar el aiba se puso: en movimiento el teniente general \V.Gboletines del famoso Bonaparte, cuya conducta procuran remedar, y moden; y el teniente general Mohr hizo marchar la división del pr.'nmalamente, la diplomacia -del norte y el general Frímont; solo que -cipé Wied. A las diez ’dé&gt; la mañana el general Villata bajó de las ni aun son para ello. Frimont se vale, sí, de frases á la Bonaparte, -montar.as.aL paso d…</t>
  </si>
  <si>
    <t>…A DE MADRI VIERNES 31 DE AGOSTO DE i8ai. KOTICIAS EXTRANGERAS, Viena p de Agosto. Se asegura que el general 2-íimont entregará el mando de Ñapóles ISLAS JONICAS. al feld-inariscal-teniente Mohr, y que pasará á tomar otro mando ea Hungría. Pa.ri 8 de Julio. Las últimas noticias de la Valaquia refieren que el gefe de los in Odysseus (Uüses) acaba de apoderarse de la Tesa!íí'después de ha surgentes Jondaki se había abierto paso por la Bcssarabia (terri…</t>
  </si>
  <si>
    <t>…an ; pero se ignora mar el mando del egército austríaco en las fronteras de Turquía ; pero todavía su resolución. El conde de Nesselrode impugna las aserciones se aseguraba que el general Mohr, su segundo, debería salir pronto del reiss-effendi con hechos sacados de la conducta de la Puerta en los para otro destino. últimos tiempos, y renueva las peticiones contenidas en la nota del ba Por un efecto de las estipulaciones en que se han convenido las…</t>
  </si>
  <si>
    <t>Moi-eno, Tomas</t>
  </si>
  <si>
    <t>Tomas Moi-eno</t>
  </si>
  <si>
    <t>…n al sistema constitucional, y mucho menos de haber publicase por circular á las autoridades de la provincia. dado pruebas que le recomendasen fio cual en verdad no quitaque el El general D. Tomas Moi-eno dió cuenta tambien de los mismos barón las haya dado, y que las tenga el Gobierno. Por consiguiente si acontecimientos, y. dió instrucciones, y expuso las dificultades é in no se propone contra la', persona'delibaron tacha algunafundada en las convenientes qu…</t>
  </si>
  <si>
    <t>Molina, Joaquín</t>
  </si>
  <si>
    <t>Joaquín Molina</t>
  </si>
  <si>
    <t>…alentos y virtudes. Mu la cuarta á D. Lorenzo Escolar-y Navas; para la quinta i D.‘Josef cho habéis.hecho; pero falta que hacer mucho. La Europa os cóntem- Gastel; para la sexta á D. Joaquín Molina; para la séptima i D An pláfTii ppéblo éspañof , que os Há confiado sus Pestiños,To-éspera todo tonio María Espejo, y para la octava á .O. Juan Manuelbanchez. de vosotros; y esta esperanza rio"debe quedar fallida'. No, no lo que dará, ni vosotros podréis nunc…</t>
  </si>
  <si>
    <t>Molina, JosefPio</t>
  </si>
  <si>
    <t>JosefPio Molina</t>
  </si>
  <si>
    <t>…stejon, abo- D. Andrés Moya Luzuriaga, gefe debe dirigirse costeando el mar Negro sobre Constantinopla, se acerca gado. de la dirección del fomento ge- mas A las fronteras turcas. D. JosefPio Molina , hacendado.. neral del reino. Austria. Apuros y mas apuros. La civilización se extiende por to D. Luis Landáburu , oficial de la' D. Juan de la Cruz Murguiro..... das parles; las ideas liberales van siendo conocidas hasta de las gentes secretaría Estado, " D…</t>
  </si>
  <si>
    <t>Molini, Josef</t>
  </si>
  <si>
    <t>Josef Molini</t>
  </si>
  <si>
    <t>…to por suficientemente discutido, se man que se expresan. dó pasar la representación referida á la comisión que habia entendido El de la de Leeislacion, relativo á ía solicitud de D. Josef Molini en este asunto. llo, vecino de Brúñete , sobre que se declare á su favor la sucesión de El Sr. ministro de la Guerra dijo que partia inmediatamente (si las un vínculo, y no al de su hermano D. Manuel, por los motivos que Cortes no mandaban lo contrario ) á da…</t>
  </si>
  <si>
    <t>Molinillo, Manuel</t>
  </si>
  <si>
    <t>Manuel Molinillo</t>
  </si>
  <si>
    <t>…a con que debia aprobarse dicho artículo. comisión que se aprobó en ia sesión anterior acerca de la solicitud de En seguida se declaró este asunto suficientemente discutido , y se D. Manuel Molinillo, capellán castrense del hospital de Magataba procedió á hacer votación nominal para su aprobación. (téase la gaceta anterior'), exponiendo que sobre lo mismo habia Fueron de dictamen que debia aprobarse Jos Sres. Gaseo, Vadillo, pleito pendiente en el ¡uzeado…</t>
  </si>
  <si>
    <t>Molino, Francisco de Paula</t>
  </si>
  <si>
    <t>Francisco de Paula Molino</t>
  </si>
  <si>
    <t>…la de D. Juan ArgiD. Francisco Martínez Rey ; para Alcalá la Real á D. Miguel Lerin bay ; en Oviedo en ia de D. Marcos Saraudeses; en León en la de Don Bracamente; para Andujajr á D. Francisco de Paula Molino; para Ube- Antonio Chalanzon ; en Búrgos en la de D. Paulino Alegría, del co da á D. Antonio Vicente Lobariñas; para Bezmar á D. Josef Santerías mercio, y en Avila en la de D. Antonio Salcedo, boticario; y los de-' y lerin; nara la Carolina á D. Francisco de…</t>
  </si>
  <si>
    <t>Molino, Josef Jorge del</t>
  </si>
  <si>
    <t>Josef Jorge del Molino</t>
  </si>
  <si>
    <t>…se afirmaba D. Francisco Rivas: para la de Lorca á D. Josef Joaquín de Eraso: ya la entera decisión de Teodoro , por haberse negado el divan á las para la de Segura de la Sierra á D. Josef Jorge del Molino; y para la propuestas que le remitió el Gobierno provisional de Valaquia: hallá de Caravaca á D. Bernardo Josef de Hervás. base dicho gefe con 12S) hombres, sin temer á los cuerpos turcos, pues batido por él el primero que se adelantaba, los demas han retroce…</t>
  </si>
  <si>
    <t>Molinos</t>
  </si>
  <si>
    <t>…enian señalados los asuntos tiembre de 1821. que se debían tratar;'ademas que no se habían alegado entonces unos Barcelona a de Octubre. motivo^ tan justos como los que alegaba el Sr. Molinos: que todos sa La diputación provincial y la junta superior de sanidad de esta provin bían muy bien que desde su ingreso en la Península no ha disfrutado cia han acordado que se establezca una aduana en el pueblo de Badalona, un dia de salud; y que aunque es m…</t>
  </si>
  <si>
    <t>Molle, Francisco</t>
  </si>
  <si>
    <t>Francisco Molle</t>
  </si>
  <si>
    <t>…e su familia, su escrito titulado Centinela contra republicanos, y la formada en líiijf ó palabras sediciosas, será interrumpido por el presidente; uno de ios contia el presbítero D. Francisco Molle, compuesta de tres piezas. Se</t>
  </si>
  <si>
    <t>Mollera, Francisco</t>
  </si>
  <si>
    <t>Francisco Mollera</t>
  </si>
  <si>
    <t>39S te, destacando 600 hombres para el cerro «le Pasco, con el fin de cor- ■ ron tres planes presentados por D. Francisco Mollera: el uno relativo tar todos los auxilios á esta capital. Al frente del Callao dejó 6 buques á la formación de hospitales , comprendiéndose bajo una rigurosa cons de guerra, los que sacaron la noche del 5 á la fragoa-Eimeraldade den titución todas las clases de…</t>
  </si>
  <si>
    <t>Mollinedo, Gregorio Martínez de</t>
  </si>
  <si>
    <t>Gregorio Martínez de Mollinedo</t>
  </si>
  <si>
    <t>…rro, se han servido resolver se 12. » La de destierro perpetuo ó temporal de un pueblo ó distrito admita á comercio ia partida que se detuvo en la aduana de Bilbao á determinado.” D. Gregorio Martínez de Mollinedo, según propone el Gobierno. De El Sr. Calatrava dijo que la universidad de Oviedo y la audiencia orden de las Cortes lo comunicamos á V. E. con devolución de la refe de Mallorca informaron acerca de este artículo. rida consulta para que tenga á bien ponerlo e…</t>
  </si>
  <si>
    <t>Moltds</t>
  </si>
  <si>
    <t>…no tardase en manifestarse en nuestros establecimientos sanitarios. ticularidades concernientes á lá marina de lo.s.griegos, que puede de » En efecto , el día 13 del corriente el capitán Moltds, dinamar cirse no hace mas que. nacer, y ya llama la atención de los europeos y qués , comandante del bergantín Nisolino, y procedente de Málaga en tal vez la emulación de algunas potencias. lastre, envió desde la isla de Pomegue al lazareto de esta ciudad á…</t>
  </si>
  <si>
    <t>Mon-, Francisco</t>
  </si>
  <si>
    <t>Francisco Mon-</t>
  </si>
  <si>
    <t>…miento se ha subrogado en lugar de los directores que relian mendar la importancia de esta obra, que ha sido apreciada por todos dicha compañía á los síndicos D. Cárlos SoldeviHa, D. Francisco Mon- los mejores economistas: un tomo en 8.a Se vende en las librerías de toya y D. Miguel de Azpitoz; Jo que se avisa al público para qu« Rodríguez y de Matute á xo rs, en rústica. . SUPLEMENTO -</t>
  </si>
  <si>
    <t>Mon-, Hermenegildo</t>
  </si>
  <si>
    <t>Hermenegildo Mon-</t>
  </si>
  <si>
    <t>…á su arbitrio con maniobras fáciles, prontas y sencillas, sin nece n Hemos advertido que la fiebre amarilla, tan contagiosa en el fosidad de fuego ni de otra materia. Su inventor, D. Hermenegildo Mon- mes que se habia formado en Pomegue, en donde la contrajeron tres ti, natural de Bolonia, ha expuesto al público en dicha ciudad un pe guardias nuestras, no se ha comunicado en el lazareto; diferencia que queño modelo de maderá hecho por él mismo, en el cual…</t>
  </si>
  <si>
    <t>Mon-, Javier</t>
  </si>
  <si>
    <t>Javier Mon-</t>
  </si>
  <si>
    <t>…mento, áe jurasen ahora en aquellos las bases, resultando titucional de Palencia para que siga su partido en los mismos términos asi juradas entonces ó ahora en toda la nación. El Sr. Javier Mon- que hasta ahora. teiro propuso que se abriesen registros, y que fuesen allí todos los que A la comisión de Hacienda se pasó una exposición de D. Josef quisiesen jurar; pero algunos Sres. diputados observaron que esto era María de Alcocer, cura de la parroquia…</t>
  </si>
  <si>
    <t>Mona</t>
  </si>
  <si>
    <t>….comunicaciones regimjento de dragones ¡de la Reina. ssEl- caballero Monthouy, coman que. hasta ahora ha habido con respecto á ios:asuntos dé Nápoles. eV dare, de ingenieros.u: El conde Mona. = F.L conde Porichevaslo, sar fin de coadyuvar, en cuanto nos sea posible., :ál buen resultado de la genta mayor del regimiento de Guardias.— El conde de San-Albant, conducta del Rey para con su hijo, os invitamos: teniente coronel del regimiento de Aoste.=:…</t>
  </si>
  <si>
    <t>Monarquía, Rita la</t>
  </si>
  <si>
    <t>Rita la Monarquía</t>
  </si>
  <si>
    <t>…para que le remita á su juzgado las cartas que lleguen á la ad Don Fernando vn por la gracia de Dios y por la Constitución de ministración á nombre de D. Rosendo Joaquín Barreda, Doña Rita la Monarquía española , Rey délas Espaftas , á tqdos los que las presen Barreda y D. Francisco Nebot, cuyos papeles se le han mandado ocu tes vieren y entendieren, sabed: Que las Cortes han decretado lo si par por un requisitorio de D. Angel Fernandez de los Ríos, juez de…</t>
  </si>
  <si>
    <t>Monasterio, Josef García</t>
  </si>
  <si>
    <t>Josef García Monasterio</t>
  </si>
  <si>
    <t>…un arreglo enire priegos y turcos. ñedo; Dr. D. Francisco Severo Maidonado, cura p.írroco de Xalosto- También creen otros que &gt;e exigirá ia cesión de dichas dos provincias titlam; D. Josef García Monasterio, cura párroco. á la Rusia, o ai Au.tria en nn.on con aquella, y con el objeto de que Suplentes. Dr. D. Josef de Jesús Huerta , cura párroco de Atotonil- sirvan de asilo y refugio á los griegos que no quieran vivir en ios domi co; Lie. D. Josef Manuel Noguera.…</t>
  </si>
  <si>
    <t>Monasterio, Juan Miguel</t>
  </si>
  <si>
    <t>Juan Miguel Monasterio</t>
  </si>
  <si>
    <t>…ia nuó estas obras durante unos 11 años. Emulo de Trajano, radicada dicha testamentaría, y por la escribanía del número de no fue menos espléndido que él; prueba de ello es el tem D. Juan Miguel Monasterio, por sí ó por medio de persona plo que hizo construir en Roma consagrado, á "Vénus, pa con poder bastante; apercibidos qiie pasado sin hacerlo, les pa ra superar al foro Trajano. Se.cree que, la villa y las ter rará el perjuicio que haya lugar. mas llegaron á…</t>
  </si>
  <si>
    <t>Mondejar, Josef Segundo</t>
  </si>
  <si>
    <t>Josef Segundo Mondejar</t>
  </si>
  <si>
    <t>…ersuade el ciudadano de que es im Calzada, D. Francisco Villaescusa, D. Gaspar Aguilera, Da Josef posible que se albergue en pechos tales cosa alguna despreciable y mun Castropol, D. Josef Segundo Mondejar, D; Manuel "García Herreros, dana , y qué profunda herida no se hará en su ánimo si se desvanece D. Manuel Guballer Muñoz , D. Martin de Ileros, D. Miguel Muñoz, esta ilusión! Ah! no la destruyáis, dignísimos electores; antes bien D. Miguel Piüol, D. Ramón Ca…</t>
  </si>
  <si>
    <t>Mones, Toribio de</t>
  </si>
  <si>
    <t>Toribio de Mones</t>
  </si>
  <si>
    <t>…Noviembre. &lt; hacendado; D. Juan Carvajal, cura párroco deVilloria; D. Josef Jun Las cartas de Carcasona-dicen entre otras cosas lo siguiente: co Pola, hacendado. Partido de Salas D. Toribio de Mones, cura da ” A pesar de los sucesos de Smirna, y de la situación política de Muros; D. Josef López Longoria, promotor fiscal; D. Josef Lorenza la Turquía , se trabaja con la mayor, actividad en nuestras fábricas de Salas, coronel retirado. Partido de Navia D. B…</t>
  </si>
  <si>
    <t>Monge, Agustín</t>
  </si>
  <si>
    <t>Agustín Monge</t>
  </si>
  <si>
    <t>…Villar de Ciervos. Fertnoselle D. Pedro Flores Puente, labrador hacendado, Lisboa jo de Noviembre. i Provincia de Toro. Toro D. Ezequiel Diez y D. Manuel Sanchet Arcilla. Alaejos D. Agustín Monge. Vezdemarban D. Juan. Manuel Sesión del 2. Coca. Se continuó la discusión pendiente del art. 90 del proyecto de Cons Provincia de Navarra. Pamplona D. Cristóbal María Rípa da titución, y el Sr. Correa de .Seabra opinó contra él, diciendo que lo ha jaureguizar…</t>
  </si>
  <si>
    <t>Monge, Juan Manuel</t>
  </si>
  <si>
    <t>Juan Manuel Monge</t>
  </si>
  <si>
    <t>…Cualquiera persona que guste hacer pos También hizo ver cuán poco fundamento tenia la distinción, al tura á dinero de presente, podrá verificarlo dirigiéndose á su adminis trador D. Juan Manuel Monge, vecino de Plasencía, con' respecto 3 parecer ingeniosa, que se había hecho de oradores y de oyentes: dijo que el orador que estaba en la tribuna no solamente egercia sus pro ' los que existen en ella y su partido, y á D.'Josef García de Atocha en el dé la ci…</t>
  </si>
  <si>
    <t>Monge, Manuel</t>
  </si>
  <si>
    <t>Manuel Monge</t>
  </si>
  <si>
    <t>…ubio , vecino de Viilanueva de vez suceden desgracias, á pesar de que es tal la fuerza con que arrojan la Vera. las dichas varas, que ha habido ocasión en que ha quedado alguno de D. Manuel Monge, vecino de Plasencia. «líos muerto del golpe que ha recibido: el resto de la función consiste La Serena■ D. Pedro Lujan , vecino de Castuera. en la lucha de gladiadores, y en la de un enorme oso con varios perros . D. Juan-Antonio Donoso, vecino de Campanario…</t>
  </si>
  <si>
    <t>Monleon, Francisco</t>
  </si>
  <si>
    <t>Francisco Monleon</t>
  </si>
  <si>
    <t>…asgó el velo del templo de la adulación. causas de estado, la que después de haber examinado la exposición de » Al fin llegó el gran dia 16 de Febrero, en que tuve la satisfacción D. Francisco Monleon, opinaba' que por sus méritos se le debe reco de servir de mediador entre mi padre y la nación , y de constituirme mendar al Gobierno á fin de que le destine. regenerador de la patria, cargo que será para mí de eterna memoria, y Se aprobó el dictamen de la co…</t>
  </si>
  <si>
    <t>Monroe, Antonio</t>
  </si>
  <si>
    <t>Antonio Monroe</t>
  </si>
  <si>
    <t>…tuviesen presentes en la discusión del proyecto de bene sef Feijoo y Marquina y D. Pedro Fernandez Cid, propietarios. Rlva- ficencia. davia D. Josef Fermoso, abogado. Carv.illino D. Antonio Monroe , al El Sr. Martel pidió que quedara este expediente sobra la mesa para calde constitucional de Brues. Celanova D. Ramón íieuriquez , propie que los Sres. diputados io examinasen , y viesen la urgentísima necesi tario. Maceda D. Fernando Miranda , abogado y a…</t>
  </si>
  <si>
    <t>Mons, Antonio Roy y</t>
  </si>
  <si>
    <t>Antonio Roy y Mons</t>
  </si>
  <si>
    <t>…o mandado en el citado decreto, cuya ob Se pasó á la comisión de infracciones de Constitución una queja servancia evitaria muchas instancias; lo que hacia presente para que las de D. Antonio Roy y Mons, vecino de Besalil (en Cataluña), con Cortes lo tomasen en consideración. tra el alcalde constitucional de dicho pueblo. El Sr. Palarea indicó que constando aquel expediente de dos par A la comisión Eclesiástica se pasó una exposición de D Josef Gar tes , y p…</t>
  </si>
  <si>
    <t>Monseo, Francisco</t>
  </si>
  <si>
    <t>Francisco Monseo</t>
  </si>
  <si>
    <t>…de constitucio dad que habia de promover la discusión del proyecto á que se refería: nal de Baños de Molgas. Monterey D. Josef Reigadas, auditor hono y asi se acordó. rario. Glnzo D. Francisco Monseo, juez de primera instancia. Bande ■se leyó el dictamen de la comisión de Guerra sobre la incompati D. F. ífstevez, médico. Faltan los nombres de 20 electores. bilidad entre el decret de 30 de Mayo último y el art- 46 de ¡a ley Barcelona D. Narciso Sanz v de R…</t>
  </si>
  <si>
    <t>Montalvo, Francisco</t>
  </si>
  <si>
    <t>Francisco Montalvo</t>
  </si>
  <si>
    <t>…s criminales. Estrada: para las tres plazas correspondientes á naturales de Ultramar á : Las Cortes oyeron ion agrado, y mandaron sé hiciese mención en los Sres. D. N. Eizaguirre, D. Francisco Montalvo , y conde de San ' la gaceta de una exposición dé los sargentos de la milicia provin Javier; y para la plaza vacante por muerte del Sr. marques de Villacial de Segcsvia, manifestando su agradecimiento por los’ favores que franca al Sr. príncipe de Anglona. La…</t>
  </si>
  <si>
    <t>Montañer, Francisco Hernández</t>
  </si>
  <si>
    <t>Francisco Hernández Montañer</t>
  </si>
  <si>
    <t>…• 3*...... ...... 46... D. Aníbnio González, D, Antonio de la Iglesia, D. Antonio Mercar, D. Antonio Sala, D.Francisco Gallinas, D. Francisco Javier Sanlúcar de Barrameda. Delgado,D. Francisco Hernández Montañer,D. Isidro Blanco, Don Dia 14............. 3" •••♦ ••••••• z. .♦»*. .... .. 0.... ....... 6..... Isidro Merino, D. Josef Sánchez, D. Juan Francisco Rodrigo, D. I ov Día 15............. ....... 1..... ....... O.............. .. O.,.. ...... 7-- renzo Arias, D.'…</t>
  </si>
  <si>
    <t>Montehermoso, Pedro</t>
  </si>
  <si>
    <t>Pedro Montehermoso</t>
  </si>
  <si>
    <t>…ía de la Reina; Ocho marjales en dicho término y pago , en 6400 rs. D. Josef María Segura, cirujano del segundo escuadrón de Ocho marjales en ídem , idem , en 6400 rs. Artillería; D. Pedro Montehermoso, cirujano de egército Ocho marjales en dicho término , pago del Martes, en retirado ; D. Juan de Dios Miranda , idem ; D. Joset An 5600 rs. tonio Córdoba y López ; D. Bartolomé Gallego , cirujano Siete marjales en dicho término, pago del v ternes, en del regi…</t>
  </si>
  <si>
    <t>Monteiro, Jabar</t>
  </si>
  <si>
    <t>Jabar Monteiro</t>
  </si>
  <si>
    <t>…ción, confiriéndosele el diaciones de Janina, que Ali, reducido poco há á los mayores apuros, teto absoluto. se viese en breve mas poderoso qué nunca, y.qué llenase de un nuevo El Sr. Jabar Monteiro demostró que no debían ponerse dosCámaras; terror á los pueblos sometidos á su atroz despotismo, y al mismo Sul que si las había en Inglaterra, habia sido la Cámara de los Pares la que tán que quiso anonadarle. habia llamado y formado La de los Comunes ,• y q…</t>
  </si>
  <si>
    <t>Monteiro, Javier</t>
  </si>
  <si>
    <t>Javier Monteiro</t>
  </si>
  <si>
    <t>…es en el tesoro público, sino para que sir rís para enviar, como efectivamente hablan enviado á Laibach, viesen de fianza. á Antonio de Satdaña y á un tal Bachanel, llamado Cán El Sr. Javier Monteiro dijo que juzgaba poco liberal la dido, sin duda para invitar á los aliados á que declarasen la confiscación de bienes ; que los castigos debían ser persona guerra á Portugal; por lo cual proponía que se secuestrasen les, y que asi era de parecer que se tomase…</t>
  </si>
  <si>
    <t>…que se mandase recoger la pastoral por tafirme. ser injusta; por último, se aprobó el dictamen de la comisión. Los Sres. Desprat y Solana hicieron otra relativa d que no hacién El Sr. Javier Monteiro propuso que se señalase un día á la semana dose mención en el decreto de 31 de Agosto último sobre arreglo de para leer los dictámenes de las comisiones que ocupaban mucho tiem milicias nacionales ni en otros posteriores mas que de infantería y caba po al Con…</t>
  </si>
  <si>
    <t>…do Rio se remitiese á la Comisión competente para que propusiese el mundo es el mejor medio asistir á las sesiones de la Cámara de los Dimedio que fuese mejor, á lo que añadió el Sr. Javier Monteiro que. se-.,, , pulados..No hay rato mas divertido que él que presenta aquella re ria mas útil intimar al Gobierno que no mandase pagar ningún-nuevo unión de franceses tratando de los negocios del Estado, si ha de creer sueldo sin que lo acordase el Congreso; y…</t>
  </si>
  <si>
    <t>1115 ministro, dijo el Sr. Javier Monteiro que parecía estar ya justificado mío. Que nunca se extinga su llama sagrada. Ella nos liará vivir por por las Cortes en el mero hecho de haberlo escogido para Ja propuesta, siempre, si fuese preciso morir por ia Constitución.” ' " de consejeros de Estado hech…</t>
  </si>
  <si>
    <t>…a gado á las orillas del Divina, y se han acantonado allí; el cuartel gene prudente resolución del Congreso. ral está en Wirepk. Se asegura que parte del egército del Oeste mar El Sr. Javier Monteiro pidió' que se volviese á leer la segunda cha hacia la Podolia, en donde se reúne un numeroso cuerpo de tropas parte del oficio para enterarse mejor y habiéndose verificado asi , dije; en las inmediaciones de Kaminieck. El egército del general Wittgens- que es…</t>
  </si>
  <si>
    <t>…ra de los Pares; para demostrar cuán perjudicial es dió que sobre este asunto se deliberase formalmente. esta modificación á las ciencias , á las arres y al comercio de libros. El Sr. Javier Monteiro demostró con egemplos que ningún Go » Se nos ha insinuado, señures, prosigue, que habrá indulgencia,. y bierno representativo había sancionado nunca el que se desmembrase su que no se us3rá de la censura con los periódicos verdaderamente dedi territorio , y q…</t>
  </si>
  <si>
    <t>…se le musulmanes, por los desórdenes que eran consiguientes. Ademas de que suponía en el citado retraso. en las inmediaciones de aquella cap.tal había muchas tropas venidas del El Sr. Javier Monteiro añadió que se le preguntase también por qué Asia , las cuales cometían conrinuas tropelías, é infundían demasiada razón no habia enviado la lista de los oficiales de marina que habían terror, se estaban esperando muchas mas tropas. venido de Rio-Janeiro; é ig…</t>
  </si>
  <si>
    <t>Monteiro, JaVier</t>
  </si>
  <si>
    <t>JaVier Monteiro</t>
  </si>
  <si>
    <t>…tenido de las últimas notas que se han pasado la Rusia que pusiesen su-consideración en aquellos pueblos. y la Puerta. S. M. ha declarado á las cortes de Londres y de Viena que El Sr. JaVier Monteiro como individuo de ia comisión dip'omática no podia considerar el estado de la Turquía (que estas habían pintado leyó el dictamen de esta acerca de las dudas que había expuesto el mi como enteramente sosegada} como bastante consolidado para restable nistro con…</t>
  </si>
  <si>
    <t>Monteiro, Luis</t>
  </si>
  <si>
    <t>Luis Monteiro</t>
  </si>
  <si>
    <t>…se pro Entregó el Sr. presídeme una carta del Sr. obispo7 de cedió á su nombramiento, recayendo la elección en el señor Leiria, la que se resolvió pasase á la comisión de Poderes, diputado Luis Monteiro; con lo que se levantó la sesión áá lin de que esta- examinase si eran justas las causas que ex las tres de ia tarde. ponía, S. I.-para no asistir á las Cortes. • El Sr. Pereira do Carino leyó una proposición acerca NOTICIAS DEL REINO. deque se procediese á l…</t>
  </si>
  <si>
    <t>…dose perpetuamente á la faz del mundo. sas opiniones, siendo la rnas general que fuese por la junta de juros; Mr. Jobez después de haber manifestado que con la adopción de pero el Sr. Luis Monteiro hizo ver que el valor del papel disminuiría semejante proyecto se frustraría toda verdadera discusión, y que no considerablemente si la aplicación de las rentas se dejaba á la junta de se oiría en Ja Cámara mas que la voz de los aprobante» de las medida» juro…</t>
  </si>
  <si>
    <t>…da inmedia necesario que se señalasen á lo menos cuatro meses para la egecucion tamente á ü deliberación. ; Por qué se ha de suspender hasta mañana! de lo que se acordase; pero el Sr. Luis Monteiro contestó que no de Ciertamente no tenemos necesidad del resumen del Sr. relator para con bían tenerse semejantes consideraciones ; que las Cortes solo debían mi vencernos del zelo con que, tanto él como sus honorables amigos, rar al bien de la nación; que en…</t>
  </si>
  <si>
    <t>…y to mandarse que desde el momento se volviesen á. cobrar en todas las mando-las aguas termales, causándole buen efecto.” aduanas los mismos derechos de 30 por loojque antes. . El Sr. Luis Monteiro ampliando el dictamen de la comisión, de Circular del ministerio de Guerra. que es individuo, manifestó entre otras cosas qué el Portugal-perdia-mas de 130 millones de reis anuales dede el año de 181.3 , hasta ei-cuai ■ J-:A1 Sr. i secretario de. Estado y dei…</t>
  </si>
  <si>
    <t>Monteiro, Luís</t>
  </si>
  <si>
    <t>Luís Monteiro</t>
  </si>
  <si>
    <t>…o entre la corte de Baviera y la Sta. Sede se lle jeros el culto privado &amp;c. bajo una ley que lo arreglase. vará á efecto el día i.° de Octubre de este año, en consecuencia del El Sr. Luís Monteiro propuso que se suspendiese la discusión del consentimiento dado por el Sto. Padre para que se suprima un arzo artículo, en atención á los divers.os cultos que habia en los dominios bispado y muchos obispados, cuyo número establecido por el concor portugueses…</t>
  </si>
  <si>
    <t>…recibido por un correo esta mañana, hará callar á la Gace cer un banco nacional independiente del Gobierno. ta de París, al Correo de Avignon, y al nuncio que redacta la gaceta El Sr. Luis Monteiro se opuso á esta indicación, manifestando las de Polonia.” No sabemos si existe todavía un Correo de Avignon-, funestas consecuencias del banco de Rio-Janeiro, pues que sin crédito pero en cuanto á la Gaceta de Polonia no hay mas que reemplazarla público nunca…</t>
  </si>
  <si>
    <t>Montemayor, Joaquín</t>
  </si>
  <si>
    <t>Joaquín Montemayor</t>
  </si>
  <si>
    <t>…os que manejen caudales ó efectos de: ministerio de Guerra al teniente general D. Francisco Cola Nación se proceda con la puntualidad prevenida en el pon.s, y al mariscal de campo,D. Joaquín Montemayor, capítulo 2.0 de aquella. Y teniendo presente el Rey lo que. gobernador de Madrid, sin.perjuicio del gobierno.. la contaduría mayor propone con este objeto , las disposi— ciones que comprende la instrucción aprobada por S. M. Para completar el número de magis…</t>
  </si>
  <si>
    <t>Montenegro</t>
  </si>
  <si>
    <t>…e veja que no debían.existir estas compa su defecto el alcalde del pueblo respectivo.” ñías, porque se dice que la fuerza armada constará del ejército perma El Sr. Sancho dijo: El Sr. Montenegro hizo una observación muy nente y milicia nacional activa y milicia nacional local; á mas de que justa que no advirtió la comisión , y es que según resu.ta de este artí según el reglamento de la milicia nacional local, decretado por ias Cor culo , todos los of…</t>
  </si>
  <si>
    <t>…el renombre de constitucionales se villagigedo, sugetos que no gozan la mayor reputación: en Burdeos es han propuesto por sistema dirigir sus tiros á todo gobernante, á toda tá de cónsul Montenegro, que ya ss sabe fue individuo de la camari autoridad y á todo Gobierno por el solo hecho de serlo , minando asi lla , y ademas que en aquella ciudad se redacta la famosa Colmena de el edificio de nuestras libertades de un modo mas egecutivo y terrible Aquitan…</t>
  </si>
  <si>
    <t>Montengon, Ramón</t>
  </si>
  <si>
    <t>Ramón Montengon</t>
  </si>
  <si>
    <t>…ncia de las Islas Canarias, su capital la que designen las Cor Se mandaron pasar á las comisiones reunidas de Hacienda y Comer tes en adelante. cio las siguientes exposiciones: de D. Ramón Montengon, vecino de Provincia de Bilbao , su capital Bilbao. Alicante, exponiendo los perjuicios que produce la introducción del Provincia de Tolosa, su capital 1 olosa. esparto en rama , y pidiendo su prohibición : del intendente de Cara Provincia de Vitoria , su cap…</t>
  </si>
  <si>
    <t>Montero, Juan Murcia y</t>
  </si>
  <si>
    <t>Juan Murcia y Montero</t>
  </si>
  <si>
    <t>…, para que MirambeT, para Alberique D. Francisco Pascual Peris; para Sueca Dou los pueblos no se resistiesen á pagar los derechos de señoríos-, por cu Joaquin Angulo; para Morella D. Juan Murcia y Montero; para yo medio rebatió lo que habia expuesto el Sr. Lobato con respecto á la Peñíscola D.. Antonio Castellano. Cabrejanp; para Alcoy D. Josef presentación de los títulos , y haciendo lo misino acerca de lo que ha Villegas Cevallos; para Castellón de la Plana…</t>
  </si>
  <si>
    <t>Montes, Antonio Valdés</t>
  </si>
  <si>
    <t>Antonio Valdés Montes</t>
  </si>
  <si>
    <t>…a nueva Una hermosa lá se. redactan de ¡as respectivas sesiones ; pida de la Constitución; costeada por el coronel retirado¿ - «Vista ía fórmula de los poderes de los diputados al D. Antonio Valdés Montes. Se dio principio ai acto con Parlamento nacional;y las actas de su juramento; una misa solemne, pasando despuésá efectuar la colocación 1 «Considerando que de todos los hechos y documentos de la lápida con asistencia del ayuntamiento, á cuyo tiem-mencionados…</t>
  </si>
  <si>
    <t>Montesino, Pablo</t>
  </si>
  <si>
    <t>Pablo Montesino</t>
  </si>
  <si>
    <t>…traño que los ingleses camilla , hacendado D. Diego Antonio González, juez de primera insy viesen con indiferencia sucesos tan extraordinarios; pero todavía Jo es tan cía de Toro; D. Pablo Montesino, médico. mas, que después de haberse tomado tantas medidas no se haya resta Suplentes. D. Basilio Neira, hacendado. D. Sebastian Clemente blecido la tranquilidad pública. Moreno . abogado. Por Vatladolid. D. Evaristo Perez de Castro , ex-ministro de Es IRAN C…</t>
  </si>
  <si>
    <t>Montevérde, Domingo</t>
  </si>
  <si>
    <t>Domingo Montevérde</t>
  </si>
  <si>
    <t>212</t>
  </si>
  <si>
    <t>…n documentada del origen y progresos del trastornó^ •mociones musculares y demas fenómenos á la excitación de dé las provincias de Venezuela, hasta la exoneración del capias” tari general D. Domingo Montevérde, hecha en el mes de Di-rjf la electricidad ordinaria por algunas combinaciones en que ciembré da 1813 Por la guarnición de la plaza de Puerto-Ca-jí'los, sabios no hablan pensado todavía ; á saber: al contacto bello: por D. Pedro de Urquinaona y Pardo, oficial…</t>
  </si>
  <si>
    <t>Montgomery</t>
  </si>
  <si>
    <t>…ros de Mr. Turm Francisco Alcázar. bull, que representan la muerte del general Warren en el Los suscriptores á la biblioteca de música moderna para las asalto de Quebec , y la del general Montgomery en la ba clases de canto, piano-forte, violin ó flauta, que se publica talla de Bunker’s Hill; pero parece que las-agitaciones polí en Milán , acudirán á recoger los cuadernos hasta el núm. 11 de ticas de los últimos 2j años hicieron suspender la egecu— cada…</t>
  </si>
  <si>
    <t>Montholón</t>
  </si>
  <si>
    <t>…s de las infinitas vícti dáver hasta él pié dé la colina, dónde' nó podía llegar el ¿oché; él mas de la dominación extrangérá? caballo dé Éoriapáíté, conducido por dos criados; el conde Montholón ¿Nó ésta permitiendo á esos mismos periódicOsínjuriar diariamente y él mariscal Bertrand llevaban las puntas dél paño; madama Bertrahd 4 la España, nuestra mas antigua aliada! La España ha sido insultada y su hija én un coche descubierto; los criados á los la…</t>
  </si>
  <si>
    <t>Montholon</t>
  </si>
  <si>
    <t>…ra limpiarlo de las numerosas gavi cesa varias cartas que habia traído de Sta. Elena; la una de ellas era del llas de malhechores que lo infestan. Esta expedición no ha tenido mas general Montholon á la princesa, la otra la escribía á su secretario el resultado que la prisión de algunos de ellos, entreoíos que se cuentan Dr. Antomaichi; ias dos tienen ia fecha de 17 de Marzo de idzi. y D. Gasparo y Palietuno, que se distinguieron en las últimas turbu co…</t>
  </si>
  <si>
    <t>Montholor</t>
  </si>
  <si>
    <t>…y del príncipe Cantacuceno----El trasporte Camello entró vrr naciones de provincias, partidos y- concejos en la división que iba j ha Spithead con el conde Bertrand,su familia, el conde Montholor y,-'-rascerse , ó si debería tratarse de este asunto en otra ocasión. varias personas de la servidumbre de Napoleón. El 3 aun no se les ha El Sr. Moura manifestó las razones que habia tenido la comisión bia dado permiso de desembarcar. para extender esta part…</t>
  </si>
  <si>
    <t>Montholun</t>
  </si>
  <si>
    <t>…. los que ellas mismas han suscitado. A la cabeza estaba el altar : asistian su capellán ,el matiscal3ettrand? ^íuestwtiflin^tgEjo^.qus,parece impasible.en medio de los grandes el conde Montholun y toda la familia: todos exclamaban qué jamás ácóñféciníiéntos que ocurren actualmente en el teatro de la Europa habian visto un cuerpo mas bien formado. Su cuerpo no ha sido embal cuenta únicamente con nuestra debilidad para hacerse respetar de lá samado; pe…</t>
  </si>
  <si>
    <t>Monthouy</t>
  </si>
  <si>
    <t>…ad- ronel del regimiento de Guardias. = El conde deSambuy, coronel del Estos han sido, Sr. conde , los resultados de las .comunicaciones regimjento de dragones ¡de la Reina. ssEl- caballero Monthouy, coman que. hasta ahora ha habido con respecto á ios:asuntos dé Nápoles. eV dare, de ingenieros.u: El conde Mona. = F.L conde Porichevaslo, sar fin de coadyuvar, en cuanto nos sea posible., :ál buen resultado de la genta mayor del regimiento de Guardias.— El…</t>
  </si>
  <si>
    <t>Móntoya, Josef González</t>
  </si>
  <si>
    <t>Josef González Móntoya</t>
  </si>
  <si>
    <t>…beneficios ! ; . • ■ Nos toca á nosotros poner obstáculos á la egecucion de un tratado Sevilla 24 de Mayo. ajustado solemnemente entre el gefe supremo del Estado y la cabeza de r~ D. Josef González Móntoya ofreció al ayuntamiento i9 rs. para la Iglesia: No, señores, no tengamos reparo en decirlo, pues la since premiar la mejor memoria sobre cárceles y presidios correccionales: ridad es el primer deber del legislador en este recinto, y. del orador en anunciado e…</t>
  </si>
  <si>
    <t>Montpalau, Antonio</t>
  </si>
  <si>
    <t>Antonio Montpalau</t>
  </si>
  <si>
    <t>…stellano , en cuyo idioma se ha reimpreso varias veces , fue corregido sión de los turcos de Europa destruiría las relaciones de comercio que y auihentado en la cuarta edición por D. Antonio Montpalau, con los pueblos cristianos tienen con ellos; pero la potencia cristiana , cual particularidad en las cosas pertenecientes á España; pero la obra aun en quiera que fuese , que- reinara en Constantinopla, tendría nuestras cos tal estado dejaba mucho que desear…</t>
  </si>
  <si>
    <t>Montrose, Zorde</t>
  </si>
  <si>
    <t>Zorde Montrose</t>
  </si>
  <si>
    <t>…edió á la elección del primer secretario, y no mite la plaza de caballerizo mayor, vacante por la promoción del duque habiéndola habido en el primer escrutinio por haber tenido el Sr. Zorde Montrose á la de gentilhombre. raquin 36 votos, el Sr. Tapia 40 y el Sr. San Miguel 10 del total _Corre una anécdota singular, de cuya certeza no salimos garantes, 103 , se procedió á segundo escrutinio entre estos tres Sres., y resultó y se teduce á lo siguiente: Se…</t>
  </si>
  <si>
    <t>Moore, Sir Graham</t>
  </si>
  <si>
    <t>Sir Graham Moore</t>
  </si>
  <si>
    <t>…ntonces puerto el 7 de Mayo, que nuestras fuerzas navales del Mediterráneo en derechura á la Inglaterra , y los Soberanos aliados pedían que el Par iban á llegar allí al mando del almirante Sir Graham Moore. lamento aprobase lós principios de su conducta. Ahora por el contra La'Reina ha escrito una nueva carta, en que pide se le señale ua lto no se trata sino de una declaración que se dirige á la Europa, y sitio correspondiente en la abadía y sala de \Vesrnunste…</t>
  </si>
  <si>
    <t>Mor</t>
  </si>
  <si>
    <t>…ido en los puertos de depósito de primera oficiales distinguidos de todas armas del egércitó. Aprobado. clase.” Art. 144. &gt;3 Dependientes del estado mayor general, y á las orde El Sr. Mor eno Guerra dijo : estando ya acordado que se traiga el nes de cada comandante general, habrá también un pequeño estado tabaco de la Habana pagando un 8 por 100 en bandera extranjera, y mayor en cada distrito militar. Aprobado. un 6 por zoo en la nacional, yo…</t>
  </si>
  <si>
    <t>Mora</t>
  </si>
  <si>
    <t>…han acudido al sitio para ve La comisión encargada de fijar las bases para la Cons rificar los hechos. Las puertas se han abierto á las dos y titución pidió licencia por boca del Sr. Mora para leer las -inedia, y parece que no ha habido ningún herido. que había extendido, cuyo contenido en lo esencial es el __ Escriben de Milán con fecha 2 a de Enero que todas las tro siguiente: pas de aquella guarnición yj las de las plazas circunvecinas TITU…</t>
  </si>
  <si>
    <t>…sidente nombró para la comisión de Hacienda en lugar Afadrid yo de Marzo. del Sr. Sánchez Toscano al Sr. Ibangueli. &lt;,S. MM. y AA. continúan sin novedad en su importante salud. El Sr. Mora presentó una felicitación, qué por su medió se dirigía</t>
  </si>
  <si>
    <t>…ara vez se leen las palabras con la viveza que se pro agrado, y mandaron se hiciese mención en la gaceta. nuncian , por lo que opinaba que la ventaja que tenia el escrito en la El Sr. Mora presentó un proyecto de ley en 8 artículos para que extensión la tenia la palabra en la intensión ; y que de consiguiente po cesasen desde luego en Ultramar Jas contribuciones que se imponen pa dían ser castigados ambos con las mismas penas.</t>
  </si>
  <si>
    <t>…a que debía recomendarse de causas , y otras hedías en esta legislatura... , á este interesado al -Gobierno. Se leyó una indicación del Sr. Sancho .para que. las Cortes decía** El Sr. Mora dije» que 'dpbia arreglarse la solicitud de este oficial á I3 reu que todas las comunidades que no hayaii elegido prelados superio Real orden de S. M. de iz de Abril dé 1U2Ó ; y después de una corta res conforme á lo prevenido en el decreto de i. de Octubre d…</t>
  </si>
  <si>
    <t>Mora, Calixto</t>
  </si>
  <si>
    <t>Calixto Mora</t>
  </si>
  <si>
    <t>…servicio VARIEDADES. son los siguientes: infantería, teniente D. Josef María 'Ba rona: subteniente D. Andrés Ochagavia : sargentos segundos Reflexiones sobre el imperio de Rusia. D. Calixto Mora yD. Cipriano Díaz: cabos segundos Don El imperio de Rusia es el país de las contraposiciones Santos García del Barrio*, D. Josef del Moyo. D. Juan. tnas singulares que presenta ei mundo, ssi en lo tísico como Obeso, D. Juan Ochasavia y D. Minué! Gutiérrez Dos…</t>
  </si>
  <si>
    <t>Mora, Ignacio</t>
  </si>
  <si>
    <t>Ignacio Mora</t>
  </si>
  <si>
    <t>…janíés retardos’,!1¿ qorniSe mandaron pasar á la comisión de Poderes los de D. Félix Gin, sion presentaba á 'la deliberación de las Cortes los.;',trésisá^ículds,si-D,. Juan Guell, D. Ignacio Mora ,■ D. Josef Alaría Moreno , D. Josef guientes: 7xoc:. íc:--’-v; María Jiménez, D. Joaquin Medina y D. Domingo Sánchez, diputa - i.° Que se diga al Gobierno se informe del R.imincio d¡&gt;¿S. S. eii dos por varias provincias de Ultramar. esta corte, si exige para…</t>
  </si>
  <si>
    <t>…nes y compañías ; q-ee la Póir, laL,provincia de laiPuebla; los señores coronel, dél regimiento de* Guadalquivir no hablS 7,hécííó'mas que conségúir concesiones y., más .dé México D. Ignacio Mora ;;cura. de.Zacatlan' D.ry D.vFrancisco Cíi)concesiones, tan útiles para/él la como perjudiciales para; la provincia tar¡nes; L¡,c. .D.'Félix Qui.o 'fécijanhuey, regidor &lt;lel ¡ayuntamiento de de Andalucía , resultando na’téner eí carácter 'que debía tener de c…</t>
  </si>
  <si>
    <t>Mora, Josef de Bastillo</t>
  </si>
  <si>
    <t>Josef de Bastillo Mora</t>
  </si>
  <si>
    <t>…que hemos dado á esta expresión en uno de za á los que se contemplen con derecho á los bienes de la lista que se nuestros números anteriores. pone á continuación, y que fueron de D. Josef de Bastillo Mora, para Ha mucho tiempo que la intriga y la ambición, disfrazadas bajo que comparezcan á deducirle en el tribunalde primera instancia que la máscara de la buena intención y desinterés, dijeron á los Soberanos: interinamente está á cargo del referido alcalde con…</t>
  </si>
  <si>
    <t>Mora, Josef Joaquin de</t>
  </si>
  <si>
    <t>Josef Joaquin de Mora</t>
  </si>
  <si>
    <t>…....... 322 ídem.............. 136 idem. La cátedra de derecho natural, que debió abrir á prínci- De peces............... 263 idem............... 70 ídem. ios de éste año el socio D. Josef Joaquin de Mora, y que De moluscos....... 387 ídem.............. 102 idem. - 122 esqueletos disecados.E icieron suspender circunstancias particulares, se abrirá el Ademas..................... dia. 7 del próximo mes de Marzo, Continuando sus leccio-r nes los miércoles y sábad…</t>
  </si>
  <si>
    <t>Mora, Josef Joaquín de</t>
  </si>
  <si>
    <t>Josef Joaquín de Mora</t>
  </si>
  <si>
    <t>…de Infracciones de Constitución, después de haber exa Otra, acesoria contigua, en 1415 rs. minado los antecedentes de una exposición presentada á las Cortes en el año próximo por D. Josef Joaquín de Mora, editor del periódico El Sr. D. Julián de Sojo, juez de primera instancia en esta villa, titulado el Constitucional, en la cual se quejaba del juez de primera ha señalado el domingo 4 del corriente á las nueve de su mañana en instancia de Madrid D. Josef Mart…</t>
  </si>
  <si>
    <t>…s egemplares de jas t&gt;bfas de Jeremías Hentham, traducidas al: es cederse el pase á las bulas., ó de elegirse-un. o.bispo, conviene examinar pañol , y presentadas á las Cortes por D. Josef Joaquín de Mora. su conducta civil y.política, su moral &amp;c.-:y. ;á quién debe pertenecer es A la comisión de Organización de-1 fuerza armada se mandaron to sino al poder legislativo? Por lo que creo,que .el .Rey gara.dar-el pasar algunas observaciones que sobre la ley consti…</t>
  </si>
  <si>
    <t>Moragon, Josef del Campo</t>
  </si>
  <si>
    <t>Josef del Campo Moragon</t>
  </si>
  <si>
    <t>…horas después de la notificación nombre cada uno un na. D. Nicolás Escolar y Noriega. defensor suplente , que deberá ser de los mismos que defienden á otros Partido de S. Clemente D. Josef del Campo Moragon. D. Josef Vi reos, ó de ios demas militares que residen en Cádiz; y para que no re llanueva. D, Santiago María Melgarejo. D. Diego Navarro. caiga el nombramiento en los que tengan á su cargo defensas incompa Partido de Huete D. Julián de- la Calle, D. Juan Ma…</t>
  </si>
  <si>
    <t>Moragrega, Josef</t>
  </si>
  <si>
    <t>Josef Moragrega</t>
  </si>
  <si>
    <t>…llasana, del de Tarragona: a D. Justo Bcrriz , del de Barcelona: á Don Pamplona habían informado acerca de este artículo. Quedó aprobado. Santos Ladrón , del segundo de Aragón: á D. Josef Moragrega, del de Art. 99. « Los jueces y tribunales procurarán en cuanto lo permi Llostalrich ; y a D. Victoriano Boubier, del de Baibastro. tan las circunstancias que los reos sufran la ejecución de sus sentencias, Asimismo se ha servido S. M. promover á comandantes…</t>
  </si>
  <si>
    <t>Moral, Díaz del</t>
  </si>
  <si>
    <t>Díaz del Moral</t>
  </si>
  <si>
    <t>…Gefe político de Búrgos, él que par exposiciones de la diputación provincial de Granada , presentadas por ticipaba con desagrado ia noticia de que el día 29 se había presentado el Sr. Díaz del Moral: la primera:para que se continúe la obra proyec el faccioso Merino en el mismo parage que anteriormente , a la cabeza tada en tiempo que el conde de Jylontijo mandaba aquella provincia de da 100 hombres de á pie y de 60 montados, todos bien montados, y un pue…</t>
  </si>
  <si>
    <t>…os ó distritos provinciales, compuestos de cuatro ó y el Sr. Quiroga manifestó podía nombrarse la comisión de memoria seis partidos de primera instancia. les, á lo que contestó el Sr. Díaz del Moral que debia darse cuenta á 1. ' » Que en cada uno de estos partidos provinciales nombre el las Cortes de todos los expedientes, aunque no con la prolijidad que Gobierno un gefe político subalterno que desempeñe ias funciones del te babia egecutado, porque asi s…</t>
  </si>
  <si>
    <t>…nde de Bena- urgente necesidad que exigía la plantificación de una obra de tanta uti vite para la organización de esta fuerza, remitida por el Sr. ministro lidad. de la Guerra. El Sr. Díaz del Moral dijo: El Sr. González Allende acaba de ha A la de la Armada naval dos memorias sobre ingenieros y náuti cer una observación de los perjuicios que van á sufrir ¡os pueblos,"divi cos, dirigidas por el director y el comandante de ingenieros de Cádiz. diendo el t…</t>
  </si>
  <si>
    <t>…laga, se propone por la comisión que se constituya otra secun- i d.bia haber disminuido aquel número en lugar de aumentarle por ser daria de la de Almería ó Baza. muy excesivo. El Sr. Díaz del Moral, diputado de aquella provincia, se opone i</t>
  </si>
  <si>
    <t>…ste modo se les señala ya una mientos de la mas pura gratitud y reconocimiento hácia este oficial, carrera. con ocasión de los servicios bajo todos aspectos importantísimos que El Sr. Díaz del Moral reprodujo varias reflexiones que había hecho acaba de hacer, apreciando debidamente la recomendación hecha en en su discurso pronunciado en el dia de ayer, para deshacer una equi su favor por ios exponentes, víctimas de la mas acrisolada lealtad, vocación que…</t>
  </si>
  <si>
    <t>…os pueblos las aceleran , produciendo confusión , desorden y des ducción de lonas y bayetas del extrangero. confianza. Serezela mutuamente; se cortan las comunicaciones sin exa El Sr. Díaz del Moral apoyó la solicitud de estos fabricantes; su men; el comercio se entorpece; las subsistencias faltan; la escasez se plicó á los Sres. diputados que examinasen las muestras que incluían , y presenta; y perecen á un mismo tiempo el pueblo observado y el obser al…</t>
  </si>
  <si>
    <t>…tículo que se discute es una medida muy lo diremos. prudente, adoptada ya con respecto á la introducción de trigo. El Sr. López ( D. Marcial) dijo que no se tenían otros conoci El Sr. Díaz del Moral dijo que no había pensado hablar en esta mientos de esto que se llama sanidad que las ideas generales estableci asunto, tanto porque no se le atribuyese un espíritu de provincialismo, das por los Sres. Martel, obispo de Sigiienza , y algunos otros Sres. di qu…</t>
  </si>
  <si>
    <t>Moral.-, Díaz del</t>
  </si>
  <si>
    <t>Díaz del Moral.-</t>
  </si>
  <si>
    <t>…y anti-políticas por lo mismo que se ha repetido otras veces , y de español; y si en el dictamen de la comisión no es este bastante, cuyas Tazones ha manifestado extensivamente el Sr. Díaz del Moral.- . dése enhorabuena á la provincia que tenga por capital á Zaragoza el En seguida manifestó que el mínimum de las provincias de cuarto nombre de Aragón ; pero no se les quite este nombre i ias demas: llá orden no debia considerarse de la manera que lo habia ma…</t>
  </si>
  <si>
    <t>Morales</t>
  </si>
  <si>
    <t>…ortes quedaron enteradas del oficio del Sr. secretario de Gra roes castellanos la libertad de-Castilla. cia y Justicia, en que les daba parte de que S. M. había señalado la una El Sr. Morales dijo que solamente habia hablado de aquellos cau de aquel dia para recibir la diputación que debía presentarle tres pro dillos porque eran procuradores en Cortes. yectos de ley para la sanción. El Sr. Golfín pidió* que pasase aquella indicación á una comisión…</t>
  </si>
  <si>
    <t>…el precio de un peso, y la mayor parte de estas jóve trando en ellas los insurgentes; y que el- 27 reconquistó ambos puntes nes ha., sucumbido al infame trato que les han dado. el general Morales. El 22 dei corriente á doce leguas del cabo de San El ministro ruso seguía á dicha época en Buiukderé-. no podia re .Vicente fue reconocida por la fragata de guerra Pronta. cibir ni expedir cartas ; pero consiguió embarcar su familia en un bu Madrid Jueces 2…</t>
  </si>
  <si>
    <t>…iguiente nueva ■ ■ ■: : ■: ■; ■;• * ¿ \ r i \ ¿v ^, . :• \ocurrencia^, ' • ■ ; • •_ . ' • - &lt; " ' * ’ ^ ' •&gt;. , .*• , . ;r -r *,E1 2j de M^y°^entro enijGála^s júhadi*4 =visión del brigadier Morales ¿ se apoderó dé dicha ciudad, y batió completamente á Beímu * in teríor; sedez, cuyos restos perseguía.. Del avisaba de otra acción ganada por el general Latorré al egército de ,Bolívar ¡ ningunos de talles hay en esta plaza de dichos sucesos, que son ciertos…</t>
  </si>
  <si>
    <t>…epública, la plaza de Caracas el general enemigo Bermudez con 700 hombres, el que delante de dos gefes elegidos por una y otra parte declare ser esta pero que el 26 la recuperó el brigadier Morales después de batir á los su determinación. enemigos en Cocuizas y Limoncito , recomendando el mérito de este 4.1 Los gefes , oficiales y tropa conservarán sus bazages y cuanto digno gefe , que por su pericia , actividad y bizarría habia conseguido tengan propio…</t>
  </si>
  <si>
    <t>Morales, Bernabela de</t>
  </si>
  <si>
    <t>Bernabela de Morales</t>
  </si>
  <si>
    <t>…del Real, provincia de Sevilla, el paradero de los herederos de los señores Campo el de carmelitas descalzos; el de dominicos, reuniéndose sus D. Henifique Henrique de .Guarnan y Doña Bernabela de Morales; lia religiosos á los de Valladolid ; ei de agustinos calzados , el de trinita acordado se citen por el presente, para que en el1 término de 20 días, rios calzados y él de carmelitas calzados, agregándose los individuos contados desde e:ta publicación, se pre…</t>
  </si>
  <si>
    <t>Morales, Díaz</t>
  </si>
  <si>
    <t>Díaz Morales</t>
  </si>
  <si>
    <t>…EÑOR CANO ‘ MANtTEt. catedrático de agricultura de Toledo; y por Pablo Antonio López, la brador de la misma, sobre los montes de aquella ciudad. Sesión del dia ig de Marzo. El Sr. diputado Díaz Morales presentí) varias propuestas para la Aprobada el acta del dia anterior, se le concedió al Sr. Medrano marina militar de España, hechas por un sugeto que reservaba su el permiso que solicitaba para acercarse al Gobierno ¡í tratar asuntos nombre, ambicionando so…</t>
  </si>
  <si>
    <t>…r Vadillo para después de una ligera discusión se decretó que quedase extineuido el que lo presentase. tribunal de la Inquisición ; que las causas y papeles se colocasen en 1*' El Sr. Díaz Morales manifestó lo mucho que convenía hacer efec sala de manuscritos de la biblioteca pública, y que volviese á ia comi tiva la responsabilidad dé los empleados públicos ; y á este fin , des sión para extender eí decreto; con lo que se levantó la sesión. pués de un…</t>
  </si>
  <si>
    <t>Morales, Diaz</t>
  </si>
  <si>
    <t>Diaz Morales</t>
  </si>
  <si>
    <t>…ara las mismas la cláusula, después de la limosna, ó su mayoría de votos.” equivalente en moneda del pais. Madrid 2r de Marzo de 1821.^ An Se mandó insertar en el acta el voto del Sr. Diaz Morales, contra tonio Cano Manuel , presidente. = Josef María Couto, diputado secre rio á la resolución de las Cortes de haber aprobado la última parte tario. = Estanislao de Peñufiel, diputado secretario.” Por tanto man del art. i.° del proyecto sobre sociedades pat…</t>
  </si>
  <si>
    <t>…mejante proyecto, y arredrada quizá quisieran acudir á ella. ; por las consecuencias que podrían resultar, decretó que no había lugar Se leyó un voto particular que habia hecho el Sr. Díaz Morales, á votar. individuo de la misma comisión, opinando podia ir una compañía de NOTICIAS. DE ESPAÑA. cada una de las dos capitales; y quedó aprobado el dictamen de ia co misión. Madrid ly de Abril. La especial de Hacienda presentó su dictameivacerca de' la indica…</t>
  </si>
  <si>
    <t>…eedores á la I.as Cortes quedaron enteradas, y mandaron que pasase á la comi atención de las Cortes. . -■ sión de Marina el estado de cargo y data en el primer semestre de este El Sr. Diaz Morales hizo la.siguiente indicación: » Que se escriban año económico de los gastos del departamento de Cidiz. en el salón los nombres de los procuradores de Cortes Padilla, MalA la de Hacienda una exposición del Sr. secretario de este ramo, donado y .Bravo. ; en que…</t>
  </si>
  <si>
    <t>heroicos caudillos disponga el modo de eternizar su memoria. Se leyó una indicación del Sr. Diaz Morales,que decía así: » Pido Habiéndose dado el punto por suficientemente discutido, se mandó que-sé pase á la comisión especial nombrada* para’: examinar las causas pasar á una comisión especial. de Estado del año de 1814 el expediente' promovido'pur‘Doña’Maríat J1…</t>
  </si>
  <si>
    <t>…eva-Es A la de Instrucción pública una contestación del ministro de la paña), Tarma (en el Perú) y Goatemala. Gobernación de la Península al oficio que se le pasó en 14 de Mayo El Sr. Díaz Morales dijo que no le parecía el punto de Sanlúcar de último, á consecuencia de una indicación del Sr. D. Marcial López, Barrameda el mas á propósito para escuelas de agricultura , y que opir manifestando los recursos con que cuenta para el pago de las escuelas de n…</t>
  </si>
  <si>
    <t>…yo último. El de la de Diputaciones provinciales y División' del territorio re A Ja de Poderes se mandaron pasar dos cartas que el gefe político unidas acerca de la indicación del Sr. Díaz Morales, para que se re superior de Venezuela lia dirigido á la Gobernación de Ultramar, en únan en un pueblo, y bajo una misma autoridad local, la villa de Puente las que manifestaba haber sido electo diputado á Cortes D. Nicolás de de D. Gonzalo y la de Puente Geni…</t>
  </si>
  <si>
    <t>…uyó pidiendo se dijese tual sistema; por cuyos motivos consideraba qiié;no había-dificultad al ministró que viniese al-momento. alguna en la concesión de lo qué se solicitaba.1 El Sr. Díaz Morales pidió que la proposición del Sr. González El Sr. González Allende1 dijo que este era uno'de los negocios mas Allende se .votase por partes , - y que en el caso de no aprobarse la se interesantes que podían presentarse, y que para decidirlo eré menestér gunda,…</t>
  </si>
  <si>
    <t>…s Peñaranda á D. Manuel Martin Martin: para ei'de Morrtbeitran á Don que debia tener la provincia de Almería. Diego Cimeros Valencia: para el de Oropesa á D. Julián Calleja;- y El Sr. Diaz Morales presentó la siguiente proposición: » Pido que para el de Villafranca de Avila á D. Eugenio María Alvarez. las rectificaciones de límites de las provincias se pasen directamente á En la de la Mancha: para el juzgado de Almódovar del Campo i la comisión , como…</t>
  </si>
  <si>
    <t>…motivos que ha tenido la co Madrid y Vitorica, relativa á los límites que debían prefijarse á la pro misión para proponer el artículo que se discute. vincia de Santander: otra del Sr. Diaz Morales por lo respectivo á los El Sr. Diaz Morales expuso: Si examinamos éste artículo, encon límites que debía tener la provincia de Córdoba: otra de Jos Sres. La- traremos motivo para que las Cortes le reprueben. Las diputaciones pro líave ( D. Vicente), Manzanill…</t>
  </si>
  <si>
    <t>…n, y es si se opondrá Ja aprobación mero do individuos que constituyan la corporación que lo ha de hacer. de este artículo á que se reúnan las funciones de intendente y gefe po El Sr. Díaz Morales manifestó que no había dicho que cada indi lítico en una misma persona , porque en la legislatura pasada, cuan viduo despachase los expedientes que le correspondiesen, sino que in do se trató de esto se dijo que no se podía por lo mucho que te formaban sobre…</t>
  </si>
  <si>
    <t>…de esto presentaré á las Cortes corta discusión se mandó pasar á la comisión , y lo mismo las que siguen. varias observaciones de diferentes gefes políticos sobre este asunto. Del Sr. Diaz Morales acerca de los limites de la provincia de Ali El Gobierno, satisfecho de la certeza de que las asignaciones de los cante. gefes políticos para este asunto eran cortas, ha tenido que aumentar De ¡os Sres. Romero Alpuente, Cortés , López ( D. Marcial ) , La- las…</t>
  </si>
  <si>
    <t>…mismos. •u correspondiente distrito.” Aprobado. Se mandó agregar al acta de la sesión anterior un voto particular - Art. 15. » La plana mayor de cada batallón se compondrá da del Sr. Diaz Morales, contrario á no haberse admitido á discusión la Un coronel ó primer comandante. proposición que hizo ei Sr. Priego en la misma. Un segundo comandante mayor. El Sr. presidente nombró para la comisión de Sanidad á los Srei. Dos ayudantes, uno primero y otro seg…</t>
  </si>
  <si>
    <t>…as solicitudes se hicieron acerca de » Los nuevos sucesos, que debemos poner en noticia de.vmd., de ellas. mostrarán nuevamente que si en las actuales circunstancias, ha padeci El Sr. Díaz Morales: Yodo creo que este sea un Insulto á las Cortes do algún riesgo la salud pública, es evidente que ha desaparecido casi el tratar de rectificar una parte del proyecto de división , lo cual-nó in al momento en que se ie temió , á beneficio de las rigorosas prec…</t>
  </si>
  <si>
    <t>…ó aco mar sobre el modo de evitar el curso de la moneda francesa. metidos 2 •• salidos ó curados .... convalecientes ....... muertos 1: exis Lo mismo se verificó con otro voto del Sr. Díaz Morales, contra tentes 1. rio á la aprobación de los artículos del dictamen de dicha comisión. Ciudad, existencia anterior 287: entrados ó acometidos 9: salidos Se mandó pasará la de Marina una exposición del ayuntamiento ó curados g: convalecientes 18: muertos g: ex…</t>
  </si>
  <si>
    <t>…as justicias va, obispo de Mallorca , Moscoso , Gol8n y Vitorica. de las provincias de México , y especialmente á las de la ciudad de es Continuando la discusión pendiente dijo el Sr. Díaz Morales que U te nombre, en tres correos continuos, y de haberse asi verificado se poncomision que proponía el Sr. Sancho no podía tomar en consideración gan sucesivamente en el proceso los correspondientes testimonios por el este asunto, porque según había, indicado…</t>
  </si>
  <si>
    <t>Morales, Francisco Díaz</t>
  </si>
  <si>
    <t>Francisco Díaz Morales</t>
  </si>
  <si>
    <t>…&amp;c. esta ciudad Ja extraordinaria satisfacción de ver pisar nuestro 55.747,600. suelo á los dignísimos diputados á Cortes D. Josef Moreno Total igual 162.261,750 francos. Guerra y D. Francisco Díaz Morales, quienes, después de Las cuentas de Hacienda presentadas al Parlamento ha recorrer la provincia que tuvo el acierto de elegirlos y esta de cen subir los gastos. Cádiz, continúan sus observaciones para promover la felicidad Para 18173 176.029,925 francos. ■ pú…</t>
  </si>
  <si>
    <t>Morales, Francisco Tomas</t>
  </si>
  <si>
    <t>Francisco Tomas Morales</t>
  </si>
  <si>
    <t>…y un octavo labrantíos, en venía 240 ascender ¡á mariscal de campo de los egércitos nacionales al brigadier rs.—En ¡d. , un carro y 6 octavos id. , en venta 1 34 rs----,;n id., i D. Francisco Tomas Morales: á la clase de brigadier al coronel D. Jo carros de prado, en venta 132 rs—En id. y sitio del ¿eta , un carro y sef Pereira: á la de coronel del regimiento de Valencey expedicionario 6 octavos id., en venía 115 rs----En id. , sitio del Cueto , 2 carros de al…</t>
  </si>
  <si>
    <t>Morales, Josef Perez</t>
  </si>
  <si>
    <t>Josef Perez Morales</t>
  </si>
  <si>
    <t>…Dia 20............. ...... 2:..... ....... O.............. .. I...» ....... 3...... D. Berna'rdino Entillac, D. Domingo Fernandez Angulo, D. Fran cisco Orea, D. Josef Larreategui, D. Josef Perez Morales, D. Josef 7■ 5- 3- 34- Pío de Molina, D. Manuel García del Barrio, D. Marcos Cubilio, D. Mariano Valero, D. Nicolás de Puga, D. Pedro Matute, D. Ra Hay ademas cuatro sospechosos. fael Costa y D. Tomas Polo Catalina. Madrid l.° de Noviembre. Parroquia de S. Ma…</t>
  </si>
  <si>
    <t>Morales, Pedro Nolasco</t>
  </si>
  <si>
    <t>Pedro Nolasco Morales</t>
  </si>
  <si>
    <t>…Congreso. Han sido nombrados para electores de partido de esta ciudad Don Se'pasó á hacer la elección para el mes entrante , y salieron elegi Antonio Marau, vecino di la Ollería; D. Pedro Nolasco Morales , al dos, para presidente el Sr. Trigosó, para vice-presidente el Sr. Mar- calde constitucional de Játiva; el barón de Casanova , de Bocairenre, giochi , para secretarios los Sres. Queiroga, Riveiro Costa, Freire y y D. Baltasar Fusrer , de Enguera—En Alicant…</t>
  </si>
  <si>
    <t>Morales-</t>
  </si>
  <si>
    <t>…omparezcan en el propio tán que el 27 de Mayo entraron nuestras tropas en Caracas y ia Guaira, juzgado y escribanía por sí ó por procurador conocido con poder sufi mandadas por el general Morales-, que el 26 tuvo una acción muy re ciente á deducirle; apercibido que pasado sin haberlo hecho se proce ñida á 6 (1 8 leguas de Caracas, en que los enemigos fueron derrotados y derá d lo que haya lugar sin mas citación ni emplazamiento; lo que Se disp-rsados c…</t>
  </si>
  <si>
    <t>Morato, Josef Esteve y</t>
  </si>
  <si>
    <t>Josef Esteve y Morato</t>
  </si>
  <si>
    <t>…rsonas pretendan ajustar á sus moldes y su Jaime Fons, precedente del juez de primera instancia de esta capi jetar á sus medidas el entendimiento humano, hecho y arreglado por tal D. Josef Esteve y Morato. Preso en 13 de Setiembre de 1820 por el mismo Dios á otra escala muy diferente de la que usan el periodista robo de cinco pesetas y cuartos. Estado de esta causa. Señalado á sen-: y Ips demas sectarios de la Monarquía absoluta, ó digamos pura, como tencia. P…</t>
  </si>
  <si>
    <t>…l Olmo, Estado de esta causa. En sumario. Providencia de visita: siga. . alcaide y familiar del santo oficio, ayuda de la furriera de S. M.. x Josef Castells, procedente del dicho juez D. Josef Esteve y Morato. maestro del Buen-Retiro y villa de Madrid. Este espectáculo memora Preso en n de Diciembre de 1820 por sospechas de haber dado muerte ble, que duró en la Plaza mayor desde las ocho de la mañana hasta las violenta á Valentín Albi. Estado de esta causa. En sum…</t>
  </si>
  <si>
    <t>Morca, Faria Car la</t>
  </si>
  <si>
    <t>Faria Car la Morca</t>
  </si>
  <si>
    <t>…-presidente y secretarios para el mes entrante, se proceLas noticias comunicadas de Cefalonia sobre los acontecimientos de ió á la votación, y salieron electos: para presidente el Sr. Faria Car la Morca son siempre relativas á nuevos tormentos y á nuevos ator valho; para vice-presidente el Sr. Vaz-Veho , y para secretarios que mentados: las dos naciones enemigas se han propasado demasiado: el daron reelegidos los que lo eran ; á saber : los Sres. Ribeiro Cos…</t>
  </si>
  <si>
    <t>Morcillo, Juan Andrés</t>
  </si>
  <si>
    <t>Juan Andrés Morcillo</t>
  </si>
  <si>
    <t>…ndo con su producto parte de la deuda pública. compuesta del regidor D. Juan Fernando Corvera y de su síndico 1.“ El Sr. Girao presentó un artículo para que se adicionase a las ba D. Juan Andrés Morcillo; y puesta en el salón , el comandante arengó ses de la Constitución, declarando la inviolabilidad del domicilio de encrgiqsiniente al ayiultaruíento, y este le contestó con igual energía por los ciudadanos, y manifestó cuán intere'ante era este artículo, porq…</t>
  </si>
  <si>
    <t>Morcillo, Manuel</t>
  </si>
  <si>
    <t>Manuel Morcillo</t>
  </si>
  <si>
    <t>…su dictamen. Cite la próximo pasado por D. Tomas González, D. Fernando Antonio de Gaceta de Milán otra Constitución europea menos improvisada-, que Marín, D. ju.111 Je Saldivia y D. Manuel Morcillo , oficiales de! regi se haya tardado mas cr. formar; que mas se hava discutido: que mas miento de; Aragón, dijo que la ley absuelve á D. Juan Bautista Angui, derecho tenga a ser reconocida , si no como perfecta (pues perfección no teniente del mismo regimient…</t>
  </si>
  <si>
    <t>Mordella, Cayetano</t>
  </si>
  <si>
    <t>Cayetano Mordella</t>
  </si>
  <si>
    <t>…ia: á guera. 3.0 A toda la tropa y oficiales del batallón provisional de Cata los que quieran pasar á milicias provinciales, y á los que quieran pasar luña , y al capitán retirado D. Cayetano Mordella, que concurrió con &amp; Ultramar, se les concede, con un ascenso á los años detallados, pero ella cómo soldado voluntario, les concede S. M. un escudo de distin con el mismo sueldo que ahora disfrutan ínterin esten en la provin-- ción igual en la forma al que co…</t>
  </si>
  <si>
    <t>More, Tomas</t>
  </si>
  <si>
    <t>Tomas More</t>
  </si>
  <si>
    <t>…O. español, y español é ingles , por Connelly , cuatro tomos en 4.0 marquilla: á 180 en papel, y 248 en pasta = Gramática inglesa, en 8.* Habiendo llegado á esta corte el teniente general D. Tomas More marquilla, á 13 ts. en papel, y á 8 en pasta. EN LA IMPRENTA NACIONAL.</t>
  </si>
  <si>
    <t>Moreda, Francisco</t>
  </si>
  <si>
    <t>Francisco Moreda</t>
  </si>
  <si>
    <t>…l pueblo de Zaragoza y AYUNTAMIENTO CONSTITUCIONAL DB lA CIUDAD DE ZARAGOZA. ei de toda la provincia responderán si se les pregunta, ó acaso sin pre guntarles, si el gefe político D. Francisco Moreda ha perdido su con « Excmó. Sr.: Desde el dia 30 del pasado Octubre, en que se diri fianza , ó si la Iva perdido precisamente para aquellos, que acaso no ha gió á V. E. por este ayuntamiento constitucional la noticia de lo ocur brán considerado su presencia mu…</t>
  </si>
  <si>
    <t>…n general prevalece en esta separación del mando político y militar que egercia ¿.satisfacion déí pú provincia, ha publicado la siguiente proclama con motivo de las elec- blico el brigadier D. Francisco Moreda.,_y con sorpresq de esta .ciudad, .cióles de partido : con escándalo para los verdaderos constitucionales, y. c&lt;?0.,sentimiento » Ciudadanos: La.madre patria tiene fijos en vosotros sus ojos: no de las buenos se vió forzada y compelí da á suspenderse de sus f…</t>
  </si>
  <si>
    <t>…a miliciancBenon CSOrella, cabo. la Nación entera, han tenido la osadía de atentar contra nuestro digno Pozuel. Por el ayuntamierito=Domingo Piamet, alcalde constitu gefe político D. Francisco Moreda, no será justo que todo el reino su cional.—Antonio Seráblo , secretario. fra este borron , con qué han querido manchar sus hazañas unos hombres Por la miliciarcMateo Gil. viles y despreciables. Ellos se resienten del zelo y vigilancia de aque Blancas. Por el…</t>
  </si>
  <si>
    <t>Moreda, Francisco de</t>
  </si>
  <si>
    <t>Francisco de Moreda</t>
  </si>
  <si>
    <t>…ha hecho ardig Tendreísio entendido, y dispondréis su cumplimiento. no Gefe político, que acaba de ser nombrado para Aragón Rubricado de la Real mano. r= En Palacio á i j de Enero D. Francisco de Moreda. Como la opinión le habia prece de 1821= A D. Josef Canga Arguelles. De orden de S. M. lo traslado á V. para su inteli dido,.todos salieron á recibirle , y especialmente los milicia gencia, y damas efectos oportuno?, Madrid 15 de Enero nos ,de caballería, qué…</t>
  </si>
  <si>
    <t>Morel, Pedro Juan</t>
  </si>
  <si>
    <t>Pedro Juan Morel</t>
  </si>
  <si>
    <t>de Manacor á D. Pedro Juan Morel! ; para '^jl de Llumayor á Seis marjales en dicho término, pago del Lunes, en D. Antonio Josef Ochoa ; para Mahon á D. Esteban Brío- 4200 rs. nes; para el de Ciudadela á D. Josef Banquells, y para Cinco marjales en dicho término, pago del Martes, en Ibiza á D…</t>
  </si>
  <si>
    <t>Morelli</t>
  </si>
  <si>
    <t>…pueblo contra los- austríacos por medio de proclamas fijadas en las plazas, y SS. MM- y AA. continúan sin novedad en su importante salud. que inmediatamente fueron arrancadas. El teniente Morelli, comandante del primer escuadrón que se su- i CORTES. blevó én él mes de Julio , y después se llamó el' batallen sagrado, se refugió á la Calabria, y se cree que Minichini está en su compañía. ÍREStDBNCIA DEt SEÑOR CUTIER-REZ DE TERAír. Un periódico, no de mu…</t>
  </si>
  <si>
    <t>Morelli, Miguel</t>
  </si>
  <si>
    <t>Miguel Morelli</t>
  </si>
  <si>
    <t>…indiferencia los asuntos de Espa le dará el premio de mil ducados. Q cerca de 16D rs.). D. Lorenzo de ña añade el autor del artículo. Esto será tal vez una simple conje Conciüis, D. Miguel Morelli, D. Josef Silvati, I&gt;. Luis Minichini, tura; pero en todos casos probablemente se tratará de dar consejos, y D. Josef Cappuccio." Otra igual orden se ha publicado contra el gene de manifestar ardientes deseos. Mientras España conserve dentro de sus ral G- Pep…</t>
  </si>
  <si>
    <t>Moreno</t>
  </si>
  <si>
    <t>…ra y Solanot sobre que se continuase la prohibición de hicieron legítimamente; pero que no pudiendo verificarse la profesión, introducir granos extrangeros; pero habiendo dicho el Sr. Moreno tampoco podia considerarse como verdaderos canónigos á los elegidos, Guerra que por su parte la retiraba, creyéndola inútil , por estar resuel y de consiguiente hasta que las Cortes declarasen cuál debiera ser la to en la ley á que se refería que subsistiese…</t>
  </si>
  <si>
    <t>…os de España, con egercicios que se han de practicar sobre el Nación. Maestro de las Sentencias, asi como se practicaba en algunas universi El Sr. Priego dijo que el argumento del Sr. Moreno. Guerra se re dades el leer de oposición sobre los libros de Aristóteles. duce á que por este año no se puede llevar á efecto lo que propone la El Sr. Castrillo dijo: » Yo abundo en los mismos sentimientos que comisión con respecto á la contribución directa;…</t>
  </si>
  <si>
    <t>…or introducirle en la Península; por consiguiente el ar dante uenerat respectivo comunicará todas las ordenes, tanto á Jos tículo que se discute no es tan inútil como le parece al Sr. Moreno cuerpos como á todos los demas individuos dependientes de la autori Guerra La equivocación segunda no es menor; pero diré que es di dad militar del distrito. ■ manada de una mala lógica,-porque de una proposición particular ha Art 149. ñ Quedan por consiguien…</t>
  </si>
  <si>
    <t>…dad en que se hallaban de venir-, porque:nadie ignora el universidad, y proclama una y mil veces con V. M. la imprescriptible estado de Barcelona. ; Y cuánto no se ha liabladó del diputado Moreno sobcranía sie la Nación, porque solo en ella-halla.... reunida una voGuerra , con motivo de que había venido' de Cataiuñaá Málaga y luen luntad libré é independiente, y toda la fuerza propia y medios necesa go á Cádiz? Y es posible que en estas circunstancias…</t>
  </si>
  <si>
    <t>…ando. que son las que tiene el Gobierno , podrá el Congreso formar idea délo ■ El Sr. secretario de la Guerra dijo: El primer origen de las funes que ha pasado. Al mismo tiempo el general Moreno fue á tomar el tas ocurrencias de Cádiz fue el nombramiento que S. M. tuvo por con mando que se le había encargado, llegando á Ecija sin inquietud en ios veniente hacer en el teniente general marques de la Reunión para co habitantes de los pueblos del tránsit…</t>
  </si>
  <si>
    <t>…smo el que hace esta proposición es delincuente , y si en algunos alguna .entre los artículos 6.a y 9° casos se castiza, no encuentro razón para que se higa esta diferencia. La El Sr. Moreno hizo algunas reflexiones'contra el artículo, á la* misma comisión dice que las conjuraciones centra la libertad nacional, cuales contestó el Sr. Calatrava. serán castigadas aunque sean sin tentativa, y yo lo considero muy justo, .; El Sr. Echevarría dijo: Con…</t>
  </si>
  <si>
    <t>…habían comunir cibido por varias personas lamoticia de que iba á encargara ’dél mandó cado, en virtud;dc haber resucitóla junta de.autoridades no obedecer la político y militar,el general Moreno; aunque todo se habia tranquiliza órdfn de su nombramiento', por ser, dictada por un -ministerio crimi do por la diligencia del mismo, Escóvedo. -' Los dos cefís nuevaoicnte nal por inepto ;. previniéndole saliese de la provincia-, loque verificó en nombrados…</t>
  </si>
  <si>
    <t>…de su adhesión á la Constitución po los alborotadores., no desistieron de su empefio hasta que arrancaron lítica de la monarquía, y nadie está más penetrado que los individuo, del general Moreno ia promesadeque partirla luego, como en efecto de la comisión de la necesidad de que asi sea; pero además .de qué ti lo verificó , retrocediendo en aquella hora misma á la Carlota. ‘ -calificar esas pruebas y juzgar al Gobierno en esta parte no toca á unos Su…</t>
  </si>
  <si>
    <t>…Seviíín jujticiu , y reconocen ias apreciables circunstancias qtie les adornan, «11a, no solo se han excedido, sino que no han reparado que con su; cuando hace pocos meses que el general Moreno egercia.el mismo car «conducta contribuían á legitimar, si posibie fuese, las maliciosas acugo de aquella ciudad' y su provincia La resistencia por confesión de las » saciones con que los fautores del despotismo pretenden desacreditar propias:autoridades se h…</t>
  </si>
  <si>
    <t>…variase el artículo, y era del es inferior al que tengan después del recargo de los derechos y un 10 modo que se presentaba. por 100 de milidad, podrán detenerlos y tantearlos. El Sr. Moreno hizo varias reflexiones en oposición de este artículo, Art. o.a ” El administrador dará cuenta al intendente de la adqui á las cuales contestó el Sr. Paul. sición hecha del t nteo, expresando la cantidad y calidad de los géneros. El Sr. García (D. AntonioMe p…</t>
  </si>
  <si>
    <t>…n la 8.'1 á la qd parte de la pena prescrita contra hombre prudente y dejarle sin arbitrio para obrar. los autores del delito al receptador que haga lo que se deja referido: En El Sr. Moreno hizo varias reflexiones para manifestar que donde no jal caso me parece que la pena debia imponerse al receptador de la cosa había voluntad no había culpa, y por consiguiente era preciso que hu robada. Ademas veo que esta misma pena es la que se impone á los…</t>
  </si>
  <si>
    <t>…á las palabras penas pecuniarias de la primera parte de este artícu mado con la opinión de los informantes lo, aprobado ya por las Cortes, las siguientes:» no pasando de cinco El Sr. Moreno dijo que la pena de muerte debía quedar abolida en duros” con Jo que podían concillarse las diferentes opiniones. tre nosotros, porque para causar horror una pena debía ser continua, En seguida se leyó dicha primera parte con la adición propuesta por y la de…</t>
  </si>
  <si>
    <t>…a bajo las reglas que se los enfermos esten lo mas separados que sea posible. establecieren en el código civil.” Habiéndose conformado ios Sres. de la comisión con esta modifi Del Sr. Moreno al art. 111 : « Sin perjuicio de los derechos parro cación , quedó el artículo aprobado en estos términos : quiales que corresponden á los respectivos párrocos.” » En los pueblos en que se halla establecida la hospitalidad domi Del Sr. Gisbert al art. 113: «…</t>
  </si>
  <si>
    <t>…anto por ciento, ó en cantidad relativa al nuel Al varado y D. Julián de Lima , editores responsables de dicho impute d.l daño ó del objeto en que consista e'l delito.” impreso. E Sr. Moreno dijo que el ser dobles las penas pecuniarias en Ul tramar daba á entender que habia doble delito, por lo cual se oponía E! Sr. diputado D. Marcial Antonio López ha remitido á esta re al artículo. dacción la nota siguiente : El Sr. Calatrava dijo que el dinero…</t>
  </si>
  <si>
    <t>Moreno, Custodio Teodoro</t>
  </si>
  <si>
    <t>Custodio Teodoro Moreno</t>
  </si>
  <si>
    <t>…istas espa moria de haber jurado el Rey la Constitución en el salón de las Cor ñoles , seguro de que por este camino , único á propósito para avivar la tes , se había adjudicado á D. Custodio Teodoro Moreno, y lo remi noble emulación-en ios hombres, obtendría pensamientos grandiosos tía á las Cortes para su aprobación, acompañando los antecedentes. Se- que llenasen sus deseos y los de la Nación entera. Asi pues lo egecuta mandó pasar á la comisión de Bellas Arte…</t>
  </si>
  <si>
    <t>Moreno, Diego</t>
  </si>
  <si>
    <t>Diego Moreno</t>
  </si>
  <si>
    <t>…sino por Sevilla, juez de primera instancia de Callosa,.;_En Murcia han sido causa gravísima aprobada por dos terceras partes de sus concolegas. elegidos D. Rainon Romero, médico; D. Diego Moreno, de Alcan Esta remoción no le impedirá el poder ser reelegido en lo futuro.” tarilla, propietario; D. Alfonso Melgases, de Carabaza, propietario; y Se descebó la proposición del Sr. Vascoucellos sobre .que si algún D. Francisco de Alpera, idem. diputado fuese…</t>
  </si>
  <si>
    <t>Moreno, Francisco de Paula</t>
  </si>
  <si>
    <t>Francisco de Paula Moreno</t>
  </si>
  <si>
    <t>…unos cuantos extrangeros que están en bajo el nombre de causas de tratado , se mando pasar una exposición de Madrid, y cuyos nombres diriir si fuese necesario, los' cuales ¿ costa D. Francisco de Paula Moreno, vecino de Valencia; en la que mani- dei crédíto-de la Nación hacían sus especulaciones mercantiles. foi.ib.i la persecución que sufrió en aquel ano, y pedia que las Corees El Sr. Gareli leyó por primera vez el proyecto de ley sobre susestimasen justos y bene…</t>
  </si>
  <si>
    <t>Moreno, Joaquin Carrion y</t>
  </si>
  <si>
    <t>Joaquin Carrion y Moreno</t>
  </si>
  <si>
    <t>…i para dos plazas de magistrados, vacantes en el tribuna! supremo de Jus duos. El desgraciado general IVpé es el objeto de su furia; y no tienen ticia á D. Josef Nuria Bolacos y á D. Joaquin Carrion y Moreno. reparo en decir que se viene á Espera con 200SI ducados que ha roba do. Parece que se embarcó con otros ó 1 desgraciados. ANUNCIOS. La misma Gazette publica que en Pariría han asesinado al general austríaco conde de Nieberg; not'cia, que aunque no sea cierta…</t>
  </si>
  <si>
    <t>Moreno, Josef Alaría</t>
  </si>
  <si>
    <t>Josef Alaría Moreno</t>
  </si>
  <si>
    <t>…¿ qorniSe mandaron pasar á la comisión de Poderes los de D. Félix Gin, sion presentaba á 'la deliberación de las Cortes los.;',trésisá^ículds,si-D,. Juan Guell, D. Ignacio Mora ,■ D. Josef Alaría Moreno , D. Josef guientes: 7xoc:. íc:--’-v; María Jiménez, D. Joaquin Medina y D. Domingo Sánchez, diputa - i.° Que se diga al Gobierno se informe del R.imincio d¡&gt;¿S. S. eii dos por varias provincias de Ultramar. esta corte, si exige para lá secularizacioíXdédós r…</t>
  </si>
  <si>
    <t>Moreno, Josef Mariano</t>
  </si>
  <si>
    <t>Josef Mariano Moreno</t>
  </si>
  <si>
    <t>…la tardé se cantó, un Te La comisión de Poderes hizo presente haber examinado los del di Deum en la catedral, y las tropas formadas hicieron varias salvas. Lle putado por Tlascala D. Josef Mariano Moreno; y hallados conformes, vamos ya tres dias del nuevo Gobierno, y siguen los regocijos y las le parecía debían aprobarse. Se aprobaron. iluminaciones. Todo se ha hecho con el mayor orden, y continúa la A la comisión de Infracciones de Constitución pasaron las e…</t>
  </si>
  <si>
    <t>Moreno, Juan</t>
  </si>
  <si>
    <t>Juan Moreno</t>
  </si>
  <si>
    <t>…ia nacional paseó por las calles entre los mas sinceros tanar de la Orden á D. Pedro Nolasco Sevillano: para el aplausos de viva la Constuiui'n, viva nuestro Rey cons de Alcaráz á D. Juan Moreno de la Espada; y para el titucional. Se dirigieron luego á la plaza , y allí saludaron á de Peñas de S. Pedro á D. Roque de la Figuera. la lápida, haciendo tres descargas. Por la noche dieron los Circulares de la Junta del Crédito público.mismos milicianos un…</t>
  </si>
  <si>
    <t>Moreno, M. Diaz</t>
  </si>
  <si>
    <t>M. Diaz Moreno</t>
  </si>
  <si>
    <t>…e ; pero á 10 bandoleros en el extrangero, que en el suplemento de la'gaceta de 15 de Abril avisó que cogieron últimamente se les concedió perdón. El rigor napolitano su traductor D. M. Diaz Moreno al público-para que no fuese engañado, se ha extendido hasta á aquellos que se hallaban en Roma pensionados que de la primer edición incorrecta de su traducción castellana de la para instruirse en las bellas artes. En el Piamonte también sigue el r¡- ' moral…</t>
  </si>
  <si>
    <t>Moreno, Manuel</t>
  </si>
  <si>
    <t>Manuel Moreno</t>
  </si>
  <si>
    <t>…a expedición que exigen en Se dió cuenta de un.dictamen de la comisión de Hacienda acerca, este caso los buenos deseos de los señores de la comisión, los cuales de la solicitud de D. Manuel Moreno, vecino de Arenas de S. Juan, considerando que estos juicios , estos litigios han sido por su naturaleza para que se le perdonen 12,175 rs. que se le piden por los propios de siempre embarazosos, prolijos-y de una duración casi eterna; y como aquel liigar, y…</t>
  </si>
  <si>
    <t>…de la ley de Se dió cuenta de un oficio del Sr. ministro de Gracia y Justicia, re extinción. La junta nacional hará tasar los que con anterioridad á ella, lativo á la solicitud de D. Manuel Moreno, juez electo de primera y desde el principio de ia legislatura pasada, se hubiesen formalizado instancia del partido de N., sobre que se le concediese permiso para por los mismos , y los arrendatarios pagarán lo que resulte de la tasa jurar en el ayuntamiento…</t>
  </si>
  <si>
    <t>Moreno, Manuel Andrés</t>
  </si>
  <si>
    <t>Manuel Andrés Moreno</t>
  </si>
  <si>
    <t>…las intrigas dejos extrangero*. contra lá Hacienda pública, procedente de sueldos devengados, se de clare no comprendido en el decreto de 9 de Noviembre último: otra PORTUGAL. de D. Manuel Andrés Moreno . maestro de primeras letras d? Cuen ca, manifestando que había envejecido y perdido la vista en su profe Lisboa 4 de Mayo. sión , y qué en el día se hallaba con un sueldo muy reducido, en cuya atención pedia se sirviesen las Cortes aumentarle el referido sue…</t>
  </si>
  <si>
    <t>Moreno, Manuel Díaz</t>
  </si>
  <si>
    <t>Manuel Díaz Moreno</t>
  </si>
  <si>
    <t>…acuerdo que trata de la supresión cias de Ultramar. ‘ • de ciertos derechos señoriales que se pagan en aquella provincia; otra - Se continuó la discusión del plan de Hacienda1 de D. Manuel Díaz Moreno, manifestando que con ofensa de su pro Se leyó el 'art. 6.a, que decia: ,,-Para el- repartimiento entre las pro piedad se habia reimpreso en Burdeos una obra suya, titulada Moral vincias y pueblos de los 150 millones de reales sobre las rentas de loa itn'xcrs…</t>
  </si>
  <si>
    <t>Moreno, Manuel Trinidad</t>
  </si>
  <si>
    <t>Manuel Trinidad Moreno</t>
  </si>
  <si>
    <t>…os diputados j presados magistrados, á los jueces interinos de primera instancia D. Jo que el Congreso tomará en consideración, y sobre las cuales podrá re sef Jimenéz Sarmiento y D. Manuel Trinidad Moreno, y á los testigos solver en el momento lo que tuviere por conveniente. Art. 101. Te Francisco Campos , Pedro Servati, Francisco Aléala y Josef Adarve, niendo las discusiones el preciso objeto de ilustrar las materias que se todos' mancomunadamente; pudiendo l…</t>
  </si>
  <si>
    <t>Moreno, Miguel</t>
  </si>
  <si>
    <t>Miguel Moreno</t>
  </si>
  <si>
    <t>…te levantó la sesión á la hora acostumbrada. Die, hermanos, de Alicante. co n. _E1 decreto de las Cortes sobre la libertad de imprenta es como sigue: El ayuntamiento de Santander. D. Miguel Moreno. Don Juan vi por la graciá*&lt;íe“D¡os y la Constitución de la Monar D. Francisco Caí tanza, d: Cádiz. Ochaita y Pariza , de Córdoba. quía &amp;c. Hago saber á mis súbditos que las Cortes han decretado lo T&gt;. Hilario Jiménez , de Zaragoza. Santa Cruz é hijos , de Lo…</t>
  </si>
  <si>
    <t>Moreno, Santiago</t>
  </si>
  <si>
    <t>Santiago Moreno</t>
  </si>
  <si>
    <t>…de la misma D. Melchor-Mayor, por haberse «fe dar al Rey, y que el citado nombramiento era el mas inconstitu negado á un juicio de conciliación.; | cional que podía hacerse. &lt;.;77 D. Santiago Moreno, abogado de Goatemala, quejándose de aque- 1 .. El'Sr. Borges Garneiro recordó que todos sabian la necesidad que lia audiencia, y pidiendo'se vuelva á abrir el juicio que siguió en la había de quitar al rector, y que la Regencia estaba autorizada-para hacer m…</t>
  </si>
  <si>
    <t>…rían disputar á los navios d( teniente letrado y asesor ordinario de la provincia de León de Nicara guerra la entrada en aquella hermosa bahía ,• de donde salían en otros gua, y á D. Santiago Moreno, juez de alzadas del consulado de Goa- tiempos las soberbias armadas de Corinto para ir á fundar Siracusi, ■temala. , Corcira y otras muchas colonias. Sin embargo esta proximidad de las Asimismo se -há servido nombrar á D. Anselmo de Vierna y Ma costas origin…</t>
  </si>
  <si>
    <t>Moreno, Tomas</t>
  </si>
  <si>
    <t>Tomas Moreno</t>
  </si>
  <si>
    <t>…erior. No oyó ruido alguno; pero alar teniente general D. Juan Ó-Don.ojú: i&gt;ara capitán general gando de nnévola cabeza , atravesó la brecha , que parecía de Andalucía al teniente general D. Tomas Moreno: para haberse ensanchado ¿ y vió un joven de hermosa figura sen capitán general de Galicia al mariscal de campo O. Francis tado sobre un terrón , con su arpa al lado, y con los'ojos co Etpoz y Mina : para capitán general de Navarra al ma—1 clavados en la brec…</t>
  </si>
  <si>
    <t>…stamiento general que previene eL Cano Manuel: para el de Hacienda á D- Antonio barata; para el de art. i.° del reglamento de milicias nacionales; que se suspenda el artí Guerra á D. Tomas Moreno, y para el de Marina á D. Francisco de culo 13, abriéndose de nuevo el alistamiento voluntario; que las nue Paula Escudero. vas compañías que se formen, asi como las formadas hasta el dia, se Asimismo se leyó otro oficio del mismo Sr. encargado del minis comp…</t>
  </si>
  <si>
    <t>…el drsislo entendido para su cumplimiento, y dispondréis se imprima y primer tomo de sus memorias á 26 rs. en rústica__ Elementos de patocircule. Palacio á 28 de Mayo de 1821. = A D. Tomas Moreno y logia general por A. F. Chomel, traducidos del francés al castellano Daoiz. por un profesor de medicina del insigne colegio de esta corte: un tomo Circular del ministerio de la Gobernación de la Península. en 4.0 de mas de 400 páginas. Esta obra elemental,…</t>
  </si>
  <si>
    <t>…interesante de Real orden para su conocimiento y noticia del interesado. Palacio sobre él establecimiento de cementerios rurales, y precauciones-que .de29 de Julio de 18 21. =2 A D. Tomas Moreno. ben tomarse para los enterramientos, y la análisis crítica del tomo. t.° del diccionario de ciencias médicas. Se suscribe á este periódico á ra Hallándose vacante el empleo ilc asesor y auditor general de la co zón de 22 rs. por trimestre sin franquear y 31…</t>
  </si>
  <si>
    <t>…que sin embargo de haher recibido las órdenes comunicadas pa pondrá ademas el máximum de la pena que este mereciere, la cual se ra que entregase el mando militar de la provincia á D. Tomas Moreno podrá aumentar hasta una cuarta parte mas.” Daoiz, no solo no lo hizo asi , sino que asistió á la junta ilegítima de Fue discutido entre los Srcs. Cavaleri, Calatrava, Martínez de la autoridades , y autorizó con su firma la representación, pudiendo ha Rosa ,…</t>
  </si>
  <si>
    <t>Moreno, Vicente</t>
  </si>
  <si>
    <t>Vicente Moreno</t>
  </si>
  <si>
    <t>…riente. Desde el instancia del partido de la Vega deRivadeo; D. Josef Cuervo, abogado. i.’ de Octubre de 1820 hasta el i.° de Octubre último se han fabrica Provincia de Jaén. Jaén D. Vicente Moreno; D. Juan JosefTor do solamente en Carcasona 16,700 piezas de paño, destinadas para el eada. Ubeda D. Josef Eustaquio Madrid; D. Antonio Gallego Rodrí Levante, la India , las dos Américas y el continente; y su valor me guez. Baeza D. Antonio Lafuente y Oquendo…</t>
  </si>
  <si>
    <t>Morenti, Juan</t>
  </si>
  <si>
    <t>Juan Morenti</t>
  </si>
  <si>
    <t>…millones , y se ofrecerían las mismas di •- Se mandó pasar aL Gobierno, con recomendación , una solicitud de ficultades para sacar el dinero que entonces; pero que sin embargo de D. Juan Morenti, en la que exponía que en virtud de los servicios estas reflexiones no se oponía á que se pagase por tesorería á Marcó del de su difunto padre se le recomendase al Gobierno, á fin de que se le Pont; mas opinaba que esto debia resolverse por una regla general,…</t>
  </si>
  <si>
    <t>Morentin, Felipe Martínez de</t>
  </si>
  <si>
    <t>Felipe Martínez de Morentin</t>
  </si>
  <si>
    <t>…e el poder egecu- putación de Navarra. Tudela El marques de Montesa; D Mariano tivo por su propio ínteres no negaría la sanción á.la ley que tuviese en Aysa. Estrila el licenciado D. Felipe Martínez de Morentin; D. Joset su favor la opmion pública, y que las discusiones entre el poder legis Harina, presbítero de los Arcos. Sangüesa D. Joaquín Bayona; D. G»' lativo y el egecutivo eran siempre muy peligrosas. briel Antonio Mancho , suplente actual de Ja diputación de…</t>
  </si>
  <si>
    <t>Moreo, Antonio</t>
  </si>
  <si>
    <t>Antonio Moreo</t>
  </si>
  <si>
    <t>…ta» ra la de Ayamonte á D. Pedro Tagle y Velarde: parí), la de Araceux en esta corte, una, calle de Cedaceros, núm. 8, manz. 2Ó7, y otra, ca á D. Líborio Tudda: para la de Cerro á D. Antonio Moreo é Jnza: lle de la Cruz, núm. 1, manz. 209, que pertenecieron- al extinguido para la d; Cazalla á D. Josef López y Requena: para la de Carinona monasterio de los Cartujos del Paular de Segovia, Usada la primera en á D. Blas Josef de Manos: para la de Eclja á D…</t>
  </si>
  <si>
    <t>Morete, Rafael</t>
  </si>
  <si>
    <t>Rafael Morete</t>
  </si>
  <si>
    <t>…gobierno político de su cargo la urgente no Aragón, D. Josef Soiano, D. Josef María Salomón, D. Juan Mu necesidad y obligación en que se hallan de concurrir á impedir ios ma ñoz, D. Rafael Morete, D. Josef Saavedra, D. Josef Zafra , D. Fran les que ocasiona el contrabando; en la inteligencia de que cumpliendo cisco Manuel González, D. Juan Valderas, D. Pedro Gazapo , D Pe V. S. con esta resolución dará al Rey una nueva prueba de su zelo por dro Antoni…</t>
  </si>
  <si>
    <t>Moreti, Federico</t>
  </si>
  <si>
    <t>Federico Moreti</t>
  </si>
  <si>
    <t>…rse por él, porque estos son hechos La comisión de Hacienda , después de haber examinado la exposi posteriores, y la existencia de estos hechos no puede resultar del tiru ción del brigadier D. Federico Moreti, para que las Cortes determinen lo , y por consiguiente deben admitirse indispensablemente otras prue si la deuda de 80O rs. que contrajo en esta última campaña deberá pa bas para esto. garse por tesorería general ó por el Crédito público, opina que esta ex E…</t>
  </si>
  <si>
    <t>Moretti, Federico</t>
  </si>
  <si>
    <t>Federico Moretti</t>
  </si>
  <si>
    <t>…musical compuesta en forma de-diálogos para ios:principiantes, dedicada al Sermo. Sr. D. Francisco de Paula, Infan empleando —■ de aplanamiento de la tierra. te de España: por el brigadier D. Federico Moretti: un ctiarjerno en 8.° A las 1 2b 32' 00", cuenta civil , tiempo medio en el meridiano de prolongado, con nueve láminas de música , grabadas por el profesor las tablas, la longitud verdadera de! sol era de 164 44/ 9 ,1, y la de D. Bartolomé Wirmbs. Se hallará…</t>
  </si>
  <si>
    <t>Morici</t>
  </si>
  <si>
    <t>…había ya uno que determinaba los casos quisas que se han hecho sobre los manejos secretos de los en que se podían perder los derechos de ciudauano. ¡demagogos. El presidente y el Sr. Morici expusieron sucesivamente Es cosa bien curiosa que de las averiguaciones en que al Parlamento que el poder judicial tenia atribuciones di durante mas de un año ha empleado su zelo la comi ferentes de las del poder administrativo ; que una ley cri sión central,…</t>
  </si>
  <si>
    <t>…ovocan el descontento, y hacen que se necesiten grandes virtudes de Esparta y de Atenas. fuerzas militares ara reprimir la efervescencia del puebloConcluido su discurso , pidió el Sr. Morici que se borra Mucho tiempo ha que se dijo en la Cámara de los Co sen de la Constitución los art. 92 y 93. munes que eí poder del Rey se iba aumentando, y era pre-t El Sr. Catalana se opuso á esta proposición, diciendo, ciso disminuirle. Desde acuella época no…</t>
  </si>
  <si>
    <t>…erían-que se;principiase la' discusión en tos políticos, han salido de este pais, en el cual se han pór- el acto mismo. tado con mucha prudencia mientras han permanecido en él, El Sr. Morici dijo.que le parecía que se necesitaba un y no han dado lugar á ningún descontento. mes á lo menos para ventilar este asunto, y que no duda Nuestro gran consejo ha .tenido eri este mes su sesión ba que si se consultase á la nación acerca del viage del Rey, con…</t>
  </si>
  <si>
    <t>…ncipe de Metternich á reprender á los inocen ministro de la Guerra acerca deL actual estado de la defensa tes napolitanos á la faz del poderoso pueblo de Inglaterra. del reino. El diputado Morici anunció ai Parlamento que . Este ha dado el egemplo al género humano, y con espe según los estados que le había entregado el ministro, era su cialidad tí las naciones agoviadas bajo el peso del despotis perior el ege'rcito efectivo de línea á lo que había anu…</t>
  </si>
  <si>
    <t>…tonces le hizo asegurar Rothschild , y conducirle á presencia mas en que fuese condenado el duque de Campochíaro: el del corregidor, quien le hizo varías preguntas acerca de quién Sr. Morici propuso que no se hablare mas del asunto {des le habia dado tales noticias; pero no pudo conseguir ex aprobación) ; y el Sr. Pepé pidió que no se formase causa plicación alguna. Habiendo mediado Mr. Rothscliild para á los ministros. que no fuese detenido, el…</t>
  </si>
  <si>
    <t>Morid</t>
  </si>
  <si>
    <t>…r una renta anual proporcio tamos autorizados para decir que los directores de la Cá nada ¿ procedente de bienes propios.” mara de comercio de esta ciudad han dirigido una memo El Sr. Morid, después de hacer el debido elogio de la ria al conde de Liverpool, suplicándole les dé algunas no-"' sabiduría de los legisladores españoles, que habian eligido ticias acerca del estado actual de las relaciones políticas .dé esta condición, preguntó ; sí era…</t>
  </si>
  <si>
    <t>Moriega, Josef Escolar y</t>
  </si>
  <si>
    <t>Josef Escolar y Moriega</t>
  </si>
  <si>
    <t>…só de la junta con presencia de las noticias que á este doba O: Antonio Meras i en Coria D.. Tomas Sánchez del Pozo, en efecto deberán comunicarla los citados comisionados. Cuenca-D. Josef Escolar y Moriega, en Gerona D- Ramón Torra, en 11. „ Los comisionados procederán inmediatamente-á arrendar en Granada D. Francisco de Paula Martinez Aibea, en Guadix D. An púbiiéa.subasta, con intervención de los contadores, las fincas que no tonio Tuque, en Muesca D. Francis…</t>
  </si>
  <si>
    <t>Morillo</t>
  </si>
  <si>
    <t>…tación expresarán su voluntad cuando la egevarias ocasiones por la paz y el valor del general en gefe y cuten en el encabezamiento, ó al pie de las dobles carpetas su egército. El general Morillo con toda la sinceridad de su con que los acompañen, firmándolas. corazón, y hasta saltársele lágrimas de placer , brindó por la concordia y fraternidad mutua. El general Latorre y Habiendo acordado la junta de gobierno de la compañía demas gefes de uno y otro…</t>
  </si>
  <si>
    <t>…solemner guerra (ialga, y otros varios buques mercantes, que se aguardaban en.pl mente, levanta en fin su frente humillada por espacio de tantos siglos expresado puerto; y que:el general Morillo se hábil embarcado en una y dice: quiero lo que es mió y de todos ¡os, hombres ; la libertad, que no fragata inglesa tres dias antes de su salida, la cual iba á Londres.es otra cosa mas que la justicia. Este grito, dicen, que no es la expre __Escriben.de Qíbr…</t>
  </si>
  <si>
    <t>…l en gefe en tiempo de guerra rara vez era á gusto de todos; y que La comisión de Hacienda, después de haber examinado la indica .por otra parte las'leyes que se citaban contra el general Morillo, según ción aprobada por'las Cortes, relativa á que se suspenda la liquida tenia entendido, no eran aplicables al caso presente, pues que el juicio ción de suministros hasta que se den reglas fijas para este asunto, es de de residencia solamente debía exigirs…</t>
  </si>
  <si>
    <t>…se habla tanto de España, que es menester taparse los oídos na. Los gen izaros han prorumpido ya en amenazas contra los ministros para no reventar de cólétar "Ahora se habla del" general Morillo, y de y contra el misiho Sultán; y cada cuál quiere -hacen récíér de este mo ponen ya al frente de un grande egército contra la Constitución ;" pero do sobre los demas la culpa de los males ¿ que dió origen , su propia yo creo que es hacer muy poco honor á un…</t>
  </si>
  <si>
    <t>…escuchad: informaos antes de del Sena , que cual veleta se pone al vient -' que corre. D.jo primera juzgar; asi ni despreciareis las enfermedades que amenazan, aumen mente que el general Morillo en un excelente sug.-to realista , enemi tando su efecto con ese mismo desprecio, ni os amedrentareis. Unios; go de jos revolucionarios, y hombre de quien podía esperarse mucho olvidaos de intereses privados para atender a! de rodos. No , no pue bien. Este' m…</t>
  </si>
  <si>
    <t>IJOl elogiando al general Morillo, y contradiciéndose » sí mismo. No de Aquellos capellanes que gocen réditos por imposiciones en la renta jaremos de estar alerta para saber la cuarta opinión de dicho veleta-pe del tabaco íi otro fondo de la Hacienda nacional, pertenecientes á ca riodista , q…</t>
  </si>
  <si>
    <t>…renta 6__ Otra tierra en el mismo térmi ni dentro ni fuera de la corte. Ellos han esparcido la voz de que el no, al sitio que llaman Carro-Matalobos , de una fanega, en venta 110 general Morillo se había dirigido al sitio para pedir la deposición del rs., y en renta 5__ Otra tierra en el mismo término y sitio, de 3 heministerio; y esto es absolutamente falso. Si ha habido personas que le minas , en venta 45 rs., y en renta 3—Otra tierra en el mismo t…</t>
  </si>
  <si>
    <t>…relación general van unidas unas tablas ni dentro ni fuera de la corte. Ellos han esparcido la voz .de que el estadísticas, que presentan la ¡dea mas exacta que se ha tenido hasta general Morillo se había dirigido al sitio para pedir la deposición del ahora de un pais. Resulta de ellas que solamente hay 3pó grandes pro ministerio; y esto es absolutamente falso. Si ha habido personas que le pietarios, cuya renta anual de cada uno es de 2500 libras este…</t>
  </si>
  <si>
    <t>Morillo, Pablo</t>
  </si>
  <si>
    <t>Pablo Morillo</t>
  </si>
  <si>
    <t>…obispo, el cual en un breve y ele to han nombrado, S. ii. el general en gefe del egército ex gante discurso dió gracias al Congreso por su elección. En pedicionario de Costa-firme D. Pablo Morillo, conde de seguida se pasó á la, de vicc-presidente, y resultó elegido Cartagena, de parte uei Gobierno español, X los señores Gepor 32 votos el señor diputado" Manuel Fernandez Tomas; fe político de Venezuela brigadier D. Ramón Correa, al pero como no formaba…</t>
  </si>
  <si>
    <t>…dono en materia de Labia recibido noticia oficial de haber llegado á la Havana con direc tanta gravedad, me manda pues el Rey excitar el zelo y actividad de ción á la Península el general D. Pablo Morillo con dos comisionados V. E., para que por el ministerio de su cargo se conmine á las diputa de Bolivar: lo que oyeron con satisfacción las Cortes. ciones provinciales y ayuntamientos en los términos mas enérgicos, á Habiendo proseguido y acabado el Sr. ministr…</t>
  </si>
  <si>
    <t>…ió cuenta de un oficio del Sr. secretario de la Guerra , en que habiendo sabido lodo el mundo ayer á las dos que.se trataba de come participaba á las Cortes haber nombrado S. M. a D. Pablo Morillo ca ter esa horrible tropelía, el Gobierno y las autoridades locales no lo pitán general de Gi-tilla la Nueva por exoneración del actual. Las Cor supieron hasta después ; y asimismo cuáles son Jas providencias que se tes quedaron enteradas. tomaron para impedi…</t>
  </si>
  <si>
    <t>…dé la Guerra, ó 1 dé lógica y gramática general. * al que hubiese firmado el nombramiento de capitán general de esta pro 1 de moral y derecho natural. vincia á favor del teniente general D. Pablo Morillo. ( Véase la gace I de Constitución. ta del 7.) . . : 45. ,, Los que se dediquen á la jurisprudencia deberán haber ganado, EL Sr. Moreno Guerra apoyó nuevamente dicha proposición, ale ademas de todos los cursos anteriores, gando otras leyes ademas de las que t…</t>
  </si>
  <si>
    <t>…un Caro— Madrid Martes 18 de Setiembre&gt;bierno despótico el que de esta manera sostendréis; es el de la Cons titución , de esa tabla preciosa qne salvando la Nación española del El general D. Pablo Morillo, declarado libre de varias iñctilpacio naufragio á que'la conducía la arbitrariedad y la servidumbre, la lleva nes que pretendieron hacerle pha vuelto á tomar posesión de ia coman al puerto de la libertad y la gloria. No , no hay poder que baste á dancia gene…</t>
  </si>
  <si>
    <t>Moro, Pedro González</t>
  </si>
  <si>
    <t>Pedro González Moro</t>
  </si>
  <si>
    <t>…ue han concurrido úl giosas , comerciantes y. destacamentos enteros de tropa han sido cruelmen timamente. te degollados; ¡y los príncipes cristianos, guiados por una política inte D. Pedro González Moro. Sres. Mazo y compañía , de Bilbao. resada y cruel, pasan meses y meses en negociaciones sufriendo tamaños D. Pedro Urreta y D. Isidoro Gar- D. Ildefonso de Castejon , de Bilinsultos hechos a la humanidad y á la religión cristiana ! LaTurquía , con cía de la…</t>
  </si>
  <si>
    <t>Moron, Ildefonso Gonzalo</t>
  </si>
  <si>
    <t>Ildefonso Gonzalo Moron</t>
  </si>
  <si>
    <t>…á conocer á los jóvenes las riquezas, tanto sef Vera y Pantoja: para la de V ích á D. Manuel Frutos: naturales como industriales, de la Gran Bretaña, sus anti para la de Manresa á D. Ildefonso Gonzalo Moron: para la güedades, y los objetos principales con relación á su histo de Cervera á D. Gines María Serrano : para la de Berga á ria ; y está sembrada ademas de anécdotas biográficas inte D. Blas Damian de la Vega: para la de Urgel á D. Anto- ■- resantes. Miss W…</t>
  </si>
  <si>
    <t>Moroso, Francisco</t>
  </si>
  <si>
    <t>Francisco Moroso</t>
  </si>
  <si>
    <t>…jor-método de hacer el tínez , y resulta ser de la partida titulada del Sastre. Y ente vino. Mr- Parmentier enseña á conservarlo, y Mr. Deyeux rado S. M. de esta bizarra acción de D. Francisco Moroso, ¿ examinar su pureza. • - • se ha servido mandar que por el Geíe político de la provin Mr. Parmentier ha facilitado también- los medios de hacia de Patencia se le den las gracias en su Real nombre, •cer excelente vinagre con vinos endebles ó torcidos: Mr. y…</t>
  </si>
  <si>
    <t>Morozzo</t>
  </si>
  <si>
    <t>…stra entera. Lo tendréis entendido, y lo titucion española; y se ha formado Ja junta provisional , compuesta comunicaréis á quien corresponda para su cumplimiento. = Rubricado del cardenal Morozzo , el senador Garau , el duque de Valle-Ombró- de la Real mano.crPalacio 29 de Marzo de i8n'~A D. Tomas Atosa , el caballero Chevillard , el conde Caissotti de Robbione , el abó- reno y Daoiz.” ' ^ ado Spirito Migliore, de D. Selvi Nigra, banquero, y de D.'Jos…</t>
  </si>
  <si>
    <t>…a hoy al Crédito público, paracuyo primer rebate, que se ha de verifi que en ellos hubiese tales sectarios. car con la expresa condición de admitir el pago en créditos ó capita El cardenal Morozzo, obispo de Novara, comisionado por el Go les que ganen interes, está señalado el dia 15 del próximo ¡pies de Mayo; bierno constitucional del Piamonte cerca del Rey en Módena; no fue y se compone de Jas clases siguientes. recibido por dicho Príncipe, ni S. S.…</t>
  </si>
  <si>
    <t>Mortíer</t>
  </si>
  <si>
    <t>…el Gobierno de HannóViéna 29 de Diciembre» ver con eL senado de aquella ciudad, para satisfacer las con Ayer entraron aquí SS. MM. el Emperador y Empera tribuciones que exigió el general Mortíer cuando los fran triz dé Austria, y también han llegado el marques de Ca- ceses ocuparon el país. El empréstito era de 2.100,000 raman, embajador.de Francia; d Príncipe de Hardemberg, marcos (cerca de 16.800,000 rs. vn. },.y después de largas canciller de Esta…</t>
  </si>
  <si>
    <t>Morusi</t>
  </si>
  <si>
    <t>…amenta haber dado' parte inmediatamente á la Puerta de la insurrección, y es rios derogó desde 1778 hasta 1793 todas esas leyes penales y restricti taba nombrado para sucederle el príncipe Morusi; Se han dado órde vas , que separaban la población católica de lo restante de la nación. El nes para equipar una escuadra; pero faltan marineros, á pesar de ha Ultimo beneficio fue restituir á los.católicos el derecho:electoral , y berles ofrecido 70 pesos á…</t>
  </si>
  <si>
    <t>…o de la cárcel de la extinguida inqui rador ha señalado una pensión de 10® rublos á la viuda del desgracia sición sea demolido, para que no pueda volver á servir de instrumento do príncipe Morusi , cuyas dos sóbrinas han sido vendidas en el mer i la superstición, al despotismo y á la ferocidad de los tiranos, y que se practique lo mismo con las demas inquisiciones , erigiéndose en su cado público de esclavos de Constantinopla. lugar un monumento , en…</t>
  </si>
  <si>
    <t>Mos-</t>
  </si>
  <si>
    <t>…habiendo satisfecho el Sr. Martínez de la Rosa, indi- ta su fallecimiento intestado, sin haber dicho si tenia algunos pa . viduo de la misma comisión , á varias observaciones del señor Mos- rientes, y en qué pueblos. Lo que se avisa al público para que los que coso sobre otros puntos del proyecto de contestación presentado, que se creyeren con derecho á la herencia de dicho D. Josef Serrano, acu dó aprobado este tal como se hallaba. dan con la c…</t>
  </si>
  <si>
    <t>Mosbuena, Josef Martínez</t>
  </si>
  <si>
    <t>Josef Martínez Mosbuena</t>
  </si>
  <si>
    <t>…y causas graves de todas clases los repartirán los Sres. jueces, á.°; que los nuevos alistados acrediten a juicio del ayuntamiento ser de turnando por trimestres, principiando el Sr. D. Josef Martínez Mosbuena conducta y adictos á la Constitución; . que los no alistados con coso como mas antiguo.” En el diario del 15 se avisó que se suspendía tribuyan con los cinco reales mensuales, y que la aplicación de fondos por entonces.; y ahora , mediante á haber mandado la…</t>
  </si>
  <si>
    <t>Mosco, Josef Martinez</t>
  </si>
  <si>
    <t>Josef Martinez Mosco</t>
  </si>
  <si>
    <t>…e Washington y sus valientes camaradas, franceses y americanos. VARIEDADES. NOTICIAS LITERARIAS ’ Y CIENTIFICAS. ANUNCIOS. Academia de. artes en Nueva-Yorck.1 ■Por providencia del Sr. D. Josef Martinez Mosco», mi nistro togado, juez de primera instancia de esta M: H. villa, El objeto de esta academia es connaturalizar y fomentar su fecha 30 del corriente, ha acordado la subasta por 30 dias, las bellas artes en los Estados-Unidos. A este efecto se ha contados desd…</t>
  </si>
  <si>
    <t>Moscofco</t>
  </si>
  <si>
    <t>…mercio marítimo qiie gocen sueldo por servicios he les ó dañosas al'puerto en que se intentaren hacer.” chos al Estado , y qite rentan la probidad é inteligencia necesaria para El Sr. Moscofco dijo: Las obras de que se trata en este artículo, ó desempeñar debidamente tan importantes cargos.” son correspondientes á la armada naval, ó son de lasque no tienert una El Sr. Gaseo dijo: Yo quisiera que lo* señores de la comisión relación íntima con ella.…</t>
  </si>
  <si>
    <t>Moscos</t>
  </si>
  <si>
    <t>…ice que está inclusa la mitad de estos diezmos loterías en Barcelona, reproduciendo otra que dirigió á las Cortes en la laicales para la dotación del clero. Habiendo contestado el Sr. Moscos© legislatura anterior contra el administrador general de dicho ramo so que Jos diezmos se exigirían de todas las especies que actualmente se bre el pago de 200 rs- , que se mandó pasar, al Gobierno, y hasta aho diezmaban, y que la mitad de estos diezmos se ap…</t>
  </si>
  <si>
    <t>Moscoso</t>
  </si>
  <si>
    <t>…presente que sobre dél objetó del Real decretó expresado, antis de abrirse lá" discusión, no debían las Corte?, por plausible qué fuese el zelo de S. M-, acceder á á -petición del Sr. Moscoso se declaró la sesión ¡permanente ¡para tratar sus insinuaciones; pues aunque en la realidad el nombramiento de mi nistros era siempre negocio de. gran trascendencia , y de los mas impor de este asuntó. . : El Sr. conde de Tóreno manifestó que en su Opinión el…</t>
  </si>
  <si>
    <t>…as sesiones de Cortes, teniendo la apostólica con el sistema constitucional. debida separación de los hombres. A la de Legislación se pasó una instancia de D. Josef Espinosa pa El Sr. Moscoso apoyó esta indicación, y el Sr. Sancho manifestó ra que se le dispense un año y meses que le faltan de práctica para re que las señoras no debían intervenir de ningún modo en la forma validarse de abogado. ción de las leyes ni en los negocios públicos: que su…</t>
  </si>
  <si>
    <t>…mantener el orden, v de que se ob los diputados. ' , '7 : serve compostura y silencio. Concederá I4 palabra á los' diputados que Sé'leveron y quedaron aprobadas una-indicación del Sr. Moscoso la pidieren , por el turno en que lo hayan hecho. Anunciará al fin de sobré él arte l.'J, quer:deeia: » Que el edificio en que se celebren las cada sesión las materias .de que debe tratarse eir el dia siguiente. sesiones'de-Cortes se désigne con el nombre de…</t>
  </si>
  <si>
    <t>…un extractó fiel de ella en la gaceta del Go su nombre. bierno.” Las Cortes oyeron con agrado la felicitación que las hacia por su Tampoco se admitió á discusión esta adición del Sr. Moscoso al reunión la provincia de Astúrias. art. 77: „0 hará despejar las galerías y tribunas.” La comisión de Hacienda presentó su dictamen sobre el expediente Se leyó otra adición del Sr. Martínez de la Rosa al art. 83 , la que remitido poc el Sr. secretario del D…</t>
  </si>
  <si>
    <t>…nste. ;,Se leyó y aprobó el acta,de la sesión anterior. ■ :&gt; 5.0 « Exceptúame los casos determinados por la Constitución, y aun El Sr. presidente nombró al Sr. Subrié en lugar del Sr. Moscoso; en estos le dará el juez por escrito dentro de 24 horas el motivo de su para que enrienda en el examen de la memoria del Sr. ministro de prisión. Gracia y Justicia. 6° « La ley designará las penas con que deben ser castigados, no El mismo Señor ministro remi…</t>
  </si>
  <si>
    <t>…, en aquel mismo hecho dejó de ser tal di rector, y por consecuencia no creía hallarse en el decreto que había ci Numero'41. tado dicho Sr. diputado. . Después de haber apoyado el Sr. Moscoso el dictamen de la comi- Relación de fincas que se están subastando de las aplicadas al Crídíto .sion, se dió el punto por suficientemente discutido; y se aprobaron las público para pago de la deuda nacional, expresiva de las prov'ncfas medidas siguientes: don…</t>
  </si>
  <si>
    <t>…enda á ma, y que soló se publique una acta razonada y mas extensa que la aquel establecimiento. actual , en la que se inserten bien extractados los discursos. Esta acta, ...... El Sr. Moscoso presentó , y las Cortes oyeron con agrado , y manda- que podrán redactar los mismos empleados del Diario de Cortes bajo ion pasar á la comisión de Milicias nacionales, una exposición del co la inspección de los Sres. secretarios de estas, tendrá la doble vent…</t>
  </si>
  <si>
    <t>…pararse hasta incompatible con ia observancia de ia Constitución y los decretos de. que esten extinguidos. Corres, que tratan de la mayor formalidad en la administración de los El Sr. Moscoso presentó una exposición del comandante de la mi candiles públicos, que es en sustancia ¡o que propone el consejo de Es licia nacional voluntaria de la Coruña , en la que imnifesub i la nece tado en su dictamen. Después de una ligera discusión se acordó se ¡ms…</t>
  </si>
  <si>
    <t>…accion de Que con respecto á la responsabilidad que se trataba de exigir al Constitución contra un prelado. intendente de Soria era muy justa, porque aun cuando este se hubiera El Sr. Moscoso concluyó la lectura de varios decretos relativos á la querido atener al decreto de 6 de Noviembre de 1820 para levantar parte administrativa del plan de Hacienda; y dijo que al dia siguiente el cordon del Ebro, aquel no habla con los intendentes, sino con el…</t>
  </si>
  <si>
    <t>…habiéndole dado en seguida la muerte. Que á conti minara la conducta del poder egecutivo en estas ocasiones. nuación se pasó por el ministerio de Gracia y Justicia al de Guerra El Sr. Moscoso preguntó á los Sres. secretarios si la conmoción de un aviso para que entendiera en este asunto, puesto que por las .actua ayer fue del pueblo ó de un corto número de individuos; y si suponien les leyes, los que habian forzado la guardia otaban desaforados. Y…</t>
  </si>
  <si>
    <t>…ando fuese res y los pueblos en los términos prefijados, es bien claro que los in Tarragona su capital. teresados en que sean sencillos y expeditos los pleitos son los señores, E! Sr. Moscoso presentó el estado comparativo de Hacienda, for y no ios ni.ii’hins, : t es una ley de cx4.eps.iOr. poi c. 111.)i:t eí decir que mado por la comisión especial de este ramo. cierta clase de pleitos se instruya brevemente’ Esta no es ley de ex Entró á jurar, y…</t>
  </si>
  <si>
    <t>…probarse el dicta y le podía corresponder en lo sucesivo; y por varias razones que expo- men de la comisión. . nía, pedia se hiciese extensiva igual gracia á su hijo D. Andrés. El Sr. Moscoso dijo que su opinión era muy contraria á la que A la de Diputaciones provinciales se mandó pasar una exposición habian manifestado los Sres. Moreno Guerra y Romero Alpueme, del ayuntamiento constitucional de Jaén, remitiendo el presupuesto ds pues que los rédi…</t>
  </si>
  <si>
    <t>…ivo á una consulta que dir.gió el Gobierno sobre .cadetes. no se habia hecho mención; y que deseaba que antes de entrar en esta Se mandó insertar en el acta el voto particular del Sr. Moscoso, discusión se le dijese el curso que se les habia dado; á lo que contestó contrario á la resolución de. las Cortés sobre la aprobación del dicta el Sr. Yandibla que se habian pasado á la comisión, y que esta las ha men del Sr. Zubia. bia tenido presentes. _ S…</t>
  </si>
  <si>
    <t>…dríguez de Fon seca, Gefe político de la provincia de Cuenca, en las Ss continuó ia discusión sobre el flan general de Hacienda. elecciones de ayuntamiento del expresado lugar. El Sr. Moscoso pidió que se leyesen las cuatro bases aprobadas por Se mandaron pasar al Gobierno: una exposición de D. Joaquín N., las Cortes en la legislatura anterior sobre el plan de Hacienda. Y des -vecino de Barcelona , quejándose de infracción de Constitución cometi p…</t>
  </si>
  <si>
    <t>…,,el valor de losidiezmqs,.calculado segun-lo preve bierno para el reintegro de las cantidades referidas. nido en el art. 6°, deduciendo la,'parte.correspondiente á las cargas El Sr. Moscoso dijo que por el . dictamen de la comisión no se ve ciertas.” Quedó aprobado. . .. nia en conocimiento .de sí era el "Crédito, público, ó la .tesorería la que ,As&gt;m‘smo. se .aprobaron los cinco artículos siguientes: ‘ i. ./ debía reintegrar á dichos interesado…</t>
  </si>
  <si>
    <t>…Guerra y Marina acerca de la solicitud de D. Salva Ja anterior legislatura acerca de la contribución directa. dor Treserras sobre el establecimiento de telégrafos de Mr. Chape, El Sr. Moscoso leyó esta base, que decía asi: « Después de adopta del cual acompañó modelo. Las comisiones opinaban que debía pasar al das las contribuciones indirectas que parezcan convenientes, se cubrirá Gobierno para que examine si seria conveniente el establee miento d…</t>
  </si>
  <si>
    <t>…dicto al sistema constitucional y de orden de la comi tículo, sin embargo debia quitarse esta circunstancia.sión nombrada de causas de Estado; y observando ;que no -está en sit El Sr. Moscoso manifestó que la comisión ai proponer esta circuns del icadeza el admitirlos, los ofrecia para socorrer las necesidades-de la tancia habia tenido presente que esta contribución debia pesar esencial Nación, y rogaba á las Cortes se sirviesen admitir este donat…</t>
  </si>
  <si>
    <t>El Sr. Moscoso dijo que este artículo solo se Labia puesto con el de Mayo de 1808 , según lo testifican , asi el suntuoso cenotafio erigido en objeto de evitar los fraudes que se podrían cometer, y con el de for i8zo sobre el lugar de aquel horrendo sacrificio, como el habe…</t>
  </si>
  <si>
    <t>…o de las obligaciones y fines de su instituto en Tan luego como el Gobierno ha recibido estos partes ha dispuesto los términos que también se previene en ei citado decreto. que el general Moscoso con tropas, tanto de infantería como de arti 9* Las juntas municipales formarán y remitirán á la de Ja capital, llería de la guarnición de la Hivana vuele al socorro de Veracruz, f cuando menos ahualmente, cuenta razonada de los ingresos que por i restablecer…</t>
  </si>
  <si>
    <t>…hizo sino echar la cuadrícula sobre la carta. Estos hechos constan aprobación y Ucencia del Emo. Sr. cardenal de Borbon, arzobispo de de ias actas de aquel cuerpo legislativo. El Sr. Moscoso ha reproducido Toledo, á consulta déla junta religiosa de censura. Se hallará en la el número de leguas cuadradas de Francia, y le ha comparado con el de librería de la viuda.de Ouiroga. ■ - . SUPLEMENTO</t>
  </si>
  <si>
    <t>…ismo particularmente en el primero,.que es una población grandiosa, tiene que Barcelona , Valencia y otras. buenas fábricas de lana , y algunos establecimientos que le hacen mu EL Sr. Moscoso -. Es muy sensible para los de una provincia el tener cho honor, juzgado de primera instancia &amp;.c. &amp;c. De esta manera lo que hablar en una discusión que versa entre dos pueblos respetables de grarán las Cortes que prospere mas aq'uel vecindario, y sea mayor J…</t>
  </si>
  <si>
    <t>El Sr. Moscoso dijo: Que las razones que hay para que Pontevedra examinasen en el mapa ¡a mayor centralidad de Pontevedra respecto de sea capital de esta provincia son bien claras, y basta tenor uso de ra Vigo ; que ninguna de las razones dadas hasta ahora destruían el dic…</t>
  </si>
  <si>
    <t>…acerca de la quinta pro las provincias en dichas cuatro clases.” vincia, informando previamente la comisión. El St. Sánchez Salvador se opuso á esta división, tanto mas (dijo) El Sr. Moscoso dijo que se debía tener esta lectura por primera. cuanto que solo sirve para señalar los sueldos á los funcionarios públi El Sr. Vitorica dijo que esta era una adición a! artículo j.°, y por cos. .Manifestó en seguida que los gefes políticos necesitaban mayor…</t>
  </si>
  <si>
    <t>…la comisión se discutiría el dictamen de la comisión de Hacienda sobre liquidación puede alegar un egemplo nuir notable en esta materia; pero antes quie de suministros, propuso el Sr. Moscoso que antes de discutirse este re hacer presente que las Cortes ordinarias del año 14 dividieron ya dictamen se pidiese al Gobierno el informe que le ha dado la conta las provincias en clases, según su mayor población , en cuyos términos duría mayor acerca de l…</t>
  </si>
  <si>
    <t>…o en caso que lo difiriese por mucho tiempo. Supuesto que el el número de los diputados que han de nombrar. Gobierno y las Cortes desean que los pueblos empiecen á disfrutar de El Sr. Moscoso dijo: Yo estoy de acuerdo con lo que propone h los beneficios que la ley actual les ha de proporcionar, creo que debe, comisión; pero el art. 30 de la Constitución dice que para el cómputo encargarse la mas pronta egecucion en cuanto sea posible. de la poblac…</t>
  </si>
  <si>
    <t>…a Constitu perder de vista para resolver este punto. ción política de la Monarquía y á tedas las legislaciones conocidas e» Se declaró este asunto suficientemente discutida;- y el Sr. Moscoso, cuanto al allanamiento de las casas para perseguir los géneros prohibi antes de votar, preguntó si este censo se habia formado por el Gobier dos, precediendo las formalidades prevenidas en la misma: que por no con todos los datos correspondientes, y si lo ha…</t>
  </si>
  <si>
    <t>…porque dijo que todos los Gobierno de las personas inteligentes. años debía aprobarse por 1 s Cortes el presupuesto de Marina , en el El Sr. Gareli apoyó lo que habia expuesto el Sr. Moscoso, ma cual podian y debían comprenderse estos gastos. nifestando entre otras cosas que toda obra, cuya protección dependía ds El Sr. Vadillo dijo que este artículo era el mas interesante del plan varias corporaciones, generalmente hablando, no tenia ni la activ…</t>
  </si>
  <si>
    <t>…o el de netas extrangeras en la Península mucho mas baratas que las naciona recho máximo de 30 por 100.” les, no se compraría ni un palmo de estas si se aprobaba el dictamen de El Sr. Moscoso hizo vanas reflexiones sobre este artículo, manifes la com:sion. Manifestó en seguida que piohibiendo la ¡ntioduceio.i de tando que si bien no debia prohibirse enteramente la introducción dé estos géneros se perfeccionarían las f-bricas nacionales, y se las d…</t>
  </si>
  <si>
    <t>…es objetos de esta preciosa arte, nuta de la contestación que había acordado la mayoría de la comisión, para que el labrador halle con facilidad y sin perder mucho tiempo las y el Sr. Moscoso leyó también su voto particular en el cual , convi instrucciones que necesite , asi para el cultivo del campo , como para el niendo con las mismas ideas de 1.a comisión , no convenia en cuanto i gobierno de la casa, cria de ganado y curación de las enfermedad…</t>
  </si>
  <si>
    <t>…tivo de cuando en cuando_en varios cantones suizos á ciertas escenas, ningún nuevo empleo sino en los cesantes mientras los hubiese. que no debían esperarse de un pueblo culto. El Sr. Moscoso dijo que no debia juzgarse de los sueldos según el Por un real decreto de 14 del corriente ha nombrado S. M. para estado de la comisión, que podia decirse era puramente nominal, sino sustituir á los ministros depuestos á los Sres. Peyronnet pata el mi por el…</t>
  </si>
  <si>
    <t>Moscoso, Jósef</t>
  </si>
  <si>
    <t>Jósef Moscoso</t>
  </si>
  <si>
    <t>…ales de donde se sacan, en Navaicarnero, se les previene que hallándose en Maflrid , se presen.' de los medios que se emplean para llevarlas á grandes distancias, y de ten ante el Sr. D. Jósef Moscoso, juez de primera instancia de ella, ó ios-métodos que se usan para purificarlas. en otro caso á la autoridad del pueblo donde respectivamente residieren Vos hab is viajado y habéis visto que en todas las ciudades hay uno á quienes se suplica que'verificándose…</t>
  </si>
  <si>
    <t>Moscoso, Josef Alartinez</t>
  </si>
  <si>
    <t>Josef Alartinez Moscoso</t>
  </si>
  <si>
    <t>…arbitrarias, á la investigación de máxima y míni ma de funciones de dos variables, á tirar tangentes á las ANUNCIOS. curvas de doble curvatura , á determinar el plano oscitla- El Sr. D. Josef Alartinez Moscoso , ministro honorario de dor y piano normal, y á la diferencia! de un arco de una la audiencia territorial, y juez de primera instancia en esta muy curva considerada en el espacio; y por último á determi heroica villa , por auto de 5 dél corriente ha acór.'ado…</t>
  </si>
  <si>
    <t>Moscoso, Josef Martínez</t>
  </si>
  <si>
    <t>Josef Martínez Moscoso</t>
  </si>
  <si>
    <t>…upuestos á los documentos justificativos de los pagos ello ha acudido ante el Sr. juez de primera instancia de es hechos á cuenta de cada uno, luego que sean examinados c ta villa D. Josef Martínez Moscoso, poniendo á disposi intervenidos dichos documentos en la. contaduría general de ción de dichos acreedores los bienes todos de Madrid, pi-</t>
  </si>
  <si>
    <t>…ay'er sobre las ciencias exactasd ANUNCIOS. El análisis aplicada por Monge á la geometría presenta las ecuaciones de las líneas, de ios planos , de las curvas Por providencia del Sr. D. Josef Martínez Moscoso, minis tro honorario de la audiencia territorial, y juez de primera ins de segundo grado , la teoría de los planos tangentes , en tancia en esta M. H. villa, por auto de este dia ha acordado la fin las principales circunstancias de la generación de las-su sub…</t>
  </si>
  <si>
    <t>…qué la acompañan, con el objeto dé informarse mejor de unos eléctosque podrían suminis-r ANUNCIOS. rrar conocimientos apreciables sobre la écónómíá animal,!"y Por'providencia del Sr. D. Josef Martínez Moscoso, minis tal vez sobre el principió de la'vida. . tro honorario de la audiencia territorial, y juez de primera ins Aunque estas brillantes esperanzas no.se han realizado. tancia de está M. H. villa, su fecha 10 del corriente , ha acorda hasta ahora, á lo.menos…</t>
  </si>
  <si>
    <t>…s religiosas se celebraron debajo de un ANUNCIOS. peral, que un religioso morabita- había plantado en 173 7, y que en 1790 cubría con su sombra mas de.xoo. per Por providencia del Sr. D. Josef Martínez Moscoso, mi sonas.. nistro honorario de la audiencia territorial, 7 juez de primera Se han impreso 3® egemplares del evangelio de S. Lu instancia de esta M. H. villa; su fecha 10 del corriente, ha cas en lengua deOtahiti, cuyos habitantes poic la mayor acordado la su…</t>
  </si>
  <si>
    <t>…en el distrito de su mando. Madrid......... de Enero de 1821.” VARIEDADES. vi ages. - ' Descubrimiento de un nuevo continente me ANUNCIOS. ridional ó antartico Por providencia del Sr. D. Josef Martínez Moscoso, minis Un sugeto lia modo Smith, capitán del William, buque tro togado, juez de primera instancia de estaM. H. villa, su fecha de Bdthe en el Northumberland, y comerciante entre el 17'del corriente, ha acordado la subasta por 30 dias, contados desde el mismo,…</t>
  </si>
  <si>
    <t>…las administraciones princi Sesenta años há que no-se veia en Inglaterra un solo ca pales y agregadas de correos. nal de navegación, hasta que un rico particular (el duque El Sr. D. Josef Martínez Moscoso, ministro honorario de de Bridgewater) emprendió uno para conducir el carbón la audiencia territorial, y juez de primera instancia en esta M. H. de sus minas hasta cerca de Manchester, ciudad floreciente - villa, por auto de 5 del corriente; ha acordado la su…</t>
  </si>
  <si>
    <t>…término de la propia ciudad, compuesta de monte alto y les de todo, y acordar , bajo la autoridad judicial, lo mas maleza, de 495 fanegas de tierra, en 49,500 rs. conveniente. El Sr. D. Josef Martínez Moscoso estimó ar La dehesa nombrada de Pendolillas de Ribera, com reglada esta pretensión , y á su virtud mandó en auto dé 13 puesta de 1167 fanegas , 2 celemines de tierra encinar y cha ■de Julio próximo pasado se suspendiese por el ayuntamienparra ,'406 olivos y s…</t>
  </si>
  <si>
    <t>…je: 116 cinturones portasable: 12 2 pares medias botas: 122 juegos de brjiza , lúa y al- . . ANUNCIOS. mohaza: 122 caparazones ó sabrac : 231 camisas de lienzo Por providencia del Sr. D. Josef Martínez Moscoso , minisvivero: xx6 pares de pantalones de lienzo valenciano: 116 tro togado, juez de primera instancia de esta M. H. villa, su fechachaquetas de ídem: 116 maletas de paño: 116 corbatines '20 del corriente, se ha acordado la subasta por 30 dias, contadosde sue…</t>
  </si>
  <si>
    <t>Moscoso, Josef Martinez</t>
  </si>
  <si>
    <t>Josef Martinez Moscoso</t>
  </si>
  <si>
    <t>…veerá lo que corresponda en Otro prado á 8. Marcos, cercado de tapia, su cabida de justicia, y les parará el perjuicio que haya lugar. 5 fanegas, en 14,350 rs. Por providencia del Sr. D. Josef Martinez Moscoso, mi _. Una casa á la parroquia de S. Martin , calle de la Revi nistro honorario de ia audiencia territorial, y juez de primera lla, de un alto y buena fabrica , en 15,300 rs. instancia de esta M. H. villa, su fecha 2/ del corriente, se ha Otra en !a parroquia…</t>
  </si>
  <si>
    <t>…ue es la última^ Gobierno intruso al mismo tiempo que del legítimo, se for citación y emplazamiento. malicen por separado, y cada uñase gobierne por lo estable Por providencia del Sr. D. Josef Martínez Moscoso, mi cido para cada ciase. 3.0 Que en las cuentas expresadas de San nistro togado, juez de primera instancia de esta M. H. villa, su Ildefonso y Coca se abone á los interesados, con/orme á las fecha 29 del pasado, ha acordado la subasta por 30 dias, conta leye…</t>
  </si>
  <si>
    <t>…rosanta ; sea todo mío. La indus celar, y que sin este gravamen se egecutarán.los pagos sucesivos. tria sea libre ; pero aquella solo de la cual yo soy el gran Por providencia del Sr. D. Josef Martínez Moscoso , minis de empresario. Sacrifiqúese todo á mi seguridad personal; y tro honorario de la audiencia territorial, y juez de primera ins para que yo duerma tranquiló, velen todos los demás, ó su tancia de ésta M. H. villa, su fecha 15 del corriente, se ha acorda…</t>
  </si>
  <si>
    <t>…onasterio de ANUNCIOS. S. Basilio, para cuyo primer remate, que se ha de verificar en aque lla ciudad, está señalado el dia 9 del presente me's de Marzo. Hallándose entendiendo el Sr. D. Josef Martinez Moscoso, juez de Cinco marjales de tierra de riego, término de Gavia la Grande, primera instancia de esta heroica villa, por la escribanía del número pago de Algoros , en 3000 rs. de D. Juan Villa y Olier en la cesación y ocurrencia de acreedores de Cuatro marjales,…</t>
  </si>
  <si>
    <t>…400 rs. Otra al Olmo, dé cuarta y media, de primera calidad, de riego, ANUNCIOS.en 200 rs. Otra al mismo sitio , de 4 cuartas, de ídem, en tooo rs. (Se ccti~ ‘ Por providencia del Sr. D. Josef Martínez Moscoso , ministro toga timuirií.) do, juez de primera instancia de esta M. H. villa , su fecha 19 del cor V AR’ EDADES. riente, se ha acordado la subasta por 30 dias, contados desde el mismoj do una casa y lavadero de ropas , situado al otro lado del puente de Ses C…</t>
  </si>
  <si>
    <t>…os pueblos, levantáis una mano parricida la escribanía del número que egerce D. Juan Raya. contra quien os dió el ser: en vuestra desgracia, en vuestra humilla Por providencia del Sr. D. Josef Martínez Moscoso, ministro ho ción reconocíais la Constitución española, por ver en ella las espe norario do la audiencia territorial, y juez de primera instancia de esta ranzas de vuestra felicidad: recobrasteis esta , y ahora con' una negra M. H. villa , su fecha 1 5 del co…</t>
  </si>
  <si>
    <t>…rs. Otras casas, situadas en lu calle de los Frailes, colación de-S. Lo banía del número que egerce D. Juan Raya. renzo, señaladas con el núm. 5, en 15,034 rs. Por providencia del Sr. D. Josef Martínez Moscoso, ministro ho El corrijo nombrado de Rojas, en los términos de dicha ciudad norario togado de la audiencia territorial de esta capital, juez de pri de Córdoba, villa de Almodovar del Rio, compuesto .de 936 fane mera instancia en ella, refrendada de D. Casimiro…</t>
  </si>
  <si>
    <t>…rcunstancia la tu vieren presente las Cortes extraordinarias , porque podría haber contra tos que hubiesen hecho los señores con los de los pueblos, contrarios Por providencia del Sr. D. Josef Martínez Moscoso , ministro toga al derecho común, y ahora se quiere que sean arreglados á justicia; por do, juez de primera instancia de esta M. H. villa , su fecha 12 del pre consiguiente repito que este articulóse debe aprobar en todas sus partes. sente , se ha acordado la…</t>
  </si>
  <si>
    <t>…n en contrario; pero que s,no se: otra de D. Joaquín Caneja contra el juez de primera instancia de esta tomaba esta medida le parecía deber hacer presente que en su concepto corte D. Josef Martínez Moscoso, quejándose de infracción de Cons seria mejor unir á la renta de correos la del registro , porque tienen una titución. cierta umon; debiendo reunirse asimismo la diiecc on de loterías con' A las de Comercio y Hacienda una exposición del ayuntamiento ia venta…</t>
  </si>
  <si>
    <t>…stados ANUNCIOS. de las contadurías de valores y distribución, con expresión de los pa gos que se hubiesen hecho , y de lo ingresado en tesorería , especificán Por providencia del Sr. D. Josef Martínez Moscoso, ministro ho dose por meses, para que de este modo se pudiese presentar una nota norario de la audiencia territorial, juez de primera instancia de esta exacta del estado de la Hacienda pública. M. H. villa, su fecha 9 del corriente, ha acordado la subasta por…</t>
  </si>
  <si>
    <t>…gloria de estos pueblos, ANUNCIOS. y su buena reputación. Es el caso, Señor, que sin el mas leve motivo parece se esparció una voz en esta provincia y sus inmediatas de que la El Sr. D. Josef Martínez Moscoso, ministro togado, juez de pri serranía promovía sedición contra el sistema constitucional; y aunque mera instancia de esta AI. H. villa, por auto de 25 del corriente, re esta impostura no dejó de sobresaltar los ánimos de sus naturales, des frendado de D. Fel…</t>
  </si>
  <si>
    <t>…arreglos: si interviene por. la fuerza , quebranta su palabra, y en' este caso ó se deb elara en favor del divan para aherrojar á los griegos', ó protegerá estos En el juzgado del Sr. D. Josef Martínez Moscoso, magistrado ho—: en su sublevación. Protegerlos seria'dar por tierra con el nuevo dere • norario de la audiencia territorial, y juez de primera instancia en esta cho de genres.vC¡úe lá siripi alianza ha profesado pira'esclavizar la Italia.. capital, y escriba…</t>
  </si>
  <si>
    <t>…ando buena salud ;y el Rey ha tomado, hoy su baño,, y, le ha sentado bien.” , ANUNCIOS. Habiendo resuelto el Rey que el consejo de Estado proceda á la En virtud de providencia del Sr. D. Josef Martínez Moscoso, juez propuesta de sugetos para las plazas de jueces de primera instancia de, togado de primera instancia de esta muy heroica villa, se hace saber por Jos partidos de la provincia de Galicia, que han aprobado las Cortes,; medio de este periódico á todos los q…</t>
  </si>
  <si>
    <t>…iento alguiias tropas. De la Rusia ya se decía haber entra D. Justo Josef de Binqueri. Doña Tomasa Ravasa. do efectivamente sus tropas en el territorio turco; haberse apoderado de D. Josef Martínez Moscoso. D. Teodoro de la Calle. Galatz, y que el egército ruso llevaba orden-de no detenerse hasta Constantinopla. Hablábase de la evacuación deBucharest por los turcos; (1) Este sugeto y D. Juan Ferrer á las primeras noticias que tu de un encuentro de los puestos a…</t>
  </si>
  <si>
    <t>…a ni otra, admitiendo en ellos,si se realiza cualesquiera, las que se hagan á ¡alla El Rey, enterado de la solicitud del ayuntamiento de (a villa de na; en su vista ha acordado el Sr. D. Josef Martinez Moscoso, juez de Cehegin , provincia de Murcia, y en vista del informe de la diputación primera instancia, en arito de 27 del corriente, dictado ante D. Feli provincial, se ha servido concederle el permiso que solicitaba para ce ciano del Corral, escribano de número,…</t>
  </si>
  <si>
    <t>…manz. 209 , que pertenecieron al monasterio de los cartujos del Paular de-Segovia, que se anunciaron en ia gaceta de 31 irsERAt—,Ideas liberales. de Julio último , ha señalado el Sr. D. Josef Martínez Moscoso, mii Dijimos en la gaceta dei dia 13 del corriente que Bonaparte echaba nistro togado, juez de primera instancia, el dia 30 del corriente de en cara á los Soberanos deí .Norte que pretendían tener ideas liberales, 11 á 12 de su mañana en las casas consistoria…</t>
  </si>
  <si>
    <t>…er equivocaciones, cifrándose preci y á virtud del repartimiento de negocios despacha su compañero el se samente á esto , y sin que les sea permitido entrar de nuevo en la dis ñor D. Josef Martínez Moscoso , y escribanía del número al curvo de cusión principal; pero'si variase la cuestión, podrá pedirse nuevamente D. Anselmo Ordoñez, por Doña Josefa Ramos, viuda de D. Vicen la palabra. Art. 107. Los diputados cuando hablen dirigirán la pala te Perramon , ciruja…</t>
  </si>
  <si>
    <t>…no pueden al ANUNCIOS. terar en lo mas mínimo la ¡nílexibdidsd de nuestros principios. Publi camos estos documentos por miramiento á un'p rsonage respetable; y Por providencia del Sr. D. Josef Martínez Moscoso, magistrado sin tener la mas p.quena sospecha que perjudique á la veracidad de las honorario de la audiencia territorial, juez letrado de primera instancia, personas que los atestiguan , nos ceñimos á desear vivamente que á se ha mandado se cite y emplaze por…</t>
  </si>
  <si>
    <t>…, dando armas á nues Terrones los testimonios que pida para que de ellos haga el uso que le tros enemigos, que por la estructura1 peculiar de su ser, por su profesión convenga. El Sr. D. Josef Martínez Moscoso, magistrado honorario vergonzosa V por los-esfuerzos de sus negras artes, tienen la particular de la audiencia territorial de Castilla la Nueva , y jtiez de primera-inspropiedad de inficionar todo lo que tocan, y convertir en veneno todos tanci.i en esta cort…</t>
  </si>
  <si>
    <t>…de inspectores, de Jusef Acevedo , comerciante-, D. Jacobo Llórente, capitán del provin biendo seguir al último de aquellos aquel á quien le toque en suerte el cial de Compostela; D. Josef Martínez Moscoso, juez de primera ins número siguiente. Los batallones ligeros tendrán su escala separada des tancia de Madrid; D. Josef Feijoo y Marquina, propietario. pués de los de línea , siguiendo el mismo orden de preferencia por la antigüedad que tienen los existentes,…</t>
  </si>
  <si>
    <t>Moscoso, Josef Martínez de</t>
  </si>
  <si>
    <t>Josef Martínez de Moscoso</t>
  </si>
  <si>
    <t>…stancia en esta villa, titulado el Constitucional, en la cual se quejaba del juez de primera ha señalado el domingo 4 del corriente á las nueve de su mañana en instancia de Madrid D. Josef Martínez de Moscoso, suponiéndole in una de las salas del Excmo. ayuntamiento para la vista de la causa fractor del art. 195 de la Constitución, por haberle mandado guardar formada contra el R. P. comendador de la Merced calzada y otros va carcelería en su casa de resultas de la…</t>
  </si>
  <si>
    <t>Mosplimiento, Josef Martínez</t>
  </si>
  <si>
    <t>Josef Martínez Mosplimiento</t>
  </si>
  <si>
    <t>…iciesen egecutar esta Real resolu que se hicieren siendo arregladas. r.. , : ción. De Real orden lo comunico á V. para su inteligencia y cum En el juzgado de primera instancia del Sr. D. Josef Martínez Mosplimiento , de que deberá darme aviso para conocimiento de S. M. aho coso, y escribanía de D Pedro Josef de Ibabe , se ha promovido expe ra y-siempre que ocurra alguna variedad.” — De igual Real orden lo diente á nombré de los Sres. Arratia y sobrinos, del comercio de…</t>
  </si>
  <si>
    <t>Mostición, Josef Martínez</t>
  </si>
  <si>
    <t>Josef Martínez Mostición</t>
  </si>
  <si>
    <t>…austríaco vuelve á restablecer en las Dos Sicilias y en ANUNCIOS. todos los bellos países de Italia las tinieblas, la ignorancia, la supers A consecuencia de auto proveído por el Sr. D. Josef Martínez Mostición, el terror y la esclavitud, resortes indispensables que mueven la coso, ministro honorario de la audiencia territorial, juez de primera ins máquina del poder absoluto. ¡Si todo Ñapóles ha sucumbido, desgra tancia de esta M. H. villa , refrendada por el escrib…</t>
  </si>
  <si>
    <t>Motezuma, Vicenta de Vera</t>
  </si>
  <si>
    <t>Vicenta de Vera Motezuma</t>
  </si>
  <si>
    <t>…usseau han/ predicado la máxima de gue en la misma audiencia por D. Vicente Ortiz Duran , mari que el árbol de la libertad no es para todos los países; lo co y conjunta persona de Doña Vicenta de Vera Motezuma, cual equivale á decir que Dios ha criado de intento algunas sobre liquidación de cuentas y otras cosas. regiones para recreo del despotismo nota. En la gaceta del viernes 23, col. 8.a, lía. 27, don Mas parece que el siglo en que vivimos se ha hecho pa de dic…</t>
  </si>
  <si>
    <t>Motira</t>
  </si>
  <si>
    <t>…al calnaturaleza no dependen siempre del Gobierno, sino de la irresistible so de qué mudase de religión. voluntad de sus feroces soldados y súbditos turbulentos, los cuales mas El Sr. Motira manifestó las razones que habia tenido la comisión de una vez han dado muerte á sus Sultanes, cuando ó por prudencia para redactar asi el artículo, el cual apoyaba por párecérle que éra lo más ó por política han querido poner un freno a su desatinado furor. A…</t>
  </si>
  <si>
    <t>Moura</t>
  </si>
  <si>
    <t>…ora , hasta que verifi concluyó diciendo que deseaba fuesen todos admitidos en cado el arreglo de las demas provincias de la Monar el seno de la nación, y declarados inocentes. Ei Sr. Moura quía, se determine su permanencia con el número dé in expuso que no podia convenir en que el Congreso anulase dividuos que se requieren para ella, ó su supresión. De sentencias que pertenecían a! poder judicial, en urna época ben subsistir fuera de la capital…</t>
  </si>
  <si>
    <t>…30 de Enero se había celebrado la conferencia relá-r debía abolirse hasta la pena de muerte; pero habiendo ob tiva á la ocupación militar de Ñapóles en presencia de los servado el Sr. Moura que esta teoría, aunque hacia mucho ministros de Austria , Francia, Rusia y Prusia, y que ha-? honor al preopinante , no debía ser objeto de discusión, y bia sajido para Nápoles el duque de Gallo con la resolu que la comisión era la que debía mirarlo con la m…</t>
  </si>
  <si>
    <t>…a- ción, porque esta habia manifestado mucho- apego- al antiguo régi co se reunía en las fronteras; y en fin la salida del Rey de Nápoles men: fue llamado al orden el orador; y el Sr. Moura le dijo que se á bordo de un buque ingles.'Discutiendo en seguida los principios' sen le habia llamado al orden justamente, porque los ataques contra indi tados en la citada circular, dijo que los ministros habian seguido un viduos determinados debían ser pro…</t>
  </si>
  <si>
    <t>…proponer reos de provocar á la sedición. No basta llamarlos al orden, (Una voz leyes. . . : ■' • . ■ • ' de la izquierda: asi hablaba Robespierre en la Convención Ja víspera : .El.Sr. Moura,. después, de..manifestar las sólidas razones que había del 31 de Mayo.) Mr. Girardin: „Si somos conspiradores, satisfágase tenido la comisión para 110 dar Ja iniciativa al Rey, añadió que ha á la justicia, ya que el 5 de junio último no se vindicó, castigand…</t>
  </si>
  <si>
    <t>…se aprobó el dictamen obligando al Sr. D. Juan ti á pasarlos á cuchillo , matándolos con sus de la comisión. propias manos para deshacerse de ellos. En tiempos mas modernos de El Sr. Moura leyó en nombre de la comisión las bases de la Cons jaron consolidar el cetro del despotismo sin la menor oposición , y el titución con las variaciones que se habían hecho en ellas, y después de pueblo portugués llegó al infeliz estado que todos sabemos. Ahora…</t>
  </si>
  <si>
    <t>…que debí» reformarse la patriarcal. ello; con lo que se levantó la sesión. ; Bl"discurso del Sr.- Borges Carneíro' hizo grande impresión en el ' • Sesión del 4.- • Gongr'eso, y el Sr. Moura llamó la. atención de las Cortes hacia el pa Se dió cuenta de varios proyectos de decretos, y el Sr. berreara Bor triarca-que se oponia á la voluntad de ..tras millones de -hombres, di nes propuso que se. le permitiese á la ciudad de Opórto hacer’ libreiaent;…</t>
  </si>
  <si>
    <t>…uesto á votación , se acor cluyó de esta manera. dó que en aquella misma sesión quedase concluido este asunto. » Pido pues por interes de la misma dignidad de la Cámara, que no Ei Sr. Moura manifestó que en la América inglesa había muchos cesaré de recordarle mientras se me permita subir á esta tribuna, pido buques cargados de granos para Portugal, y que por esta razón era que se conceda la palabra á otros oradores, ó que se proceda inmedia nece…</t>
  </si>
  <si>
    <t>…la sino de traiciones y .presidente el Sr. Braamcamp (que lo es también en el dia); para vice de rebeliones; están llenas las cárceles, y aun esto no es mas quje una presidente el Sr. Moura; para secretarios los Sres. Filgueiras, Freire, débil pintura de nuestra situación interior.” .Mendoza , Falcaofque lo son actualmente), y el Sr. Ribeiro Costa; que Echando después el honorable vocal una ojeada rápida sobre las dando nombrado para suplir á cu…</t>
  </si>
  <si>
    <t>…JUNIO DE i8ai. NOTICIAS EXTRANGERAS. . gicamente de estos aplausos, déclarando que ellos los, despreciaban co mo indecorosos, é indignos del soberano Congreso. . ] i ; AUSTRIA* El Sr. Moura habló contra estos aplausos, y pidió, que, el Sr. presi dente levantase la sesión pública encaso de repetirse; o tros Sres. dipu . , Laybach i.° de Mayo. tados opinaron que debian ponerse en las tribunas zeladores qué.obserNo. se ha determinado todavía el día…</t>
  </si>
  <si>
    <t>…religión su antiguo ascendiente sobre las almas? En la minado en el art. 34 de las bases de la Constitución. época en que la asamblea constituyente cometió un yerro lamentable. EL Sr. Moura redujo la cuestión á dos principios; i.° que debía Voy á explicar lo que he dicho. abolirse todo cuanto recibían los párrocos á título de derechos de esto No hablo ciertamente de ia venta de los bienes del clero; esta ven la y pie de altar, asignándoles una c…</t>
  </si>
  <si>
    <t>…á hacer el nombramiento de presidente , vice-presideftfe V Constantinopla. Los capitanes Nicolás, Panajoti y Papagionopulo con secretarios, y quedaron elegidtíVpara presidente el Sr. Moura; cara vice tinuaban en Galatz con hombres, y andaban cometiendo todo ge presidente el Sf. Vaz-Velho , y para secretarios los Sfes. Fügueiras , Rinero de excesos, c incomodando á la guarnición de la fortaleza otoma beiro, Costa, Freire y Mendoza Falcao; con lo…</t>
  </si>
  <si>
    <t>…rtrand,su familia, el conde Montholor y,-'-rascerse , ó si debería tratarse de este asunto en otra ocasión. varias personas de la servidumbre de Napoleón. El 3 aun no se les ha El Sr. Moura manifestó las razones que habia tenido la comisión bia dado permiso de desembarcar. para extender esta parte del artículo jo, y la relación que tenia esta di Jos periódicos de Paris que anuncian ia muerte de la Rema de In visión con los jueces, con cuyo motiv…</t>
  </si>
  <si>
    <t>…hacer nos por el presante nada interesante, sobre la ciencia del gas ó insecto variaciones en la Constitución. amortizador de la vida, que se supone como causa próxima de la en El Sr. Moura, como individuo de la comisión de Constitución, sos fermedad, ni en querer averiguar el modo positivo rur qué y c~&gt;no se ha tuvo y explicó repetidas veces el artículo : otros señores diputados pro desarrollado: solo sí diremos que para su verificación puede h…</t>
  </si>
  <si>
    <t>…ecida en el puerto, y diputados propusieron que el artículo se redactase de nuevo. Otros, y que tanto ha llamado nuestra atención. La experiencia va confirmando particularmente el Sr. Moura , como individuo de la comisión, sostu felizmente tan lisonjero anuncio , pues desde aquel dia solo se han visto vieron el artículo, explicando varias veces su verdadero sentido, su atacados del mal algunos individuos délas tripulaciones acampadas , que doctr…</t>
  </si>
  <si>
    <t>…l 14 3 hombres: una muger: 3 niños. Total 7. dar prender. Otros Sres. diputados opinaron que debían designarse los Del 14 al 15 4 hombres: 3 niños y una niña. Total 8. casos; y el Sr. Moura dijo que en una época en que se estaba establecien Madrid Lunes aa de Octubre. do un gobierno que tenia tantos enemigos, no debía haber tanto escrú pulo sobre la Libertad de los ciudadanos. SS. MM. y AA. han salido hoy después de las 11 de la mañana El Sr. Va…</t>
  </si>
  <si>
    <t>Moura, Juan Antonio Fexreira de</t>
  </si>
  <si>
    <t>Juan Antonio Fexreira de Moura</t>
  </si>
  <si>
    <t>consejeros! de'Estadoiádlos.Sres. conde de;.Penafiel&gt; conde de S'ih Payo* . '¡VARIEDADES. " ‘ ' obispo de Viseo, D..Juan de Acuita Sotomayor, D. Josef María de Antas Pereira, D. Juan Antonio Fexreira de Moura, D. Joaquín Pe -¿Aviso á los labradores , fabricantes y otros artistas españole: que nece dro-Gómez de Oliveira y D. Josef de Mello Freire. siten sisar de una porción considerable de agua. ■En. virtud de una orden de ia misma fecha debian aprontarse a la Ha l…</t>
  </si>
  <si>
    <t>Moure, Josef</t>
  </si>
  <si>
    <t>Josef Moure</t>
  </si>
  <si>
    <t>…a fijarla definitivamente.Sres. Lie. D. Francisco Henriquez, y Lie. D. Josef Rafael Fernandez S.° Los actuales cuerpos de milicias conservarán su antigüedad, yCid- Suplentes. Lie. D. Josef Moure, teniente coronel; D. Antonio los de nueva creación sortearán la suya en la junta de inspectores, de Jusef Acevedo , comerciante-, D. Jacobo Llórente, capitán del provin biendo seguir al último de aquellos aquel á quien le toque en suerte el cial de Compostel…</t>
  </si>
  <si>
    <t>Mourelo, Josef Pío</t>
  </si>
  <si>
    <t>Josef Pío Mourelo</t>
  </si>
  <si>
    <t>…del repartimiento hecho con la diputación •Roza Ridozes: para Atienza á D. Manuel Rodrigo: para Brihuega á ■de partido se reunirá inmediatamente por el subdelegado al intendente.” D. Josef Pío Mourelo: para Cifuentes á D. Damian Alcocer: para Se aprobó el art. 56 , concebido en estos términos: Cogolludo á D. Rodrigo Castaf.on : para Pastrana á D. Francisco Fer Art. s6. &gt;» El intendente de la provincia, después de haber visado nandez Beteta : para Medinacel…</t>
  </si>
  <si>
    <t>Mouru</t>
  </si>
  <si>
    <t>…o titución determinaría el modo de hacer efectiva la responsabilidad de los haced que vuestros lictores se apoderen de nosotros. Después de to ministros; con cuyo, motivo, dijo el-Sr. Mouru en contestación á lo ex- dos vuestros atentados, ya está visto que queréis un dia señala puesto por . otro Sr, .diputadoque la persona- del-. Rey era muy respe do con sangre. (Viva sensación.) Acabad. ¡Queréis nuestras cabezas? table ; que su principal privil…</t>
  </si>
  <si>
    <t>Moxó, Manuel</t>
  </si>
  <si>
    <t>Manuel Moxó</t>
  </si>
  <si>
    <t>…n de Angulo, capitán de la que traia la noticia de. la salida de S. M. misma; cuyo destino ha resultado vacante por retiro de La proclama del Príncipe Regente á los pueblos de las D. Manuel Moxó ; y de orden de S. M. lo comunico á V. Pos Siciiias es el objeto de las conversaciones públicas hace para su inteligencia' y cumplimiento en la parte que le cor algunos dias. Seria ún monumento de gloria para el nuevo responda. Madrid 5 de Enero de 1821. mini…</t>
  </si>
  <si>
    <t>Moya, Antonio Peran</t>
  </si>
  <si>
    <t>Antonio Peran Moya</t>
  </si>
  <si>
    <t>…casi impresa la Constitución, id. : D. Josef Guerra, id. : D. Diego Pulido, id.: D. Feliciano Manse iba á distribuir muy pronto, y debefia tomarse en consideración en silla, ¡d.: D. Antonio Peran Moya, subteniente: D. Miguel Gargallo, todrf la semana próxima, á fin de que pudiese empezarse su discusión id.: D. Tadeo Aresanenaga, id. : D. Domingo de la Rosa, id.: Don el dia 2 de Julio; y qué en este intervalo se discutirían varios asuntos Santiago Torres. i…</t>
  </si>
  <si>
    <t>Moya, Juan Manuel</t>
  </si>
  <si>
    <t>Juan Manuel Moya</t>
  </si>
  <si>
    <t>…ado al delincuente como indivi Granada, á D. Joaquín Fernandez Sedaño: para el de Colmenar, en duo de la sociedad hasta el último momento de cometer su delito, cas la de Málaga, á D. Juan Manuel Moya, y para el de Villafranca de tigando el primer paso ó la tentativa con la mitad de la pena; esto es Panadés, en Cataluña, á D. Lucas Gutiérrez. tan útil como se puede ver por un egemplo : supongamos que un hom bre que lleva dos pistolas dispara la primera con…</t>
  </si>
  <si>
    <t>Moyano, Esteban</t>
  </si>
  <si>
    <t>Esteban Moyano</t>
  </si>
  <si>
    <t>…tio fael de Urbina y D, Demetrio Ortiz. = En la de Navarra á D. Juan 6961 pies cuadrados superficiales, tasada en 484, 579 rs. vn.; y la otra Antonio Ibarra.'ccrEn la de Galicia á D. Esteban Moyano , D. Pedro en la misma calle Ancha de S. Bernardo entre el núm. 2 , que hace Bermudez del Villar y D. Josef Alvarez Pestaña. =: En la de Sevilla á esquina y vuelve á la de la Garduña á la manz. 497, y está entre di D. Francisco Olavarrieta y á D. Eugenio de L…</t>
  </si>
  <si>
    <t>Moyo, Josef del</t>
  </si>
  <si>
    <t>Josef del Moyo</t>
  </si>
  <si>
    <t>…ndos Reflexiones sobre el imperio de Rusia. D. Calixto Mora yD. Cipriano Díaz: cabos segundos Don El imperio de Rusia es el país de las contraposiciones Santos García del Barrio*, D. Josef del Moyo. D. Juan. tnas singulares que presenta ei mundo, ssi en lo tísico como Obeso, D. Juan Ochasavia y D. Minué! Gutiérrez Dosal: en lo mora'. Los inmensos desierros de la Si be ría están to tambor D. Pedro Alejandro NÍarcotan : milicianos D. Andrés davía cubierto…</t>
  </si>
  <si>
    <t>Mozo, Joaquín Lorenzo</t>
  </si>
  <si>
    <t>Joaquín Lorenzo Mozo</t>
  </si>
  <si>
    <t>…s fincas procedentes del extinguid'-' reos los magistrados de aquella audiencia territorial D. Fernando Car- monasterio de Ntra. Sra. de Mejorada, orden de S. Gerónimo, anun V¡a , D. Joaquín Lorenzo Mozo, D. Manuel Andrés y Einbite, Don ciadas en el suplemento de i.° del presente mes de Setiembre, bajo la Manuel Martin Berna!, D. Salvador Fernandez Torres, D. Antonio relación número 284 , debe verificarse en ia villa de Olmedo. EN LA IMPRENTA. NACIONAL.</t>
  </si>
  <si>
    <t>Mpl, Alejandro</t>
  </si>
  <si>
    <t>Alejandro Mpl</t>
  </si>
  <si>
    <t>…mbargo es muy aventurado fundar ' Se leyó el dictamen de'la, comisión de Marina , relativo á ía soli la suerte de la Nación en una incertidumbre como esta; debiéndose sa citud de_ D. Alejandro Mpl i na y San Juan, teniente de fragata de la ar- be;1 ¿demás cual es el défic.t del Estado; y aun en este caso sena mejor ' mada nacional, en la que manifestaba se había visto perseguido y sepa echar mano &lt;lc otros recursos que no de contribuciones de frutos qu…</t>
  </si>
  <si>
    <t>Mpriaríi, Juan</t>
  </si>
  <si>
    <t>Juan Mpriaríi</t>
  </si>
  <si>
    <t>…nalmente á los,’ subar Adición del Sr. Quiroga al art. 177 : » Que se añadan á él estas pa rendatarios. labras: después de las contribuciones que recaudarán en la primera se £1 de D. Juan Mpriaríi, capitán separado del servicio, sobre que</t>
  </si>
  <si>
    <t>Mr</t>
  </si>
  <si>
    <t>…ndres hasta el 21 tratan de exposi demas obras del autor, nuevamente reimpresas y correctas, en la ciones al Rey y á la Reina, y de la dimisión ya positiva librería de Matute. del ministro Mr. Canning , quien se disponía á pasar al con Estampas grabadas á buril de cuadros pertenecientes á corpora tinente. Los-perlódicos publican varias particularidades acer ciones &lt;f particulares, que se hallan de venta en la calcografía ca de la sensación que en…</t>
  </si>
  <si>
    <t>…e monopolio, y han hecho con é! su fortuna, están in -.■'i, RRUSIA. teresados en que se restablezca el antiguo sistema. &gt; ■ ' SUIZA. • - . Serlin 30 de Diciembre. -■ - El teniente general Mr. de.Muffling, que acaba de llegar de Erfurt, ha sido llamado por la corre, y se cree que Ginebra. &lt;? de Enero. acompañará al Rey á.Láibách-; y también debe acompañar En la noche del dia : de-año'-nuevo hubo un alboroto á S. M. eL géneraLNáthour, que está: aún…</t>
  </si>
  <si>
    <t>…cada dia más , y libertad ¿ independencia; y hasta desde el centro de laSiberiaha venido que el terror y las tinieblas son para ellos preferibles ah dominio ¡&gt;..-r un prusiano, el barón Mr. Federico Stahl, á ofrecernos sus servicios; amor, y al brillo de la luz pura que por todas partes se va esparciendo. y con gusto recibiremos á cuantos desearen emplear sus esfuerzos en _Los acontecimientos que se preparan en Italia llaman la atención "de la…</t>
  </si>
  <si>
    <t>…d. En semejantes, circunstancias la publicidad es un de— ber para la autoridad, y una garantía para todo el mundo. Se ha desmentido en Viena la noticia que habia corrido de qué Él ministro Mr. Pasquier impugnó eí-discurso de Mr. Casimiro algunos oficiales del egército austríaco no habían querido obedecer en- Perrier, y dijo que no había un verdadero motivo para quejarse deí ciertas-circunstancias a su general en gefe. silencio que habían guardado…</t>
  </si>
  <si>
    <t>…ORTUGAl. én las causas criminales, nombrando de su propia autoridad los jurados, "debiendo ser elegidos por suerte. EL resultado de este orden de cosas, Lisboa a de Abril. dijo el general Mr. Brun de Villeret, es que ia vida , el honor y la lir hartad de los ciudadanos están á discreción del poder. Se mandó pasar Sesión de Cortes del gi de Marzo. dicha petición al ministro Guarda-sellos. Después de haberse leído algunos dictámenes de las comision…</t>
  </si>
  <si>
    <t>…uiente. militares. Sesión del fi t ■WURTEMBSRO. 1 Efi está sesión se continuó la discusión del proyecto de ley que quedó pendiente en la sesión de ayer. Stuttgardt 31 de Marzo. El general Mr. Brun de Villeret fus el primero que habió contra El Mercurio de Suabia publica en el artículo de Lindau con' fecha 41, diciendo que no se había propuesto con mas objeto'que el de pro -á la de 24de Marzo lo siguiente: porcionar i una mayoría suspicaz los medi…</t>
  </si>
  <si>
    <t>…io conseguiría, be hacian diariamente alistamientos for para apoderarse de la ciudadeia: pero Demetrio haertrado en negocia-; zados de marineros americanos y extrangeros. Nuestro cónsul Mr. For¿ cionrs con el comandante turco, y se cree que este entregará luego 1* bes había representado sobre este asunto; pero la junta tenia deciaiado fortaleza. que todo txlrangeto que hubiese permanecido dos años en el país debía »i Una escuadra griega compues…</t>
  </si>
  <si>
    <t>…irna el 1/ de Junio, lle estampas obscenas. gó á Tolon el 17 de Julio. Art. 15. » El que abuse de la libertad de imprenta contra las bue Habiendo tocado en Mito el tí de Junio, su comandante Mr. nas costumbres en primer grado será condenado á una multa de 50) Couhitte supo que la corbeta le Guio había pasado el 19 por delante dé reís: en segundo grado á la de 40© reís: en tercer grado á la de 30? aquella isla , y dos días después la goleta l’ Estafe…</t>
  </si>
  <si>
    <t>…en las maniobras, como acostumbra hacerlo todos pués de haber firmado este, se notó cierta alegría en su semblante , y los ai,os Hace tres días que salió de aqui Mr. de Langsdorf, cónsul Mr. Broughauj le preguntó si se encontraba mejor. » No ; mi querido general en el Brasil: va por Lubeck., Francfort y París á Havre, en Brougham , le contestó la Reina, sé que moriré; pero no estoy'por donde se embarcará con diez familias de labradores alemanes…</t>
  </si>
  <si>
    <t>…que se presenten ante su cónsul á manifestar sus pasaportes, por cu La Dieta, en vista de que era un hecho lo que el ministro llama ya ceremonia tiene la desfachatez nuestro vice-cónsul Mr. Átiderson ba una hipótesis, y de que estaba suficientemente demostrada desde el de exigir un duro. Después tenemos que ir á la policía, en dor.de año 1814 la voluntad recíproca de continuar manteniendo los regi el príncipe de Canosa nos_£rma un permiso de re…</t>
  </si>
  <si>
    <t>…habia llegado el lord duque de Weilington , quien parece tenia confe Are Ar 24. Los empates en las votaciones sobre proyectos de ley, y demas rencias con el ministerio.__El huevo embajador Mr. Latour-Maubourg, asuntos que pertenecen á Jas Cortes, se decidirán repitiéndose la vela qu ; debe ,ir á Constantinopla, iba á salir para Toion.__El Monitor se ción en la misma sesión. Si aun resultare empatada, se abrirá de nuevo ha metido á Jeremías en Jo c…</t>
  </si>
  <si>
    <t>…ondientes. sules residentes en Larnaca; el pabellón francés había sido acribillado á El Rey de los Países-Bajos ha regalado al nuestro un elefante qu» balazos, y se ignoraba si.el cónsul Mr. Mechain había podido lograr se está esperando en Postdam. . . ' . una satisfacción de este insulto.. El arzobispo Germano acaba de apoderarse de Lala , ciudad del Mon- 1 AUSTRIA. te-Foloes, distante cuatro leguas de Olimpia. Parte de sus habitantes,' que son…</t>
  </si>
  <si>
    <t>…ónsules y vice-cónsules de España' ya b jo un aspecto poco agradable para el Gabinete ingles; parece que en puertos extrangeros sobre los buques y efectos del tráfico nacional, el-ministro Mr. Pasquiír respondió de un modo muy enérgico á la expedición de certificados ú otros documentos , á efecto de que los re proposición de una alianza ofensiva y defensiva entre Inglaterra y Fran feridos derechos sean moderados en todas partes; estando aprobado p…</t>
  </si>
  <si>
    <t>Mr, Alonso de María y</t>
  </si>
  <si>
    <t>Alonso de María y Mr</t>
  </si>
  <si>
    <t>…ud-pú ni la causan por ninguno de los medios expresados en el art. 15. Segundo. Los que sin noticia ni concierto previo acerca de la culpa blica sobre las memorias presentadas por D. Alonso de María y Mr. ó delito, y sin ayudar ni .cooperar para su egecucion, acompañan en Devize acerca del contagio de la fiebre amarilla. La comisión, en vista de ClJa voluntariamente y á sabiendas al que lo comete , y le ayudan des estas memorias de dos profesores acostumbrado…</t>
  </si>
  <si>
    <t>Mr, Foy y</t>
  </si>
  <si>
    <t>Foy y Mr</t>
  </si>
  <si>
    <t>…uerían pagar, volviendo el proyecto de decreto á la comisión proponer , no podía permitirle que continuase. para hacer las adiciones acordadas; con lo que se levantó la sesión. El general Foy y Mr. Dudon pidieron la palabra; pero no se la Sesión del l£. quiso conceder el presidente, lo cual ocasionó bastante conmoción , y Se hicieron algunas proposiciones, y el Sr. Miranda leyó el dictamen al fin se aprobó el acta en medio de las señales mas expresivas…</t>
  </si>
  <si>
    <t>Mr, Gosalbes y</t>
  </si>
  <si>
    <t>Gosalbes y Mr</t>
  </si>
  <si>
    <t>…on los marinos españoles enNápo? tes en esta corte, por las cuales no llevará estipendio alguno. Co les , ha resuelto S. M. que asi se verifique. mo por haberse suscitado entre el doctor Gosalbes y Mr. Laborié varias disensiones, que obligaron al primero á tomar medidas de preEl Rey se ha servido nombrar, á consulti del consejo de Estado, pa caución, pueden seguirse algunos perjuicios á la humanidad doliente, ra plazas de regentes de audiencias territorial…</t>
  </si>
  <si>
    <t>Mr, Juan Bau</t>
  </si>
  <si>
    <t>Juan Bau Mr</t>
  </si>
  <si>
    <t>…pías de Irlanda , y la Ha entrado en este puerto ú los 73 días de su navegación el ber lista de los alumnos á quienes se enseñaba. ' gantín sardo nuestra Señora del Agua Santa, su capitán D. Juan Bau Mr. W. Courtenay declaró que los católicos de Irlanda estaban tista Capurro, procedente de Montevideo, cargado de cueros y lana. dispuestos á mantener las escuelas arregladas á ,un sistema liberal. Dice el capitán que el bergantín de guerra Aquilcs habia ido á B…</t>
  </si>
  <si>
    <t>Mr, La</t>
  </si>
  <si>
    <t>La Mr</t>
  </si>
  <si>
    <t>…mbre de esta especie, sino Los que le ha tas en el momento que pudieran verificarlo. En este concepto determi bían empleado. naron que avanzasen 83 hombres hacia Novara. Viendo el general La Mr. Bathurst refutó vivamente la acusación, y desafió á Mr. Hu tour que no podía resistirles con sus g3,.aun cuando estos le fuesen me á que la probara. Contestóle Mr. Hume, recordándole el asunto de adictos, y habiéndose puesto de acuerdo algo antes con el gene…</t>
  </si>
  <si>
    <t>Mr, Lushington y</t>
  </si>
  <si>
    <t>Lushington y Mr</t>
  </si>
  <si>
    <t>…No tardará mucho el Emperador médicos no habian visto jamas en semejante circunstancia. en pasar á ia frontera de Turquía á revistar su egército. Se cree que su Se asegura que el doctor Lushington y Mr. -VViide visitaron ayer llegadá'será la señal de la guerra; no obstante parece cierto que ha des mañana al lord Liverpool para presentarle el testamento, y tomar ór aprobado claramente la conducta inflexible, y aun rígida, que ha ob denes para el funeral. Dic…</t>
  </si>
  <si>
    <t>Mr, Manuel Hurtado de Mendoza y</t>
  </si>
  <si>
    <t>Manuel Hurtado de Mendoza y Mr</t>
  </si>
  <si>
    <t>…ia de nosotros3” Suplemento al diccionario de medicina y cirugía del profesor Don ' ¡Qué oración’hace el judío todas las mañanas ? La disertación de Antonio Vailano: por los Dres. D. Manuel Hurtado de Mendoza y Mr. Gregoire lo indica. El judío da gracias á Dios, no de haberle D. Celedonio Martinez Caballero: tomo »-.° Este,suplemento; ademas hecho judío, lo que podría merecer alguna gratitud , sino de no de los muchos artículos que faltan al Diccionario , contiene prin…</t>
  </si>
  <si>
    <t>Mr, North y</t>
  </si>
  <si>
    <t>North y Mr</t>
  </si>
  <si>
    <t>…puerto de Yiüaviciosa» aquel reino con el que se manifestó en Inglaterra en tiempo de la gran Igual resolución recayó respecto de 200 ejemplares de, ia circular de coalición entre lord North y Mr. Fox. expedida por la misma secretaría , que trata Je Ja c.. ? ec;. a de las Cor » Con referencia a ñor cías de México, pero sin citar fecha, anuncia tes acerca de la extracción ai extranjero y Ultramar de los tejidos de el Slatesman que Novelia murió de repe…</t>
  </si>
  <si>
    <t>Mu</t>
  </si>
  <si>
    <t>…e intervenía__ En la misma se padeció una equi ¿deshoras de Ja noche, sino en medio del dia yá la fuerza. Lo sucedi vocación nacida de no haber oido bien los taquígrafos lo que el Sr. Mu do hoy i'.usuiü confirma esta aserción: á las 1 2 del día entraban por Ja ñoz Torrero expuso en la sesión extraordinaria del 6 sobre la sanción puerta del mar considerable porción de hules ingleses; los detuvo el de las leyes con motivo de la declaratoria de…</t>
  </si>
  <si>
    <t>Mu, Juan</t>
  </si>
  <si>
    <t>Juan Mu</t>
  </si>
  <si>
    <t>…e, D. Hilario Nogueras, D. Frar cisco Balct, D. Cipria autoridades dependientes de ese gobierno político de su cargo la urgente no Aragón, D. Josef Soiano, D. Josef María Salomón, D. Juan Mu necesidad y obligación en que se hallan de concurrir á impedir ios ma ñoz, D. Rafael Morete, D. Josef Saavedra, D. Josef Zafra , D. Fran les que ocasiona el contrabando; en la inteligencia de que cumpliendo cisco Manuel González, D. Juan Valderas, D. Pedro Ga…</t>
  </si>
  <si>
    <t>Mu, Manuel</t>
  </si>
  <si>
    <t>Manuel Mu</t>
  </si>
  <si>
    <t>…e Rey de Mahon al coronel D. Lilis Elejaburu, sargento mayor de la Sus vaivodas ó príncipes , como acostumbran todavía á llamarlos, plaza de Cartagena; la de Peñíscola al teniente’coronel D. Manuel Mu eran griegos, que compraban sus empleos por dinero. La Puerta recibía ñoz Cevallos, capitán del regimiento de caballería del Príncipe, y la cerca de ocho millones de rs. por cada nombramiento, y no podían de Rosas al teniente coronel D. Félix Gillemán, segund…</t>
  </si>
  <si>
    <t>Muchos</t>
  </si>
  <si>
    <t>…osef Pul conocer la obra por entero produjo muy pronto una tra gar y Molina, D. Josef Pavía y Bermingham, D. Fran ducción francesa. cisco Tuero y Badillo, D. Mariano Lobéy Rabina, Don Muchos modernos se habían ya valido con buen suceso Joaquín Vallarino y Alaminos, D. Juan Alcalá Galiano y del método que refiere- á tres coordinadas triangulares ;a Be.mudez , D. Vicente Sobrino de la Peña, D. Antonio posición de un punto cualquiera del espacio. Mr…</t>
  </si>
  <si>
    <t>Muguiro, Josef Francisco</t>
  </si>
  <si>
    <t>Josef Francisco Muguiro</t>
  </si>
  <si>
    <t>…ndolos cual'esclavos', de D. Ramón de Angulo, D. Martin Fernandez Navarrete y D Andrés seosa de que eL mahometismo salga victorioso contra el cristianismo; de la Cuesta, ademas de D. Josef Francisco Muguiro é Iribarren , nom ansiosa de que los griegos que han emprendido su emancipación no brado por el ayuntamiento, y de D. Manuel de lá Torre y Rauri, por lleguen á conseguirla, parece complacerse en publicar noticias desfavo el Banco nacional de S. Cirios, y para…</t>
  </si>
  <si>
    <t>Muguiro, Juan</t>
  </si>
  <si>
    <t>Juan Muguiro</t>
  </si>
  <si>
    <t>…, D. Telesforo Polo y D. Ventura de 23- s- 19. 194. la Peña. Parroquia de Sta. Cruz, 8 electores. Jerez. D. Esteban Guinea, D. Josef Manuel de Aranalde, D. Juan An tonio Castejou, D. Juan Muguiro, D.Juan Manuel de Aréjula, Don Dia 17.............. —3....... ........! 3......... ....... O............... 18... Juan Cortés, D. Martin de Goicoechea y D. Valentín Ignacio de Dia r 8.............. ••••••■ 7....... ....... I....... ....... 2.......... .... 22…</t>
  </si>
  <si>
    <t>Muguiro, Juan de</t>
  </si>
  <si>
    <t>Juan de Muguiro</t>
  </si>
  <si>
    <t>…mación1 de la ceta del martes 6 del corriente, se lee como quinto elector á D. Juan milicia activa, y el voto particular del Sr. Sánchez Salvador. de la Cruz Muguiro......., léase D. Juan de Muguiro, del comercio. EN LA IMPRENTA NACIONAL.</t>
  </si>
  <si>
    <t>Muller, Adan</t>
  </si>
  <si>
    <t>Adan Muller</t>
  </si>
  <si>
    <t>…ón pública, es preciso Pilar, VVerner, el barón de Haller de Eerna (que actualmente se ha para que exista en la realidad que esta opinión pública pueda manifes lla en París), y el Sr. Adan Muller. tar constantemente los intereses, las necesidades y los deseos de la pa __En virtud de un decreto del Rey todos los que han obtenido el tria , no solo por medio de la voz de los mandatarios de la nación, .grado de doctor en las facultades de medicina y juris…</t>
  </si>
  <si>
    <t>Munarriz, Josíf Luis</t>
  </si>
  <si>
    <t>Josíf Luis Munarriz</t>
  </si>
  <si>
    <t>…ntas y fincas plente. D. Josef Nuñez de Arenas, capitán del cuerpo de artillería. cuya subasta se haya empezado y concluido desde la ejecución del ci Por la provincia de háavarra. D. Josíf Luis Munarriz; D. Fer tado decreto de 29 de Junio hasta la de este, aunque no estén pagadas, mín Alvarez Enlate, penitenciario de Santiago de Galicia; D. Miguel tomada posesión ni otorgadas las escrituras. Escudero. Suplente. D. Angel bata&gt;eta de Jlurdoz. 4. " y por úitirn…</t>
  </si>
  <si>
    <t>Muniz, Carlos García</t>
  </si>
  <si>
    <t>Carlos García Muniz</t>
  </si>
  <si>
    <t>…Povas, que quedó pendiente en la sesión anterior, y se aprobó el ar lo mismo á su maestra. tículo 7.', con la adición de que se exceptuasen de esta regla los des Gratificaciones. D. Carlos García Muniz, alumno de pintura y di tacamentos de la actual expedición , que podía componerse de com bujo en la academia de S. Fernando, para manifestar su reconocimiento' pañías ó plazas de todos los regimientos que no tuviesen tres años de y gratitud á la sociedad, le…</t>
  </si>
  <si>
    <t>Muño</t>
  </si>
  <si>
    <t>…. Es ■ obligación .del Congreso mirar señalamiento de la materia.” .1, t . y.-.-i. por el Ínteres de la nación. Cuando una corporación ha hecho presente Se aprobó una adicion.-del;Sr. Muño?-.Torrero á dichO'art-.8-0,-.que ¡as causas que habia paraqiie ño se concediese.dicho.pase ;. y cuando al-, decia: ,, Dándose previamente parte á ia autoridad civil cuando se va gunos. señores diputados de-'la provinciai.de Cataluña han expuesto los ríe el as…</t>
  </si>
  <si>
    <t>Muñol, Pablo</t>
  </si>
  <si>
    <t>Pablo Muñol</t>
  </si>
  <si>
    <t>…as, señalado A las comisiones de Guerra y Hacienda se pasó una instancia del por el capitán general en su providencia dada sin el menor conocimien coronel del regimiento de Aragón D. Pablo Muñol, en que solici to del consejo de Estado, del ministerio y de las referidas juntas, que ta se le siga pagando la pensión que se le concedió anteriormente. solamente han acordado los artículos deque se quejan dichos individuos, Lo mismo se mandó en la instancia…</t>
  </si>
  <si>
    <t>Muñoz</t>
  </si>
  <si>
    <t>…que siendo un negocio de la mayor urgencia , exi- tos se sustituyese otro asunto al que estaba señalado. gia que se considerase por segunda lectura la que se habia hecho; y el El Sr. Muñoz indicó que se había puesto este artículo porque po Sr. Romero Alpuente añadió, que no solo debi3 considerarse por segun dría haber circunstancias particulares que obligasen á los amantes del da lectura , sino por tercera. sistema, que constituian tales reunio…</t>
  </si>
  <si>
    <t>…pero al mismo. tiempo siento no convenir en esta, par receptadores y encubridores^y aun los compañeros cuando no incur te con la opinión de $. S. Puede decirse aquí lo que dijo el Sr. Muñoz ran en la pena que los autores del delito sufrirán la de ver egecutar Torrero en las Cortes extraordinarias: » Es muy extraño qué en el Con lar sentencia *de estos en su caso , .y la de infamia si estuviese impues greso se tráte :de atacar al corazón antes de…</t>
  </si>
  <si>
    <t>Muñoz, Agustín</t>
  </si>
  <si>
    <t>Agustín Muñoz</t>
  </si>
  <si>
    <t>…te la décima; y cuando excedan de esta cantidad se practica pósito que á continuación se expresan: capitanes D. Gaspár Egidio de rá lo prevenido en el art. 2.0” Se aprobó. Aragón, D. Agustín Muñoz y D. Bartolomé Caballero: tenientes Don Se leyeron y aprobaron los arts. 7.0 y 8.°, que son como sigue-- Francisco Guerrero, D. Pascual Climent, D. Juan Sta. María y Don 7. » Se exceptúan de la anterior disposición las encomiendas, pensio Federico Vera: subtenientes D. Salvador Villa…</t>
  </si>
  <si>
    <t>Muñoz, Agustina</t>
  </si>
  <si>
    <t>Agustina Muñoz</t>
  </si>
  <si>
    <t>…levar á electo la lev de 2,' de Octubre de 1820 Dios por Todos Santos ,eon 30 r;._y yo mrs. á la capella en lo correspondiente á la reducción de conventos, se sirvió nía que fundó Doña Agustina Muñoz por el día de S. Mi—</t>
  </si>
  <si>
    <t>Muñoz, Manuel Guballer</t>
  </si>
  <si>
    <t>Manuel Guballer Muñoz</t>
  </si>
  <si>
    <t>…n pechos tales cosa alguna despreciable y mun Castropol, D. Josef Segundo Mondejar, D; Manuel "García Herreros, dana , y qué profunda herida no se hará en su ánimo si se desvanece D. Manuel Guballer Muñoz , D. Martin de Ileros, D. Miguel Muñoz, esta ilusión! Ah! no la destruyáis, dignísimos electores; antes bien D. Miguel Piüol, D. Ramón Carreño, D. Ramón Barbara y D. Pelasostenedla con todos vuestros esfuerzos; mostrad la estoica rigidez de yo García Zorrilla…</t>
  </si>
  <si>
    <t>Muñoz, Miguel</t>
  </si>
  <si>
    <t>Miguel Muñoz</t>
  </si>
  <si>
    <t>…stropol, D. Josef Segundo Mondejar, D; Manuel "García Herreros, dana , y qué profunda herida no se hará en su ánimo si se desvanece D. Manuel Guballer Muñoz , D. Martin de Ileros, D. Miguel Muñoz, esta ilusión! Ah! no la destruyáis, dignísimos electores; antes bien D. Miguel Piüol, D. Ramón Carreño, D. Ramón Barbara y D. Pelasostenedla con todos vuestros esfuerzos; mostrad la estoica rigidez de yo García Zorrilla. los Licurgos y So'ones, y ya que tan…</t>
  </si>
  <si>
    <t>Muñoz, Pedro</t>
  </si>
  <si>
    <t>Pedro Muñoz</t>
  </si>
  <si>
    <t>…o de didos en el indulto D. Josef Marza y D. Manuel de la Rica, canónigos Martin; pero apeteciendo inteligcnciarse de cuanto era susceptible la de Burgos; Fr. Apolinar Iribarren y D. Pedro Muñoz, monges del ex habilidad de un artista , que jamas habia salido de España , examinó la tinguido monasterio de Miradores , puestos anteriormente en libertad finura con que egecuta las demas operaciones de su arte. Estimulado por el juez de la causa, y D. Juliá…</t>
  </si>
  <si>
    <t>Muns</t>
  </si>
  <si>
    <t>…fue convidado a su mesa. Apenas habia llegado S. A. __ Para formar ¡dea de la rapidez con que la Rusia camina de un 'siglo cuando fueron á vis.tarie el marques de Londunderri y el conde Muns á está parte á la civilización no se necesita mas que pasar la Vista por ter, ministro de Negocios extrangeros de H.mnóyer. el siguiente bosquejo. Ayer llegó el Landgrave de H:se-Hom!&gt;urgo: y en estos últimos dias Hay en aquel país 350 escritores que viven ac…</t>
  </si>
  <si>
    <t>Murawjeú</t>
  </si>
  <si>
    <t>…... Par. ri: La sociedad de la Economía rural. La fundaron poco há el Valencia............ ........................................................... Idem. príncipe Cl.igarin, el general Murawjeú y el secretario de Estado de Barcelona........... ........................................................... 5- beneficio á pss. "VVituiviow ; su actual presidente es el príncipe Galizin, y vice-presi- Zaragoza............ ...................................…</t>
  </si>
  <si>
    <t>Murcia, Josef María</t>
  </si>
  <si>
    <t>Josef María Murcia</t>
  </si>
  <si>
    <t>…us habitantes están prontos á sacrificarse, A la comisión de Poderes se mandaron pasar los presentados por siempre que sea necesario, en defensa de la patria, de la Constitución y D. Josef María Murcia, diputado.electo por la provincia de Oajaca. del Rey constitucional. Las Cortes la oyeron con agrado, y mandaron Se dió cuenta de una exposición del Sr. secretario del Despacho de pasar d Id comisión especial de Hacienda. Gracia y Justicia, contestando á lo a…</t>
  </si>
  <si>
    <t>Murfi</t>
  </si>
  <si>
    <t>…macia experimental.” Aprobado. Sancho en nombre de la comisión ; y asi se acordó. Art. jo. » La dirección general de estudios señalará los profesores, Se aprobó una indicación del Sr. Murfi, dirigida á que el Gobier disectores y ayudantes que sean necesarios para desempeñar bien esta no y la comisión de Comercio presentasen con la mayor brevedad su enseñanza.” Aprobado. dictamen sobre el modo de evitar el contrabando. ' Art. 51. &gt;i La enseñanza…</t>
  </si>
  <si>
    <t>…o.’.’ Si declaró proposición, y esta su primera lectura. ■ ta y razón, y del gobierno y policía de las oficinas y sus dependencias. Se mandó pisar á la comisión una indicación del Sr. Murfi, re Art. 335. «En la capital de cada provincia habrá un administra lativa á que para evitar todas las detenciones de -los correos marítimos dor para ios tres ramos en toda ella, y un registrador de actos civiles y en los puertos de Ultramar se Ies permita sol…</t>
  </si>
  <si>
    <t>…es. Después de una corta discusión no hubo lugar á votar. apruebe definitivamente en la materia.” Se leyeron Jas minutas de decreto del plan de instrucción pública, A petición del Sr. Murfi se acordó por las Cortes que se imprimie reglamento interior de Cortes y Hacienda. ra el dictamen de la comisión sobre aranceles. Habiendo ¡.legado la hora señalada por S. M. para recibir la dipu Se aprobó el dictamen de la comisión primera de Legislación , l…</t>
  </si>
  <si>
    <t>…ntroducción de buques extrangeros, • fabulado con él. porque la experiencia estaba en favor de lo contrario. El Sr. Oliver manifestó que no podía verificarse lo que indicaba el El Sr. Murfi fue de opinión que debería suprimirse la tercera parte Sr. Zapata, con respecto á quz se pudiese hacer perjuicio á un indivi de este articulo, en lo cual se convinieron los Sres. de la comisión. duo, porque apreciando sus géneros como correspondía, ninguno of…</t>
  </si>
  <si>
    <t>…dictamen de la El Sr. Vadillo : Lo que el Sr. Banqueri ha manifestado está preci comisión de Aranceles. samente en contradicción con el espíritu del artículo. Dice S. S. que la El Sr. Murfi contestó al Sr. Yandiola; y habiéndose declarado el comisión por lo que establece en él, trataba de favorecerla industria punto suficientemente discutido, pidió el, Sr. Zapata que se votase el extrangera en perjuicio de la nacional, y es todo lo contrario, po…</t>
  </si>
  <si>
    <t>…Alaman repitió las mismas observaciones que había hecho á la parte mas sublime de este irte terrible, en punto a los grandes,, acerca deí 3rt. iiij habiendo .respondido á ellas el Sr. Murfi , se apro vastos y varios descubrimientos de toda especie que se, requieren para, bó él.artículo. conducir los egércitos á la victoria con el meríor da fio y pérdida posi Art. 19. Este artículo dirá: «.Los buques extrangeros serán admi ble, es decir,,.para ll…</t>
  </si>
  <si>
    <t>…todo el Mediterráneo , cuya decaden menos derechos, y al reves los de las naciones cuya tonelada fuese cia iría aumentando si se aprobaba lo que las comisiones proponían. menor. H Sr. Murfi dijo que la comisión había tenido presente lo que ha El Sr. Oliver dijo que lo establecido en este artículo, se entendia bía expuesto el Sr. Rovira; pero habiendo examinado una multitud de sin perjuicio de lo aprobado; y habiéndose declarado suficientemente r…</t>
  </si>
  <si>
    <t>…ue pudiesen llegar este asunto, y que el no haber venido seria efecto de alguna ocupación, á sus oídos." importante, no siendo esto motivo para que se suspendiese la discusión. El Sr. Murfi, contó de la coinisioh, hizo varias reflexiones pa CORTES EXTRAORDINARIAS DEL AÑO DE 1821. ra manifestar las ventajas que resultarían deque se pusiesen depósi tos en donde se admitiesen los géneros prohibidos; siendo principal PRESIDENCIA DEL SHSOX MARTINEZ D…</t>
  </si>
  <si>
    <t>…lmente cuando no hubiese corsarios, y precisamente se tra suspenderse. Esto es en resumen Jo que dije ayer. ta de poner los depósitos cuando hay mas corsarios que nunca, y prin El Sr. Murfi dijo que era preciso arraigar el comercio de VeTacruz, cipalmente cuando nosotros nos acogemos á la bandera extrangera para que es el de la Nueva-España, porque jamas se ha dado una providen poder llevar nuestros géneros á Ultramar con alguna mas seguridad. c…</t>
  </si>
  <si>
    <t>…no harían con trabajo 20 oficiales. Igualmente ha inventado otra ma artículo. quinóla de hacer ovillóos con la perfección que tienen los de aigodon Después de haber contestado el Sr. Murfi se aprobó este artículo. que vienen del extrangero, la cual es capaz de hacer q, áó 12 í un Art. 38. » El permiso de los depósitos de la primera y segunda clase tiempo, según para los que esté dispuesta , tardando un minuto en ca se concederá por el tiempo de…</t>
  </si>
  <si>
    <t>…culativa y práctica, trigonometría rectilínea y esfer,ca, cos al Gobierno para que lo presentase á las Cortes. mografía , navegación, dibujo y conocimiento del idioma ¡ranees ó El Sr. Murfi fue de Opinión que si las tarifas habían de estar bien ingles. Todas estas materias serán el objeto del examen y censura de arregladas, debía informar el almirantazgo, que era él que mas datos los pretendientes.” podría reunir en la materia. El Sr. Aláman dij…</t>
  </si>
  <si>
    <t>…sta prohibición fuese absoluta, en la inteligencia que ningún, aquel país) destruye ó disminuye esta cosecha. mal puede seguirse según lo aseguro al Congreso, y pueden seguirse El Sr. Murfi dijo que las comisiones se habian visto muy embara bienes infinitos, y nunca faltarán cañamos en España si se adopta este zadas en este punto, porque habian tenido solicitudes muy encontradas, medio. y que últimamente habiendo oido á un labrador de la vega de…</t>
  </si>
  <si>
    <t>…debían echarse á ción todas las utilidad.es que pueden seguirse de la libre introducción de dormir..... estos géneros, y se concíbase el bien de las fábricas nacionales con el El Sr. Murfi dijo que las comisiones habian tenido á la vista mu fomento de nuestra marina. chas representaciones que pedían lo mismo que se proponía en al ar El Sr. Lailave (jD. Pab'o) dijo que no se oponía directamente á es tículo. * ' te artículo, ni tampoco ¡o apoyaba…</t>
  </si>
  <si>
    <t>…por contrabando , y por consiguiente importa sobremane dió la de este asunto. ra que las Cortes adopten alguna medida para evitarlo, pues de lo con ■ Se leyeron dos adiciones del Sr. Murfi, que se mandaron pasar á la trarío nos veremos abrumados con esta moneda extrangera, que estay comisión. ■ ' ■ persuadido entra en abundancia por el aliciente que encuentran los Se leyó un oficio del Sr. ministro de Hacienda¿en el que dice que especuladores;…</t>
  </si>
  <si>
    <t>…aumentarse el ava riente. lúo en los términos que habia indicado el Sr. preopinante. Hí Sr. Virorica dijo que el artículo debía expresarse en otros térmi Después de haber hecho el Sr. Murfi varias reflexiones en apoyo del nos", y‘ dec;r: o Se autoriza al Gob ernó , primero para resolver, oyendo dictamen de la comisión , se declaró) este asunto suficientemente discu i h junta d rrctiva, cualesqui :ra dudas qu- se suscitaren en la egecucion tido,…</t>
  </si>
  <si>
    <t>…gefe político ha dispuesto se les forme nes que habia para ello, decidiesen si seria conveniente hacerlo asi. El causa por un juez de primera instancia. Este incidente, aunque sen Sr. Murfi apoyó el dictamen de la comisión, reproduciendo varias re sible , ha dado á conocer que la voluntad decidida de la guarnición y flexiones de las que habla indicado el Sr. preopinante. el pueblo granadino es de sostener la Constitución y las autoridades El Sr.…</t>
  </si>
  <si>
    <t>Murfí</t>
  </si>
  <si>
    <t>…in la cual no puede haber crédito público, cir solamente que eran pedidos hechos en su debido tiempo. ’ 1 ni el Gobierno tendrá la fuerza suficiente para llevar adelante las re Ei Sr. Murfí contestó que con arreglo á lo que se había dicho eíf formas decretadas por las Cortes. la discusión de este artículo la otra vez que las comisiones Ib habian » Ademas se equivocan mucho los que componen la facción que presentado, habian estas fijado los térmi…</t>
  </si>
  <si>
    <t>…ventores por ignorancia, y prinaipalen es re particular habian oido al Gobierno, como lo había expresado el mer.te cuando la ley. que se infr.nja no sea masque respecto:á reglamen Sr. Murfi, y su consecuencia proponían este artículo á la deliberación tos de policía, y demas de esta clase. Todo extrangero qv¿!.entre.en Es de las Cortes. Que era muy necesario se fijase no solamente el término paña tiene úna obligación de infirmarse de las-leyes de…</t>
  </si>
  <si>
    <t>…n extrangero que viene á España, y goza de las loo de administración, evaluándose por estimación ó tanteo.” comodidades que esta le ofrece , ha de ser de mejor condición que un El Sr. Murfi dijo que después de extendido este dictamen se había español? Esta desigualdad no puede absolutamente admitirse. pasado por el Sr. Rodríguez una adición para que sea libres los instru Las Cortes desaprobaron el artículo , y asimismo una proposición mentos y m…</t>
  </si>
  <si>
    <t>…e estaba próxima á llevar á efecto el decreto de las mismas de 17 de Noviembre. estallar , de cuyas resultas han sido ahorcados cinco de los principales Se concedió permiso al Sr. diputado Murfi para que pudiese volver cómplices. i su provincia, á fin de restablecer su salud. ».De San Petersburgo escriben con fecha 13 de Noviembre que Se mandaron quedar sobre la mesa tres dictámenes de las comisio aquel Gobierno continúa haciendo extraordinarios acop…</t>
  </si>
  <si>
    <t>Murfi, Josef</t>
  </si>
  <si>
    <t>Josef Murfi</t>
  </si>
  <si>
    <t>…os cional de Monforte, para que se la constituya cabeza de partido^ en la grandes inconvenientes que he manifestado al Congreso, lo' cual seria nueva división territorial: otra de D. Josef Murfi , procurador síndico muy difícil de llevarse i efecto. Asi pues me opongo al dictamen de la de la isla de Tenerife, solicitando se haga capital de la misma á Santa comisión en cuanto á la capitalidad de esta provincia, y espero que la Cruz de Tenerife : otra…</t>
  </si>
  <si>
    <t>…mayor de lo que se seña Se mandó tener presente en la discusión de división territorial una la ; y en particular respecto de las tres ¡provincias Vascongadas se cal exposición de D. Josef Murfi, procurador síndico de Sta. Cruz de Te cula que el número de sus habitantes no baja de 350©, cantidad muy nerife, en la que pedia que se nombrase por capital de las Canarias ú suficiente para tres provincias de cuarta clase , atendida la población Sta. Cruz c…</t>
  </si>
  <si>
    <t>Murfi, Joseí</t>
  </si>
  <si>
    <t>Joseí Murfi</t>
  </si>
  <si>
    <t>…cada provincia con los recur de Extremadura baja, en lugar de Ménda que está señalada en el plan: sos que puede contar"', y conoce sus propios intereses. Por consiguiente otra de D. Joseí Murfi, procurador síndico de Sta. Cruz de Tenerife, la división de! territorio español es indispensable que se haga, y aun pidiendo prosiguiese esta en vez de S..Crislúbal de la Laguna: otra de que no podamos hacerla exacta, pot este medio conseguiremos formar los…</t>
  </si>
  <si>
    <t>Murfi, Tomas</t>
  </si>
  <si>
    <t>Tomas Murfi</t>
  </si>
  <si>
    <t>…timo terminó su discurso con este rasgo original. -. A la comisión de Poderes se mandaron pasar los presentados por ,,Para concluir mi dictamen voy á probar, si meló permitís, con D. Tomas Murfi, diputado electo por la provincia de México. dos egemplitos muy breves cuín difícil será al señor presidente conocer Las Cortes recibieron con agrado, y mandaron pasar al Gobierno, con exactitud el momento preciso en que con toda seguridad de conr una solicit…</t>
  </si>
  <si>
    <t>Murii</t>
  </si>
  <si>
    <t>…el fomento nacional no han de estar sujetos los. cae este perjuicio es sobre los comerciantes' nacionales. extrangeros, por lo menos á las mismas trabas que los españoles: Por' El Sr. Murii satisfizo á las reflexiones del ’r. Alaman; y el señor estas razones creo que no deben ser privilegiados los ¡extrangeros, y Vadillo expuso que no había la desigualdad que indicaba aquel señor deben estar sujéros a las mismas circunstancias que los españoles,…</t>
  </si>
  <si>
    <t>Murillo, Antonio Mateos</t>
  </si>
  <si>
    <t>Antonio Mateos Murillo</t>
  </si>
  <si>
    <t>…■— Clave de ferias ó prontuario manual para la inteligencia ,de las fe buena vista que ofrece, proporcionará las ventajas de mayor duración, chas de los monumentos de España: por D. Antonio Mateos Murillo: y de no ser propensas á doblarse ni á mancharse con el uso. La encua un cuaderno en 8.“ Todas estas obras se hallan de venta en la librería dernación será generalmente en tafilete con adornos dorados , y los de Sojo y en el despacho de la academia Española.…</t>
  </si>
  <si>
    <t>Murli, Josef</t>
  </si>
  <si>
    <t>Josef Murli</t>
  </si>
  <si>
    <t>…de deciros una palabra acer A las de Aranceles se mandaron pasar los expedientes que siguen; ca de los intrépidos franceses, que hacen también que se admiren en una exposición de D. Josef Murli, procurador síndico de Sta. Cruz de nuestro país Jas bellas cualidades que han manifestado principalmente Tenerife , acerca de las ventajas que resultarían á las islas Canarias de en sus guerras modernas, y que distinguen entre todas á esta nación tener un de…</t>
  </si>
  <si>
    <t>Mutes, Josef María de</t>
  </si>
  <si>
    <t>Josef María de Mutes</t>
  </si>
  <si>
    <t>…spital del Seminario , existencia anterior 131: entrados ó acome tidos 19: salidos ó curados 2: convalecientes 15: muertos 16: existen El capitán del batallón ligero de Hostalrich D. Josef María de Mutes 142. jica dió parte con fecha de últimos de Junio de haber recibido orden Ciudad, existencia anterior 256: entrados ó acometidos 28: sali del coronel D. Josef Pereira con fecha del 23 para tomar á toda costa dos ó curados t : convalecientes 25 : muertos 1 5 :…</t>
  </si>
  <si>
    <t>Muzquiz, Martin Javier de</t>
  </si>
  <si>
    <t>Martin Javier de Muzquiz</t>
  </si>
  <si>
    <t>…sado término, manifestando al‘ .pie dé ellas el ■ Abarrátegui y D.-Andres Subiza. ' concepto que le's merezcan las solicitudes dé los aspirantes, a.esta, distin - Idem de Navarra^ D. Martin Javier de Muzquiz y .D.- Juan Mición y bien entendido qué los que hubiesen: obtenido su retiro á disper ■ guel de Echevarría- . ,* sos, agregación á plazas, licencia absoluta, ó de cualquier otro modo Idem de Aragón. D. -Júan-Dolz del Castellar,.¿ D.' "Pedro Calza, 'se hallase…</t>
  </si>
  <si>
    <t>N, Agustín</t>
  </si>
  <si>
    <t>Agustín N</t>
  </si>
  <si>
    <t>…militar. pronto vencidos cual otro Anteo por ese Hércules popular de la opi El Sr. Lagraba presentó varios egemplares de una obra que ha pu nión pública. ( Se continuará.) blicado D. Agustín N. sobre ciencias naturales y agricultura, que se mandó pasar á esta comisión después de haberla recibido con agrado. NOTICIAS DE ESPAÑA. El Sr. Bernabeu dijo que era bastante conocido el influjo que tiene en la felicidad de la Nación el estado eclesiástico, lo…</t>
  </si>
  <si>
    <t>N, Antonia</t>
  </si>
  <si>
    <t>Antonia N</t>
  </si>
  <si>
    <t>…nacionales. do maestro peluquero. ( Se continuará.) A la de Infracciones de Constitución se mandó pasar una queja de La garría di Florencia del 28 de Abril anuncia qué la boda del Doña Antonia N., vecina de la Coruña, contra el Gefe político de Gran Duque de Toscana con la Princesa María Fernandina de Sajonia aquella provincia, por haber puesto preso á su (marido sin preceder las se celebrará muy pronto. La Princesa y su padre están ya en Florencia. f…</t>
  </si>
  <si>
    <t>N, Antonio</t>
  </si>
  <si>
    <t>Antonio N</t>
  </si>
  <si>
    <t>…relativas á dichas concesiones. , electo de primera instancia del partido de Nerja, en la provincia de El Sr. secretario Gaseo dijo que íe era muy sensible no poder dar Málaga, y D. Antonio N., juez electo de primera instancia del par cuenta ahora mismo de esta representación, porque las Cortes habían, tido de Jerez de la Frontera, para que puedan prestar su juramento el declarado por punto general que ningún diputado puede presentar ex primero ea…</t>
  </si>
  <si>
    <t>…re las expresadas bases: y ense islas Baleares sin proceder la correspondiente formación de causa; y guida trató de rebatir las razones expuestas por el Sr. Gaseo en la se otra de D. Antonio N. , predicador general que era del orden dé. San sión de ayer , manifestando que la independencia que la comisión daba .Francisco, en la que haciendo presente el mérito que habia contraído al clero era una ventaja para el Estado, porque este no tenia que cui en…</t>
  </si>
  <si>
    <t>N, Bernardo</t>
  </si>
  <si>
    <t>Bernardo N</t>
  </si>
  <si>
    <t>…Javier Andrade, vecino de Sevilla , solicitando dispensa de edad para gorosa , capaz de cortar radicalmente los progresos y malas resultas , pa administrar sus bienes-, y otra de D. Bernardo N., de nación francés, ra que no queden impunes los atentados de los enemigos-del sistema domiciliado en la provincia de Sevilla, en. solicitud de carta de ciu constitucional.” dadano. El Sr. Palarea pidió se leyesen dos proposiciones dirigidas al mismo A la de…</t>
  </si>
  <si>
    <t>…asan á establecerse bajo capitulaciones á costa del capitu la extinguida junta de reemplazos por trabajos personales desde el año lante. 11 hasta la extinción de ia misma; otra de D. Bernardo N., ciudadano -Art. 13. ,,Todo nuevo poblador está obligado á cultivar ú ocupar, de ¡os Estados-Unidos de América, pidiendo sé le paguen algunas.can según su naturaleza, el terreno que se le cede por esta ley dentro del tidades- que acredita deberle el Estado co…</t>
  </si>
  <si>
    <t>N, Blas</t>
  </si>
  <si>
    <t>Blas N</t>
  </si>
  <si>
    <t>…s -■ el i.° por Dona María de Orea, para que se le señale en 'tro esta público la cantidad exigida por el secundo juez. .ti blecimiento la pensión que gozaba en Espedios: 2.'’ por D. Blas N., para , , Se pasó á la comisión de. Infracciones de Constitución una queja que le siga también la pensión que disfruta: 3.' por D.Francisco López contra el alcalde de la villa de Mugan Josef Alíaro. Alcaraz , puraque se le ponga expedita su ayuda de costa; y…</t>
  </si>
  <si>
    <t>N, Francisco</t>
  </si>
  <si>
    <t>Francisco N</t>
  </si>
  <si>
    <t>…oca encargada del Gobierno interior de Cortes cinco cuadros y una mesi- presente; y que habia otros señores que eran dueños de ciertos lugares, al ta, trabajados y presentados por D. Francisco N., natural de Milán, deas &amp;c. &amp;c. en virtud del repartimiento que al tiempo de la conquista profesor de bellas artes. habia hecho el Rey á los que le habian ayudado en ella. Bien conozco Se dió cuenta de una representación de varios individuos del cuer (añadió)…</t>
  </si>
  <si>
    <t>…dactase conforme al artículo 40 de la ley de rtos muertas. • - r ■ de Octubre de 1822 , cuya disposición está produciendo los mejores - Samando pasar al-Gobierno.una exposición‘de D. Francisco N.,: efectos; y después de- una corta discusión; quedó aprobado el artículo' natural de Griñón en esta provincia , manifestando que masde cuatro: del mismo modo que lo proponía la comisión. ' anos hace que no puede efectuar su casamiento con-una prima'carnal Se…</t>
  </si>
  <si>
    <t>A la de Infracciones de Constitución otra de D. Francisco N., al debería ser juzgado por la' misma; y el Sr. Sancho dijo que e*í: artícáí-rf calde constitucional de S. Roque, quejándose de infracción cometida comprendía á dos clases de personas; I3 de ¡os’mil ¡tares que faltando por el juez de primera instancia de Alge…</t>
  </si>
  <si>
    <t>N, Gerónimo</t>
  </si>
  <si>
    <t>Gerónimo N</t>
  </si>
  <si>
    <t>…iego , Ra ción y otns Ventajas, se le declare caheza de provincia. mos García, el presidente}' Palarea, se mandó pasase al Gobierno la Á Ja de Legislación se pasó una solicitud de D. Gerónimo N. , ve solicitud refetida. cino y del comercio de Barcelonaresidente en ia actualidad en Bil Se leyó por primera vez la indicación del Sr. Gaseo , que decía: bao , en que pide cesen los fueros de Vizcaya una vez que se halla «Pillo que la exposición que se há l…</t>
  </si>
  <si>
    <t>N, Gregorio</t>
  </si>
  <si>
    <t>Gregorio N</t>
  </si>
  <si>
    <t>…na exposición de D. Juan El otro es relativo á la dispersión de los rebeldes en Campezur, con Garante, cura de Hinojosa, en la provincia de Salamanca, solicitan muerte del abogado D. Gregorio N.; añade que los milicianos de Logroño do permiso para grabar en la iglesia una inscripción que diga: La re marchaban hacia la villa de Salvatierra, que los facciosos llaman plaza, ligión Ai la Nación española es y será perpetuamente ¡a católica apos la cuál es…</t>
  </si>
  <si>
    <t>N, Jaime</t>
  </si>
  <si>
    <t>Jaime N</t>
  </si>
  <si>
    <t>…dejarlos para la Constitución , fue nacional del Crédito público ace ca déla solicitud de D. Josef Baiaron desechados todos menos el segundo, que trata de la dotación del pu-er y D. Jaime N. , beneficiados de herida , que piden se les rebaje el 1\ev y la familia RcaJ, pago de las anualidades de sus beneficios.</t>
  </si>
  <si>
    <t>N, Joaquin</t>
  </si>
  <si>
    <t>Joaquin N</t>
  </si>
  <si>
    <t>…esgraciado , pues se babia per '. La cornisón d¿ Hacienda: presentó su dictamen acerca de la solici dido dos veces, habiéndoselo entregado .los infinitos -acreedores que lo tud de D. Joaquin N., para que se ó p.igue lo que le quedó debiendo ■.firmaban, manifestándole sus necesidades y miserias, procedentes jdc Ja comisión de papel Sellado en Cádiz en el año 18 1 5 ; la comisión, opi -Jiaber entregado sus paños, lienzos.y demas frutos y .efectos merc…</t>
  </si>
  <si>
    <t>N, Joaquín</t>
  </si>
  <si>
    <t>Joaquín N</t>
  </si>
  <si>
    <t>…al de Hacienda. elecciones de ayuntamiento del expresado lugar. El Sr. Moscoso pidió que se leyesen las cuatro bases aprobadas por Se mandaron pasar al Gobierno: una exposición de D. Joaquín N., las Cortes en la legislatura anterior sobre el plan de Hacienda. Y des -vecino de Barcelona , quejándose de infracción de Constitución cometi pués de su lectura pasó á demostrar que la comisión había formado el da -por el Gefe político de aquella ciudad, por…</t>
  </si>
  <si>
    <t>N, Josef</t>
  </si>
  <si>
    <t>Josef N</t>
  </si>
  <si>
    <t>…Cottes, relativo á la suspensión de la liquidación de suminis sas que había formado dicho tribunal, en la cual no había cosa relati tros hechos á las tropas nacionales; y otra del brigadier D. Josef N. para va á la fe, pues toda se reduela á materias políticas; de manera que en que se le continúe pagando por el Crédito público una pensión de rs. ella se observaba una nueva profesión de fe del Sto. Oficio; que de esto A la de Infracciones de-Constitución una…</t>
  </si>
  <si>
    <t>…quella Go Se aprobó asimismo el dictamen de la comisión de Marina acerca bernación con motivo de la indicación del Sr. Mendez, remitiendo el de la solicitud del capitán de fragata D. Josef N., en el cual manifes expediente que se le pidió, relativo á los cosecheros de añil de la pro taba su opinión sobre que debia recomendarse este interesado al Go vincia de Goatemala. bierno para que le concediese el retiro con el sueldo que disfrutaba. A la espe…</t>
  </si>
  <si>
    <t>N, Josef Antonio</t>
  </si>
  <si>
    <t>Josef Antonio N</t>
  </si>
  <si>
    <t>…onformándose las Cortes con los dictámenes de la Comisión de -faltas que-cometan en el desempeño de sus funciones serán castigados Poderes se sirvieron aprobar los presentados por D. Josef Antonio N., por sus gefes, formándoles-proceso con arreglo á ordenanza, cuando la diputado por la provincia de México, y D. Josef Hernández Chico, gravedad del caso lo requiera. que lo es por la de Guaf.ajuaro. Art. 14. '» Siendo de absoluta-necesidad que se ponga en eg…</t>
  </si>
  <si>
    <t>N, Josef Hilario</t>
  </si>
  <si>
    <t>Josef Hilario N</t>
  </si>
  <si>
    <t>…dura que el presi Esquiar, natural de Suiza, en que solicitaba se le concediese carta dé dente debiese interrumpir en el acto al que pronunciase alguna palabra ciudadano: otra de D. Josef Hilario N., cura de Sta. Cruz-de Teneri fuera de los términos regulares, pues podía suceder que muchas veces fe, para que se le permita egercer la abogacía: otra de D. Gregorio no lo advirtiese; y le parecía tanto mas duro, cuanto que se le hacia Fontaine, natural dé Fr…</t>
  </si>
  <si>
    <t>N, Josef Joaquín</t>
  </si>
  <si>
    <t>Josef Joaquín N</t>
  </si>
  <si>
    <t>…ativa á aprobar los tratados de alianza ofensiva , y la 2.' parte secretario.- de la vigésima segunda, cuyo egercicio se reserva á las Cortes ge Sé dió cuenta de una exposición de D. Josef Joaquín N., editor nerales. del diario Gaditano, en la que se quejaba de los procedimientos de los 4. a Residirá en México una delegación , que egercerá , con arreglo ministros de la Gobernación de la Península y Guerra por haber ad •á Ja Constitución , á nombre del Sr.…</t>
  </si>
  <si>
    <t>N, Juan Josef</t>
  </si>
  <si>
    <t>Juan Josef N</t>
  </si>
  <si>
    <t>* . 697 metidas en la elección de ayuntamiento constitucional de aquel pueblo: posición de D. Juan Josef N., en qu.e manifestaba la utilidad que se scotra de varios vecinos de Xotana eu Murcia contra el alcaide constitu guiria.á Hi Nación Je que se aprovechasen aJgunoi-edtficios de los cional da aquella villa en el ano pasado, D. Domingo Bazar: otra de terios supri…</t>
  </si>
  <si>
    <t>N, Juan Tomas</t>
  </si>
  <si>
    <t>Juan Tomas N</t>
  </si>
  <si>
    <t>…Hacienda presentó su dictamen acerca de bían tomado varios gefes políticos. varios expedientes que se habían pasado á la misma , relativos á penas A la de Guerra una exposición de D. Juan Tomas N., pidiendo de Cámara, y opinaba que este ramo debía unirse á la dirección de que en atención á sus distinguidos méritos y servicios se le declare be registro, bulas-y papel sellado. Quedó aprobado. nemérito de la patria. Se procedió á la discusión del presupue…</t>
  </si>
  <si>
    <t>N, Lorenza</t>
  </si>
  <si>
    <t>Lorenza N</t>
  </si>
  <si>
    <t>…mente la confianza en sus tropas desde que han vis lio de 1813. to la deserción que hay en ellas, y que se van al egército contrario. No hubo lugar á votar sobre una exposición de Doña Lorenza N., Por egemplo, los armetalis del cuerpo de Odisea y los 800 zqgo- consorte del general D. Francisco Javier Ello, en la que se quejaba de ries que Alejo Noutza separó de la causa del Gran Señor , reunidos con varias infracciones de Constitución cometidas en la…</t>
  </si>
  <si>
    <t>N, Manuel</t>
  </si>
  <si>
    <t>Manuel N</t>
  </si>
  <si>
    <t>…endo hecho algunas reflexiones'sobre esto, A la comisión de Guerra se-pasó una exposición del teniente gene conóparó los sueldos excesivos que disfrutaban, y el trabajo que ha ral D. Manuel N., hecha desde Valencia, quejándose del modo con cían con respecto á los escribientes y empleados en casas particulares de que Jé han tratado aquellas autoridades; lo que pide1 se tome en consi comerciantes; por lo que no aprobó él dictamen de la comisión, y de…</t>
  </si>
  <si>
    <t>N, Miguel</t>
  </si>
  <si>
    <t>Miguel N</t>
  </si>
  <si>
    <t>…itudes de ia compañía pidien el ayuntamiento constitucional de Agilitar; á la de Hacienda una expo do se le conservasen los privilegios, deque hacia mención el dictamen, sición de D. Miguel N. , solicitando se le concediese una pensión; y á y otras noticias que se daban en él. la de Legislación otra sobre derogación de una ley de la Novísima Re El Sr. Oliver dijo que en el expediente general de que se d¡ú cuen copilación , de caves contenidos no se…</t>
  </si>
  <si>
    <t>N, Pedro Nxolas</t>
  </si>
  <si>
    <t>Pedro Nxolas N</t>
  </si>
  <si>
    <t>…usión del resguardos en las fronteras para impedir el excesivo contrabando. dia era muy sencilla, porque el citado ..decreto de 6 de Agosto decía A la de Comercio una solicitud de D. Pedro Nxolas N., vecino en su art. 4.0quedar abolidas las prestaciones, asi reales como personales, de Barcelona, sobre que se le conceda despachar según los antiguos que debiesen su origen á título jurisdiccional , á excepción de las que aranceles parte del cargamento que c…</t>
  </si>
  <si>
    <t>N, Ramón</t>
  </si>
  <si>
    <t>Ramón N</t>
  </si>
  <si>
    <t>…romano en todas las universidades y colegios de la monarquía; y provincias de la contribución sobré los predios urbanos se tomará por un plan geográfico é histórico presentado por D. Ramón N., aiferez base el número de casas de cada provincia, situadas en ciudades, villas de Reales guardias de infantería, para que vean las Cortés si puede ser y lugares, cuya población reunida no baje de 80 casas.” Util para la enseñanza pública. El Sr. Ramírez Cid…</t>
  </si>
  <si>
    <t>N, Rodrigó</t>
  </si>
  <si>
    <t>Rodrigó N</t>
  </si>
  <si>
    <t>…al mihisté/io de Hacienda de Ultramar en 20 de Enero últi dores del pobre. No ñosdlyidemos de que soinoé aquí los mandatarios mo ; á íá especial !;del mismo1 ramo una solicitud’de D. Rodrigó N., del pueblo, y de que'eiriitla(palabra nosotros',-los ministros, el Príñci- vecino'de Murcia, acerca de una obra pía; á la de Ultramar una expo fe mismo, no sorrió's mas qúe' los hombres del-puéblo. (Murmullo ¿ inter sición* del Gefe político de :Puerto-Rico,…</t>
  </si>
  <si>
    <t>N, Sebastian</t>
  </si>
  <si>
    <t>Sebastian N</t>
  </si>
  <si>
    <t>…arios arbitrios para atender á sus obligaciones municipales; y otra á los obispos ha de ser la que preceda á la declaración de que ha lugar á de la misma acerca de la solicitud de D. Sebastian N. , uno de sus di 3a formación de causa, ó si ha de ser solamente laque califique el abu putados , para que en atención á los motivos que expresa, se le.exonere so para que luego se le aplique la pena, y si ha de haber un tribunal del cargo que obtiene, y se ll…</t>
  </si>
  <si>
    <t>N, Tiburcio María</t>
  </si>
  <si>
    <t>Tiburcio María N</t>
  </si>
  <si>
    <t>…s privados de sus destinos y á crecidas mul A la comisión de Instrucción pública se pasó una exposición de tas ; por lo que pedían se les reintegraran por la Hacienda nacional las D. Tiburcio María N., maestro de latinidad de Ciudad-Rodrigo, en que cantidades que habian perdido, debiéndolas pagar mancomunadamente manifiesta el corto premio de 10 rs. que disfruta para atenderá su sub los acusadores. La comisiona fue de- parecer no pertenecía &amp; Jas Cortes si…</t>
  </si>
  <si>
    <t>N, Tomas</t>
  </si>
  <si>
    <t>Tomas N</t>
  </si>
  <si>
    <t>…onstitucional dice lo siguiente: » Se han Se mandaron pasar á la comisión de Poderes los presentados por extractado del Diario de los debates de ayer las frases siguientes, relati D. Tomas N., diputado electo por la provincia de Guadalajara, y «1 vas á las providencias que han tomado las Cortes para reprimir á los acta de su elección. que intentan suscitar disturbios, y trastornar la Constitución española. A la comisión del Gobierno interior de Co…</t>
  </si>
  <si>
    <t>…storeña, diputado electo por ¡a provincia ríe México; absolutamente separada de las bases. La comisión ha tratado primero de los de D. Francisco María Ramírez por Oajaca, y los de D. Tomas N. las contribuciones directas- como productos fijos , pasando luego a tra por Nicaragua. ; : tar de las-indirectas; y ni; parece que la indicación que acaba de pro</t>
  </si>
  <si>
    <t>N-.colas</t>
  </si>
  <si>
    <t>…da en Valaquia, había llegado á la Morea en uri buque griego , y se egército turco, haciendo en estos una carnicería horrorosa. había puesto á la cabeza de la insurrección con el obispo N-.colas de En esta acción murieron tí3 turcos, y los griegos perdieron 800 Tripoliza, que tiene grandísima influencia en el pueblo, y que es her hombres. La ira y obstinación con que se batieron llegaron á tal punto mano del patriarca griego degollado cruelmente en Constan…</t>
  </si>
  <si>
    <t>Na</t>
  </si>
  <si>
    <t>…, una de los Sres. Medrano, Golfin, Moscoso, Ser- parte segunda, se excite_al Gobierno para que se verifique en lo porállach y Losada, otra del Sr. Martinez.de la Rosa, y otra del Sr. Na sibla. vas acerca del modo con que han de considerarse los militares en la El Sr. Gaseo, manifestó que el objete que se habia propuesto en elección de diputados á Cortes, fue del mismo dictamen que el dicho sus indicacionesano era la .suspensión del proyecto…</t>
  </si>
  <si>
    <t>Na-'</t>
  </si>
  <si>
    <t>…n S, Lorenzo á 22 de Noviembre de 1821.= Bian estar sujetos a las leyes del'páis dónde moraban. A D. Estanislao Salvador. El Sr. Martel, contestando á la objeción propuesta por el Sr. Na-' varro (D. Andrés) , dijo que no debía servir de disculpa la ignorancia El Rey , á consulta de! consejo dé Estado , sé ha servido nombrar de una ley , ni todas las demas objeciones propuestas por S. S., porque á D. Miguel Gómez García , para una plaza de magis…</t>
  </si>
  <si>
    <t>Nacidos, Josef Casimiro</t>
  </si>
  <si>
    <t>Josef Casimiro Nacidos</t>
  </si>
  <si>
    <t>…monios en los tres meses se les adjudicará el premio á que fuesen justamente acreedores. de Enero, Febrero y Marzo de 1821. ANUNCIOS. Matri- I Los acreedores del mariscal de campo D. Josef Casimiro Nacidos. Muertos. monios.! Totales. Lavalle, en junta celebrada en 7 del corriente ante el Sr. auditor de guerra de esta capitanía general de Castilla la Nueva D. Juan Muer Naci Hem Hem Matri Sanmartín, acordaron entre otras cosas, se citase y emplazase bras. ¡Varona…</t>
  </si>
  <si>
    <t>Nación, Francisco Cola</t>
  </si>
  <si>
    <t>Francisco Cola Nación</t>
  </si>
  <si>
    <t>…que en la presentación de cuentas El Rey há nombrado vocales de la junta consultiva del de todos.los individuos que manejen caudales ó efectos de: ministerio de Guerra al teniente general D. Francisco Cola Nación se proceda con la puntualidad prevenida en el pon.s, y al mariscal de campo,D. Joaquín Montemayor, capítulo 2.0 de aquella. Y teniendo presente el Rey lo que. gobernador de Madrid, sin.perjuicio del gobierno.. la contaduría mayor propone con este objeto , las…</t>
  </si>
  <si>
    <t>Nadal, Jaime</t>
  </si>
  <si>
    <t>Jaime Nadal</t>
  </si>
  <si>
    <t>…y economía por sus resultados. guez , en la de Paz y en casa del grabador Wirmbs, calle del Turco, se hadará de venta á 8 rs. vn. el cuaderno de la música marcial del VARIEDADES. profesor D. Jaime Nadal , arreglada para forte -piano y guitarra, propia Continúa el artículo sobre salud pública. del himno patriótico la Union. Las patrióticas ideas de esta poesía y lo Ha y objetos, de los cuales una repugnancia fundada aparta nuestra bridante de la música hacen…</t>
  </si>
  <si>
    <t>Nafar-, Joaquín María de Üria</t>
  </si>
  <si>
    <t>Joaquín María de Üria Nafar-</t>
  </si>
  <si>
    <t>…se con los prestamistas ó con los tenedores'de las acciones: un plan: dé se extinguiesen éstos , volviesen á la Península los cuérpos expedicio contribución directa presentado por D. Joaquín María de Üria Nafar- narios que’hay en aquéllas provincias ; cuya'tranquilidad pública está roudo (que recibieron las Cortes con agrado), y varias observaciones restablecida, y se establezca en ellas la milicia nacional; se leyó y se sobre el Crédito píiblico, remitidas por el co…</t>
  </si>
  <si>
    <t>Nafarrondrid, Fermín María de Uria</t>
  </si>
  <si>
    <t>Fermín María de Uria Nafarrondrid</t>
  </si>
  <si>
    <t>…tan baratos. pel-moneda hasta ponerle á la par, y extinguir la deuda nacional en Lo que se anuncia al público para su «onocjmiento y gobierno. Ma muy pocos anos: por el ciudadano D. Fermín María de Uria Nafarrondrid 20 de Junio de 1821. do. Se vende en las librerías de Bailo y de Villa. EN LA IMPRENTA NACIONAL.</t>
  </si>
  <si>
    <t>Nápieir</t>
  </si>
  <si>
    <t>…probarla. Sin embar hasta las doce de la noche, entre uno de los buques del resguardo el go S. S. no puede menos de advertir que estas palabras del preám Vandeltur, mandado por-él teniente Nápieir, y otro barco contraban bulo de la declaración Episcopatus, quibus Ectlesia catholica regitur dista. .Desde la altura de Ballyheige se oyo por espacio de n.ucho son. por lo menos inexactas, pues no se hace en ellas mención alguna tiempo un fuerte cañoneo, y á…</t>
  </si>
  <si>
    <t>Nápoies</t>
  </si>
  <si>
    <t>…la exposición en la secretaría; y habiendo pedido Mr. .Aun suponiendo que ia nación tuviese Ínteres en lo; negocios de Dennun que se imprimiese, se opusieron muchos individuos,}’ lord Nápoies, no por eso dejaría de oponerse á la proposición, porque Casllereagh entre otros; y después de una ruidosa discusión se acordó el Parlamento jamas habia pedido documentos acerca de ics negó-</t>
  </si>
  <si>
    <t>Napoleón, Carlos Francisco</t>
  </si>
  <si>
    <t>Carlos Francisco Napoleón</t>
  </si>
  <si>
    <t>…el imperio actual. monio con Napoleón; y en estas mismas garantías se fundan los dere ” Habiendo manifestado ya de este modo sus pretensiones, la Empe chos al trono de Francia del príncipe Carlos Francisco Napoleón, ratriz María Luisa, Archiduquesa de Austria, Duquesa de Parma &amp;c. &amp;c. fruto de este enlace; derechos que los Monarcas reunidos actualmente en representación del Príncipe Carlos Francisco Napoleón , su hijo ,- re en el Congreso han reconocido tantas veces por…</t>
  </si>
  <si>
    <t>Napoleón, Cirios Francisco</t>
  </si>
  <si>
    <t>Cirios Francisco Napoleón</t>
  </si>
  <si>
    <t>…portante salud de SS. MM. ya colectiva ya individual mente, cuyo objeto sea eludir ó desconocer y AA.” Jos derechos del príncipe nuesiro hijo á la corona de Francia. El tro no del príncipe Cirios Francisco Napoleón es el que ha sido creado Concluye la protesta de la Emperatriz María Luisa. por la nación francesa cuando por su propia elección colocó á Napoleón « Las alianzas de la familia del Emperador Napoleón con las mas au Bonaparte al frente de su Gobierno. Si la tre…</t>
  </si>
  <si>
    <t>Ñapóles, El Rey de</t>
  </si>
  <si>
    <t>El Rey de Ñapóles</t>
  </si>
  <si>
    <t>…rcas opresor de la libertad y de la indepen cribanía de número de cargo de D Feliciano del Corral. da de las naciones. En virrud de providencia del Sr. D. Josef Martínez Moscoso , juez El Rey de Ñapóles re veía entretanto engañado en sus esperanzas; togado de primera instancia en esta corte, refrendada del escribano y su trono, legitimado en el aventurero Murat por aprobación, consen cartulario D. Joaquín Sánchez, se cita, llama y emplaza á todos los timient…</t>
  </si>
  <si>
    <t>Naranja, Andrés</t>
  </si>
  <si>
    <t>Andrés Naranja</t>
  </si>
  <si>
    <t>…las personas comisionadas por ia junta municipal pudiesen en ¿ invitación de la junta municipal. Asimismo que varios profesores en trar y salir libremente por la puerta del Mar. A D. Andrés Naranja, medicina, cirugía y farmacia se ofrecieron á la junta para que los des comisario primero de la Barceloneta, se le ofició para que de acuerdo tinase á los puntos donde mas á bien tuviese. con (os facultativos dispusiese que se procediera inmediatamente a ¡1 D…</t>
  </si>
  <si>
    <t>Narc</t>
  </si>
  <si>
    <t>…sla. De orden de la M. I. junta municipal de Sanidad. =Francisco Sublrach , habilitado para su secretario. TORTUCA!. - - • — Han sido nombrados electores de partido en esta ciudad D. Narc:s« Sans y Rius, ex-alcaide const'tucional de Barcelona; D. Ramón Lisboa zS di Octubre. Salvato,, id. de Tortosa; D. Josef Elias., abogado; D: Francisco Serra Sesión del 26. y Fra'nch, del comercio, y D. Agustín Yañez, catedrático de Farmacia. Se empezó la dis…</t>
  </si>
  <si>
    <t>Nario, Antonio Osteret y</t>
  </si>
  <si>
    <t>Antonio Osteret y Nario</t>
  </si>
  <si>
    <t>…Junio de este año. Se hallará en las libre cisco García Chaves y D. Manuel Acosta; y parala segunda-fiscalía rías de Sari'z , de Novillo, de Brun y de Villa. del mismo tribunal á D. Antonio Osteret y Nario. Carta 20 del Compadre. Véndese en la librería de Castillo. nota. En la gaceta de ayer, pág. 1801, col. 2.a, donde dice: El se VARIEDADES. ñor Quintana dijo, que seria mejor suprimir la última parte « siempre » que la denuncia &amp;c. :” léase el Sr. Quintana pid…</t>
  </si>
  <si>
    <t>Narvaez, Pedro Alcántara de Rojas y</t>
  </si>
  <si>
    <t>Pedro Alcántara de Rojas y Narvaez</t>
  </si>
  <si>
    <t>…l nuevo ayuntamiento i prosperidad que ha gozado Marsella hasta la época desgra satisfacción de los habitantes; y :! ntlí'vo alcalde primero ciada-de la revolución. constitucional D. Pedro Alcántara de Rojas y Narvaez, El comercio de esta ciudad.ha padecido mucho desde capí tan retirado de los egércitos nacionales, ha publicado 1790, y quedó arruinado casi enteramente por ,1a ley del la siguiente proclama : máximum, y ,por¡ la abolición de la franquicia de su puer . Ciudad…</t>
  </si>
  <si>
    <t>Naselli</t>
  </si>
  <si>
    <t>…les Naselli ción , pues la declaración de los principios y sentimientos y Ghnrch, y el Parlamento resolvió que considerando al que os animan en esta delicada coyuntura no es menos general Naselli como un secretario de Esrado, le compe honorífica para vosotros que satisfactoria para mí. tía al Parlamento juzgarle , y que el general Church lo se «Estas demostraciones de lealtad y de espíritu público, ria por un consejo de guerra. acompañadas de la sever…</t>
  </si>
  <si>
    <t>Nav</t>
  </si>
  <si>
    <t>…e mandó--pasar á'la-comisión de Agriqultur,a la..siguiente, indica- Iqs sueldos de dichos .catedráticos. j cion dei Sr. Carrasco: «Pido que Jas Corres declaren que Jos bueyes ' El Sr. Nav^s' fe' Ópusó "a’este dictánieñ, y después de una corta.dis de carretería’'np-debén disfrutar detotros pastos-comunes;de les pueblos cusión dijo el Sr. JHpata que se necesitaban .para -el establécímiérito* de que los que se conceden á los demas ganados trashum…</t>
  </si>
  <si>
    <t>Navar</t>
  </si>
  <si>
    <t>…tomarlo en consideración, y averiguar las personas Aprobada la proposición indicada pasó á la tribuna el Sr. secretario que hubiesen interven ¡do en aquella ocurrencia. Excitó al Sr. Navar de! Despacho de Hacienda á proseguir la lectura de su memoria. ro, que.habia estado en la provincia en el medio de la legislatura, pa . Habiendo entrado en el Congreso el Sr. Feliú, encargado interina ra que diese su parecer acerca de las personas que hubiese…</t>
  </si>
  <si>
    <t>…echo al máximum de 30 por aprobar el artículo que se discute. too de 48 que se.habia impuesto antes: en su consecuencia opinaban El Sr. Romero Aipuente: Ha dicho en su discurso el Sr. Navar que nada tenían que proponer acerca de lo que se estableciese por regla rete que los defensores no podrían cumplir con su obligación aprobán general sobre ambos artículos; y que en cuanto á lo demas á que se dose lo que se propone ; ; pero de qué otra manera…</t>
  </si>
  <si>
    <t>Navar-, Manuel Perez</t>
  </si>
  <si>
    <t>Manuel Perez Navar-</t>
  </si>
  <si>
    <t>…haron de muchas de sus leyes, y dictaron las demas en los campos eucaya y Navarra A los sugetos siguientes: tre el estrépito de las armas? Provincia de Alava. Para el de Vitoria á D. Manuel Perez Navar- Los que desaprueban la necesidad de una reforma, no solamente réte: para el de la Guardia á D. Ramón Aleson: para el de Amurrio manifiestan la cortedad de sus conocimientos , sino que nos revelan á D. Francisco Miguel Lombardo de Tejada. ademas el secreto de que…</t>
  </si>
  <si>
    <t>Navarrete</t>
  </si>
  <si>
    <t>…de las noticias acerca de la insurrección griega. Parece que no tardaría pal con que se proponía. en discutirse el presupuesto de gastos. Tampoco se admitió á discusión otra, del Sr. Navarrete, que decia asi.-.Pido á las Cortes que se mande aUGobierno habilite un barco á ARTICULO DE OFICIO. la mayor brevedad para que .lleve-la noticia de que las Cortes están tra tando, á propuesta de los diputados d.e.Ultramar, de un plan de go El Rey ha expedido e…</t>
  </si>
  <si>
    <t>…ncho, pasaron á que no se les privase de sus derechos: que esto ninguna aplicación te la plaza; y aquel, tomando la bandera , la tremoló húcia el pueblo con nia al artículo que el Sr. Navarrete había citado, por ser una medida, varios vivas , á que todos contestaron con el mayor entusiasmo; y luego como había dicho, supletoria , y que ia comisión habla considerado que con el mismo acompañamiento y música é inmenso pueblo, la paseó en los 1/ meses qu…</t>
  </si>
  <si>
    <t>…y mismo ias bases de qus . ricas. No es esta una materia de que no puedan tratar las Cortes ex se trata. traordinarias. No es una cosa que sea menos interesante á los españoles El Sr. Navarrete: Todos los Sres. diputados han recomendado lá de Ultramar que á los de la Península. Desde el día siguiente al en qus mayor brevedad en este asunto; pero yo creo que si el Gobierno no ha tuve el honor de tomar asiento en el Congreso llamé la atención de las p…</t>
  </si>
  <si>
    <t>xy66 Art. 7.0 » El tribunal pondrá sentencia dentro de los seis dias si La segunda parte del discurso del Sr. Navarrete es relativa á que ss guientes al en que se concluya la vista.” instruyese por separadq cada uno de los defensores; ¿pero no se podrán Habiendo manifestado el Sr. Echevarría que debería discutirse este instruir todos al mismo tiempo que lo hace uno solo 2 ¡A q…</t>
  </si>
  <si>
    <t>…eñón, mediante su igual indigencia ,y encon trarse en el propio estado'de contagio que Alhucemas. ' nota. No habiéndose expresado con bastante exactitud el dictamen que dió el Sr. diputado Navarrete en la sesión de 17 del corriente acer VARIEDADES; ca de la sustanciacion de las causas da Cádiz, entiéndase del modo si Concluye el artículo sobre salud psiblica. guiente: » El art. i.° que la comisión propuso se reduce á que se haga Mag. Y.hacéis muy bien; e…</t>
  </si>
  <si>
    <t>…. bia padecido el Sr. Cristo, pidió que se aprobase el dictamen de la co Dirección general de aduanas. misión. ” F,1 Rey se ha servido aprobar la medida tomada en la isla de Ma El Sr. Navarrete dijo que para saber si eran ó no válidos los po llorca conmotivo.de las enfermedades que se padecían en la capital, deres del Sr. O-Gavan debia recurrirse primero á la Constitución, y habilitando el puerto de Soller, mientras la duración de estas, para el des…</t>
  </si>
  <si>
    <t>…e conseguirá aquel objeto: por otra co al Congreso que se me dispense de dar contestaciones de esta clase. parte, ademas de los sugetos que notoriamente tienen un ínteres en el El Sr. Navarrete deshizo varias equivocaciones que dijo habia pade desorden, hay muchos individuos que le aborrecen; y á pesar de esto cido el Sr. secretario de Ultramar. están íntimamente persuadidos, no de que el ministerio sea ciiminal El Sr. Palarea: A pesar de que yo he…</t>
  </si>
  <si>
    <t>…regir el arancel general dé 25 de Octubre de 1820; pagando todos su parte para impedir el delito.” 1 los derechos de entrada kdel extrangero y salida para Ultramar que es Otra del Sr. Navarrete al art. 24, que decía : » Después de las pala taban establecidos antes de regir dicho arancel. bras embriaguez y cualquiera otra privación ó alteración voluntaria, 2. ° Se permite igualmente la introducción y consumo en la Penín añádase y no la local.” sula é…</t>
  </si>
  <si>
    <t>…ores, y que la audiencia de Pamplona y universidad de ANUNCIOS. Salamanca habían informado acerca de este'artículo. Quedó aprobado. Se mandaron pasar á la comisión una adición del Sr. Navarrete al En el Valle de Orozco , provincia de Vizcaya , se halla vacante la art. 30; otra del Sr. Sánchez Salvador al art. 43: otra del Sr. Linares al plaza de cirujano-médico , dotada con 700 ducados, casa y.huerta sin 97; otra del mismo Sr. diputado al 98; otra d…</t>
  </si>
  <si>
    <t>Navarrete, Gerónimo</t>
  </si>
  <si>
    <t>Gerónimo Navarrete</t>
  </si>
  <si>
    <t>…ía de 6 ojos; una casa donde se Antonio Carrera en 15 de id.; D. Francisco de la Peña y IX Josef 7.aabriga el que lo posee , y efectos del mismo cañal, en 30® rs. gasti en 16 id.; D. Gerónimo Navarrete en 18 id.; D. Gregorio Gon Otro cañal mas abajo de las aceñas, titulado Valmayor, corriente zález Conde en 20 id ; D. Pedro Josef Corbo , presbítero, en 2 5 id., y en todas sus partes, con sus presas bien acondicionadas y chalupa para D. Tomas Ortega en 18 id…</t>
  </si>
  <si>
    <t>Navarrete, Jijan NepomMcenQ.Gomez de</t>
  </si>
  <si>
    <t>Jijan NepomMcenQ.Gomez de Navarrete</t>
  </si>
  <si>
    <t>…Guadalquivir; y qué si hubiese tiempo se proseguiría la discusión Por la provincia de Valladolíd los Sres. Rr. D. Antonio María sobre señoríos ,’y levantó la sesión. . Úraga; Lie. D. Jijan NepomMcenQ.Gomez de Navarrete, abogado dé México, y,Lie. D., Manuel Diago Solórzano, abogado de id. Suplente, DIRECCION GENERA!. DE IOTF.R1AS NACtokÁtBS. eí . capitán R. Josef -Mariano Michelena. Números.' Premios. Administraciones. Por la provincia de Nueva-.Vizcaya los Sres. Lie. D. Ped…</t>
  </si>
  <si>
    <t>Navarrete, Martin Fernandez de</t>
  </si>
  <si>
    <t>Martin Fernandez de Navarrete</t>
  </si>
  <si>
    <t>…ción histórica sobre la parte que tuvieron los españoles en las guerras de Enero, y los de Marzo y Julio. Al principio de cada título llevará una ■ Ultramar ó de las Cruzadas: por D. Martin Fernandez de Navarrete: viñeta alusiva al objeto de que trata; y en los claros que dejen algunos un cuaderno en 4.0 marquilla-----Elogio de la Reina Católica Doña á su conclusión se pondrán adornos alusivos igualmente á su objeto. Isabel: por D. Diego Clemencin: un-cuaderno en 4.0…</t>
  </si>
  <si>
    <t>Navarro</t>
  </si>
  <si>
    <t>…e publicados el coronel D. Miguel Tenorio. por 72: 6. el Sr. Echevarriá por 85: 7.' el Sr. Manesc.ui por 81: En seguida el Sr. ministro de la Gobernación de Ultramar pasó á 8.J el Sr. Navarro (D. Felipe) por '77.: 9.° el Sr. Larriba por 85: la tribuna y principió la lectura de su memoria; la que á poco tiempo 10 el Sr. Snbrié por 67: r 1 el Sr. Govantes por 70: 12 el Sr. Va- se suspendió con motivo de tenerse que Jeér la contestación al discurso d…</t>
  </si>
  <si>
    <t>…ellas en pacho habían estado en la comisión, á la que habían dado algunas no el diario. ticias; pero que esta ilabia pedido otras , las que se-le darían quizá en Acto continuo el Sr. Navarro ( D. Felipe) dijo llamaba la aten este mismo día. ción del Congreso acerca de lo ocurrido en Alcoy, para que se tomasen El Sr. conde de Toreno opinó que estos antecedentes debían agre las oportunas providencias. Una turba numerosa ([ prosiguió]) de ha garse á…</t>
  </si>
  <si>
    <t>…e S. Roque, las atribuciones de secano, en goo rs. del comandante, á fin de evitar gastos. Otra á la misma senda, de 2 obradas, de segunda calidad, en^oo rs. Habiendo reclamado el Sr. Navarro (D. Andrés) la discusión del Otra al charcon de la Rodada, de 8 cuartas, de segunda calidad, proyecto de instrucción pública pendiente desde la legislatura anterior, en 700 rs 1 señaló él Sr. presidente su continuación para mañana; y levantó la Otra á dicha s…</t>
  </si>
  <si>
    <t>…ratitud de los pueblos, que en todas partes se manifestarían re llos señoríos. ' conocidos á sus resoluciones. , El Sr. Gaseo manifestó que habia tomado la palabra para hacer á El Sr. Navarro (D. Felipe), despees de haber manifestado se ar las Cortes no una retractación, sino una ratificación del dictamen que redraba al entrar en una cuestión tan espinosa, dijo que aquella dis la comisión habia dado , porque estaba convencido de ser el menos cusió…</t>
  </si>
  <si>
    <t>…maciones de distintos religio-, la espada-, que era el título mas sagrado que podía darse en aquel.tiempo.. sos, quejándose de cierto obispo; y con las mismas iban los decretos El Sr. Navarro ( D. Felipe) dijo que daban los hombres continua jde S. lima. , que en el uno decia que por no ser hijo de aquella dió mente en obras y patabíás testimonió de su. fragilidad, como se veía en cesis acudiese á la de su naturaleza , sin embargo que estaba domi a…</t>
  </si>
  <si>
    <t>…es, antes hubiera pre de Granada, sobre lo mismo; otra del alcalde constitucional de.Oríferido mendigar mi subsistencia, que ser instrumento de semejante» huela, presentada por el Sr. Navarro, haciendo una relación de todo birbaridades.» El ortdor se enardeció tanto,que sus lágrimas demostra lo ocurrido en aquel distrito, y lo mucho que habían trabajado la mi ron su sensibilidad, y concluyó su discurso diciendo: „Por bárbaro licia nacional y tropa…</t>
  </si>
  <si>
    <t>…nuó la discusión sobre señoríos, y después de. leído al ar ca que se sacó , fue para contrarestar á las razones que seoponian á que tículo 2.0 ( véase la ¿aceta de ayer ), dijo ei Sr. Navarro (D. Felipe): se adoptase la base que la comisión creia mas conveniente para el reem la prolijidad con que se ha tratado esta discusión tan interesante , ha plazo , hallándose esta muy lejos de pedir que se adopte ei sistema de dado motivos para que se hayan e…</t>
  </si>
  <si>
    <t>…á sobre provincia en que tuviesen su residencia: se mandó imprimir juntamente la población de las villas y lugares del distrito de la depositaría de ren con el voto particular del Sr. Navarro (D. Andrés). tas , para no exceder de uno por cada 4Í) almas. Entró á jurar y tomó asiento un diputado por las provincias de Ul Art. 247, ,, En el caso de que los portadores de apremio sean in tramar. juriados ó sufran resistencia, se retirarán á la casa de ¡…</t>
  </si>
  <si>
    <t>…de los empleados eclesiásticos» que pueden ser diputa mitiesen á las Cortes los documentos que acreditasen los .ingresos, res dos en Cortes , juntamente con el voto contrario del Sr. Navarro ¿Don pectivos para que se pasasen á ia comisión.', y.-fuesen parte .-de su dic Andrés). ■ : tamen.’ i ’ . ’ ’ ■ ....... ' Se aprobaron los siguientes dictámenes de varias comisiones: El Sr: Sancho dijo: convengo con las ideas del:Sr. preopinante de El de la d…</t>
  </si>
  <si>
    <t>…cuando se , trata de un negocio de huér- esto un nuevo timbre á su gloria; pero que las Cortes no debían acce fanos y menores.” Aprobado. _ , der de ningún modo á su solicitud. El Sr. Navarro (D. Felipe) apoyó, Habiéndose procedido á la discusión del dictamen de la comisión es la opinión de los dos señores preopinantes, y manifestó que el Sr. ge pecial de Hacienda acerca de ia consulta que hizo el Sr. ministro de neral Quiroga no tenia un derecho…</t>
  </si>
  <si>
    <t>…os señores Él Sr. García Page empezó su discurso oponiéndose al dictamen re de Ja comisión en qué consistía este diferencia, parque consideraba que ferido y al voto particular del Sr. Navarro £ D. Andrés ). El Sr. presi habría alguna razón para proponer este sueido. dente dijo que era llegada la hora de salir la diputación que debía en El ir. Sierra Pambley dqo: Los porteros de la oficina de pagarés tregar á S. M. varios decretos para la sanción R…</t>
  </si>
  <si>
    <t>…roposición El Sr. García Page impugnó el dictamen de la comisión , y prin del-Sr.. Arrieta-, y estaba concebida en estos términos r « Jueces ecle cipalmente el voto particular del Sr. Navarro (D. Andrés.) , manifes siásticos que tienen aprobación del Gobierno ” tando que el espíritu de la Constitución no era el que los eclesiásti- • Sé aprobó uná adición del Sr. Romero Alpuente, concebida en es -cos fuesen considerados como empleados públicos, hab…</t>
  </si>
  <si>
    <t>…en este aru'cuio fuese con respecto á los remates de dios. de las fincas que saliesen desde ahora en adelante. Se mandó quedar este expediente sobre la mesa para su discusión. El Sr. Navarro ( D. Felipe) dijo: Este artículo anula ios efectos . Se continuó la discusión del dictamen de la comisión especiar so prevenidos en el art. 8.“ Ya está resuelto que las capitalizaciones se pa bre Crédito público. - . • guen con créditos sin interes, sin embar…</t>
  </si>
  <si>
    <t>…e se vieron en esta acción Aprobada el acta de la sesión anterior, se mandó insertar en ella deben notarse el del cazador de Navarra Juan Ramón Martínez que el voto particular del Sr. Navarro, contrario á la resolución de las Cor en una quebrada, echan. 10 á presencia de su capitán su mochila en tier tes sobre la aprobación de las provincias de Soria, Teruel y el Eierzo. ra, se halló con el indio Vargas y. un coronel ingles llamado Mayn Se mandaro…</t>
  </si>
  <si>
    <t>…ículo se egocutará en las próximas elecciones; por lo tan debe desaprobarse el artículo que se discute. to en las actuales provincias que correspondan á la tercera y cuarta cla El Sr. Navarro (D. Felipe): No podré menos de reproducir algu se se elegirán dos individuos para la diputación provincial.” nas de las observaciones que se han hecho para manifestar ¡as razones El Sr. Clemencin dijo que este artículo era inútil, porque no ha en que la comis…</t>
  </si>
  <si>
    <t>…raáa dijo: No me opongo á que sea mayor ó me nión, creo que debe aprobarse el. artículo de que se trata. nor el plazo que deba darse.; .pero sí dire que las Cortes no pueden de El Sr. Navarro.( D. Andrés ) : Mi opinión es que no se debe fijar terminarlo en este articulo en rezón de que ha de ser una consecuencia «1 mismo término para resellar una clase de moneda francesa que otra. déla determinación de la ley. Lo .primeroque se debe hacer es ver l…</t>
  </si>
  <si>
    <t>…La comisión presentó un nuevo artículo, que debía seguir al aproba- aun sin este motivo hice una observación en el Congreso, no para jus .do, en virtud.de lo que habia indicado el Sr. Navarro en la sesión de tificarme de una imputación , sino para rectificar la opinión, pues que ayer , y decia asi: Art. 3 ' » Los luises y napoleones de oro y plata, las se ha dado á una moneda una denominación que me es injuriosa direc piezas ds dos francos , uno,…</t>
  </si>
  <si>
    <t>…pacificación de las mismas provincias, escrita de orden del Sr. secreta que de Angulema en un viage que va á hacer á varios puntos del reino. rio de la Gobernación de ultramar. El Sr. Navarro (D. Felipe.) .expuso los servicios patrióticos del in NOTICIAS DE ESP A,Ñ A. teresado, desprendimiento,de sus intereses en favor d¿ la .causa, de la li bertad, y los padecimientos que ha sufrido por ella,, y pidió-por lo. mis Madrid Miércoles 14 de Noviembre.…</t>
  </si>
  <si>
    <t>…se considera por tal. En un capitulo de ser castigado un delincuente; en esta parte estoy confc me con el én que se trata de castigar el homicidio, nada se hará con acierto si no. Sr. Navarro; pero también la ley prohibe ciertos actos ó ciertas ac se dice qué es homicidio: en un capítulo donde se trate de castigar el ciones determinadas que no son delitos, pues la ley manda que la murapto, habrá muchos inconvenientes si antes no se dice lo que es…</t>
  </si>
  <si>
    <t>…t- 10. Los pagos se harán á medida que haya moneda fabricada di sar á la comisión. cualquiera clase; pero se autoriza á la ¡unta directiva para aprovrchat Se leyó la siguiente del Sr. Navarro (_ D. Andrés), que no se admi los cospeles de ley y peso correspondientes de los medios luises , fabri cando con ellos monedas de á 10 rs. vn., conforme á los ensayos pre tió á discusión. » Que se añada á la definición propuesta por la comisión can daño i sen…</t>
  </si>
  <si>
    <t>…5 cada uno de los Sres. Janer y Gareli ,"3 respectivamente «Señor: no hay súbdito vuestro-, no hay extrangero que viajando los Sres. Novoa y Mediano, 2 el Sr. Ezpeieta, otros, yel Sr. Navarro por vuestro imperio no haya visto y admirado ese rápido desarrollo de (D. Felipe), y uno cada uno de los Sres. Rovira , Aivarez Guerra, nuestras riquezas y de nuestra felicidad interior, cuya descripción no ha Zubia, Manescau , Quintana y Argaiz. .- ' podido…</t>
  </si>
  <si>
    <t>…sentencia dentro de los diez dias siguientes al en que se acabó la comisión la tomaría en consideración. la vista. 5.0 Pasada la causa con dos egemplares del extracto al coman El Sr. Navarro (D. Andrés) opinó que según los principios de la dante general, tendrán este y su auditor el término de treinta dias para buena moral y del sabio Smith , debia hacerse alguna distinción con la1 cotejar el extracto con los autos, instruirse y dar sentencia. 6°…</t>
  </si>
  <si>
    <t>…pinión constante en esto será siempre que la des sesión el conocimiento y resolución de la segunda parte. obediencia á tpdoGobierqo constitucional., siempre que no se separe .• El Sr. Navarro (D. Felipe) dijo:Esta cuestión se1 va haciendo ca de los límites que la ley le.presoribe, es.el egemplo mas funesto que se da vez mas interesante, porque interesados ios Sres. de la comisión y puede presentar. Estas doctrinas con que se ha querido cohonestar…</t>
  </si>
  <si>
    <t>…da El Sr. iduñoz Torrero dijo: He pedido lá palabra como individuo parte para rebatir la primera: esto seria confundir ambas, ¿ incurrir pre de la comisión, cuando, he oido que el Sr. Navarro llamaba ominosa 4 cisamente en lo que la comisión trata de evitar. La comisión, repitó, . la segunda parte de su dictamen. Anoche concurrieron á la comisión al- „ asegura que las dos partes no tienen hada de común, y que tiene po . gunos &gt;res. diputados , y p…</t>
  </si>
  <si>
    <t>…e Abril del año pasado que se d¡6 contra los facciosos que las Cortes han dado pasos colosales al efecto. de Burgos , hubiera estado cncatgada su egecucion,á los jurados que se El Sr. Navarro ( D. Felipe): Desde que ee empezó esta discusión hubiesen nombrado: pregunto yo: ;se hubiera aplicado esta ley con la conocí que no pudiéndose dar un ataque por principios generales ai imparcialidad que se aplicó! Mas ¡sien algunos pueblos de Aragón, establec…</t>
  </si>
  <si>
    <t>…el sello: de esta manera sin reconocer ni delitof .de que se haga mérito en el código de procedimientos. pesar pasarán á un depósito con tres llaves, de las que tendían una los El Sr. Navarro ( D. Felipe) deshizo algunas equivocaciones que di Sres. individuos de ayuntamiento, otra el Sr. encargado de la Hacienda jo haber padecido el Sr. Zapata. pública, y otra la junta general directiva. Al mismo tiempo traerán Jos Ei Sr. Gaseo: No creo que habrá…</t>
  </si>
  <si>
    <t>Navarro, Angel Laborde y</t>
  </si>
  <si>
    <t>Angel Laborde y Navarro</t>
  </si>
  <si>
    <t>…enaro Mayordomo , natural de la ciudad de Cuenca, y resi Tratado elemental de geografía matemática aplicada á la topogra dente que dice ser en esta corte. fía y parte militar: por D. Angel Laborde y Navarro, capitán de fra D. Antonio Luis de Ascárate, cadete que fue del 2.0 regimiento gata de la armada nacional, y primer profesor del colegio militar de de la provincia de Guipúzcoa, y natural de Plasencia en la misma. Santiago. Esta obra, compuesta para I3 enseña…</t>
  </si>
  <si>
    <t>Navarro, Antonio</t>
  </si>
  <si>
    <t>Antonio Navarro</t>
  </si>
  <si>
    <t>…mo, para cubrirlas , y haciendo un beneficio considerable á los que an A las comisiones dé Canales, Caminos y Comercio ■ unidas pasó tes pagaban todo el diezmo. otra exposición de D. Antonio Navarro, vecino de .Barcelona,' en la El Sr. secretario de Hacienda manifestó que en su concepto debe que hacia distintas observaciones sobre las minas de diferentes metales ría tratarse ante todo de las contribuciones indirectas, porque podrían que hay-en laíprovinc…</t>
  </si>
  <si>
    <t>Navarro, Diego</t>
  </si>
  <si>
    <t>Diego Navarro</t>
  </si>
  <si>
    <t>…á otros Partido de S. Clemente D. Josef del Campo Moragon. D. Josef Vi reos, ó de ios demas militares que residen en Cádiz; y para que no re llanueva. D, Santiago María Melgarejo. D. Diego Navarro. caiga el nombramiento en los que tengan á su cargo defensas incompa Partido de Huete D. Julián de- la Calle, D. Juan Manuel Pió Arias. tibles con la del que los nombre, se entregará á cada reo una Juta de En Valencia. Peníscola D. Antonio Aiguals, vecino y d…</t>
  </si>
  <si>
    <t>Navarro, Felipe Benicio</t>
  </si>
  <si>
    <t>Felipe Benicio Navarro</t>
  </si>
  <si>
    <t>…do el lleno de luces y conocimientos Laida y aprobada el acta de la sesión anterior, juró y tomó asiento que pueden estar repartidos entredós, tres ó mas individuos, ó bien el Sr. diputado D. Felipe Benicio Navarro. porque la fatiga de las tareas , ó el quebranto de la salud le impi El Suministro de Marina remitió algunas observaciones hechas por dan desempeñar su encargo con la exactitud conveniente. Se me dirá el comisario general de artillería de marina y del cuerpo…</t>
  </si>
  <si>
    <t>Navarro, Fernando</t>
  </si>
  <si>
    <t>Fernando Navarro</t>
  </si>
  <si>
    <t>…o Gallego, en el que JUNTA SUSERIOR DE SANIDAD. manifestaba haber fallecido en Valencia la n'cGhe del 3 del corriente Ultimos partes recibidos del Puerto de Sta. María mes el .yr. diputado D. Fernando Navarro , y que en testimonio de En U poblaclcc. Invadidos de Muertos. Curados. Existentes, su aprecio hácia el Soberano Congreso Nacional había dejado para la la fiebre. biblioteca de Cortes su copiosa y selecta librería, y que la conducción su siendo uno de los obj…</t>
  </si>
  <si>
    <t>Navarro, Francisco Belloc y</t>
  </si>
  <si>
    <t>Francisco Belloc y Navarro</t>
  </si>
  <si>
    <t>…venientes no se empeñarían en obras y empresas de esta especie. Se in ANUNCIOS. dican de este modo algunos medios de los que podrán facilitar la egecu Por previdencia del Sr. Dr. D. Francisco Belloc y Navarro, juez de cion de lo que se propone; y S. M. desea que dando V. S. la mayor primera instancia de la ciudad de Sevilla, acordada en 31 de Julio del atención á objeto de tanta trascendencia á la prosperidad de la nación, presente año , refrendada por D. Francisc…</t>
  </si>
  <si>
    <t>Navarro, Josef Alcántara</t>
  </si>
  <si>
    <t>Josef Alcántara Navarro</t>
  </si>
  <si>
    <t>…guardia ba tomado cuarteles en los Por la provincia de Málaga. D. Juan Oliver y García , abogado y gobiernos de Minsk y Wilno-Grodno. También se halla en estos vecino de Málaga ; D. Josef Alcántara Navarro, canónigo del Sacromismos puntos una parte de la caballería, y el resto está situado con Monte de Granada, natural de Archidona; D. Áliguel Busutil, vocal la artillería volante en Witepsk y Mohilow. Se dice que van á jomar de la diputación provincial, abogado…</t>
  </si>
  <si>
    <t>Navarro, Josef Ayuso</t>
  </si>
  <si>
    <t>Josef Ayuso Navarro</t>
  </si>
  <si>
    <t>…s mi fatigas capaces de arredraros. para ministros de la audiencia de Valencia al marques de la Calzada y 11 » Completad vuestra obra , respetables legisladores, y tened siempre á D. Josef Ayuso Navarro: para la de Astúrias i D. Mariano Anto á la vista que ademas de la suerte de nuestros conciudadanos, el crédi nio Collado: para la de Extremadura i D. Alfonso Cavia y D. Ignacio to de las instituciones y la causa de la humanidad dependen en gran Marín y Sánch…</t>
  </si>
  <si>
    <t>Navarro, Juan Víctor</t>
  </si>
  <si>
    <t>Juan Víctor Navarro</t>
  </si>
  <si>
    <t>…el dia zt del lloz á D. Juan Berges ; para la de Guadix í D. Francisco Tarrago Ri- corriente en la casa de S. S., y hora de las 12 de su mañana , para el queime; para la de Haza á D. Juan Víctor Navarro; para la de Hues remate de una casa, sita en el lugar de Fuenlabrada, y su calle que lla ear ál). Agustín Lozano; para la de Velez-Rubio á D. Juan Torre man del Barranco, perteneciente á Esteban Perez, tasada en la canti cilla; para la de Vera á D. Gregorio F…</t>
  </si>
  <si>
    <t>Navarro, Manuel</t>
  </si>
  <si>
    <t>Manuel Navarro</t>
  </si>
  <si>
    <t>…para su gobierno interior, que presentará en la que remite la planta de la secretaría de aquel gobierno político. á las Cortes para su aprobación.” A la de Guerra una solicitud.de D. Manuel Navarro, capitán re El art. 27 decía asi: » Los individuos de dicho tribunal se escoge- tirado de milicias del Perú, para que.se le conceda el uso de uniforme. -rán de los de otros ó de cualquiera clase de personas, y no tendrán suel A la de organización de Fuerza ar…</t>
  </si>
  <si>
    <t>Navarro, Mariano</t>
  </si>
  <si>
    <t>Mariano Navarro</t>
  </si>
  <si>
    <t>…ios intereses, é ignoran lo que les ad que tiene contraidos para que se le recomendase al Gobierno, y otra quiere el glorioso título de ciudadanos, al paso que en este instante de D. Mariano Navarro, sargento primero del regimiento de infantería han de ser el sosten de la patria con sus fuerzas físicas y morales. Aque de Toledo, manifestando que por lo que habia obrado en Pamplona, llos recorrieron villas, ciudades, reinos é imperios, dejando en todas á…</t>
  </si>
  <si>
    <t>Navarro, N.</t>
  </si>
  <si>
    <t>N. Navarro</t>
  </si>
  <si>
    <t>…18 yuga tersecciones están en los dos puntos de contacto. das de buena calidad; linda con tierras del conde de Gomo* Los órganos del animal , que deben, experimentar el in ra, de Doña N. Navarro , y del Sr; Pujadas, en 12,550 rs. flujo, componen" úna de "estas partes,’ que se llama arco Otra heredad en el mismo' sitio , de 2 yugadas escasas, animal.. de primera calidad; linda con tierras de D. Vicente Gar Los instrumentos que sirven para egercer este…</t>
  </si>
  <si>
    <t>Navarro, Pedro</t>
  </si>
  <si>
    <t>Pedro Navarro</t>
  </si>
  <si>
    <t>…en el ultimo .trance de ia,m.u.ei/ did,.P., .Amero Echarri:, D. Josef..Joaquín Ermo . D. Manuel Laredo, -te sj no '.ctlufiplo enteramente lodo lo que acabo de jurar delante/de la D. Pedro Navarro, D. Tomas Delgado, D. Pedro Ortir y Urbtna, .imágen de nuestro Señor Jesucristo. .. ».-Kt P, Pedro Gudal, P. Mariano Noucues y Secail, D. Julián Alegre,</t>
  </si>
  <si>
    <t>Navas</t>
  </si>
  <si>
    <t>…tabs'lór nhilitaréá'p'ára'aSistir á las elecciones dé di- las leyes que la Nación habia establecido: por todo lo cuál (concluyó) 'pútadós á Cortes; estimó por'más adecuad»'la'del 'Sr. Navas, que dice: debia pasarse aquel expediente á una. comisión ó al tribunal de Cor Que se les debe conceder '£ lós-milifaVés-el- derecho' de rvótar eft sus tes para que expusiera las medidas nías convenientes. 'jpárroquias castrenses y entéridiéndóse'1 en líos pú…</t>
  </si>
  <si>
    <t>…rente si autoridad de las Cortes.” Acabada de leer la retiró su autor. se le impone Ja pena. Por último soy de parecer que por quien corres A continuación se leyeron otras dos del Sr. Navas, concebidas en ponda se administre justicia conforme á la Constitución y á la ley. estos términos: 1.' ,,No siendo ya diputado á Cortes el R. obispo de El Sr. Navas apoyó-sus indicaciones, y convino en un todo con Tarazona, no debe ser juzgado por su delito a…</t>
  </si>
  <si>
    <t>…ó que el objete que se habia propuesto en elección de diputados á Cortes, fue del mismo dictamen que el dicho sus indicacionesano era la .suspensión del proyecto de instrucción pú Sr. Navas, y era que deben verificarlo en las parroquias castrenses, en blica ,jSÍno ponerle por ahora en egecucion en las universidades actua tendiéndose por tales los pueblos en donde resida la plana nyayor. Las les; y retiró la indicación, conviniendo en ello los de…</t>
  </si>
  <si>
    <t>…e rectifique, ó proponga otro en térmi corte en lugar de prestarlo en ¡a de Granada. nos que puedan adoptarse.” Se hizo segunda lectura, y se mandó pasar á la comisión especial El Sr. Navas dijo , que encontraba muy poca ó ninguna diferencia de Hacienda el proyecto de ley sobre venta de fincas del Crédito pú entre el abuso de la libertad de imprenta y el de la palabra , por blico por el Sr. Alvarez Guerra. que aun cuando no son iguales en su ext…</t>
  </si>
  <si>
    <t>…i son resguardo, que Ira— cooperado al exterminio de ios í*¿c..íGS0s. C3 1*0 uC Ir «¿XpLCiaJú« y Cn -dvuK; ¿ScjaiL cí £1»isU'XO or&lt;ien No se admitió á discusión una indicación del Sr. Navas, que decía que en todos los demas juicios, por los cuales deberán saber los pueblos asi: „Pido que las cantidades necesarias para los premios y gratificacio cuál es su futura suerte, debiéndose aplicar las leyes ¿ toda clase de nes aprobadas se exijan de los…</t>
  </si>
  <si>
    <t>…enseñanza de la teología,del derecho canónico y del .dere ñoríos. . . 1 cho civil romanó continuará dándose en lengua latina; pero la de los Se aprobó la siguiente, indicación-del Sr. Navas: ,,Pido que se den demas ramos de esta tercera enseñanza se dará en castellano. también las gracias á los patriotas paisanos que han contribuido perso 43. ,,Habrá un profesor para cada uña de las cátedras establecidas. nalmente á la persecución de los faccios…</t>
  </si>
  <si>
    <t>…, y á no haber sido comprendidos los eclesiásticos en lis pro En este estado suspendió el Sr. presidente la discusión, y levantó posiciones que se mandaron pasar á la comisión: el Sr. Navas pidió la sesión á Jas once y cuarto. que quedase este dictamen sobre la mesa pásala instrucción de los se Sesión ordinaria del a6. ñores diputados, y después de una corta discusión se aprobó el referido Leída y aprobada el acta de Ja anterior se mandaron agre…</t>
  </si>
  <si>
    <t>…interesado debia sujetarse ú lo se suspendiese la del Gobierno, de que se acaba de tratar. dispuesto por las Cortes en la ley sobre vinculaciones. Se leyó la siguiente adición del Sr. Navas al art. 2.J, aprobado ya El de la comisión ordinaria de Hacienda, acerca de la instancia de por las Cortes, del dictamen de la comisión de Legislación sobie se D. Antonio Canales, vecino del Carpió, en la provincia de Córdoba, ñoríos. » Que después de la pala…</t>
  </si>
  <si>
    <t>…de Lis sobre cieñas opinante, manifestando que se sobrecargaría mucho á la Nación con esta obligaciones y pago de las mismas, remitido por el ministro del pro medida, cdntestó el Sr. Navas: la obje'cioa de los seúQre* que acaban pio ramo,, y un oficio, del mismo, contestando i otro que le dirigieron</t>
  </si>
  <si>
    <t>…otalidad, que siendo-de pajovision Real, no lo son por gracia, sino por rigurosa jus y se leyó el art. i.“ ticia, por dars.e en virtud de oposiciones. A consecuencia de esta re El Sr. Navas dijo: me parece que no se pone la discusión en su solución pidieron varios Sres. diputados declarasen las Cortes que no se verdadero punto de vista. Se trata de averiguar si el privilegio de la entendía respecto de los jueces eclesiásticos, catedráticos y cur…</t>
  </si>
  <si>
    <t>…un cura elector á pluralidad de Aprobada el acta de la sesión extraordinaria anterior, se mandó pa votos. sar á ia comisión segunda de Legislación un expediente remitido por el El Sr. Navas y otros Sres. diputados, manifestaron los inconve Sr. secretario de la Gobernación de Ultramar, acerca de varias dudas nientes que ofrecia este artículo con respecto á los curas de los pueblos ocurridas al tribunal de Alzadas de Nueva-Galicia, que antes perte…</t>
  </si>
  <si>
    <t>…que están tan sobrecargados los pue no ha hecho novedad grande ni.pequeña que no e=&gt;té fundada en razón. blos de contribuciones , se trataba de aumentar nuevos gastos. ; Y por El Sr. Navas dijo: La totalidad de ¡a división áei territorio español dian las Cortes prever que hubiese tan poca buena fe en el cumpli está en-este artículo , y por.lo mismo.se-iieheltratar con el mayor detemiento de sus leyes: ;Podian prever que se introdujese tanto con…</t>
  </si>
  <si>
    <t>…olvidó que en España hay 61 obispados , y las provincias menos gastos para la expedición délos negocios; es menester compen no son mas que 51 según Ja división que se propone. El Sr. Navas sar una cosa con otra, y estoy cierto que la preponderancia estará por la áñadió el argumento de las universidades , el cual se ha repetido des división. pués, y está disuelto ya en el dictamen de ia comisión de Instrucción Tampoco debe influir lo que se ha d…</t>
  </si>
  <si>
    <t>…rbonarios se ahora sino de eiia, pirece que es inoportuno el haber pedirlo la pa que conozca, y á quien no entregue los papeles &amp;c. pertenecientes á la labra ; pero sin embargo el Sr. Navas ha tocarlo muchos puntos, y á mi secta. entender fia complicado demasiado la cuestión. fraxcia. Concurren á Marsella muchos buques por no querer ir á No me parece del caso hablar de los inconvenientes que resultarán España, ni permitirles entrar en los puerto…</t>
  </si>
  <si>
    <t>mismo que cree de los demas; y ’qu« en cuanto á les sueldos su opimoa Clemencin y San Miguel , no se aprobó el artículo referido. era que se clasificasen según las capitales. El Sr. Navas pidió que la comisión propusiese otro artículo en su £1 Sr. Clemencin dijo que iba á exponer los motivos que la comi lugar, que pudiese subvenir á todos los casos que se habían referido en sión ha tenido para hacer esta división. La comisión ha~ entendido que…</t>
  </si>
  <si>
    <t>…muy pocas consideraciones, é inspira desconfian en cuyo caso secan confiscados los buques y su cargamento. za ¿ todo el mundo. Ahora bien, siendo esto cierto , ¡no será mejor Del Sr. Navas al artículo 7°, que se añada después de las palabras evitar que se multipliquen las aduanas pequeñas, y formar aduanas á juicio de las diputaciones provinciales las de del gefe político y dei in grandes y bien dotadas, en donde se empleen solo hombres intelig…</t>
  </si>
  <si>
    <t>…tes de milicias provinciales, presentaron á las Cortes en el año de 24 habría 37,547 hombres , haciéndole como se manifes los des artículos siguientes : taba en la proposición del Sr. Navas y oíros Sres. diputados; y com Art. 56. ” La tercera parte de las vacantes que ocurran en lo su parando este número de milicias con el que debería haber haciéndose el cesivo de segundos comandantes se proveerán por escala de rigorosa reemplazo como fijaba la…</t>
  </si>
  <si>
    <t>…con las autoridades , y se trata de quitarlas, iki te aclaró después algunas de las que antes habia hecho. es extraño que se hayan alarmado, y mas si se añade á esto ia circuns El Sr. Navas: biempre que se trata de examinar el estado moral y tancia particular de la llegada inesperada á la provincia del ba-on de político de una nación, es necesario entrar en investigaciones muy Andilia, la que pudieran haber comparado , á causa de la imaginación…</t>
  </si>
  <si>
    <t>…smo mo aquel ministerio habia sido desventurado por causa de aquella cla barón de Andilla; pero yo be observado que se ha prescindido en se de hombres á que ha hecho referencia el Sr. Navas, como estos ha aquella discusión délas causas que motivaron aquella resistencia, y crea bían contribuido con tanto calor á su descrédito, estos mismos se ha que debían haherse tenido presentes; por consiguiente juzgo que debe brán constituido en enemigos nato…</t>
  </si>
  <si>
    <t>…eo era verdadera Nueva estampa de la muerte del general D. Felipe Arco Agüero, mente el que había muerto. ocurrida en una cazería en los campos de Badajoz. Se hallará en las li El Sr. Navas manifestó que había un gran inconveniente en que brerías de Brun y en la de Matute á 4 rs., y para los comerciantes de no se aprobase el artículo, puesto que pudiendo ver y hablar los reos á las provincias á 300 rs. el ciento. sus muge;es y amigos por el artí…</t>
  </si>
  <si>
    <t>…obernar la Nación, han dicho al Monarca que esperan aprobarse la proposición que se discute. yr que ruegan á S. M. que en uso de sus facultades constitucionales, to A petición del Sr. Navas se leyó el art. 163 de la Constitución, en me ¡as providencias necesarias para contener los males que nos amena el que se dice que las Cortes extraordinarias solo puedan entender en zan; pudiendo ser una de estas providencias la reforma ó la reir.ocion lo, as…</t>
  </si>
  <si>
    <t>…reditar después serio, á fin de hacer el recuento &amp;e. se refiere. que El Sr. presidente indicó que en consideración á la importancia del No se admitió á discusión la siguiente del Sr. Navas: » Pido que dictamen que se acababa de leer podian acordar las Cortes si se habia los medios luises se admitan en la casa de moneda hasta el dia 6 de de discutir hoy, ó dejarlo para mañana; y habiéndose hecho esta pre Enero inclusive.” EL Sr. presidente dijo…</t>
  </si>
  <si>
    <t>Navas, Juan Angel González de</t>
  </si>
  <si>
    <t>Juan Angel González de Navas</t>
  </si>
  <si>
    <t>…cipal de provincia, y la tercera al director general de contribucio Aranda de Duero á D. Josef Olaeta: para Aranzo de Miel á D. Juan nes directas.” María de Vivanco: para Aillon á D. Juan Angel González de Navas: Se leyó el art. 57, concebido en estos términos: para Belorado á D. Antonio Rojo y Gandía: paraBriviesca á D. Hilario Art. 57. »Inmediatamente que los subdelegados reciban el estado Armontia: para Búrgos á D. Modesto Cortazar: para Castrojeriz á Don de repar…</t>
  </si>
  <si>
    <t>Navas, Lorenzo Escolar de</t>
  </si>
  <si>
    <t>Lorenzo Escolar de Navas</t>
  </si>
  <si>
    <t>…etario de Colindres. Suplentes: D. Eusemeses. - L bio López Polo , capitán de artillería , empleado en la secretaría de las En seguida se aprobó el art. 99, que decía asi: Cortes: D. Lorenzo Escolar de Navas, canónigo de S. Isidro. » A la diputación le corresponde: i.° Promover la reunión de las Por la provincia de Guadal.-,jara: D. Miguel Atienza, presbítero tuntas electorales en caso de que haya alguna negligencia en ello. 2.° propietario en Jadraque: D. Franci…</t>
  </si>
  <si>
    <t>Navas, Lorenzo Escolar-y</t>
  </si>
  <si>
    <t>Lorenzo Escolar-y Navas</t>
  </si>
  <si>
    <t>…á añadir otros ahora que se D. Miguel Sánchez Casas'; para la tercera á D. Gregorio Gisbert; para abre un nuevo y anchufó'so'campo á vuestros. talentos y virtudes. Mu la cuarta á D. Lorenzo Escolar-y Navas; para la quinta i D.‘Josef cho habéis.hecho; pero falta que hacer mucho. La Europa os cóntem- Gastel; para la sexta á D. Joaquín Molina; para la séptima i D An pláfTii ppéblo éspañof , que os Há confiado sus Pestiños,To-éspera todo tonio María Espejo, y para…</t>
  </si>
  <si>
    <t>Navas, Manuel</t>
  </si>
  <si>
    <t>Manuel Navas</t>
  </si>
  <si>
    <t>…benemé Límite oriental. ritos profesores de Cartagena D. Josef Raneé , D. Josef Furió , D. Se Su límite oriental da principio en S. Juan de los Terreros: sigue al bastian Florit y D. Manuel Navas se presentaron gustosos á sacrificar E. del Campo de Pulpi á la sierra del Medió , cabeza de la Jara , tor la quietud de sus destinos en alivio de los epidemiados barceloneses, re de Jijena , cortando antes un poco al O. al rio de Lorca , continúa poniéndose…</t>
  </si>
  <si>
    <t>Navas, Manuel de</t>
  </si>
  <si>
    <t>Manuel de Navas</t>
  </si>
  <si>
    <t>…que el medio mas con 83 rs. cada facultativo de los cuatro nombrados en Cartagena; y seguro de impedir á los hombres que se maten es dejarles ser buenos, son D. Sebastian Florit, D. Manuel de Navas, D. Josef {Lancé y Don ayudarles á ser justos y racionales , y hacerles felices..... ¡Ah! Si el úl JosefFurio; habiendo quedado en poder del ayuntamiento constitucio timo pensamiento de los desgraciados que cortan el hilo de su vida sí nal de Cartagena 83 rs.…</t>
  </si>
  <si>
    <t>Navas, Vicente</t>
  </si>
  <si>
    <t>Vicente Navas</t>
  </si>
  <si>
    <t>…s en el año pasado en la ciudad de la Ha vana por el intendente presidente, y si ocurriese alguna duda, lo será el que tenga mayor edad.” ide aquella provincia, y una solicitud de D. Vicente Navas, adminis- Después de haberse manifestado algunas dudas sobre si debería pre -trador. de tabacos de Santiago de Chile, para que se le declare com ferirse para presidente'la edad ó las cualidades del sugeto, y habiendo prendido en el decreto de las Cortes extra…</t>
  </si>
  <si>
    <t>Navas-</t>
  </si>
  <si>
    <t>…de. su diócesis, tió á discusión. , , I :v :. . -.... ; &lt; con respecto á la parte eclesiástica, y en el estado ó sociedad en que .Tampoco se adtnitió..4,discusión otra adición.del Sr. Navas-, que dese profesa la religión católica, cada uno.'tiene deerecho,,para no ser cía; n Que en los pueblos, que ,po,r-su corto -vecindario ó por otras cau perturbado en la posesión de su sosiego interior-. Manifestó jiltim.amente- sas no llegue á toel númerp-ade…</t>
  </si>
  <si>
    <t>Navedo, Josef</t>
  </si>
  <si>
    <t>Josef Navedo</t>
  </si>
  <si>
    <t>…es: 1.' A los que cuenten cuatro años Molinos de Duero en el término de un mes, contado desde este dia. de servicio que se les destine de cadetes de infanteiía y caballería pro- A D. Josef Navedo , vecino de esta corte, se le ha extraviado un res porcionalm nte, con el sueldo que disfrutan , uso del distintivo de al guardo de dos acciones del capital de á 4S) rs. cada una del Real emférez que tienen , y goce de antigüedad de tal cadete desde que empe…</t>
  </si>
  <si>
    <t>Navia, Fráncisfco Copons y</t>
  </si>
  <si>
    <t>Fráncisfco Copons y Navia</t>
  </si>
  <si>
    <t>…na vez’en movimiento ¿ solo puede1 ser "’."S.sM. se ha dignado admitir la réníinciá'qúe lia-hecho el-teniente contenido por la fuerza; en consecuencia, estaamenaza ¿que debería hu general D. Fráncisfco Copons y Navia del destino dé géfc superior po millar y abatir la arrogancia del Gobierno , no causara probablemente lítico de. la provincia de Madrid, teniendo’én consideración su queen ios turcos otro efecto que el de excitar sus pasiones, y el Sultán se! brantada.salud;…</t>
  </si>
  <si>
    <t>Navia, Josef Gómez</t>
  </si>
  <si>
    <t>Josef Gómez Navia</t>
  </si>
  <si>
    <t>…la imprenta Nacional. cido la revolución de Oporto. En carta del Brasil de 26 de Doce vistas del exterior é interior del Real monasterio d« S. Lorenzo del Escorial, dibujadas por D. Josef Gómez Navia,Ocrubre anuncian haber causado allí dicha noticia bastante y grabadas por D. T. López Enguídanos y D. M. Alegre: daagitación y alguna confusión: que se propagaban rumores estas seis son de 12 pulg. y 8 lín. de alto , y 19 y 2 de ancho:acerca de la venida del…</t>
  </si>
  <si>
    <t>Náxera, Miguel de</t>
  </si>
  <si>
    <t>Miguel de Náxera</t>
  </si>
  <si>
    <t>…de la audiencia de" Granada ,,úDon Yucatán .- á D.„Manuel Gorvea , asesor de la intendencia de Tarma en Josef López de Cozary debe ser „4 D. Francisco Fernandez del Pi el Perú: á D. Miguel de Náxera , auditor de guerra en Popay.in; y á no, regente interino que era en la de Extremadura.”__Igualmente en D. Simón Fernandez Blanco y Martínez, asesor general que lia sido en la provisión de la última plaza de magistrado para Ja audiencia de Ca Manila. taluña d…</t>
  </si>
  <si>
    <t>Nayarrete</t>
  </si>
  <si>
    <t>…amo tan importante, que bien dirigido cretaría primera del despacho, los pedí. puede dar zoo millones anuales. Fue necesario allí reconocer mucho los archivos, y formar un índi El Sr. Nayarrete: Los Sres. de la comisión, por razones de políti ce ; pero creyendo que se retardaba este conocimiento pasé segundo ofi ca, por la Constitución, por el estado de la Nación, ó por cualquiera, cio ; y cuando vi el cúmulo de papeles que contenia el índice que se…</t>
  </si>
  <si>
    <t>Ncri-Corsini</t>
  </si>
  <si>
    <t>…s delitos de que sonages, y habian salido para sus respectivas cortes el marques Molza, siempre va acompañada, podían ocultar a los Soberanos el verdadero ministro deMódena , y el príncipe Ncri-Corsini, ministro de Toscaaa. carácter de estos acontecimientos. Se decidieron pues a no reconocer jamas una revolución hija del crimen, que de un momento a otro ALEMANIA. podía trastornar la paz del mundo, y á reunir sus _esfuerzos para poner fin á unos desórdenes t…</t>
  </si>
  <si>
    <t>Nctti</t>
  </si>
  <si>
    <t>…algún tiempo á esta parte sobre sus relaciones con las potencias extrangeras. ]S acoles 12 de Diciembre.----Sesión del 24. Corre la voz de que el Rey de Baviera , acompañado de El Sr. Nctti hizo presente al Parlamento el asunto de la Reina, pasará á Viena, si el Emperador Alejandro se general Churcli, que debió haberse discutido en aquella se detiene algún tiempo en aquella capital, como se presume. mana , y del cual no se había vuelto á hacer m…</t>
  </si>
  <si>
    <t>Ne-, Juan</t>
  </si>
  <si>
    <t>Juan Ne-</t>
  </si>
  <si>
    <t>…riamente se prohíba la introducción de hilazas extrangeras.. indicada , y reducción de tres provincias'menos, Madrid y seis gran Las Cortes quedaron enteradas de una exposición de D. Juan Ne- des capitales y 41 provincias con sueldos, la primera del primer orden, pomuceno S. Juan , en la que,participaba quedar enterado de la resolu Jas seis del segundo orden, y las otras 41 con el de la cuarta clase. ción de las mismas, tomada en la segunda junta…</t>
  </si>
  <si>
    <t>Nebot, Asefisio</t>
  </si>
  <si>
    <t>Asefisio Nebot</t>
  </si>
  <si>
    <t>…cios de que algunos oficiales del depósito de San comisión de Hacienda. Fernando intentaban comprometer el orden, el digno gefe á quien es A la misma se pasó una representación de D. Asefisio Nebot, en tá encomendada su custodia tomó seriás y enérgicas providencias; y al que hace presente sus servicios, y pide que en atención á no tener aprobarlas yo en oficio de 17 del corriente previne entre otras, cosas se efecto la provisión de la prebenda que le co…</t>
  </si>
  <si>
    <t>Nebot, Asensio</t>
  </si>
  <si>
    <t>Asensio Nebot</t>
  </si>
  <si>
    <t>…contra el Esrado. píritu de la Constitución. A' la de Hacienda y Eclesiástica unidas una exposición del presbí La misma comisión presentó su dictamen acerca de la indicación tero D. Asensio Nebot, repitiendo la solicitud que tenia hecha para que al artículo 3.°hizo el Sr. Alvarez Sotómayor, qué decia asi: « Ha que se le concediese una prebenda eclesiástica, ó alguna finca de las biendo causas formales de esta misma clase , como sbn las que interesan a…</t>
  </si>
  <si>
    <t>…n á sus caducos Gobier La comisión Eclesiástica presentó su dictamen acerca de la exposi nos, casi con repugnancia suya , á recobrar la independencia á que tan ción del presbítero D. Asensio Nebot, manifestando que estaba de completa y servilmente habían renunciado en beneficio del vencedor, á acuerdo con la ordinaria de Hacienda en cuanto á reconocer sus méquien en una nota dé Troppáu han conservado el título mas honorífico * ritos y servicios, y opin…</t>
  </si>
  <si>
    <t>Nebot, Francisco</t>
  </si>
  <si>
    <t>Francisco Nebot</t>
  </si>
  <si>
    <t>…a de Dios y por la Constitución de ministración á nombre de D. Rosendo Joaquín Barreda, Doña Rita la Monarquía española , Rey délas Espaftas , á tqdos los que las presen Barreda y D. Francisco Nebot, cuyos papeles se le han mandado ocu tes vieren y entendieren, sabed: Que las Cortes han decretado lo si par por un requisitorio de D. Angel Fernandez de los Ríos, juez de guiente: -&gt; Las Cortes, usando de la facultad que se les concede por Ja primera instanc…</t>
  </si>
  <si>
    <t>Necker</t>
  </si>
  <si>
    <t>…ipio pasado dicho y dice : Que en 8 de Marzo de 1820 se aclamó y juró en esta ciudad la término. Constitución de la Monarquía española, tal cual fue promulgada en Conversación del Sr. Necker con la condesa de Polignac, el barón Cádiz el 19 de Marzo del año 12, por uniformidad dé todos sus habi de Breteuil y el abad de Bcrmond , traducido del francés al castellano tantes, sin que i esto se les impeliese con la sorpresa, cohecho, miedo por el ciuda…</t>
  </si>
  <si>
    <t>Negrao, Silva</t>
  </si>
  <si>
    <t>Silva Negrao</t>
  </si>
  <si>
    <t>…s ciudadanos deben ser admitidos á abran, y les quede á los pueblos la libertad de cazar en ellos. los empleos sin mas consideración que á su talento y vir Con este motivo dijo el Sr. Silva Negrao que las Cor tudes. tes se habían reunido para formar la Constitución , la cual TITULO II. debía conrener en sí todas las reformas; y quiso persuadir que no era justo se diese por sancionada ninguna ley mien Religión, Nación , Gobierno y Dinastía. tras no reci…</t>
  </si>
  <si>
    <t>Negri</t>
  </si>
  <si>
    <t>…po que se Hubieran rendido si no fuera por estos vicarios, y ademas el número necesario para el servicio de cada ca socorros. j tedral. . Un buque turco que conducía á Marsella al Sr. Negri, destinado El cargo de los cabildos será cuidar del culto solemne en las cate por la Puerta otomana.á reemplazar en París á su encargado de Ne drales, y ademas ayudar á los arzobispos y obispos .con sus consejos y gocios Manos , ha sido apresarlo por la escua…</t>
  </si>
  <si>
    <t>Negro, Luis</t>
  </si>
  <si>
    <t>Luis Negro</t>
  </si>
  <si>
    <t>…óximo 4 de Noviembre se han de celebrar en toda D. Josef de Arca, D. Josef Huel, D. Juan Antonio Villarino,' la Península las elecciones de los electores de partido por los de las D. Luis Negro, D. Pedro Delgado, D. Rafael Saravia y D. Ramón parroquias, nombrados en el primer domingo de Octubre. Este se Calatrava. gundo trámite del método de elecciones, aunque menos concurrido, Parroquia de Sta. María , 2 electores. no es menos augusto; y el importa…</t>
  </si>
  <si>
    <t>Neira, Basilio</t>
  </si>
  <si>
    <t>Basilio Neira</t>
  </si>
  <si>
    <t>…ferencia sucesos tan extraordinarios; pero todavía Jo es tan cía de Toro; D. Pablo Montesino, médico. mas, que después de haberse tomado tantas medidas no se haya resta Suplentes. D. Basilio Neira, hacendado. D. Sebastian Clemente blecido la tranquilidad pública. Moreno . abogado. Por Vatladolid. D. Evaristo Perez de Castro , ex-ministro de Es IRAN CIA. tado; y D. Miguel López Baños, mariscal de campo y comandante ge neral de la provincia de..........…</t>
  </si>
  <si>
    <t>Nepomticeno, Juan</t>
  </si>
  <si>
    <t>Juan Nepomticeno</t>
  </si>
  <si>
    <t>…— pv&gt;wíiia pues vv* siu e, o* do¿ir que despreciados rores; habiendo sido sus padrinos el conde y cr.n..ÍL-si Je con respecto á ella estos derechos, se abusase del poder v Priegue D. Juan Nepomticeno. Ozor, y Doña María Pas de la fuerza para mantenerla en la humillación y el abati toriza Sandro del Riego, nombre que también se puso á miento , para agravar mas su desgracia, para hacerla vícti- su abijada. ma. de un'poder ilimitado y arbitrario, y para roba…</t>
  </si>
  <si>
    <t>Neri</t>
  </si>
  <si>
    <t>…las noticias que llegan al -diván , hemos sabido que traía cion r!** la Francia. ... la de haber Becado el barón de StroqonofF i Odessa , en donde des Tas” riquezas que llevaba el Sr. Neri entraron inmediatamente en embarcó el 14 de este mes. Los negocios de mi carnere o tac hatvatt la caja militar de los griegos , y sus despachos fueron remitidos a Odesa. puesto en relación con muchas personas agregadas a las embatadas Seeun las relaciones de…</t>
  </si>
  <si>
    <t>Neri-Corsini</t>
  </si>
  <si>
    <t>…las leyes eternas de la verdad, .de la justicia y de la razón. •xtrangeros; el conde de Agüe. ' Dicen que es preciso atajar ia violencia da nuestros debates; y yo Florencia. « El príncipe Neri-Corsini. también me lamento de todo» los escándalos y de todos las excesos; Miden a. » El marques de Molza. yo también conozco la gravedad de las circunstancias, y veo los ma « Mr. de Gentz es el encargado de la redacción de los protocolo* les que nos aquejan, sin qu…</t>
  </si>
  <si>
    <t>Nesselrode</t>
  </si>
  <si>
    <t>…la reserva de 40A” A cargo de los bibliotecarios. Con respecto á Ñapóles los periódicos hablan solamente de dos notas Historia literaria y bibliografía. remitidas á Laybach por el conde Nesselrode, ministro de Estadodé Numismática y antigüedades. Rusia, al conde de Stackclberg, enviado A* la misma potencia én Ñi El Sr.. Lastarria en un largo discurso trató de probar que no debia póles, de que se tratará en otra gaceta. Parece también que varios encarga…</t>
  </si>
  <si>
    <t>Netti</t>
  </si>
  <si>
    <t>…justa y á ninguno de ellos he visto que haya venido á felici mente podía darse el título de bajaes de las provincias. tarme mi hijo tercero. Se halla ahora en los 12 años; pero El Sr. Netti fue del mismo dictamen que el Sr. Casrages sumamente tonto y muy grosero: desde ahora se queda na, é hizo ver que el extravío de caudales era una infrac rá soló con el tercio de sus rentas, que se le pagará en seis ción de las ieyes, y que bajo este supuesto…</t>
  </si>
  <si>
    <t>…puesto los bienes eclesiásticos El resto de la sesión se redujo á leer un infinito número de peticio .y el remanente de los fondos provinciales. nes dirigidas por voluntarios. El Sr. Netti leyó en seguida una proposición, en que después di haber examinado el peligro en que estaba la patria, y el que corrían los INGLATERRA. diputados mismos y todos los buenos ciudadanos que habian tenido alguna parte en la regeneración de¡ reino , por cuyas cabe…</t>
  </si>
  <si>
    <t>Netzer</t>
  </si>
  <si>
    <t>…a del príncipe de .Sa- BAVIERA. lerno, debe, según dicen, tener una conferencia particular con el Emperador Alejandro. ' Nüremberg 22 de Diciembre. Escriben de Berlín el 13 que el general Netzer había ya Se dice que muchos Gobiernos alemanes no están dis salido para el cuartel general austríaco en calida^, de comi puestos á aprobar el nuevo proyecto sobre el comercio de sionado prusiano. Dicen también que el conde de Bernsdorffj, libros. Se esperaba…</t>
  </si>
  <si>
    <t>Nevares, Miguel Cabrera de</t>
  </si>
  <si>
    <t>Miguel Cabrera de Nevares</t>
  </si>
  <si>
    <t>…la , para que si se notaban algunas sombras en el gra se aprobaren dr aquel proyecto. bado , se supiese dependía.del cuño anterior que,tuvieron. be din cuenta de u.m exposición de D. Miguel Cabrera de Nevares, 3.1 Que con este nuevo se aceleraba la operación una mitad de en la que inc 11 a 220 czcinpiares de una memoria sobre la insurrección tiempo en abrí- los troqueles &amp;c.; circunstancia que no era nada des délas piov.ncias de Ultramar,)' medidas que convenía ad…</t>
  </si>
  <si>
    <t>Ney</t>
  </si>
  <si>
    <t>…ance curioso que merece saberse, sin embargo de que vieran que ver con el objeto de que se trata; y nosotros, en vez de pen tampoco ha tenido resultado alguno funesto. El hijo del mariscal Ney sar en ellas, extrañamos que el Gobierno francés haya tardado tanto envió al duque de Wellington un cartel de desafio en el estilo mas en apelar á unas medidas tan políticas y necesarias en casos semejantes; osado ¿ insultante, acusándole del asesinato judici…</t>
  </si>
  <si>
    <t>Neyperg</t>
  </si>
  <si>
    <t>…poco contraorden para 6.‘ » Serán castigados igualmente con pena de muerte tódoslos que detener la suya. sin ser carbonarios se encontraren en las sociedades que tengarf por ob El general Neyperg, que residia en Parma de algunos años á esta jeto trastornar el orden público. rparte, y que según todas las apariencias había dejado la carrera mili jd » El mismo tribunal militar aplicará la pena extraordinaria de tar , vuelve á presentarse en la escena. Ha…</t>
  </si>
  <si>
    <t>Ni</t>
  </si>
  <si>
    <t>…argento mayor agregado al regimiento de .infante rio de la Gobernación de. la Península se ha expedido certificado de ría dé Burgos, contra el capitán general de Castilla la Vieja D. Ni introducción á favor de D. Justino Blanquer-,,'por. introductor de la colás Mahi, por haberle-dado pasaporte para salir de Valladolid, y con máquina hidráulica titulada bomba á doble equilibrio.=Andtes.de Moya tra el ministro de ia Guerra en caso que lo hubie…</t>
  </si>
  <si>
    <t>NÍarcotan, Pedro Alejandro</t>
  </si>
  <si>
    <t>Pedro Alejandro NÍarcotan</t>
  </si>
  <si>
    <t>…s singulares que presenta ei mundo, ssi en lo tísico como Obeso, D. Juan Ochasavia y D. Minué! Gutiérrez Dosal: en lo mora'. Los inmensos desierros de la Si be ría están to tambor D. Pedro Alejandro NÍarcotan : milicianos D. Andrés davía cubiertos de nieve cuando ya los ardores del estío han González Barona , D. Ramón At area. IJ. Manuel González, marchitado los floridos vergeles de las faldas del C meaco; D. Manuel Macho Fernandez , !\ Casimiro Zaya«, D- Ga por m…</t>
  </si>
  <si>
    <t>Nicholay</t>
  </si>
  <si>
    <t>…ones con la Confederación, son análo El caballero de Onís, enviado extraordinario del Rey de España, gos á los del general en gefe. Deben exigir una obedienciaaósoluta de sus y el barón Nicholay, enviado extraordinario del Emperador de Rusia, subordinados, y obedecer ásus superiores, 19. La jurisdicción pertenece a fueron presentados el día 2 á S. M., y tuvieron el honor de ser admi los comandantes de las divisiones del egército; perú arreglándose a…</t>
  </si>
  <si>
    <t>Nico</t>
  </si>
  <si>
    <t>…e Barcelona de 9 de Abril último, y denunciado el día pañoles tuviésemos que mendigar el auxilio de manos extrangeras para 10 del mismo por el subteniente del regimiento de Aragón D. Nico poder tener grabada nuestra Constitución, se ha propuesto , sin embar lás Blas Solano, la ley absolvió á D. Francisco Martinez, subteniente go de lo arduo y costoso de la empresa, pedir el correspondiente per de dicho cuerpo, y responsable d¿l impreso; y en s…</t>
  </si>
  <si>
    <t>Nicola, Francisco</t>
  </si>
  <si>
    <t>Francisco Nicola</t>
  </si>
  <si>
    <t>…Ñipólesy canciller del tribunal supremo de justicia: D. Cayetano « Después de tantos.siglos de desventuras el águila griega ha ex Tavasi, presidente del tribunal civil de Ñipóles: D. Francisco Nicola tendido por ultimo "sus alas triunfantes y magestuosas, y llama para de Matteis , juez del tribunal civil de Ñapóles: el caballero D. Francis que se reúnan bajo su sombra á sus dóciles y queridos hijos. co Patrón!, secretario. :r » Nuestra cara patria tremola…</t>
  </si>
  <si>
    <t>Nicolai</t>
  </si>
  <si>
    <t>…un Gobierno provisional, y votó por sido plenipotenciario de nuestro cantón en la Dieta suiza. una regencia absoluta. Siempre ha sido mirado como uno de nuestros políticos mas El Sr. Nicolai pidió que se añadiese al manifiesto «que recomendables. después de celebrado el Congreso volvería el Rey á sus Esta ITALIA. dos para disfrutar de la paz, ó para contribuir á la defensa de la nación si la guerra fuese iaevitable.” Turin 4 de Enero. , El Sr. Po…</t>
  </si>
  <si>
    <t>Nicolás</t>
  </si>
  <si>
    <t>….” " : 'V.-*"'.1* vias'y obras pías que fundó©.: ‘Juan de Vargas Mejíaj y erí! que . A pesar de tantas y tan grarides utiíidádes 'como gene ‘ha sucedido ppr riíuerte de íü' tio el Sr. D. Nicolás dé •A'rrríétiralmente se ha creído que resultan de éstas sociedades bíbjli- dariz, dicho marques dé- Castelfuerte, sobre qué-sé'declaren los cas , no ha opinado del mismo modo la'.Alemania/católica; hominadosValés propios délas enunciadas mehíoriás;.cuyos val…</t>
  </si>
  <si>
    <t>…zuela lia dirigido á la Gobernación de Ultramar, en únan en un pueblo, y bajo una misma autoridad local, la villa de Puente las que manifestaba haber sido electo diputado á Cortes D. Nicolás de de D. Gonzalo y la de Puente Genil: la comisión opinaba que debían Castro, y los motivos que tenia este para no admitir dicho cargo. .reunirse, juntándose por ahora Jos dos ayuntamientos, hasta que en el A la de Hacienda una exposición del ministro de este…</t>
  </si>
  <si>
    <t>…vista á los regimientos de guardias. Dicen tia ; y erí fin subte et mal éxito del ataque de los insurgentes contra Pa que el Monarca volverá dentro de t 5 días. trás &lt;kc.” El gian duque Nicolás y la gran duquesa Alejandra, su esposa, han He aquí lo que traen las cartas acerca de la fuerza marítima orga vuelto ya á esta capital. nizada por ¡os insurgentes , después de declarada la insurrección y ex S. M. el Emperador se ha dignado manifestar su satis…</t>
  </si>
  <si>
    <t>…re habia llegado á Wilna al frente del regimiento de infante oe deChaeeaubtiar.d, vanos diputados, ci Sr.Alibert, primer médico ría dé los cazadores de la guardia imperial el gran duque Nicolás, her deS.M. mano del Emperador. é_ El gobernador ruso de la Bcsarabia se ha que- La gaceta ti• Estado de Berlín anuncia que los hermanos Sommi-rjado-il bajá Salisch' de la conducta que se observa en Moldavia Con loí guth, negó ciar, tes establecidos en Uiiden…</t>
  </si>
  <si>
    <t>NicolasCilabochia</t>
  </si>
  <si>
    <t>…5 velas; y que se lian separado tres cor betas para atacar á una polacra griega bien armada, cuvo comandante es La gaceta unlzersal de Augsburgo publica el siguiente párrafo de el capitán NicolasCilabochia. A pesar de la super.ondad de los turcos, Semlin con fecha 18 de Octubre: «Han llegado á Belgrado varios los griegos se defendieron como leones, y se batieron sin cesar un dia correos de Constantínopla, de donde salieron él'9, y traían el firman y una noche ,…</t>
  </si>
  <si>
    <t>Nicole</t>
  </si>
  <si>
    <t>…ra Arte de vivir en paz, ó medios de conservar la paz con los hom ciudad sitiada por los romanos. Los parabolanos de Alejandría, que eran bres, sacados de los Ensayos de moral del Sr. Nicole. Nueva edición,en los Cristianos, mas exaltados, aunque no los mejores , mataron á la her que se han corregido muchos lugares , y añadido un sermón sobre el mosa, Hipatia, que daba en aquella ciudad lecciones de filosofía y de mismo objeto, hecha para socorre…</t>
  </si>
  <si>
    <t>Nie, Manuela Jerez y</t>
  </si>
  <si>
    <t>Manuela Jerez y Nie</t>
  </si>
  <si>
    <t>…ional del mismo lugar, por haber infringido varios artículos de la Constitución. Sesión del xp. Se leyó y aprobó el acta de la anterior. . ■ Se dió cuenta de una representación de Doña Manuela Jerez y Nie Las Cortes quedaron enteradas, y mandaron repartir 2.00 egempla- bla , religiosa mercenaria en su convento de Oropesa, en la cual mani Tes de la circular expedida por el ministerio de Hacienda sobre apre festaba que todavía no había visto los efectos de otra que habia d…</t>
  </si>
  <si>
    <t>Nieblas</t>
  </si>
  <si>
    <t>…in de re escribanía de ¡X Elias Izquierdo y Payan, se cita y emplaza » solverlas acordó la junta nacional de! Crédito público que cuantos se consideren con derecho á los bienes de D. Nieblas se hiciese saber por medio de los citados periódicos á los Morgat, para que en ei perentorio,término de seis meses com tenedores de vales, que sin embargo de que los presenten parezcan á formar]izarlo con los documentos que les comprue ben , prevenidos que de…</t>
  </si>
  <si>
    <t>Nieto, Antonio</t>
  </si>
  <si>
    <t>Antonio Nieto</t>
  </si>
  <si>
    <t>…navio le Jean-Bart, de 74 cañones; de D. Gerónimo Josef María Samaniego, D. Diego Caballero, D. Josef la fragata la Duchrsse de Berry, y di la corbeta la Aigrette. Parece Puche! , D. Antonio Nieto, D. Francisco Domingo González y Don que estaba tomando disposiciones para volver á hacerse á la vela. Manuel Ibañez, solicitando los unos dispensa de edad,y los otros dis __Dicen las cartas de Sroirna de 17 de Abril que la noticia de la in pensa de una parte…</t>
  </si>
  <si>
    <t>Nieto, Josef</t>
  </si>
  <si>
    <t>Josef Nieto</t>
  </si>
  <si>
    <t>…ias exactas. oficio de escribano corriente: tiene dos principales de censos de Los analistas se dedicaban mas á extender el uso del 20 rs. En dicha villa se tratará de: ajuste con D. Josef Nieto cálculo infinitesimal que á ilustrar su metafísica. Se adver González, tían efectos milagro os, resultados incontestables; pero Estado general de la armada nacional para el año de 1821. no podía el entendimiento familiarizarse con las suposicio Véndese en el…</t>
  </si>
  <si>
    <t>Nieto, Miguel</t>
  </si>
  <si>
    <t>Miguel Nieto</t>
  </si>
  <si>
    <t>…; y los principales son: primero, el S. M. ha provisto la plaza de ministro tesorero de la ciudad del de Lituania, que manda el teniente general d’Auvray á las órdenes in Cuzco en D. Miguel Nieto , en atención á sus méritos, y por promo mediatas del príncipe Constantino , y que se compone de soldados sa ción de D. Baltasar de Villalonga , que la obtenía , á ia intendencia de cados de Jas provincias ruso-polacas. Este cuerpo ocupa toda la Lituania la m…</t>
  </si>
  <si>
    <t>Nigra, Selvi</t>
  </si>
  <si>
    <t>Selvi Nigra</t>
  </si>
  <si>
    <t>…ró- de la Real mano.crPalacio 29 de Marzo de i8n'~A D. Tomas Atosa , el caballero Chevillard , el conde Caissotti de Robbione , el abó- reno y Daoiz.” ' ^ ado Spirito Migliore, de D. Selvi Nigra, banquero, y de D.'Josef . ' , La ¡unta - general de accionistas del Banco nacional de S. Carlos, f"ravega, idem.. Eos acontecimientos del Piamonte han causado la mayorsatisfac- celebrada en 18-de Enero último,:acordó, á propuesta'de la de gobier cion en Suiz…</t>
  </si>
  <si>
    <t>Niza, Grennador de</t>
  </si>
  <si>
    <t>Grennador de Niza</t>
  </si>
  <si>
    <t>…ntraripá los intereses'd r ía Inglaterra el. que la nuestro resguardo, obraba también en virtud de las órdenes del gober Rusia se apoderase de Oczákow. En aquella', óéasióñ'dijoet lord Grennador de Niza.* Sin embargo, no hemos podido ver estáis prisiones- sin vilie, fninistro de Estado, que era úna cosa ridicula creer que lalnglap experimentan el mayor-disgusto. - ■ ■ térra nó fuese parte interesada én los negocios dél continente. El' Srl Ferrari, cónsul de…</t>
  </si>
  <si>
    <t>Nnñez, Toribio</t>
  </si>
  <si>
    <t>Toribio Nnñez</t>
  </si>
  <si>
    <t>…ente de'Camino.” al sistehia ideado por el autor original, y aplicados á la Constitución de Igual parte ha sido comunicado al Sr. ministro de Guerra, ven la Monarquía española por D. Toribio Nnñez. Tomo primero, que él se añade que ¡a pérdida de los disidentes fue tjoo hombres, y cíe contiene lós principios, la aritmética, la lógica, la anatomía, la ñsior todo el inmenso convoy que sacaban de Caracas. logia, la patología y la nosología de la ciencia so…</t>
  </si>
  <si>
    <t>Noballas.zzD, Manuel</t>
  </si>
  <si>
    <t>Manuel Noballas.zzD</t>
  </si>
  <si>
    <t>…llones, dedicados principalmente á desempe cia, zzD. Pascual Perez. zzD. Valentín Jópe. ziD. Josef Ferrer.— ñar los destinos de parque, laboratorio de mixtos, .fundiciones;y otros D. Manuel Noballas.zzD. Francisco Perez.zzD. Vicente Ibañez.z^ facultativos.” Aprobado. D. Domingo Ciaveria. zz D. Severo Garces. = D. Nicolás Gutierrez.zz La comisión retiró el artículo 125. D. Mariano Lison.zzD. Manuel lisoni =: D. Pedro Tomas.zzDon Art. 126. » A los oficiales de…</t>
  </si>
  <si>
    <t>Nodeña, Cayetano</t>
  </si>
  <si>
    <t>Cayetano Nodeña</t>
  </si>
  <si>
    <t>…la necesidad de evitar A la de Hacienda, junta con la de Diputaciones provinciales , se pasó la influencia de alguno de ellos sobre los demas, ó sea su preponde una exposición de D. Cayetano Nodeña, vecino de Durango, en que rancia, y votando contra el veto absoluto y contra la segunda Cámara. dice han sido contrariadas en Vizcaya las órdenes del Gobierno, que Siguió la misma opinión el Sr. Suarez Franco , manifestando que mandan no haya puestos público…</t>
  </si>
  <si>
    <t>Noguera, Clemente</t>
  </si>
  <si>
    <t>Clemente Noguera</t>
  </si>
  <si>
    <t>…... ......... 4....... ....... ....... O.......... .... ag... Parroquia de S. Josef, 8 electores. Dia 20 ........... ........ 2....... ....... 2....... ....... O...» ...... 2(5... D. Clemente Noguera, D. Evaristo S. Miguel, D. Felipe de 1 a i6. 6. 2. 91. Calle, D. Gabriel Josef García, D. Gregorio Sainz de Villavieja,. L&gt;, Josef Espinosa, D. Josef Ruiz de Porras, el marques de Espinardo Lebrija. Parroquia de S. Lorenzo, 20, electores. Del 13 al ao... ....…</t>
  </si>
  <si>
    <t>Noguera, Josef Manuel</t>
  </si>
  <si>
    <t>Josef Manuel Noguera</t>
  </si>
  <si>
    <t>…uella, y con el objeto de que Suplentes. Dr. D. Josef de Jesús Huerta , cura párroco de Atotonil- sirvan de asilo y refugio á los griegos que no quieran vivir en ios domi co; Lie. D. Josef Manuel Noguera. nios de Turquía. Diputados por la de Tlaxcala. lodo esto podrá tener alguna probabilidad; pero lo cierto es que Los señores: Dr. D. Agustín Rojano, canónigo de la santa iglesia la sublime Puerta, en el estado de debilidad en que se halla, no podrá catedral d…</t>
  </si>
  <si>
    <t>Nogueras, Hilario</t>
  </si>
  <si>
    <t>Hilario Nogueras</t>
  </si>
  <si>
    <t>…repiten en el presente año; res D. Joaquín Somoza , D. Jaime Prito, D. Antonio Vázquez , D. Jo S. M. ha tenido á bien mandar que V. S. recuerde de continuo á las sef de la Torre, D. Hilario Nogueras, D. Frar cisco Balct, D. Cipria autoridades dependientes de ese gobierno político de su cargo la urgente no Aragón, D. Josef Soiano, D. Josef María Salomón, D. Juan Mu necesidad y obligación en que se hallan de concurrir á impedir ios ma ñoz, D. Rafael Morete…</t>
  </si>
  <si>
    <t>Nogues, Mariano</t>
  </si>
  <si>
    <t>Mariano Nogues</t>
  </si>
  <si>
    <t>…para mí de eterna memoria, y Se aprobó el dictamen de la comisión de Legislación acerca de las me obligará.síempre á contribuir directamente á la felicidad de la na solicitudes de D. Mariano Nogues, D. Josef María Chaves, D. Angel ción de los héroes á que tengo la gloria de pertenecer. No quiero refe Valero y D. Ramón Serrano , en que pedían permuta de estudios; y la rir en esta, que es respuesta á la suya de 3 de Noviembre de 1820, comisión opinaba deb…</t>
  </si>
  <si>
    <t>Norberto</t>
  </si>
  <si>
    <t>…, y su ribera de fresno: una alameda conti otras diligencias. gua á dicho monte y fresnal , de cabida 2 cargas: un prado de pasto id D. Matías Vinuesa, capellán de honor de S. M.; D. Norberto tieso., llamado la Ribera, de cabida de 272 cargas da terreno, de pri Llorenci, impresor, y D. Juan Angel García , id., presos en 28 de mera calidad; y una casa con su oratorio y habitación para el guarda: Enero por abuso de libertad de imprenta con la procla…</t>
  </si>
  <si>
    <t>…é hijos de E&gt;. Juan Merino, D. Josef Antonio Caballero, cuartillos de tierra de labor y campo, en venta 1720 rs., y en renta L&gt;. Sebastian del Conde Vallejo, D. Domingo Posadillo, D. Norberto 4 terrados de trigo y 4 de cebada.__En la chousa del Pedron, 3 ferra Beleña, D. Pedro Otamendi, D. Juan Francisco Leston y Peña, Don dos y 4 cuartillos dí heredad , en venta 720 rs., y en renta 4 ferrados Francisco de las Barreras, D. Francisco -Címbrelo Rubi…</t>
  </si>
  <si>
    <t>…o impreso se denunció el día 3 de Agosto próximo pasado to mandará entregar ios autos al procurador que hubiese nombrado el por D. Bartolomé Oteíza, D. Francisco i’au'a Navascues, D. Norberto reo , y no habiéndolo hecho este , al que le nombrará de oficio inme del Valle, D. Ignacio Armendariz, D. Blas Martínez y D. Basilio diatamente, con encargo de que en el correo próximo siguiente remita Torres, encargados de la cura de almas de dicha villa de…</t>
  </si>
  <si>
    <t>Norfolk</t>
  </si>
  <si>
    <t>…agrado, y mandaren se hiciese lo cual se hace todavía mas probable por la siguiente carta , escrita en eí acta de una exposición del ge fe político y diputación provincial por el capitán Norfolk, comandante del navio Hisperia , desde la isla de Mallorca , en la que felicitaban al Congreso por su nueva insta.ade Wight á 27 del corriente: cion, y manifestaban las providencias qu: habian temado para preca „ El 23 del mes último encontramos dos buques de…</t>
  </si>
  <si>
    <t>Noriega</t>
  </si>
  <si>
    <t>…11: sali de electores de partido, que son el conde dePrado Castellano, D. Josef dos ó curados 7: convalecientes 18 muertos 8: existentes 292. Noriega y D. Josef Viñau, abogado. El Sr. Noriega, rector del cole Total de los cuatro puntos; existencia anterior 517: entrados ó aco gio de la Asunción, es bien conocido , no solamente en Córdoba , sino metidos 34: salidos ó curados 24: convalecientes 73: muertos 27: por gran número de españoles de otras m…</t>
  </si>
  <si>
    <t>Noriega, Nicolás Escolar y</t>
  </si>
  <si>
    <t>Nicolás Escolar y Noriega</t>
  </si>
  <si>
    <t>…s diligencias de lectura y cotejo, que en el D. Andrés Villora. D. Juan Francisco Sierra. D. Diego Antonio Me término de 24 horas después de la notificación nombre cada uno un na. D. Nicolás Escolar y Noriega. defensor suplente , que deberá ser de los mismos que defienden á otros Partido de S. Clemente D. Josef del Campo Moragon. D. Josef Vi reos, ó de ios demas militares que residen en Cádiz; y para que no re llanueva. D, Santiago María Melgarejo. D. Diego Navarr…</t>
  </si>
  <si>
    <t>…cción. Con este motivo se embarcó para Hidra, Por la provincia ¡le Cuenca. D. Diego Parada, regidor de Madrid; publicando una proclama contra esta insubordinación, diciendo que To D. Nicolás Escolar y Noriega , presbítero; D. Juan Manuel Pió de dos querian mandar y nadie obedecer; y que no volverla sino bajo Arias, abogado; Di Manuel de Sierra, propiciarlo. Suplente. D. Pedro ciertas condiciones que le pusieran en estado de organizar los cuerpos, y Josef Villena.…</t>
  </si>
  <si>
    <t>Noroña, Miguel Cabral</t>
  </si>
  <si>
    <t>Miguel Cabral Noroña</t>
  </si>
  <si>
    <t>…en la Sampara, de una fanega, en 304 rs. Otra en el Cortadera, de 10 fanegas, en 1800 rs. ‘ ANUNCIOS. Otra en la Cañada, de una fanega , en 480 rs. Exposición que hace al público D. Miguel Cabral Noroña, relati Otra en la boca de la Cañada , de 9 celemines, en 360 rs. va á dos libelos infamatorios que escribió y dió á luz en dos números Otra en la Cruz, de fanega y media, en 720 rs. del periódico titulado el Constitucional un individuo natural de la isla Otr…</t>
  </si>
  <si>
    <t>NOTICIAS-DEL-REINO, Antonio</t>
  </si>
  <si>
    <t>Antonio NOTICIAS-DEL-REINO</t>
  </si>
  <si>
    <t>…votos contra 41 , con lo que se sobre lá distribución de electores de lis parroquias para la elección de levantó la sesión. individuos del ayuntamiento de la Coruña: y la otra de D. Antonio NOTICIAS-DEL-REINO. Rodríguez , procurador de la audiencia de Galicia , en quc'se queja deinfracción de Constitución contra el Gefe político de aquelia provincia, FHlxnurva de la Reina f provincia de Jaén ) 24 de Febrero. por haber procedido contra el decreto que trata de los e…</t>
  </si>
  <si>
    <t>Novia, Pedro</t>
  </si>
  <si>
    <t>Pedro Novia</t>
  </si>
  <si>
    <t>…DB IA ROSA, 'D. Francisco Quintano, de la Fuente. Llerena. Se ignora. Sesión del zt de Noviembre. Vizcaya. Aprobada el acta de la sesión anterior, se dió cuenta de una ex Bilbao. D. Pedro Novia. posición del ayuntamiento constitucional de Huesca, en la que da graPortugalfte. D. Miguel Butrón. sias á las Cortes por haber sido nombrada aquella ciudad capital de la Durango. D. Juan Josef Bcngoechea , cari. provincia de su nombre. Las Cortes quedaron en…</t>
  </si>
  <si>
    <t>Noviembre, Pedro Andrés de</t>
  </si>
  <si>
    <t>Pedro Andrés de Noviembre</t>
  </si>
  <si>
    <t>…de teniente coronel. E! suaeto que supiere con certeza si prescritas en el artículo 147 y demas del reglamento provisional de 29 aun existe ó si ya ha muerto se servir! escribir á D. Pedro Andrés de Noviembre de 1813. Gómez, oficial retirado en Valencia del Cid. EN LA IMPRENTA NACIONAL.</t>
  </si>
  <si>
    <t>Novoa</t>
  </si>
  <si>
    <t>…parte del derecho hibición del trigo , opinó que no debía aprobarse este artículo. que se fijaba en el articulo. El Sr. Alanian apoyó el dictamen de ia comisión , y habiéndose El Sr. Novoa manifestó que en Galicia habia suficiente material declarado el punto suficientemente discutido, pidió el Sr. Díaz del para las fábricas que en ella habia , y que por Jo mismo debía imponer Moral que se votase por partes; y habiéndose asi verificado se aprobó…</t>
  </si>
  <si>
    <t>…que se seguirían si se adoptase la tan considerable? ; Se ha de dar esta regla en atención á los mas des proposición que queda referida. graciados? Pues entonces compárense con el Sr. Novoa, que hace un El Sr. Alvarez Sotomayor hizo presente que el artículo de la co año que es teniente. Cree el Sr. Sánchez Salvador qiie se agravia á esta misión se oponia á la Constitución, puesto que no establecía la igual clase de tenientes, y yo no lo creo asi…</t>
  </si>
  <si>
    <t>…. Gil de Linares creen que deben ponerse no me pare Se aprobó el 6.a sin discusión , y se leyó en seguida el 7“ cen necesarias , por la misma razón que ha indicado el Sr. Paul. El Sr. Novoa dijo que era muy extraño que.el Sr. Bahamonde se El Sr. Rodríguez de Ledestna: Voy á hacer una observación reshubiese opuesto á este artículo, sabiendo que era tan análogo á losinte- .pecto de este artículo sin que me oponga á él. Me parece que no esjeses de…</t>
  </si>
  <si>
    <t>Novoa, Manuel Antonio</t>
  </si>
  <si>
    <t>Manuel Antonio Novoa</t>
  </si>
  <si>
    <t>…l-Salvador , núm. 54, en 11,325 rs. y previa calificación de los jueces de hecho de la ciudad- de Badajoz, 88 Otra id., núm. 55 , en 29,607 rs. por el de primera-instancia de ella.D. Manuel Antonio Novoa se ha r8p . Otra calle,de-Lineros , núm. 39 , en 11,381 rs. mandado en auto de primero del comente se entreguen , recojan y re 90 Otra plaza deL Pan , núm. 1 , en 22,120 rs. mitan á su- juzgado todos-los egemplares del' edicto publicado ,con fe 91 -Otra esqui…</t>
  </si>
  <si>
    <t>…güero, es res generales , distinguiéndose tan solo en el emblema que tendrán en pitan general del egército y provincia de Extremadura , entiende en su el puño. • - . testamentaria D. Manuel Antonio Novoa , juez de primera instancia de .. Regimiento de zapadores. !a ciudad de Badajoz , y por el oficio del escribano Pedro del Aguila y El uniforme de este cuerpo será igual al de los ingenieros, á ex Campi , é ignorándose quienes sean los legítimos herederos, se…</t>
  </si>
  <si>
    <t>Nudillo</t>
  </si>
  <si>
    <t>…ictamen de-la comisión de División del territo el dia en qué se-reciba y publique ;el presente decreto.” rio , en el que opinaba podía aprobarse la adición del Sr. Traver al ar El Sr. Nudillo opinó qué debía decirse que estos: aranceles empeza tículo 14 de su informe; añadiendo en su consecuencia después de la rán á regir désde el dia en- que se recibiese el presente decreto, estando palabra gefe político las de y demas autoridades respectivas. Ap…</t>
  </si>
  <si>
    <t>Nuevo, Josef Toma-</t>
  </si>
  <si>
    <t>Josef Toma- Nuevo</t>
  </si>
  <si>
    <t>…eiro en sesión pública de x.° de Octubre: D. Leoncio Barcena, dei primer batallón del de Zaragoza: á E&gt;. Pas 'su precio 4 rs. cual Puertoias , del primer batallón del de España: á D. Josef Toma- Nuevo diario de Madrid. Se suscribe en su oficina, carrera de San s o, del primer batallón del de Toledo: á D. Francisco Mancha, del Gerónimo, frente á la Fontana, á 6 rs. al mes llevado á las casas , y pa segundo batallón del de Murcia: a! coronel D. Vicente Sanch…</t>
  </si>
  <si>
    <t>Nugent</t>
  </si>
  <si>
    <t>…á quien se espera de un momento á otro caras de.la'nación.” Mr. Lambton apoyó esta proposición, en cuya defensa hablaron Mr. Witmor, sir John Mackin- •a Dusseldoríf. ITALIA. tosh, lord Nugent y lord Milton, y la impugnaron Mr. B. Bathurst, Mres. Benkes. Peel y TwifF. Mr. Bennet propuso se difiriese esta discusión, por cuanto había muchos- Nápoles 09 de Enero. El general barón Figuelmont ha sido nombrado minis individuos que deseaban exponer su mod…</t>
  </si>
  <si>
    <t>…entes del suprimido hospicio de Car De Viena anunciaban que el Rey Fernando habia vuelto á llamar melitas descalcáis, para cuyo primer remate , que se ha de verificar á su lado al general Nugent; pero el periódico en que esto se lee ha en aquella villa, está señalado el dia 12 del corriente. ce que se tenga por sospechosa tal noticia. Decíase de nuevo que los dos Ei edificio del hospicio, sito en dicha villa de Bilbao y calle del Emperadores se dirig…</t>
  </si>
  <si>
    <t>…ue los diplomáticos militantes salieron; de Laybach el 14 de este mes para volver i Viena por Gratz. han mudado de opinión acerca de la situación de los napolitanos; y El teniente general Nugent, que estuvo en peligro de ser asesinado que creen ya, á pisar suyo , que la libertad y la independencia valen en Ñipóles el mes de Julio últiitio, ha sido llamado á Laybach cerca algo , cuando la monarquía austríaca piensa en desplegar todas sus fuer del Sobe…</t>
  </si>
  <si>
    <t>…v la tercera á bién los alistamientos para la tropa, y van á ponerse las milicias en ser S. E. el gobernador general. Todas estas diputaciones llevarán despachos vicio activo. El conde Nugent, que ha conseguido del Rey de las Dos-Sicilias del conde de Geneis. __Una carta de 11 de Abril, recibida por el ministerio de ¡o Interior, su dimisión del grado de capitán general, vuelve á entrar con su grado contiene lo siguiente: en el egército. ,,Ahora, q…</t>
  </si>
  <si>
    <t>…euda pública, suspensa por ahora su provisión, y sin memo ingles. - afecto las concesiones que se hayan hecho sobre ellas; pero subsistirán Sir Roberto Wilson preguntó si el mayor general Nugent, oficial las pensiones legítimas con que se hallen.gravadas; exceptuándose de del egército ingles; el conde Nugent, empleado en^y! de:Austria, y. el ésta disposición las dignidades ó canonicatos pertenecientes á la univer príncipe Nugent, que sirve en el de N…</t>
  </si>
  <si>
    <t>Nugenty</t>
  </si>
  <si>
    <t>…s Cortes sobre el particular. Lo qutf co bertad.é independencia 'universal. -A su nombre gritaba á ios italianos munico á V. de Real orden, para su conocimiento y demas que cor el general Nugenty comandante de los austro-butanos: » vosotros deresponda. - ■ 1 1 - 1 beis.scr imanación independiente.” (Proclama á los italianos enjode Diciembre do 1813); ¿nombre, del pueblo ingles invitaba lord’BénPor la secretaría del Despacho de Gracia y Justicia se com…</t>
  </si>
  <si>
    <t>Nuncio</t>
  </si>
  <si>
    <t>…soldado de la libertad. no facultades para la secularización de las monjas, decia no haber con Mi repugnancia en votar el artículo que trata de los gastos de la testado nada dicho Sr. Nuncio, por lo que S. M. habia dispuesto que secretaría de Negocios extrangeros se funda en el convencimiento de por medio dal ministrodc Estado se dijese á nuestro encargado de Ne que nuestra diplomacia actual es un verdadero contrasentido. En efec gocios en Roma p…</t>
  </si>
  <si>
    <t>Nuñez, Donato</t>
  </si>
  <si>
    <t>Donato Nuñez</t>
  </si>
  <si>
    <t>…icar en la villa Paula Ardisone , se ha mandado por providencia de 22 del corriente, de Briviesca, trascurridos 30 dias, contados desde hoy. refrendada por el escribano del número D. Donato Nuñez, citar y em plazar por el término de 20 dias, contados desde el de su publicación, Una tierra en el Lian, de medio dia de id., en venta 55 rs., y á todas y cualesquiera personas que se conceptúen con derecho al cau en- renta medio copin.__Otra tierra en Rebor…</t>
  </si>
  <si>
    <t>Nuñez, Hipólito</t>
  </si>
  <si>
    <t>Hipólito Nuñez</t>
  </si>
  <si>
    <t>…l navio Guerrero hará su derrota para Ñapóles, en cumpli dad de sueldos y ascensos de esta clase. .. miento de las órdenes superiores. Se dió cuenta de la representación hecha por D. Hipólito Nuñez ' Madrid 2 de Marzo. de Montesinos, vecino de Hellin , para que las Cortes declaren haber SS. MM. y AA. continúan sin novedad en su importante salud. lugar á la formación de causa contra £). Tomas O-Donojú , Gefe político de Murcia, y contra el comandante de…</t>
  </si>
  <si>
    <t>Nuñez, Josef</t>
  </si>
  <si>
    <t>Josef Nuñez</t>
  </si>
  <si>
    <t>…Antón Pisador, el conde de Clavito, D. Diego Parada,. sente los vecinos los nombres de sus conciudadanos qué en los anteriores D. Dionisio Solis, D. Felipe Bauza, D. Jcsef Marti, D. Josef Nuñez merecieron la confianza pública; pero no nos ha sido posible reunir la Arenas , D. Juan Ailonca, D. Juan Lasaña , D. Manuel Flores Calde lista completa de todos los compromisarios. Esperamos que tanto este rón , D. Mariano Lagasca, el marques de Pontejos, D.…</t>
  </si>
  <si>
    <t>Nuñez, Juan Josef Cheri y</t>
  </si>
  <si>
    <t>Juan Josef Cheri y Nuñez</t>
  </si>
  <si>
    <t>…lidad-idel dictamen /habiendo tratado da los' artícu á los sugetos siguientes: c los 4. ‘ y.5." Que el decreto de 6 de Agosto era una ley tan sagrada ó Para la ciudad de Orí huela D. Juan Josef Cheri y Nuñez ; para Ca mas que las que se habian citado, y con arregio á éi los señores debian llosa de Segura D. Justo Sevilla; para Elche' D, Josef Ferrandiz Sán presentar sus títulos, para que los señoríos territoriales y solariegos se chez; paraNovelda D. Gregorio Mar…</t>
  </si>
  <si>
    <t>Nuñez, Taribio</t>
  </si>
  <si>
    <t>Taribio Nuñez</t>
  </si>
  <si>
    <t>…as cuales en vista de las ex Han sido nombrados diputados á Cortes por la provincia de Sala posiciones dirigidas por la junta nacional del Crédito público en 2ó de manca los Sres. D. Taribio Nuñez, bibliotecario mayor de la universi Junio, 31 de Agosto y 12 de Octubre última para que se eximiesen dad de Salamanca; D. Juan Pacheco, cura párroco de Sequeros, y Don del 4 por too las ventas de las fincas adjudicadas al referido estable Félix Ovalle , alcai…</t>
  </si>
  <si>
    <t>Nuñez, Tofibio</t>
  </si>
  <si>
    <t>Tofibio Nuñez</t>
  </si>
  <si>
    <t>…la ciencia gramatical; un Luis Vives, ingenio ame puesto en egecucion conforme á los princip.os del autor original nísimo y profundo; un D. Antonio Agustín, fundador de por el Dr. D. Tofibio Nuñez, jurisconsulto españolees un cua la ciencia numismática, no eran seguramente para olvidados. derno en 4.' de’143 folios, que presenta el prospecto del siste Y aun cuando se omitiesen todos estos, por ser en cierto ma á que se han arreglado en la edic-.on espa…</t>
  </si>
  <si>
    <t>Nurembcrg, En</t>
  </si>
  <si>
    <t>En Nurembcrg</t>
  </si>
  <si>
    <t>…ando se halle ya todo lante tendrán los cuerpos un ayudante mayor con la gra definitivamente arreglado por las altas potencias." duación de teniente, y será comandante de ellas ei capitán En Nurembcrg se tenían noricias el dia 11 del cuartel mas antiguo á de mas edad. Ari. ir. Si el numero de com genera' de Treviso, y anunciaban no haber ce-ado todavía pañías flecase a cuatro, y no pasase de siete , se formará la epidemia que se habia manifestado entre las…</t>
  </si>
  <si>
    <t>Nusiempre, Donato</t>
  </si>
  <si>
    <t>Donato Nusiempre</t>
  </si>
  <si>
    <t>…ud de providencia del Sr. D. Juan Gómez y Díaz, juez en digna de veneración; pero esta virtud eminente es preciso que vaya primera instancia de es-ia heroica villa , refrendada de D. Donato Nusiempre acompañada de cierta especie de moderación. En efecto, cuan ñez, escribano del número de la misma, se inunda sacar á pública su do un hombre en medio de su exaltación y amor ardiente á lo bueno basta una casa con destino á fabrica de jabón , sita en la vi]¡a…</t>
  </si>
  <si>
    <t>Ñ’avarrete</t>
  </si>
  <si>
    <t>…s seño Varios,Sres. diputados pidieron la palabra para hablar en pro y en res diputados elegidos á la Península , lo cual se comprueba con la ve contra del referido dictamen, y el Sr. Ñ’avarrete manifestó en un lar nida de algunos de ellos, y por lo mismo debe cesar la representación go discurso que la junta preparatoria no tenia facultades para tratar de supletoria de las mismas. Se ha dicho que esta medida era antipolítica, un asunto que no la corr…</t>
  </si>
  <si>
    <t>O'Higgins</t>
  </si>
  <si>
    <t>…ca; . pero aunque algunos hom que lo hizo por medio de una carta, han sufrido Ja mortificación de bres distingu dos, que deseaban ponerse á la cabeza de las nuevas cruza- -:que «1 capitán O'Higgins no haya querido entregarlos: acte insultante ■ das, procedan on mas circunspección por lo ocurrido en Viena, don - i los oficiales de S. M. y al pabellón ingles. de, como se sabe, han sido arrestadas muchas personas por haber abra ,2.° » Que la declaración de…</t>
  </si>
  <si>
    <t>O, Antonio</t>
  </si>
  <si>
    <t>Antonio O</t>
  </si>
  <si>
    <t>…inas reveladas, las leyes naturales y la Carta constitucional; escrita dispendios é incomodidades. Y propuso que aprovechando lo crítico dé por un abogado francés, y traducida por D. Antonio O.rtiz de Zarate, la estación, se tratase de mejorar el local de dichas aguas, preservándo quien la presentaba al Congreso. las délas avenidas del rio contiguo que podía perjudicarlas, y aún des Se contiiluó Ja discusión del proyecto-de reforma de aranceles. tru…</t>
  </si>
  <si>
    <t>O-, Demetrio</t>
  </si>
  <si>
    <t>Demetrio O-</t>
  </si>
  <si>
    <t>…eclesiásticos,- Sin, perjuicio de aeree bían aprobarle los de los Sres. D- Josef Cabeza y Mora, ditar á las que recurran, la pensión, designada en ei: arti diputado por Canarias: D. Demetrio O-"Dalí . por Puerto- culo 21 de la ley; dando al efecto la certificación oportuna Rico: D. Agustín de Torres, por Cataluña: D Mariano para el Crédito público en la forma misma que está preve Zorraquin, por Madrid: D. Anselmo-Antonio Hernández, nido, y se practi…</t>
  </si>
  <si>
    <t>O-, Juan</t>
  </si>
  <si>
    <t>Juan O-</t>
  </si>
  <si>
    <t>…to. Por estas razones opinaba la mayoría de la comisión : que se apoyaba en parte el dictamen de la comisión, deGa s 55 NIr-gua r. Que son nulos los poderes otorgadas en favor de D. Juan O- empleado público nombrado por el Gobierno podrá ser eieavio dipu Qavan por-estar egerciendo cargo público. tado de Cort-s por la provincia en que eeerce su cargo,” y debía tener 2.a Que en su consecuencia se pase al Sr. secretario de la Goberna se presente qu…</t>
  </si>
  <si>
    <t>O-Brien</t>
  </si>
  <si>
    <t>…o, terraplén del palacio y calles inmedia atender á sus negocios mercantiles. tas , en donde se apostaron hasta cosa de las ocho que llegó S. M. al pa Una correspondencia entre el teniente O-Brien, comandante de la lacio dei Roe o con los Sres. Infantes D. Aliguel y D. Sebastian para corbeta de S. M. el Slancy, apostada delante de Buenos-Aires, y el presenciar la gran parada que mandó el general D. Bernardo Correa de presidente de esta ciudad relativa…</t>
  </si>
  <si>
    <t>O-Da</t>
  </si>
  <si>
    <t>…quedando en primer escrutinio para presidente el señor unir por algún tiempo el mando político y militar en una sola persona. Moscosó por 9Ó votos de 179; para vice-presidente el Sr. O-Da!i, Siendo esta mi opinión , y no expresándose el distrito que han de por 113 votos de 174; y para secretario en seguudo escrutinio el señor mandar estos gefes , seria indispensable que se previniese esta circunstan lallave , los cuales ocuparon sus puestos. c…</t>
  </si>
  <si>
    <t>O-Dali</t>
  </si>
  <si>
    <t>…Para segundo individuo de la clase de diputados de Ultramar quedo • este objeto, con tal que queden bajo su administración particular los de f nombrado én el primer escrutinio el Sr. O-Dali por 111 votos de 157. Sacedon. La comisión opinaba dehia accederse á esta solicitud. • Para tercer individuo por la clase de diputados europeos no hubo Se leyó el dictamen de la comisión especial de Hacienda acerca de ' elección en primero y segundo escrutini…</t>
  </si>
  <si>
    <t>O-Dali, Defaetrio</t>
  </si>
  <si>
    <t>Defaetrio O-Dali</t>
  </si>
  <si>
    <t>…egiado la persona con Art. 3.0 » Que á los mariscales de campo D. Felipe Arco Agüero, tra quien deba procedeise, lo verificará del mismo modo su juez legíti D. Miguel López Baños, D. Defaetrio O-Dali y D. Carlos Espinosa mo, en vista de la certificación que se le presentará de lo resuello y se señaíe una renta anual perpetua de 40© rs.; y otra de 2oS) al briga convenido en el juicio de conciliación. 9.0 Toda persona demandada, dier D. Manuel Latre.” á quien cite el alcalde pa…</t>
  </si>
  <si>
    <t>O-Dali, Demetrio</t>
  </si>
  <si>
    <t>Demetrio O-Dali</t>
  </si>
  <si>
    <t>…e la exija desde campo D. Antonio Quiroga, D. Ralael del Riego , D. Felipe Arco luego, remitiendo su importe al alcalde que la impuso. En las'provin Agüero, D. Miguel López Baños, D. Demetrio O-Dali, D. Carlos cias de Ultramar la multa será de un peso fuerte á lo menos , y no po Espinosa y el brigadier D. Manuel Latre, con sus dignos compañeros de drá exceder de 5. 10. En los juicios de conciliación podrán concur los memorables sucesos de Enero , Febrero…</t>
  </si>
  <si>
    <t>O-Daly, Demetrio</t>
  </si>
  <si>
    <t>Demetrio O-Daly</t>
  </si>
  <si>
    <t>…o que sigue : La diputación provincial de la isla de Fuerte-Rico pide á su dipu Emmo. Sr. ■. » He dado cuenta al Rey de las cartas de V. Erna., tado en Cortes el mariscal de campo D. Demetrio O-Daly le propor fechas 26 de Febrero y 29 de Marzo últimos , é instrucciones que cione un maestro hábil y de sanas costumbres para plantear en la capi las acompañaban , en que hace referencia de la circular de 2 r da tal de aquella isla una escuela de enseñanza mti…</t>
  </si>
  <si>
    <t>…Cortes á nombre de varios ciudadanos be Moscoso, diputado por la provincia de Galicia.; para vice-presidente neméritos de la parroquia de S. Pablo de la. misma ciudad de Zarago el Sr. D. Demetrio O-Daly, diputado por la de Puerto-Rico, y para, za. Hecha esta manifestación, nada tengo que añadir á lo que ha dicho secretario el Sr. D. Pablo de Lallave, que lo es por la de Veracruz.” el Sr. Quiroga, sino recomendar á la comisión el despacho de am bos negocios,…</t>
  </si>
  <si>
    <t>…amaciones tutos: que las Cortes declarasen que los mariscales decampo D. Antonio que habria por parte de otros muchos héroes que habian cooperado al Quiroga, D. -Rafael del Riego, D. Demetrio O-Daly, D. Felipe de restablecimiento de ¡a Constitución, se suspendió la discusión de esteArco Agüero, D. Miguel López Baños y D. Miguel Espinosa, y el asunto para continuaría mañana á primera hora. brigadier Vázquez habian mérecido la gratitud de la patria, en-cuy…</t>
  </si>
  <si>
    <t>…Soberano, fue el que dirigió sus accio A los mariscales de campo D. Felipe de Arco-Agüero , D. Miguel nes en la heroica resolución que tomó. = Montevideo 20 de Marzo López Baños , D. Demetrio O-Daly y D. Carlos Espinosa se señal3 de x 821.” Siguen las Jimias de los gefes y oficiales de los cuerpos. otra rema anual de 408 rs., y otra de ao3 al brigadier D- Manuel Latre para ellos, y en su defecto para sus mugeres é hijos. 3.0 Las rentas NOTICIAS DE ESPAÑA. que se señalan en l…</t>
  </si>
  <si>
    <t>Ó-Don.ojú, Juan</t>
  </si>
  <si>
    <t>Juan Ó-Don.ojú</t>
  </si>
  <si>
    <t>…volvió á buscarla á la misma hora en que la había Es paña , con todos los goces y. emolumentos de los vireyes, al olvidado el día anterior. No oyó ruido alguno; pero alar teniente general D. Juan Ó-Don.ojú: i&gt;ara capitán general gando de nnévola cabeza , atravesó la brecha , que parecía de Andalucía al teniente general D. Tomas Moreno: para haberse ensanchado ¿ y vió un joven de hermosa figura sen capitán general de Galicia al mariscal de campo O. Francis tado…</t>
  </si>
  <si>
    <t>O-Donell, Alejandro</t>
  </si>
  <si>
    <t>Alejandro O-Donell</t>
  </si>
  <si>
    <t>1883</t>
  </si>
  <si>
    <t>…que no esté autorizada ó permi sala capitular con el coronel del regimiento de infantería del Imperial tido por la ley. La Constitución política de la Monarquía han jura Aleiandro D. Alejandro O-Donell, comandante de armas de la mis do. Constitución no mas apetecen; y fieles al juramento, no solo ma, se han enterado del mensage que V. M. se ha servido pasar á las la observarán y cumplirán con toda puntualidad , sí también la harán Cortes extraordinarias con…</t>
  </si>
  <si>
    <t>O-DonelL, Juan</t>
  </si>
  <si>
    <t>Juan O-DonelL</t>
  </si>
  <si>
    <t>…gran número de proporciones nuevas Vargas Ucles de Herrera , D. Jacobs Wals y Linch , Don y curiosas que ha sabido encontrar en una materia agotada Luis Soler y Gómez de Cárdenas, D. Juan O-DonelL y' al parecer. Sus principales teoremas pasaron á Francia con Fe ris, D. Gregorio Quiroga y Frías, Di Miguel Irribar- el tratado de Campo-Formio, y ei deseo que excitaron de ren y Ortuño, D. Ramón López y Arce, D. Josef Pul conocer la obra por entero produjo…</t>
  </si>
  <si>
    <t>O-Donell, Lino de Poinbo</t>
  </si>
  <si>
    <t>Lino de Poinbo O-Donell</t>
  </si>
  <si>
    <t>…ndo por el contraregistro para ción de la juventud por el doctor Goldsmith; y traducido al castellano llegar al pueblo de su destino, se recogerá ia guia en el contraregistro, por D. Lino de Poinbo O-Donell , subteniente aspirante de ingenieros : y facilitará una cédula con referencia á ella para que puedan entrar sin 2 tomos en 8." Se hallará en el despacho de libros de Bailo á 18 rs. á riesgo en la zona: 5/ Cuando las guias se expidan) en una aduana con la rús…</t>
  </si>
  <si>
    <t>O-Donojú</t>
  </si>
  <si>
    <t>…do en 26 de Noviembre entre los generales Bolívar y Mo tablezcan con reglamentos fijos, ya sean les que tenían antes , ó aqae-, rillo; y el segundo si era-igualmente cierto que el general O-Donojú, líos que se crean compatibles con la libertad civil, tan sabiamente ga nombrado hacia un mes capitán general de Nueva-F.spaña, debia em- . barcarse en el expresado navio; lo que produciría el itraso de mas de rantida por la Constitución. Se pasó á la comisió…</t>
  </si>
  <si>
    <t>…iego pú respondencia que habia examinado de este general con D. Juan Josef blico y con la felicidad común. Y cuando Yo había mandado dar las Gómez, y le habia sido remitida por el Sr. O-Donojú, capitán gene providencias que parecieron justas y adecuadas para consolidar el trono, ral de aquella provincia; y en esta atención se le declaró inocente del y asegurar la felicidad de todos mis vasallos, no dudé por condescen citado cargo, como consta de lo…</t>
  </si>
  <si>
    <t>O-Donojú, Juan</t>
  </si>
  <si>
    <t>Juan O-Donojú</t>
  </si>
  <si>
    <t>…la comisión, y al Asia, su comandante el capitán de igual clase D. Josef Primo de Ribajar de la tribuna recibió los parabienes de los vocales del lado dere bera. Conduce al Excmo. Sr. D. Juan O-Donojú, capitán general decho , y se levantó la sesión. Nueva-España. PORTUGAL. Madrid Jueves 7 de Junio. Lisboa 19 de Mayo___Sesión de Cortes del 18. SS. MM. y AA. continúan sin novedad en su importante salud. Después de haberse hecho varias proposiciones dijo el S…</t>
  </si>
  <si>
    <t>O-Donojú, Tomas</t>
  </si>
  <si>
    <t>Tomas O-Donojú</t>
  </si>
  <si>
    <t>…declaración en el térmi Montesinos , alcalde primero constitucional, dé,.la villa de Helím , se no dé 24 horas , ni dado libertad bajo caución. quejaba del Gefe político de Murcia D. Tomas O-Donojú, por ha A la comisión de Diputaciones provinciales se pasó una exposición ber suspendido al ayunlírnienio actual,, -reponiendo el del año-de del ..ayuntamiento.de Daroca , en que solicitaba la aprobación de la ven í8i4, á cuyo fin norobfó.nin comisionado,con…</t>
  </si>
  <si>
    <t>O-Doyle, Manuel</t>
  </si>
  <si>
    <t>Manuel O-Doyle</t>
  </si>
  <si>
    <t>…imitiva, conservado » Enterado el Rey de las contestaciones que mediaron eafre el co por ellos en su admirable y sublime sencillez, y por último las fór-, ronel vivo de infantería D. Manuel O-Doyle , teniente coronel ma muía» tan democráticas como pacíficas de su policía interior, presentan, yor del regimiento de infantería del Infante D. Carlos, y el comisario un cuadro que seria digno de la pluma de un Tácito. efectivo de Guerra D. Antonio Elias y Sic…</t>
  </si>
  <si>
    <t>O-Fnrrd, Gonzalo</t>
  </si>
  <si>
    <t>Gonzalo O-Fnrrd</t>
  </si>
  <si>
    <t>…- - :A las comisiones de Guerra y Legislación-Se pasó un recurso d. rí pando, que mandados por su alcalde, arrestaron á los tres alevosos que. gido desde París por el ex-ccrteral D. Gonzalo O-Fnrrd, en sobc -</t>
  </si>
  <si>
    <t>O-Gaban</t>
  </si>
  <si>
    <t>…iglo xvr. Otros Sres. diputados apoyaron el artículo, La misma comisión hizo presente haber examinado IoS y el Sr. Castello JBranco dijo, enue otras sabías y enérgicas poderes del Sr. O-Gaban, diputado por la Habana, y el reflexiones, que el derecho de. comunicar, cada uno sus expediente suscitado en aquella elección, en la cual se arroideas era un derecho de propiedad directa, ó. privilegio que glaron en. lugar del censo á urt cálculo prudencial…</t>
  </si>
  <si>
    <t>O-Gavan</t>
  </si>
  <si>
    <t>…por lo mismo r,o debía ni po viene el artículo 97 de la Constitución , creía que eran nulos los pode día tener fuerza un este caso la expresada cy, porque no había ¡legado res del Sr. O-Gavan, por ser provisor etl lá Havana , y estar declarado á.noticia de la junta electoral de la Havana ante» de elegir ios repre por jas Cortes que estos individuos esten comprendidos en dicho decre sentantes de su provincia ; que adema, el att. -07 Ce ia Cciisl.tu…</t>
  </si>
  <si>
    <t>…se ha incluido este artículo en la ba de hablar haya alegado las circunstancias y calidades personales del rectificación de la nueva tarifa. De orden de las Cortes lo comunicamos Sr. O-Gavan, porque es separarse dei verdadero punto de 1a cuestión, á V. E. con devolución del expediente para que tenga á bien ponerlo la cual se reduce á la incompatibilidad dei art. py-de la Constitución con en noticia de S. M. y demás efectos consiguientes.” la elec…</t>
  </si>
  <si>
    <t>O-Gavan, Juan</t>
  </si>
  <si>
    <t>Juan O-Gavan</t>
  </si>
  <si>
    <t>…jo el Sr. Cristo que el decreto de la* . La comisión de Poderes, después de haber examinado los délos Sres. Cortes ordinarias últimas deeia: no pueden ser elegidos diputados d Cor D. Juan O-Gavan , D. Josef Zayas y D. Josef Benitez, electos diputa tes por ia provincia en donde ejercen su jurisdicción lus arzobispos, obis dos á Coites por la isla de Cuba , y asimismo el acta de la junta elec pos , previsores &amp;c. , cuya palabra no pueden era un futuro,…</t>
  </si>
  <si>
    <t>O-Gavan, Juan Bernardo</t>
  </si>
  <si>
    <t>Juan Bernardo O-Gavan</t>
  </si>
  <si>
    <t>…sus vantó la sesión á las tres y cuarto. acciones en dicho juzgado; parándoles de lo contrario el perjuicio que haya tugar. ARTICULO DE OFICIO. Contestación á las observaciones de D. Juan Bernardo O-Gavan ■obre la suerte de los negros de Africa, y reclamación contra el tratado Mientras que el Eco de Padilla se complace en repetir las calum celebrado con los ingleses en 1817 : por Juan Bowring. El ilustrado au nias, que él dice ha leído en los papeles extranger…</t>
  </si>
  <si>
    <t>O-Gavan-</t>
  </si>
  <si>
    <t>…capitaliza vincia en que egerczn su cargo, se habia publicado en ja Havana des ciones; y otra nota de las capitalizaciones entabladas en la tesorería pués de hecha la elección del Sr. O-Gavan-: que asimismo por el espí nacional. ritu de Ja Constitución y la mente de sus amores era contrario á ia Se mandó pasar á las comisiones de Guerra y Hacienda una memo Opinión de la mayoría de la comisión; lo que se comprobaba por la ria ó proyecto del tesorero…</t>
  </si>
  <si>
    <t>Oais, Luis de</t>
  </si>
  <si>
    <t>Luis de Oais</t>
  </si>
  <si>
    <t>…Ñapóles había formado un campó en los alrededores de aquella capital. toda lá Morea, y se han puesto á la cabeza del pueblo armado los arzobis Ha llegado á esta capital el Excmo. Sr. D. Luis de Oais , ministro de pos', obispos y los curas délos habitantes del campo. Las banderas que España cerca de la corte de Londres. Casi todos los periodistas se han han adoptado para el egército y para los buques armados son iguales á equivocado , anunciando queel Sr.…</t>
  </si>
  <si>
    <t>Obrego-, Jos.-f de</t>
  </si>
  <si>
    <t>Jos.-f de Obrego-</t>
  </si>
  <si>
    <t>…y aun Por el ministerio de Marina.se comunicó-en 21 de Mayo últ:mo que íc vean i cad3 paso desmentidas, no pot e¿o se amilanan, sino que al-capiian de B*no de la ar.wada nacional D. Jos.-f de Obrego-, cc-</t>
  </si>
  <si>
    <t>Obregon</t>
  </si>
  <si>
    <t>…lo que contesto el Sr. presidente que se dis los correspondientes informes, y resultando de ellos ser cierto lo que cutiría tan pronto como lo presentase la comisión. expresaba el Sr. Obregon , opinaba debía accederse i su sol citud. Se continuó la discusión de los artículos que presentó la comisión Los de la de Diputaciones provinciales acerca de las solicitudes si sobre diermos, en virtud de varias adiciones que se habían pasado á la guientes: u…</t>
  </si>
  <si>
    <t>Obregon, Josef</t>
  </si>
  <si>
    <t>Josef Obregon</t>
  </si>
  <si>
    <t>…bre todo EI Sr. secretario de! Despacho de Marina remitió de orden dsl-Rey . cuando se emplea .contra fusiles sin bayoneta como los de los, turcos. un escrito del.capitan.de navio D. Josef Obregon , en el que h»cia:.va- í Les aconseja que .fortifiquen el istmo de Corinto, asegurándoles que . rías observaciones acerca del proyecto orgánico de la armada nay.iU Las basta una semana .para poner aquel punto ..encestado de qué todas las Cortes lo recibieron…</t>
  </si>
  <si>
    <t>Obregon, Ventura</t>
  </si>
  <si>
    <t>Ventura Obregon</t>
  </si>
  <si>
    <t>…que ha Tampoco se admitió á discusión otra indicación del mismo señor arreglado e! administrador de la estafeta de Slgitenza, y ademas cuatro" Cañedo , dirigida á que el poder de D. Ventura Obregon, diputado encerados sueltos; infiriéndose de estoque faltan dos pliegos: el juez suplente por la provincia de Guanajuato, que se habia presentado en de primera instancia ha hecho conducir la correspondencia hallada á sus la secretaría, pasase á la comisión de…</t>
  </si>
  <si>
    <t>…caso incluir en les presupuestos de to El de la de Poderes (después de una corra discusión) acerca de la so dos ¡os años, porque debería cobrarse por el tesoro público. licitud de D. Ventura Obregon , diputado suplente por la provinc:a de 1 El Sr. Cepero hizo presente ¡a obligación sagradisima que tenia el Guanajuato, eu la que manifestaba la notoria imposibilidad de que lle Congreso de hacer cuanto fuese posible en beneficio de estas personas, gasen alg…</t>
  </si>
  <si>
    <t>…la de Hacienda al oficio^que se ie pasó en 8 del actual sobre aranceles. secretaría habia determinado que se tuviese presente al tiempo de Ja dis Entró á jurar, y tomó asienro el Sr. D. Ventura Obregon, diputa cusión de la citada ley. do suplente por la provincia de Guanajuato. En seguida se leyeron los artículos siguientes: Se leyeron por primera vez las proposiciones de un Sr. diputado por Art. i.° « Todo español ó extrangero que descubra una mina, de Ult…</t>
  </si>
  <si>
    <t>Obvegon, Buenaventura</t>
  </si>
  <si>
    <t>Buenaventura Obvegon</t>
  </si>
  <si>
    <t>…nos extrangeros. no se ocasionarían tantos gastos. A Ja comisión de Poderes se mandaron pasar los presentados .por El Sr. Sierra Bambiey dijo: las Cortes han dicho que ha de haber D. Buenaventura Obvegon , diputado electo por la provincia de Guá- cinco direcciones. Esta es la base del artículo que trata 4e esto, y en el najuato. cual quedo por aprobar la quinta dirección que propuso la comisión. Se leyó por primera vez una proposición del Sr. Golfín , á fin d…</t>
  </si>
  <si>
    <t>Obver</t>
  </si>
  <si>
    <t>…ículo. podría decirse- que será despedido el guardia-marina que se muestre 1:1 Sr. Ezpeleta dijo que dfseaba hacer algunas observaciones en pro ■incorregible: en lo que convino el Sr. Obver en nombre de ¡a comisión. y en contra del artículo: que apoyaba el dictamen de la comisión en El Sr. Díaz del .Vloral dijo que se estaba en el momento de poner cuanto á abolir la clase de brigadieres , porque se da con la mayor ge esto en claró y bajo de unas…</t>
  </si>
  <si>
    <t>Ochagavia, Andrés</t>
  </si>
  <si>
    <t>Andrés Ochagavia</t>
  </si>
  <si>
    <t>…por el precipicio con el Farolero. Los milicianos que han hecho este distinguido servicio VARIEDADES. son los siguientes: infantería, teniente D. Josef María 'Ba rona: subteniente D. Andrés Ochagavia : sargentos segundos Reflexiones sobre el imperio de Rusia. D. Calixto Mora yD. Cipriano Díaz: cabos segundos Don El imperio de Rusia es el país de las contraposiciones Santos García del Barrio*, D. Josef del Moyo. D. Juan. tnas singulares que presenta ei mun…</t>
  </si>
  <si>
    <t>Ochasavia, Juan</t>
  </si>
  <si>
    <t>Juan Ochasavia</t>
  </si>
  <si>
    <t>…n El imperio de Rusia es el país de las contraposiciones Santos García del Barrio*, D. Josef del Moyo. D. Juan. tnas singulares que presenta ei mundo, ssi en lo tísico como Obeso, D. Juan Ochasavia y D. Minué! Gutiérrez Dosal: en lo mora'. Los inmensos desierros de la Si be ría están to tambor D. Pedro Alejandro NÍarcotan : milicianos D. Andrés davía cubiertos de nieve cuando ya los ardores del estío han González Barona , D. Ramón At area. IJ. Manuel González, mar…</t>
  </si>
  <si>
    <t>Ochca</t>
  </si>
  <si>
    <t>…no queriendo molestar Sr. Calderón para la del Código de procedimientos, en atención á ha mas la atención del Congreso, espero me permitirá que haga las siguien llarse enfermo el Sr. Ochca. te proposiciones: r.J que se suspenda la discusión presente hasta qué Las Cortes oyeron con satisfacción la comunicación que las hacia discutan todos los códigos pendientes que se hayan formado: 2.a que el Sr. secretarlo del Despacho de la Gobernación de la…</t>
  </si>
  <si>
    <t>Ochoa</t>
  </si>
  <si>
    <t>…de 3 fanegas y media, en 3 30 rs. indicación, se aprobó asi. Una casa en la citada ciudad de Ronda en el barrio de S. Francisco; Se leyeron por primera vez siete proposiciones del Sr. Ochoa, di contigua al convento, en 3048 rs. rigidas al arreglo del repartimiento de la contribución general, evitan Otra casa en la calle Real, barrio del Mercadillo, en 2836 rs. do los perjuicios que en la actualidad se originan. Otra, calle del Puente viejo, en 3…</t>
  </si>
  <si>
    <t>3°4 ciudadanos.s:El diputado conde de Villar de Fuente.=E1 diputado por 70: 17 el Sr. Ochoa por 62: 18 «1 Sr. Canabal por ya: 19 el se teniente de navio de .la. «Tinada. -nacional Dionisio Capaz, na El secre ñor Lasañta por Ó4; y 20 el:Sr. Rey,'por:62. tario «de la diputación»Tnédico de cámara-déFi.íM., Hipólito Unaniié,” • "■ Sé leyó-un oficio del-…</t>
  </si>
  <si>
    <t>…ltimamente, se dió cuenta de las felicitaciones del Gefe político mirarse como no aislado este acontecimiento. deSegovia, del intendente de la misma provincia, del.conde de Mo- El Sr. Ochoa pidió que la comisión encargada de averiguar el esta tezuma y del regimiento de Zapadores, manifestando este que si fuese do de la nación diese parte de lo que hubiese adelantado; á lo que necesario seria el primero en presentarse á defender la patria. Las Co…</t>
  </si>
  <si>
    <t>…y García, presbítero, residente en Santiago de Cuba, Avila. Previa una breve discusión se aprobó este dictamen , y una in contra el Sr. arzobispo de aquella diócesis. dicación del Sr. Ochoa, que decía: » Pido á lasCortes que declaren ha^? A la del Código civil se pasó una exposición de D. Antonio Ramí ber lugar á Ja formación de causa contra el asesor.” Después de lo cual rez de Sevilla, alcalde constitucional de un pueblo de la piovincia de se…</t>
  </si>
  <si>
    <t>…mas piden se exija la responsabilidad á los oficiales de la secretaría con el buen desempeño de los negocios. de Guerra que entendieron en el expídiente promovido anteriormente El Sr. Ochoa manifestó lo poco conveniente que éra’á la Nación por los mismos. • aumentar empleados; y habiendo hecho algunas reflexiones'sobre esto, A la comisión de Guerra se-pasó una exposición del teniente gene conóparó los sueldos excesivos que disfrutaban, y el trab…</t>
  </si>
  <si>
    <t>…radores síndicos. Asimismo opinaba que á fin de que guardase la debida proporción el número de electores. con el de elegidos, podía putacrones provinciales y .de. Ultramar. ... El Sr. Ochoa hizo las proposiciones siguientes, que á propuesta del ampliarse et artículo y.°.de la misma ley en los términos siguientes: Sa conde de ‘Ioreno pasaron á la comisión especial de Hacienda: que se nombren 9 electores en los pueblos que no lleguen á 1000 ve x.…</t>
  </si>
  <si>
    <t>…ualquiera que diputación provincial de Mallorca ( que presentó el Sr. Vitorica), dan sea la causa de ello. do gracias á las Cortes por algunas providencias que han tomado, y fe El Sr. Ochoa dijo que las observaciones que habla hecho el señor licitándolas por su nueva instalación. preopinante eran agenas de este lugar ; que lo que se debía tratar era Se mandaron pasar al Gobierno tres indicaciones del Sr. Sosa para si las Cortes podían exigir la…</t>
  </si>
  <si>
    <t>…e Estado dos representaciones del co relativas á tomar-las medidas que juzgase convenientes, á las cuales mercio de Santander. Yo Creo que este expediente se debe juzgar por lo el Sr. Ochoa se ha opuesto terriblemente, y yo quisiera que S. S. hu que resulte de él. Por la segunda consulta del consejo de Estado se ve biese fijado los medios para atajar estos males. que él oficial de la mesa hace reflexiones muy sólidas, por las cuales Hay que hace…</t>
  </si>
  <si>
    <t>…e la comisión no halla inconveniente das las atenciones del Estado no están pagadas, como muy bien ha di en quedas Cortes accedan á lo contenido en la primera y segunda pro cho el Sr. Ochoa ¡ por consiguiente se debia haber mirado este asun puestas del Gobierno; pero no á la tercera, excepto en el caso que por to con mas interes. Jas autoridades locales se desobedezca primera y segunda vez á la de los . Yo apruebo el dictamen de la comisión; per…</t>
  </si>
  <si>
    <t>…ecularización dé las monjas, y con qué fecha la ha pedido.” por aquella provinciay otra de la diputación provincial de Galicia so Se leyeron por primera vez unas proposiciones del Sr. Ochoa, rela bre qiie1 se. acceda i la solicitud del ayuntamiento de Orense-,"el cual tivas ai arreglo de ayuntamientos. pide :se le concedan'arbitrios para sus gastosriniinicipales. También se leyó por primera vez otra proposición de los Sres. Paul Aíi comisioií Es…</t>
  </si>
  <si>
    <t>…eite y Carne. bre el consumo de vino, vinagre, aguardiente y licores, aceite y carne. Arr. 2.0 » Esta cantidad se repartirá entre los pueblos de la Penín Se leyó ei art. 2.0, y el Sr. Ochoa manifestó que en lugar de ha sula é islas adyacentes por el presupuesto que ofrezcan los últimos va cerse este repartimiento por últimos valores de los encabezamientos y lores de los encabezamientos, y administración de rentas provinciales, administraciones d…</t>
  </si>
  <si>
    <t>…ñoles por io que hace á la Península (que en cuanto sión , sino que no debe volver á ella como se ha dicho. ■í Ultramar, y principalmente en la Havana, luego se ver* como la co El Sr. Ochoa dijo: La comisión de Hacienda el día que se examinó misión trata de que se ad-.pim estas disposiciones). En Orden á la fa este expediente estaba toda reunida , y todos sus individuos convinie bricación, habiendo estado prohibida en España tanto ri-meto, apena…</t>
  </si>
  <si>
    <t>…se discutian. Después de haber manifestado su autor los motivos que tenia para .El Sr. Romero Alpuente dijo : me parece que todo el capítulo de hacer dicha indicación, contestó el Sr. Ochoa que la comisión ordina registros es antipolítico y antieconómico ¡Qué novedad tan extraordi ria de Hacienda tenia meditado su dictamen. naria para las Castillas, y cuanto mayor para las provincias vasconga El Sr. López f D. Marcial) dijo que el dictamen de Ja…</t>
  </si>
  <si>
    <t>…scuentos, con cuya consideración se arregla dad y lo indispensable que es el que los haya. rán los sueldos. Él Sr. Cilatrava dijo que el párrafo 4.” del art. 321 de la Constitu El Sr. Ochoa dijo: un sueldo fijo á los empleados es una finca sobre ción decía que pertenecía á los ayuntamientos hacer el repartimiento y toda la Nación y sobre cada uno de los españoles, pues estamos hipote recaudación de las contribuciones , y remitirlas á la tesorerí…</t>
  </si>
  <si>
    <t>• 4 -V-T5 principales en este artículo , y en su consecuencia quedó aprobado esté Por lo que ha dicho el Sr. Ochoa de quela España no ha pagado nin en Jos términos referidos. gún año 700 millones, debo manifestar que no solo ha habido año Se aprobó el art. 39 , que decía asi: que se há verificado este gasto en tiempo de Carlos iti ¡ sino que en el Art- 39. » La contaduría…</t>
  </si>
  <si>
    <t>…egército, manifestando la necesidad de de Ja palabra arbitrios las de,jy de no haber otros menos gravosos. aumentar el sueldo al cuerpo de cirujanos militares, por haber cesado Ei Sr. Ochoa hizo una adición al mismo dictamen , y se mandó algunas pensiones que disfrutaban. pasar á la comisión. Se mandaron pasar á la comisión Eclesiástica unas indicaciones del Se verificó la primera lectura , y se mandó imprimir el dictamen Sr. Villanueva, relativ…</t>
  </si>
  <si>
    <t>…ovincia de‘Yucatán.” „ Se aprobó el dictamen de la comisión de Diputaciones provinciales También se leyó la siguiente del Sr. Mendez: « Que se añada á sobre la adición que hizo el Sr. Ochoa en la sesión del 19 del corrien Goatemala.” te al dictamen de la misma comisión (véase dicho dictamen en la ga Ambas adiciones se mandaron pasar á la comisión. ceta del 20). La comisión opinaba que las diputaciones provinciales , en Se leyó la siguiente del S…</t>
  </si>
  <si>
    <t>…su extracción. en lujar del rir. García-Piwpéal i»r. Martínez-de la Rosa. El Sr. Cavaleri apoyó la opinión de los Srcs. López ( D. Marcial) Juró y ¡ornó asiento.en el Congreso el Sr. Ochoa. y San-Miguel, manifestando que medíante la abundancia de minas de Se procedió. á la discusión del- dictamen de .¡las comisiones de Ha carbón que habia en España, no sabia porque se habia de permitirla cienda y Comercio sobre la prohibición del carbón de pied…</t>
  </si>
  <si>
    <t>…. Oliver manifestó que con respecto a! primer punto , esto es, bien conocida y considerable á la Nación. al de que ei 1 por xoo se sacase de los ingresos que hubiese después dé El Sr. Ochoa: Me parece que las Cortes deben aprobar el artículo rebajados los gastos de las aduauas, no tenia dificultad la comisión en que presenta la comisión, sin perjuicio de que se haga alguna reforma. acceder á ello; pero que no asi con respecto al quinquenio que h…</t>
  </si>
  <si>
    <t>…. á los sugetos que tendrían que ocuparse , ¿ los gastos de carbón , papel El Sr. secretario de la Gobernación manifestó que muy rara vez y otros indispensables. s« abonaban; y el Sr. Ochoa concluyó su discurso, exponiendo oue no El Sr. secretario la Gobernación manifestó que la .comisión ha— abonándose estos gastos se conformaba con los sueldos que se prefijaban. bia propuesto anteriormente los sueldos que debian tener los gefes po Ei Sr. secre…</t>
  </si>
  <si>
    <t>Ochoa, Andrés</t>
  </si>
  <si>
    <t>Andrés Ochoa</t>
  </si>
  <si>
    <t>…ausa con arreglo á la antigua ley. baco en polvo, que vendió á la Hacienda pública en el año 1812 su Y en cuanto á las dudas ocurridas al ayuntamiento de Málaga apoderado en Cád:z D. Andrés Ochoa. Otra de Doña Eugenia riel era la i.'1 si habiendo sido los denunciadores algunos individuos de Aguila, viuda de D. .Manuel Díaz Bernardo, administrador que fue Ja guarnición y cuerpo de milicias de aquella plaza del núm. i.° dei</t>
  </si>
  <si>
    <t>Ochoa, Antonio Josef</t>
  </si>
  <si>
    <t>Antonio Josef Ochoa</t>
  </si>
  <si>
    <t>de Manacor á D. Pedro Juan Morel! ; para '^jl de Llumayor á Seis marjales en dicho término, pago del Lunes, en D. Antonio Josef Ochoa ; para Mahon á D. Esteban Brío- 4200 rs. nes; para el de Ciudadela á D. Josef Banquells, y para Cinco marjales en dicho término, pago del Martes, en Ibiza á D. Sebastian Terres. 3000 rs. Siete marjales en dicho término, pago del Viernes , en En atención á los…</t>
  </si>
  <si>
    <t>Ocio, Martin de</t>
  </si>
  <si>
    <t>Martin de Ocio</t>
  </si>
  <si>
    <t>…audiencia territorial, y juez letrado de primera instancia, y medio de monte y pasto, cerrado de sobre si con árboles infructífe en esta M. H. villa, se siguen autos por parte de D. Martin de Ocio, ros , en venta 540 rs. , y en renta 3 ferrados de cebada__ Al sitio de presbítero, capellán de la villa de Zarraton, en la;provincia de la KioJa chonta de Peneivos, 4 ferrados y 8 cuartillos de tierra dé labor, ja, sobre reclamación de diferentes vales Reale…</t>
  </si>
  <si>
    <t>Octaviano.Obregon</t>
  </si>
  <si>
    <t>…iones Pinilla y Perez, teniente letrado y asesor ordinario del gobierno é in extraordinarias van comunmente acompañadas de temblores de tierra, de tendencia de la Nueva-Vizcaya: á D. Octaviano.Obregon , magistrado que ya enda antigüedad fueron víctimas muchas ciudades déla Acáhonorario de la audiencia de México, diputado que fue a las Cortes ge- ya. Todo lo contrario sucede en el extremo mas oriental del golfo qm neralgSty, extraordinarias; yá D Josef Igna…</t>
  </si>
  <si>
    <t>Octubre, Ma de</t>
  </si>
  <si>
    <t>Ma de Octubre</t>
  </si>
  <si>
    <t>…los presidente al Sr. D. Inocencio de Cesare; para vice-presi den residentes en este reino el citado decreto de las Cortes de r.° te al Sr. D. Gerónimo Arcovtto , y secretarlo ai Sr. D. Ma de Octubre último; á saber: la congrua de 10o ducados teo Intbriani. anuales , á fin de que con esta seguridad , con el atestado La gaceta de Génova del 13 de Enero anuncia, apa de cualquiera ordinario que en España se constituya su be yándose en cartas de Bolonia , que…</t>
  </si>
  <si>
    <t>Odaii</t>
  </si>
  <si>
    <t>…cata 2 La de hacer efectivala- res ■ fie, mandó pasar á las referidas comisiones la siguiente proposición ponsabilidad de los que han firmado esta exposición. Es menester sepa del Sr. Odaii: » Pido fi las Cortes que las medidas que propone la co rar la causa de los delincuentes de lós qué no son mas que ilusos, y misión para la isla de Sto;, Domingo sean extensivas á Puerro-Rico.” sobre todo de la de los inocentes. El pueblo de Sevilla es consti…</t>
  </si>
  <si>
    <t>Odier, Gabriel</t>
  </si>
  <si>
    <t>Gabriel Odier</t>
  </si>
  <si>
    <t>…no debían discutir provincia por provincia, nos, de Madrid; D. Francisco Lozano; D. Francisco Javier García; porque en este caso resultana la necesidad de atender á mil circunstan D. Gabriel Odier y compañía^ de Paris ; Doña Graciosa de Meoqui, d* cías indispensables, pues cada Sr. diputado querria que aquel pueblo á Pamplona; D. Joaquin de Meñaca y Batiz, de Bilbao; D. Joaquín Ca que tiene mas cariño fuese preferido á los demas. no; D. Joñas Hagerman,…</t>
  </si>
  <si>
    <t>Odver</t>
  </si>
  <si>
    <t>…bia y Azaola, que dijeron no consideraban al Tesorero general par Acero, sargento de la milicia nacional de Valencia, que se halla como infractor de lá Constitución, y el otro del Sr. Odver, que uccia en esta corte, en que pedían se les mandase dar pasaporte por quien que las Cortes deben encargar al Gobierno que se cumplan los conve corresponda para agregarse á la división destinada á perseguir al rebel nios de tí de Noviembre y de 15 de" Dicie…</t>
  </si>
  <si>
    <t>Odysseo</t>
  </si>
  <si>
    <t>…no bien hubo llegado á esta provincia cuando fue atacado sobre la medida mas esencial al fomento y valor de la riqueza territo vigorosamente por las tropas griegas mandadas por el general Odysseo, rial de las provincias, cuando no hay una sola de estas que tenga las el cual lo derrotó completamente.” mas necesarias; pero urgen sobre todo canales laterales del de Campos Se citan cartas de Petersburgo y de Odesta que prometen la paz ge al Ezla y Duero,…</t>
  </si>
  <si>
    <t>Oehoa</t>
  </si>
  <si>
    <t>…r todo el mundo que en España no ha mo que se nota en otras órdenes que se han pasado á distintas partes. brá nunca anarquía , y que cualquier dictador que quisiese sacar la ca Ei Sr. Oehoa dijo : En mi concepto, como ha dicho muy bien el se-: beza iría abajo. Ein España solo habrá una Monarquía constitucional, ñor Golfín, no se h&gt; contestado por el ministerio á la cuestión principal, á cuya frente estará siempre el Rey. i saber : si han perdido…</t>
  </si>
  <si>
    <t>Oeon, Josef Asensio de</t>
  </si>
  <si>
    <t>Josef Asensio de Oeon</t>
  </si>
  <si>
    <t>…los comisionados .especiales de las diócesis se dirigirán á los M. RR. ar 9.“ de dicho decreto: zobispos &gt; RR obispos y demas a quienes corresponda , á fin de que se En Albarracin.D. Josef Asensio de Oeon, en Almería D...Felipe sirvan disponer que las personas á cuyo cargo hayan estado rindan Gómez de Tortosa, en Abtorga D. Pedro Valgoma de Alvarez, en cuenta con pago de todo lo que hubiesen percibido y devengado des Avila D-Francisco Sánchez de Arco j en Bada…</t>
  </si>
  <si>
    <t>Oferral, Diego</t>
  </si>
  <si>
    <t>Diego Oferral</t>
  </si>
  <si>
    <t>…'. hace en ella tina explicación metódica de todos los artículos Juan de Zafra sobre casas dicha calle 138 rs. 8 mrs. que comprende nuestra ley fundamental, sino que se fijan y re D. Diego Oferral sobre casas en la propia calle 138 rs. suelven las principales cuestiones'dé esta importantísima ciencia, 8 mr.s. y se rebaten las ideas contrarias á aquella que Mr, Benjamin Doña Luisa Cantillo sobre casas calle de la Trinidad Constant, y últimamente Lanjuin…</t>
  </si>
  <si>
    <t>OFICIO, ARTICULO DE</t>
  </si>
  <si>
    <t>ARTICULO DE OFICIO</t>
  </si>
  <si>
    <t>…uer po considerable de rusos pasará ¿ reunirse á la división austríaca si ANUNCIOS. tuada en el alto Tesino. . - ' - • Lecciones políticas para el uso de la juventud española, por Don ARTICULO DE OFICIO. Manuel López Cepero, diputado en Cortes. Esta obrita, dispuesta en 'forma de diálogo entre un padre y un hijo, consta de 20 capítulos ó •Circular del ministerio de Gracia y Justicia. lecciones, de las cítales las io: primeras tratan de los principios de de C…</t>
  </si>
  <si>
    <t>…del código penal; y levantó Ta sesión á las tres. El Sr. Garelt dijo: He pedido la palabra para manifestar que una definición genérica debe estar concebida con mucha claridad ; el señor ARTICULO DE OFICIO. Traver ha creído conveniente que cada delito tenga una definición; pe ro esta puede estar concebida en tales términos, que sean comunes á El Sr. secretario del Despacho de Gracia y Justicia dice a! Sr. se otros delitos; la ley no puede menos de calificar la…</t>
  </si>
  <si>
    <t>OI</t>
  </si>
  <si>
    <t>…e contagio, y á la de 28 los que sean suscepti sueldo suficiente para vivir con decoro , no se les obedece. bles. Lo que proceda de Málaga queda también sujeto al sistema de pa El Sr. OI ¡ver apoyó el dictamen de la comisión acerca del artículo tente sucia__ Posteriormente ha determinado aquel Gobierno que cuan que se discutía ; y dijo que lo que se estaba discutiendo sobresueldos to proceda de España, sin distinción alguna, quede sujeto al s…</t>
  </si>
  <si>
    <t>…angera en favor de la nacional. En efecto, éstos han sido ¿atuviesen en un puerto y saliesen para otro. sus principios; y niinca puede confundir el ínteres que puede tener la • El Sr. OI iver hizo presente que esto se habia propuesto para el fo Nación en qué vengan extrangeros á establecerse á España, "con el que mento del comercio de cabotaje, y conforme en otras naciones ha puede tener la Nación en fomentar sus fábricas. La comisión ha sido…</t>
  </si>
  <si>
    <t>Oí</t>
  </si>
  <si>
    <t>…t. Igualmente se mandó imprimir el dictamen de las mismas comisio vuelto a sus padres que le reclamaren , los cuales con la intervención nes acerca de las cuatro proposiciones del Sr. Oí i ver hechas en 33 de de las juntas se concertarán artes con el prohíjame sobre e¡ modo r Octubre, relativas á la nueva forma que se ha de dat á las contadurías forma en que haya de ser este indemnizado de los gastos hechas en U de propios y arbitrios, y secr…</t>
  </si>
  <si>
    <t>Oiañeta, Amonio de</t>
  </si>
  <si>
    <t>Amonio de Oiañeta</t>
  </si>
  <si>
    <t>…ación vera discipiina , y notoria adhesión á sus gefes. Por los partes del gene de las monedas: 14- Promover la observancia de la Constitución y de ral de vanguardia del alto Perú D. Amonio de Oiañeta consta que se las leyes, y el bienestar de la nación portuguesa en general.” habiau presentado á pedir la protección de las armas nacionales cuatro Se aprobó el artículo con alguna corta variación, excepto la facul escuadrones que tenian los enemigos en la qu…</t>
  </si>
  <si>
    <t>Oii-</t>
  </si>
  <si>
    <t>…o que ios consulados no- pueden depender del tas plazas han de tener los que las pretendan las calidades siguientes: almirantazgo, ninguna relación tiene este cuerpo con ellos. El Sr. Oii- 1.a No han de ser menores de 12 años de edad, ni mayores de 18 : 2.'* ver desea que se apruebe este artículo, y manifiesta que debe pensarse -Han de ser de buenas costumbres , sin ningún vicio ni enfermedad ha en reformar cuanto antes estas tarifas, que tanto…</t>
  </si>
  <si>
    <t>Oiivcr</t>
  </si>
  <si>
    <t>…e 100 luises, y tuviese una cédula ó resguardo lo cual se evitaban todos los rezelos del.Sr. preopinante. de 30©, se hallaría en el caso que esta no le valdría, y tendña que re El Sr. Oiivcr manifestó que no podia aprobarse la proposición del currir á otros medios; y en este caso un solo dia de dilación traia Sr. Alaman, porque como quiera que los medios luises no tenian un muchos inconvenientes al crédito del tal comerciante. • valor igual , res…</t>
  </si>
  <si>
    <t>Oiiver</t>
  </si>
  <si>
    <t>…cordados por el Sr. Gutiérrez Acuña , se trataria en una sesión Florez Esrrada y Zorraquin. . extraordinaria. Se leyó la siguiente indicación del Sr. Moreno Guerra : » Pido que El Sr. Oiiver continuó la lectura del proyecto á que dió principio la comisión de Bellas artes presente á la mayor brevedad su informe so en la sesión de ayer, ia que se suspendió para dar cuenta de un oficio bre variación de troqueles, para que las monedas lleven el nombr…</t>
  </si>
  <si>
    <t>Oiíver</t>
  </si>
  <si>
    <t>…» : constante de todas las naciones. Por lo cual no permitiré que se retire i-ü »&gt; i'l establecimiento de adnanas y depósitos, acomodado por sus este artículo, como ha indicado el Sr. Oiíver. distintas clases a los fines útiles de su creación. El Sr. Sancho: El Sr. conde deToreno no ha fijado la cuestión ba 2. » Todas las medidas que crea conducente; pr.ra arreglar definiti jo su verdadero aspecto. Esta se reduce á ver si hay contradicción entre…</t>
  </si>
  <si>
    <t>…n cu hades que he referido ; y asi suplico á los señores de la comisión que teriormente. reformen este artículo. El Sr. Rovira : Convengo en lo que ha manifestado el Sr. preopi El Sr. Oiiver dijo que la comisión habia seguido en esto un egemnante respecto á las glorias á que fue acreedora la marina española te plo digno de toda la atención, cual es el de estar presidida esta junta en niendo sus antiguas instituciones; pero estas es preciso variar…</t>
  </si>
  <si>
    <t>…mania. El rigor y la persecución han cesado en los escritos y decretos, cia de haberse retirado el anterior. pero iáo en todo ló demás. Los napolitanos tienen buena ópera, bai- El Sr. Oiiver expuso: No se trata ya de que él almirantazgo pro lán 'y cantan í pero "no sabemos, si alli se verificará aquel célebre di ponga para las plazas de cónsules; se trata únicamente del arreglo de cho: cantan.,--,pues ellos pagardit-TZl Gobierno ha establecido do…</t>
  </si>
  <si>
    <t>…que.exige el Sr.'preopinante , pero sin:embargó tengo mucha satisfac le ha de exigir la responsabilidad. ción en dársela. Exigir que el segundo; comandante ¡leve la derrota no F.l Sr. Oiiver hizo presente que el artículo en que se trataba de es una cosa nueva, porque su obligación actual es esa. Todo ofi.ial de quien habia de hacer las propuestas por ternas habla vuelto i la comi be llevarla y hacer las observaciones necesarias para saber el para…</t>
  </si>
  <si>
    <t>…que sucede El Sr. secretario del Despacho de Marina hizo presente que debería con los generales del egército. dejarse la facultad a! Gobierno:dé que mandase pasar de un buque á El Sr. Oiiver manifestó que este artículo se referia á los gefes de Otro á un oficial, porque podía haber ocasiones en que fuese conve la clase de que se trata, sin perjuicio de que ei Gobierno los pudiese de niente; á lo qué manifestó el Sri Rovira que se había redactado…</t>
  </si>
  <si>
    <t>Oiivér</t>
  </si>
  <si>
    <t>…que puedan traernos algunas Continúa la lista núm. y¿f3 de las fincas que st están subastando de lar ventajas. aplicadas al Crédito público para pago de la deuda nacional en la El Sr. Oiivér, después de haber manifestado cuál era el origen de provincia de Búrgos , cuyo primer remate se ha de verificar en la villa este mal , y asimismo la opinión del Gobierno en esta parteé hizo de Briviesca, trascurridos yo dias, contados desde hoy. presente que…</t>
  </si>
  <si>
    <t>…una tenia'mas de peso , la otra lo tenia de ley. conseguirá el evitar este abuso con la medida que se propone. El Sr. Puigblanch opinó que debia decirse moneda resellada, y lue El Sr. Oiiver; El haber puesto enceste articulo la causa por que ss go ro rs. propone esta medida, es únicamente para dar una satisfacción á las ~ El Sr. Azada dijo que con decir solo resellado so rs. era lo bas Cortes, porque verdaderamente en él artículo no se debe decir…</t>
  </si>
  <si>
    <t>…so para sacar el retrato del general Riego, le envié un ayudante, con comisión para proponer este artículo. 1 quien se personó inmediatamente en mis casas, y asegurando que no El Sr. Oiiver, después de haber dicho que en Cataluña habia casi habia concedido otra cosa que la salida de la pirámide con los geroglífitantas fábricas de seda como de algodón, reprodujo las razones que an ficos de la Constitución y las músicas, con mi acuerdo se decidió…</t>
  </si>
  <si>
    <t>Oírlos</t>
  </si>
  <si>
    <t>…onquistar los reinos y provincias limítrofes, y le instruyó en términos que maniobrando delante del Rey el Señor socorrer la madre Patria y las plazas de Buenos-Aires y Montevideo D. Oírlos iv el año de 91, le concedió 5. M. el grado de coronel en en sus diferentes épocas, y disponer armamentos navales, solo contaba el mismo campo del egercicio. con Jas cotias rentas del Perú, que por decreto de las Cortes que abo Asimismo fue comisionado entonc…</t>
  </si>
  <si>
    <t>Ojeda, Miguel María de</t>
  </si>
  <si>
    <t>Miguel María de Ojeda</t>
  </si>
  <si>
    <t>…oaquín de ApezteEn el juzgado del alcalde segundo constitucional de la villa de guia, procurador de laaudienc:a de ella, yen Asiain á D. Miguel An Utrera y escribanía de número de D. Miguel María de Ojeda pende ex tonio de Astrain , abad de su iglesia parroquial, pues hay que partici pediente promovido por el señor conde de Montelivio, vecino de parles noticias que Ies interesan. Sevilla , interesado en el patronato de legos que en la misma villa fundó Proyect…</t>
  </si>
  <si>
    <t>OJiver</t>
  </si>
  <si>
    <t>su proyecto era trastornar el Gobierno, robar todas las mercancías, y cion propone el a-t. 2°, ni este puede de ningún modo aprobarse. El Sr. OJiver manifestó que habiéndose concedido por el Gobierno degollar á todos los blancos y mulatos : estos gefes evitaron el furor del á esta compañía diferentes arbitrios con objetó de continuar estas obras, pueblo; pero han sido conducidos á Puerto-Príncipe, donde s…</t>
  </si>
  <si>
    <t>Oken</t>
  </si>
  <si>
    <t>…a Dieta se nombraron varias Finlandia 39© toneles de brea, y seextrageron para el ex comisiones para que vayan preparando los negocios. La tranjero 2^,432 toneles. destitución del doctor Oken, catedrático en la universidad ___Ea dirección general de almacenes acaba de presentar su de Tena, aprobada por la presidencia de los Estados , dio informe sobre el producto de la cosecha en todas las pro motivo á esta cuestión: «ISi según las leyes que actua…</t>
  </si>
  <si>
    <t>Olaeta, Josef</t>
  </si>
  <si>
    <t>Josef Olaeta</t>
  </si>
  <si>
    <t>…o, otra al tesorero Igualmente para la provincia de Búrgos á los sugetos siguientes: para principal de provincia, y la tercera al director general de contribucio Aranda de Duero á D. Josef Olaeta: para Aranzo de Miel á D. Juan nes directas.” María de Vivanco: para Aillon á D. Juan Angel González de Navas: Se leyó el art. 57, concebido en estos términos: para Belorado á D. Antonio Rojo y Gandía: paraBriviesca á D. Hilario Art. 57. »Inmediatamente que l…</t>
  </si>
  <si>
    <t>Olavarrieta, Francisco</t>
  </si>
  <si>
    <t>Francisco Olavarrieta</t>
  </si>
  <si>
    <t>…de S. Bernardo entre el núm. 2 , que hace Bermudez del Villar y D. Josef Alvarez Pestaña. =: En la de Sevilla á esquina y vuelve á la de la Garduña á la manz. 497, y está entre di D. Francisco Olavarrieta y á D. Eugenio de Larrnmbide.=En Extre cho monasterio, que tiene el núm. 1, y tiene de sitio 6417 pies cua madura á D. Evaristo de la Dehesa y D. Josef Antonio Serrano. drados superficiales, y tasada en la cantidad de 374,944 rs. Quien qui En la de Aragón á D…</t>
  </si>
  <si>
    <t>Olavarrieta, Francisco López</t>
  </si>
  <si>
    <t>Francisco López Olavarrieta</t>
  </si>
  <si>
    <t>…to casi divino á sus funciones. D. Antonio León, D- Fausto Rojo, D. Félix Ovalle, D- Fran Pero asi como el vicio, el fraude y la alevosía, que se vituperan cisco Arnaiz y Bringas, D. Francisco López Olavarrieta , D. Ignacio en la generalidad de las gentes, parecen mas odiosos, mas indignos en María Aguirre, D. Jacobo Escario, D. Josef Fermín Gil, D. Josef el magistrado, el prelado, el sacerdote, el militar , el hacendado, que María Santiago, D. Josef Mariano Vallejo…</t>
  </si>
  <si>
    <t>Olave, Alaria del Carmen</t>
  </si>
  <si>
    <t>Alaria del Carmen Olave</t>
  </si>
  <si>
    <t>…e mandaron pasar á la comisión de Legislación tres solicitudes: y tienen en cierto modo sitiada aquella fortaleza.' - una de I&gt;. Vicente Lorenzo Martinete; otra de D. Francisco -y-Doña Alaria del Carmen Olave, y otra de D. Víctor Xagandara y Rivas so PORTUGAl. bre dispensa de edad para manejar sus bienes. Se mandó insertar en las actas el voto del Sr. Carrasco, contrario Lisboa 10 de Marzo. i lo dispuesto por las Cortes acerca de ser suficiente el examen para inco…</t>
  </si>
  <si>
    <t>OlaviFrancisco, Pablo</t>
  </si>
  <si>
    <t>Pablo OlaviFrancisco</t>
  </si>
  <si>
    <t>…uelo humano, humillado, afrentado é insultado como se vieron en vadían la Italia, capitaneados por sus Reyes Cirios vm, Luis xa y aquella mansión de crueldad sin remordimientos un D. Pablo OlaviFrancisco 1! j Aspirarían á la gloria, á las riquezas y al poder, ó de y un D. B. V., que se mató de desesperación pocos anos há. Allí, irian d meterse ermitaños! ¿Cuál era el objeto que se proponía el so en medio de aquel tenebroso laberinto, de donde estaba desterrad…</t>
  </si>
  <si>
    <t>Olcinolias, Baltasar</t>
  </si>
  <si>
    <t>Baltasar Olcinolias</t>
  </si>
  <si>
    <t>…sado nandez Beteta : para Medinaceli, su capital Anguita, á D. Ignacio Jo cada estado de repartición á medida que los vaya recibiendo, dirigirá sef Palomares; y para Torrelaguna á D. Baltasar Olcinolias. tres copias igualmente visadas, una al subdelegado, otra al tesorero Igualmente para la provincia de Búrgos á los sugetos siguientes: para principal de provincia, y la tercera al director general de contribucio Aranda de Duero á D. Josef Olaeta: para Aranzo…</t>
  </si>
  <si>
    <t>Oleaga, Juan</t>
  </si>
  <si>
    <t>Juan Oleaga</t>
  </si>
  <si>
    <t>…baja. Se vende en e! al declarando ser natural de la provincia de Vizcaya , en esta Península, macén de estampas de la calle Mayor, frente á la casa del conde de hijo legítimo de D. Juan Oleaga y de Dona Catalina de Olaeta, de es Ofíate, y én la librería de Barco, á 4 rs. en negro y á 9 iluminado. tado casado con Doña María Josefa de Vida Hondo, ó Viuda Hordo, Reglas de patriotismo y ventajas de los límites prescritos en la que no se explicócon Ja c…</t>
  </si>
  <si>
    <t>Oleaga, Juan de</t>
  </si>
  <si>
    <t>Juan de Oleaga</t>
  </si>
  <si>
    <t>…Se venden en la librería las diligencias que están decretadas, y les parará el perjuicio que haya de Brun. lugar. Vista del salón de Cortes en sesión de dia, según la variación y Don Juan de Oleaga falleció en la ciudad de Sto. Domingo el día mejoras hechas en este edificio: en cuartilla de marca mayor, tomado 20 de Enero de estaraíh&gt; bajo la disposición testamentaría que otorgó, el punto de vista desde el centro de la galería baja. Se vende en e! al de…</t>
  </si>
  <si>
    <t>Olier, Juan Villa y</t>
  </si>
  <si>
    <t>Juan Villa y Olier</t>
  </si>
  <si>
    <t>…coso, juez de Cinco marjales de tierra de riego, término de Gavia la Grande, primera instancia de esta heroica villa, por la escribanía del número pago de Algoros , en 3000 rs. de D. Juan Villa y Olier en la cesación y ocurrencia de acreedores de Cuatro marjales, dicho término y pago, en 240o rs. * la fábrica de sedas de la ciudad de Toledo, ha dictado varias providen Dos marjales, dicho término y pago, en 1200 rs. cias á efecto de recaudar los caudales , b…</t>
  </si>
  <si>
    <t>…las armas, y decretó una le trado de primera instancia en esta'M. H. villa, refrendada del escriba va -general, que no produjo resultado alguno. Según las mismas no no del número D. Juan Villa y Olier, se cita, llama y emplaza á Don ticias, las avanzadas de los turcos habían entrado en Gimjazi el 1° de Jorge Símilier, tenedor de dos vales reales de óoo pesos,' creacion 'de Mayo,y dejaban en'cada pueblo tres, ó cuatro, hombres. Tt.° de Setiembre de 808, con…</t>
  </si>
  <si>
    <t>…s del reino. respectivos créditos y documentos que acrediten su seguridad, los que La suscripción á la gaceta es Como sigue: no lo hayan hecho antes en Ja escribanía del número de D. Juan Villa y Olier; prevenidos que de no verificarlo ó antes del dia, no se les Jliío. Medio asió. Tres meses. tendrá presente en el reparto y prorateo que se va á verificar, y les pa rará el perjuicio que haya lugar. Para Indias.................... 600.. goo... 150. Juan Anton…</t>
  </si>
  <si>
    <t>Oliéry, Juan Villa y</t>
  </si>
  <si>
    <t>Juan Villa y Oliéry</t>
  </si>
  <si>
    <t>…"MóSéosó5; jn¡enda villa de. Infantes, está señalado 'el dia 24 descorriente. nistro togado ;!.ju¿Z2letr;ido de primera instancia'en está vilfe; refrendada del-escnb'ano de número D. Juan Villa y Oliéry se ba-íiiáhLá dehesa ^titulada de Palacios, compuesta de 2 of. fanegas y 7 cele dado sacar á pública-subasta por- término- de- 30- diaá ’-uña^tásiP-sítí mines .de cuerda ó marco'Real, sita en-término dé üiciia'yiUa dedn- en está corte', su'cálle de Calat^avá…</t>
  </si>
  <si>
    <t>Olílicia</t>
  </si>
  <si>
    <t>…e esta introducción, ó imponerse un derecho mayor. dos dignos y respetables párrocos y el principal vecindario con la mi Ei Sr. Banqueri apoyó la opinión del Sr. preopinante; y el Sr. Olílicia nacional, se verificó la colocación de la lápida de la Constitución ver manifestó que el Sr. González Allende había sido uno de los que en medio de la alegría y aclamaciones de un inmenso gentío; y el juez habían extendido dicho dictamen, siendo de la misma o…</t>
  </si>
  <si>
    <t>Oliva, Antonio</t>
  </si>
  <si>
    <t>Antonio Oliva</t>
  </si>
  <si>
    <t>…por dominar arbitrariamente, manejando á Práctica de vida cristiana y egercicios de devoción , dado á luz por su placer los cetros que otros empuñan , sin verse expuestos á la cen D. Antonio Oliva: segunda edición: un tomo en 8.°, adornado con sura pública por sus defeclos, por sus extravíos ó por su ignorancia; 11 láminas finas. En este nuevo egercicio cotidiano se han recopi quieren que el Monarca sea dueño absoluto,de sodas y haciendas, de lado toda…</t>
  </si>
  <si>
    <t>Oliva, Josef Bages</t>
  </si>
  <si>
    <t>Josef Bages Oliva</t>
  </si>
  <si>
    <t>hecha la división del distrito señalado á cada compañía y cuerpo, se hurio de Cortas; D. Mariano Robirat, abogado; D. Josef Bages Oliva, yan dado los reemplazos correspondientes por las diputaciones pro abogado; D. Ramón Butano , escribano y hacendado. Suplentes. Don vinciales. * Bartolomé de Amat, coronel de ingenieros ; D. Bernardo de Borjas y 7.’ Las planas mayores de los cuerpos se establ…</t>
  </si>
  <si>
    <t>Olivar</t>
  </si>
  <si>
    <t>…ración los servicios de los es-min¡stios, propu ce que se está en el caso de aprobar este articulo. siese á las Cortes los sueldos á que fuesen acreedores, pues la grande eco . El Sr. Olivar manifestó que la comisión habia propuesto este artí nomía era lo que debía salvar á la Nación , y no convenía aprobar de culo fundándose en lo que habían expuesto diferentes corporaciones pronto la indicación por los expresados motivos , y porque no se-dije q…</t>
  </si>
  <si>
    <t>…de nuevo á las Cortes.” Se mandaron pasar á la comisión después de una ligera discusión Art. as. » Hasta que se arregle difinitivamente la división políti cuatro proposiciones del Sr. Olivar, relativas: La primera á que en ca ca de las provincias, y mientras las Cortes no dispusieren otra cosa, da secretaría de las diputaciones provinciales se agregue un oficial con continuará la división judicial que existe actualmente para las audien tador, enc…</t>
  </si>
  <si>
    <t>…s nacionales no se extraerá esta produc motivo han tenido para proponer que se permita la introducción del ción de la América , si se ha de guardar esta regla. vino extrangero. K¡ Sr. Olivar manifestó que este articulo se había propuesto con el El Sr. Oliver: El motivo que ha habido para no hacerse alteración objeto de fomentar la riqueza en las provincias de Ultramar y en la en la tarda aprobada por ¡as Cortes ha sido el considerar ¡o necesario…</t>
  </si>
  <si>
    <t>…eda verificar.” Después de haber hecho varias reflexiones el Sr. Rey sobre este El Sr. Calatrava dijo que la audiencia de Sevilla habia hecho algu dictamen , á las que contestó el Sr. Olivar, se suspendió esta discusión. nas observaciones á este artículo. Quedó aprobado. Se continuó la del cód’go penal. Art. 96. i: Ei que esté const ituido en absoluta insolvencia no ser i Se leyó el art. 85 (véase l.t gaceta de 25del corriente). molestado en su p…</t>
  </si>
  <si>
    <t>Olivas, Narciso</t>
  </si>
  <si>
    <t>Narciso Olivas</t>
  </si>
  <si>
    <t>…l^D. Joaquín de Gracia. prendidos eu ias jubilaciones y reformas de que trata el título de ofi =z D. Pedro Vidal. = Di Andrés Roces. sD. Josef Benito' Chlvo.‘=: ciales.” Aprobado. D. Narciso Olivas. =D. Andrés Ester. ^D. Juan Anel.zzD. Blas- Añ Art. 108. » El Gobierno señalará el uniforme que deba'usar, em ónela. zzD. Ramón Marco.z=D. Manuel Sierra. =D. Serapio Marin.zzr pleándose en él solo géneyos nacionales.” Aprobado. D. Eugenio Lopez.zzD. Josef Per…</t>
  </si>
  <si>
    <t>Olive, Pablo María de</t>
  </si>
  <si>
    <t>Pablo María de Olive</t>
  </si>
  <si>
    <t>…ta corta y ese es todo el pueblo napolitano y la familia Real, que población. De común acuerdo nombraron por su capitán á buscan su mutua felicidad en el'nuevo orden de cosas, con D. Pablo María de Olive, y el día 14 prestaron con el ma tra el cual un nuevo fanatismo político se ha desenca yor entusiasmo el juramento prescrito por reglamento. Fue denado. general el regocijo de todos los habitantes, qpe se manifestó Hablan de principios monárquicos; pero ¿quié…</t>
  </si>
  <si>
    <t>Oliven</t>
  </si>
  <si>
    <t>…ispuso se continuase la discusión de ayer sobre pender Ja disolución del escuadrón expedicionario que existe en la Isla: señoríos. se acordó que pasase á la comisión de Guerra. El Sr. Oliven pidió se leyese un decreto de tas Cortes del mes de A la de Hacienda pasó una solicitud de Doña Magdalena Prado, Octubre de 1813, que es una aclaración del de 6 de Agosto de 1811; viuda de un militar, en que expone no gozar viudedad por haber ob en seguida hi…</t>
  </si>
  <si>
    <t>…siera, según lo determinado por Jas plona deba comunicarse á la frontera de Asturias. Es imposible ade Cortes. mas que un comandanta general en un distrito tan grande pueda cum El Sr. Oliven La moneda extrangera deja ya ganado en el pais plir con la revista que ordena el decreto org-nico; y sobre todo la donde se acuñó lo que debería ganarse aqui con Ja acuñación. Con este multitud de militares que tendrá á su disposición hará que no dé uti motivo l…</t>
  </si>
  <si>
    <t>Oliver</t>
  </si>
  <si>
    <t>…metieron el exceso. Por lo obrado hasta ahora resulta que uno de los, te, ínterin llegase el propietario. reos es D, Pedro Lainez (alias Chiles), alférez’ retirado con todo el El Sr. Oliver, Individuo de la comisión especial de Comercio, In sueldo, natural de la Horteruela de Ozen, y casado en Sigüenza. dustria, Caminos y Canales, nombrada en la legislatura anterior, em pezó á leer el proyecto que presentaba esta sobre su cometido, cuya lectura…</t>
  </si>
  <si>
    <t>…ertad nacional. de secularizados que.'de necesidad se deben admitir. « El empleado.actualmente, sea de la clase que fuere, que haya dado Se admitió á discusión una proposición del Sr. Oliver para que se pruebas positivas de aversión á la Constitución , á la independencia ó pasasen al Gobierno todas las instancias que se hiciesen con respecto á libertad nacional, será suspendido en su destino, y si fuese gefe en aranceles , y que esté ’propusiese…</t>
  </si>
  <si>
    <t>…. el sTguiéñte ’discúrsoí * Se leyó.por segunda vez la ley constitutiva delegércitopermanente.' » Señores diputados: el sabio discernimiento y la suma energía cotí - .Se nombró al Sr. Oliver para la comisión ordinaria de Comercio - qué el Parlamento extraordinariq . que.ayer se cerró ,,-ha. :adoptado-tcif*-: en" lugar déh Sr:-Calatrava. dos los medios necesarios para poner en estado de una vigorpsir deCensa ’ •' Se leyó lá minuta de decreto 'sobr…</t>
  </si>
  <si>
    <t>Olíver</t>
  </si>
  <si>
    <t>…orporaciones o particulares que felicitan a las Cortes, por este ó* aquel motivo. El Sr. presidente expuso que no decia se publicasen todas; El Sr. Rey oponiéndose al dictamen del Sr. Olíver dijo que hav sino las que parezca mejor, como lo había hecho la Diputación perma algunas clases de señoríos, que no deben existir, pero no todos er, ge nente ; ademas de que ninguna cosa puede ocupar mejor aquel lugar neral; que en sil discurso se mezclan dos…</t>
  </si>
  <si>
    <t>…aprobarse el lo que mandaba el artículo 97 de la Constitución, y aunque la elec dictamen de la comisión. ’x ción de estos empleos perteneciera á S. S., no debian aprobarse los El Sr. Oliver defendió el dictamen-de la comisión, manifestando referidos poderes del Sr. arzobispo de Cuba. que esta no habia fijado la moneda en. que se habia de verificar el El Sr. Dolarea manifestó lo ocurrido con el Sr. obispo de Pamplo pago, y que todo lo demás que s…</t>
  </si>
  <si>
    <t>…o de la cate E1 Sr. Azaola manifestó que en el dia la compañía tenia suspendi dral de Cuenca en D. Gabriel Josef Gil en tiempo en que se habia dos los derechos á que se referia el Sr. Oliver , desde que S. M, juró la mandado suspender la provisión de prebendas eclesiásticas; y duda Constitución; y que aunque en Cádiz se cobraban los derechos de ave ocurrida con este motivo sobre si se debería conceder el pase á las bu ría, eran estos para el Gobi…</t>
  </si>
  <si>
    <t>…. Se propuso que se nombrase una comisión especia! para extender Ja Se leyó y aprobó el acta de la anterior. contestación al Gobierno de Bahía-, y que se apiontase un buque que El Sr. Oliver leyó el pian de la comisión de Caminos y Canales, llevase al Rey la exposición y las bases de la Constitución; y el sei.or sóbrela construcción y conservación de estos; el cual se mandó im Sarmentó dijo que deberla enviarse una diputación á S. M. primir. Habi…</t>
  </si>
  <si>
    <t>…sición de D. Miguel N. , solicitando se le concediese una pensión; y á y otras noticias que se daban en él. la de Legislación otra sobre derogación de una ley de la Novísima Re El Sr. Oliver dijo que en el expediente general de que se d¡ú cuen copilación , de caves contenidos no se pudo formar ¡dea por haberse oí ta en la legislatura pasada se insertaron las representaciones que pedia do muy pocas palabras. el señor preopinante; que actualmente n…</t>
  </si>
  <si>
    <t>…ta bierno, era evidente que la indicación era contraria al referido decreto, clase.” y mucho mas cuando era público que algunos de dichos ex-secretarios Se leyó una indicación del Sr. Oliver, que decía: «Que dicha gozaban antes empleos distinguidos, que seguramente no servirían sin compañía presente al Gobierno en eí término de 15 dias Ja cuenta ge el sueldo correspondiente; por lo que opinó que la indicación era in neral de cuantos fondos y caud…</t>
  </si>
  <si>
    <t>…ro diala delibera millones para la manutención del clero; petóse ha de tener presente ción sobre este asunto. que ha habido muchísimas reclamaciones sobre el pago d¿ estos diez El Sr. Oliver dijo que ayer se había manifestado que la comisión mos, y por consiguiente yo mejor querría ir á cobrar á tesorería como Kpecial de Hacienda al formar el plan general de este ramo, habia los demas empleados , que no tener mi subsistencia en una asignación ten…</t>
  </si>
  <si>
    <t>…n p;car en el Maestro de las Sentencias y en las Decretales, que son las Cortes en la legislatura pasada. puntualmente , decía el célebre Melchor Cano , las obras peores que se El Sr. Oliver manifestó que la comisión se habia atenido en el re podian elegir para el asunto; y que aun ahora, según habia visto en partimiento de la contribución directa á la base aprobada por las Cor unos carteles, se van á proveer canongías de uno de Jos mas célebres…</t>
  </si>
  <si>
    <t>…s, y sí que debían establecerse sobre.la.propiedad, por sér menos ' decreto. ^incierta........ - - ; . V : Art. 2.°, j» El derecho de qada título se.exigirá en los términos.que El Sr. Oliver dijo que la comisión habia adoptado la base dejas patentes designan las adjuntas tarifas’. . ppr creer que.era ¡amias fácil y segura; que esta base se habii.adóptado , Art. 3.° »»En la Península é islas adyacentes ningún individuo ya en "España, y que lo esta…</t>
  </si>
  <si>
    <t>…las inmediaciones de Teruei siempre tendrá mayor nú opinó que no debía aprobarse el dictamen de la comisión. mero de relaciones con aquella ciudad que no con las de Zaragoza; y El Sr. Olíver d.joAunque en cada provincia de ¡as cuatro clases esto puede hacer bajar mucho los gastos. que la comisión propone hubiese un intendente , un obispo, una au El querer sostener ia antigua superioridad que han tenido algunas diencia , una universidad &amp;c. , los…</t>
  </si>
  <si>
    <t>Olivér</t>
  </si>
  <si>
    <t>…e la formación de estas provincias y exacto como se; requería, pues estos no estaban hechos con exactitud. de sus capitalidades es solo la prosperidad de las mismas, es preciso El Sr. Olivér dijo: En esta discusión es menester advertir antes de ver si esta prosperidad que se desea se podrá lograr mejor en Baza que proceder á la votación varias particularidades sumamente esenciales. en Almería; y por consiguiente deberá hacerse capital la que mejo…</t>
  </si>
  <si>
    <t>…la nueva división territorial; para lo cual si fuese necesario estoy damenial. pronto á hacer una proposición. Se preguntó si estaba suficientemente discutido; y después de ha El Sr. Oliver hizo varias reflexiones con referencia al nuevo plan ber indicado el ‘ir. Golfín que se debería esperar á mañana para oir Ja de Hacienda, y manifestó que no podia convenir en que la división propuesta dei.Gobierno para votar este artículo, se declaró no estar…</t>
  </si>
  <si>
    <t>…argamentos de los buques na detención que tenían en las aduanas para pagar este derecho; á Jo que cionales que procedan de puertos extrangeros situados ó enclavados en contestó el Sr. Oliver que esta objeción no pertenecía al artículo que se la Península, como son ¡os de Portugal y Gibraltar, y también lo» discutía, y que tendría lugar en aquel en qae se hablaba del asunto. que prouedan de la costa de Marruecos; pero en los casos en que sea El Sr…</t>
  </si>
  <si>
    <t>….La heredad, tiritad dé mase , porque podria haber ocasiones en que fuese necesario; á lo cual tierra y lo restante de prado, llamada la Mortera del Brabon , de 4 días contestó el Sr. Oliver que no se podia facultar para esto á las diputacio de bueyes , en venta 660 rs. , y en renta 6.-_Un prado , nomiñajlp ds nes provinciales , en razón de que aun cuando escaseasen algunos frutos Domingo Alvarez , de diá y medto de id.- largos, en yerra 465 ís.,…</t>
  </si>
  <si>
    <t>…mplar en letra, ¿ática , que.pihreceria reimprimirse ,epii más razón qué los Eitados-Unidos. ; a! otros infinitosi y, elogiando.da; táctica ,dél Gran-Cjap i fan, se añadía que. El Sr. Oliver contestó que esta excepción podría hacerse (caso que en tal obra no, se veia la sonada, linea de batalla S formación exacta, fpese conveniente) cuando se tratase de. las islas Canarias. paralela sobre los ..cuerpos enemigos j. sitio puntos atacados, con direc…</t>
  </si>
  <si>
    <t>…teni cidad en el asunto.' de que se trata, que es muy extraño que en España do la comisión para perjudicar de este modo á los buques mercantes. subsistan fábricas y comercio.. El Sr. Oliver dijo que el Sr. preopinante volvía á lo,mismo que ha El Sr. Oliver dijo que en este artículo solo se trata.de aquellas bía dicho acerca del art. si , que las Cortes han aprobado.ya; y des consideraciones que exigen la humanidad, y reclaman el derecho de las p…</t>
  </si>
  <si>
    <t>…s que por la ley están Y considerando bien esto, ¡qué persecución será bastante para impedir prohibidos. . quede los depósitos de primera y segunda clase no se extraigan los gé El Sr. Oliver, reproduciendo las reflexiones de los señores que ha neros para aumentar el contrabatido: Lo que sucederá será que nues blan apoyado el dictamen’de la comisión, demostró que esta no habió, tra industria no prospere. Por otro lado los extrangeros ganaran mucho…</t>
  </si>
  <si>
    <t>…mas no habrá si se fábricas y nuestra industria, en razón de que no puede dudarse ( diga les da entrada en los depósitos ? Las Ccrtes están para promover el bien lo que quiera el Sr. Oliver) que los depósitos son un medio para in de todos los españoles, y no podrán mirar con indiferencia la ruina de troducir el contrabando: que en la Nación hay muchos que lo fomen nuestra industria, que es consiguiente á la aprobación de este artículo; tan y le…</t>
  </si>
  <si>
    <t>…las mismas. En este obrador se muestra ya construido por el menciona cional y á los intereses de la Nación. do D. Eugenio un juego envero de máquinas por el sistema de las mas El Sr. Oliver dijo que esto depende de los tratados estipulados con modernas que se conocen en Francia, con la ventaja de haber simplifi las naciones extrangeras ; y que si las comisiones hubiesen podido pro cado y variado en algunas partes lo que contribuye á su mayor sol…</t>
  </si>
  <si>
    <t>…irá el objeto que desean las Cortes, porque ellos son un mercantes den un manifiesto de los géneros que conduzcan dentro de lar auxilio del contrabando. uq horas de su llegada. El Sr. Oliver dijo: La comisión no propone el número de aduanas Del Sr. Gisbert: » Que las comisiones que han entendido en la re que debe haber; únicamente propone aquellas clases que cree necesarias forma de aranceles informen si por ahora convendrá permitir sea libre seg…</t>
  </si>
  <si>
    <t>…ciudada trar á un guarda fuera de la línea de precaución, le pide la guia, este no que sea traficante. la entrega-, es preciso luego que el guarda examine los géneros ; y ¡qué El Sr. Oliver: La ley protege á cualquiera que se casa , y por esto resulta deaqui: que sufre e¡ arriero una vejación en tener que descargar no hemos de obligar á que todos se casen. Lo mismo sucede con los y enseñar al guarda los géneros que conduce; esta vejación es tan…</t>
  </si>
  <si>
    <t>…as, y en lo demas dará mayores explicaciones cuando se trate da oposición, la cual la habian de presenciar todos los facultativos; cuya cada uno de los artículos. opinión apoyó el Sr. Oliver en un largo discurso. El Sr. González Allende deshizo algunas equivocaciones que dijo El Sr. Banqueri apoyó el dictamen de la comisión , diciendo que con habia padecido el Sr. preopinante. venía se procurase detener la circulación de la moneda extrangera, que…</t>
  </si>
  <si>
    <t>…aprobase el que este de que se pueda tratar en la actualidad, me opongo á que se artículo en cualquiera de los términos que habia expresado su Señoría. suspenda esta discusión. El Sr. Oliver dijo que podria suprimirse la cláusula de auditores; y Se leyó el dictamen de la comisión sobre el proyecto orgánico de el Sr. presidente añadió que esto serla lo mejor para no tener que sus la armada naval, y el voto particular de los Sres. Oliver y Romero s…</t>
  </si>
  <si>
    <t>…ntazgo , bien sea como individuo , bien como presidente , diciendo dria aprobarse con ía condición de que na sirviese de obstáculo para ia que las observaciones que habia hecho el Sr. Oliver á favor de lo mis resolución de los artículos restantes. Quedó aprobado. mo no probaban nada, porque asi como una rueda de un excelente co Se leyó la siguiente adición al art. .6.a del decreto orgánico de la che no puede servir para una cureña , asimismo el c…</t>
  </si>
  <si>
    <t>…particularmente de esta capital , se han ofrecido gusto breve discusión se mandó volver á la comisión. sas á hacer el mismo sacrificio: al ver este nuevo testimonio de las vir El Sr. Oliver dijo que la comisión había convenido en retirar los ar tudes de nuestras españolas, no hemos podido menos de bendecir á tículos 9.0 y 10. nuestra amada patria que da el ser á tan excelentes criaturas, ni pode Se leyó ei artículo 11. mos dejar de exclamar llen…</t>
  </si>
  <si>
    <t>…tículo por la razoá deI mar. Kl artículo dice que el almirantazgo protegerá ¡a industria de que dejo expuesta. mar, proponiendo al Gobierno lo que tenga por conveniente; por ma El Sr. Oliver hizo presente que si no se tratase cuando jsé hace una nera que a! almirantazgo no le queda mas acción, mas inando , ni inas obra hidráulica mas que de ia utilidad que puede resultar, y se la influjo^que el de procurar todo el bien posible á estos ramos de in…</t>
  </si>
  <si>
    <t>…que debe sidencia. Siempre armados , y siempre precisados á defender una liber la comisión retirarlo. tad precaria; siempre refugiados en sitios casi inaccesibles é ingratos á El Sr. Oliver hizo varias reflexiones sobre este articulo para demos toda cultura; su único medio de subsistencia era el hacer correrías por trar que debia aprobarse; y manifestó) que debiendo estos individuos ser el país ¡laño inmediato, y saquearé inspirar terror á sus e…</t>
  </si>
  <si>
    <t>…que debe suprimirse, porque no sirve marinas.” sino para confundir, y es contrario á la naturaleza de la ley. El Sr. Palarea dijo: Me parece que la comisión podía oirótir en es El Sr. Oliver manifestó que la comisión convenia en la supresión te artículo las razones en que lo apoya; es decir, desde la palabra' de la segunda parte del artículo. « procurando que dichos buques paguen &amp;c.” , porque de lo contrario/ El Sr. González Allende expuso que t…</t>
  </si>
  <si>
    <t>…, reuniendo los conocimientos teóricos que se exigen; por manera que ia comisión retirase este artículo. que si un jóven necesita 6 años para instruirse en la parte práctica no El Sr. Oliver dijo que la comisión había creído que este artículo teniendo conocimientos fundamentales, es claro que necesitará menos era sumamente importante, porque de él podían resultar grandes venta tiempo teniendo los conocimientos que exigen. jas á la Nación, sin per…</t>
  </si>
  <si>
    <t>plazas de guardias marinas costeadas por el estado y afectas á ios hijos El Sr. Oliver contestó que podria volver el artículo ¿ la comisión ; y huérfanos de oficiales y otros individuos fijos 4#*^ armada que hayan asi si acordó. muerto gloriosamente en acción de armas.” v. Se leyó ei artículo 48 , concebido en estos términos : El Sr. Sánchez Sa…</t>
  </si>
  <si>
    <t>…entes y segundos tenientes , que cor les podría ser muy bien que se interpretase el sentido del articulo. responden ¿ Jas. de capitán general, teniente general, mariscal de cam El Sr. Oliver dijo: La comisión está muy distante de tener ningún po, coronel , teniente coronel.',-capitán y teniente en el egército.” inconveniente de esta clase , porque el número actual de generales será El "r.,¿sancho dijo que en este artículo se abolían dos ó tres cl…</t>
  </si>
  <si>
    <t>…porque el tra Art. 219. « La idoneidad se calificará i pluralidad absoluta de-vo bajo es mucho menor en este caso que en el anterior. tó*- -secretos.”-Aprobado.' v " ! ’ - ,r : El Sr. Oliver dijo que las Cortes podrían determinar lo que creye Art. 220. » Permanecerán'como hasta’aquí'las fclásés-de -maestrossen mas oportuno: pero que ia comisión nó creia conveniente ¡rebajar mayores de carpinterosde calafates’j'd'e'viláí’&amp;c. jicóriio'también los l…</t>
  </si>
  <si>
    <t>…tuir la de médico-cirujano El Sr. presidente dijo que 'mañana continuaría la discusión del pro mayor. - ■ _ yecto de decreto orgánico de la armada naval; después el dictamen de El Sr. Oliver contestó qüe- la comisión se habia regido por lo esta las comisiones de organización de fuerza armada y milicias nacionales blecido en el año 48 para el régimen de este cuerpo. que se habia leído, y luego el de las de beneficencia y salud pública, y El Sr. Sa…</t>
  </si>
  <si>
    <t>…medio de los cuales se guiaba la comisión de Hacienda, porque cuando se habla prado, en venta 19,(565 rs--- En id. y sitio de las Peredo Oía Sota, 3 hablado de otros artículos, el Sr. Oliver habia sostenido con un empe carros y medio de prado, en venta 242 rs.__En la mies del Agua , 4 ño extraordinario que debia establecerse y adoptarse el sistema prohibi carros y 6 octavos de prado, en venta 209 rs.__E11 dicho lugar al sitio tivo, porque se aniq…</t>
  </si>
  <si>
    <t>…pesos fuertes cada pieza', pagando el derecho de que lo hiciesen las Cortes, á lo menos mientras no hubiesen precedido 5 por too sobre este avalúo.” los informes del Gobierno. El Sr. Oliver dijo que á fin de que las Cortes pudiesen resolver lo Después de una corta discusión se mandó volver el artículo i laá que creyesen mas justo , convenía saber á que objeto se aplican las lonas, comisiones , a fin de que oyendo al Gobierno prooonsan un término…</t>
  </si>
  <si>
    <t>…atrasados en materias de/Ha nifestando que las Cortes debían aprobar el dictamen de la comisión. cienda; he dicho* en otras ocasiones que en materias de Hacienda va A petición del Sr. Oliver se leyó el decreto de las Cortes extraor mos muchas veces* á ciegas ;'cs indudable que no ha habida cuenta y dinarias de 3 de Setiembre de 1813, y en seguida el Sr. González razón , que ni aun las leyes ;vigentes se han observado en el anterior Allende deshiz…</t>
  </si>
  <si>
    <t>…haciéndose una diferencia entre las fronterizas y faltado. las internas.. ....... -_o_ ........... : . . -i-, El Sr. presidente :-Haf: algunos Sres. diputados qué tne.hari máhíEl Sr. Oliver manifestó que esta diferencia entre los plazos de la» festado. so pueden asistirialgunos dias por enfermedades , ó por alguprovincias produciría muy malos efectos én el comercio , :por lo. cual Sos inconvenientes quedes: impiden_ hacerlo. Los sres. que han fa…</t>
  </si>
  <si>
    <t>…n, no ceta de 11 del corriente; y habiéndose leido el 7.°, que es el 6.° dé necesitaban cantidad alguna, sino solamente anticipar su trabajo, pues los de la misma gaceta , dijo el Sr. Oliver que la comisión habia con to que con los mismos luises que se fuesen resellando se habia de ir venido en la noche anterior en que se dijese en pago de la mitad de pagando á los que los llevasen. ■derechos y contribuciones, en lugar de en yago de derechos y co…</t>
  </si>
  <si>
    <t>…cancelen las fianzas. De lo ; pero que podrian variarse las expresiones si se queria. orden de aquellas lo comunicamos á V. E. para que tenga á bien po Después de haber hablado el Sr. Oliver en favor de esta parte del nerlo en noticia de S. M. y demás efectos consiguientes.” artículo, quedó aprobada. Y habiendo dado cuenta al Rey de la anterior resolución de las La cuarta fue retirada por la comisión, y se aprobaron la quin Cortes extraordinarias…</t>
  </si>
  <si>
    <t>…ner que se permita la introducción del ción de la América , si se ha de guardar esta regla. vino extrangero. K¡ Sr. Olivar manifestó que este articulo se había propuesto con el El Sr. Oliver: El motivo que ha habido para no hacerse alteración objeto de fomentar la riqueza en las provincias de Ultramar y en la en la tarda aprobada por ¡as Cortes ha sido el considerar ¡o necesario Península; que no había esa igualdad que se notaba entre lo que se h…</t>
  </si>
  <si>
    <t>…n la legisla sobre estas máquinas , y por lo mismo que deberia rebajarse á un 2 por tura pasada. En el decreto de p de Noviembre de t8zo (continuó) se 100 : á lo cual respondió e! Sr. Oliver que la comisión había propues impuso un 20 por 100, y se dijo que era por ahora, hasta que hubiese to el artículo en estos términos, :í fin de proteger las fabricas españolas una necesidad de subirlo ó bajarlo: supuesto que se ha verificado esto en donde se h…</t>
  </si>
  <si>
    <t>…y aplicación que se requieren: 3.0 Qus y su casa debe ser un sagrado para esto como la de cualquiera otro. asi los contadores principales como los de los ramos separados que ó El Sr. Oliver: La comisión ha propuesto la circunstancia de que no han remitido los estados del año económico próximo pasado, y ds presencie el alcalde los registros, para dar esta mayor garantía á los que los meses trascurridos del presente, ó no los han enviada con la ex…</t>
  </si>
  <si>
    <t>…rior del reino fuera de la línea de precaución, co.peara ser ns- I tuviesen á bien retirar este artículo. gistrado en parte alguna, ni detenido mas que el preciso iiempo p3rt I El Sr. Oliver dijo que mirando á las posadas como á unas casas .pu confrontar si eL número y marcas ó sellos ds ios -cajones ó bultos m;- I blicas en el sentido que lo decía la comisión, quedaban desvanecidas llevase son los que'expresan las güias.”' “ j todas las objecion…</t>
  </si>
  <si>
    <t>…porque podría dar lugar también á Bia zq. Ciudad 34: Hospital general 4: Militar ninguno : Semi .muchas dudas. nario 9: Vireina ninguno: Barceloneta ninguno. Total 47. Bia ig. El Sr. Oliver dijo que el objeto de decirse d distancias proporcio Ciudad 21: Hospital general 8: Militar ninguno: Seminario 4: Barce nadas era por evitar el que se registrase dos veces á un pasagero que loneta uno: Vireina uno. Total 36. Bia z6. Ciudad 29: Hospital ge sal…</t>
  </si>
  <si>
    <t>…rado otras naciones 3s‘ Las comisiones de Hacienda y Comercio, después de reconocida la Europa. - - ” ' • • consulta del Gobierno de 27 del presente mes, relativa á la introduc El Sr. Oliver dijo que no solamente en Cataluña, sino en Madrid, La ción de máquinas é instrumentos extrangeros, y de tomar informe de bia fábricas de muchas clases de máquinas que podían competir con-Jai la dirección general de aduanas sobre este puntoJ, opina que respect…</t>
  </si>
  <si>
    <t>…del ra cienda pública muy fácil de calcular. . mo de sanidad, y que habían de proteger al resguardo marítimo. En el art. 6.° se dice: » Se señalarán y concederán premios perso El Sr. Oliver manifestó que la comisión se conformaba con esta nales á los individuos de los resguardos marítimos y terrestre por ser adición, y que se podría poner en el artículo; pero habiendo observa vicios importantes y extraordinarios.” ¡No seria mejor que estos pre d…</t>
  </si>
  <si>
    <t>…aordinario, ademas de re aranceles, en caso de quererse exportar dichos efectos por cuenta délos partir entre ellos los géneros de cpntrabando.que aprehendieren. aprehensores.” El Sr. Oliver, después de haber hecho varias observaciones acerca de El Sr. Banqueri: Convengo con'la disposición en-general de este lo que producen las aduanas en el dia, lo cual iria en aumento según artículo ; pero no' quisiera que fuésemos tan liberales y generosos que…</t>
  </si>
  <si>
    <t>…mandantes di los resguardos, asi de mar como de tierra, en cuanto s.a des, ó que se le quieren ampliar. compatible con su destino, á fin de contener &lt;.! contrabando; y partici El Sr. Oliver: El objeto que la comisión se ha propuesto al presentar parán del producto de las aprehensiones á que cooperen según se señale este artículo no es otro sino el de que los empleados en el resguardo sepan por reglamento.” que si hiciesen una acción extraordinar…</t>
  </si>
  <si>
    <t>…tarse ai pago El Sí. Calatrava: La comisión ha presentado este artículo como una del 20 por loo de derecho. mera proposición , y teniendo presente que las Cortes en realidad no El Sr. Oliver dijo que no nao obj:to de! artí u'o qua se presenta han resuelto que los extrangeros se sujeten á toda la pena establecida ba por la comisión las miqu ñas é instrumentos d- física y ciencias, si por la ley en ciertos delitos. De los Sres. que impugnaron.el ar…</t>
  </si>
  <si>
    <t>…mpañaban. Esto fue igualmente después de algunas observaciones que hizo el Sr. Ali no ha bastado, pues entonces las Cortes se hallan en el caso de tomar món , y -á que eontestó-el Sr. Oliver como de la comisión. una nueva disposición.: ;y cuál seria cata 2 La de hacer efectivala- res ■ fie, mandó pasar á las referidas comisiones la siguiente proposición ponsabilidad de los que han firmado esta exposición. Es menester sepa del Sr. Odaii: » Pido fi…</t>
  </si>
  <si>
    <t>…dia en que estos sueldos 3 Si, ó no. *e le nombra empleado sea una carga perpetua de esta s¡- mantenerle. Yo creo que nadie puede dudar cual es nuestra situación , y si se~di £1 .Sr. Oliver, como de la comisión, hizo varias observaciones en ce que un gefe político necesita 100 ú 8o9 rs. de sueldo, drbemos con favor del art. ai que se discutía, y én seguida se declaró este suficien sultar primero si la Nación puede pagarlos: por mi paite estoy pe…</t>
  </si>
  <si>
    <t>…eliminar de este informe, pidió que se suprimiese ¡apalabra trario seria duplicar gastos. Por estas razones creo que no puede apro aprobación. barse el artículo que se discute. El Sr. Oliver, como individuo de las comisiones, dijo que creía no El Sr. Villa, ¿«pues de haber pedido que se leyera el decreto de 29 haber ninguna dificultad en ado&gt; tar dicha supresión. de i unió, relativo á los cesantes de las oficinas, demostró que ¡os que E¡ Sr. Banq…</t>
  </si>
  <si>
    <t>Oliveres, Venancio</t>
  </si>
  <si>
    <t>Venancio Oliveres</t>
  </si>
  <si>
    <t>…vista se han posible. Se suscribe en Barcelona en la imprenta de D. Josef Torner; servido declarar, que los párrocos que vivan fuera del recinto de sus en Valencia en la tienda de D. Venancio Oliveres, y en Madrid en la parroqmas 110 pueden dar ni recibir votos en ias juntas electorales de de D. Josef Collado , á 16 rs. Las suscripciones se admiten hasta el gf las en que sean pastores, y sí-únicamente gocen de voto pasivo en las de Agosto próximo: pasada e…</t>
  </si>
  <si>
    <t>Olivos, Juan</t>
  </si>
  <si>
    <t>Juan Olivos</t>
  </si>
  <si>
    <t>…si todavía inspira algún género de temor y de admiración, no tanto lo debe á sus fuerzas reales y efectivas ni á la prudencia de Se desea saber si existe y el paradero del jesuíta D. Juan Olivos,el sus consejos, cuanto á ia fama de su antiguo poder y á la memoria de cual á ia expulsión de su orden en el año de 1766 se hallaba en 1.1sus dilatadas conquistas, los turcos no son ya aquellos formidables ma, y pasó á Italia, y en el año de 1815 residía en…</t>
  </si>
  <si>
    <t>Oller, Andrés</t>
  </si>
  <si>
    <t>Andrés Oller</t>
  </si>
  <si>
    <t>…en siguiente-. en propiedad para dos plazas de ministros del tribunal supremo de Jus ,, Excmo. Sr.: En conformidad de lo que se previene en la ley de ticia á D. Diego Vadillos y á D. Andrés Oller ; y para fiscales á Don 25 de Octubre de 1820, y con presencia de lo que han manifestado el uan de ¡a Dehesa y á i'. Aíanuel Encina. M. R. cardenal arzobispo de Toledo y el Gefe político de la provin Asimismo ha tenido á bien nombrar para jueces de primera in…</t>
  </si>
  <si>
    <t>Oller, Josef María</t>
  </si>
  <si>
    <t>Josef María Oller</t>
  </si>
  <si>
    <t>…e este ramo pen Dr. D. Pedro Piñeiró, doctoral de esta santa iglesia; Dr., D. I.ms día de una buena administración , que siempre está mejor en manos de Mendizabal y Zubialdea; Dr. D. Josef María Oller, cura de Tiacote5 ó 5 personas que en la de una sola. pec; Lie. D. Josef María de la Llave , cura del Sto. Angel de esta ciu Se pasó á tratar del artículo i.*’, y después de una viva discusión se dad; D. josef María Ovando y Parada, capitán, regidor de este,i…</t>
  </si>
  <si>
    <t>Olona, Francisco</t>
  </si>
  <si>
    <t>Francisco Olona</t>
  </si>
  <si>
    <t>…ciones libres, y que mismo D- Loren%éFCerlio; del de Asturias al comandante del primer por lo tanto creía que los Sres. diputados tenían derecho á examinar p batallq|Mei de España D. Francisco Olona; del de Ordenes Militaré* palabra por .palabra el contenido del dictamen de ia comisión, mayor- jé el..teniente coronel del regimiento americano del Rey D. León Ortega. mente cuando este se fundaba en una porción de documentos todos á cual mas interesantes. Q…</t>
  </si>
  <si>
    <t>Olrver</t>
  </si>
  <si>
    <t>…elativa á la jar el día en que ya’no puedan circular-estas monedas. circulación de la' moneda extrangera.. :. -• El Sr. Yandioi*-dijo que el Sr. Fiorez Estrada habia convenido^ El Sr. Olrver dijo que .habia oidóxonmuoho sentimiento que como la mayor1 parte de los Sres. diputadas, en la necesidad de que-se el empréstito decretado en.el año 20 lo.fue en la inteligencia que po drían entrar luises y medios luises, y que por lo mismo se veía en la nec…</t>
  </si>
  <si>
    <t>Oltór.q, Juan Villa'y</t>
  </si>
  <si>
    <t>Juan Villa'y Oltór.q</t>
  </si>
  <si>
    <t>…que se'ha de verificar expediente.*Quien- quisiere hacer postura’á dicha finca'aciida&gt;á;laprecien la villa de Navalmoral de Va Maié¿; estaseñalado elprap'ío dia tada escribanía de D. Juan Villa'y Oltór.q .. S4. del corriente. ■ be desea- saber!el paradero defallecimiento de Doña-jMaríá*Coiñás} La dehesa titulada del Espadaña! situada' én' térmLno,'de&gt; lá&gt;misma mugir-dé D. Juan Saludes,; sargento que-fue^de la ■ segúlí'dá tcóthpaññi villa. Üe Naval moral;, de.…</t>
  </si>
  <si>
    <t>Oltra, Tomas</t>
  </si>
  <si>
    <t>Tomas Oltra</t>
  </si>
  <si>
    <t>…en Mariano Márquez; para Onda D. Pedro Ernaiz de Segura ; para Segorve que. la disensión debía ser solamente por lo respectivo al artículo de D. Joaquin de la. Cárcel; para Liria Don Tomas Oltra; para Chelva que se trataba, añidiendo que el dictamen de la comisión contenía D. Antonio Toribio Cordon, y para Chiva D. Hilario Mendoza. ' esencialmente lo que se mandaba, en el artículo g.° del decreto de 6 de Agosto de t8n. Atendiendo S. M. á los méritos…</t>
  </si>
  <si>
    <t>Omana, Francisco López</t>
  </si>
  <si>
    <t>Francisco López Omana</t>
  </si>
  <si>
    <t>…anos, de Má 6erio cuando el ofendido lo es en la parte de ambición, y de la ambi pañía , de Valencia. laga. ción que inspira el poder absoluto del trono. Asi habla aquel escritor. D. Francisco López Omana. D. Lorenzo Alzugaray, hermanos, ¡Feliz el que escarmienta en la desgracia agenal Corrijamos el funesto D. Francisco Labat, de Bilbao. de Pamplona. silencio de la Constitución española, y ampliemos el art. 28 que "sancio Sres. Gailo é hijo, de Santander. D. M…</t>
  </si>
  <si>
    <t>Oñaie, Josef Víctor</t>
  </si>
  <si>
    <t>Josef Víctor Oñaie</t>
  </si>
  <si>
    <t>…os que impi Aragón á D. Vicente Lago Robles : para la de Valencia á D. Vicen den qne la estatua del bien público , levantada por el Congreso , pue te Fuster: para la de Cataluña á D. Josef Víctor Oñaie, D. Felipe da ser vista en tod3 su pureza , sin que haya entre ella y el espectador Martin Igual y D. Francisco Rey. otro cuerpo intermedio mas' que el aire! VARIEDADES. Treinta años estuvo luchando la Inglaterra con estas oposiciones, hasta que el régimen co…</t>
  </si>
  <si>
    <t>Oniati-, Juan</t>
  </si>
  <si>
    <t>Juan Oniati-</t>
  </si>
  <si>
    <t>…nstrucción, ó bien se le admita á dicho efectoen el colea ¡o Zanzas, habrán perdido ya la mitad de su fuerza. Sin embargo p *¡ la de Vergara por.cuenta de la. Nación ; y. otra; de D. Juan Oniati-, para Puerta no pudo hallar en el año pasado, aun valiéndose de todos los que se Te continúe pagando la pensión de á rs.,diarios que le fue con recursos militares del imperio, los medios suficientes para sojuzgar una cedida eniQi/. ^ ... - ........... sola pr…</t>
  </si>
  <si>
    <t>Onís</t>
  </si>
  <si>
    <t>…mi único objeto se reduce á ver consolidado el bien y rigió aquella innumerable muchedumbre á la casa donde la gloria de la patria. habita 0. E. el embajador de S. M. Católica el Sr. Onís, el «He notado igualmente con mucha satisfacción que en cual representa tan dignamente entre nosotros la nación á el breve intervalo que media hasta la próxima apertura del que pertenece. La hermosa playa de Chiaia y los collados Parlamento permanecerán sus d…</t>
  </si>
  <si>
    <t>Onís, Josef</t>
  </si>
  <si>
    <t>Josef Onís</t>
  </si>
  <si>
    <t>…irecta ni indirectamente , par empleo obtuvo también su marido;: otra-- de l-a-viuda -. dei mariscal de te alguna en los disturbios de aquellas provincias, á pesar de cuanto campo D. Josef Onís, pidiendo-que en atención á ios disiinguidos mé ha dicho ¿1 principe Ipsilanti en sus proclamas. Se cree pues que los ritos de su difunto marido se conceda ur.a pensión ,á, un hijo suyo para griegos,- privados de un apoyo, en el cual fundaban sus mayores espe…</t>
  </si>
  <si>
    <t>Onis, Luis de</t>
  </si>
  <si>
    <t>Luis de Onis</t>
  </si>
  <si>
    <t>…titucional, comprendiese quierdo, sino'qué temía ser atacado y batido en detalle. S. E. el embaja también a muchos paisanos, que por distintos medios contribuyeron á dor de Espina D. Luis de Onis , con fecha del 19 de.Febrero , me es tan importante obra. cribió desde Ñapóles que el egército austríaco se.dirigia todo sobre los Las comisiones de Guerra y Hacienda unidas presentaron su dicta Abruzzos con intento-dé Batir mi cuerpo de égército, calculando…</t>
  </si>
  <si>
    <t>Onís, Luis de</t>
  </si>
  <si>
    <t>Luis de Onís</t>
  </si>
  <si>
    <t>…pecie humana principió en los climas España y los Estados-Unidos de América &amp;c.publicada por e! "Exce templados que se hallan entre el mar Caspio , el Ponto Euxino ó mar lentísimo Sr. D. Luis de Onís, min’i.tro que fue de España en aquellos Negro y el Mediterráneo. En aquellos mismos climas, y especialmente paises, contienen el mapa de aquella república con b demarcación de en una pequeña provincia, en la cual tienen su nacimiento el Tigris , el nuevas po…</t>
  </si>
  <si>
    <t>Opas</t>
  </si>
  <si>
    <t>…o en fuerza mo lucía por la venganza del conde D. Julián y la ambición del arzobispo ral , y que todos tuvieran los conocimientos necesarios para obtener to de Sevilla y de Toledo D. Opas, consiguieron en 713 (gracias á la dos los empleos; paro esto no se consigue poniendo los destinos á favor traición de estos dos hombres infames) la victoria decisiva de Guadadecíérias clases, lete, entraron sus escuadrones triunfantes casi sin obstáculo por…</t>
  </si>
  <si>
    <t>Opinión, Juan An</t>
  </si>
  <si>
    <t>Juan An Opinión</t>
  </si>
  <si>
    <t>…respectivas, y del oficio que se acababa de recibir de -á las alarmas yá las proclamas con que "habían procurado extraviar la S. M., en que decía habia venido á bien habilitar al Sr. D. Juan An Opinión los enemigos de la patria, gel Caamaño para la secretaría del Despacho de Hacienda, por ahora, y durante la ausencia del Sr. Sorela. Madrid 4 de Marzo. El Sr. presidente dijo que el Sr. habilitado de los negocios de Es SS. MM. y AA. continúan sin novedad en s…</t>
  </si>
  <si>
    <t>Oquendo, Antonio Lafuente y</t>
  </si>
  <si>
    <t>Antonio Lafuente y Oquendo</t>
  </si>
  <si>
    <t>…piezas de paño, destinadas para el eada. Ubeda D. Josef Eustaquio Madrid; D. Antonio Gallego Rodrí Levante, la India , las dos Américas y el continente; y su valor me guez. Baeza D. Antonio Lafuente y Oquendo; D. Nicolás Vázquez. dio ha sido de 6.7009 francos. Alcalá la Real D. Ildefonso Zejalvo. Martas D. Mateo López. An» Las fábricas de Limoux y de Chalabre, cuyo* productos han sido áujar D. Josef Garzón. también muy considerables , no tienen menos actividad que…</t>
  </si>
  <si>
    <t>Oran, Juan</t>
  </si>
  <si>
    <t>Juan Oran</t>
  </si>
  <si>
    <t>…l to público de ladeada reconocida hasta 31 de Marzo último. de la solicitud de D. Antonio Higuera, cónsul que fue de S. M. en A la misma comisión mandaron pasar una exposición de D. Juan Oran , remitida por el encargado del ministerio de Estado con reco de la Peña, residente en Gibraltar, y natural de estos reinos, en qué mendación del Gobierno, para que en atención á sus méritos, y ha hacia "presente la mala administración de la Hacienda pública…</t>
  </si>
  <si>
    <t>Orazi</t>
  </si>
  <si>
    <t>…xclusivo', que ¡e deberá servir, no so reino. -----En una de las sesiones del Parlamento se ha leido una lamente para la Dalmacia , sino para todo el reino Lombardoproposición del Sr. Orazi acerca de la contribución di recta, Véneto, por término de 15 años consecutivos, y que em pezarán á correr desde la misma fecha , por haber descubier y era de Opinión que no debía exceder del 10 por too. to un modo particular de extraer de los escrementos-ani…</t>
  </si>
  <si>
    <t>Orcariz, Esteban</t>
  </si>
  <si>
    <t>Esteban Orcariz</t>
  </si>
  <si>
    <t>…ir y supernumerarios. Disertaron sobre varias proposiciones de tan útil •mártir p^p. Jesucristo 5 juroen fin por el misssrip.^de-i* Eucaristia.no acet- ciencia D. Esteban Gabarda, D. Esteban Orcariz , D. Fernando Arcarme á este santísimo sacramento aun en el ultimo .trance de ia,m.u.ei/ did,.P., .Amero Echarri:, D. Josef..Joaquín Ermo . D. Manuel Laredo, -te sj no '.ctlufiplo enteramente lodo lo que acabo de jurar delante/de la D. Pedro Navarro, D. Tomas…</t>
  </si>
  <si>
    <t>Ordas, Cayetano</t>
  </si>
  <si>
    <t>Cayetano Ordas</t>
  </si>
  <si>
    <t>…de Róelos.:Lugares del Vino D. Pedro Calvo, hacendado é individuo han rec bido de Macedonia confirman la victoria conseguida contra los de la diputación provincial. Villas del Pan D. Cayetano Ordas, secre turcos en lá batalla que se dió en Casandra. Ademas de estay la dePla- tario del ayuntamiento constitucional de S. Cebrian de Castro. Vidaltanoma acaban de ganar otra los griegos en los Termopilas, en- la que ywufa D. ikrnardino de Haro, comerciante ,y…</t>
  </si>
  <si>
    <t>Orden</t>
  </si>
  <si>
    <t>…o se encuentren eri determinar, á consulta de dicho Tribunal, que á D. Luis, este caso para tomar las disposiciones indicadas. De Real D. Miguel y D. Francisco Baza, huérfanos del sargento Orden 16 comunico á V. S. para su inteligencia y cumpli mayor que fue del regimiento infantería de Sta. Fe, se les miento de ese tribunal. Madrid 16 de Eneró de 1821;” continuase abonando por la tesorería de egército de Valen cia la pensión de ,© reales de vellón a…</t>
  </si>
  <si>
    <t>Orden, Josef Mar</t>
  </si>
  <si>
    <t>Josef Mar Orden</t>
  </si>
  <si>
    <t>…D. Ildefonso Martínez, id : D. Juan Baricher, id.: D. Fran El Sr. Maldonado propuso que se crease una orden con el título de cisco García Aicaráz, id.: D. Josef López Pareja, id.: D. Josef Mar Orden de la Constitución para premiar á los beneméritos de la patria tínez Camacho, id.: D. Juan Megías, id.: D. Josef Abellan , id : Don por servicios constitucionales. Domingo Gijon y Vaca , id.: D. Josef Palacio, id.: D. Tomas Ibañez, El Sr. presidente dijo que…</t>
  </si>
  <si>
    <t>Ordoñez, Anselmo</t>
  </si>
  <si>
    <t>Anselmo Ordoñez</t>
  </si>
  <si>
    <t>…circular de este dia pa nistro togado, y juez de primera instancia de esta-M. H-.nv-illa.-;’ refrsn- ] ra que se Heve á efecto lo mandado en Real orden de 22 ds Abril del dada por D. Anselmo Ordoñez , escribano de su juzgqdo ,:se cita, lia- I año último,. por haber cesado las causas que obligaron á interrumpir su ma- y emplaza á los primos, hermanos’y sobrinos'de-Miguel dé Te rigorosa observancia, anunciamos al público las .vacantes siguientes: nas, veci…</t>
  </si>
  <si>
    <t>…erio juez de primera instancia de esta M. H. villa, de 31 de Ocubre últi distas. También anuncia que el conde.de Bubna ha cogido en Milán mo, refrendada por el escribano de número D. Anselmo Ordoñez, se ■ itt fra^anti á unos so carbonarios'"que formaban un plan de conspira c:¡a, ¡lama y emplaza á los que se consideren con derecho á los bienes &gt; ción, y que al momento ios entregó á una comisión militar. No debe que quedaron por ei fallecimiento abintestat…</t>
  </si>
  <si>
    <t>…sea permitido entrar de nuevo en la dis ñor D. Josef Martínez Moscoso , y escribanía del número al curvo de cusión principal; pero'si variase la cuestión, podrá pedirse nuevamente D. Anselmo Ordoñez, por Doña Josefa Ramos, viuda de D. Vicen la palabra. Art. 107. Los diputados cuando hablen dirigirán la pala te Perramon , cirujano mayor que fue del hospital militar de Extrema bra al Congreso,- y en ningún caso á persona particular. Art. 108. Si dura ,se d…</t>
  </si>
  <si>
    <t>Ore, Alejandro María Barrachi y</t>
  </si>
  <si>
    <t>Alejandro María Barrachi y Ore</t>
  </si>
  <si>
    <t>…pool, una carta (que se ha enseñado á para el de S, Clemente á D. Antonio Briz de la Cuesta • pa sus comitente0), en la que le manifiesta las circunstancias de ra el de Req&lt;¡ena á D. Alejandro María Barrachi y Ore: su retirada; en ella le dice «que había hecho su dimisión para ebde Cañete á D. Jo;ef Andrés de Arellano: para el .en el mes de Junio último; pero que S. M. se había digna de Priego á D, Francisco Manes: para el de Buenache á do manifestarle sus deseos de qu…</t>
  </si>
  <si>
    <t>Orense, Manuel</t>
  </si>
  <si>
    <t>Manuel Orense</t>
  </si>
  <si>
    <t>…sco Puig y Gisbert ,de do por sus gobernantes, los magistrados insultados por espíritus tur de esta corte. ídem. bulentos, todos tienen el camino abierto en el derecho de petición D. Manuel Orense, de Bilbao. D. Francisco Lesur, de Barcelona. para exponer sus quejas á la autoridad suprema, que debe protegerlos y D. Joaquin Gutiérrez Vial, de D. Andrés Gautier, de Barcelona. defenderlos de todo agravio. Bilbao. . D. J. G. Einard , de Ginebra. Si en la l…</t>
  </si>
  <si>
    <t>Orfieiro, BSrgo</t>
  </si>
  <si>
    <t>BSrgo Orfieiro</t>
  </si>
  <si>
    <t>…viernes ,en el Congreso para responder sobre los diversos puntos quí una subida en los fondos. En efecto nuestra caja de amortización está contenía la indicación presentada por el Sr. BSrgo Orfieiro, tan escasa en el día , que le importa á la naciotí que su productcr át em-; Después se leyeron algunos dictámenes de ¿as comisiones , y se le plee con las mayores ventajas posibles. vantó la sesión. ídem del 2&lt;j. VXANCtA. Despee? de haberse leido.varios ofic…</t>
  </si>
  <si>
    <t>Orfila, Mateo Pedro</t>
  </si>
  <si>
    <t>Mateo Pedro Orfila</t>
  </si>
  <si>
    <t>…de sus artículos nueva adición Lecciones de medicina legal: obra qué acaba de publicar en París ó declaración , sin que primero vuelva á la comisión que ha entendi su autor el Dr. D. Mateo Pedro Orfila, un tomo en 4.0 á la rústica, do en el asunto principal; y oido su informe, las Cortes resuelvan lo adornado con 21 láminas, de las cuales siete están iluminadas y todas que tuvieren por conveniente. ( Se continuará, j perfectamente egecutadas. Se hallará en…</t>
  </si>
  <si>
    <t>Orihuela, Josef Calixto</t>
  </si>
  <si>
    <t>Josef Calixto Orihuela</t>
  </si>
  <si>
    <t>…it á Francisco Pinera de Santurio, brado varios sugetos para las sillas vacantes, entre ellos se halla el &gt;ef¡or vecino de Cabueñes, por haber plantado, tener arraigados y en buen D. Josef Calixto Orihuela para el obispado del Cuzco; el Sr D. josef estado 302 nogales en terreno inculto. Vaz-Peieira para e! de Carre , en el arzobispado di Braga; el barón di Doscientos rs.por tercero á D. Juan Tamargo, vecino del concejo d* Frauenbvrg par* el d&lt; Avgsbur.o Stc, &amp;c…</t>
  </si>
  <si>
    <t>Orlando, Antonio María</t>
  </si>
  <si>
    <t>Antonio María Orlando</t>
  </si>
  <si>
    <t>…constitucionales de esa provincia para su Ramón de Mendoza, capitán del regimiento infantería de Murcia, que cumplimiento. Madrid 21 de Junio de 1821. está con licencia ilimitada; D. Antonio María Orlando, subteniente de infantería, y del provincial de Sevilla, y D. Fernando Guerra, subte En cumplimiento de lo prevenido en la Constitución y en el re niente de artillería nacional. glamento para el gobierno interior de ks Cortes, se ha instalado el i.° de Julio…</t>
  </si>
  <si>
    <t>Orme</t>
  </si>
  <si>
    <t>…ra. á- la primera señal pueden entrar en campaña si las circunstancias lo __una caceta de Salem, en los Estados-Unidos de América, se lea exigiesen. . „ ITALIA. lo siguiente: » El capitán Orme, que llegó el sábado pasado de las islas de Falkland,' nos ha dado noticia del acto de soberanía que se expresa aquí. Tdáooles so de Julio. „ Abordo de la fragata nacional la Heroína, en el puerto de la So Acaba de crear S. M'. una comisión para examinar con…</t>
  </si>
  <si>
    <t>Oro, Antonio</t>
  </si>
  <si>
    <t>Antonio Oro</t>
  </si>
  <si>
    <t>…de lás partes principales. EL resultado dé Memoria sobre formación de padrones, y modo.de expe ios negocios políticos, objeto principal; pero no único de dir pasaportes: su autor D. Antonio Oro. elias, no püede saberse hdsta el éxito tidal de lás nmvas ■ Discurso sobre la utilidad y ventajas de la lanza: su au conferencias que vari á tenerse en-Laíbaclt. • tor el comandante de escuadrón del regimiento de caballería Al Austria se la ha visto cotí mot…</t>
  </si>
  <si>
    <t>Orozco, Domingo</t>
  </si>
  <si>
    <t>Domingo Orozco</t>
  </si>
  <si>
    <t>…ha restablecido la correspondencia de Ñapóles, la cual nos refie dirigido por la junta nacional del Crédito público; y una exposi re los pormenores siguientes. ción del licenciado D. Domingo Orozco, vecino de Valencia, para que La Sicilia ha estado agitada durante algún tiempo; pero empieza á fin de evitar los perjuicios que experimenta la Hacienda pública en ya á calmarse la agitación. Todos se preguntan unos á otros si esta isla la venta de las fincas…</t>
  </si>
  <si>
    <t>Orozi</t>
  </si>
  <si>
    <t>…ensura no le permite decir lo mejor. Luego añade: «La asamblea de los Estados de Pest ha mostrado al Madrid Lunes i¡¡ de Octubre. guna resistencia á las propuestas de la corte. El barón Orozi y el conde SS. MM. y AA. continúan sin novedad en su importante salud. Festelitz han usado de un lenguagc bien poco agradable al Gobierno. Se exige á ia Hungría que suministre inmediatamente y sin dilación n’RF.CCION GENERAL DE LOTERIAS. 283 reclutas que debe…</t>
  </si>
  <si>
    <t>Orrit, Mariano</t>
  </si>
  <si>
    <t>Mariano Orrit</t>
  </si>
  <si>
    <t>…lejón de los Perales, rujano de. egército retirado; D. Josef Antonio Saco, ciruiacon casa, fanega ymedia.de tierra de riego, y un pedazo no del regimiento caballería de Calatrava; D. Mariano Orrit, cirujano del colegio de cadetes de Valencia ; D. Josef de secano con "Frutales y parras, en 8783. rs. Otro huerto en idem, sitio de Bezaliz, riego del Caz de Vargas, cirujano dé la Real brigada de Carabineros ; Doo alto, con casa, dos fanegas de tierra, árbo…</t>
  </si>
  <si>
    <t>Ortega, Francisco Antonio</t>
  </si>
  <si>
    <t>Francisco Antonio Ortega</t>
  </si>
  <si>
    <t>…as aceñas tituladas de Hoyo , término del Breto en dicho rio Esla, claraciones indagatorias i los reos. c«n 4 ruedas corrientes, en dos casas repartidas., su puente con varios 5.a D. Francisco Antonio Ortega, preso en 19 de Febrero por ha ojos de piedra, todo corriente; un cañal inmediato á las aceñas, una llarle un cuchillo prohibido y papeles subversivos en alto grado, é in casa de cantería , un portal inmediato á dicha casa, y un cuarto de ductivos de conspira…</t>
  </si>
  <si>
    <t>Ortega, Juan</t>
  </si>
  <si>
    <t>Juan Ortega</t>
  </si>
  <si>
    <t>…Couto, Amati , Castro, Cepeda, Navarro Cabrera: para el de Borja á D. Manuel Uc las lleras: para el de Tara( D. Felipe), Yuste , Desprat, Romero ( D. Josef), Moreno Guerra, zona á D. Juan Ortega: para el de Calatayud á D. Fabián Lorente; pa Díaz Morales , Fernandez , Pierola , Zavala, López Constant , Medra- ra el de Ateca á D. Agustín Palacios: para el de Daroca á D. Juan no, García Page , Solana , Zorraquin, Golfín , Cortazar, Gutiérrez Antonio Ber…</t>
  </si>
  <si>
    <t>…proceda en este negocio con Las Cortes recibieran con agrado, y mandaron pasar al Gobierno, arreglo á las leyes, y á las particulares circunstancias que le carac una exposición de D. Juan Ortega, sargento de infantería retirado, é terizan.” individuo de la milicia nacional de esta corte; D. N. Catarina , escri Asimismo se leyeron dos votos particulares, uno de los Sres. Cues biente agregado á la secretaría del Despacho de la Guerra , y D. Gas ta, Zub…</t>
  </si>
  <si>
    <t>Ortega, León</t>
  </si>
  <si>
    <t>León Ortega</t>
  </si>
  <si>
    <t>…España D. Francisco Olona; del de Ordenes Militaré* palabra por .palabra el contenido del dictamen de ia comisión, mayor- jé el..teniente coronel del regimiento americano del Rey D. León Ortega. mente cuando este se fundaba en una porción de documentos todos á cual mas interesantes. Que la comisión no deseaba que esta discusión se '' Atendiendo S. M. á los distinguidos servicios y padecimientos por prolongase mucho, porque conocía la necesidad que h…</t>
  </si>
  <si>
    <t>Ortega, Tomas</t>
  </si>
  <si>
    <t>Tomas Ortega</t>
  </si>
  <si>
    <t>…Fr. Juan Josef Tejada, al difunto Fr. Gil Fernandez , del orden de jpOsídion ele los fabricantes de dicha villa , pidiendo se les administrase S. Gerónimo, el comisario de guerra D. Tomas Ortega, al presbítero pronta justicia Sobre’lás ocurrencias del dia 2 , y se les- diese el valor D. Alejo Acebes, al capitán D. Joaquín Bejar, D. Antonio Gascón de lo que habían perdido , cobrándolo después la Nación de quien hu y D. Josef Mingo , dijo: que debia de…</t>
  </si>
  <si>
    <t>…aceñas, titulado Valmayor, corriente zález Conde en 20 id ; D. Pedro Josef Corbo , presbítero, en 2 5 id., y en todas sus partes, con sus presas bien acondicionadas y chalupa para D. Tomas Ortega en 18 id., todos por conspiración contra el sistema *u servicio , en 129 rs. constitucional. Se halla esta causa en sumario, y ampliándose sus de Las aceñas tituladas de Hoyo , término del Breto en dicho rio Esla, claraciones indagatorias i los reos. c«n 4 ru…</t>
  </si>
  <si>
    <t>Ortis, Joseí</t>
  </si>
  <si>
    <t>Joseí Ortis</t>
  </si>
  <si>
    <t>…dera demencia ó delirio , ó en En los regimientos ligeros empleos era segundos comandantes á los peligro inmediato de muelle por razón de enfermedad, y todo se sus supernumerarios D. Joseí Ortis, del primero de Aragón: al coronel penderá Iiast3 que sane.” D. Juan de Prats , del primero de Cataluña : al coronel ID. Ignacio ViEl Sr. Calatrava dijo que el colegio de Zaragoza y la audiencia de llasana, del de Tarragona: a D. Justo Bcrriz , del de Barcelo…</t>
  </si>
  <si>
    <t>Ortiz, Francisco María</t>
  </si>
  <si>
    <t>Francisco María Ortiz</t>
  </si>
  <si>
    <t>…, y librarse de salteadores. para el de Fuente-Sauco á D. Juan Josef Moro de Elejaveitia : para el Es bien cierto que no está en manos de los hombres sustraerse al de Fermosellc á D. Francisco María Ortiz: para el de Carvajales á torrente del espíritu general, ei cual arrastra á los mismos hombres pa D. Alejandro Cilleruelo : para el de Viilalpando á D. Joaquín Ba- ra que se realice el deseo que toaos, tienen de un Gobierno regular y hamonde. acomodado alas ci…</t>
  </si>
  <si>
    <t>Ortiz, Josef</t>
  </si>
  <si>
    <t>Josef Ortiz</t>
  </si>
  <si>
    <t>…la Reyna, que soli En seguida el Sr. secretario leyó el parte que en 7 de Marzo pasó al cita se le admita en Castilla la Nueva el juramento que debía, prestar señor presidente el sargento Josef Ortiz, comandante de la guardia de en Sevilla, por haberle concedido los honores de magistrado de aque la secretaría del sal0:1 de Cortes, concebido en estos términos: ,,E1 sar lla audiencia. gento da parte al Exento. Sr. presidente del Congreso de no haberse pre A…</t>
  </si>
  <si>
    <t>Ortiz, Josef Lorenzo</t>
  </si>
  <si>
    <t>Josef Lorenzo Ortiz</t>
  </si>
  <si>
    <t>…quedarán sin curso las que instalaren. Madrid i.° de julio de 1821. En la junta general de ios acreedores é interesados á la testamen Circular del ministerio de Hacienda. taría de D. Josef Lorenzo Ortiz , vecino y del comercio que fue de es Los Sres. diputados secretarios de las Cortes con fecha de ayer me ta corte, celebrada en 13 del próximo mes de Junio ante el Sr. D. Ju dicen lo siguiente: lián Díaz de Yela, magistrado togado honorario , juez interino de…</t>
  </si>
  <si>
    <t>Ortiz, Juan Angel</t>
  </si>
  <si>
    <t>Juan Angel Ortiz</t>
  </si>
  <si>
    <t>…n María Aguirre, D. Jacobo Escario, D. Josef Fermín Gil, D. Josef el magistrado, el prelado, el sacerdote, el militar , el hacendado, que María Santiago, D. Josef Mariano Vallejo, D. Juan Angel Ortiz, por su educación, su carácter ó su rango en la sociedad debieran ser D. Juan Antonio Sánchez, D. Juan García Becerra,.D. Juan Vera, el egemplo de. sus conciudadanos, asi también la envidia , la venganza, D. Manuel Josef Quintana y D. Pedro Solana. la parcial…</t>
  </si>
  <si>
    <t>Ortiz, Julián</t>
  </si>
  <si>
    <t>Julián Ortiz</t>
  </si>
  <si>
    <t>…ta sociedad nó sé compone de sectas valor y creación •, encabezado erí el propio Sr. marques, y su illtini partidos , que no tienen .mas objeto que sus intereses par mb endoso éti D. Julián Ortiz, núiii.'2-46,091: dos vales, uno ticulares, ni llegan á ser amigos entre sí'los que la compo dinero y otro!comun-de gp'ó pesos, y dicha creación , encabeza dos también én el expresado-Sr. marques de Castelfuerte connen sino á fuerza-de acreditar, un grande de…</t>
  </si>
  <si>
    <t>Ortiz, Luis</t>
  </si>
  <si>
    <t>Luis Ortiz</t>
  </si>
  <si>
    <t>…o de la universidad de Moskow. fesión. Providencia de visita: siga. 8.u La sociedad de las Ciencias fisico-medicas , dirigida actual Labal de Flores , remitida por el juez tercero D. Luis Ortiz de mente por el profesor Richter , publica sus tareas bajo dos diferentes Zúñiga en 14 de Diciembre de 1820 por haberla aprehendido varios formas. Las disertaciones sobre puntos que solo interesan 4 los médi géneros robados. Estado de esta causa. En sumario.…</t>
  </si>
  <si>
    <t>…úñiga, que-la continua mientos útiles por medio de periódicos; y algunos de ellos se publi ba. Providencia de visita: siga. . . ' D. Marcos Yalcarcel, remitido por el juez tercero D. Luis Ortiz can bajo su inspección. de ZúÚica en 10 de Agosto de 1820, habiéndose presentado volunta I.os mejores diarios , ó á lo menos los mas buscados son: i.° El riamente en la cárcel por haber hablado contra el sistema constitucio diario de Petersburgo, publicado á…</t>
  </si>
  <si>
    <t>…a tortuga. JLá actividad, d; la póivorai món Beaudot, ‘responsable de dicha nota; y en su consecuencia es inmensa, y sé ha hallado el punto de apoyo para usarla en el discur mandó D. Luis Ortiz deZúñiga, juez de primera instancia de Sevilla, so.: dic ubi consistam tire. De. consiguiente la pólvora de cañón modi que se alzase la caución, y la suspensión de la venta de Jos egempia ficada con proporción á su impulso es el medio seguro , y tal vez el re…</t>
  </si>
  <si>
    <t>Ortiz, Sebastian</t>
  </si>
  <si>
    <t>Sebastian Ortiz</t>
  </si>
  <si>
    <t>…” Que fue denunciado á nombre de los Sres. magistrados de la cando por consiguiente el remanente de los fondos de gratificaciones, audiencia de la propia iciudad por el procurador D. Sebastian Ortiz contra los cuales no pueden reclamarse los derechos individuales. de Lanzagorta el día 23 del citado mes de Junio , ante el Sr. alcalde 15. » Todo alcance ó deuda pasará de ano en año hasta venir á con constitucional de esta 11. villa conde del Clavijo : la l…</t>
  </si>
  <si>
    <t>Osea, Gerónimo</t>
  </si>
  <si>
    <t>Gerónimo Osea</t>
  </si>
  <si>
    <t>…y de seguridad : la Europa contempla nuestra tranquilidad delegando sus funciones , previo formal convite , en los seño después de tan deshechas tormentas; pero lo mas honroso res D. Gerónimo Osea y D. Pedro Dimas Cervelló, indi para la Francia es que no fue menos libré en el juramentó viduos de la diputación provincial. Todos estos señores, que prestó agradecida á la Constitución que le dio V. M., acompañados del reverendo clero y de muchos párrocos y que lo fuisteis vos en ha…</t>
  </si>
  <si>
    <t>Osó, Jaime de</t>
  </si>
  <si>
    <t>Jaime de Osó</t>
  </si>
  <si>
    <t>…in que y de Calderón, hacendado de Agramunt. Tortora D. Miguel Luis de por ello se suspenda la lectura, y quedando responsable el que faltare Septien , hacendado de Horta. Falcet &gt;D. Jaime de Osó , hacendado de de la indefensión que puede resultar. Vinebra. Olot D. Bruno Bret, arcipreste de Ja colegiata de S. Juan de Art. 2.0 «Para el caso de enfermedad ú otro impedimento legíti las Abadesas. D. Jaime Serrat Calbo, abogado de Olot, diputado de mo de a…</t>
  </si>
  <si>
    <t>Osorio</t>
  </si>
  <si>
    <t>…ádase: ” Entre esios cuatro hospitales no se compren creo que sí debe aprobar el dictamen de la comisión. derán el de convaicc,entes, que sera s^paradu cuando sea cuiiVeinculc, El Sr. Osorio manifestó que comparando los sueldos que se propo si et de los locos, que io sera siempre.” nían páyalos gefes políticos con los que las Cortes extraordinarias del</t>
  </si>
  <si>
    <t>…dudas consúltalas por algunos intenden ron de las cédulas , y las sacaron con sus piopias manos. tes acere»1 de-la ejeóucion del-d.'eréto de los-Córte* extraordinarias de t&lt;j&gt; El Sr. Osorio preguntó cómo se había de echar ¡a suerte en una cir d«i Noviembre próximo' pTiíatft» sobre'-'moneda francesa, y ds la • Real cunstancia que hubiese ocho ó nueve reos condenados a muerte , uno o orden expedida «ns de» faj^no conformándose ■&gt;. M. con el dictam…</t>
  </si>
  <si>
    <t>Osorio, Josef</t>
  </si>
  <si>
    <t>Josef Osorio</t>
  </si>
  <si>
    <t>…taba forman Jaén , quejándose de una infracción cometida por el capitán de milicias do , á lo que se opuso el Sr. Sánchez Salvador; y después de una corta provinciales de la misma D. Josef Osorio; y otra del juez de primera discusión se resolvió suspender la discusión de estos artículos hasta di instancia de Baza , vindicándose de la queja que dió contra él el alcal cha época. de constitucional de.aquella población. Se leyó el artículo 22, que decia.…</t>
  </si>
  <si>
    <t>Osorio, Juan</t>
  </si>
  <si>
    <t>Juan Osorio</t>
  </si>
  <si>
    <t>…ficientemente, quedó aprobado el dictamen de último, extendiendo la resolución de las Cortes de 18 de Octubre an la comisión. terior á las provincias de Ultramar. Entró á jurar el Sr. D. Juan Osorio, diputado por Galicia, y tomó Ivual resolución recayó sobre otro oficio del mismo Sr. secretario, asiento en el Congreso. j que acompañaba aoo egemplares de la circular en que se insertaba el Se continúo la segunda lectura del código civil. decreto de las Cor…</t>
  </si>
  <si>
    <t>Osorio, Manuel</t>
  </si>
  <si>
    <t>Manuel Osorio</t>
  </si>
  <si>
    <t>…o en 29 de Agosto Quince marjales, en Idem, pago del Horno, en 9© rs. del año.último, se mandó hacer saber el contenido del mismo Diez marjales, en idem, pago de idem, en 4© rs. á D. Manuel Osorio y D. Francisco Villegas, este último Cuatro marjales de secano, en idem, pago de 1a Caña marque» de Sandin, y por no haber sido hallados, se ha pedido da del Inca, en éoo rs. y acordado últimamente á instancia de su portador, se emplaSeis marjales de riego , en Idem, pago de la Comp…</t>
  </si>
  <si>
    <t>Osorio, Vicente</t>
  </si>
  <si>
    <t>Vicente Osorio</t>
  </si>
  <si>
    <t>…Príncipe. bía ofrecido en una proclama 100© pesos fuertes por la ca Otros problemas resueltos por el mariscal de campo beza del Sultán, y este al momento imitó la conducta de. los D. Vicente Osorio. holandeses, y aun se excedió en generosidad , pues prome Otros contestados por el regimiento caballería de Far— tió 200© por la cabeza del comandante. Difícil será que Íes nesío. quede gana á los holandeses de renovar semejante.tentativa» Idem por el regimie…</t>
  </si>
  <si>
    <t>Osorio-y, Manuel</t>
  </si>
  <si>
    <t>Manuel Osorio-y</t>
  </si>
  <si>
    <t>…to De esta breve exposición resulta que desde 1789 sé han del año último, se mandó hacer saber el contenido del mismo perfeccionado todas las partes de la astronomía; que se han á D. Manuel Osorio-y D. Francisco Villegas, este último mar desenvuelto y valuado rodas las desigualdades sensibles de ques de Sandin; y por ño haber sido hallados, se ha pedido y los planetas ;■ qué las tablas han adquirido mayor y mas du acordado últimamente, á instancia de su portador , se emplaze…</t>
  </si>
  <si>
    <t>Osotio, Juan</t>
  </si>
  <si>
    <t>Juan Osotio</t>
  </si>
  <si>
    <t>…inado el sistema constitucional Se aprobó el dictamen de la comisión de Poderes sobre los presen á título de defender la religión, entorpeciendo la secularización de ios tados por D. Juan Osotio, diputado suplente por Galicia, los que opi religiosos por todos los medios posibles, y haciéndolos estar á la fuer naba debían aprobarse por estar conformes con lo prevenido en la Cons- za y rabiando en los conventos. Los ministros por otro lado se habían ap…</t>
  </si>
  <si>
    <t>Ossau, Josef Pellicer de</t>
  </si>
  <si>
    <t>Josef Pellicer de Ossau</t>
  </si>
  <si>
    <t>…testable es la hipocresía con que Guillen Barbón y Castañeda, D. Diego Saavedra Fajardo, D. Juan de traidoramente se ocultan para socavar, minar y trastornar el orden pú Palafox , D. Josef Pellicer de Ossau , Francisco Martínez de la Mata, blico. Los pueblos, al mismo tiempo que los aborrecen y temen su fa P- Fr. Juan de Castro &amp;c.; y el 4.0, que hoy se publica, la representa tal influjo, piensan bien del corazón de sus Príncipes, porque es im ción de D. Manuel…</t>
  </si>
  <si>
    <t>Osteret, Antonio</t>
  </si>
  <si>
    <t>Antonio Osteret</t>
  </si>
  <si>
    <t>…Pedro Agar , D. Ramón Utges y D. Tomas Perez. se notan en el hombre más vulgar. Parroquia de S. Gines, 8 electores. ¡Qué marcha tan augusta es la de un corto número de ciudadanos, Don Antonio Osteret, D. Francisco de Travesedo, D. Francisco depositarios ya de la confianza de sus convecinos , caminando al tem Antonio Pando, D. Francisco Izquierdo, D. Josef Brun, D. Matías plo á implorar del Altísimo que ilumine su entendimiento y separe de lavin, D. Ramón…</t>
  </si>
  <si>
    <t>Otalora, Josef Mingo y</t>
  </si>
  <si>
    <t>Josef Mingo y Otalora</t>
  </si>
  <si>
    <t>…nstancia de esta villa, y por la escriba Maroto, juez de primera instancia de Valiadolid, el dia r x del corriente. nía numeraria de L). Tomas Sánchez y Prado, á saber: x.' Causa. D. Josef Mingo y Otalora, Santiago Jiménez (alias Madruga), Fr. Leandro Y ¿faenes, Josef Sánchez, Eusebio Marín y Francisco Muñoz, presos en 15 de Febrero: Teresa Mata, Gabriel Continúa la lista tttím. 8¿ de las Jincas que se están subastando de tas Manzanares y D. Josef Solesio Cast…</t>
  </si>
  <si>
    <t>Otamendi, Pedro</t>
  </si>
  <si>
    <t>Pedro Otamendi</t>
  </si>
  <si>
    <t>…ampo, en venta 1720 rs., y en renta L&gt;. Sebastian del Conde Vallejo, D. Domingo Posadillo, D. Norberto 4 terrados de trigo y 4 de cebada.__En la chousa del Pedron, 3 ferra Beleña, D. Pedro Otamendi, D. Juan Francisco Leston y Peña, Don dos y 4 cuartillos dí heredad , en venta 720 rs., y en renta 4 ferrados Francisco de las Barreras, D. Francisco -Címbrelo Rubio, D. LLamon de cebaba. En la veiga de tita. Cruz de Arriba, 4 ferrados de labor y de la Cruz y…</t>
  </si>
  <si>
    <t>Oteíza, Bartolomé</t>
  </si>
  <si>
    <t>Bartolomé Oteíza</t>
  </si>
  <si>
    <t>…que el juez de la causa recibael exhor ■Filero; cuyo impreso se denunció el día 3 de Agosto próximo pasado to mandará entregar ios autos al procurador que hubiese nombrado el por D. Bartolomé Oteíza, D. Francisco i’au'a Navascues, D. Norberto reo , y no habiéndolo hecho este , al que le nombrará de oficio inme del Valle, D. Ignacio Armendariz, D. Blas Martínez y D. Basilio diatamente, con encargo de que en el correo próximo siguiente remita Torres, encar…</t>
  </si>
  <si>
    <t>Oteiza, Jacinto Cayetano</t>
  </si>
  <si>
    <t>Jacinto Cayetano Oteiza</t>
  </si>
  <si>
    <t>…s bajo el go llamado de los Villalbas, cuyo último cierto poseedor por ahora ?” ideología nombre dé faltará quien no diga que Bonaparte habló á los españoles de aparece haber sido D. Jacinto Cayetano Oteiza é Imó, deduzcan en su Pero audiencia dentro del referido término lo que á su derecho convenga: ideas liberales', y que el general Sebastian: en úna proclama hacia ver con apercibimiento de que les parará el perjuicio que hubiere lugar; que Bonaparte era liber…</t>
  </si>
  <si>
    <t>Otón, Hipólito</t>
  </si>
  <si>
    <t>Hipólito Otón</t>
  </si>
  <si>
    <t>…. A consecuencia de todo, y sien A la comisión de Marina se mandó pasar una exposición de Don do con la calidad de gobierno provisional que lleva la totalidad de la Josef Zamora y D. Hipólito Otón, alféreces de fragata en actividad, división del territorio español, la comisión propone que las Cortes se y primeros pilotos de la armada nacional, en la que hacían algunas ob sirvan aprobar como parte del art. 2.0 de su proyecto las provincias servaciones s…</t>
  </si>
  <si>
    <t>Otra</t>
  </si>
  <si>
    <t>…04 rs. ’ que forman la comisión que ha de redactar los-estatutos. Otra arrendada á Juan Alejo y Diego Farfan; en i5,628 rs. En seguida se pasa al nombramiento del presidente ,-del secretario Otra arrendada á Josef Altillo, en 9271 rs. - , y tesorero del establecimiento: se determina él dia de la próxima Otra arrendada á Juan de Amaya, Félix Velazquez, Josef Jiménez, reunión, y se designa de antemano la persona que la presidirá (Chairy Manuel Gómez, en…</t>
  </si>
  <si>
    <t>Otra, Manuel</t>
  </si>
  <si>
    <t>Manuel Otra</t>
  </si>
  <si>
    <t>…01 rs. continuarán despachando hasta-su llegada los que actualmente se hallan Otra en la misma calle, núm. 2, en 14,155 rs. encargados de ellos; D. Joaquín -Anduaga el de Estado ¡ D. Manuel Otra en la propia calle, núm. 3 , en 17,611 rs. Encina el de Gracia y Justicia, ;y D. Ignacio Balanzat el de la Guerra. Otra núm. 17, calle de las Lumbreras, en 9230 rs. Tendreislo entendido, y lo comunicareis á quien corresponda. = Pala Otra núm. 18, en la mismac…</t>
  </si>
  <si>
    <t>Otro, Gregorio Gon</t>
  </si>
  <si>
    <t>Gregorio Gon Otro</t>
  </si>
  <si>
    <t>…ntonio Carrera en 15 de id.; D. Francisco de la Peña y IX Josef 7.aabriga el que lo posee , y efectos del mismo cañal, en 30® rs. gasti en 16 id.; D. Gerónimo Navarrete en 18 id.; D. Gregorio Gon Otro cañal mas abajo de las aceñas, titulado Valmayor, corriente zález Conde en 20 id ; D. Pedro Josef Corbo , presbítero, en 2 5 id., y en todas sus partes, con sus presas bien acondicionadas y chalupa para D. Tomas Ortega en 18 id., todos por conspiración contra…</t>
  </si>
  <si>
    <t>Otros, Leonardo</t>
  </si>
  <si>
    <t>Leonardo Otros</t>
  </si>
  <si>
    <t>…haber infringido ei articulo 287 c'omo con un aliado natural: este es un cálculo que se entiende fácil de la Constitución. mente. A la segunda de Legislación una representación de D. Leonardo Otros pensarán acaso que los esfuerzos que se hacen con esta mi Soler , en la que pedia se le mandase librar un testimonio de la conce ra s'eráh fatales á la aristocracia y al clero. Vosotros pensareis del mo sión del hábito dé una de ias órdenes militares por el a…</t>
  </si>
  <si>
    <t>Oúver</t>
  </si>
  <si>
    <t>…ormar sobre estas obras, lo cual pertenece á las tamento ú otra cosa equivalente. diputaciones provinciales. El Sr. Roviradijo que podría aprobarse el artículo sin perjuicio de El Sr. Oúver manifestó que se habia puesto esta circunstancia en variar después el nombre, y asi se verificó. el artículo , porque se habían hecho algunas obras en distintos puntos, • Art. i&lt;5. « Para atender al interesante objeto de proteger la nave que hablan sido muy p…</t>
  </si>
  <si>
    <t>Oüver</t>
  </si>
  <si>
    <t>…ortes no deben sea podrá embarcarse profesor médico-cirujano que no sea del cuerpo; aprobar este artículo. y á falta de estos, profesores que tengan el correspondiente título.” El Sr. Oüver reprodujo las reflexiones que había hecbo , y mani Quedó aprobado. festó que tratándose únicamente de bases generales de aranceles no se Art. xo. » Los médicos y cirujanos tendrán las consideraciones de debía hacer modificación ahora,, sin perjuicio de que si…</t>
  </si>
  <si>
    <t>Ovaldia, Manuel</t>
  </si>
  <si>
    <t>Manuel Ovaldia</t>
  </si>
  <si>
    <t>…desnu cisco Fernandez, D. Francisco de Paula Fernandez, D. Juan Antonio darse del-prestigio que los hizo mirar como los hijos predilectos de la Isusi, D. Juan de la Cruz González, D. Manuel Ovaldia , D. Manuel Virtud y de la sabiduría , descubriendo en ellos todos los defectos que Rodríguez, D. Pedro Agar , D. Ramón Utges y D. Tomas Perez. se notan en el hombre más vulgar. Parroquia de S. Gines, 8 electores. ¡Qué marcha tan augusta es la de un corto núm…</t>
  </si>
  <si>
    <t>Ovalle, Félix</t>
  </si>
  <si>
    <t>Félix Ovalle</t>
  </si>
  <si>
    <t>…manos está puesta ya mas inmediatamente la suerte de la patria( Parroquia de S. Martin , 16 electores. da un aspecto casi divino á sus funciones. D. Antonio León, D- Fausto Rojo, D. Félix Ovalle, D- Fran Pero asi como el vicio, el fraude y la alevosía, que se vituperan cisco Arnaiz y Bringas, D. Francisco López Olavarrieta , D. Ignacio en la generalidad de las gentes, parecen mas odiosos, mas indignos en María Aguirre, D. Jacobo Escario, D. Josef Fer…</t>
  </si>
  <si>
    <t>Oviedo, Antonio Manuel de</t>
  </si>
  <si>
    <t>Antonio Manuel de Oviedo</t>
  </si>
  <si>
    <t>…, se llama y emplaza á to mer sentimiento y su primer anhelo. dos lo» acreedores que se .conceptúen con derecho á los bienes El déspota mas feroz no es otra cosa que un hombre/ de D. Antonio Manuel de Oviedo, de aquella vecindad , para dominado del ansia desmedida de libertad; y para disfrutar^ que por sí, ó por medio de apoderado que los represente, ocur la 1 sin restricción necesita de la sumisión absoluta y de la ran á deducir su derecho contra los bienes secu…</t>
  </si>
  <si>
    <t>Oviedo, Manuel Mana Je</t>
  </si>
  <si>
    <t>Manuel Mana Je Oviedo</t>
  </si>
  <si>
    <t>…tados No Asimismo , secun proponía la misma comrsiertt, concedieron d:ssotros gozamos de inviolabilidad! por nuestras Opiniones; pero no so pensa de edad para manejar sus bienes á D. Manuel Mana Je Oviedo, mos impecables, por lo que estamos sujetos al tribunal, de Cortes; de vecino de Sevilla , Mateo Martin , natural de esta corte , á D. f rancisco ¡nodo que no hay diputado, por elevado carácter que tenga , que esté Ricall, y á D. Julián López, natural de Icrr…</t>
  </si>
  <si>
    <t>Oyarzabal, Juan María de</t>
  </si>
  <si>
    <t>Juan María de Oyarzabal</t>
  </si>
  <si>
    <t>…ficio de haber muerto S. MvLuis xvur.’h 'diputáeioh jprcíírificial." 11 ‘‘ :'' rv&gt;! ■¡&gt; N6íO&lt;ros-igncHrÚnrías:jque se:haya verificado semejante yaconteciiuier-to; Hernani.^ El ir. D. Juan María de Oyarzabal ,(pfdpiétarió v abogádé 'á'pesárdédoJque^j^VíernespróximopasadopubUcamoicomo-extracto dé los tribunales nációpales, y cdniahdanté dé la milicia nacional de del Liberal Ouifuzcoano. acerca de varios aiaques de apoplejía' que Ojá'rzún. ; .-- .-i • ¡H . . ... •…</t>
  </si>
  <si>
    <t>P'ambley, Sierra</t>
  </si>
  <si>
    <t>Sierra P'ambley</t>
  </si>
  <si>
    <t>…miento de tercer director de este establecimiento.” Se aprobó. de que su existencia sea incompatible con la justicia, coa el orden so Se leyeron cuatro proyectos de decreto por ei Sr. Sierra P'ambley cial , con el bien de los pueblos, con la tranquilidad de la nación , con acerca de la contribución territorial, diezmos, patentes y derechos so la seguridad del trono, con la pureza-de la religión y coa los deseos bre consumos, todos relativos al plan genera…</t>
  </si>
  <si>
    <t>P, Bernardo</t>
  </si>
  <si>
    <t>Bernardo P</t>
  </si>
  <si>
    <t>…z de primera instancia de esta M. H. villa, en prnvidercia ei sistema constitucional que felizmente rige, pudieran alentar á ios refrendada por ei escribano del número de la misma D. Bernardo P.az pérfidos enemigos de este sistema bienhechor, á aumentar sus crimi de Antoñana , ha señalado para junta de acreedores á la testamentaria de nales tentativas, seduciendo á los incautos y sencillos para turbar en D. Juan García Leal , agente de negocios que f…</t>
  </si>
  <si>
    <t>P, Francisco</t>
  </si>
  <si>
    <t>Francisco P</t>
  </si>
  <si>
    <t>…iese sesiones extraordinarias, como ya cular y regular de toda la ciudad , y de un inmenso concurso, el doc lo habia dicho en otra ocasión , y el Sr. Al ves do Rio propuso que tor D. Francisco P.oldan, lectoral de la santa iglesia, y predicó la hubiese el domingo próximo para tratar de la Hacienda y papel- el licenciado D. Mariano Sicilia/dignidad de prior, y cura mayor moneda, siendo este último objeto tan importante, como íntimamente de su sagrario1…</t>
  </si>
  <si>
    <t>Pa</t>
  </si>
  <si>
    <t>…á uno de los Trágala. primeros objetos.” Asi se aprobó. Se pasaron á la misma comisión tres expedientes, en que se pedia No se admitió á discusión esta indicación del Sr. Lallave (D. Pa hubiese lugar á la formación de causa d diferentes autoridades por ha blo) : „En el artículo 68, después de la expresión á las diez, en punto ber infringido la Constitución. de la mañana, se añadirá si hubiere el número suficiente de diputados Las Cortes reci…</t>
  </si>
  <si>
    <t>…esen los fueros de Vizcaya una vez que se halla «Pillo que la exposición que se há leido sobre- dispensa matrimonial publicada la Constitución en toda.la Monarquía, y se condene á D. Pa ” pase á una comisión especial , pitraque examinándola, proponga ti las blo Velasco al pago de una cantidad que le cLbe. ” Cortes la medida general que convenga tomar en esta materia , respeA la de Hacienda pasó otra de D. Juan Bautista Iturralde , regi » tun…</t>
  </si>
  <si>
    <t>…mo es Tallare ( D. Pablo ), Valle y García Page. notorio, á procurarles el posible descanso y felicidad, tengo á bien Habiéndose hecho segundo escrutinio, y tenido el Sr. Tallare (D. Pa aprobar desde ahora.la Constitución que allí se hace, y recibirla en mi blo), 66 votos, el Sr. Valle 62 y el Sr. Garcia Page 21, no resultando reino del Brasil y en los demas dominios de mi cotona. Mis minis elección, porque la mitad mas uno del total 147 no…</t>
  </si>
  <si>
    <t>…manifestado, creo Art. 1 5. ,, Con dichas insignias se adornará en adelante el cenotaque debe aprobarse. fio de las honras militares que se celebran todos los añas en la expre El Sr. Pa area se opuso á lo que habia manifestado el Sr. preopinante, sada iglesia, y lo mismo se verificará en las exequias fúnebres del ani demostrando que era muy ridículo que en tiempo de paz tuviesen un versario de las víctimas del mencionado día Dos de Mayo. En…</t>
  </si>
  <si>
    <t>…i no su medida , al menos su silencio. No hay ce voluntariamente con sus providencias á los ojos de la Europa. Asi razón s para justificar este silencio criminal, como le llama el Sr. Pa yo creo que las Cortes están en el caso de aplicar en la calificación de larea, ó incomprensible, contó le denomina la comisión. El Gobier la conducta del ministerio los mismos principios que se han desen no previo aquellas consecuencias , ó no: si lo primero…</t>
  </si>
  <si>
    <t>Pa, Gabriel</t>
  </si>
  <si>
    <t>Gabriel Pa</t>
  </si>
  <si>
    <t>…ntinúe pagando por el Crédito público una pensión de rs. ella se observaba una nueva profesión de fe del Sto. Oficio; que de esto A la de Infracciones de-Constitución una queja de D. Gabriel Pa se podía inferir el motivo que tendría para ocultarlas , y al mismo tiem drón contra D. Andrés Casaroayor, oficial de caballería, por haberle po lo útil que era el hacerlas circular, pues cada una de ellas era un altanado su casa con pretexto de buscar un del…</t>
  </si>
  <si>
    <t>Pa, Joaquín</t>
  </si>
  <si>
    <t>Joaquín Pa</t>
  </si>
  <si>
    <t>…ntiago Mtfro; D. ManuelXlorente, sargento mayor de ía guerra y.la falta de disciplina militar con desventajas'comunes-á unos columna de granaderos provinciales de Galicia, ¡el Dr. D. Joaquín Pa y otros -, pero los griegos conocen que .adolecen de este defecto, y traba- tino . bibliotecario de la universidad de Santiago; el coronel D. Ferjan/por corregirlo , cuya, circunstancia aumenta extraordinariamente sus nanrto .Saravia; D. Ramón Lamas y Menende…</t>
  </si>
  <si>
    <t>Pa, María</t>
  </si>
  <si>
    <t>María Pa</t>
  </si>
  <si>
    <t>…capitán del puerto á quien corresponda, que Jiaya Jugar. según lo expresamente prevenido en el art. 41 del mencionado decreto, . &gt; Teniendo que comunicar un asunto que interesa á Doña María Pa no puede tampoco caber duda en que esta misma autoridad es quien de dilla ó á sus herederos , la cual sailió de esta corte en clase de doncella be concederé! permiso, que no existe sin la Real patente, á cuyo recibo con un general para el campo de S. Roque en…</t>
  </si>
  <si>
    <t>Pa-, García</t>
  </si>
  <si>
    <t>García Pa-</t>
  </si>
  <si>
    <t>…gimiento y escuadrón del tren de artillería, en lá'que' manifestaban al Congreso que sus sentimientos por el siste carse esta división. No me parece bien la especie que oí ayer al Sr. García Pa-, ma constitucional eran los mismos que manifestaron sus gefes y ‘oficia ge deque erigidas las capitales de las provincias, las Cortes que ven les en representación de 4 del corriente mes Scc. Se mandó haceí espe gan no tendrán facultades sino para reformar le…</t>
  </si>
  <si>
    <t>Pablo</t>
  </si>
  <si>
    <t>2'7 naron algunos SreS. diputados que debía haber libertad de por Guadalajara: D. Pablo de la Llave y D. Joaquín Maimprenta, pero previa la censura, porque si no, podía perju niau, por Veracrtiz : D. Lorenzo Zavala y D. Josef López dicar á la moral evangélica, poniendo por egemplo (as ter Constante, por Yucatán ; acordando que el de este último…</t>
  </si>
  <si>
    <t>…mos, rebatiendo Sres. Muñoz Torrero, Martínez de la Rosa, López (Don Mar al mismo tiempo con solidez las especiosas objeciones que secreta y ma cial), Ctemencin, Toreno, La-Llave (D. Pablo), Tiñan, Janer y liciosamente suelen esparcir los infames enemigos de nuestra adorada Ugarie (D. Gabriel). Constitución; y demostró casi matemáticamente que nuestra sagrada re Para la de Diputaciones provinciales. ligión queda con las nuevas leyes inas afianz…</t>
  </si>
  <si>
    <t>…ros, secretario del Despacho ■ Se leyeron por primera vez las siguientes proposiciones, una de los de la Gobernación de la Península. Las Cortes quedaron enteradas. Sres. Laíjave (D. Pablo), Michelena, Couto, Ramos Arispe, López Después de haberse nombrado al Sr. Golfín para- reemplazar al se Constant, Piérda, Quintana, Cañedo y Gaseo: » Siendo la orden de ñor conde, de Toreno en la comisión'de Sociedades patrióticas, por Isabel-la Católica seg…</t>
  </si>
  <si>
    <t>…que se rlibiájhacer'era .proteger ios ,pri A las de Legislación y Ultramar se pasó' otra de los Sres.. Lallave meros estudios para poder de éste modo’formar ciudadanospuesto, que (D. Pablo), Pierola , Gouto, Ramos Afispe, Romero Alpucnte, Gaseo, desde el año de 30 no lo podían ser los que no supieran leer ni ; escri Quintana , Cañedo, Constante y Zavala , que decía:,, Siendo la orden bir. No habiéndose dado el punto 'gof’stificíentemente discut…</t>
  </si>
  <si>
    <t>…úmero, de alcaides y demas empleados municipales Las Sres. López Constante, Maniau, Zavala, Piérola, Lallave que deben tener los ayuntamientos, era de dictamen que las Cortes de ( D. Pablo ) , Fagoaga , Ramos Ar.spe ,.. dichelena, Montoya , Cor-, clarasen en su fuerza y vigor ¡a ley de 2.’. de Mayo de 181.2 , debiendotazar y Couto presentaron una indicación en estos términos: -» Que se . reformarse su articulo 4.0 en los términos siguientes: qu…</t>
  </si>
  <si>
    <t>Sfes. Conde de Toreno, Latlave (D. Pablo), Martínez , Calatrava y Guerra- y Marina el general Cállela, y el propietario Parissi debía Ramos Arispe; y se levantó la sesión , citando para extraordinaria i acompañar al Príncipe, á campaña. las ocho de la noche, á fia de seguir id discusión del reglamen…</t>
  </si>
  <si>
    <t>…á mis pueblos es aprobar desde aho En Ja de secretario quedaron en primer escrutinio los Sres. Vecino, ra esa misma Constitución: dirigiéndose solo mis cuidados, como es Tallare ( D. Pablo ), Valle y García Page. notorio, á procurarles el posible descanso y felicidad, tengo á bien Habiéndose hecho segundo escrutinio, y tenido el Sr. Tallare (D. Pa aprobar desde ahora.la Constitución que allí se hace, y recibirla en mi blo), 66 votos, el Sr. Val…</t>
  </si>
  <si>
    <t>…tado que frió de las Cortes .extraordinarias por U ción no sé 'qué prohíba Hacer, estas especulaciones ; y asi me parece qpe provincia de Veracruz , residente .en Madrid, y el Dr. D. Pablo de la debe decirse ál Gobierno'qué oiga la propuesta de esta compañía, sin Llave y Avija . abad d&lt;¡ líermedes, dignidad: de -la catedral de Palénperjuicio dé pedirle cuentas’tíe todb ib que ha Hecho hasta el dia. . , cia , y diputado que fue nombrado por dich…</t>
  </si>
  <si>
    <t>…ensado á dicha clase. Se leyó la siguiente indicación de los Sres. Calatrava, Gaseo, A la comisión de infracciones de Constitución se mandaron pasar: una Desprat, Vecino, Lallave (D. Pablo), Vitorica, Moreno Guerra, exposición de D. Pedro Fernandez contra un juez de primera instan Cortazar, Mora, Calderón, Sancho, Torres, Villa, Merino, Cano’ cia de la provincia-de Santander, por haber infringido los artículos 245 Manuel, Quintana, San Miguel,…</t>
  </si>
  <si>
    <t>…la Guerra, ó al que hubiese firmado el nombra chos batallones estaba en pésimo estado.'Xas tres cuartas partes de fusi- • miento de capitán general de Castilla la Nueva á favor de D. Pablo les 110 eran de calibre, y la mayor parte de estos nada valían; Muchos Morillo, sin haber precedido el juicio de residencia prescrito por las soldados y todos los legionarios estaban sin capote ; sin cartucheras, sin leyes 7.a, lib. 2.9, tít. 3.® y 50, lib. 2…</t>
  </si>
  <si>
    <t>…de la formacion .de causa cía Soza, Milla, Lasanta , Moragues, Siives, Hinojosa, Fondevda, á aquellos sugetos que en diversos tiempos han seguido á (os facciosos -Conto&gt; Lalláve (D. Pablo), Castro , Moreno , Amati, Navarro ( Don y atentadores contra’el sistema constitucional, á los que han sido per -Felipe.)-, Yuste, Solana , Romero ( D. Josef) , Desprat, Diaz Mora seguidos y cogidos últimamente en.Saivaijetra y en sus inincáiacioúes, les , Za…</t>
  </si>
  <si>
    <t>Pabló</t>
  </si>
  <si>
    <t>…r- Ronda á D. Cristóbal María Antón; pata-la de Casares á D:,'Agus cíto, haciendo parte integrante de este cuerpo el estado mayor, y tín Medina y Lavalle;.para la de Grazaletna á' D. Pabló .Muño»'Ala-, siendo responsable de todas las determinaciones el ministro de la nís ; para la de Guadin á ü. Manuel Medina Jiménez; para la dé Col Guerra, como presidente nato que debe; set. Adrmas , siendo un.cuer- menar 4 0. Francisco Javier López Duque; par…</t>
  </si>
  <si>
    <t>…ones de los Sres. Romero Apuente, Gaseo, Yuste y Na Falarea , y después de una discusión entre varios Síes, diputados, -no varro (D Felipe), á-los Sres, Romero Alpuente, L»llave. (D. Pablo), hubo Jugar á votar sobre dicho dictamen. . _ López (D. Marcial), Cortés , Zorraquin , Sancho y Traver. La de Milicias nacionales presentó también su dictamen acerca'dé Se aprobó una indicacion^del Sr. González Allende, relativa i que la solicitud dirigida p…</t>
  </si>
  <si>
    <t>…amase inmediatamente al ministro, y se de Díaz del Moral, Torre Marin , Dolarea, Vecino, Arispe, Yuste, clarase la sesión permanente. Domínguez, Couto, Martínez , Gaseo y Lallave (D. Pablo). Otros señores diputados pretendieron disuadir de esta idea á los se El Sr. Puirblanch se opuso á este nombramiento , creyéndole con ñores de la comisión: y después de una viva discusión se acordó que trario á la Constitución , y opinó no se llevase est edec…</t>
  </si>
  <si>
    <t>…atura una memoria sobre el estado de la libertad di elerta , Couto, Medina, Amati, Sánchez, Ramírez Cid y Lallave de imprenta, manifestando los obstáculos que convenga remover, ó (D. Pablo), para que se devuelva á los disidentes de Ultramar que se los abusos que haya que refrenar.” Se levantó la sesión. hayan acogido á la amnistía decretada por las Cortes en la legislatura pa-</t>
  </si>
  <si>
    <t>…ó no ha-sertar en ella el voto particular de los Sres. Alaman, Pouchet, López, cer justicia en ella á los concurrentes que vienen de otras partes, y no Pedrazas, Sánchez, Lallave (D. Pablo), Mora, Gaseo, Couto, Var han sido formados en la misma universidad ó en los mismos estudios. gas, Guerra, Pareja, Fagoaga, marques del Apartado y otros, contra- 3.a Porque siendo la capital el centro común de las luces, y el parase ció á la aprobación del di…</t>
  </si>
  <si>
    <t>…hasta-.aquí. Creer Igualmente se hizo la segunda lectura de otra proposición de los que solo con una corona cívica ó con un-recuerdo á la posteridad que Sres. Alaman y La i lave (D. Pablo), relativa á que para continuar da recompensado su mérito , me parece que no es para este tiempo; y Ja obra de los ríos que desembocan en el golfo de México y mar del asi' debemos procurar que sin dejarlos expuestos-á la'pobreza sean dis Sur, se den facultade…</t>
  </si>
  <si>
    <t>…solicitando se les concedan arbitrios para atender á sus gastos munici particular 6 comunidad.” pales; la comisión arendiendo á Ja urgencia de muchos de dichos ex El Sr. Lallave (D. Pablo) se opuso á este artículo: i.° porque pedientes , y que le e:.; imposible el presentar su dictamen sobre cada era un ataque directo á la propiedad: 2,'J porque la palabra ocupado era uno de ellos en ei breve tiempo que (alta para concluir ia presente le oscur…</t>
  </si>
  <si>
    <t>…Sr. F.igoaga al art. z.° aprobado Montenegro, Ligarte ( D. Agustín), Calderón , Pino, Losada, Valle por las Cortes; «De modo que basta que se llenen las necesidades de y Latlave (,D. Pablo ). Filipinas no vayan á las demas provincias de América.” Se leyó la siguiente indicación del Sr..González Allende: «Que ss Un Sr. diputado hizo presente que estos misioneros no solo no nombre una comisión especial, compuesta de individuos , s- es poóbic eran…</t>
  </si>
  <si>
    <t>…era se compondrá de los diputa riano), López (D. Patricio), García Sosa, Sanjuan , conde de Alcados de toda la Nueva-España, inclusas las provincias internas v Goa- raz , Lallave (D. Pablo) y Ramos Arispe. temala: ias dos secciones de la América meridional comprenderán una Varios señores diputados pidieron la palabra, que no les fue con de ellas el nuevo reino de Granada y las provincias de Tierrafirme, y cedida , por declararse esta primera le…</t>
  </si>
  <si>
    <t>…con las expresiones mas tiernas y satisfactorias. junta preparatoria debia api obar el dictamen. Este paseo enterneció á todo el pueblo , y produjo ios mayores ' El Sr. Lallave ( D. Pablo ) hizo presente que en las pretogatíVas afectos patrióticos. Luego el presidente hizo subir á todos, y al mo que competían al Rey no había encontrado ninguna reiativa á que pu mento presentó un abundante refresco, del que se salió de noche, par3 diese mandar…</t>
  </si>
  <si>
    <t>…rral nuel, Gaseo, Mendez, Mora, Cavaleri, Lázaro, Sánchez Salvador, de lienzo del color de los pantalones. El capote para el soldado ligero Cepeda, Lallave (D. Vicente), Lallave (.D. Pablo), González será gris, mas oscuro que el de la infantería de línea ; pero los sargen Allende, Ramonet, López Constante, conde de Alcaráz , Villa , Gil tos llevarán levita también gris con la divisa del color del regimien de Linares y Palarea to. La cantimplora…</t>
  </si>
  <si>
    <t>…ta 4 maquilas—Ühá.fierra Opinión, puede hacer una adición relativa á lo que ha manifestado. en la Liabcí-ria del Lian , de 3 cuartas de diá de id., en venta jiS'rs El Sr. Lallave (D. Pablo) fue de Opinión que deberia autorizarse á y eh renta 4 copines__Otra, llamada la Cuesta, de dia y medió dé las diputaciones provinciales de Ultramar para que usasen de las facul bueyes, en Venta 330 rs., y en renta 2 copines y medió—Una'tieíTa) tades que se l…</t>
  </si>
  <si>
    <t>1643 El Sr. tallave (D. Pablo): Deseo saber lo que es Tá'línea de píchen por entrada en los puertos de primera ó segunda dase frutos ó precaución: á lo que contestó el Sr. conde de Toreno, que la comisión géneros procedentes de les depósitos y trasbordos dispuestos en ios ar entendía por…</t>
  </si>
  <si>
    <t>…gército permanente , sean reemplaza proyecto de decreto sobre la organización de la armada naval. dos en él con la antigüedad que les corresponda cuando no hubiese El Sr. Lallave (D. Pablo ) pidió que se leyese el art. 71 del regla agregados. mento que dice asi: » Los secretarios del Despacho asistirán á las sesio Se verificó la segunda lectura del proyecto de ley para impedir el nes cuando sean enviados por el Rey con el fin de proponer ó sos…</t>
  </si>
  <si>
    <t>…a esto ó lo otro para aprovista las demás circunstancias particulares que hay en la materia. .bario d-.spues como ministro, pue.s que de este modo queda cubierta 3 El Sr. Lallave (D. Pablo) : Debemos tratar ante todas cosas de'si -Jo menos su responsabilidad de opinión, que es mucho mas temi hay necesidad ó no de organizar la marina. Que no tenemos marina, y ble que la legal; y en segundo lugar porque en todos los negocios que que la necesitamo…</t>
  </si>
  <si>
    <t>…nga a ‘de la armada.” Jas Cortes lo mas conveniente, me parece que no habra dificultad en Después de una ligera discusión entre los Sres. Sánchez Salvador, su aprobación. -LaHave (D. Pablo) y Rovira , quedó aprobado. EL Sr. Oliver manifestó que ia cambien se conformaba con lo que - . Y también lo fue el artículo 39, que decia; « E! Gobierno les se habia manifestado el Sr. preopinante. ñalará un uniforme sencillo, análogo á la clase de servicio…</t>
  </si>
  <si>
    <t>…r la dirección general de aduanas, relativo al co instruidos en este principio de rigorosa justicia no debimos hacer otra mercio de importación del extranjero; y una exposición de D. Pablo cosa en el enunciado dia, y firmes en sostenerlo repiten ¿ V. M. los Crisoli haciendo algunas observaciones acerca del puerto franco de Cádiz. expresados cuerpos que no lleyan otro objeto al hacerle esta sencilla A la comisión de Hacienda se mandó pasar una e…</t>
  </si>
  <si>
    <t>…Señor ; se ha sentado ya el principio de/qué la soberanía reside esentida de registro. ’ eialmente en la Nación , y ' por lo mismo-fe pertenece exclusivamente • . Ef Sr. Lallave (D. Pablo) pidió que se leyera la lista de losseño^ el derecho de hacer sus leyes fundamentales: principio incontestable, y re res diputados que faltaban. , cibido como taíentre los axiomas del derecho público.” En otra sesión r &gt; El Sr.iisecretario leyó una lista, que…</t>
  </si>
  <si>
    <t>…á ¡a maquinaria es-preciso confe Art. i.° » Habrá una ¡unta directiva de casas de moneda.” sar , que aunque las máquinas de Droz, la de abrir husillos y otras eran El Sr. Lallave (D. Pablo) preguntó si esta junta directiva deberá excelentes, a aba lástima ver los molinos que había en. la casa, pues era serlo también de las casas de moneda en Ultramar. menester no tener idea alguna de mecánica para creer que eran buenos* El Sr. conde de Toreno c…</t>
  </si>
  <si>
    <t>…No, señores, no hay tal libertad; Se leyeron varias adiciones á este decreto de los Sres. Alamac y esto es uua licencia desenfrenada;.esto es imprimir líbelos infatnaio- LalJave ( D. Pablo ) , que admitidas a discusión se mandaron pasar á la rjos,-cuyos autores deben ser castigados severamente ” comisión. . Si las leyes no reprimen con vigor los abusos de la libertad de la ■ Se leyó la minuta del decreto orgánico de la milicia activa. imprenta,…</t>
  </si>
  <si>
    <t>…cuando se quisiera suponer que son que pido que se declare haber lugar á votar en su totalidad. muchos los ramos que penden del cuidado derla beneficencia, sin em El Sr. Lallave ( D. Pablo ) dijo que estaba animado de los mismos bargo siempre en mi concepto abraza mas objetos de los que debe abra sentimientos hacia ¡a humanidad , la misma filantropía y la misma sen zar.una ley orgánica ; y por consiguiente me parece que la comisión se sibilidad…</t>
  </si>
  <si>
    <t>…quin de Rosria, hacendado. D. Baudilio Pera. Sta. Co reformas y adiciones sustanciales fueren necesarias para que su conte lunia de Parnés D. F’rancisco Batile y Sagur. Montblanch D. Pablo nido se ajuste exactamente á lo que resulte del proceso, á satisfacción Anguera y Riera. Granollers D. Josef Valionesta, abogado. La Bis- del mismo fiscal y de los defensores.- y en este trabajo invertirán a io bal D. Pedro Camps. Seo de Urgel D. Mateo Estany…</t>
  </si>
  <si>
    <t>…s heroicos sacrificios, el generoso des de moneda acerca de las proposiciones de los Sres. Alaman, Laliave prendimiento y la infatigable actividad de la milicia nacional, que ha ( D. Pablo ), Méndez y Milla , el cual estaba concebido en estos tér cubierto todos los puntos de la plaza patrullando dia y noche en lugar minos. de la fuerza permanente que se halla acantonada. El art. x.° dirá: 33 Habrá una junta directiva del ramo de moneda en Madri…</t>
  </si>
  <si>
    <t>…culares de los bres. Gaseo, Cortés, García (D. An algún medio para que no estuviese ta.i txpu.síc el denunciador, porque óteme , Yust-, Cainus Herrera, A laman, Guerra ,■ Laüave (¡D. Pablo.) aunque fuese cierta la denuncia, podía quedar burlado el denunciador, i y Solano!, conirartos á la apiobacion del art. i.° del decreto sobre con- sabiéndolo de antemano el dueño dei contrabando ó de ia casa , y sacán trabando. dolo fuera de ¡a misma. 1 Las…</t>
  </si>
  <si>
    <t>…mandaron agregar á ella aprobado. los votos particulares de los Sres. Moreno, Mora, Ligarte y Alegría, Art. 1 o. » Las aprehensiones que se hagan de estos géneros ó efec Lallave ( D. Pablo), García ( D. Antonio) y Solana, contrarios 4 la tos de contrabando se adjudicarán íntegra y brevemente í los apre aprobación del art, 4.0 del dictamen de las comisiones de Hacienda y hensores, auxiliadores y denunciadores, observando las reglas estableci Com…</t>
  </si>
  <si>
    <t>…ición , porque en. ciendo varias reflexiones acerca de ios delitos de contrabando é-_c. el código penal no se habían señalado las penas para esta clase de delitos. Ei Sr. Laiiave (D. Pablo) hizo varias reflexiones para manifestar El Sr. conde de Toreno opinó que seria muy conveniente que para que era vicioso el principio de que partía la copaision para presentar este objeto se reuniese la comisión de Código penal con las de Hacien el proyecto a…</t>
  </si>
  <si>
    <t>…que ten de desenvolver muchos casos que de lo contrario seria imposible acla gan por oportunas. rar; por cuyo motivo, caso que se tenga por conveniente, puede sus El Sr. Lallave (D. Pablo) deshizo una equivocación que dijo habia penderse la aprobación de estos artículos para cuando se verifique 1« padecido el Sr. preopinante. discusión del código de procedimientos. El Sr. ia Bodega dijo: Ni apoyo ni impugno el proyecto de que se Otro.de los ar…</t>
  </si>
  <si>
    <t>…o que por lo mismo es nición en términos mas claros la ccmision las adoptaría. muy apreciable. El Sr Cortés dijo que la desconfianza con que-hablaba en éste asun .El Sr. Laliave ( D. Pablo): A mí me parece que estamos en una to tan ageno de su ministerio no podia. menos de arredrarle, y de con academia mas bien que en un Congreso ; empieza la comisión , y dice: siguiente limitaría su discurso á hacer algunas ligeras observaciones: » Es delito t…</t>
  </si>
  <si>
    <t>…leyó tenerse esto presente para cuando se-trate de los artículos én los que se artículo, •• - • • -■ proponen ias penas que se han de aplicar á las tentativas. ... El-Sr.'Lallave (D. Pablo) manifestó que ño creía este artículo ge Él-Sr. Villanueva: He pedido la palabra para manifestar que la pa neral , en razón de que.no se habían aprobado las definiciones de deli labra tentativa está muy, bien puesta en .este, artículoque no es del to y culpa,…</t>
  </si>
  <si>
    <t>…ares infor cesita otra circunstancia, que es la que sabiamente fia puesto la comi mantes. sión, cual es ¡a de a; tid„c a! que cometió ei del:lo, ó se aprovecha de E¡ Sr. bal lave (D. Pablo) observó respecto á Jas palabras auxilia - sus consecuencias &amp;c. D ce el Sr. Casascca que no puede ser aux iiadoP dores y fautores que si eslas significaban una misma cosa ó igual ciase de "un delito aquel que ayuda á otro después de cometido. Yo creo que de…</t>
  </si>
  <si>
    <t>…ndió esta discusión , y se leyó la siguiente proposición de una ley i Esta da una excepción á los extrangeros, como es la ignoran los Sres. Romero Alpuente, Alonso López, Laliave {D. Pablo), cia , )o cual no se verifica con muchos nacionales, que no están entera Ay starán , Gaseo, Camus y Herrera, Diaz del Mora! , Michelena, dos de las leyes municipales, y á los cuales aun después de calificada Divida , Navarro ( D. Andrés), Muñoz, Vadilio, Qui…</t>
  </si>
  <si>
    <t>…iscusión! - - ra salvarlos ó encubrir el delito.” Continuó la discusión del código-penal. • &gt; El Se. Vadillo leyó-las observaciones'que se habian hecho-respecto - El Sr. Lallave; (D. Pabló) obtúvo la palabra para hablar contra el - de esta parte del art. 17. párrafo 4.0 dei -art; 17; hizo algunai? observaciones acerca.del lenguage El Sr., García (D. Antonio): Unicamente, tengo que hacer usx ob del artículo,- y.opinó que debía volver á‘ la comis…</t>
  </si>
  <si>
    <t>…ero, Dolarea, Ramonet, Lastarria, Paul , Ramírez , Mén pues ciertamente es uno de los mas importantes qué se han presentado dez , Gaseo, Florez Estrada, Gutiérrez Acuña, Laliave (|D. Pablo), á su consideración ; pero no creo muy oportuna {a proposición que. ss Guerra ( D. Josef Basilio), Sotomayor , Navarro ( D. Felipe), Camus discute, porque no la hallo conforme al reglamento que las Cortes y Herrera, Cortés, Quiroga, García (D, Antonio), Garc…</t>
  </si>
  <si>
    <t>…labra extrangero las siguientes: por el que según gías se añadan las siguientes: tan pronto como ¡o permita el estado de ios tratados. la tesorería nacional. Otra del Sí. Lallave (D. Pablo), que decía asi: » Pido que al fin 4.0 Que en el art. 17 después de la palabra comandantes se añada, del art. 12 se añada: » excepto cuando la pena asignada por el mismo de a. saber, con arreglo á las ordenanzas de la armada y demas órdenes de lito en el extr…</t>
  </si>
  <si>
    <t>…rcial) y Florez Estrada, contrario á la aprobación de ra de su seno , lo hará presente al ayuntamiento , para que informando la pena de trabajos perpetuos, y otro del Sr. Lallave (D. Pablo), con sobre ello á ia diputación provincial , pueda asta consultar al Gobier trario á la de la pena de muerte. no lo conveniente. Se leyó por primera vez una proposición del Sr. Coraminas para Art. 9.0 » En el caso en que á propuesta del Gobierno las Cortes q…</t>
  </si>
  <si>
    <t>…de Setiembre............................ 2 8. , blanch , O-Daly, Quintana, Freire, Solanot, Mora, Micbelena , La- 12.® en 21 de Octubre.............................. 2 8. llave ( D. Pablo), Moreno , Hernández Chico , Gaseo, Navarro ¿Don *3.* en 18 de Noviembre.................. ....... 2 8. Felipe), Yuáte, Desprat, Romero ( D. josef), Muñoz Arroyo, Fer- 14.® en 16 de Diciembre........................... 1». ' nandez , Camus Herrera, Gutiérrez…</t>
  </si>
  <si>
    <t>…odrá servirse hacer una adición, que la comisión ia tomará en consi cause el delito. deración. 2.í- », La mayor necesidad qu? tenga ia sociedad de escarmientos por : l Sr. taüave (D. Pablo) expuso que era moralmente imposible la mayor frecuencia de los d...tos. - ■ que diez delincuentes tuviesen una misma culpabilidad, y que esto era 3-2 •» La mayor malicia , pr. meditación y sangre fría que haya ?n la necesario que la comisión lo tomase en cue…</t>
  </si>
  <si>
    <t>Pablo-Sala</t>
  </si>
  <si>
    <t>…D. Josef Soler y Garrigos, id. de Gijona, y D. Pascual Juan NOTICIAS DE ESPAÑA. y Servent, vecino de Onili__En Denla: D. Joaquin Abargues, de Benisa; D. Josef Ciscar, de Gandía, y D. Pablo-Sala , de Denla. f-'u ' Earcelona 7 de Noviembre. Alcira: D. Jaime Carpí , presbítero de Alginete; D. Pedro Fuster, abogado de Albalat dePardines, y D. Calixto Gómez, farmacéutico , . - SALUD PUBLICA. ^ de Alcira—En Cartagena: D. Pedro Molla Sartorio y D. Isidoro…</t>
  </si>
  <si>
    <t>Pablo-Sari</t>
  </si>
  <si>
    <t>…o^ DI Bálta^r López í'yropj|teriO:},D-- Hilario ‘^PBBBéComparaéiónentre- los-. griegos déí-di»-y*thNínem¡gos n-VMjbs grie* Jiménez-, -intendenta hónofario de provincia. Suplentes.~D. Pablo-Sari mas numerosos que sus enemigos': a.0 Unos y otros están ta fe , magistrado de Oviedo; D. Ramón Abad , cura de’Orihuelá de -Albarracin ; P. Tomas Perez;,-del comercio de Segovia. _ n valor , cuando menos, igualt^g.^ Los griegos son dueños ÍlÉ“HlBÍjúliwfePart:¿…</t>
  </si>
  <si>
    <t>Pablos, Julián</t>
  </si>
  <si>
    <t>Julián Pablos</t>
  </si>
  <si>
    <t>…ña , examinó la tinguido monasterio de Miradores , puestos anteriormente en libertad finura con que egecuta las demas operaciones de su arte. Estimulado por el juez de la causa, y D. Julián Pablos, preso en-las cárceles de Martin, exhibió muestras de dorar el tafetán, papel y terciopelo con tan aquella ciudad ; y excluidos da él los restantes que lo han pedido. En ta delicadeza, como pudiera hacerlo el extrangero, á quien aventaja el dia 15 estaba disp…</t>
  </si>
  <si>
    <t>PablóV</t>
  </si>
  <si>
    <t>…z Chico, Castoreña, Hermosilla, Janer, Milla, Argüel!0’ rogativas del trono, por lo cual esperan las Cortes y ruegan á S. M. Pierola, Freire, Dávila, Vitorica , Hinojosa, Lallave (D. PablóV ! que en uso de sus facultades se dignará tomar las providencias que tan Moreno, Murfi, Cristo y Conde, Temes, Murguia, Gaseo, Navarro imperiosamente exige la situación del Estado.” La comisión ha tenido (D. Felipe), Yuste , Desprat, Romero (D. Josef), Camus…</t>
  </si>
  <si>
    <t>Pacchiarotti</t>
  </si>
  <si>
    <t>…e Ingla cooperó por este medio á sustraer el regimiento de la obediencia del terra en Irlanda. El 30 del pasado se habían reunido ya 7200 libras es Gobierno saboyano. terlinas. El Sr. Pacchiarotti y el caballero Ceppi deBairolo , cómplices de LaPor noticias de América sabemos que el general Bolívar, presiden neri, han sido ahorcados en estatua, y han sido condenados al mismo te de Venezuela, había dirigido al Congreso una carta, en que declara tiempo á…</t>
  </si>
  <si>
    <t>Pacheco, Amonio</t>
  </si>
  <si>
    <t>Amonio Pacheco</t>
  </si>
  <si>
    <t>…de I3 comisión habian «Echo que ai que no tenia v.retLrza 1 5.a La de obras públicas. nada se le daba que le expusiesen á la vergüenza pública . y par lo El Sr. Calatrava dijo que D. Amonio Pacheco y la audiencia do mismo no tenia ningún valor la ps’tra que propones 'e cunin r ita Pamplona habían informado acerca de esta pena, )' qu« ena decía quo debía advertirse que tenia un valor muy giar.de para ¡o&gt; espectador-.**,</t>
  </si>
  <si>
    <t>Pacheco, Antonio</t>
  </si>
  <si>
    <t>Antonio Pacheco</t>
  </si>
  <si>
    <t>…gir sus miras el legislador : la pena de de !a misma, y las de Galicia y Pamplona, y #1 colegio de la Cor uña muerte produce una sensación viva al mirar á un hombre puesto en un y D. Antonio Pacheco habian hecho observaciones acerca de este punto. patíbulo; y este triste espectáculo ¿retrae de cometer algún delito? Re- El Sr. Romero Aipuente dijo: Se me ofrece hacer ale una observa cúrrase la historia de todos los paisas, y especialmente los de la Penín…</t>
  </si>
  <si>
    <t>…mente , cuyas plazas serán provistas por goza, Sevilla .Oviedo, Valladolid y Salamanca, colegio de Granada y rigorosa oposición en los hospitales de las capitales, debiendo set en D. Antonio Pacheco habían hecho observaciones acerca de este artí todos ellos de nombramiento de las juntas municipales de benefi culo conforme lo proponía antes la comisión ; pero convencida de las cencia. razones que se alegaban suprimió , aunque con sentimiento, la primera A…</t>
  </si>
  <si>
    <t>Pacheco, Juan</t>
  </si>
  <si>
    <t>Juan Pacheco</t>
  </si>
  <si>
    <t>…ue forzoso detenerse para dar ría de Sepúlveda. Ledesma Lie. D. Cipriano Antonio Esteban , aboga algún descanso á los caballos, por ser entrada la noche. Por la mañana do. Miranda D. Juan Pacheco, cura párroco de Sequeros. Mirón Don continuó ia milicia la persecución de los ladrones por las pisadas de los Manuel Díaz , vecino de Sta. María de Berrocal. Montentayor Don caballos hasta el término de Benamejí, en que perdieron el rastro, Agustín Morgado.…</t>
  </si>
  <si>
    <t>…el Crédito público en 2ó de manca los Sres. D. Taribio Nuñez, bibliotecario mayor de la universi Junio, 31 de Agosto y 12 de Octubre última para que se eximiesen dad de Salamanca; D. Juan Pacheco, cura párroco de Sequeros, y Don del 4 por too las ventas de las fincas adjudicadas al referido estable Félix Ovalle , alcaide constitucional de Madrid en el año pasado. Su cimiento, y después de oido el dictamen dei consejo de Estado, eran plente. D. Manuel…</t>
  </si>
  <si>
    <t>Paciplinar</t>
  </si>
  <si>
    <t>…enerales Quiroga , Riego y demas, después de haber Ipsilanti, situado en una posición formidable , se ocupaba en dis examinado la adición- y el artículo adicional propuesto por.el Sr. Paciplinar y en egereitar sus tropas á la europea, con el fin de pTeserttar- -larea -, opinaban que el‘art. &lt;S.° se podial redactar'en-los términos si se con una ventaja positiva al frente de las hordas turcas ,-si icá"so se guientes , y asimismo añadirse otro articulól…</t>
  </si>
  <si>
    <t>PacLdndres</t>
  </si>
  <si>
    <t>…dis tinguidas abandonan aquella capital. INGX ATERRA. El 25 fue ahorcado el teniente de carabineros Laneri, el cual en vez de obedecer la orden que se le habia dado de prender al Sr. PacLdndres 7 de Setiembre. chiarotti, capitán de la brigada de Alejandr a , habia arrestado de acuer . Eri Dublin se ha abierto una suscripción con el objeto de erigir un do con aquel al barón Righini, coronel de la misma brigada, y monumento que consagre la memoria de…</t>
  </si>
  <si>
    <t>Pacnbtey, Sierra</t>
  </si>
  <si>
    <t>Sierra Pacnbtey</t>
  </si>
  <si>
    <t>…or menor, y por consiguiente podria recargarse mas £ Vascongadas y Navarra. algunos pueblos de lo que se debería. Art. g." «Con la intervención y aprobación de las diputaciones El Sr. Sierra Pacnbtey dijo:el reparo del Sr. Ochoa se reduce á que provinciales se hará en las provincias el repartimiento de la cantidad en Jugar de la base que propone la comisión se adopte la de población; que les quepa entre sus pueblos por la misma base, sin alterarla, sino p…</t>
  </si>
  <si>
    <t>Padilla, Juan de</t>
  </si>
  <si>
    <t>Juan de Padilla</t>
  </si>
  <si>
    <t>…propo manca, en que liacia presente que estando dispuesto para los dias 23 siciones que hacia esta, y estaban concebidas en estos términos: y 24 del corriente celebrar honras por D. Juan de Padilla , D. Fran 1.1 Cesará de todo punto la prestación de dinero á Roma con mo cisco Maldonado y Juan Bravo en el pueblo de Villalar, y deseando tivo de bulas de arzobispados y obispados, de dispensas matrimoniales, los milicianos locales de dicha ciudad asistir ar…</t>
  </si>
  <si>
    <t>…do el principio de que perteneciendo brada para eternizar la memoria de los héroes de la libertad de Castilla al Rey solo la facultad de dar á la administración la forma que le pa D. Juan de Padilla, D. Juan Bravo y D. Francisco Maldonado, y los reciese mejor, y por consiguiente la de arreglar el ministerio, podía de Aragón D. Diego de Heredia, D. Juan de Lanuza y D. Juan de distribuir el trabajo entre sus agentes del modo que creyese mas opor Luna. La c…</t>
  </si>
  <si>
    <t>Padrón, Ruiz</t>
  </si>
  <si>
    <t>Ruiz Padrón</t>
  </si>
  <si>
    <t>…añol , y ademas todo extrangero de cualquier tencia y á la de siete hijos menores. estado que sea aun antes de avecindarse en territorio español , puede Se concedió permiso al Sr. diputado Ruiz Padrón para salir fuera por sí solo y ó formando compañía que no pase de tres personas, capi de Madrid á restablecer su salud. tular sobre establecimiento de una ó mas poblaciones nuevas, para lo Se mandó pasar á la comisión especial de Hacienda una adición he cual…</t>
  </si>
  <si>
    <t>Padrona-bey</t>
  </si>
  <si>
    <t>…opongan á estaban á punto de rendirse por falta de víveres, fondeó en nuestra sus planes. En los tribunales apenas puede adelantarse cosa alguna , pues rada el 14 de Setiembre. Et almirante Padrona-bey, en una larga acontece también que por el mismo estilo amenaza a los que osen de i'isita que poco después de haber llegado hizo al comandante de esta clarar como testigos, y particularmente á los que citen á estos para que isla, le asee 11 ró que desde su sal…</t>
  </si>
  <si>
    <t>Paez</t>
  </si>
  <si>
    <t>…e muuanza de ruinis. Los patriotas , según se dice , tienen su principal fuerza en lo interior. tros &amp;c. &amp;c.; voces todas que no merecen ningún crédito. El presidente Bolívar y el general Paez se han reunido en Harinas, des de donde trataban de salir para atacar á S. Cario». En Sto. Tomas se TKAKCIA. creía que habiendo reconquistado los realistas á Caracas y la Guaira, po dría llevar el acostumbrado eonvoi por todo el mes de Junio. París 34 de Juli…</t>
  </si>
  <si>
    <t>Paez, Agustín</t>
  </si>
  <si>
    <t>Agustín Paez</t>
  </si>
  <si>
    <t>…idad de sus almas, 'En y el tercero de 100 á D. Vicente Vigil, todos tres de esta ciudad; yea esto se ve como confunde la Cuotidiana á los turcos con los liberales, atención á que D. Agustín Paez y D. Gregorio Gabriel Yanguas, as-i á pesar de que elogia á aquellos con tanta profusión como calumnia á pirantes ál primer premio, le han competido, se acordó exponer sus Jos últimos, j Quién adivinará este enigma! obras ai público en la junta general para su satisfacción , y que se hi E…</t>
  </si>
  <si>
    <t>Paez, Pedro</t>
  </si>
  <si>
    <t>Pedro Paez</t>
  </si>
  <si>
    <t>…nterior 2(58 : entrados ó acometidos 58: salido» acción para nuestras tropas, si el teniente de lanceros de Barquisimeto Ó curados ó: convalecientes 31 : muertos 34: existentes 28 D. Pedro Paez, echando pie á tierra , y poniéndose al frente de una Total de los tres puntos: existencia anterior 603: entrados ó aco fuerte guerrilla de infantería, no hubiese penetrado por un bosque casi</t>
  </si>
  <si>
    <t>Paga, García</t>
  </si>
  <si>
    <t>García Paga</t>
  </si>
  <si>
    <t>…ba mu gaceta. Quedó aprobado. chas dificultades; añadió.que tenia por muy justas alguna» rctlexionsi Xa misma presentó su dictamen acerca de la solicitud de Doña Jo -hechas'por'el Sr. García Paga; pero que estas no tenían ninguna resefa -Trabar , viuda -díl teniente coronel D. Joaquin Cabrera , uno de .lacion con el artículo primero. los comprendidos en ios sucesos dei general Porlier, en la que mani .Después de haber manifestado que la asignación que…</t>
  </si>
  <si>
    <t>Pagc, García</t>
  </si>
  <si>
    <t>García Pagc</t>
  </si>
  <si>
    <t>…pasó á formalizar indicación. dad, en 300 rs. Para la comisión de Libertad de imprenta nombró el Sr. presi Otra en dicho pago, de 7 cuartas, de segunda calidad, de riego, dente al Sr. García Pagc. en 700 rs. Se aprobó la minuta de decreto presentada por la secretaría sobre Otra en dicho pago, de una obrada, de segunda calidad , de riego, la autoridad á que pertenece la expedición de pasaportes á los extran- en 6cc r=. • geros. Otra al camino de Villat…</t>
  </si>
  <si>
    <t>Page'dijo, García</t>
  </si>
  <si>
    <t>García Page'dijo</t>
  </si>
  <si>
    <t>…braba e¡ hospital de S. Cristóbal de Sepúlveda , y otras que subsistiese se la gaceta de SQ del corriente.) esta derecho en atención al laudable fin en que se empleaba. La comi Ei Sr. García Page'dijo: siempre que voy á hacer alguna observa sión .habiendo examinado no solamente dichas solicitudes, sino los da ción sobre el dictamen de una comisión , la hago con el correspon tos que en día se refieren, opinaba, que siendo como resulta ser dicho diente temor…</t>
  </si>
  <si>
    <t>Page, García</t>
  </si>
  <si>
    <t>García Page</t>
  </si>
  <si>
    <t>…y retiró la indicación, conviniendo en ello los demas que la ha Cortes lo aprobaron, y mandaron volver á la comisión para que sobre bian suscrito. ésta base forme el proyecto. El Sr. García Page, apoyándolas indicaciones del Sr. lapia, de Se dió cuenta de una exposición de 10 vecinos de Alcoy que se mostró con.solidísimas reflexiones la necesidad de que se prosiguiese hallan en esta corte, én que daban las gracias al Congreso por su dig- la discusión…</t>
  </si>
  <si>
    <t>…ntación del clero de un declaró no haber lugar á votar sobre dichas proposiciones. pueblo del obispado de León , en que pide vuelva á las funciones dé Se aprobó una indicación.del Sr. García Page, que decía: ,,Que aquella silla, su R. obispo., uno de I05 Ó9 ex-diputados que firmaron el Gobierno informe á las. Cortes sí en todas las universidades y se la representación á S. M. en el ano .14 , en atención á Jas ideas libe minarios conciliares, y demas e…</t>
  </si>
  <si>
    <t>…ina de Astiirias , y en la "que piden que aunque por sus achaques están ex ria de ayer : se mandó imprimir. cluidos de la matrícula, no teniendo otro arbitrio para ganar su sub El Sr. García Page dijo que una de las cosas mas esenciales era que sistencia que el de la pesca, no se les impida ejercitarse en ella. las provincias estuviesen penetradas del modo de pensar ds las Cortes; A la de Guerra pasó una solicitud di DoñaMariana Josefa Tra- pero que e…</t>
  </si>
  <si>
    <t>…res en el Universal y Mis tades que les corresponden por la Constitución y las leyes, dígase al Go celánea. bierno que por su conducto, y á correo inmediato, se informe con jus El Sr. García Page dijo que los taquígrafos de los periodistas no tificación por los jueces y tribunales que conocen de las causas que se pueden oir nada en el parage en que se hallan; y añadió que estas re han formado sobre los sucesos de Cádiz, Búrgos, Avila, Orense, Za clama…</t>
  </si>
  <si>
    <t>…nir en aquella función: que la idea era muy patrió-: viesen mas carácter que el de verdaderas gracias. tica y laudable, pero que no se sabia si seria muy conveniente la reunión El Sr. García Page manifestó le parecía que lo que proponía !a co de las milicias que se había expresado, y que seria mejor que de cada misión-ent sumamente claro, y que no se debia detener un instante pueblo fuese una compañía, una mitad ó un tercio: que era necesario en aprob…</t>
  </si>
  <si>
    <t>…a'illas armas quelas ne Se leyó la respuesta dada por:el arquitecto del edificio de las Cor cesarias para los individuos dé esta clase............ ’'' tes sobre la proposición del Sr. García Page, acerca de que se destinase 7“ '» Si cualquiera de los ayumtamienfos de los pueblos indicados á los taquígrafos de los periódicos un' sitio en que pudiesen oir bien y en el artículo .anterior conceptuóte insuficiente la fuerza de volunta extrae'ar las sesione…</t>
  </si>
  <si>
    <t>Page, Garcia</t>
  </si>
  <si>
    <t>Garcia Page</t>
  </si>
  <si>
    <t>…en Habiéndose hecho segundo escrutinio, y tenido el Sr. Tallare (D. Pa aprobar desde ahora.la Constitución que allí se hace, y recibirla en mi blo), 66 votos, el Sr. Valle 62 y el Sr. Garcia Page 21, no resultando reino del Brasil y en los demas dominios de mi cotona. Mis minis elección, porque la mitad mas uno del total 147 no la reunia ningu tros y secretarios de Estado, á quienes Va dirigido este, lo harán asi no, se procedió á tercer escrutinio en…</t>
  </si>
  <si>
    <t>…r. conde dé Toreno dijo que quiso hablar en la sesión anterior legos profesos podían entrar en las elecciones de sus respectivos prela para contestar á algunos puntos que tocó» el Sr. García Page; pero como dos, no le parecía conveniente se aprobase esta indicación; y que se iavantó la sesión , no tuvo tiempo de verificarlo, en cuya consecuen muchos , conventos, se hallaban en el caso de no poder hacerla, porque cia procuraría recordar lo que dijo dic…</t>
  </si>
  <si>
    <t>…ó este te no venían a! caso ¡as reflexiones que habia hecho dicho señor. articulo suficientemente discutido. . En- seguida se declaró suficientemente distando este artículo , y El Sr. García Page para poder votar pidió que se le dijese si los es quedó aprobado. tablecimientos literarios y: casas de beneficencia que disfrutan diezmos El Sr. presidente señaló la hora de las 8 y media de esta noche habían de ser despojados de este derecho; á.lo que conte…</t>
  </si>
  <si>
    <t>…arrendatario que la labra, y esta contribución recae esencial mas antiguo. mente en el propietario, siendo el colono el que disfruta, á lo menos ' Se leyeron dos indicaciones del Sr. García Page, relativas i que los por este año, el beneficio de la rebaja de la mitad del diezmo, porque egercicios literarios que hayan de celebrarse en las oposiciones para provi los.propietarios no pueden subir el arrendamiento por este año, y re sión de prebendas y cu…</t>
  </si>
  <si>
    <t>…e iglesias p.or ante el escribano público de dicha ciudad de 1a Havana D. Josef metropolitanas y catedrales. de Salinas á los 19 de Enero de 1803; y deseando la heredera que se El Sr. García Page hizo presente , que tratándose de un asunto de cancele dicha hipoteca, cita y emplaza al que se considere con aquel tanta importancia no se podría discutir en 13 dias que faltaban de sesio derecho, para que dentro de 3 meses, contados desde esta publicación,…</t>
  </si>
  <si>
    <t>…s oficinas con el q.;e se procolegiatas, provisores y vicarios generales, jueces eclesiásticos y fiscales. ponia para el perlero de esta , y por lo mismo preguntó á Jos señores Él Sr. García Page empezó su discurso oponiéndose al dictamen re de Ja comisión en qué consistía este diferencia, parque consideraba que ferido y al voto particular del Sr. Navarro £ D. Andrés ). El Sr. presi habría alguna razón para proponer este sueido. dente dijo que era lle…</t>
  </si>
  <si>
    <t>…n acerca de la Se mandó pasar á la comisión de Legislación - una adición del Se proposición del Sr. Arrieta. ñor Arroyo al dictamen aprobado por las Cortes sobre la proposición El Sr. García Page impugnó el dictamen de la comisión , y prin del-Sr.. Arrieta-, y estaba concebida en estos términos r « Jueces ecle cipalmente el voto particular del Sr. Navarro (D. Andrés.) , manifes siásticos que tienen aprobación del Gobierno ” tando que el espíritu de la…</t>
  </si>
  <si>
    <t>…uando no hay ningún inconveniente que se oponga mo 22 en compañía de la Reina y demas familia Real. » Se continuó la discusión de la división territorial. á ello ? Dijo también el Sr. García Page , que reuniendo las tres provincias , yT’i’ó'oineia de Bilbao. El Srl López ( D. Marcial) dijo Después de haberse discutido el sé podia evitar el demasiado contrabando que podia haber en Bilbao por medio de la diputación provincial. Yo soy franco, y creo que.…</t>
  </si>
  <si>
    <t>…nos salgan con aquella metafísica distinción que hicieron vmds. en uno sitaba ia aprobación del Gobierno. de los números anteriores de su periódico sobre las palabras alzamien El Sr. García Page dijo que no tenia dificultad en aprobar dichas to y revolución. Y no convendremos con vmds., porque la doctrina que visitas, siempre que no las hiciesen por sí mismos, sino por delegados. vjnds. predicaron entonces es antisocial , y tan nuevt en un Gobierno N…</t>
  </si>
  <si>
    <t>…padeci la virtud , y egercitan también la.beneficencia, no deja de erigirse una do el Sr. preopinante. suprema junta , que ocasionará algún gasto , y otras cosas que dependen • El Sr. García Page dijo: Respeto mucho el dictamen que se discu dei plan, y que importarán muchos pesos. d te, pues sabemos que está formado por personas inteligentes en la ma ■ Ale parece que se debe prescindir del decreto de las Cortes extraor teria, y esta consideración me d…</t>
  </si>
  <si>
    <t>…iendo acerca de ellas lo que ten cido el Sr. preopinante; y el Sr. Janerdijo: La mayor parte del discur gan por conveniente, se remita todo al intendente de la provincia, ó so del Sr. García Page ha girado sobre un supuesto , que está destrui á sus subdelegados en los puertos para la declaración dífinítiva. do con solo leer el art. 42 del cap. 4.0 del dictamen de Ja comisión, Art. 4.0 &gt;i Como puede suceder que' alguna parte de las existencias que dice…</t>
  </si>
  <si>
    <t>…asistencia del amor maternal? Según los establecidos para el buen gobierno de las casas de beneficencia.” cálculos mas aproximados resulta que en los cinco primeros años de sai El Sr. García Page pidió al Sr. presidente que antes de preguntar edad, de cada mil mueren.700; pero como en el proyecto déla comi se si estaba suficientemente discutido este asunto para que los Sres. di sión se proponen mejores medios para salvarles la vida, puede decirse puta…</t>
  </si>
  <si>
    <t>…El Sr. Borges Carneiro propuso la siguiente adición al artículo an •reino pasada la línea de precaución.” terior: n Si el Reyen el término prefijado no diere la sanción expresa El Sr. García Page opinó que este artículo no guardaba relación da en el art. 91 , las Cortes enviarán la ley al ministro, el cual la hará con los anteriores con respecto á los tragineros y pasageros, y que de publicar del modo siguiente: N..... secretario de Estado , de tal ra…</t>
  </si>
  <si>
    <t>…M. el mensage último de las to. Sea pues asi; pero aun en este caso ¡ para qué se necesita la co Cortes. operación de las Cortes! creo que seria mengua de las mismas el que se El Sr. García Page dijo que esta cuestión, como otras muchas ocupasen de él. Se citan los decretos de las Cortes; pero, Señor, si en que se le parecian, debian resolverse, según, di jo el célebre Rousseau, estos mismos decretos se previene al Gobierno lo que ha de hacer, ¡ por…</t>
  </si>
  <si>
    <t>…beligerantes, ni de otra cualquier nación Después de una ligera discusión se aprobó la siguiente proposición que socorra á algunas de aquellas será admitido en los puertos jó del Sr. García Page: » Pido á las Cortes se sirvan declarar que mañana nicos. Prohíbe expresamente toda comunicación con los expresados bu lio haya sesión.” ques , -xcepto en el caso en que medie la intervención de los comisio No se admitió á discusión la siguiente adición del S…</t>
  </si>
  <si>
    <t>Page, Nicolás García</t>
  </si>
  <si>
    <t>Nicolás García Page</t>
  </si>
  <si>
    <t>…2° del art. 261 del título 5.0 está asi D. Ramón Losada , diputado por la de Galicia; y para secretario el se mismo marcado, como una de las atribuciones del tribunal supremo ñor D. Nicolás García Page, que lo es por la de Cuenca. de Justicia, la de juzgar á los secretarios de Estado y del Despacha cuando las Cortes decreten haber lugar á la formación de causa: pues El gobierno militar de la provincia de Costa-Rica, en el reino de si la ley fundamental seña…</t>
  </si>
  <si>
    <t>Page-, García</t>
  </si>
  <si>
    <t>García Page-</t>
  </si>
  <si>
    <t>…ndando en Jas mismas ideas dei Sr Caíatrava, co subalterno. manifestó que una de las objeciones que se habían puesto al art. 4.- era Se hizo primera lectura de una proposición del Sr. García Page- re sobre el valor que debra darse á las egecutorias; 3 lo que contestaba que lativa á que las Cortes supriman las prestaciones que se hacen . llama este se dejaba á la calificación de los tribunales, porque no siendo todas das comunmente para los Santos lugar…</t>
  </si>
  <si>
    <t>Pagóla, Pedro</t>
  </si>
  <si>
    <t>Pedro Pagóla</t>
  </si>
  <si>
    <t>…uerra, Yand¡ola, Alvarez Sotomavor, Valcarmas sobresalió en esta patriótica reunión fue el discurso que el cura cel, Moreno Guerra , Subercáses, Lodares, y Rojas Clemente. párroco D. Pedro Pagóla pronunció en la misa solemne. En un len Para la de Infracciones de Constitución. guaje tan natural y sencillo como enérgico, hermanó las sublimes má Sres. Giraldo , Navarro, Puigblanch, Bahamonde, Cortaza*, M¡ximas del evangelio con las de nuestro precioso Có…</t>
  </si>
  <si>
    <t>Paharea</t>
  </si>
  <si>
    <t>…te ¡rebajar mayores de carpinterosde calafates’j'd'e'viláí’&amp;c. jicóriio'también los los sueldos propuestos. • • • ■ i ’' 1 capataces y los cabos.” Aprobado. : ' •'[' ’oiwr yt ' El.Sr. Paharea manifestó que en cuanto al sueldo del embarqué .Se'suprime el art; •*.«• • •* 1 convenia en que era justo; pero no en cuantó al segundo, por lo cual ' • * .........¡ 1 ,1 in ; &gt;■ : apoyaba lo que había manifestado eL -Sr. secretario -del Despacho de ' rT I Tu…</t>
  </si>
  <si>
    <t>Pai-, Bernardo</t>
  </si>
  <si>
    <t>Bernardo Pai-</t>
  </si>
  <si>
    <t>…rio. Pontevedra D. Fernando Saravia, coronel retirado de ar vincial de Sevilla, en la que también hace varias observaciones acerca tillería. Caldas D. N. Amor, propietario. Padrón D. Bernardo Pai- de las modificaciones que se estiman necesarias para el arancel general zal, abogado. Sar D. Jacobo Llórente, capitán de Composteia. San de aduanas, aprobado en la legislatura del año de 1820. tiago D. Manuel García Barros, alcalde constitucional. Nayas Don A…</t>
  </si>
  <si>
    <t>Paiarea</t>
  </si>
  <si>
    <t>…gocio, como no muy arreglado en todos sus puntos. fuese el arreglo de la Hacienda pública. Habiéndose preguntado si el punto estaba suficientemente discuti Habiendo manifestado ei Sr. Paiarea que la comisión de Guerra do, resultó que sí; y se aprobó el artículo conforme lo proponía la cohabía tratado ya en dos sesiones distintas con los Sres. ministros de mis:on. Guerra y Hacienda acerca del modo de verificar el reemplazo, des Se leyó) el art. a."…</t>
  </si>
  <si>
    <t>Paiarea, Juan</t>
  </si>
  <si>
    <t>Juan Paiarea</t>
  </si>
  <si>
    <t>…mérito particular contraído por el su presidente., vice-presidente y secretario mas antiguo, que lo era el cápiían de voluntarios y demas que le siguieron al romper el ataque por Sr. D. Juan Paiarea, lian sido elegidos para presidente el Sr. D. Joa Jas calles de esta ciudad, habiendo asi podido reunir la tropa y mili quín Rey, diputado por la provincia de Cataluña; para vice-presidente cias , que unánimemente han acreditado el mas ardiente patriotismo y…</t>
  </si>
  <si>
    <t>Pajarea</t>
  </si>
  <si>
    <t>…son. 44 las provincias que ■ El Sr. López (D. Marcial) deshizo algunas llevamos hasta ahora. No hablemos de Sevilla,, Jaén y Cádiz, porque en jo haber padecido en. su.discurso el Sr. Pajarea,. , . esta parte no hay mas qu,e aumentar la del condado de Niebla , que es -i, JU Sr.rClemencin, como individuo.de la comisión, contestó á Jos absolutamente indispensable, y.aumentándola son 45. Con respecto,á reparosipueatos por el. Sr..Ezpeleta, manifestan…</t>
  </si>
  <si>
    <t>…. secretario de la Gobernación «stablecmiento diferente de .los comprendidos en el art. 9-0;” y la otra de la Península, dijo que no tenia un empeño formal en que se decretara ¡dd Sr. Pajarea, que decia asi : » Siendo el art. 285 una consecuencia del esto, sino únicamente que se indicasen los inconvenientes y las venta p.°, pido que para evitar toda equivocación se coloque entre este y el jas que habia para que se verificase. A cuatro ventajas pue…</t>
  </si>
  <si>
    <t>…r á.la Nación, no debe ocultarse á las ssnta la comisión ;:con-cnyo dictamen, me conformo enteramente. .Cortes; las Cortes saben que no puede contener sino alguna cosa que ., ,jEl,Sr. Pajarea dj)Q,: La cuestión que se agita es, sí cohviene,tomar .tvDga. relación íntima con el negocio de que se trata , porque si la co kn consideración aodct el dictamen de la comisión, ó solo la primera misión ha cumplido con su deber, no debe haberse separado del o…</t>
  </si>
  <si>
    <t>Pajareadas</t>
  </si>
  <si>
    <t>…. El Exorno. Sr duque ,cioriada;.aI-sistema .que se¡ adopte. . ..r'.-rív. del Infantado irá. á Leaanés ó sus inmediaciones á ponerse al frente - iDesjsues. de haber manifestado el Sr. Pajareadas, pruebas ¡tan conti- del batallón que se halla allí (él Sr. Calítrava dijo, que la comisión »uas,é idénticas .que hab an dado los individuos .del citado escuadrón debía, manifestar tenia datos mas que suficientes rara no dudar de ia de t-aitilleríacomo asiini…</t>
  </si>
  <si>
    <t>Pajeras, Vicente</t>
  </si>
  <si>
    <t>Vicente Pajeras</t>
  </si>
  <si>
    <t>…ativas, de y conformándose S. M. con el parecer de la asamblea, se-ha servido re las cuales se desdije y retracta el doctor Gosaives, como de cualquie solver que asi el recurrente D. Vicente Pajeras, como todos los demas ra otra que hubiesc%i.iesto en las papeles públicos y privados en menos que se hallen en su caso, condecorados con la cruz de plata de.segun cabo de la reputación de D. Juan Laborie, á quien reconoce y tiene da clase de la orden nacional…</t>
  </si>
  <si>
    <t>Pal</t>
  </si>
  <si>
    <t>…tuir en independencia una parte del bien el Sr. presidente, se difiera su discusión por algunos dias.” Estado. Digo que contiene una injusticia, porque deja existente la con-&gt;. El Sr. Pal a rea dijo: los artículos de este plan no se han leído tres intuición, decimal, aunque reducida á la mitad de lo que antes se veces, y por consiguiente me queda la duda de si podremos entrar en pagaba. La contribución, como uno de los medios que tiené ia soci…</t>
  </si>
  <si>
    <t>…s en estos puestos públicos Priego insistió sin embargo en que. se pusiese esta adición al artículo. se falta ál peso y. medidai mas que, en ninguna otra parte , y. se reúnen , El Sr. Pal aria manifestó que habiendo en algunos pueblos ciertos muchos mas obstáculos, ,quc entorpecen la libertad de los consumido^ consumos de mas necesidad-por la costumbre , podrían añadirse -á - este res; por tanto me parece que'con esté artículo no se consigue e…</t>
  </si>
  <si>
    <t>…ardos marítimos y terrestre por ser adición, y que se podría poner en el artículo; pero habiendo observa vicios importantes y extraordinarios.” ¡No seria mejor que estos pre do el Sr. Pal a rea que no se podía poner después de la palabra costas, mios se adjudicasen á los oficiales de la armada, ó que se les compensase porque no se expresaba con toda la claridad necesaria su idea , se acor con algún ascenso 1 dó que tuviera presente ia comisión…</t>
  </si>
  <si>
    <t>Pal-</t>
  </si>
  <si>
    <t>…el ayuntamiento de Andújar y Gafe político Jaén sobre que se le venda ó arriende un terreno de lós propios de tra 7+ ... de Xa Cámara se formó después en comisión de subsidios, y lord Pal- dicha ciudad. merston propuso el presupuesto del egército, y dió varias aclaraciones A la de Beneficencia un plan del Géfe político de Falencia, á fin sobre cada clase de gastos. El total de estos debia ascender á 6.493,647 de evitar la mendicidad. libras est…</t>
  </si>
  <si>
    <t>Pal.irea</t>
  </si>
  <si>
    <t>…f También se pasó á la misma comisión la solicitud de Dolía María y Gaseo. de la Concepción Urbar.eja, residente en Puerto-Rico, para que se la Se leyó la siguiente indicación del Sr. Pal.irea: »En atención á que concediese la pensión de 30 pesos mensuales. en todos los periódicos , excepto el Universal, se ha tergiversado mas o Se dió cuenta de un oficio del comisario general de Cruzada, en menos la importante resolución de antes de ayer , pido qu…</t>
  </si>
  <si>
    <t>Pala</t>
  </si>
  <si>
    <t>…las tentativas de algunos descontentos, apoyados en las ilusiones de no Ies privasen de su eco consolador. los que en todos tiempos se alimentan de esperanzas quiméricas y cri El Sr. Pala rea dijo que veia que tanto los actuales encargados co minales , no kan dejado de alarmar momentáneamente la quietud de mo los antiguos se hallaban en la imposibilidad *,de responder del es algunas provincias de la capital, y llenar con esto mi corazón de la…</t>
  </si>
  <si>
    <t>…Manriquez sobre el establecimiento de cátedras de agricultura prácti dispensa de edad para manejar sus bienes.: s . . . ca y sobre el plan general de enseñanza, presentadas por el Sr. Pala,. A las comisiones Eclesiástica y de Legislación se pasó la contesta- rea. Las Cortes las recibieron cOn agrado. ciqn.del Sr. secretario del' despacho de Grapis y Justicia al oficio que La comisión de Milicias nacionales, después de haber examinado' se le rem…</t>
  </si>
  <si>
    <t>…a que necesita el Gobierno, manifiesta des sentaciones dirigidas contra el ministerio se habla de ella. pués la necesidad de atender á las libertades públicas ,que son tan nece El Sr. Pala rea dijo: El Sr. secretario de Ja Gobernación de la Pe sarias en un Gobierno libre por ser estas libertades públicas, en favor de nínsula ha dicho que se ha graduado de capcioso el mensage de S. M., las cuales se han concedido las garantías y atribuciones del…</t>
  </si>
  <si>
    <t>Pala, Ramón del</t>
  </si>
  <si>
    <t>Ramón del Pala</t>
  </si>
  <si>
    <t>ii 6o ■ de su pipa suba por las columnas del templo de Minerva.dvi^ucz.—FX Joscjinn &lt;ii?l Oorríil y.'Arscliíiss»—. D» ju3n Vi* mo lié¡o__6." D. Manuel Gutierre-*-Orlando.^-7.“ D. Ramón del Pala n Parece que la Grecia misma ha querido manifestar con, su duelo cio y Musitu__ Í5.J D. Josef María Sánchez y Puy._¿).J D. Julián Ja desgracia de sus hijos.-En general el pais está inculto, el suelo des Sarmentó. ’ " nudo, monótono, agreste y de-un color amar…</t>
  </si>
  <si>
    <t>Palacio</t>
  </si>
  <si>
    <t>…en de S. M. para su inteligencia men relaciones con separación de los créditos can interes á los que no y cumplimiento. le devengan, remitiéndolos de 15 en 15 dias á la eontaduría general Palacio 18 de, Mayo de 1821. = A los Sres. secretarios del Despa de Distribución sin las carpetas; cuidando cuando los devuelvan á sus cho y gefes de palacio. dueños de recoger los resguardos que dieron, para evitar toda reclama Circular del ministerio de la Gobernac…</t>
  </si>
  <si>
    <t>Palacio, Francisco</t>
  </si>
  <si>
    <t>Francisco Palacio</t>
  </si>
  <si>
    <t>…ndo en todas León x. las circunstancias de un hecho, creyeron equivocadamente que las pro Bien sabéis prosiguió que este concordato ponía al Gobierno fran videncias tomadas contra D. Francisco Palacio, sochantre de.esta santa cés bajo la absoluta dependencia del Papa. Con este motivo no puedo iglesia catedral, procedían de motivos que realmente no eran exactos, menos de responder á un chiste inoportuno con que se nos ha querido é infirieron de este equivoc…</t>
  </si>
  <si>
    <t>Palacio, Josef</t>
  </si>
  <si>
    <t>Josef Palacio</t>
  </si>
  <si>
    <t>…tución para premiar á los beneméritos de la patria tínez Camacho, id.: D. Juan Megías, id.: D. Josef Abellan , id : Don por servicios constitucionales. Domingo Gijon y Vaca , id.: D. Josef Palacio, id.: D. Tomas Ibañez, El Sr. presidente dijo que estando ya casi impresa la Constitución, id. : D. Josef Guerra, id. : D. Diego Pulido, id.: D. Feliciano Manse iba á distribuir muy pronto, y debefia tomarse en consideración en silla, ¡d.: D. Antonio Peran Mo…</t>
  </si>
  <si>
    <t>Palacios, Agustín</t>
  </si>
  <si>
    <t>Agustín Palacios</t>
  </si>
  <si>
    <t>…D. Josef), Moreno Guerra, zona á D. Juan Ortega: para el de Calatayud á D. Fabián Lorente; pa Díaz Morales , Fernandez , Pierola , Zavala, López Constant , Medra- ra el de Ateca á D. Agustín Palacios: para el de Daroca á D. Juan no, García Page , Solana , Zorraquin, Golfín , Cortazar, Gutiérrez Antonio Bernal: para el de Albarracin á ó Pedio Alzamora: para el Acuña, Calatrava , Lallave &lt;j D. Vicente), Oliver., Saenz y Gutiérrez de Teruel á D. Andrés Casáy…</t>
  </si>
  <si>
    <t>Palacios, Antonio</t>
  </si>
  <si>
    <t>Antonio Palacios</t>
  </si>
  <si>
    <t>…por el R. obispo de Tarazona que no Jfn—a de teléitraf-,;-desde Ocd'z á dr:d , prerentede 11 lee Cortes pr-z reconoce la autoridad de la. Nación; y ya por esto se quiere'eludir la D. Antonio Palacios, director de los de aqueila provincia, recomen- . ley. anterior, y mudar el estado de la cuestión. Quisiera, Señor; que daba la utilidad de esta clase de establecimientos , y lo Ventajoso que cuando se trata de cánones y disciplina fuésemos exactos en todas l…</t>
  </si>
  <si>
    <t>Palacios, Diego</t>
  </si>
  <si>
    <t>Diego Palacios</t>
  </si>
  <si>
    <t>…se siga el juicio, no con-arreglo á los trámites de la ley sobre li fantería. bertad de imprenta, sino según el método común de enjuiciar, yo pre A la de Comercio una solicitud de D. Diego Palacios, del comer guntaré ¡cómo han de calificar los jueces de hecho sin oir antes en cio de esta corte, para que se le abone una equivocación que cometió juicio á las partes, según se previene en la ley de libertad de imprenta? la aduana de Alicante en el despacho…</t>
  </si>
  <si>
    <t>Palacios, Francisco</t>
  </si>
  <si>
    <t>Francisco Palacios</t>
  </si>
  <si>
    <t>…uiente, cuya autenti ver disminuir á la llegada de otros batallones que por momentos se es cidad es indudable: peraban. Débese considerar que el enemigo podía atacarme en muchos ” Don Francisco Palacios, sochantre de la santa iglesia catedral de puntos, y que podía elegir. Excepto en Antrodoco, por todas partes hu Ciudad-Rodrigo, con plaza ganada por oposición, y conocido por su biera conseguido arrollar con sus masas imponentes los batallones na adhesión al…</t>
  </si>
  <si>
    <t>Paladim</t>
  </si>
  <si>
    <t>…n la gravedad de las circunstancias, ni los suceso* que *e podrían toda solemnidad por espacio de tres dias. originar del actual orden de costasV Tero que seguiría la sue-re de El Sr. Paladim , que había presentado una petición contra el dipu la nación antes que desviarse un solo paso del camino emprendido, tado Borelli, que le habia anteriormente perseguido, reconociendo que ni variar en su resolución. Que como-hijo, padre y gefe de la necio.n es…</t>
  </si>
  <si>
    <t>Palael</t>
  </si>
  <si>
    <t>…ue todos «aben que los taquígrafos tienen dis ha dado orden de reunir sus fuerzas para formar un nuevo egército pira' culpa; y que le. parecía que habiendo oido la reclamación del Sr. Palael sitio de Janina. rea no dejarían de indicarla en el periódico al dia siguiente. NOTICIAS DE ESPAÑA. Se mandó pasar á la comisión de División del territorio una expo sición del ayuntamiento de Granada, relativa á lo mismo, presentada Algeciras ¡ de Abril. á la…</t>
  </si>
  <si>
    <t>Palafox</t>
  </si>
  <si>
    <t>…acrificadas, di continúe pagando ademas de su sueldo la pensión de 1 iS5 reales anua ciendo que habian sido quemadas 1400 personas, y habian perecido les que le habia concedido el general Palafox por razón de sus méritos mas de 30S). Recordó los horribles tormentos que empleaba lá Inquisi y servicios; otra de D.' Pedro Mariani, del comercio de Barcelona, ma ción, no para averiguar los hechos , sino para obligar á los reos a que nifestando ló perjudici…</t>
  </si>
  <si>
    <t>Palao, Luis Muñoz</t>
  </si>
  <si>
    <t>Luis Muñoz Palao</t>
  </si>
  <si>
    <t>…avi de Dalias á D. Joaquín María Márquez; para la de Torbiscon á Don sarlo a) notario mayor de la vicaría eclesiástica de esta corte D. Josef Josef Ganancias; para la. de Oriiba á D. Luis Muñoz Palao ; para María Patón, en cuyo oficio está radicada la solicitud de Rivero para ja de Motril á D. Josef Alegría Quilchano; para la de Aihama á Don que se publique este aviso. .Mateo Miguel A.illon, paa ía de Velez-Málága á D. Julián Ruiz nota. En la gaceta del d…</t>
  </si>
  <si>
    <t>Palarea</t>
  </si>
  <si>
    <t>…ero habiendo votado particularmente los Sres. Quintana y González ria, y desde la instalación de las Cortes el Sr, Peñafiel. Allende que debía haber lugar á ella: y á petición del Sr. Palarea En seguida juraron los Sres. diputados que no asistieron á la terce mandó el Sr. presidente dejar el expediente sobre la mesa para discu ra junta preparatoria. tirlo el dia 4. . . El Sr. Couro leyó una representación de la diputación permanente, Se dió cuenta de…</t>
  </si>
  <si>
    <t>…emolumentos que percibían los-empleados, sino sus poderes, del mismo modo sostendría sus atribuciones. también el. real de impresión y papel que, por las guias se exige en. al El Sr. Palarea fue de la misma opinión que los Sres. Calatrava y gunas, aduanas.” . . . _. ■ ■ , Martínez de la Rosa, añadiendo que era .delicado este asunto por. las Y de Real orden, lo traslado á V. S. para su inteligencia y pun muchas conspiraciones que él mismo había pr…</t>
  </si>
  <si>
    <t>…que pedia se de Estado deben jurar para poder tomar asiento en el Congreso, aun declarase sesión permanente. que sean considerados como interinos ó encargados, lundando su indi El Sr. Palarea apoyó la proposición anterior en todas sus partes. cación en que pudiendo ser de cualquier clase de la sociedad los indi El Sr. presidente manifestó no haberse hecho otra cosa que cum viduos que se eligieren para estos empleos, debían prestar dicho jura plir…</t>
  </si>
  <si>
    <t>…ue hacia presente para que las de D. Antonio Roy y Mons, vecino de Besalil (en Cataluña), con Cortes lo tomasen en consideración. tra el alcalde constitucional de dicho pueblo. El Sr. Palarea indicó que constando aquel expediente de dos par A la comisión Eclesiástica se pasó una exposición de D Josef Gar tes , y pidiéndose en la primera que las Cortes tomasen una medida ge cía Pardo, cura castrense del cuerpo de inválidos de Lugo, en que expo nera…</t>
  </si>
  <si>
    <t>…el despacho de- lds-negocios: habrá también Un libro de no haber lugar a votar. actas, que firmarán el "presidente- y secretarios. - . 2 No se admitió d discusión una-adición del Sr. Palarea al art. 74,' No se aprobó una adición ál art. 86 del Sr. Romero Al puente, qué que-decia: ,¡0 sobre el que hubiesen'tomado parte en la:discusion.” decia:» Después de la palabra Constitución” d rfr/éy. - Se aprobaron las tres adiciones que siguen : una del Sr.…</t>
  </si>
  <si>
    <t>…uchos extrangeros, y atropellando los derechos de la y remitida á ellas en el térmiho preciso de un mes. naturaleza para satisfacer su codicia. La Inglaterra, dijo, ha impuesto El Sr. Palarea dijo que no podía menos de llamar la atención de leyes penales á los capitanes y marineros de su nación que se encuen las Cortes sobre un asunto de la mayor importancia, cual era el artí tren haciendo dicho tráfico. i culo 11 del informe presentado á las Cort…</t>
  </si>
  <si>
    <t>…ación francés, ra que no queden impunes los atentados de los enemigos-del sistema domiciliado en la provincia de Sevilla, en. solicitud de carta de ciu constitucional.” dadano. El Sr. Palarea pidió se leyesen dos proposiciones dirigidas al mismo A la de Legislación y Hacienda unidas una solicitud del Gefe po objeto , para que se nombre un tribunal especial que entienda exclusi lítico de Asturias, acompañando otra de varios ciudadanos de aquella, v…</t>
  </si>
  <si>
    <t>…hiciese en Aladrid: que del privilegio que se ponía la comisión. trataba de conceder para que sacasen los prestamistas el dinero de Espa No se admitió á discusión una adición del Sr. Palarea al dic ña sin derechos resultaban perjuicios al comercio de la Nación; y que tamen de la comisión especial de Hacienda sobre el empréstito , con si sabian que estaba prohibida la exportación de la plata española, ¡por cebida en estos términos: ,, Pido que en…</t>
  </si>
  <si>
    <t>…n dría haber circunstancias particulares que obligasen á los amantes del da lectura , sino por tercera. sistema, que constituian tales reuniones, á hacer recaer la discusión so El Sr. Palarea manifestó que las proposiciones de los señores dipu bre alguna cosa particular: que en el Congreso se estaban dando pruebas tados se leian primera y segunda vez , y después de discutidas se pasaban de esto mismo á cada paso; y concluyó diciendo debía aprobars…</t>
  </si>
  <si>
    <t>…á los secretarios del Despacho, tienen la cio,” suprimiendo la palabra .urbano. . «. de manifestar francamente su dictamen al Gobierno; pero yo creo .que Se aprobó una adición del Sr. Palarea al art. 4.0, que decía.- » Des todo lo que se diga en este asunto na viene al caso ; porque , aun cuan pués de la palabra en el acto se añada llamándole al orden.", ,; do se expresase que no convenia dar el pase á las referidas bulas, el No se admitió á discu…</t>
  </si>
  <si>
    <t>…ncia y en empleo público con que le honra la sociedad : y concluyó diciendo que las inmediaciones de Sigiienza habían aparecido algunos lacciosos, y era de ia misma opinión que el Sr. Palarea de que debía agravarse la deseaban alternar con los destacamentos que esta mañana habían salido pena á los que impidiesen la venida al Congreso á algún diputado. en su persecución, sin otro objeto que ei inóvri que los impele de se Declarado suficientemente d…</t>
  </si>
  <si>
    <t>…garlos por las leyes mi po por haberle tenido preso el alcalde de sti pueblo ;-y una solicitud de litares. 2~&gt;. Diego Pardo, cura párroco del lugar de Carneros, provincia de Sa El Sr. Palarea dijo que también se hallaba con una representación lamanca, para que se le continúe pagando una pensión de 400 ducados muy enérgica del comandante de armas de Burgos para presentar á las que le fue concedida por la Regencia del reino eii atención a los méri C…</t>
  </si>
  <si>
    <t>…que S. S. nunca se de la solemnidad del dia se trasladaba la función para el dia 6 del opondría á dispensar las gracias canónicamente; esto es, sin dinero próximo mes. alguno. El Sr. Palarea manifestó que eran muy justas las demostraciones ElSr. Quintana manifestó no tenia nada que añadirá las nuevas que con este motivo hacían los castellanos, y que era de opinión que pruebas y documentos que,alegaba la comisión para comprobar la justa antes de a…</t>
  </si>
  <si>
    <t>…ual convienen todas las personas de razón, ofrece un espacioso campo ma, que habían sido desatendidos. ' á las reflexiones políticas, y merece ser objeto de las mas serias medi El Sr. Palarea dijo que el dia anterior habia presentado una ex taciones de los hombres de Estado. Adoptándola por principios, se pue posición que dirigía a las Cortes la milicia nacional ;y guarnición de den sacar consecuencias saludables, y esperar felices resultados. Nos…</t>
  </si>
  <si>
    <t>…cultades que proponía en este artículo. expresaron, refiriéndose al contenido del art. 1.72 de la Constitución. El Sr. Romero Alpueníe dijo, que ningún artículo podía presentar El Sr. Palarea dijo que se podía decir al final del artículo con ar se mas recomendable que este: que por él se lograría el valor necesario reglo á lo prevenido en el art. 172 de la Constitución. para entrar en Una carrera de tanto esplendor: que se aseguraría la con El Sr.…</t>
  </si>
  <si>
    <t>…e sesenta años de edad, y otros de todo punto exen El Sr. Gaseo preguntó si la base que se proponía para el reemplazo tos cíe la misma. habia de ser perpetua; á lo que contestó el Sr. Palarea que podría ser A la comisión especial de Hacienda una exposición de D. Rai lo si las Cortes no la revocaban con sus decretos posteriores. Ei señor mundo de N., teniente coronel agregado al estado mayor de la isla de Gaseo dijo entonces que subsistiendo esta l…</t>
  </si>
  <si>
    <t>…las palabras otras compañías, añádase ó batallones.” l'a milicia nacional voluntaria, porque cada individuo de ella era un También se pasó á la referida comisión otra adición del Sr. Palarea, hombre comprometido, y tenia un ínteres,directo en defender el ac relativa á que se declarase si los oficiales, sargentos y cabos de ia mi tual sistema, por lo que creía debía ampliarse el término hasta la le licia no voluntaria que pasen á la voluntaria han…</t>
  </si>
  <si>
    <t>…pusiera un medio pa Después de todo esto , por mi parte no puedo menos de convenir ra poder conciliar los derechos de los llamados señores y de los pueblos. con lo que ha dicho el Sr. Palarea; esto es , que es como una base cons El Sr. Calatrava dijo que como de la comisión debía manifestar titucional el que las Cortes puedan efectuar uno y otro. Ha manifestado que habia padecido varias equivocaciones su digno amigo el Sr. Martí el Sr. Martinez de…</t>
  </si>
  <si>
    <t>…de Guadalajara y alcalde constitucio contenido de un papel, le parecía debía pedirse informe al Gobierno. nal de Alcalá df Henares, acerca de los perjuicios que causa la nueva El Sr. Palarea dijo que era menester advertir que la tropa de que se circulación de moneda baja de calderilla: otra del consulado de Cádiz, trataba habia hecho algunas leguas de camino, y podía haber estropea pidiendo se le paguen varias cantidades que se le deben por arbit…</t>
  </si>
  <si>
    <t>…aguirre marchaba contra la misma con una columna de 800 y justas , y prohíbe el egercicio de cualquiera otra. hombres-, que el mismo Gefe político les había dirigido por última El Sr. Palarea propuso que las Cortes manifestasen lo habian oido vez una amonestación para que no se obstinasen por mas tiempo, de con agrado , y que pasase al Gobierno ; y asi se aprobó. la cual se leyó copia ; y concluía.diciendo que en el dia siguiente de El Sr. Vadillo…</t>
  </si>
  <si>
    <t>…jos para irse á servir Por el ministerio de Gracia y Justicia se ha dirigido al de la Go- i en el egército. bernacion de la Península la Real orden siguiente: A lo que contestó el Sr. Palarea, manifestando que esto se salvaba « Excmo. Señor: En vista del arreglo de conventos de la provincia en el artículo , puesto que se exigia hacer constar la buena conducta. de Alava, formado en consecuencia de la ley de 25 de Octubre del Quedó aprobado dicho ar…</t>
  </si>
  <si>
    <t>…a que abandonar áCivita-Ducalé. El or-j Se mandó agregar al acta de la sesión anterior el voto contrario del denador en gefe, varios1 comisarios de guerra, él pagador general, el' Sr. Palarea acerca dé la aprobación del art. 69 de la ley constitutiva corfSéjero de Estado Boríelliy los hospitales ambulantes no compare del egército. cieron en todo el mes ‘de1 Febrero; y á pesar de todo esto reuní en dicho Se mandó pasar á la comisión donde existían…</t>
  </si>
  <si>
    <t>…la solicitud del ayuntamiento pondientes á los delitos militares.” constitucional de Jaén, sobre que se le permitiese vender algunos ter El cual quedó aprobado con la adición del Sr. Palarea de la pala renos de sus propios para armar la milicia nacional de dicha ciudad.- bra solamente en lugar de la de solo. las comisiones eran de dictamen que no debía accederse á dicha solici- Lo mismo sucedió con los siguientes &gt;' -tud en cuanto á la venta de l…</t>
  </si>
  <si>
    <t>…, como se-Labia vis á que le faltaba el apoyo de un hijo suyo, que siendo religioso do to en otros tiempos. minico fue una de las víctimas sacrificadas bárbaramente en Murvie- El Sr. Palarea opinó qtíe debia pasar esta exposición á la comidro: una consulta déla junta nacional del Crédito público, relativa ■&amp; sion’de Hacienda, para que oyendo al Gobierno, proponga lo que esuna solicitud de D. Francisco^ Fustagueras , vecino de Zaragoza, sobre - ti…</t>
  </si>
  <si>
    <t>…n que se prefiera ei reemplazo por sor tropas de tierra ó mar.’?: . . . teo en todo ó en parte, se verificará este con arreglo á lo dispuesto en No se admitió á discusión otra del Sr. Palarea al caso 6.a del la ordenanza de reemplazos de 1800 , y el reglamento adicional de mismo artículo, que decía: „Y á todos los ordenados de grados menores 1819 en todo lo que no se oponga ál presente decreto y á las variacio de 21 años cumplidas arriba, y todos…</t>
  </si>
  <si>
    <t>…o no se pagaban hacia cin y el comercio, y á estas clases *e las debe atender principalmente. Bien co meses. lo manifestó' el gran Monarca de la Francia Henrique iv cuando dijo El Sr. Palarea manifestó que lo que habia dicho nacía de la duda que deseaba con anhelo tener ¡a satisfacción de que los labradores de que tenia de si se habian leído tres veces dichos decretos, y que su reino pudiesen echar todos los domingos una gallina en el puche quería…</t>
  </si>
  <si>
    <t>…ber leído, el'Sr. .Sánchez Salvador varias observaciones so A las comisiones'de"Comérció'y Tláciendá'iinidás sé mandó pa lare el capítulo en general, y haber contestado a ellas el Sr. Palarea, se sar una solicitud de la diputación .provincial de Valencia para que declaró haber lugar á votar sobre la totalidad dél referido capítulo , y las Cortes se sirviesen prohibir lá'introducción de cáñamos y linos se leyeron los siguientes artículos: extrauger…</t>
  </si>
  <si>
    <t>…llamaba la atención del Gobierno para evitar los efectos dél mal-'espí de dicho derecho. i • ■ ritu público. y A la-de Industria y Artes una exposición de la diputación provin -Ei Sr. Palarea dijo: Habiendo manifestado ¿1 Sr.Sancho que sé de cial de Guadalajara, pidiendo qui se tómen medidas eficaces para que bían, aumentar las facultades á los capitanes generales destinados á per prosperen las fábricas de aquella provincia. seguir los facciosos,…</t>
  </si>
  <si>
    <t>…tículo, pues era contrario á la atribución se referia á ios empleados en las oficinas de la Hacienda pública. cuarta del art. 321 de la Constitución. Yo (continuó) no soy enemi El Sr. Palarea manifestó que debería añadirse a este artículo el qus go de los ministros , pero sí del ministerio, y me parece no es bueno se recomendasen al Gobierno aquellos individuos que hubiesen desem dar al Gobierno ó á los ministros mas facultades de las que tienen;…</t>
  </si>
  <si>
    <t>…s artículos de consumo. Consistiendo la verdadera economía recargar el erario público con nuevas atenciones. en aminorar el número de empleados todo lo que sea posible, y no en El Sr. Palarea opinó que este artículo deberla volver á J.t comisión rebajar el sueldo, me parece que no es una exorbitancia queá estos em para que lo presente modificado con relación á las autoridades de gefes pleados , atendiendo á su carácter y decoro, se les dé el sueld…</t>
  </si>
  <si>
    <t>…es que se creyesen oportunas. Quedó aprobado. sobre abonos de suministros para el pago de las contribuciones. Art. 49. « En este establecimiento se darán las enseñanzas siguien El Sr. Palarea pidió que en el art. 2.0 de los adicionales á la ley tes: Anatomía general y particular; fisiología é higiene; patología y constitutiva del egército se expresase la circunstancia de que obtendrían anatomía patológica; terapéutica y materia médica; afectos qui…</t>
  </si>
  <si>
    <t>…la dinastía reinante de los Borbones, y que á su amado Rey Fernando que acompaña á la misma memoria.” . ‘ querían sustituir un intruso monarca nominal, declararse abiertamente El Sr. Palarea dijo.- yo quisiera que no se expresara esta circuns contra el tirano que tan detestables proyectos formaba y ponía en egetancia de los 39 hombres que puede aumentar el Gobierno en caso ne cucion. Sin medios, sin recursos, sin generales, sin egército, pero con…</t>
  </si>
  <si>
    <t>…ó mas poblaciones nuevas, para lo Se mandó pasar á la comisión especial de Hacienda una adición he cual presentará su proyecto de nueva población á la diputación provin cha por el Sr. Palarea al plan de este ramo. cial, en cuyo distrito esté el terreno en que intente establecerla. La di Se aprobó la siguiente indicación del Sr. Cepeda: » Habiendo acor putación provincial respectiva examinará el proyecto presentado, y ha dado las Cortes en la legis…</t>
  </si>
  <si>
    <t>…en , capitalizarlas con Madrid 18 de Mayo de 18 21 arreglo á las tablas de la probabilidad de la vida humana. Por tanto mandamos á todos los tribunales, justicias, gefes, gober El Sr. Palarea hizo una adición al artículo último; á saber: «Que nadores y demas autoridades, asi civiles como militares y eclesiásticas, se añadiese al fin de él las siguientes palabras: á los expresados genera de cualquiera clase y dignidad, que guarden y hagan guardar,…</t>
  </si>
  <si>
    <t>…tas y demás papeles.” iglesias catedrales y colegiatas ,ría cual la retiró la cornision. No se admitió á discusian-la adición del Sr. Vecino al art. 3íI: Se aprobó una adición dél Sr. Palarea á los artículos de correos y «. Que Jos empleados,de la renta nacional de la dirección de-Correos loterías, relativa á qué en lo-sucesivo fuesen preferidos para las plazas y loterías serán por mitad dé una y otra renta.’? de porteros de dichas oficinas los mi…</t>
  </si>
  <si>
    <t>…erca de la presidencia ed las elecciones de ayun inmediatamente que se instale la dirección general.” Aprobado. tamiento; y se levantó la sesión á la una menos cuarto. Adición del Sr. Palarea al art. 132: «Después de se autoriza al Gobierno para que oyendo á las diputaciones provinciales y ayunta __Las noticias de la insurrección griega son tan varias, tan numerosas, mientos respectivos, añudase:y al Crédito público.” Después de una lige y á veces…</t>
  </si>
  <si>
    <t>…blica ni La comisión, después de hacer varias reflexiones para manifestar en de otro individuo alguno. lo que fundaba su opinión , proponía á las Cortes aprobasen lo siguiente: El Sr. Palarea preguntó cómo se compensaría el derecho que antes i.®. El presupuesto de 1.609,500 rs. pagaba el tabaco. 7.a El envío de misioneros, con preferencia á' todo, á las islas Fi El Sr. Benitez dijo que el producto de los derechos del tabaco en la lipinas. jsla.de…</t>
  </si>
  <si>
    <t>…las provinexigido por los géneros de algodón extrangeros. . ciaj que ¡deben dividirse y el máximum y el mínimum. A la de Guerra y ordinaria de Hacienda un expediente formado - El Sr. Palarea dijo: Todos los Sres. diputados que han hablado han acerca del sueldo que deben gozar los capitanes generales , remitido por convenido en la urgente necesidad de que se verifique la división del el Sr. ministro de la Guerra, y acompañado del dictamen, del. co…</t>
  </si>
  <si>
    <t>…s fracciones de gqe) almas en varias pro tengan menos empleados unas provincias que l3s detnas. vincias, resulta rebajada una gran parte de la-representación nacional. Ha dicho el Sr. Palarea que era ventajoso para las diputaciones pro Ha manifestado la comisión que para esta división no ha querido vinciales el que las provincias fuesen menores, pues de este modo te tener presente la estadística , y la lia hecho topográficamente. En esto me man me…</t>
  </si>
  <si>
    <t>…cha en en su discurso pronunciado en el dia de ayer, para deshacer una equi su favor por ios exponentes, víctimas de la mas acrisolada lealtad, vocación que dijo habia padecido el-Sr. Palarea. y en justa recompensa del singular mérito contraido por Laborde , se Se suspendió esta discusión para’continuarla mañana; y se levantó ha servido S. M. promoverle a Ja inmediata clase de capitán de navio la sesión a las dos y cuarto. ’ ’ dé la armada naciona…</t>
  </si>
  <si>
    <t>…cluyó (como lo propone la comisión), habrá alguna que esté bien dividida, diciendo que no debia aprobarse. y otra que lo estará mal; de consiguiente los diputados no podrán dar El Sr. Palarea apoyó la proposición , exponiendo la necesidad qué por discutido', ni aprobar ni desaprobar el articuló por entero: |o que habia de que se discutiese por partes el arb s.% en las cuales no era yo propongo es-que tomemos una provincia cualquiera, v. gr. Cata-…</t>
  </si>
  <si>
    <t>…a de la diputación provincial de Mal lado! id , ex sabiduría de las Cortes se decidirá en favor de Baza. poniendo los. perjuicios que se van á seguir á aquella provincia por la El Sr. Palarea dijo: En el señalamiento de la capital de esta provin desmembración de algunos de sus pueblos , y pide se le compensen con, cia se observa precisamente lo contrario de lo que la comisión ha ma la agregación de algunos de la provincia de Patencia. ^ nifestado…</t>
  </si>
  <si>
    <t>…e llegar, se-dió" ¿ Varios Srés- ! dipiita'doí pedieron la palabra:, y habiendo.qcupado la el. punto por suficientemente discutido; y-puesto á votación .resultó no, tribuna el Sr. secretario Palarea, leyó uii discurso del Sr. :Benubeu;: quedar aprobada ésta provincia: en seguida .las Cortes resolvieron yol-, en el quí:después de bxplicar. las ventajas qúe la comisión:refonaciá en viese;á la comisión. -t, r . , , ,„ ¡ . , su discurso preliminar,,á fa.v.or…</t>
  </si>
  <si>
    <t>…ha han venido cinco comisionados para tratar de este haya noticias ciertas del estado de aquellas provincias. asunto, y aun no ha presentado sus memorias el Gobierno, y a pesar El Sr. Palarea: Como representante que soy asi de la Península co de lasque tiene'permanece en silencio. mo de América deseo la suerte mas feliz de esta. Convengo en que Ja Las Cortes se sirvieron nombrar una comisión que examinara lá situación de América es mala; pero esta…</t>
  </si>
  <si>
    <t>…del despacho dé Ja Guerra dijo: Tratándose de va huellas profundas de Jos legisladores de Cádiz. . . . riar las insignias militares, opina el Gobierno que los segundos batallo Él Sr. Palarea dijo: Aunque be pedido la palabra para hablar en nes de los regimientos de línea no deben tener estas insignias, sino que contra , no es porque no opino lo mismo que la comisión, esto es , que deben corresponder al primer batallón. Multiplicándose las insigni…</t>
  </si>
  <si>
    <t>…us garras el libro de la Cons todos facultativos y empleados en la administración que acruaim.nte titución.” gobierna, de manera que no se grava á la nación con nuevos sueldos. El Sr. Palarea dijo que drspues de extendido por la comisión este La comisión tiene muy poco que decir acerca del todo de este pro dictamen , se habia reparado en que. siendo iguales los cuerpos de la yecto: constestará á las objeciones que se hagan sobre cad3 artículo se m…</t>
  </si>
  <si>
    <t>…e propondrá por el Gobierno á las miento, y la incorporación de los individuos ausentes ó empleados en Cortes.” comisiones que^puedan suprimirse. De Real orden lo comunico á V. El Sr. Palarea opine) que este artículo podría retirarse , porque en para su inteligencia y cumplimiento. Madrid 18 de Octubre de 1821. caso necesario ya lo propondría el Gobierno, y asi lo acordó la co misión. Art. j&gt; Los oficiales generales de la clase de almirantes serán…</t>
  </si>
  <si>
    <t>…del engrandecimiento de todas las aprobado por las Corta (re. creo que debe suprimirse, porque no sirve marinas.” sino para confundir, y es contrario á la naturaleza de la ley. El Sr. Palarea dijo: Me parece que la comisión podía oirótir en es El Sr. Oliver manifestó que la comisión convenia en la supresión te artículo las razones en que lo apoya; es decir, desde la palabra' de la segunda parte del artículo. « procurando que dichos buques paguen &amp;…</t>
  </si>
  <si>
    <t>…los ingleses llevan muy niños á los na perjudicaba á ningún ciudadano el método adoptado por la comisión. vios á los que destinaná guardias marinas; pero no lo creo necesario, El Sr. Palarea opinó que este artículo era manifestar una descon porque tu ios 6 años que se propone esten en el mar para la instrucción fianza en los examinadores, los cuales siempre debian preferir la idonei práctica, sr pueden formar buencs guardias marinas, y mucho mas…</t>
  </si>
  <si>
    <t>…premiar á estos hijas ción y media de armada." con alguna grande encomienda , como se habia hecho hasta ahora. Ei Sr. Sancho dijo que se oponia á que á un individuo se le diese El Sr. Palarea expuso que no se oponía enteramente al articulo, si mas de una ración, porque no come mas que un. hombre, y por lo no que como se había dicho que todos los premios decretados en favor misino el guardia marina no necesitaba mas que una ración de mari del egérc…</t>
  </si>
  <si>
    <t>…Sres, de la comisión dijesen los egércuo mientras lo ésten en actual y efectivo en los bajeles de guerra.” sueldos que en el día tienen estos individuos de la armada, para ver El Sr. Palarea: Convengo en general con la idea de este artículo;■ la diferencia que hay entré'estos y los que se proponen ¿ con lo cual se pero es menester para no dar lugar A abusos que se pueden cometer en podrá votar el artículo-con el debido conocimiento. semejantes ca…</t>
  </si>
  <si>
    <t>…ida conve tencias extrangéras nuestra Constitución , es claro que de hecho recono niente^-* -í-iq ■- 'j- cen este principió de nuestro'derecho público. Hé.aqui varias cláusulas El Sr. Palarea hizo varías reflexiones sobre este asunto, y manifes- dé algunos tratados: , - &lt; ' i tó:que cualquier "Sr. diputado qué tuviese impedimento para venir al m ?&gt;.: M. el Emperador de-todas-las'Rusias reconoce por legítimas Congreso ¿ debía hacerlo presente'para…</t>
  </si>
  <si>
    <t>…s no debemos contestar en los términos que ha propuesto S. S., nos de aprobar la proposición que tengo hecha. sino en términos que puedan calmar las ansiedades públicas , y nos El Sr. Palarea: Las Cortes acaban de recibir un mensage de S. M. den la fuerza moral que necesitamos para no ser víctimas de un des i Se debe ó no contestar: Es claro que sí. ;Se puede de repente? No se orden , pues el que no respeta las libertades de la Nación, de la Cons…</t>
  </si>
  <si>
    <t>…ficacia y economía de este arma , Hay ademas una porción de artículos que tratan de cruceros, apos mento.” taderos , señales &amp;c., asuntos que saben muy bien los oficiales de ma El Sr. Palarea: Convengo en que se armen y tripulen de cuenta de rina, y pueden desempeñarlo mucho mejor que no los capitanes par la Hacienda pública; pero no en que sea por contratas , porque proba ticulares'. blemente entrarán los mismos contrabandistas en las contratas,…</t>
  </si>
  <si>
    <t>…rt. 5.0, se en ban en Que se pusiese el artículo en aquellos términos. tienda también el producto del tabaco.” El Sr. Sánchez Salvador convino con la idea del Sr. Alaman res ' Del Sr. Palarea al mismo, que se añada : » El medio por 100 entre pecto de las facultades del Gobierno ; pero no en cuanto á la fuerza qne todos los individuos de ios resguardos con proporción á su sueldo, y el se debía destinar para este resguardo ; y asi manifestó que aunq…</t>
  </si>
  <si>
    <t>…abra desde luego el plilgo cerrado que presenta la comisión, y , que se quede sobre la mesa el aUxamen de la comisión.'" : por lo tanto pido que se haga asi, y se lea. ; / ¡a. El Sr. Palarea adoptó la proposición del Sr. Romero Alpuente, El Sr. Calatrava dijo: La|cornisioh no puede n^tnos de^'extrañar a la cqaL .suscribieron los Sres. Gaseo, Arguello , Dávila, Muñoz, que se crea que tiene ¿nteresiws^que no ae discuta el dictamen que Pierola 'Camu…</t>
  </si>
  <si>
    <t>…: ást és que las Cortes, compuestas de representante* El Sr. ministro de la Gobernación contestó que sí. del pueblo, las Corte's, que han jurado la Constitución, han mirado por El Sr. Palarea continuó que lo que habia dicho era que él mensage lá gloria y el esplendor del trono , y después han querido dar un testimo de S. M. estaba en sentido equívoco, puesto que habia algunos señores nio público de que si los agentes del poder ejecutivo han podido…</t>
  </si>
  <si>
    <t>…pade desorden, hay muchos individuos que le aborrecen; y á pesar de esto cido el Sr. secretario de Ultramar. están íntimamente persuadidos, no de que el ministerio sea ciiminal El Sr. Palarea: A pesar de que yo he entendido que elSr. secretario por haber traspasado los límites de la Constitución, sino de que su Ultramar ha dicho que la orden de la resolución de las Cortes sobra opinión y circunstancias, con respecto á la Nación, no son propias que…</t>
  </si>
  <si>
    <t>…rsonas que la'han firmado. Este es el me El autor de la proposición expresó los motivos en que la apoyaba. dio mas sencillo y mas propio que las Cortes pueden tomar. Recuerde ■ El Sr. Palarea: Esta proposición ee enteramente opuesta al espirita el Congreso que la comisión dijo en su informeque si bien los sucesos del reg'amento y decretos de las Cortes : por lo mismo que la materia da Cádiz eran en algún modo excusables, los de Sevilla teman todo…</t>
  </si>
  <si>
    <t>Palares</t>
  </si>
  <si>
    <t>presenta, manifiestan la culpabilidad de sus autores. Dicen que nos ame EL Sr. Palares leyó d meninge que habia pedido el Sr. conde de naza la guerra civil, ellos son los que la excitan. ¿Se quiere ia Consti Toreno. tución, ó no! Si se quiere, ¿cómo no se obedece la autoridad ReaLco- Ei Sr. Cortés pidió que se leyese el art. t6o de la ConstTuci…</t>
  </si>
  <si>
    <t>Palazuelos, Josef</t>
  </si>
  <si>
    <t>Josef Palazuelos</t>
  </si>
  <si>
    <t>…los malversadores de las rentas públicas. 2 cagigas—Al sitio de la Puertora y Callejona, 9 castaños mancomu &lt;Quién hay que no esté mirando el cuadro que acabamos de bos nados con D. Josef Palazuelos, y lindan con el anterior__Al sitio da quejar, y que pudiéiamos pintar con colores mas negros todavía sin la Poza 15 cagigas, al sitio del Regatón, sobre Revilla 13 castaños. rezelo de faltar á la verdad, si no temiéramos aumentar la aflicción á Dirección teó…</t>
  </si>
  <si>
    <t>Palembang, Manuel Muñoz</t>
  </si>
  <si>
    <t>Manuel Muñoz Palembang</t>
  </si>
  <si>
    <t>…rtas deBatavia que no solamente trábalos se publican para satisfacción de sus autores.i ha salido mal á'los holandeses su última expedición contra Varios problemas contestados por D. Manuel Muñoz Palembang, sino que ha excitado mas contra ellos el rencor Vaca, comandante de escuadrón del regimiento caballería de aquel buhan. El comandante de las tropas holandesas ha del Príncipe. bía ofrecido en una proclama 100© pesos fuertes por la ca Otros problemas resuelto…</t>
  </si>
  <si>
    <t>Palhares</t>
  </si>
  <si>
    <t>…r Se -----Habiendo preguntado el lord Russel al canciller del bastian Javier Botelho. Acabada esta lectura, leyó el señor echiquier.si el Gobierno de S. M. había recibido de parte brigadier Palhares, individuo de la diputación, un breve y de las potencias aliadas alguna declaración hostil contra elocuente discurso, en que ponderaba el entusiasmo de aquel Nápoles , respondió que no tenia noticia de ningún do pueblo con motivo de los acontecimientos del 24…</t>
  </si>
  <si>
    <t>Palhares, Antonio Ribeiro</t>
  </si>
  <si>
    <t>Antonio Ribeiro Palhares</t>
  </si>
  <si>
    <t>…de la Madera, en 14 días Indudablemente la abdicación del ministerio actual si Ja hu de navegación ; conduce á esta capital una diputación com biese aprobado la Cámara. puesta del brigadier Antonio Ribeiro Palhares por el Go Sir Róbert Wilsón tomó la palabra en defensa de la bierno; del comendador Juan d¡; Bitancourt por la Cámara, Reina; y dijo que la elevación de Bérgami se habla funda y del capitón de milicias Juan Agustín de higueiroa por el do.en e! mérito personal…</t>
  </si>
  <si>
    <t>Palietuno, Gasparo y</t>
  </si>
  <si>
    <t>Gasparo y Palietuno</t>
  </si>
  <si>
    <t>…sa, la otra la escribía á su secretario el resultado que la prisión de algunos de ellos, entreoíos que se cuentan Dr. Antomaichi; ias dos tienen ia fecha de 17 de Marzo de idzi. y D. Gasparo y Palietuno, que se distinguieron en las últimas turbu contenían circunstancias melancólicas sobre los progresos de la enfer lencias de la Sicilia. medad de Napoleón. Los demas papeles consistían en copias de las car INGLATERRA. tas escritas por el general Bcrlrand al lo…</t>
  </si>
  <si>
    <t>Páliini</t>
  </si>
  <si>
    <t>…uen resultado de la genta mayor del regimiento de Guardias.— El conde de San-Albant, conducta del Rey para con su hijo, os invitamos: teniente coronel del regimiento de Aoste.=:El.caballero Páliini,ten¡en- i.”,. „ A que V.- E. haga conocer y asegure á S. A. R. el Prínci te coronel. euCappl. eu \rillani. uu: El conde de Castelborgo , mayor de pe Duque de Calabria que las determinaciones",dé-ios Soberanos alia plaza..— El caballero;Baravino. =E1 caballero…</t>
  </si>
  <si>
    <t>Palma</t>
  </si>
  <si>
    <t>…e un siglo. - ' nible , y la envió á esta ciudad para prender á los conttitucionales ,■ en En 1790 y 1791 permanecimos armados por espacio de 14 meses, tredós cuales se hallaba el conde Palma. No nos ha sido posible impe no porque temiésemos un ataque directo de la Emperatriz Catalina , si dir esta prisión, porque la guarnición piamontesa que tenemos para no porque, creíamos contraripá los intereses'd r ía Inglaterra el. que la nuestro resguardo,…</t>
  </si>
  <si>
    <t>…a playa y todas las alturas contiguas , esta en la cindadela de Alejandría. Todos han sido condenados á muerte. ban llenas de un inmenso gentío, vía mar se veta cubierta de una El capitán Palma ha conseguido que se le conmutase la pena caoimultitud de embarcaciones de todas clases. tal en destierro perpetuo. El cap tan G.irdli había sido ajusticiado. —El buque que conduce el cuerpo de Ja Reina debe dirigirse á la ciu Aseguran que el Rey de Ingiateir…</t>
  </si>
  <si>
    <t>Palmerston</t>
  </si>
  <si>
    <t>…imiento, y todos res votar sobre esta indicación por una mayoría de 55 votos contra 12. pondieron con firmeza v serenidad. Concluido este acto, el presidente En seguida propuso el lord Palmerston varias resoluciones relativas hizo á los abogados un breve discurso, en que les dqo que no creía fue ¿ los gastos del egército , que fueron adoptadas. se necesario recordar sus deberes á irnos defensores, que eran en gran La Címara alta no concluye su emplaza…</t>
  </si>
  <si>
    <t>Palomar, Juan Domingo</t>
  </si>
  <si>
    <t>Juan Domingo Palomar</t>
  </si>
  <si>
    <t>…stos &amp;c. D. Antonio Mediano y Sartolo: para la de Valdemoro á D Francisco Estas son las cláusulas mas importantes de la nueva Constitución Herrero Blanco : para la de Chinchón., á D. Juan Domingo Palomar : pa que concede S. M. napolitana á sus súbditos de las Dos Sicilias en lu ra la de Navalcarnero á D. Salvador Guerrero ; y para la de Colmenar gar de la adoptada por eL Parlamento. Viejo á D. Antonio Becerril Hinojosa. El Príncipe Cuto ha sido nombrado lugar…</t>
  </si>
  <si>
    <t>Palomo, Juan Domínguez</t>
  </si>
  <si>
    <t>Juan Domínguez Palomo</t>
  </si>
  <si>
    <t>…cinto por el número, de ser árbitros en todas las deliberaciones que ellos apa Osuna 10 de Abril. ñan á su gusto en las comisiones, compuestas solamente por ellos, de Noticioso el Sr. D. Juan Domínguez Palomo, alcalde segutfS» tener en su mano el oirlas , abreviarlas ó concluirlas á viva fuerza con constitucional de dicha villa, en la provincia de Sevilla, de que una los gritos de fiérrese la discusión: todavía exigen precauciones contra partida de forajidos inqui…</t>
  </si>
  <si>
    <t>Palos, Atanasio Pinos y</t>
  </si>
  <si>
    <t>Atanasio Pinos y Palos</t>
  </si>
  <si>
    <t>…terior , con varias le Jlot; para Alcira D. Antonio Martínez Arroyo; para Alcora: D. Ramón yes sancionadas por los Reyes, en contrario de lo que prevenia la del Bernús; para Nules D. Atanasio Pinos y Palos; para Murviedro Don nño de 1455 , citada por dicho Sr. diputado, concluyó fijándose en Mariano Márquez; para Onda D. Pedro Ernaiz de Segura ; para Segorve que. la disensión debía ser solamente por lo respectivo al artículo de D. Joaquin de la. Cárcel; para Li…</t>
  </si>
  <si>
    <t>Palsrea</t>
  </si>
  <si>
    <t>…se los egercicios ramo , la que fue interrumpida por el regreso de la diputación' que ha de oposición que deben preceder,y las obligaciones de dicho destino. bia ido á palacio. El Sr. Palsrea, presidente de esta, dijo: ,,La comi sión que ha tenido el honor de llevar á S. M. la respuesta á su dis curso de apertura ha cumplido con su deber, exponiendo á S. M. los Continuación de ¡a lista nrim. .yr de tas fincas que se están subastado sentimientos de…</t>
  </si>
  <si>
    <t>Pambley, Sierra</t>
  </si>
  <si>
    <t>Sierra Pambley</t>
  </si>
  <si>
    <t>…, r asi lo acordaron las Cortes. Se levó después, y no se admitió á discusión, la indicación si Continuación .le la lista Usan. 36 de las Jineás que se están subastado guiente del Sr. Sierra Pambley: ,,Que se declare no haber lugar á vo de las aplicadas al Crédito público para pujo de ¡a deuda nacional &amp;c. tar; y que volviendo el expediente á la comisión , presente á la deli Eneas que se rematan el dia 13. beración de las Cortes la cuestión de si los can…</t>
  </si>
  <si>
    <t>…de montes. ri, Sierra Pambíey, Yandiola y Calatrava, se mandó pasar á la comi Se pasó á la misma comisión una exposición de la diputación pro sión, como asimismo la indicación del Sr. Sierra Pambley, que de vincial de Burgos, solicitando una declaración sobre la inteligencia en cía: „Que el Crédito público reconozca y pague solamente las careas "que están muchos pueblos de que no pueden llenar los descubiertos reales afectas á las fincas , y no las obven…</t>
  </si>
  <si>
    <t>…exa A la comisión de Instrucción pública una solicitud de varios ba minar la conducta de cualquier funcionario público , debo advertir que chilleres en derecho, presentada por el Sr. Sierra Pambley, sobre per el asunto de que se trata ha llamado mucho la atención del público, muta de estudios. porque siendo esa infame proclama que hizo el referido Velasco el A la de Legislación una solicitud del presbítero D. Josef Sanjenot, primer ataque al poder legis…</t>
  </si>
  <si>
    <t>…icilia se habían suscitado nuevas turbu comisión, fue de parecer que debía aprobarrse en todas sus partes. lencias, y que se habia declarado independiente; y según cartas de Ge El Sr. Sierra Pambley: Habiendo conformidad en la primera par nova del 10 la escuadra inglesa se ha presentado delante de este puerto. te del dictamen que se discute, solo haré varias observaciones relativas Las noticias sobre la insurrección griega se reducen a ló siguiente: á la…</t>
  </si>
  <si>
    <t>…o en las bases dríguez de Ledesma, Alvarez Sotomayor, Fraile , Martel , Montoya, del plan general de Hacienda. Martínez de I-a Rosa, conde de Montenegro, Vargas, Nnvarrete, Pul El Sr. Sierra Pambley dijo: por la proposición del Sr. secretario chet, Guerra , Argiieilo , Castoreña , Pareja, Medina , Palarea /cíe- ■ del Despacho se deduce que los 400 millones del valor de los diezmos mencin , conde de Maulé , Méndez, Navarro ( D. Andrés), Lasanta,se reducen…</t>
  </si>
  <si>
    <t>…tra-dpi mis pronto por el cúmulo de negocios que tiene hoy el Crédito público. mo, circulando la orden de S. M., por la cual quedan abolidas algunas Después de haber contestado el Sr. Sierra Pambley á las objeciones penas impuestas por ordenanza en determinados casos. del señor preopinante, manifestando que la comisión especial de Ha Tas Cortes recibieron con agrado, y mandaron pasar á la comisión cienda había propuesto Jas bases generales para i* dotaci…</t>
  </si>
  <si>
    <t>…ñala la comisión no se perciban; por lo que suplico á los Sres. de la comisión que tengan presentes estas refle ARTICULO DE OFICIO. xiones para no gravar demasiado á esta dase. El Sr. Sierra Pambley dijo: Por la separación de los predios rústi El Rey ha expedido los decretos siguientes: cos y urbanos no se disminuyen las rentas al clero, puesto que se les • I 0 ,,Don Fernando vri por la gracia de Dios y por la Constitución recompensa este despojo Es verd…</t>
  </si>
  <si>
    <t>…de esta basé y todo género de telas y pieles propensas -á picarse, teniendo ademas la de población. la particularidad de ser antipestilencial , y de servir para matar las chin El Sr. Sierra Pambley manifestó que si se adoptaba la base que se ches; y ha hecho uso de este específico con conocidas ventajas en el ga proponia, ,no se baria este repartimiento con igualdad, porque hay mu binete de historia natural desde el, año 1814 para la conservación de cha…</t>
  </si>
  <si>
    <t>…esta casa, esto es, un tacto por too; pero no habiendo esta noticia, vendríamos á parar á con arreglo á io9 rs. que habiéndose impuesto el primer añomn 2 por too, en el segundo El Sr. Sierra Pambley dijo: » Con respecto 4 lo que ha expuesto el se tendria que imponer un 10 para que se cubriese la contribución , y se Sr. preopinante, debo manifestar que la comisión no considera estas ca rian mayores los clamores que'hubiese, que las injusticias que se pue…</t>
  </si>
  <si>
    <t>…tículos” las siguientes: » ó.al que se propone la gunos otros á que estuviesen acostumbrados.” . ■ comisión.’; El Sr. conde de Toreno dijo: la comisión no hubiera creído que es El Sr. Sierra Pambley dijo: la comisión no hubiera adoptado los te artículo sufriese una grande impugnación. Esta contribución gravita puestos públicos si no hubiera reflexionado que después de publicada-la sobre las clases indicadas, y, principalmente sobre aquellos que no Kt Con…</t>
  </si>
  <si>
    <t>…Monarquía española de los tabacos luego un examen para ver si traspasaban los limites gue se Ies hab.a elaborados de todas clases procedentes de países extranjeros.” prefijado. El Sr. Sierra Pambley dijo que la comisión había acordado añadir Y siendo en España tan fácil el estanco por los cortísimos perjui después de las palabras elaborados las siguientes y por elaborar. cios que se siguen de esta operación, ; se querrá suplir esta renta con El Sr. Vadil…</t>
  </si>
  <si>
    <t>…de apoderado á firmar .la oposición que hayan de hacer, impedir el contrabando, que forzosamente seria mayor. para lo cual se señalan 30 dias de término, que empezarán á correr El Sr. Sierra Pambley, abundando en las mismas ideas que el se desde el dia 21 de Mayo. ñor conde de Toreno, manifestó que la imposición de 10 rs. en libra - • ■'..■■■ - - &gt; que proponía la comisión para el tabaco de Ultramar era sumamente i_En la gaceta del 11 se dijo en la sesió…</t>
  </si>
  <si>
    <t>…y que no puede traer mas perjuicio que el de ocupar un poco de bierno. papel , no me opongo á que se apruebe. Art. 147. »3 Todos los trabajos que esten .á cargo de la junta de El Sr. Sierra Pambley dijo: Él Sr. preopinante ha equivocado la in inspectores se desempeñarán por los oficiales del estado mayor general. teligencia de este-artículo; porque considera que por la grande imposi Aprobado después de una ligera discusión. ción de derechos no habrá qui…</t>
  </si>
  <si>
    <t>…ue los propietarios lo justi .. « A la inspección del resguardo militar digo con esta fecha lo si ficasen., guiente: He dado cuenta al Rey de la exposición del intendente de Má El Sr. Sierra Pambley dijo: En cuanto al segundo proyecto que ha. laga que me dirige V.'E. en 3 del corriente, en que manifiesta que no indicado el Sr. Canabal; á saber : que el Gobierno reparta el tabaco se lia podido acuartelar la tropa del resguardo militar por falta de edi par…</t>
  </si>
  <si>
    <t>…ón su correspondencia cienda pública, concluyó manifestando que no debia aprobarse el ar particular, sino que costeaban la de otros muchos. tículo como lo proponía la comisión. El Sr. Sierra Pambley dijo: los empleados han tenido hasta ahora El Sr. Yandiola manifestó que los empleados eran los que padecían franca ¡a correspondencia , pagmüuiá de los fondos de ia tesorería , que mas vicisitudes, como lo demostraban las ocurrencias del año 8 y del se ponía…</t>
  </si>
  <si>
    <t>…perativo cuan ' La misma resolución recayó en la representación del brigadier Don do se dice se recomienda &amp;c. Xuis María Adriani, coronel deL regimiento de infantería de León, El Sr. Sierra Pambley dijo: la comisión no tiene inconveniente-en -jor la que en atención á que por sola la voz del pueblo se le había he que se adopte la indicación del Sr. Traver; pero debe advertir que se cho salir de Barcelona en Abril último , pedia se exigiese la responsa ab…</t>
  </si>
  <si>
    <t>…ue se su En cuanto á la segunda parte no creo que se oponga á la Constitu plan con los de otra oficina. ción , porque el decirse en esta que las diputaciones provinciales inter El Sr. Sierra Pambley contestó: con el sistema actual de cuenta y vendrán y aprobarán los repartimientos hechos á los pueblos, no quita razón que en el dia se sigue tiene razón el Sr. Vadillo , que habrá que estas juntas repartidoras , después de haber hecho sus repartimientos, mu…</t>
  </si>
  <si>
    <t>…sueldo .que se políticos é intendentes, puesto que esta reunión no la habian aprobado propone. las Cortes. El Sr. Vadillo dijo: por el art. 13 se dice que las viudas y huérfa , El Sr. Sierra Pambley manifestó la necesidad que habia de estable nos de los empleados gozarán pensiones sin que sus padres ni maridos cer estas direcciones de provincia pata desempeñar Jas funciones encar sufran descuentos, con cuya consideración se les arregla los sueldos. gadas…</t>
  </si>
  <si>
    <t>…todos los meses productos entregados en las deposi que abolir este artículo por lo superfluo que es. tarías respectivas, ó efectos existentes, y d dar al director de provincia El Sr. Sierra Pambley dijo: contestaré á las observaciones que Ion todas las noticias y estados que le pidan. Sres. preopinantes han hecho contra este artículo. Para esto sentaré da» Art. 300. » La diréccion general cuidará de que se observen pun principios; á saber: que este no e…</t>
  </si>
  <si>
    <t>…érmino, no bieran otorgado; y que no se admita reclamación alguna bajo ningún será comprendido en el referido estado, el cual se empezará á formar pretexto. desde i.° de Julio. El Sr. Sierra Pambley dijo: El año de 1806 estábamos en guerra Carta blanca sobre el negro folleto titulado Condiciones y semblan con los ingleses , y teníamos caudales en América para traerlos á la zas de los diputados á Cortes: por el autor de la apología de los palos Península…</t>
  </si>
  <si>
    <t>…a com de Gcltrú de igutil instituto, que se suprime; el de capuchinos y el de pra de bienes nacionales." escolapios; en Tarrasa el de franciscos: en Sabadell el de capuchinos y EL Sr. Sierra Pambley hizo.presente que la comisión especial de Ha el de escolapios; en Boy el de servitas, agregándole los religiosos del cienda en su dictamen relativo al Crédito público proponía que las de Villaradona de la misma orden, qua se suprime; en Granollers el compras…</t>
  </si>
  <si>
    <t>…nces no pue diré que nos la han dado, porque el visir ( Alí Bajá) nos ha pedido den presentar sus créditos. que seamos sus aliados , y nosotros le hemos respondido. «Visir, dad El Sr. Sierra Pambley dijo que las observaciones del Sr. Dolarea no nos el castillo, y seremos vuestros; si no, no.” Entonces dijo á nues pertenecían al art. i.1’; que en él, lejos de agraviar á los acreedores de la tros compatriotas que estaban en rehenes en su poder : » vuestros…</t>
  </si>
  <si>
    <t>…anteriores: si las fincas excediesen del valor de los ra sus réditos, era claro que no podrían subsistir. 69 rs. designados, se harán las subastas, expedientes y mejoras en los El Sr. Sierra Pambley dijo que aunque se hablaba solamente de los términos y con las formalidades que si se vendiesen á créditos: pero en monges extinguidos , regulares secularizados &amp;c. , no 6e decía que no habiendo licitador que ofrezca de pronto las dos terceras partes de la se…</t>
  </si>
  <si>
    <t>…quedan perjudicados considera tado, y las cuatro restantes en i o años por partes iguales.” Aprobado. blemente. Art. 22. » Los cotos redondos y deinas heredades que ios monaste El Sr. Sierra Pambley dijo: Considero justa la observación del señorrios cultivaban por sí, á que no se presenten licitadores, se adjudicarán preopinante , y tanto mas cuanto que ios que capitalizan per sueldos ó por la tasa á los que los cultivaban, ó á otros culesquiera que ¡qui…</t>
  </si>
  <si>
    <t>…tellón sión para hacer el debido elogio de los trabajos estadísticos de las islas de la Plana, que está 4 la derecha -del mar, teniendo ’á su favor la pri Canarias que presentó el Sr. Sierra Pambley. ¡Ojalá todas lasprovincias mera que es obispado , lo que no se veriGca en ia segunda. de España hubiesen presentado unos datos como las islas Canarias 1 Estos Si Segorve es cabeza del gobierno eclesiástico, y centro, fisicay geo son ios principales datos. La…</t>
  </si>
  <si>
    <t>…otras! ¡Hemos de ser nosotros por misión que habia de extender el proyecto de policía. Asimismo ué precisión los que ;o hagamos todo: Hagamos lo que podamos, y lo hare nombrado el Sr. Sierra Pambley para ¡a comisión de Hacienda , y el mos mejor. Por todas estas consideraciones, y no queriendo molestar Sr. Calderón para la del Código de procedimientos, en atención á ha mas la atención del Congreso, espero me permitirá que haga las siguien llarse enfermo e…</t>
  </si>
  <si>
    <t>…e algunas deudas y que acaso no.se debían-, yevalor real de la finca que trataban de adquirir. . ’ . . tal vez Icontienen fraudes,.inmensos; por .consiguiente en estercaso ci ’ El Sr. Sierra Pambley; Se trata de dos cosas en la discusion de,-este valor del, papel disminuye ¡.porqué los tenedores: dei papA,;v:ienCo quei asunto, una resuelta , .y otra que van á. resolver las Cortes. Laresuelti es esta deuda es indeterminada, hacen sus opcraciotiestcoE ele-…</t>
  </si>
  <si>
    <t>Pambley.pidió, Sierra</t>
  </si>
  <si>
    <t>Sierra Pambley.pidió</t>
  </si>
  <si>
    <t>…íudo'o libre tenemos ia experiencia de lo que ha En seguida se declaró este asunto suficientemente discutido, y el sucedido, corroborándola el egemplo de lo que han hecho otras na Sr. Sierra Pambley.pidió que se leyeran los art. 5.0 y 9-11 del decreto ciones extranjeras no menos civilizadas que la nuestra. En España se ya referido y los informes del tesorero general y contador de distribu ha visto que desde el momento en que las Cortes trataron de quitar el ci…</t>
  </si>
  <si>
    <t>Pamplona</t>
  </si>
  <si>
    <t>…, Total 148. corrientes, pues la única duda que podía ocurrir era la de ser ministro De orden de la M. I. junta municipal de Sanidad. = Francisco Suuno de los electos, cual era el Sr. Pamplona; pero que la comisión birach, habilitado para su secretario. hababa que eran legales, por haber sido elegido antes de que estuviese 'Parte del lazareto sucio de todo el dia ag. encargado del ministerio. Muchos Sres. diputados fueron de distinta Barceloneta, e…</t>
  </si>
  <si>
    <t>…a al Congreso que S. M. se habia dignado admitir la dimisión egerce la adjunta invitación á algunos pu. blos de los mas florecientes que del ministerio.de la Guerra habia hecho el Sr. Pamplona por ha é interesados con Barcelona por sus relaciones, al objeto de que tomen ber sido elegido diputado á Cortes, nombrando interinamente para es parte en un empréstito abierto, no como otros muchos para sostener te destino al Sr. Candido Josef Javier Dias da…</t>
  </si>
  <si>
    <t>…rimero de Cataluña : al coronel ID. Ignacio ViEl Sr. Calatrava dijo que el colegio de Zaragoza y la audiencia de llasana, del de Tarragona: a D. Justo Bcrriz , del de Barcelona: á Don Pamplona habían informado acerca de este artículo. Quedó aprobado. Santos Ladrón , del segundo de Aragón: á D. Josef Moragrega, del de Art. 99. « Los jueces y tribunales procurarán en cuanto lo permi Llostalrich ; y a D. Victoriano Boubier, del de Baibastro. tan las c…</t>
  </si>
  <si>
    <t>Pan</t>
  </si>
  <si>
    <t>…a porción de materias inflamables cerca del sitio donde reposaba el león, en el diario de Cortes y gaceta. y pegarles fuego. La explosión se verificó; hizo un estruendo horroro El Sr. Pan manifestó á las Cortes en nombre de la provincia de so; ¡y á quién se echó la culpa! Bien lo sabéis .señores. Ño bien ha Venezuela su agradecimiento á las sabias lev*s que habia dictado, y bría acabado el apólogo cuando saldrian de todas partes gritos llaman…</t>
  </si>
  <si>
    <t>Pando, Josef María</t>
  </si>
  <si>
    <t>Josef María Pando</t>
  </si>
  <si>
    <t>…l estado de entorpeci El Sr. Luis Mctiteiro desaprobó que la comisión diese el título de miento en que estaban tiempo há, y que los sugetos principales han encargado de Negocios á D. Josef María Pando , cuando creía que n© dado a su nación cierto impulso que se dirige á regenerarla*. Las fami tenia otro carácter que el de cónsul general; y sobre este punto hubo lias griegas de Fanar, que proveen de dragomanes á la Puerta ¡ y de So alguna discusión, en la q…</t>
  </si>
  <si>
    <t>Paniagua, Josef María</t>
  </si>
  <si>
    <t>Josef María Paniagua</t>
  </si>
  <si>
    <t>…te;el del To.aldo , meténologia apli y mover á las tropas, traducida al castellano por el teniente coronel cada á ia agricultura, y las lecciones de Botánica del Sr. Cavaniiles; y D. Josef María Paniagua, acudirán i la librería (te Matute, y en las al 2.’ la obra de agricultura de Herrera, los tratados de la Huerta, Flo provincias adonde lo han.verificado, á recoger el tomo i.° de dicha res é Ingerto de los Sres. Boutelou , y la memoria de D- Esteban Bou obra…</t>
  </si>
  <si>
    <t>Paño, Lesnies del</t>
  </si>
  <si>
    <t>Lesnies del Paño</t>
  </si>
  <si>
    <t>…ad , en 250 rs. generales para ver y sentenciar el proceso formado al subteniente del Otra nombrada las Pulgas, de una fanega y 8 celemines, de terce regimiento infantería de León D. Lesnies del Paño, indiciado de ha ra calidad, en 400 rs. berse separado de la guardia del hospital general en la noche del 13 de Otra llamada Hoyo de S. Juan, de una fanega y 2 celemines , de Marzo de 1818, lia resuelto dicho tribunal, por pluralidad de votos, primera calidad…</t>
  </si>
  <si>
    <t>Papé, Gabriel</t>
  </si>
  <si>
    <t>Gabriel Papé</t>
  </si>
  <si>
    <t>…ficial referida no solo la ver en buques napolitanos los Sres. Poerio, Petrinelli, Boreíli, Arcovito, dad y los pormenores auténticos de cuanto ha ocurrido, sino también Colleta y D. Gabriel Papé como desterrados de Nápoles y Sicilia, y los esfuerzos y la particular solicitud de. la Sublime Puerta por conser destinados á pasar su vida, dos de ellos en Gratz, dos en Brunn, y los var la paz con la corte de Rusia, su muy apasionada amiga , y por au otros…</t>
  </si>
  <si>
    <t>Para</t>
  </si>
  <si>
    <t>…o de la milicia nacional................... 3.000,000 Gastos.................................................................... . 100,000 Para empleados cesantes de la contaduría general Para sueldos de los ministros, fiscales y subalter de propios y arbitrios............................................. 264,346 nos del tribunal supremo de Justicia.................... 2.273,299 Para varios establecimientos de instrucción públi Sus gastos..........…</t>
  </si>
  <si>
    <t>Para, Peñafieb</t>
  </si>
  <si>
    <t>Peñafieb Para</t>
  </si>
  <si>
    <t>…erencia que la moneda española. Esto supues con que se cuenta para que sé lleve á debido efecto esta ley. to, : qué necesidad hay de prefijar para el curso de esta moneda el misEl Sr. Peñafieb Para fijar esta época ha tenido presente la comisión -mo término que para los medios luises? Una vez que no resulta perel informe de todas las personas facultativas en la materia. Este plazo juicioen su admisión, y en su curso , aporqué no se puede-prorogar es par…</t>
  </si>
  <si>
    <t>Parada, Diego</t>
  </si>
  <si>
    <t>Diego Parada</t>
  </si>
  <si>
    <t>…ios, cuya publicación Parroquia de S. Sebastian, ij electores. creíamos importante para que en los siguientes años pudieran tener pre D. Benito Antón Pisador, el conde de Clavito, D. Diego Parada,. sente los vecinos los nombres de sus conciudadanos qué en los anteriores D. Dionisio Solis, D. Felipe Bauza, D. Jcsef Marti, D. Josef Nuñez merecieron la confianza pública; pero no nos ha sido posible reunir la Arenas , D. Juan Ailonca, D. Juan Lasaña , D.…</t>
  </si>
  <si>
    <t>…en exótico ó local de la fiebre amarilla en ios pueblos en que por 'Martin de VaideiiíJesias. desgracia se ha manifestado hasta el dia, ó se desarrolle en lo sucesivo, Surtientes. D. Diego Parada , propietario de esta corte. D. Manuel ai se comunica siempre ó alguna vez por contagio ó roze de persona á de Rivacoba y Gorvea, del comercio de esta corte. persona ó de efectos comerciales, ó si no se propaga saliendo las per sonas atacadas fuera del foco ,…</t>
  </si>
  <si>
    <t>…rcos , á quie Reille. Suplentes. D. Bartolomé Cei Castiiio; D. Josef Aguilur. nes había ofrecido su protección. Con este motivo se embarcó para Hidra, Por la provincia ¡le Cuenca. D. Diego Parada, regidor de Madrid; publicando una proclama contra esta insubordinación, diciendo que To D. Nicolás Escolar y Noriega , presbítero; D. Juan Manuel Pió de dos querian mandar y nadie obedecer; y que no volverla sino bajo Arias, abogado; Di Manuel de Sierra, pro…</t>
  </si>
  <si>
    <t>Parada.', Máximo</t>
  </si>
  <si>
    <t>Máximo Parada.'</t>
  </si>
  <si>
    <t>…da marcha, se regresaran á la vilia, y tomando 20 caba ministro único de aquellas cajas nacionales; y para la de llos de ¡os de mayor aptitud , me dirigí á dicho pueblo, Arlspe á D. Máximo Parada.' adonde no fue posible avanzar en la citada, noche por la Ea el del Perú. Para la del Cuzco á D. Baltasar de mucha agua que llovía ; de manera que apenas con mucho Villalonea , ministro tesorero de aquellas cajas nacionales: trabajo nos permitió cruzar la sier…</t>
  </si>
  <si>
    <t>Paraty</t>
  </si>
  <si>
    <t>…o leguas a lo menos de las costas. Estos sugetos eran el Constitución despertó vuestro patriotismo: vuestro patriotismo sosten P. Francisco Rom:*5 de Goes, el conde dePalroeTa, el conde Paraty, drá la Constitución.” el vizconde Villa-Nova da Rainha, Tomas Antonio de Villa-Nova M'licianos de caballería. « No es ese porte marcial y brillante lo Portugal , vizconde de Magé , Bernardo Josef de bousa Lobatto, Mon que me inflama al contemplaros: es sí es…</t>
  </si>
  <si>
    <t>Parayuelo, Rosendo Saez de</t>
  </si>
  <si>
    <t>Rosendo Saez de Parayuelo</t>
  </si>
  <si>
    <t>…tien gtienza, y las del tabaco y salinas de Himon, y generalmente sobre la da , y se verá que no es tan montuosa esta división como á S. S. le ha renta del tabaco, otorgada por el Sr. D. Rosendo Saez de Parayuelo, parecido. Ruego á las Cortes tomen en consideración estas observacio siendo director general de rentas, y como tal autorizado con Real de nes, y no atiendan á la superficie de los distritos, sino á sus atenciones, creto para ello en 11 de Julio de 1782 ante…</t>
  </si>
  <si>
    <t>Pardo, Josef María</t>
  </si>
  <si>
    <t>Josef María Pardo</t>
  </si>
  <si>
    <t>…iona Málaga D. Mariano Gutiérrez, en Mallorca D. Josef Serra, en Me dos y contadores en unión los medios y costo necesario para hacerlas norca D. Pedro María Santaló, en Mondoñedo D. Josef María Pardo producir. Montenegro, en Orense D. Josef Somoz3, en Orihuela D. Juan Rico, 13. Desde el presente año inclusive pagarán los comisionados del presbítero, en Osma D. Angel Itero, en Oviedo L&gt;. Ramón Gil, establecimiento en las provincias á los partícipes legos d…</t>
  </si>
  <si>
    <t>Pardo, Pedro de Urquinaona y</t>
  </si>
  <si>
    <t>Pedro de Urquinaona y Pardo</t>
  </si>
  <si>
    <t>…ad ordinaria por algunas combinaciones en que ciembré da 1813 Por la guarnición de la plaza de Puerto-Ca-jí'los, sabios no hablan pensado todavía ; á saber: al contacto bello: por D. Pedro de Urquinaona y Pardo, oficial de la secte-gj mutuo de cuerpos desemejantes, como los metales, el car- taría de Estado y del Despacho de la' Gobernación de UltrirS1 Bón climateria animal, aplicados uno á otro, ó puestos en mar. S« vende «u la librería de Orea í a 5 rs. en rústica.…</t>
  </si>
  <si>
    <t>Pardo, Romero</t>
  </si>
  <si>
    <t>Romero Pardo</t>
  </si>
  <si>
    <t>…. Votado por partes éste dictamen , se aprobó en su totalidad. con las comunidades de la misma orden de Toledo y Alcalá: en el Se declaró proposición leida por primera vez una del Sr. Romero Pardo el de Capuchinos del Sto. Cristo, y en Aránjuez el de Francis Alpuente, en que pedia se declarase que los empleados que se hallasen cos descalzos de S. Pascual , y se le agregan los individuos del de Yeen igual caso que D. Luis Pereira sirviesen sus destinos…</t>
  </si>
  <si>
    <t>Paredes, Juan</t>
  </si>
  <si>
    <t>Juan Paredes</t>
  </si>
  <si>
    <t>…tar los fondos que puedan servir para prolongar su inútil y siempre Cádiz 29 de Junio. perjudicial existencia. Se continuará.'} Ha entrado en este puerto el patache S. Francisco , capitán Juan Paredes, de Santoña. y Luarca en 10 dias. Dice este capitán que el 26 ÍOXTÜGAE. del corriente fue reconocido por un bote con cuatro marineros y un oficial perteneciente á un bergantin que tenia inmediato, y era al pa Lisboa 24 de Junio.—Sesión de Cortes del 22. recer…</t>
  </si>
  <si>
    <t>Pareja, Eusebio Sánchez</t>
  </si>
  <si>
    <t>Eusebio Sánchez Pareja</t>
  </si>
  <si>
    <t>…dictamen, dijo que deNavarrete, diputado por la provincia de Valladolid , y i&gt;. Josef Fran- le parecía conveniente , á fin de ganar tiempo, el que no se leyesen los eisco Guerra y D. Eusebio Sánchez Pareja, diputados por la de Méjico. prólogos de ningún dictamen, sí solo el artículo ó artículos que con Se leyó una exposición del gobernador de Zamora, dando noticia tuviesen ; y asi se acordó. 4= la exhumación de los restos de Padilla, Maldonado y Bravo , y pi La…</t>
  </si>
  <si>
    <t>Pareja, Josef López</t>
  </si>
  <si>
    <t>Josef López Pareja</t>
  </si>
  <si>
    <t>…unio-Sesión del 20. niente: D. Ildefonso Martínez, id : D. Juan Baricher, id.: D. Fran El Sr. Maldonado propuso que se crease una orden con el título de cisco García Aicaráz, id.: D. Josef López Pareja, id.: D. Josef Mar Orden de la Constitución para premiar á los beneméritos de la patria tínez Camacho, id.: D. Juan Megías, id.: D. Josef Abellan , id : Don por servicios constitucionales. Domingo Gijon y Vaca , id.: D. Josef Palacio, id.: D. Tomas Ibañez, El…</t>
  </si>
  <si>
    <t>Pareja, Miguel</t>
  </si>
  <si>
    <t>Miguel Pareja</t>
  </si>
  <si>
    <t>…n materias dé dogma religioso:: " '■ ción en el hecho de haberle negado el testimonio -que. habia pedido. « Atendiendo también á que desde la advertencia incluida en il de Otra dc'D. Miguel Pareja, vecino de Puente D. Gonzalo, queján creto de S. M. la Reina Isabel, publicado en el -primer año del reina dose de ¡os proced-mientos debjtiéz de primera instancia de la Rambla do de S. Mi, y sancionado por el auto promulgado en el quinto' año en las providen…</t>
  </si>
  <si>
    <t>Parejo, Antonio</t>
  </si>
  <si>
    <t>Antonio Parejo</t>
  </si>
  <si>
    <t>…e del suplemento al núm. g.° del periódico el Observador, determinó Capellanes, núm. 5, manz. 383, en 168,702 rs.; y el primer remate el señor alcalde 1.° constitucional de Málaga D. Antonio Parejo que de ellas se verificará separadamente el dia rr de Agosto próximo á se pusiera en libertad a D. Blas María de S. Milian y á D. Juan Ruiz las ir de la mañana en una de las salas del ayuntamiento de esta de la Herran , declarando al mismo tiempo que la perse…</t>
  </si>
  <si>
    <t>Pares, Bartolomé</t>
  </si>
  <si>
    <t>Bartolomé Pares</t>
  </si>
  <si>
    <t>…a ahora salidos para Mahon son los siguientes: el bergantín Segovia............................................................................. 2.242,006 ■ . 649.&gt;36 Tallam'edra, capitán D. Bartolomé Pares; fragata la Libertad, capitán Soria.............................................................................. D. Pablo Soler ; bergantín Alejandro, capitán D. Jacinto Rey ; que- Toledo.......................................................................…</t>
  </si>
  <si>
    <t>Parga, Manuel</t>
  </si>
  <si>
    <t>Manuel Parga</t>
  </si>
  <si>
    <t>…ndo batallón del trabajos que se han hecho en el Ateneo desde su origen , y una oda , leí de Granada: á D. Josef Chacón, del primer batallón del de Valencia: do aquel por el socio secretario D. Manuel Parga , y esta por el socio á i a. Luis Perez de Rivera, de! segundo batallón del de Valencia: á consiliario^D. Antonio Tenreiro en sesión pública de x.° de Octubre: D. Leoncio Barcena, dei primer batallón del de Zaragoza: á E&gt;. Pas 'su precio 4 rs. cual Puertoias…</t>
  </si>
  <si>
    <t>Paria</t>
  </si>
  <si>
    <t>…que la comisión halla cada día nuevas dificultades en e! eger- preocupaciones heredadas y fortalecidas por la educación y el egemcicio de sus funciones. Solamente una persona, el teniente Paria, ha plo, no puede caminar hacia la verdad, y desecha todo lo que no sido declarado reo de muerte por causa de insubordinación. Durante la cuadra con sus desvarios. Como sus raciocinios están fundados sobre revolución había intentado introducir en Alejandría 1…</t>
  </si>
  <si>
    <t>Parich, David</t>
  </si>
  <si>
    <t>David Parich</t>
  </si>
  <si>
    <t>…miedo hacia ver ya á ios ejércitos del prín probablemente no contribuirla adarles mayor:estimación ia llegada del cipe Ipsilanti y de Alí-bajá atravesando simultáneamente los mon Sr. David Parich á Francfort . autorizado, según aseguraban, para ne tes, y reuniéndose en el centro de la Romeiia, antes que se pudiese gociar un puevp empréstito-por cuenra deí Austria. &gt; : adoptar medio alguno de defensa;-y el terror ilegó a tal.punto, que no Es muy frecue…</t>
  </si>
  <si>
    <t>París</t>
  </si>
  <si>
    <t>…el y á D. Manuel de la Bodega. cambios. Madrid y Febrero 21 de 1821. Londres..................................................... 3&lt;5f Constando de un modo positivo ó'indudable al Sr. Don París............................................................) 15-18 Francisco Yañez Bahamonde , comisario general de Cru Cádiz..................... ................ ..................... 1* zada, que un sugeto desconocido se ha presentado á varias Sevilla.....…</t>
  </si>
  <si>
    <t>…a muchos ha sido absolutamente imposible curar, Véase como vuelve á explicarse sobre este punto un periodista de en otros fue obra de un momento. Sobre todo, habia un sacerdote , cura París: del castillo, que llamó particularmente mi atención, y me enter ,,Hemos manifestado, dice entre otras cosas, nuestro modo de pen neció. Estaba atormentado de reumatismos, é hizo que lo llevaran dos sar acerca de la circunspección religiosa con que deben reci…</t>
  </si>
  <si>
    <t>París, Ale</t>
  </si>
  <si>
    <t>Ale París</t>
  </si>
  <si>
    <t>…ncesa , sobre el método empleado en su curación, TRAVCIA. y sobre el estado en que actualmente se halla. Resulta de la indica da relación, hecha para desengañar al público, que el príncipe Ale París 8 de Setiembre. jandro de Hohenlohe no solamente no ha contribuido en lo mas mí El Morning-Chronicle contiene un artículo sobre los asuntos de U nimo á su curación, sino que la princesa está peor que antes de qus Noruega, cuyo resumen es el siguiente: hubiese…</t>
  </si>
  <si>
    <t>Parissi</t>
  </si>
  <si>
    <t>…a el barón Bedrinelli. riente. S. A. R. el Príncipe Regente habia ya partido para el egército, Una hacienda de olivas , nombrada la Aragonesa, término de Mar llevando á su lado al general Parissi y al duque de Ascoli; lo mismo molero, en 899,389 rs. había verificado su augusto hermano el Príncipe de Salerno, quien lle En la provincia de Plasencia , procedentes de la encomienda mayor del va de ayudantes al príncipe D. Diego Pignatelli y al marques de B…</t>
  </si>
  <si>
    <t>Parma</t>
  </si>
  <si>
    <t>…, y ten rado reo de libelo injurioso al Gobierno del Rey- y á las drá igualmente bajo sus órdenes las tropas de la duquesa de tropas: de S. M.; pero con motivo de estar ausenre el juez Parma quese hallan actualmente allí. . Best no se pronunció la sentencia, la cual se sabrá mañana. Algunos regimientos del egército austríaco acantonado «n el reino Lombardo-Véneto acaban de ponerse en movi FRANCIA. miento para acercarse mas á las orillas del Pó. —…</t>
  </si>
  <si>
    <t>Parodi, Felipe</t>
  </si>
  <si>
    <t>Felipe Parodi</t>
  </si>
  <si>
    <t>…Grecia , bajo las mismas condiciones concedidas á los turcos La goleta española Venturosa, que salió ayer de este puerto, arri de las provincias griegas. bó en el mismo dia; y su capitán D. Felipe Parodi declara que estan g.'1 » En la Morea, ia Valaquia y la Servia se establecerá un gobier do á las dos de la tarde á distancia de 10 leguas al SS. O. de esta ciu no constitucional, por el cual quedarán libres para siempre de ia in dad, avistó por la parte dei Su…</t>
  </si>
  <si>
    <t>Parr</t>
  </si>
  <si>
    <t>…nsiderable. En un ataque nocturno que en 10 de Febrero di ingenieros, ai que acompañaba úna exposición del regimiento de Zapa rigió) el enemigo contra las tropas inglesas murió el capitán Parr, del dores, manifestando los paEriÓjtícos sentimientos que animan á sus in regimiento europeo" de Bombay, y han muerto ademas ti quedado heri dividúes en favor de las nuevas instituciones. dos otros muchos oficiales. Sin embargo la pérdida del enemigo ha Se p…</t>
  </si>
  <si>
    <t>Parri</t>
  </si>
  <si>
    <t>…do mandado por decreto de las Cortes de 28 de diversos modos de gastar el dinero en esta capital. Julio de 1813 se distribuyan y remitan á las diputaciones Asi es como el juicioso teniente Parri y sus dignos provinciales por inventario todos los papeles que existen en oficiales consiguieron con su prudencia y constancia con Madrid pertenecientes á la extinguida contaduría general de servar la salud, y fortalecer el ánimo de sus tripulaciones Pósitos;…</t>
  </si>
  <si>
    <t>Parroldo, Josef</t>
  </si>
  <si>
    <t>Josef Parroldo</t>
  </si>
  <si>
    <t>…ntidad, unida á la antecedente, asciende á Navarro, de idem. En Oviedo en.la de D.. Marcos Saran- y mrs., de que deberán deducirse 89,130 rea deses, boticario. En Córdoba en la de D. Josef Parroldo, les sobre qué se fuñdáron los dos patronatos, mandados fundar del comercio. En Toja en la de Francisco Sargatal , id. por Doña Juana Caldera Freile, hija de la Doña Beatriz, en el En Burgos en la de D. Paulino Alegría, de id. En Santia convento que fue de St…</t>
  </si>
  <si>
    <t>Parry</t>
  </si>
  <si>
    <t>…o para la P. de M. Un solo medio existe, y este no es una tripulación bajo la dirección del capitán Saline , mientras conciliación, sino un remedio contra el mal que os oprime. el capitán Parry componía los drámas que representaban Vos deseáis conocerlo, y yo voy á indicárosle. Que los después los marineros para divertirse. hombres fuertes y amantes del bien de su patria se reúnan, se presenten al Rey, y le digan: r*Sstior, vos y vues FRANCIA. tro p…</t>
  </si>
  <si>
    <t>…sidente provisional ,cuya elección recayó en el ' La nueva expedición que se prepara para el Polo ártico M. R. arzobispo de Bahía : en seguida se nombraron los será mandada por el capitán Parry. Se compondrá de los secretarios interinos, y una comisión para verificar los buques la Furia y el hela; que serán abastecidos de to poderes, y concluido esto se nombró otra comisión para re dos aquellos objetos, suya necesidad ha demostrado la expe dactar la…</t>
  </si>
  <si>
    <t>Él capitán Parry, que debe salir dentro de 10 dias á hacer^ nuevos y el coronel Magdone se retirasen sobre Isernia con los pocos cente descubrimientos al polo ártico, dió el'dia id "a bordo de la Baria un nares de hombres que les quedaban, y que los mariscales Verdinos y espl…</t>
  </si>
  <si>
    <t>…contestado á los es el primero que se ha visto en esta colonia. embajadores con la mayor serenidad, que no era un sistema de perse- . Las cartas de algunos compañeros de viage del capitán Parry indi cucion contra la religión cristiana ó contra la nación griega el que ha can que tienen esperanzas de encontrar este año el paso del Norbia ocasionado el castigo de algunos eclesiásticos griegos; que uua prue Oeste; y también hablan en ellas de las islas…</t>
  </si>
  <si>
    <t>Parry'</t>
  </si>
  <si>
    <t>…ón; tinente , que supone existe á esta altura; pero si este nuevo paso no pero que nó habia condenado al suplicio á persona alguna de cuvos de existiese ó no fuese practicable, el capitán Parry' tendría en que ocu litos no estuviese convencida; que por fin el Gran Señor era indepen parse reconociendo las islas y los estrechos que debe haber en el espacio diente, y ño tenia que dar cuenta sino á Dios de su conducta. intermedio. Es pues muy factible qu…</t>
  </si>
  <si>
    <t>Parte</t>
  </si>
  <si>
    <t>…al de sanidad. = Francisco Al en defensa del sagrado Código que con tanto gusto han jurado, y que tes , vice-secretario. sostienen con honor. Pamplona 4 de Setiembre de 1821. =¡Ei coronel Parte del lazareto sucio de todo el día g. de infantería, teniente coronel efectivo, Alfonso Valderrábanoi = Él Existencia anterior 8: entrado; 2: salidos ninguno; convalecientes teniente coronel de infantería, sargento mayor, P. Luis Baccigalupi.= uno : muertos 1:…</t>
  </si>
  <si>
    <t>Pas, Luis</t>
  </si>
  <si>
    <t>Luis Pas</t>
  </si>
  <si>
    <t>…Vinaroz. D. Rafael Querol, alcalde primero constitucional ó reos no hicieren el nombramiento en el término señalado, io ejecu de Onda. D. Francisco Gaseo, abogado de Alcora. Aleoy D. Luis Pas tará el comandante general. cual y Gisbert, vecino y del comercio de la misma. D. Josef Reig Art. g.° «Concluida la lectura’, se concederán á los defensores 10 Martí, abogado , de Concentaina. D. Genaro Bianquez, cura párroco dias precisos para formar los ale…</t>
  </si>
  <si>
    <t>Pas, María</t>
  </si>
  <si>
    <t>María Pas</t>
  </si>
  <si>
    <t>…do¿ir que despreciados rores; habiendo sido sus padrinos el conde y cr.n..ÍL-si Je con respecto á ella estos derechos, se abusase del poder v Priegue D. Juan Nepomticeno. Ozor, y Doña María Pas de la fuerza para mantenerla en la humillación y el abati toriza Sandro del Riego, nombre que también se puso á miento , para agravar mas su desgracia, para hacerla vícti- su abijada. ma. de un'poder ilimitado y arbitrario, y para robarla el Madrid 9 de Enero…</t>
  </si>
  <si>
    <t>Pasado, Antonio Pa</t>
  </si>
  <si>
    <t>Antonio Pa Pasado</t>
  </si>
  <si>
    <t>…para' todos los poseedores de vínculos que se hallen en las mismas circunstancias. . Circular de la Gubernacion de la Península. . -El de la misma comisión sobre que se conceda á D. Antonio Pa Pasado el término señalado por la Real orden de 18 de Enero checo y Bermudez, primer ayudante de cirugía del cuerpo de Artille último para que todos .los empleados dependientes del ministerio de mi ría, el ser revalidado de medicina por el cuerpo examinador que cor…</t>
  </si>
  <si>
    <t>Pascual</t>
  </si>
  <si>
    <t>…io de la audiencia territorial, y juez de primera ins madre tierna, que para estrecharle íntimamente en su señóle prepa tancia de esta M. H. villa, por la escribanía del número de D. Pascual ra los medios mas probables de su prosperidad venidera. A ia sombra Seco; en inteligencia de que el últino remate de ellas se ha de cele del magestuoso é incorruptible árbol de Ja ley descansará el ciudadano brar, conforme al reglamento de las Cortes de 3 de…</t>
  </si>
  <si>
    <t>…formar, y el nú cribano del número de la misma y de su juzgado, ha señalado para jun mero d; compañías que ha de tener cada uno.” Aprobado. ta general de acreedores al concurso de D. Pascual de las Fuentes el Art. Ji. »► Todos los batallones de una provincia constarán de dia 11 del próximo mes de Noviembre á las 9 de la mañana en sU iau.-.l número de compañías, y la fuerza de estas no podrá diferenciarse posada, carrera de S. Francisco, núm. 2 ¡…</t>
  </si>
  <si>
    <t>Pascual, Josef</t>
  </si>
  <si>
    <t>Josef Pascual</t>
  </si>
  <si>
    <t>…e dijo que quedaba sobre la mesa gado. D. Josef Elias, abogado. D. Francisco Serra y Franch. D. Agustín este expediente para la instrucción de ios Sres. diputados. Yañez. Igualada D. Josef Pascual, hacendado de Esparraguera. Maurera Entro i jurar y tomó asiento -n el Congreso ei Sr. la Bodega. D. Rimon Busar.ya, escribano de Alo y A Tarrasa D. Juan Barata, Las comisiones reunidas de Guerra y del Código de procedimien juez de primera instancia de la mis…</t>
  </si>
  <si>
    <t>Pascuala</t>
  </si>
  <si>
    <t>…r su lectura á todos los ciudadanos, se mande vender el nuevo de Hacienda. diario que se imprima al moderado precio de 12 mrs. el pliego, o a Lo mi-mo se hizo con úna solicitud de Doña Pascuala y Doña coste y costas, según mejor resuelva el Congreso. Máxima Villar, herederas de su hermano D. Andrés, canónigo de Para fundar esta indicación dijo su autor: Creo que conviene hacer Tarragona, pidiendo se las perdonase lo que quedó á deber este en pa presi nte q…</t>
  </si>
  <si>
    <t>Pascualigo</t>
  </si>
  <si>
    <t>…octavo. el general marques de PaoJucci para mandar la escuadrilla que se ha __Se dice que la reforma del egército se extenderá á todos los regi armado en Venecia , reemplazando al'caballero Pascualigo, que acaba mientos que pasen del número 80. Hay actualmente 90 regimientos de de morir en esta última ciudad. Se ha firmado un convenio para el pa infantería, ademas de la brigada de cazadores, y de g regimientos de so de las tropas con los Estados de Módena…</t>
  </si>
  <si>
    <t>Pascualino</t>
  </si>
  <si>
    <t>…e los insur Rossini, el presidente Marrano, el abate Samo, el príncipe de Scílla, gentes 1 y por esta conducta ha quedado el bajá de Morea privado de el marques de Spaccaforno, el caballero Pascualino, el príncipe de la mayor parte de sus fuerzas. Es de temer que la muerte de los dos. Migliano y el príncipe de Cardito.” patriarcas griegos encienda mas el fuego de la venganza entre los dos partidos , y que la insurrección griega dé motivo á horrores inaudit…</t>
  </si>
  <si>
    <t>PascualrRamos</t>
  </si>
  <si>
    <t>…las.Cortes de y nal de. ía villa de Se gura.Cprovincia ,de León) -Di-francisco Castel de; de Noviembre próximo pasado,sobre la ley constitutiva deL egército.” Prado, pedida, por. D. PascualrRamos , médico de lainismi villa, Previa una breve deliberación , se .mandó pasar á la misma comisión que: [.,, Nó^jiúbp Ligar.á Ja.formacion decausa á la audiencia territorial de habia entendido en el proyecto de dicha ley, y asimismo que se en Vaíjncfa ,'pédttia,…</t>
  </si>
  <si>
    <t>Pasquier</t>
  </si>
  <si>
    <t>…:cz Amonio G. Se ha publicado aquí un folleto reducido á lo siguiente: París op Ir Julio. Una palabra á Mr. Ang-J. D. El Constitucional publica el párrafo siguiente: •&gt;, Cuando el ministro Pasquier decía en ia tribuna nacional que la » Aunque las calumnias, sarcasmos y simpleza; que algunos perio censura seria parcial , quizá estaba bien lejos de imaginar hasta que pun distas se complacen en publicar diariamente contra los liberales na to se envilecería…</t>
  </si>
  <si>
    <t>Pasquiér</t>
  </si>
  <si>
    <t>…que se adoptase una quilidad en los departamentos de la parte oriental de Francia. Acabo nueva escarapela, fuesen cuales fuesen sus coloras, dijo que veia en to de dirigir a! Sr. barón Pasquiér, ministro de Negocios extrángeros , las dos los sombreros una escarapela negra, que era la inglesa, y no I*e pa insignias de la dignidad "¿engranecruz,^invitándole á que os las remita. recía correspondiente que los portugueses llevasen, una escarapela ex si T…</t>
  </si>
  <si>
    <t>Pastiau, Josefa</t>
  </si>
  <si>
    <t>Josefa Pastiau</t>
  </si>
  <si>
    <t>…ducación en el se adelante sean separados de sus empleos.se añada, con justo motivo que minario de Vergara. deberá expresarse en la orden de su separaciónLa comisión la adop El de Doña Josefa Pastiau, viuda del mayordomo; deb , hospital de taba entendiéndose solamente respecto de los empleados actuales. Apro la plaza de Alhucemas, solicitando la ración’de presidio de 68 mara bado. vedises diarios. " Del Sr. Ezpeleta al art. 77: » Que se añada al filial es…</t>
  </si>
  <si>
    <t>Pastoret, Francisco</t>
  </si>
  <si>
    <t>Francisco Pastoret</t>
  </si>
  <si>
    <t>…o de procedimien juez de primera instancia de la misma. Lérida D. Ramón Hostalrich, tos, después de haber examinado el expediente promovido por ios de abogado de ia misma. Cervera D. Francisco Pastoret, hacendado de la fensores de los reos comprendidos en ia causa formada por las ocurren misma. Tarragona D. Josef Ixant y Pí, comerciante de Tarragona. cias de 10 de Marzo de 1820 en Cádiz , acerca del modo con que ha D. Joaquín Andreu , abogado y escribano de…</t>
  </si>
  <si>
    <t>Pat</t>
  </si>
  <si>
    <t>…icencia entraron en la sala consistorial los dos comandantes de Ja mi males , cesaba en todas sus funciones con el mayor gusto , consideran licia voluntaria D. Francisco dei Rey y D. Pat ic o Domínguez, do este pequeño sacrificio en muy poco .cuando de él resulte ia paz y acompañados de algunos oficiales é individuos de la misma milicia vo tranquilidad, tanto de los que lo han solicitado, como de este heroico luntaria, tanto de infantería y c…</t>
  </si>
  <si>
    <t>Paterna, Josef Rodríguez</t>
  </si>
  <si>
    <t>Josef Rodríguez Paterna</t>
  </si>
  <si>
    <t>…no ha entrado en este puerto ningún buque giiego procedente de la tin Ramírez de la Piscina , abad de la coiegiai de Alfaro. Mosca ni del Archipiélago. Por la provincia de Murcia. D. Josef Rodríguez Paterna ; D. Juan __El príncipe Demetrio ípsilanti dejó el mando de la Motea , porque Alix; D. Amonio Perez de Meca; D. Bonifacio Sotos; D. Ramón sus tropas insubordinadas degollaron á varios prisioneros turcos , á quie Reille. Suplentes. D. Bartolomé Cei Castiiio; D…</t>
  </si>
  <si>
    <t>Patino.continuará', Joseí</t>
  </si>
  <si>
    <t>Joseí Patino.continuará'</t>
  </si>
  <si>
    <t>…mineralogía., con la arquitectura D. Alonso de Ercilla, D. Pedro Calderón d‘ la Barca; Aligueí civil y el dibujo; y por último, la topografía y geodesia y de Cervantes Saavedra y D. Joseí Patino.continuará') SUPLEMENTO</t>
  </si>
  <si>
    <t>Patri</t>
  </si>
  <si>
    <t>…no, P&gt;ahamonde, Novoi, Manescau , Casasecn , Lázaro, instrumentos de la ruina de la libertad. Si el amor á la patria les ins Cabarcas, Cristo Conde, Camus Herrera, Manían, López ( D. Patri pira sus mas fervorosos deseos; si en ellos arde el fuego del patriotis cio), Moragues , Muñoz, Zorraquin, Alaman, Ayestaran , Allende, mo del modo mas intenso, si su adhesión á la Constitución y al Rey Cepero , Palarea y Gil de Linares. ■ constitucional está…</t>
  </si>
  <si>
    <t>Patricio</t>
  </si>
  <si>
    <t>…tiempo, por haberse detenido el buque en los de la comisión, acerca del reemplazo, se mandó volver á ella. dar carena fuera de España. Entraron los Sres. diputados Puget y. López (D. Patricio) á jurar, Se mandó pasar á la comisión Especial que se nombró para atender y tomaron asiento. a los desgraciados sucesos de Alcoy una exposición del ayuntamien Se mandó pasar á.Ia comisión el art. 24, que decía asi: » Excepto constitucional de Benillova, en i…</t>
  </si>
  <si>
    <t>…con respecto al decreto de gresos de los caudales públicos, y su distribución circunstanciada.” i-1 de Octubre del año próximo pisado , que dice en su artículo 23: • El Sr. López (D. Patricio) hizo otra indicación para que la comi- » Todos los bienes muebles é inmuebles de los monasterios que se su tion de Ultramar expusiese á la mayor brevedad su dictamen en orden priman ahora, ó que.se supriman eii lo sucesivo, en virtud de los aral establecimie…</t>
  </si>
  <si>
    <t>…tana, Pajarea, Solano!, Camus y Herrera, Castrillo, Gar para los juzgados de primera instancia de la provincia de Aragón á los cía ( D. Juan Justo), Michelena, Ayeítarán-, López f’D. Patricio), sugetos siguientes: para el de Almunia á D -Jaime Marin : para el de Puget, Fagoaga , Ramos Arispe, Magariños, Lasanta, Moragues, Sil- Belchite á D. Tomas Bernardo Castillon: para el de Fraga á D Martin ves, Fondevila, Moreno, Couto, Amati , Castro, Cepeda,…</t>
  </si>
  <si>
    <t>…secretarios que dudas V consultas. fueron del Despacho cierta suma , donde se dice Z-orez /-&gt;. Marcial, ,,De Real orden ¡o traslado á V. para su inteligencia y cumpli léase Lurez D. Patricio., pues este último fue solamente el que la fir miento. Madrid 22 de Abril de 2821.” mó y no el primero. SUPLEMENTO</t>
  </si>
  <si>
    <t>…de Casas de Moneda presentase el proyecto de este ramo. motivos que tuvo S. M. para cooperar con el Austria á la destrucción El Sr. presidente nombró á los Sres. Michelena, López (D. Patricio), del sistema constitucional en Ñapóles y en el Piamonte, primero mo Mora, Murguía, Arnedo, Martinez (D. Javier) y Ramor.et para la ralmente, y después poniendo en movimiento un numeroso egército. comisión que se ha de unir A la de organización de Fuerza arma…</t>
  </si>
  <si>
    <t>…servaciones acerca de las mejoras y enseñanza de esta. Se leyó la siguiente indicación de los Sres. Ramírez y López (jDoix Se concedió el permiso que solicitaba D. Ramón Carvajal, juez Patricio): » Pedimos á las Cortes que mientras se establecen en las ca electo de primera instancia de uno de los partidos de Cataluña, para pitales de cada provincia de Nueva-España las universidades que se se— que pueda prestar su juramento en la audiencia territoria…</t>
  </si>
  <si>
    <t>…s en América , una en la Septen pez. Constante, Hermosüla» Pierola , Moya, Moreno (D. Josef Ma trional y dos en la Meridional: ¡a primera se compondrá de los diputa riano), López (D. Patricio), García Sosa, Sanjuan , conde de Alcados de toda la Nueva-España, inclusas las provincias internas v Goa- raz , Lallave (D. Pablo) y Ramos Arispe. temala: ias dos secciones de la América meridional comprenderán una Varios señores diputados pidieron la palabr…</t>
  </si>
  <si>
    <t>…ndidas en el art. 5.0 del decreto de 9 de Noviembre de 18 l 2 ; y en sesión debia decretarse su extinción, siendo esta el único bien que re cuanto á la de los Sres. Puchez, López (D. Patricio) y Couto, entien sultarla de tal calamidad. . de que ya están comprendidas en el art. 5,0</t>
  </si>
  <si>
    <t>…ha hecho de ellas, pues las prerogativas Muñoz Arroyo, Cosío, Ochoa, Zorraquin, Acuña, Paul, Vadillo, del Trono las defendemos del mismo modo que las libertades públicas; López £ D. Patricio. ) ,, pero no defenderemos los abusos de los agentes del podercometidos en El Sr. presidente mandó que se leyese él'art. 68 del reglamento nombre de lasrtiismas prerogativas. Asi pues es imposible dar una re interior, que trata del tiempo que deben durar lifi…</t>
  </si>
  <si>
    <t>…tán levantando la cabeza, amenazando ver , Serrallach, Rovira, Vadillo, Cosío, Ramírez (D. Miguel), Ló á la causa de la Nación, /atentando contra la libertad , que tan glorio pez (D. Patricio) , Ayestarán , Puchet y Zapata. samente ha recobrado; y por lo mismo es necesario que el Gobierno Los Sres. que votaron contra el dictamen fueron los siguientes: Gil se constituya con todo el vigor y energía necesaria para atajar sus ma de Linares , Alamin, C…</t>
  </si>
  <si>
    <t>…Arroyo, Fer- 14.® en 16 de Diciembre........................... 1». ' nandez , Camus Herrera, Gutiérrez Acuña, Zorraquin , Guerra (Don Josef Basilio), Paul, Vadillo, Cosío, López (D. Patricio) y Apestarán. ' ' ANUNCIOS. &lt; El Sr. presidente dijo que mañana continuaría la discusión sobre el , A D. Francisco de Rosas y Argomado pertenecen 2259 mrs. de lo* código penal, y levantó la sesión á las ocho y media. 45o® del juro, que en millones de Sevilla…</t>
  </si>
  <si>
    <t>Pau</t>
  </si>
  <si>
    <t>…del Sr. conde de Toreno relativa á que la comi aquel que tomase dinero para su distribución ó manejo; y concluyó di sión que debe nombrarse á consecuencia de las indicaciones del Sr. Pau ciendo que era imposible dejarse de aprobar la indicación que se habia se componga de diputados de aquellas provincias y de Europa, y que leido. de acuerdo con el Gobierno propongan á las Cortes lo que consideren Después de una ligera discusión se aprobó la p…</t>
  </si>
  <si>
    <t>Pau, Felipe</t>
  </si>
  <si>
    <t>Felipe Pau</t>
  </si>
  <si>
    <t>…las alguna noticia. ra acerca de la ley constitutiva del egército. hl Sr. secretario de la Gobernación dijo que acababa de dar cuenta A la de Poderes los presentados por los Sres. D. Felipe Pau, dipu al Rey de los siguientes partes; los que habia visto S. M. con la ma tado electo por la provincia de Caracas, y los de D. Juan Estéban yor satisfacción, y le había mandado Los participase inmediatamente á Villa, que lo es por Goatemala. las Cortes para…</t>
  </si>
  <si>
    <t>Pau, Felipe Fermín</t>
  </si>
  <si>
    <t>Felipe Fermín Pau</t>
  </si>
  <si>
    <t>…a , corporación que merece la confianza Milla , diputado electo por la provincia de Honduras, en Goatemala, de la provincia siendo elegida por el voto de todos los ciudadanos de y D. Felipe Fermín Pau, que lo es por la de Caracas. ella, que fue la que dijo que el intendente de Soria había quitado dich? Se mandó pasar á la comisión especial de Hacienda una indicación cordon. del Sr. Serrallach , relativa á que la comisión de Hacienda, que entien Que creia i…</t>
  </si>
  <si>
    <t>Pauguiente, Franeisco de</t>
  </si>
  <si>
    <t>Franeisco de Pauguiente</t>
  </si>
  <si>
    <t>…á D. Cristóbal Izquierdo de los Santos; para Ja de Marbella ¿ üabia tenido el subinspector de cabullería; lo-cual es una prueba consi D. Juan Florencio Guzmnn ; para la de Loja a D. Franeisco de Pauguiente de que el rég'nnen de este grande establecimiento, llamado egér la. Silva:; p3ra la de . Archidona á D. Antonio Pimentel Valeñzue• la de cito, no se puede fiar á un hombre solo , y por está razón la comisión la; para la de Antequera á D. Martin.de'Pineda y La…</t>
  </si>
  <si>
    <t>Pauicio</t>
  </si>
  <si>
    <t>…ae discuta el dictamen que Pierola 'Camu^llerrera , Mendez , Desprat, Puigblanch , Q--i-'::-a, presenta cerrado , y que se le califique de' «nyiiib,.f'de. poco ¡franca á García £ D. Pauicio ), López, Navarro £ D. Andrés ) y Solana, y se la comisión. Si no se ha visto lo que contijjjgjjh elÜiatamen , ¿por qué *■ extendió en los términos siguientes: &gt;» Pedimos que para la Instrucción ¡ se le llama ominoso &gt; y se le compara con la caja de Panáor|l…</t>
  </si>
  <si>
    <t>Paul</t>
  </si>
  <si>
    <t>…dría día ser mas, y para convencerse no era necesario otra cosa mas que su cumplir con esta obligación. , . simple lectura; que era de muy poco fundamento lo que habia dicho el El Sr. Paul se opuso á lo que se indicaba en los primero y quinto Sr. Cepero en orden á qué aunque fuese ¿1 verdadero sentido de la ley casos del art. i.°, manifestando que era preciso conocer lo que son las como la expresaba.el Sr. Moreno Guerra, debia tenerse por revoc…</t>
  </si>
  <si>
    <t>…a formación de estas compañías se esco de Toreno para el examen de las proposiciones de dicho Sr. diputado y giesen los sugetos de mayor talla para la de granaderos y dé medbt del Sr. Paul las tres indicaciones siguientes del Sr. Magariños: para las de cazadores; y que las dudas que puedan ocurrir en laLortnit.* « Que se diga al secretario del despacho de Estado exiia enca cion , sean decididas por la autoridad superior local. Aprobado. recidam…</t>
  </si>
  <si>
    <t>…voladores de todas clases. Finalmente, por chas circunstancias que podrían ocurrir en viages tan dilatados. no tener el pueblo casa capaz para admitir á tantos jóvenes como se El Sr. Paul manifestó que aquellas provincias de Ultramar que íio habian reunido, bailaron estos en la plaza hasta la mañana. En ambos hubiesen podido elegir sus representantes por circunstancias particula dias y noches reinó el mayor arden , unión y alearla, sin que hub…</t>
  </si>
  <si>
    <t>…ntinuó) la revolución de América no puede compa capital en Logroño. Se mandó hacer inserción en el acta. rarse con la de otros países, porque sigue una marcha r.ucya y distinta El Sr. Paul; Cuando un diputado americano considera á los repre de toiias las revoluciones, y por lo mismo el ministróle Ultramar hi sentantes de la Península trabajando con laudable é infatigable zelo; debido activar el despacho de este asunto, desplegando lodos los me…</t>
  </si>
  <si>
    <t>…ga, .Ro aprobarse en su totalidad el. citado proyecto que habiil presentado la mero Alpuente y Ramirez. comisión. El Sr. Calatrava dijo: La comisión del Código penal conoce muy Ei Sr. Paul manifestó que el hombre que se emborrachaba se redu bien que el proyecto que ha presentado á las Cortes contiene algunas cía á otra clase distinta de los demas hombres, y que las penas debían imperfecciones por la circunstancia de haberse visto precisada á.li…</t>
  </si>
  <si>
    <t>…ir acompañada de la religión y de la humanidad. Se continuó la discusión sebre el proyecto del código penal. &gt;1 Señor : La Francia saluda siempre con un indecible júbilo la ban El Sr. Paul hizo varias reflexionas para demostrar que la deSnnriori dera de su Rey, saliendo de sus puertos con la dignidad que le corres-, que la comisión daba del delito no era ine'xacta, como se había supues ponde, ¡y. ¡os mares de Levante han saludado actualmente su…</t>
  </si>
  <si>
    <t>…nante y el Sr. Gil de Linares creen que deben ponerse no me pare Se aprobó el 6.a sin discusión , y se leyó en seguida el 7“ cen necesarias , por la misma razón que ha indicado el Sr. Paul. El Sr. Novoa dijo que era muy extraño que.el Sr. Bahamonde se El Sr. Rodríguez de Ledestna: Voy á hacer una observación reshubiese opuesto á este artículo, sabiendo que era tan análogo á losinte- .pecto de este artículo sin que me oponga á él. Me parece que…</t>
  </si>
  <si>
    <t>…especto de suminis pa ó del delito en el acto de cometerlo,suministran ó proporcionan es trar y proporcionar. pontáneamente las armas, instrumentos ó medios para egecutar'o, sa El Sr. Paul; El argumento principal del Sr. Linares es relativo á biendo que han de servir para este fin. que no se debe decir auxiliadores , fautores , cómplices, receptadores y 3“ -Los que á sabiendas y espontáneamente por sus discursos, su¿ encubridores de culpa; y pa…</t>
  </si>
  <si>
    <t>…ón de la primera parte del que el Rey no ha querido recibir á ia diputación de la Camara de los artículo. Diputados, nombrada para presentarle la res, uesta al discurso de aper El Sr. Paul dijo que la comisión se convenia en rebajar la pena tura , diciendo que solamente recibiría al efecto al presidente y á los de los receptadores y encubridores, de una cuarta parte á la mitad ds secretarios, y no á la diputación, como se ha practicado hasta aq…</t>
  </si>
  <si>
    <t>…sta causa. Remrtufa a latrava , Vaddlo y PuigManch , se suspendió la discusión. la audiencia en 1 1 de Agosto de iSir : estuvo tratando de que ñ sriSe levó el susto particular del Sr. Paul , contrario í la resolución de coleetor de anualidades exhibiese el despacho de comisión -m ío 3 uro las Corte», por la cual no se votó por partes el dictamen de la comisión de los procesados para examinar si logró el uso ó pase de! ¡me com acerca «le la repr…</t>
  </si>
  <si>
    <t>Paul, Catalina Josefa de</t>
  </si>
  <si>
    <t>Catalina Josefa de Paul</t>
  </si>
  <si>
    <t>…amente no veia los gran D.. Andrés Vilches , de Cádiz; D. Antonio Jabat, de id; D. An des inconvenientes que se habian indicado para que no se aprobase el tonio Gallego Valcarcel; Doña Catalina Josefa de Paul , de Cádiz: proyecto que se discutía. el duque de S. Carlos; D. Henrique Croese, de Anisterdám; D. Fran El Sr. Moscoso impugnó el dictamen de la comisión en general, y cisco Joaquín Inarte, de Pamplona-, D. Francisco de Gorbea y sobri manifestó que las Cortes…</t>
  </si>
  <si>
    <t>Paul, Constante</t>
  </si>
  <si>
    <t>Constante Paul</t>
  </si>
  <si>
    <t>…Marcos 'Servant, tan conocido por su patriotismo como por su valor, demos asegurarles que hasta ahora no hay nada que pueda dar lugar á' logró con el auxilio del bizarro ayudante general Constante Paul con-- semejantés-inquietudes. “ tener a los sediciosos con su presencia v cor. las medidas que tomó. Se sabe por una carta de Cabo-Francas de 9 de Marzo que han sido' El coronel Paulino murió en el hospital-de resultas de.sus heridas; fusilados cuatro gefes d…</t>
  </si>
  <si>
    <t>Paul, Felipe Ferrnin</t>
  </si>
  <si>
    <t>Felipe Ferrnin Paul</t>
  </si>
  <si>
    <t>…a dirección de las operaciones de la guerra. lez Vallejo, diputado por la provincia de Soria; gara vice-presidente Art. 18. Instrucción á fondo de la táctica de su arma, conoci al Sr. D. Felipe Ferrnin Paul, diputado por la de Caracas; y para se mientos generales de las otras; y en la de artillería saber el servicio, cretarios á los infrascritos, que lo somos respectivamente, el primero cargas, alcances , efectos y uso de ella en los distintos casos de ia guerra…</t>
  </si>
  <si>
    <t>Paula, Francisco</t>
  </si>
  <si>
    <t>Francisco Paula</t>
  </si>
  <si>
    <t>…cura párroco de Grup; D. Ramón Salvató de Esteve , abogado; Don islamismo, añadiendo que no puede salvaise sino acudiendo en su de Magín Tdrner, fabricante de tejidos de algndon ; D. Francisco Paula fensa lodos los musulmanes ; y por último añade: « Pretenden que si Rosct y Babi, comerciante; D. Josef Melchor Prat, redactor del Día-</t>
  </si>
  <si>
    <t>Paula, Francisco de</t>
  </si>
  <si>
    <t>Francisco de Paula</t>
  </si>
  <si>
    <t>…. . .. . tro del sol he h.ello Jas reducciones según la teoría de Mr. Laplace, Gramática razonada musical compuesta en forma de-diálogos para ios:principiantes, dedicada al Sermo. Sr. D. Francisco de Paula, Infan empleando —■ de aplanamiento de la tierra. te de España: por el brigadier D. Federico Moretti: un ctiarjerno en 8.° A las 1 2b 32' 00", cuenta civil , tiempo medio en el meridiano de prolongado, con nueve láminas de música , grabadas por el profesor la…</t>
  </si>
  <si>
    <t>Paulajiscudero, Francisco de</t>
  </si>
  <si>
    <t>Francisco de Paulajiscudero</t>
  </si>
  <si>
    <t>…o pudiendo ha y lo comunicareis á quien corresponda para su cumplimiento. F.n Pala ber Constitución sin Rey, ni Rey sin Constitución , y que S. M. nun cio á 4 de Mayo de 1821. = A D. Francisco de Paulajiscudero.” ca debió haber tomado las medidas que adoptó antes de ayer, porque Circular del ministerio de ¡a Guerra. nada tiene que temer ni del pueblo armado ni del desarmado. A consecuencia de la Real orden circular de 17 de Agosto del año El Sr. Golfín, conformándos…</t>
  </si>
  <si>
    <t>Paulino</t>
  </si>
  <si>
    <t>…eneral Magny consiguió apa deben pagar por razón de los referidos artículos que salgan de Varsovia ciguarla con sus medidas. para .el interior durante los dias de estas ferias. El coronel Paulino trató de sobornar con el dinero que había ga Los comerciantes de Gibraltar creen podrán hacer grandes especu nado al juego ó de»otro modo al regimiento que mandaba, lo que, casi laciones a consecuencia del sistema prohibitivo que las Cortes de Espa llegó á co…</t>
  </si>
  <si>
    <t>Pauló, Tomas Rebert y</t>
  </si>
  <si>
    <t>Tomas Rebert y Pauló</t>
  </si>
  <si>
    <t>…ra instan lahorra á D. Francisco Fabian: para el de A a reda á D Manuel Mateo cia , en los autos de testamentaría de D. Juan Rodrrguez, radicados en Gentico; y para el de Arnedo á D. Tomas Rebert y Pauló. la escribanía de D. Francisco de Paula Ribera y Lozano, se convoca á todas y cualesqiera personas que se contemplen con derecho que expo Cumpliendo como director del Fomento general del reino con lo ner á los bienes de dicha testamenta! ía para que lo deduzc…</t>
  </si>
  <si>
    <t>Pavedano, Francisco Romo</t>
  </si>
  <si>
    <t>Francisco Romo Pavedano</t>
  </si>
  <si>
    <t>…ndo que quedasen agregados á aquella provincia el pueblo de Castro earral D- Manuel Laureano Esp nel. Gitafe O. Juan ürionagoena. Urdíales y otros varios de la misma. Navalcarncro D. Francisco Romo Pavedano. Fuente el Saz D. Feli También se pasó á dicha comisión un oficio del gefe político de Ca pe Hiniesta. Valdemorillo E&gt;. Bernardo González Aiüon. Alcalá Don narias , haciendo varias reflexiones sobre ia capitalidad de aquellas islas. Josef Antonio Rayón. A la…</t>
  </si>
  <si>
    <t>Pavón, Bernardo</t>
  </si>
  <si>
    <t>Bernardo Pavón</t>
  </si>
  <si>
    <t>…ido S. M. á tí, inmortal héroe, piedra angular de ese soberbio edifi nombrar para el obispado de Comayagua ú Honduras'i cio, de esa Constitución sagrada, que empieza á erigirse so D. Bernardo Pavón , chantre de. la santa metropolitana bre la sabiduría de un pueblo libre! ¡Gloria á tí perpetua iglesia de Goatemala.</t>
  </si>
  <si>
    <t>Payan, Elias Izquierdo</t>
  </si>
  <si>
    <t>Elias Izquierdo Payan</t>
  </si>
  <si>
    <t>…uló no fue la parará1 el perjuicio que haya lugar. Por providencia del tribunal del consulado de Cádiz, y es de libertad, á lo menos es indudable que este fije, su pri cribanía de D. Elias Izquierdo Payan , se llama y emplaza á to mer sentimiento y su primer anhelo. dos lo» acreedores que se .conceptúen con derecho á los bienes El déspota mas feroz no es otra cosa que un hombre/ de D. Antonio Manuel de Oviedo, de aquella vecindad , para dominado del ansia desm…</t>
  </si>
  <si>
    <t>Payan, Elias Izquierdo y</t>
  </si>
  <si>
    <t>Elias Izquierdo y Payan</t>
  </si>
  <si>
    <t>…en fórmulas simétricás y muy Por providencia del tribunal del consulado nacional de co curiosas todas las cuestiones relativas á cinco puntos cua mercio de Cádiz , refrendada por D. Elias Izquierdo y Payan, lesquiera tomados en el espacio., escribano honorario-mayor &amp;c., dictada en 15 del pasado en au 'Teoría de los números. Había suprimido Fermat la tos núm. 333 .de 1797, se manda citar y'emplazará' los acreedo demostración de muchos teoremas importan tés del…</t>
  </si>
  <si>
    <t>Paz, Bartolomé</t>
  </si>
  <si>
    <t>Bartolomé Paz</t>
  </si>
  <si>
    <t>…as cantidades en que para lo mismo hayan contribui Alas comisiones de Industria y Comercio, con urgencia, se pasó una do aquellas provincias en los dos años últimos. exposición de D. Bartolomé Paz, en la que pedia se le auxiliase para Se leyeron las siguientes proposiciones de los Sres. Couto y Arispe. remontar una fábrica de lanas. 1. a Habrá en México una sección de Cortes compuesta de los di A la de Hacienda (con urgencia ) una exposición del consul…</t>
  </si>
  <si>
    <t>Paz, Francisco Cándido de</t>
  </si>
  <si>
    <t>Francisco Cándido de Paz</t>
  </si>
  <si>
    <t>…ia orden al alcalde, va á D. Manuel de 'Villafañe,; y para una de magistrado, de jas de este lo hiciese saber al ayuntamiento respectivo. Quedó aprobado este claradas interinas, á D. Francisco Cándido de Paz. artículo. Asimismo ha tenido á bien nombrar para plazas de magistratura, Art. 58. ” La repartición entre los propietarios y contribuyentes se en la audiencia de Galicia, á D. Matías Herrero Prieto, D. Diego hará en cada pueblo por repartidores.” Alcalá Gal ¡…</t>
  </si>
  <si>
    <t>Pcrez, Manuel</t>
  </si>
  <si>
    <t>Manuel Pcrez</t>
  </si>
  <si>
    <t>…ropone la comisión tampoco es análogo á su mérito, por la guerra de ia independencia- que recae sobre aquella pobre patria que ellos han querido hacer feliz. Se concedió permiso á D. Manuel Pcrez de los Rbs y á D. Mel R ■estiba pues de aquí, que ni ¡as Cortes deben pensar en unos premios chor Cortés y Campos, jueces electas de primera instancia en ia pro como estos que degradan el iionor de los patriotas, ni aunque pensasen vincia de Granada, para pre…</t>
  </si>
  <si>
    <t>Pe</t>
  </si>
  <si>
    <t>…dos expedientes de la junta nacional del Crédito pú misiones ordinarias de manera que un diputado no pertenezca sirio blico sobre que se perdone la tercera parte de lo que adeudan D. Pe á una ó á dos cuando mas, si la necesidad lo exigiere, á fin de qtie dro Alonso y D. Josef Benito, por arriendo de diezmos de S. Bar sea menos incómodo y mas expedito el despacho de los negocios. Esta tolomé de Pontevedra. disposición no se entenderá con las…</t>
  </si>
  <si>
    <t>…eron con el mayor denuedo; pero fue superior el reunido para deliberar sobre las criticas circunstancias en que se halla número al valor de las nuestros, y el paso fue vencido. El general Pe la causa pública. Ha oido al mismo tiempo á los diputados del cuerpo pé trasladó su cuartel general á Solmona, y desde allí el 11 á Casteldecurional (ayuntamiento) de esta ciudad, como tan interesado en el disangro, en donde intenta rehacer su egército , y pr…</t>
  </si>
  <si>
    <t>…ción, las cuales sometía á la de Cádiz, atf de Abril. cisión de las Cones para que resolviesen lo que creyesen mas acertado. Ha entrado en este puerto la goleta española Centella, capitán D. Pe La primera y segunda estaban reducidas á que las Cortes pidiesen al dro Taboada, de la Guaira, en 31 dias, con cacao, añil y café: dice salió Gobierno todos los antecedentes relativos á la celebración del armis con otras embarcaciones bajo convoy de la corbeta d…</t>
  </si>
  <si>
    <t>1046</t>
  </si>
  <si>
    <t>…de Portugal, con una carta de su Rey, en la que le par El marques de Londonderry contestó á Mr. Hutchinson en los tér ticipaba el nacimiento del nuevo Príncipe,, hijo de S. A. R., D. Pe minos siguientes: dro de Alcántara, Principe Real de Portugal. Lo mismo hizo el barón m Puedo asegurar al honorable miembro que acaba de hablar haber de Pappenheím, ministro plenipotenciario del gran duque deHesse, par prestado una profunda atención á todo cu…</t>
  </si>
  <si>
    <t>1828</t>
  </si>
  <si>
    <t>…actividad que nuestro gefe político emplea en cuanto de la Puerta, y no habiendo tenido jamas otras prerogativas que las de interesa al bien público, no menos que el esmero que el secretario Pe la esclavitud , han contestado á los diputados turcos del modo siguiente: lona , manifiesta en no retrasar cosa alguna , y muy particularmente de »Id á decir al bajá de Salónica que antes de escuchar sus proposiciones las que son del resorte déla causa públic…</t>
  </si>
  <si>
    <t>Pé, Cándido</t>
  </si>
  <si>
    <t>Cándido Pé</t>
  </si>
  <si>
    <t>…a, palabra. .a. . .. ■ - ' ciones de los Ge fes políticos. . Si el proyecto de la comisión varía en algo el estado actual dé las co Al Gobierno se mandaron pasar una exposición de D. Cándido Pé sas, es en mal y no en bien , porque el peligro se. aumenta, en el hecho rez, sargento 2.0 del primer batallón de milicias voluntarias de ésta de, renunciar al derecho de .opugnarle. .Hoy podéis .manifestar io que corte, exponiendo que por haber faltado un di…</t>
  </si>
  <si>
    <t>Pé, Gabriel</t>
  </si>
  <si>
    <t>Gabriel Pé</t>
  </si>
  <si>
    <t>…Pascual.zrzD. Mariano Ferrcr.zzD. Pedro Milian.zz D. Manuel Ma para las atenciones de Ja armada; y i.u El Gobierno presentará los re ría.zrD. Mariano Andreo.zzD. Antonio Martin. = D. Gabriel Pé glamentos para la organización particular de este cuerpo, asi comó.parez, zz D. Mariano I’uyol.zzD. Josef Rubia. zzD. Julián Irribarren.=; ra su instrucción y régimen económico.” Después de haberlos, leido el D. Joaquín Anaut.zzD. Antonio Permisan.zzD. Eusebi…</t>
  </si>
  <si>
    <t>Pe, Joaquín</t>
  </si>
  <si>
    <t>Joaquín Pe</t>
  </si>
  <si>
    <t>…es. conde de;.Penafiel&gt; conde de S'ih Payo* . '¡VARIEDADES. " ‘ ' obispo de Viseo, D..Juan de Acuita Sotomayor, D. Josef María de Antas Pereira, D. Juan Antonio Fexreira de Moura, D. Joaquín Pe -¿Aviso á los labradores , fabricantes y otros artistas españole: que nece dro-Gómez de Oliveira y D. Josef de Mello Freire. siten sisar de una porción considerable de agua. ■En. virtud de una orden de ia misma fecha debian aprontarse a la Ha llegado á Sevill…</t>
  </si>
  <si>
    <t>Pe, Josef Francisco</t>
  </si>
  <si>
    <t>Josef Francisco Pe</t>
  </si>
  <si>
    <t>…de la Mata , en el mismo arte de curar, y de la exposición que sobre este mismo asunto término, de cabida de 700 fanegas y 10 celemines de di ha hecho al Congreso nacional el Dr. D. Josef Francisco Pe ferentes clases, en 190,950 rs. rl ral ves id un caso de menstruación precoz: 3.0 otro de un defecto de desarrollo en la matriz de una jóven: qd observa Unas suertes de tierra conocidas con los nombres de ción sobre una tisis pulmonar: 5.0 otra sobre una frac…</t>
  </si>
  <si>
    <t>Pecasas, Luis</t>
  </si>
  <si>
    <t>Luis Pecasas</t>
  </si>
  <si>
    <t>…ecinos de la villa de Uce- cuenta mañana del asunto. da contra el alcalde constitucional de la misma, por haber allanado sus La comisión de Hacienda , en vista de la exposición de D. Luis Pecasas, y aun el convento de religiosos franciscos del mismo pueblo. reira de la G tardía, oficial primero mas antiguo de la tesorería de A 1a referida comisión otra de Antonio Martin, vecino y estan correos, sobre que se le reponga en el egercicio de su destino, de…</t>
  </si>
  <si>
    <t>Pedad</t>
  </si>
  <si>
    <t>…festó que se leerían algunas indicaciones he ■ partido, con el tiempo podrían constituirse en una especie de autori chas por varios Sres. diputados, y-en su virtud se levó una del Sr. Pedad; por lo mismo desearía que se las diese un nombre que denotara drazas , concebida en estos términos: •; En virtud de ocuparse una co su-objeto principal, y que no tuvieran ninguna consideración política, misión en fijar la suerte do las Américas españolas , p…</t>
  </si>
  <si>
    <t>PedrazarDon, Manué.l Gómez</t>
  </si>
  <si>
    <t>Manué.l Gómez PedrazarDon</t>
  </si>
  <si>
    <t>…ue de ciano Castoreña., cura de Gacalótenango; licenciado ¡D. Josef Antonio cir á la: Andalucía que perezca cohio hasta aquí en su misma abun del Cristo y Conde; teniente coronel. D. Manué.l Gómez PedrazarDon dancia; que no tenga por donde ’extraer sus granos; que no tenga capi Tomas: MmE; Y. P* Josef Jpaqnin: Ayestarán, residenteen España: Su tales , y por consiguiente fábricas , ó lo que esló misino ¡que condenarla plentes • R* Andrés de Sabar.iegó, residente en…</t>
  </si>
  <si>
    <t>Pedrererta, Miguel</t>
  </si>
  <si>
    <t>Miguel Pedrererta</t>
  </si>
  <si>
    <t>…s no plaza á los endosantes de la letra ce que se trata, que lo son D. Manuel falrabar. tímidos incrédulos , y cada cual exponía su parecer; ni'tampoco Dacosta, de S. Juan de Luz; D. Miguel Pedrererta , la casa de Galarzay podían faltar personas á quienes de resultas del nuevo invento devoraba la Goicoechea y la deMiqueletorena hermanos, :1e Madrid , para que com envidia: hubo de consiguiente partidos y cabalas. Fuesepor loquequisie- parezcan á instruirse…</t>
  </si>
  <si>
    <t>Pedresa, Juan Lujido de</t>
  </si>
  <si>
    <t>Juan Lujido de Pedresa</t>
  </si>
  <si>
    <t>…ribano cartulario dentro del término de 30 dias, con referencia al manifiesto ú hoja á y de provincia de esta corte, á consecuencia de un despacho librado que correspondan. por el Sr. D. Juan Lujido de Pedresa, juez de primera instancia de la - 7.0 Los Gefes políticos é intendentes, los alcaldes constitucionales villa de Colmenar Viejo , en 4 del cómante mes y año, ante el escri y las demás autoridades, asi civiles como militares, velarán cuidadosa bano de su númer…</t>
  </si>
  <si>
    <t>Pedro</t>
  </si>
  <si>
    <t>…ción A Alfocea. Francisco [imenez Saavedra , ovni- tro contad» r de aquellas «A pesar de la grande distancia que mediaba entre los cajas nacionales: para ¡a de ,Vénda de Yucatán á D. Pedro ladrones y nosotros, de la proximidad A la noche y de lo Bollo . ministro contador de aquella? cajas nacionales: para escabi oso del camino, persuadido de que por los oportu la de Zacatecas A D. Josef Monter y Alarcon , ministro nos avisos que V. había dirigi…</t>
  </si>
  <si>
    <t>…Cortes lo tomen en consideración. justicia , y quería tratar á sus pueblo como verdadero padre de la Patria. Otra de I&gt;. Francisco Aguilar, vecino de Rute, provincia de Cór El Rey D. Pedro ei n quiso que el Sumo Pontífice ¡e nombrase Rey de doba, quejándose del apuntamiento de aquella-villa por haberle des Aragón, y en reconpensa declaró-et reino por f-edasarto de la Santa pojado de la plaza de médico titular, y de un terreno que poseía en la S…</t>
  </si>
  <si>
    <t>…las guarniciones délos estados he do por el Rey D. Enrique al año siguiente de haber muerto á su her reditarios del Austria, y que los reemplazaría con otros ig0 austríacos, mano D. Pedro, en cuyo tiempo no se mataban moros, porque hacia destinados a guarnecer tres fortalezas del Piamonte; pero que no habia 20 años que se les habia expelido de España, y que hacia 39 años que accedido la corte de Turin. se estaba redamando el título de adquisic…</t>
  </si>
  <si>
    <t>…or lino; y finalmente dos á favor ds estarse preparando en Rio-Janeiro una expedición para traer á Europa D. Diego Escandon , por la invención de una máquina hidro-neumáal Infante D. Pedro, como virey de Portugal. rico-mecáníca para elevar el agua á grandes alturas, y por haber inven En París continúan las Cámaras en sus tareas-, la del tribunal délos tado unos remos de mayor impulso que los comunes, y aplicables á Pares va adelantando en los p…</t>
  </si>
  <si>
    <t>…icos, hará desvanecer enteramente esta me Javier Quiroga en. el naufragio del bergantín Descubridor \ y otra de dida. Varios rumores se esparcen ya contra estas garantías; pero el lord D. Pedro. Layarria:, del comercio de Bilbao, para que se le paguen Castlereagh ha expuesto con mucha razón que los enemigos de ellas lo por tesorería.gcneral Sy zó pesos fuertes y 5 rs., procedentes de géneros eran también efectivamente de las.concesiones, y que por m…</t>
  </si>
  <si>
    <t>…las demas condiciones pueden acudir á casa del citado apoderado, ng Otra id. corral del Palomar, núm. 3 , en 32,012 rs. calle de las Fuentes,-núm. 3, cuarto 2.0, ó á la tienda de D. Pedro 114 Otra en el barrio nuevo de Triana, núm. 21, en 7098 rs. Serojy, donde se les franquearán los prospectos. 11 5 Otra id., núm. 19 , en 6569 rs. 116 Otra id., núm. 72, en 34,612 rs. " ANUNCIOS. . 117 Otra id., núms. 69 y 70 , en 64,766 rs. . En el juzgado de…</t>
  </si>
  <si>
    <t>…ional de Ubeda, para que se le admitan algunos cré de la misma , dispuso el comandante de armas que saliesen dos compa ditos contra el Estado, en pago de lo que adeuda ; y otra de D. Pedro ñías del 2/ ligero de Cataluña, al mando del capitán D. Fernando Nolasco Cieño , monge profeso del Escorial, pidiendo se le confieran Alvarez de Sotomayor, el cual, dirigiéndose por Villareal , logró algunas capellanías vacantes en el pueblo de su naturaleza,…</t>
  </si>
  <si>
    <t>…aris, en que se anunciaba que la sima alian taciones. za habia pedido la ocupación, de las plazas de Lila, Metz y otiasburgo A la de Infracciones de Constitución una exposición de D. Pedro con motivo del paso de un egército ruso por la Francia; pero tanto los Antonio Costa , vecino de un pueblo déla provincia de la Mancha, periodistas ingleses como los franceses de iodos ios partidos consideran quejándose del Gcfe político de aquella provincia…</t>
  </si>
  <si>
    <t>…ente que el art. i.° del proyecto de fieren. . decreto sobre la contribución territorial se podria extender en estos térEl de la segunda de Legislación, relativo á la solicitud de D. Pedro .minos: «Se establece una contr.bucion directa sobre las rentas y cá Bermidaúo para que se le conceda carta de ciudadano .español, en aten nones que producen ó deben producir los predios rústicos y urbanos ción á estar casado con española, tener un caudal de…</t>
  </si>
  <si>
    <t>…i’riiü cp.ic dan a deducirle ante dicho señor juez y citada escribanía, donde pendí apenas se puede salir de Roma sin riesgo. Las tropas de la Cabeza lá testamentaría del referido D. Pedro. de la Iglesia católica apostólica remana han cogido á cinco insurgentes, Viendo los impresores y libreros que se ocypan en impresiones furtivas y el tribunal de Ancona no ha dejado cosa alguna que desear al Padre y en la introducción y venta en el reino de o…</t>
  </si>
  <si>
    <t>…ndividuo encargado tes pueden mandar se le dé gratis. de hacerlo, porque nunca podremos olvidar que á los esforzados cam El de la ordinaria de Hacienda, relativo ¿ la solicitud de D. Pedro peones de la isla de León debe la patria el estar como se encuentra; Castellano, auditor honorario de guerra. La comisión opinaba que este pero debo manifestar que cuando se extendió este dictamen no se ha interesado no estaba comprendido en ei decreto sobre…</t>
  </si>
  <si>
    <t>…ería le habia dicho que Jos referidos 5S pesos pertene Se leyó por segunda vez. eL proyecto, de ley sobre organización da cían á un-clérigo francés paisano y amigo sayo, se vió el D. Pedro la fuerza armada. Dalhaste y Clavería en la necesidad para recibir el dinero, como en efec Se agregaron á la comisión; de Redacciqifc 4$ Alánceles los Señores to lo recibió, de hipotecar una casa, con la condición de que no se Murfi , Urruela, Murguí¡a, Renit…</t>
  </si>
  <si>
    <t>…cibir aquel grado : otra de D. Anastasia Cammañ, soli driguez , en la que manifestando lo mucho que habia sufrido por su citando dispensa de edad para recibirse de médico: otra de D. Pedro ffdh.sion al sistema constitucional, pedia se le proporcionase una coloca de la Cuesta, para que se le consideren como estudios en universidad ción. De los documentos que la acompañaban resultaba que este intere mayor los que ha hecho por espacio de 4 años en…</t>
  </si>
  <si>
    <t>…gar el Gobierno general y pitera administración vuestra obligación , y no la de las pasiones y- los partidos, habéis sofo de todo el reino del Brasil i mi muy amado y querido hi;o D. Pedro cado la discordia. Los laureles que se cogen en las victorias, derrotando de Alcántara ,• Príncipe Real del Reino-Unido de Portugal, Brasil y egércitos poderosos que tratan de oprimir la patria , no son mas loza Algarvcs , constituyéndole Regente y mi Lugar-t…</t>
  </si>
  <si>
    <t>…ardo, remitido por D. Lorenzo Diieñas, alcalde la han conseguido solo con una.” inayor de Alcira, en virtud de orden de la sala, en 3 de Marzo de 1817.' (2) En la comedia del Cafe D. Pedro coge el sombrero para irse, Preso en 3 de Marzo de 1817 por tres causas sobre hurto de miel y diciendo que no.puede ya sufrir tantos disparates. Lo_ mismo hizo Mr... cera, hurto de alfalfe, y conducta sospechosa, y otra á querella de en la sesión del g de Jul…</t>
  </si>
  <si>
    <t>…D, Demetrio Ortiz. = En la de Navarra á D. Juan 6961 pies cuadrados superficiales, tasada en 484, 579 rs. vn.; y la otra Antonio Ibarra.'ccrEn la de Galicia á D. Esteban Moyano , D. Pedro en la misma calle Ancha de S. Bernardo entre el núm. 2 , que hace Bermudez del Villar y D. Josef Alvarez Pestaña. =: En la de Sevilla á esquina y vuelve á la de la Garduña á la manz. 497, y está entre di D. Francisco Olavarrieta y á D. Eugenio de Larrnmbide.=…</t>
  </si>
  <si>
    <t>…ante que no tuviera á mucha de Viilafranca; á cuyo efecto deberán acudir á la contaduría del señor honra el matarlo. &lt;Es esto muy extraño? ■marques actual de este título, calle de D. Pedro , dentro del término Los griegos' de Zante y de Cefalónia se véngan de sus enemigos ide dos meses, contados desde r.° de Agosto, matándolos á puñaladas. Hay algunas islas en que bajo el aspecto físico Estando para concluirse-la.contrata de la provisión de ter…</t>
  </si>
  <si>
    <t>…, y por eso insisto en que sea un artículo constitucio PORTUGAL. nal, No quiero que en las edades venideras vuelvan á renacer aquellas máximas que prevalecieron en la Regencia del Sr. D. Pedro ti, de que Lisboa 10 de Agosta. » la política mas segura consiste en que sea una sola la religión , y estala « de nuestra santa Fé , porque sin ella mal podrá tener lealtad al Príncipe Sesión de Cortes del 6. quien ¡10 la tiene á Dios. Es un axioma político q…</t>
  </si>
  <si>
    <t>…s interesados en la testa mentaría común de los últimos duques de Alba; á cuyo efecto debe VARIEDADES. rán acudir á la contaduría del señor marques actual de Villafranca, calle de D. Pedro, dentro del término de ¿o dias, contados desde pri ECONOMIA lUBLICA. mero de Setiembre. Análisis d? la obra escrita en París por Mr. Adriano de Gasparin , in mota. En la gaceta de ayer, co!. 8.a, líneas 52, 57 y dg, donde dic* titulada: De las pequeñas posesi…</t>
  </si>
  <si>
    <t>…éría le había dicho que los referidos 5S) pesos pertene independencia fomentará los matrimonios, y dará un aumento desme cían á un clérigo francés paisano y amigo suyo, se vió ’el D. Pedro dido á la población; que á consecuencia de estas divisiones llegará á Dalhaste y Clavéría en la necesidad para recibir el dinero, como en efecser extremada la subdivisión de terrenos, y que cada partícula de ellos .to lo recibió, de hipotecar una casa, con la…</t>
  </si>
  <si>
    <t>…s para la vc-tacion de la primera ciase usarán Igualmente para k provincia de Valladolid: para Valladolid á d.e la fórmula siguiente: Los señores que se levántenlo aprueban, y los D. Pedro í.ezcauo; para Peúafiel á D. Juan García Barba; para Medi que queden sentados reprueban. El secretario que hubiere hecho Ja pre na deL Campo á D. Ramón Manzanares; para Olmedo á D. Esteban gunta publicará el resultado, si no tuviere duda alguna; mas si la hu…</t>
  </si>
  <si>
    <t>…o sorprendido en su ha terior de la iglesia de S. Felipe á expensas de los Sres. D. Josef Vi bitación por doS comisarios de policía austríaca, los cuales se han apo cente Durana y D. Pedro de la Puente, alcaldes constitucionales que derado de su caja, que han sellado, y de su correspondencia con los grie fueron de esta ciudad el año anterior , en memoria de haberse formado gos de Viena y de las provincias turcas confinantes con el imperio aus y…</t>
  </si>
  <si>
    <t>…les deLregimlento de caballería, voluntarios de Espa mas de aquella potencia con el de España, resultando quedar dividi ña ; D. Pablo Iglesias , de,.Madrid;• Sres. Paul, dé Cádiz; D. Pedro da ía Península en mayor número de provincias á proporción. Se opuso Ochoa, de id; D. Pedro de Lapuente, de id.; D. Valentin de Foroaasimismo 4 que se creasen cuatro clases de provincias ,'y manifestó que da, de Pamplona. ■ ; habia algunas que merecerían mas…</t>
  </si>
  <si>
    <t>…, y hr.cer franca D. Pedro Batüe, abogado de dicha villa. D. Juan B&amp;nach, co en el diario ó extracto que se habrá entregado a cada uno las reformas, merciante de Villanueva. Reus D. Pedro zXJcáutara de Aperia, co adiciones ó advertencias que estimen oportunas para fundar sus aleuamerciante. D. Juan Rincón, abogado de dicha v,Ua. Matará D, Juan tos , á cuya lectura asistirá precisamente el juez fiscal con su diario ó Baró de Sola, ev.-alcalde c…</t>
  </si>
  <si>
    <t>…Escolar y Noriega , presbítero; D. Juan Manuel Pió de dos querian mandar y nadie obedecer; y que no volverla sino bajo Arias, abogado; Di Manuel de Sierra, propiciarlo. Suplente. D. Pedro ciertas condiciones que le pusieran en estado de organizar los cuerpos, y Josef Villena. castigar á los que lo merecieran. Parece que ya han conocido los grie Por la de Vizcaya. D. N. Apoita Mallagaray , presbítero y abo gos de la Morea que la ausencia de dic…</t>
  </si>
  <si>
    <t>…vo de las últimas ocurrencias de Cá afió á todos los que juzguen tener derecho á la herencia del Excmo. Se diz, y la contestacíonde las mismas 4 V. M. : en aquel expresa V. M. ñor D. Pedro dé Alcántara Perez de Gnzmaii el Bueno, duque qué fue sus sentimientos-, a-fin de que se conserven ilesas, asi como las’líberta- de Medinasidonia , por el título de criados de su casa, para que legiti des públicas, las prerogativas de la corona; que son úna d…</t>
  </si>
  <si>
    <t>…n movimiento por parte de las do , vecino de Mi jas. tropas rusas mientras dure el invierno; pero se han acampado todos los Por hr provincia de Cádiz. D. Francisco Javier Isturiz; D. Pedro regimientos, y provisto de toda clase de municiones, de suerte que es Juan de Zulueta; D. Joaquín Abreu; D. Amonio Alcali Galiino» tán prontos para entrar en acción desde luego. Las fuerzas rusas reuni Suplente: D. Josef Resusta. ( Diario mercantil de Cádiz.'…</t>
  </si>
  <si>
    <t>…a uno de los mas fuertes; por cuya razón fue abolida en a.a La de trabajos perpetuos. Inglaterra, sin embargo que su código penal es de los mas duros que El Sr. Calatrava dijo que D. Pedro deN., D. Antonio Pacheco, las se conocen en Europa. audiencias de Sevilla, Cataluña y Madrid, y ia universidad de Grana El Sr. Calatrava dijo que se había objetado contra el artículo que da habían hecho observaciones contra este artículo; peí o que suplicaba…</t>
  </si>
  <si>
    <t>…isas, que se fugó-con otros dos ó tres presos de estas cárceles égemplo y estímulo á los que puedan hallarse en semejantes circuns habrá cosa de un mes., y-capitaneados por un tal D. Pedro , según se tancias. ha podido inquirir por algunas voces que ellos mismos han dado. Se han cambios en el dia 38 de Diciembre de z8sx. echado sobre la guardia del .principal, compuesta de cuatro hombres Londres...,........... y un cabo de milicias locales-r-ia…</t>
  </si>
  <si>
    <t>Pedro, Sérapio de</t>
  </si>
  <si>
    <t>Sérapio de Pedro</t>
  </si>
  <si>
    <t>…a publicación de esta memoria apenas guel Imaz y Arias de Saavedra ,D. Carlos López de Hoyo, podía concebirse como los griegos pudieron egecutsr las JD. Francisco Tejada y Urbina, D. Sérapio de Pedro y operaciones indicadas en Arquimedes y Frolotneo con una Fernandez de Heredia , D. Ramón Aguirre y Arevalo , Don numeración tan imperfecta, si se compara con la nuestra. Ramón Musitu y Wostér, D. Indalecio González del Va La geometría antigua ño admitía en s…</t>
  </si>
  <si>
    <t>PedroCuena, Juan</t>
  </si>
  <si>
    <t>Juan PedroCuena</t>
  </si>
  <si>
    <t>…iente en el juzgado de primera instancia del cargo de so, Serraliach y Rovira. D. Julián de Sojo. Quedó aprobado el art. 2.0 del dictamen de la comisión sobre se La formada contra D. Juan PedroCuena, Manuel Amador, cono ñoríos por 85 votos contra 67. cido por el Moro, y otros consortes en número de73, por haber inten El Sr, presidente señaló la hora de las ocho de esta noche para se tado levantar una partida con fuerza armada, dirigida á destruir el sis…</t>
  </si>
  <si>
    <t>Pedrorena, Miguel</t>
  </si>
  <si>
    <t>Miguel Pedrorena</t>
  </si>
  <si>
    <t>…s i los comisionados prin Gallardo, en Earbastrb D. Pedro Coma , en Barcelona D. Francisco cipales en las provincias, con nota de los adeudos, de quienes recoge, Vasora, en Burgos-D. Miguel Pedrorena, en.Cádiz D. Josef.de,Ma rán cartas de pago intervenidas por los contadores. ría ,&lt;¿n Calahorra D. Miguel Abadía, en Canarias D. Francisco Guer . 10. Las lincas que estuvieren arrendadas continuarán por todo el ra Betcncour, en Cartagena -D. Bruno Egea, en Ce…</t>
  </si>
  <si>
    <t>Pedrosa, Ramón</t>
  </si>
  <si>
    <t>Ramón Pedrosa</t>
  </si>
  <si>
    <t>…go Rodas, para que se le dispensen ocho meses de prác ramoreria un gefe político subalterno al de la provincia de Jaén , á que tica que le faltan para recibirse de médico: otra de D. Ramón Pedrosa, ahora están agregadas. bachiller en leyes, para que se le habiliten los años de práctica que tu ' El de ia de Hacienda , relativo á la solicitud de D. Juan Félix Ro vo antes de recibir aquel grado : otra de D. Anastasia Cammañ, soli driguez , en la que manif…</t>
  </si>
  <si>
    <t>Pedrosa, Vicente</t>
  </si>
  <si>
    <t>Vicente Pedrosa</t>
  </si>
  <si>
    <t>…n de este ofender al Excelentí de cámara del citado tribunal áD. Nicolás Fernandez de Ochoa, y por simo ayuntamiento, y que estaba pronto á hacerlo público, con lo de su relator á D. Vicente Pedrosa, en atención á las buenas cualidades más que resulta de la certificación del juicio dada por dicho Sr. alcal y circunstancias de uno y otro, que expresaba. Las Cortes mandaron pa de , quedando por lo mismo conformes y convenidos ; y dicha certifi sar al nuevo…</t>
  </si>
  <si>
    <t>Pefca, Antonio</t>
  </si>
  <si>
    <t>Antonio Pefca</t>
  </si>
  <si>
    <t>…en la sesión extraordi Se continuó la discusión pendiente en la sesión de ayer, naria que ha celebrado durante algún tiempo. Entre otros sobre la libertad de imprenta, diciendo el Sr. Antonio Pefca señalado en las listas de los candidatos 38 sugetos, que reira, que pretendía conciliar los-diversos pareceres de la deberán en lo sucesivo hacer parte del gran consejo, y asamblea, proponiendo que hubiese una previa Centura; pe componer esta autoridad suprem…</t>
  </si>
  <si>
    <t>Peí, Josef</t>
  </si>
  <si>
    <t>Josef Peí</t>
  </si>
  <si>
    <t>…conferido S. M. caverse. el Emperador la medalla mediana de oro, con la facultad Se van á nombrar comisiones especiales que se establecerán de llevarla pendiente de una cinta . a! Sr. Josef Peí, direc en Magdeburgo y en Munster para resolver definitivamente tor de la escuela principal de los i melitas de Tarnopble en sobre las relaciones que deben existir en adelante entre los Gaütcia, en recompensa de los sacrificios que ha hecho, y señores y los c…</t>
  </si>
  <si>
    <t>Peichier, Sixto Perez y Cayetano</t>
  </si>
  <si>
    <t>Sixto Perez y Cayetano Peichier</t>
  </si>
  <si>
    <t>…de la Go de amortización. bernación de la Península se han expedido las certificaciones siguientes: El Sr. Ferreira Borges dijo que deseaba presentar al Congreso un i.a A favor de D. Sixto Perez y Cayetano Peichier, "revalidando el plan , que tenia por objeto no solo vigilar sobre la integridad de los privilegio que les fue concedido en 9 de Mayo de 1819 para establecer empleados e:i las aduanas para evitar fraudes, sino también el emplear un escuela central de música s…</t>
  </si>
  <si>
    <t>Peichler, Juan</t>
  </si>
  <si>
    <t>Juan Peichler</t>
  </si>
  <si>
    <t>…la Jacar para tejer toda especie de ropas de seda, algodón y el de trinitarios calzados, el de dominicos, el de mercenarios, el de demas con toda clase de flores y dibujos: 2.a A D. Juan Peichler, por S. Francisco, el de-carmelitas calzados, el de capuchinos, el de míni la introducción de un betún para botas y zapatos; y 3.a A favor de mos y el de agustinos descalzos: en Calatuyud el de carmelitas descal D. Antonio Camps, vecino de Tarragona, por Ja i…</t>
  </si>
  <si>
    <t>Peiron</t>
  </si>
  <si>
    <t>…n.este mo — El Gabinete de Munich está-ocupado en la redacción ale varias or tivo un elocuente discurso." denanzas sobre algunos asuntos que han sido muchas' veces el obieto de El coronel Peiron, encargado de las negociaciones en virtud de las los deseos y reclamaciones de las Cámaras de Baviera. El Gobierno cuales habian de quedar señalados los límites de los territorios sueco y parece estar resuelto á convocar nuevamente ia asamblea para el Otoño r…</t>
  </si>
  <si>
    <t>…que temer el serrallo; el Sultán se vió obligado á ceder, y todos los ministros que por parte de las potencias del Norte. favorecían la reforma milítar-.fueron sacrificados. __El profesor Peiron, deTurin, ha. descubierto en el convento de „ Habiendo declarado el inufti (jqueobrabade acuerdo con los cons Bobbio varios fragmentos manuscritos de los discursos de Cicerón, con piradores) que un Soberano que procedía contra los principios del aco los que q…</t>
  </si>
  <si>
    <t>Peironceli, Pedro</t>
  </si>
  <si>
    <t>Pedro Peironceli</t>
  </si>
  <si>
    <t>…Esperamos que tanto este rón , D. Mariano Lagasca, el marques de Pontejos, D. Pedro Castelló, punto como otros vayan siempre mejorándose , y que en adelante cui D. Pedro Gossens, D. Pedro Peironceli, D. Pedro Serrano y D. Ra dará la autoridad competente de publicar bo solamente esta lista, sino món Trujillo.</t>
  </si>
  <si>
    <t>Peixoto</t>
  </si>
  <si>
    <t>…unión tan patriótica cott abolición de la compañía de agricultura del Alto Duero, la repetición de canciones que tocó la música del dicho ba presentado en la sesión anterior; y el Sr. Peixoto presentó tallón de Cataluña, que asistió durante la comida, y con una otro, contrario á aquel, exponiendo que debía declararse lucida y vistosa iluminación, colocada en la casa del sugeto que no se hnria variación algúna por ahora en ia citada que dedicaba su…</t>
  </si>
  <si>
    <t>…servicios..... Otros Sres. diputados apoyaron al preopinante, diciendo que era que no han hecho. (Nueva sensación muy expresiva á la derecha: el menester oir al Gobierno; pero el Sr. Peixoto dijo que la secretaría orador repite la frase.) ¡Y son ellos los que vienen á proponernos por de Negocios extrangeros se habia embarcado en Rio-Janeiro á bordo egemplo su moderación! ¡Y son ellos los que se jactan al exponeros de la fragata Venus ; y que habi…</t>
  </si>
  <si>
    <t>…os los casados conservar el buen orden, se prohíbe a todos los Habitantes que no sean á los' solteros. . militares que usen en su trage insignia alguna del egército como ves- , El Sr. Peixoto se opuso á su admisión como artículo constitucio ridos galoneados, espada y bigotes; é igualmente se prohíbe el dar se nal, diciendo que podia haber empleos cuyo desempeño fuese incompa renatas con mucho número de instrumentos. tible con las obligaciones que…</t>
  </si>
  <si>
    <t>…o- una nanea Se leyó y discutió el dictamen de la comisión de Guerra sobie el ra de sus inconsecuencias y mala fe. Uno de ellos, que hace poco tiem asunto del brigadier Jovdao. Ei Sr. Peixoto pidió que para que hubiese po aparentaba delender la causa de la justicia y de la humanidad , y pa- mejor orden en la discusión sí tratase solamente de si. Ja Regencia ha ,ici:i desear'que Ja Grecia se viese libre del yugo bárbaro de sus opreso bía procedido…</t>
  </si>
  <si>
    <t>Pelayo, Josef Ramón</t>
  </si>
  <si>
    <t>Josef Ramón Pelayo</t>
  </si>
  <si>
    <t>…a, pedíase sirviesen las Cortes acordar se nombre una comisión espe último. cial de diputados de Ultramar ( pa.ta que oyendo al Gobierno proponga Se dió cuenta de una solicitud de D. Josef Ramón Pelayo, para í las Cortes ios medios de establecer dicha enseñanza en los lugares que se le dispensasen cuatro años de edad que ie faltaban para exami que por desgracia carecen de ella. Aprobado. narse de. farmacia. Se leyó por primera vez el proyecto de decreto , r…</t>
  </si>
  <si>
    <t>Pelegrin, Ramón López</t>
  </si>
  <si>
    <t>Ramón López Pelegrin</t>
  </si>
  <si>
    <t>…do de la én propiedad para dos plazas de ministros del tribunal supremo de Nación , con resnecfo á la seguridad pública, informe cual sea. y las Justicia i D- Josef María Püig y á D. Ramón López Pelegrin. medidas que podrán adoptarse para afianzarla mas y mas.” Habiendo refundido en esta sus respectivas indicaciones los demás señores , que Debiendo proveerse algunas plazas de taquígrafos de la redacción dó aprobada; siendo nombrados después para la comisión e…</t>
  </si>
  <si>
    <t>Pelégrin, Ramón López</t>
  </si>
  <si>
    <t>Ramón López Pelégrin</t>
  </si>
  <si>
    <t>…todas las di de secretario de la Gobernación de Ultramar, había tenido á bien nom ferencias en que tengan parte los diputados á Cortes.” Habiéndose leído brar p^a dicho destino á D. Ramón López Pelégrin. esta indicación , se mandó pasar á la comisión primera de Legislación. Se dió cuenta de una exposicion de la audiencia territorial de Va Continuó la discusión del plan de Hacienda. lencia, consultando algunas dudas acerca de-la causa formada por el Art. 17.…</t>
  </si>
  <si>
    <t>Peliicer, Antonio</t>
  </si>
  <si>
    <t>Antonio Peliicer</t>
  </si>
  <si>
    <t>…la carta de S. M. tidez , dió orden para que inmediatamente se limpiase el almacén: en En seguida se leyó la carta da S. A. R., en la cual exponía á su Ií tarde del mismo día puso D. Antonio Peliicer en noticia de ia junta augusto padre los sucesos de ia revolución acaecida el di 1 5 en el mo haberse verificado por mar la traslación del marinero enfermo al laza mento de irse á jurar las bases de la Constitución, y ia cual se atri reto sucio, y asimismo D.…</t>
  </si>
  <si>
    <t>Pellicer, Antonia</t>
  </si>
  <si>
    <t>Antonia Pellicer</t>
  </si>
  <si>
    <t>…, vice-secrdario. nicación la casa donde los habian conducido. También presento un Salud rúb'.ica. Parte del lazareto sucio de la mañana del g. oficio, dirigido por el mencionado D. Antonia Pellicer a la pinta mu nicipal de sanidad, declarando que acababm de desembarcar tres indi Existencia anterior 9 : entrados ninguno : salidos ninguno: convale viduos con señales casi indudables del vómito: dos de estos mando cientes ninguno: muertos uno: existentes 8.…</t>
  </si>
  <si>
    <t>Pellicer, Antonio</t>
  </si>
  <si>
    <t>Antonio Pellicer</t>
  </si>
  <si>
    <t>…embajada de Francia &lt;J.°' A la citada administración del hospital, á efecto da que pusie en Petersburgo, llegó aquí en la noche del 5 ; y se cree viene encarga se á disposición de D. Antonio Pellicer 2 hombres y una camilla de do de una cornision de la mayor importancia. trasporte para proceder á la traslación de los enfermos desde la BarEn el palacio de Fontainebleau se están tomando disposiciones para celoneta al lazareto. Tecibir la corté, que permanec…</t>
  </si>
  <si>
    <t>…s y de iglesia , capilla y sus útiles y or mas alarmantes que se observasen. namentos, visitas de cárceles, suscripción al diario de Cortes, y otros Que asimismo estaba á cargo de D. Antonio Pellicer el reconocer de igual-naturaleza, ha resultado ser su importe el que expresa la lista diariamente la Barceloneta, y del capitán del puerto disponer la fu siguiente: migación é incomunicación de-los buques, y observar figurosamente á Sueldos de los subalfernos…</t>
  </si>
  <si>
    <t>Pellícer, Antonio</t>
  </si>
  <si>
    <t>Antonio Pellícer</t>
  </si>
  <si>
    <t>…las dis ques sospechosos ó partiesen con patente sucia para Mahon, ó se su tribuciones necesarias: por cuyas razones creía la comisión que debia mergiesen dentro del puerto. Gomo D. Antonio Pellícer á propuesta de desecharse la proposición de que se hiciese en el plano del jardin de las ia misma junta no tuvo inconveniente en incomunicarse para visitar ios Necesidades, y escoger para este objeto el edificio del colegio de no buques y enfermos del puerto…</t>
  </si>
  <si>
    <t>Peltzer, Juan Mateo</t>
  </si>
  <si>
    <t>Juan Mateo Peltzer</t>
  </si>
  <si>
    <t>…caya, jurisdicción de la dor extraordinario. villa de Rentería: asimismo unos terrenos en el término del lugar de Alcorcon, y un censo de 30,117 rs. y 22 mrs., im Los parientes de D. Juan Mateo Peltzer, natural de puesto al 3 por too sobre la baronía de Polop, que paga su Holberg, cerca de Aix-la-Chapelle, antes departamento dueño territorial el Exorno. Sr. marques de Albudeite. Se acudirá del Rhoer, soldado que fue en el regimiento de dragones á la escriba…</t>
  </si>
  <si>
    <t>Pelücer, Antonio</t>
  </si>
  <si>
    <t>Antonio Pelücer</t>
  </si>
  <si>
    <t>…29 de Junio último. no: convalecientes ninguno : muertos 2 : existentes 9. Art. i.° El restablecimiento del estanco del tabaco y sal , cenfor. Del parte del facultativo del puerto D. Antonio Pelücer, dado á las me lo han decretado las Cortes, tendrá efecto en la Península desde t.° 6 de esta mañana, resulta que un individuo déla fragata Libertad, del del próximo Agosto, y en las islas adyacentes á los ocho dias del ré-</t>
  </si>
  <si>
    <t>Peña</t>
  </si>
  <si>
    <t>…r. la Bodega, por 7; ; para 17,610 rs. secretarios el Sr. Couto, por 73, el Sr. Traver, por 74 en Otra casa calle Real, en la callejuela sin salida, núm. 8, segundo escrutinio; el Sr. Peña fiel por 78, lambien en se ert 36,682 rs. gundo escrutinio, y el Sr. Gaseo por 76 votos. Una huerta de cabida de 7 aranzadas, 12 $ estadales con Tomaron los asientos que les correspondían los señores 41 moreras, 4 naranjos y otros árboles, con su caserío, si…</t>
  </si>
  <si>
    <t>Peña, Juan Francisco Leston y</t>
  </si>
  <si>
    <t>Juan Francisco Leston y Peña</t>
  </si>
  <si>
    <t>…rs., y en renta L&gt;. Sebastian del Conde Vallejo, D. Domingo Posadillo, D. Norberto 4 terrados de trigo y 4 de cebada.__En la chousa del Pedron, 3 ferra Beleña, D. Pedro Otamendi, D. Juan Francisco Leston y Peña, Don dos y 4 cuartillos dí heredad , en venta 720 rs., y en renta 4 ferrados Francisco de las Barreras, D. Francisco -Címbrelo Rubio, D. LLamon de cebaba. En la veiga de tita. Cruz de Arriba, 4 ferrados de labor y de la Cruz y D. Beltran de Beaumont; ha deter…</t>
  </si>
  <si>
    <t>Peña, Manuel</t>
  </si>
  <si>
    <t>Manuel Peña</t>
  </si>
  <si>
    <t>…n su médi por medio de sus secretarios manifestasen al mariscal de campo D. Juan co titular D. Francisco Bonafós. La comisión, atendiendo á todos los Martin Diez él Empecinado, al coronel D. Manuel Peña, al secretario antecedentes, opinaba debia declararse válida dicha contrata, y que el P. Máximo Reinoso y al asesor N. cuan gratos les eran sus servicios ayuntamiento debia cumplir lo pactado en ella. patrióticos en honor de los malhadados héroes Padilla, Mal…</t>
  </si>
  <si>
    <t>…Esp ftá, ni de citar nuel de Meno, icase D. Manuel de Tena. _^_En la misma columna, lí con este motivo á los monstruos que dishonraron la Francia, Robespier- nea Ó7 , ‘donde dice D. Manuel Peña, léase £&gt;. Manuel de Tena. SUPLEMENTO</t>
  </si>
  <si>
    <t>Peñafiel</t>
  </si>
  <si>
    <t>…á que el reverendo Nuncio de Sesión del dia 7 Je Marzo. S. S. delegase á los obispos de América las facultades de secularización, Leída y aprobada el acta del dia anterior, el Sr. secretario Peñafiel que por seis meses le habia concedido la Santa Sede, á fin de que pu dió cuenta de una solicitud de D. Valentin Velasco, comandante de diesen secularizarse los regulares de aquellos países, sin necesidad de ve milicias nacionales de infantería de Vitoria, en…</t>
  </si>
  <si>
    <t>…special, Sr. Gil de Linares en lugar del Sr. Valle, y para otras que no pudieron determinasen lo que tuvieren por mas conveniei.te. entenderse , en lugar del mismo Sr. Valle y del Sr. Peñafiel á los señores El Sr. presidente dijo que continuase la discusión sobre la compa San Juan y Rey. ñía del Guadalquivir, y se leyó) el art. i.° fVéase en la ¿aceta de ayerd) La comisión de Poderes presentó) su dictamen acerca de los poderes El Sr. Cepero dijo qu…</t>
  </si>
  <si>
    <t>…establecimiento de 'la Consti mayor parte de las de Pontevedra tienen toda la comodidad que puede tución. desearse: su suelo es de los inas feraces, y una y otra cosa ha contri El Sr. Peñafiel apoyó lo que hablan dicho los Sres. Bahamonde y buido mucho para su despoblación , porque estas mismas grandes venta Martínez; y habiéndose declarado el punto por suficientemente discu jas que tenia no solo sobre Vigo, sino sobre todos los pueblos de Gali tid…</t>
  </si>
  <si>
    <t>Penafiel, Josef Cándido</t>
  </si>
  <si>
    <t>Josef Cándido Penafiel</t>
  </si>
  <si>
    <t>…Rueda. sus partes el dictamen de la comisión; los pueblos lo claman, y bien, A la de Legislación una exposición de la diputación provincial de claro lo dice la representación del abad D. Josef Cándido Penafiel, Cataluña, manifestando la urgente necesidad de establecer los oficios cura de Valdeorras , en Galicia, y la del síndico segundo del ayunta de hipotecas en las cabezas de partido. miento constitucional de Moron de la Frontera D. Martin Sánchez; Se recibió con…</t>
  </si>
  <si>
    <t>Penal, Francisco Crespo y</t>
  </si>
  <si>
    <t>Francisco Crespo y Penal</t>
  </si>
  <si>
    <t>…o rx del artículo 165- del proyecto de Consti ’ Oráis a 2 gde Diciembretución , y quedó aprobado, como igualmente el 12 y el 13. Se leyó el art. xofi, concebido en estos términos: D. Francisco Crespo y Penal ver, catedrático de gramática y huma* » El Rey sin permiso de las Cortes no podrá nidades en esta villa, y profesor de matemáticas, lia abierto cátedra 1.° Abdicar la corona: 2.0 Salir del reino; y si lo hiciere se enten dé aritmética y geometría , bajo la pr…</t>
  </si>
  <si>
    <t>Peñalver, Juan López</t>
  </si>
  <si>
    <t>Juan López Peñalver</t>
  </si>
  <si>
    <t>…úmero de ciudadanos, se veían precisadas tas, y traducido al castellano, en 4 tomos en 8.° prolongado: por 6 limirar sus afecciones £ los confines del suelo que habitaban, y for . D. Juan López Peñalver. Los suscriptores se servirán recoger el tomo mando de estos sentimientos reconcentrados una pesada masa, se dis . 2.° en la librería de Sojo:.el 3.0 está ya concluido, y^se publicará muy ponían no solo á defenderse, sino á reducir á los demas pueblos á la pr…</t>
  </si>
  <si>
    <t>Peñalver, Juan López de</t>
  </si>
  <si>
    <t>Juan López de Peñalver</t>
  </si>
  <si>
    <t>…ndo que.con El espíritu de las leyes por Mr. de Mbntesquíeu, ilustrado con no arreglo al decreto de las Cortes de 27 de Setiembre, sancionado por tas y traducido al castellano por D. Juan López de Peñalver. los susS. M- eñ 11 de Octubre del año pasado de 1820, se les entregasen los criptores se servirán recoger el tomo 4.0 en la librería de Sojo , y en la libras, papeles y escrituras con todo cuanto perteneciese ál'mismo le misma se entregará también él comenta…</t>
  </si>
  <si>
    <t>Peñalver, Juati López</t>
  </si>
  <si>
    <t>Juati López Peñalver</t>
  </si>
  <si>
    <t>…obre el amor recípro Espíritu de las leyes, por Mr. Montesquieu, ilustrado con notas, co entre el Monarca y sus súbditos: así es como reciben y queda y traducido al castellano por D. Juati López Peñalver. Los suscriptoaprobada y sancionada la verdadera, la mas sólida , la única de las legi res se servirán recoger el tomo 3.0 en la librería de Sojo: el 4.° está ya timidades que un trono puede tener. Mahamud u en Constantinopla, y en prensa, y se publicará lo m…</t>
  </si>
  <si>
    <t>Peñaredondo, Saturnino</t>
  </si>
  <si>
    <t>Saturnino Peñaredondo</t>
  </si>
  <si>
    <t>…del arreglo económico político de las pro de la Península; y el Sr. González Allende leyó una exposición de vincias el expediente instruido por el ministro de la Gobernación de la D. Saturnino Peñaredondo, en la que se «quejaba del intendente de Península, con motivo de la solicitud hecha por el gefe político de Santander por exigirle ciertos derechos sobre las minas que está benefi esta capital, en la que manifiesta la necesidad de crear un gefe político cian…</t>
  </si>
  <si>
    <t>Pense, Juan Aóim</t>
  </si>
  <si>
    <t>Juan Aóim Pense</t>
  </si>
  <si>
    <t>…es. ex-diputados que firmaron la representación del ano de 14, el Sr. Solánot en lügar dei Sr. Traver. portücai. ‘ Se pasó á la comisión de Legislación un expediente promovido por D. Juan Aóim Pense!, maestro de fundición del departamento del Lisboa '£ de Marzo. Ferrol, en solicitud de carta de ciudadano. A la misma comisión una consulta del tribunal supremo de Justi cortks__ Sesión del £. cia sobre las dudas propuestas por la audiencia de Granada acerca…</t>
  </si>
  <si>
    <t>Pentacosti</t>
  </si>
  <si>
    <t>…griegos esperan con impaciencia , y articulo se advierten los pasages siguientes. El principe Cantacuceno y aun con ansia, la llegada de un personage misterioso, del cual aguar el coronel Pentacosti se han refugiado en el territorio ruso. Los hete- dan la libertad v una "independencia permanente. Este f rojeta , este «se- ritas hubieran hallado también un asilo en las provincias rusas, s. hu si ts se halla va" en medio de ellos, y creen haber llegado con…</t>
  </si>
  <si>
    <t>Peón, Antonio María</t>
  </si>
  <si>
    <t>Antonio María Peón</t>
  </si>
  <si>
    <t>…e en estos depósitos se cual deberá ser reemplazado eñ dicha comandancia general por el ma adm.tan los géneros prohibidas; porque si no, todos los extrangeros los. riscal de campo D. Antonio María Peón ,-segundo cabo de la de las ¡levarán allí en derechura, y de consiguiente perderemos nuestro co islas Baleares. mercio y marina. Todos los grandes argumentos que se han opuesto á este artículo es que se aumentará el contrabando. ¡Cosa rara es , Señor, El cóns…</t>
  </si>
  <si>
    <t>Pepe</t>
  </si>
  <si>
    <t>…endiese este asunto, sino que en la orga ni .-ación de está 2.6 Los exrrangeros que hayan obtenido del Parlamen fuerza' armada se' pusiesen en práctica los medios indicados por el general Pepe ,'para conciliar lo qce.se.ha hecho con to carta de naturaleza y ciudadanía. 3.0 Los que sin ella llevan i o años de vecindad , ganalo que se quiere hacer. da'seaun la ley en cualquier pueblo de la monarquía. . • El Sr. Poerio dijo quele parecía seria arriesg…</t>
  </si>
  <si>
    <t>…le de la imprenta , dirigida constantemente á so hazlos dichosos, y hazte cada dia mas digno maestro del cavar ¡os cimientos de la libertad: los patriotas jamas de sabio ciudadano general Pepe , de los imitadores que anhe bieran valerse de estos conductos prostituidos á la false larán seguirte , y de haber promovido la apetecida felici dad, y envilecidos con el perjurio. Si los reformadores dé dad de la Europa.” todas clases reuniesen sus fuerzas e…</t>
  </si>
  <si>
    <t>Pepé</t>
  </si>
  <si>
    <t>…o pe ces) estamos dispuestos á .defendernos; y el honor nacional, dia el Parlamento acceder á los deseos de S. M. .. conservado sin mancilla en nuestros públicos debates, triun El Sr. Pepé tiró la exposición que tenia en la mano fará igualmente en el campo de batalla. como inconstitucional , y pidió que se formase causa á los ministros. Con este motivo se repitieron los aplausos que ya , INGLATERRA. se .habían dado aí orador de.ía comisión, y u…</t>
  </si>
  <si>
    <t>…én del í de Noviembre. En ella declarasteis la adhesión á vues en los demas adornos de las banderas. El Príncipe encarga tros deberes, vuestra plena confianza en los juramentos al general Pepe que haga la entrega de ellas con pomposa Reales, la resolución decidida de vuestros comitentes, y la solemnidad, y que preceda á esta ceremonia la de bende vuestra propia. cirlas , según el rito de la Iglesia , y en presencia de los cuer «Los Gabinetes de Aus…</t>
  </si>
  <si>
    <t>…quien le hizo varías preguntas acerca de quién Sr. Morici propuso que no se hablare mas del asunto {des le habia dado tales noticias; pero no pudo conseguir ex aprobación) ; y el Sr. Pepé pidió que no se formase causa plicación alguna. Habiendo mediado Mr. Rothscliild para á los ministros. que no fuese detenido, el corregidor le permitió irse, de Otros muchos diputados apoyaron esta petición, fun jando su nombre y las señas de su casa, y con l…</t>
  </si>
  <si>
    <t>…l cundado del verdadero esplendor de la nación libre, vir baluarte de la libertad de los pueblos de las Dos Sicilias. Ei tuosa, opulenta y feliz, no tiene necesidad de mendigar el general Pepé ha sido en todas partes recibido entre las mas falso b.illo de cualidades láci icías. vivas demostraciones de la alegría pública, y ha tenido moti »FI Rey , padre Je una amable y venturosa familia , es vos de convencerse que cuando sea necesario correr á los…</t>
  </si>
  <si>
    <t>…humildísimo y fidelísimo súbdito= tuaron la memoria de los grandes acontecimientos que die Guillermo Pepé.” ron nuevo ser á,las naciones. Mantenidos constantemente á Proclama del general Pepé. la vista, imprimen al nuevo orden político aquel carácter de «¡Soldados y legionarios de todos grados del Abruzzo! estabilidad que constituye la necesidad primera de los bue S. A. R. el Principe regente me envía en medio de voso nos Gobiernos, y alimenta ó r…</t>
  </si>
  <si>
    <t>…uiente la gratitud pública, y á las segundas luces y conocimientos. aguarda el castigo y el baldón. El mismo Casimiro dió un grande egemplo en punto á «Por tanto S. E. el teniente general Pepe se cree pre legislación, sentando por principio que las leyes deben ha cisado á manifestar á las guardias nacionales del reino que cerse con el concurso de las luces de la nación: etnn prae~ ha mandado poner arrestado ea el castiflo de Taranto al te latís, -j…</t>
  </si>
  <si>
    <t>…ita en se habia c.lebrado en Ñapóles un consejo, y que de él resultaron los si la propia ciudad y calle de Sierra de S. Juan , en 266,689 rs. y 11 mrs&gt; guientes nombramientos-, el general Pepe para el mando en gefe de Fincas que se rematan el dia 20 en la misma ciudad de Barcelona. las guardias nacionales; el general Carrascosa para el de las tropas de El colegio de S. Pablo, sito en la propia ciudad, en 437,151 rs. línea; y el general Filangieri p…</t>
  </si>
  <si>
    <t>…as puro patriotismo, y el deseo mas ardiente de sostener la de los Abruzos..Los napolitanos por su parte toman posiciones forti causa de la nación. Entre ellas se distingue la del general Pepé , quien ficadas, de, que no podrán apoderarse los enemigos sai sufrir muchas hace una invocación al valor de ios guerreros destinados á rechazar la pérdidas. ' • . .. . • •• t agresión austríaca, y les indica ios medios de defensa adoptados por el . • , ITALI…</t>
  </si>
  <si>
    <t>…. Se trata nada menos que de po del 25; y la izquierda debe salir al encuentro de las tropas que manda ner en pie de guerra todas las fuerzas militares de la monarquía austria* el general Pepé en los Abruzos. ca. Ademas de un gran egército de observación, se piensa formar otro Se habla de la próxima vuelta de nuestro Soberana , y se cree' que de reserva en el interior de los Estados hereditarios. No ha dos mese» el Rey Fernando vendrá 4 pasar aqui…</t>
  </si>
  <si>
    <t>…dia dei Se leyó el art. 37 , que decía: egército austriaco iba desfilando en aquel momento por sus muros; qua 37. Para proporcionar Jos estudios auxiliares, propios de esta ter el general Pepe habia tomado posiciones en el Tronto, donde sus pues cera enseñanza, se establecerán las cátedras siguientes: tos avanzados podian haber sido reconocidos ya por las tropas ligeras r de lengua hebrea. austríacas, y que el número de tropas que en dos columnas s…</t>
  </si>
  <si>
    <t>…blica, y señaló la hora de las siete y me titución i vivan ¡as Cortes ! viva el Rey Juan Vil viva la religión.!"-■, dia dé esta noche para sesión secreta. ARTICULO DE OFICIO. __El general Pepé trataba, según las últimas noticias, únicamente del diaypunto en que derrotaria a) enemigo: si estas esperanzas se realizan, Circular del ministerio de la Guerra. como lo prometen todas las circunstancias, el general Frimont podrá Al Sr. secretario del Despac…</t>
  </si>
  <si>
    <t>…remate , que debe celebrarse en la tas para mucho tiempo ; esta última está defendida por el diputado del villa de Alcántara , está señalado el dia 27 del corriente. Parlamento el coronel Pepé, y será la primera que ataquen los austría El palacio Casa fuerte, sito dentro del casco de la villa de Brozas, cos. El general Begani, que defendió á Gaeta en 1815, la defiende en 987,693 rs. ' _ También ahora. El 6 reinaba la mas asombrosa tranquilidad en l…</t>
  </si>
  <si>
    <t>…eneración : olvía&gt; los napolitanos una resistencia armada mucho mayor de lo qúe se espe dense las quejas , cesen-las,enemistades, Estad-todos tranquilos l todo? raba. Dicen que el general Pepe ha. conseguido reunir ,un egército de en paz: Viva la Constitución, las Cortes, ,í&gt;.: juán,vi ,,el,Gobiernd buenas t.-opas (de ¿o® hombres'), y que ha encontrado gente adicta provisional, la i;ei¡gion.,.eÍ pueblo y . tropas del; Pará.s=Ind¡V¡duos del en los:…</t>
  </si>
  <si>
    <t>…derechos que procediesen de prestaciones legítimas, ■ ■■ resumen dice lo siguiente : Que las Cortes generales y extraordinarias en la ley de 9 de Octu-- „Hacia algunos dias que el general Pepe había reunido la mavor bre de 1ÍI12 respetaron el derecho de posesión en todas las clases; que parte de sus fuerzas entre Civira-Ducale y Aquila. El dia 7 avanzó el año pasado había sucedido lo mismo con las actuales, y que no creia con un cuerpo de ia¡3 homb…</t>
  </si>
  <si>
    <t>…, cuyas sucesivas cum Hemos presentado en el número anterior el primer parte del ejér bres podian favorecer un fuego vivo y sangriento , estaba atrincherado , y cito austriaco. El general Pepé atacó el 7 en tres columnas con mu presentaba una fácil defensa. Un regimiento de infantería ligera le guar cho orden y'buena dirección. A las 12 del dia se empeñó el combata daba; nuestros cazadores atacaron con denuedo ; el enemigo no opuso con un fuego vio…</t>
  </si>
  <si>
    <t>…o por; las mismas en la ley de 9 tades que la naturaleza misma presenta en las gargantas de los Abruzos. de Octubre de 1812 , y de lo que previene ¡su, artículo 22 del capítulo El general Pepé salió.de Aquila sin egército, diciendo que los sol 2.J, para qué en las causas en que según la, ley deba admitirse la ape dados le habían vendido. lación en ambos efectos, se remitan los, autos originales á los tribuna S. E. el comandante general Frimont, ape…</t>
  </si>
  <si>
    <t>…en Tagliacozzo ,-y se dirigía1 á Sulmona por Alba , Celano y Pesci- varse que el de su fuerza y desesperación (vivas exclamaciones á íá na; y si no encontrare en aquella ciudad al general Pepé, subirá hacia derecha}; pues ni aún siquiera podría invocar el auxilio de la potestad el norte hasta Popoli. Durante esta marcha el conde Walmoden debe Real, porque esta seria impotente. La aristocracia la tendría envuelta haber llegado á Aquila. Aunque de re…</t>
  </si>
  <si>
    <t>…ruso con la puede aprenderla en Módena. noticia de haberse dispersado todo el egercito napolitano que mandaba La fuga de algunos nobles es unbien para los piamonteses: esos ene el general Pepe, suponiendo al mismo tiempo qiiodc sus resultas ha migos menos tendrán que combatir, pues con este paso han dado á co bía ocurrido una contra-revolucion en Ñápales, y que se había ctisuel- nocer lo mucho que su patria hubiera perdido abrigándolos en su séno.…</t>
  </si>
  <si>
    <t>…el teatro de la discordia, y los Solamente saldremos de estas dudas cuando recibiendo los partes escándalos no cesan. El bautizo de S. A. R. el Duque de Berry se se de oficio del general Pepe, nos hallemos en estado de juzgar por compa ñaló para el martes de Pascuas. ración. En el dia tenemos ya algunas pruebas para dudar mas y mas de Las Cámaras de Londres, han continuado la discusión del asunto, de la pintura hecha por el barón galo-tudesco; pue…</t>
  </si>
  <si>
    <t>…mandado por el general D. Guillermo peradores parece que está ahora mas distante que nunca. Pepé. Seremos fieles historiadores de los hechos que hemos extractado de las cartas del general Pepé, escritas en Casteldisangro el 11 de estemos. ITALIA. El cuerpo de egército mandado por este general e.-rabu ca:i todo compuesto de legionarios y milicianos , reunidos precipitadamente al recibir la noticia de los primeros movimientos de las tropas austríacas…</t>
  </si>
  <si>
    <t>…s! El mejor del mundo (continuó), cito que amenazaba al general Carrascosa , ni si tuvo este la misma estrecharnos mas con el Monarca de un rqpdo público , como esti tuerte que el general Pepe; que se decía que al egército austríaco acom vamente ha sucedido, según lo que hemos oído al Sr. secretario de la pañaban obispos napolitanos y otros personajes. Gobernación de Ultramar; por lo que aparece que aunque nuestro Igualmente leyó dicho Sr. secretar…</t>
  </si>
  <si>
    <t>…nes mas de S. Germano, y parecia querer aguardarnos en aquel punto; pero la antiguo que el Gabinete de Viena , n¡ que pueda compararse con él. He dispersión total del egército del general Pepé en los Abruzos no le de aquí las palabras del Emperador Francisco , dirigidas á los pueblos dé jaba medio alguno de oponer obstáculos á la marcha del cuerpo de egér Italia : » Italianos: escuchad la voz de la verdad y de la sabiduría..;... cito del teniente g…</t>
  </si>
  <si>
    <t>…s del g. austríacos. Anuncióse que los generales Russo, Montemayor, y el co Se dió cuenta de algunas memorias y proyectos presentados á las ronel Monthone del segundo egército del general Pepe reconcentraban Cortes; y antes de pasar á la discusión sobre las comisarías de guerra, sus fuerzas en Su 1 mona; que un regimiento y' dos batallones de línea dijo el Sr. presidente que debia leerse una representación que habian di marchaban desde Venafro á Ca…</t>
  </si>
  <si>
    <t>….Posve' natural de mento las lisonjeras esperanzas qua por tan bien fundadas se tenían. Hesse, en Alemania, pidiendo carta de ciudadanos, la cual era de pa Vióse como el majhadado general Pepe se halló comprometido y recer la comisión que debia concedérseles. vendido por aquellos mismos ¿n quienes depositó toda su confianza; y . El de la de. Legislación sobre el expediente instruido por D. Juan ahora vemos que Jos generales Fiiangieri y Carrascosa…</t>
  </si>
  <si>
    <t>…do en este caso legítima posesión. El periódico de Barcelona Diario constitucional publica un docu La posesión civil existe , aunque no se presente ningún título. ¡Y qué mento del general Pepé, que.manifiesta en parte Jas causas que han mo título es el de poseer? el que dijera esto ignoraría hasta lo que es título. tivado la desgraciada suerte del reino de Ñapóles; y otro periódico de Título de dominio entiendo lo que es; pero título de posesión no…</t>
  </si>
  <si>
    <t>…landa desea con ansia . Relación que el 19 de Marzo de 1811 hizo al Parlamento nacio .recuperar las canongías y demas beneficios; y aun se intentaría muy nal délas Dos Sicilias el general Pepé, consejero de Estado. en breve establecer el.predominio de la iglesia católica en aquel país. ,.Señores diputados: Creo.de mi deber daros á conocer cop toda Suplicó pues á la Cámara que no rompiese,los vínculos que tantos años exactitud los desagradables acon…</t>
  </si>
  <si>
    <t>…idencias para conservar el orden público. confiesan que el castillo de Civitella del Tronío, cuyo gobernador es El Sr. Martínez de la Rosa expuso que las Cortes habian aprobado el coronel Pepé , resiste aun, y que algunos centenares de carbonariosya el dictamen de la comisión acerca de la contestación que debia darse han logrado refugiarse en ella. ... á lo que habia dicho el Sr. secretario en nombre de S. M.; que no ex En Paris continuaban los pre…</t>
  </si>
  <si>
    <t>…olitanos la desventurada suerte que les ha ^cabido. La po en qué se habían fundado para concurrir con su intervención á que se licía está en auge: ha decretado la muerte contra el general Pepé, realizasen; y como sus contestaciones, lejos de ser satisfactorias, me hau donde quiera que se le halle. Se ha establecido una famosa junta de confirmado en la idea de que habían obrado contra el referido decreto, generales, la cual examinará la conducta de…</t>
  </si>
  <si>
    <t>…ado, nada tendrán que. temer; , Al anochecer dél dia de ayer llegó á esta villa en la diligencia-cor pero aquel que siga un sistema contrario se arrepentirá eternamente. Bu reo ei general Pepé , é inmediatamente pasaron á visitarle los alcaldes charest 17 C 29) de. Marzo. = Firmada = .Teodoro Sultzec Wlade- é individuos de su ayuntamiento, acompañados del cura párroco /ofi cialidad de la milicia nacional local de infantería y caballería, y demiskor…</t>
  </si>
  <si>
    <t>…os judíos enviaban á produjese sino zarzas y espinas. Marsella, Liorna &amp;c. para compra de géneros. La discusión de esta ley se empezará Juego que se concluya la del Sabemos que el general Pepe ha llegado á España; pero un perió .proyecto sobre la modificación del afit. 351 de! codigo criminal, pues dico francés se divierte en llevarlo á Argel , y le hace tener un diálogo ■aunque un orador, dei lado izquierdo hizo presente que habia otros cómico con…</t>
  </si>
  <si>
    <t>…os hacerlas. Los austríacos se preparaban para dar el asalto á Civitá del años. Alcalá de los Gazules 22 de Junio de 1821___Pablo Viver Tronto, que defiende el célebre ex-diputado coronel Pepe, cuya suer Sr. comandante general de la provincia de Cádiz.” te, si sucumbe, no podrá menos de ser la mas desgraciada, como lo __Por el bergantín Manchego, que salió de la Iíavana el 11 de Mayo, ser» la-de ios carbonarios , que se pensaba enviar á Maguncia á…</t>
  </si>
  <si>
    <t>…Weks y compañía. -■ dar un asalto &amp;c. Sin duda quenosse trata de «salto4 Civita-del Tron-: Cálculo del ¿asta diario de 6 norias trabajando 24 horas- por medio to/déíendidavipor-el coronel Pepe; pues si algo ¡de esto- hubiera,’ no de bueyes. lo caüarian. r.. ■ . Rs.-vn,, •articülo pe oficio. Construcción de cada pozo y su alberca 159 rs., 6 id................ ............................. ................... 90,000 Con fecha 20 de Julio desde la vil…</t>
  </si>
  <si>
    <t>…irección ai E. el 7 Julio de 1820 en Ñola, Avellino y Monteforte, con una larguísima en‘la tarde. " ; ' 1 ' ■ . a ■ ■■■&gt;.. ■■ . enumeración de nombres, á cuya cabeza están los del general Pepe, de Mailrul Lunes 5.3 de Julio. Concilüs, Morelli &amp;c. &amp;c. Las tropas d«l Danubio desembarcadas en Mecina ocupaban á di SS. A A. continúan sin novedad en su importante salud. cha ciudad y las de Siracusa , Noto y Catana; y las de ia primera ex pedición á Paler…</t>
  </si>
  <si>
    <t>…l ministro conde de Barbacena, como si fuera poco apto con que ha sufrido todo género de privaciones y miserias desde que para'aquel destino por la conducta que habia teñid’,__ El general Pepe ocupó ia provincia oriental del Rio de la Plata, sin que de tales sa ha sido robado por cinco vandolero» en Portugal, y las Cortes han tra crificios haya recibido la menor recompensa, ó á lo menos señales tado de resarcirle los daños ocasionados; pero nada re…</t>
  </si>
  <si>
    <t>…la censura es inicuo, el uso que se ha Sesión de Cortes del sy. hecho ha sido infame, y el fin que se proponía no se h* conseguido.”s El Sr. Sarniento manifestó al Congreso que el general Pepe había (JV continuará.') ■ ■ sido robado en Portugal , quitándole los ladrones io3 eruzuilos, y pro __En u) de Agosto de 1820 se descubrió en esta capital la conspira puso que se insinuase a! Gobierno que le diese un socorro equivalente ción que tanto ruido hi…</t>
  </si>
  <si>
    <t>…es de guerra de toda especie. uniese al acta. Se leyó el dictamen de la comisión de Hacienda, en que manifestanINGLATERRA, do los atrasos dél erario , proponía que se le dieran al general Pepé cuatro millones de reís ( 100$} rs. vn. ) como remuneración de ia Lóndres 16 de Junio. pérdida que habia sufrido en Portugal. Asi se aprobó. Mientras dure el primer servicio de la mesa del Rey en el día de Se continuó lá discusión del proyecto de Constitución…</t>
  </si>
  <si>
    <t>…senda Se leyeron varias memorias sobre agricultura y cotnercio; y se dió que se limitaron á indicarla. Se pusieron en práctica meros bosquejos, cuenta de una carta de gracias del general Pepe, que fue oída con y el resultado fue el decir siempre: desventurado aquel que arrastrado agrado. por su necio orgullo quiera traspasar los límites de las necesidades del El Sr. presidente dijo que estando ya nombrados los redactores del tiempo: el profundo ab…</t>
  </si>
  <si>
    <t>…esultado, y este silencio puede interpretarse de diferente mo nes del continente , y cuya mano besaron todos los potentados ; y que do , no menos que el que se guarda respecto del coronel Pepe, encer si esos ingratos periodistas pueden en el dia contarse en el número de rado tantos meses há en Civita del Tronto, sin que los austríacos se los hombres, es porque los españoles no quisieron ser contados en el hayan apoderado de aquel punto. de los escl…</t>
  </si>
  <si>
    <t>…se procura hacer creer que todo va bien; pero la la menor noticia de que la salud pública haya sufrido alteración alguna. conquista de Civíta del Tronío, en que está encerrado el coronel Pepé, no se publica todavía; y es bien extraño que por tantos meses se con Madrid Jueves 20 de Setiembre. ' sienta á un constitucional que sea dueño de una fortaleza. Por la vía de Se han recibido periódicos extrangeros, cuyas noticias últimas son Italia se sabe q…</t>
  </si>
  <si>
    <t>Pepé, Florcstaho</t>
  </si>
  <si>
    <t>Florcstaho Pepé</t>
  </si>
  <si>
    <t>…ium aria. , Germano, estará á las órdenes inmediatas de S. A. R., quién'tiene por E! Sr. secretario del Despacho de Ultramar remitió.á las Cortes un gefe" de su ' estado' mayor al general D. Florcstaho Pepé. .oficio del Gefe político superior de, Nueva España,- en el, cual dice ha El general D. G. Pepe mandará la división óáe ocupa los Abfúzos ber provisto varios empleos pertenecientes á su ramo. Las Cortes que y todas las milicias de aquella provincia. ' daron…</t>
  </si>
  <si>
    <t>Pepe, G.</t>
  </si>
  <si>
    <t>G. Pepe</t>
  </si>
  <si>
    <t>…espacho de Ultramar remitió.á las Cortes un gefe" de su ' estado' mayor al general D. Florcstaho Pepé. .oficio del Gefe político superior de, Nueva España,- en el, cual dice ha El general D. G. Pepe mandará la división óáe ocupa los Abfúzos ber provisto varios empleos pertenecientes á su ramo. Las Cortes que y todas las milicias de aquella provincia. ' daron enteradas, y:se mandaron pasar a la comisión de .Diputaciones El general Beganí, gobernador de Gá…</t>
  </si>
  <si>
    <t>…, orden de S. Benito, en aquella ciudad, en ¡a que y su ju la necesidad lo exija. risdicción radican las fincas, para cuyos primeros remates, que de El primer cuerpo, al mando del general D. G. Pepe, se compone ben verificarse en la misma, está señalado el dia 36 del corriente. de 40 batallones y algunos escuadrones de caballería ; y el mando de Doscientas seis fanegas y 2 celemines de tierra, de primera, segun las brigadas está confiado í los mariscales…</t>
  </si>
  <si>
    <t>Pepé, Guillermo</t>
  </si>
  <si>
    <t>Guillermo Pepé</t>
  </si>
  <si>
    <t>…dicho Diciembre; pero no costante para asegurarse de lo duque de Calabria ; y en la misma noche salió ei general cierro ofició al referido intendente, á fin de que dijese si eran D. Guillermo Pepé á reunirse á la tercera división que unas mismas fincas ó distintas, ó si sus segundos avisos eran manda en ios Abruzos. Ya estaban acabados todos los pun contestación á aquella prevención; y resulta de la respues tos de defensa, y se tomaban las mas enérgica…</t>
  </si>
  <si>
    <t>Pepe, Guillermo</t>
  </si>
  <si>
    <t>Guillermo Pepe</t>
  </si>
  <si>
    <t>…nRecibisteis pues con gratitud el mensaje Real, en que ---- S. A. R. el Príncipe Regente ha remitido al teniente ge se pedia vuestro parecer acerca de la mediación. Mas cuan neral D. Guillermo Pepe , comandante en gefe de la tercedo el ministro que os le presentó añadió á él los proyectos * ra división militar activa, las banderas destinadas para los del autor de la exposición, desplegó vuestro corazón todos soldados y legionarios de los Abruzzos. Las c…</t>
  </si>
  <si>
    <t>…uerzos qué el Rey su padre había determinado ral Arcoviro, guarnece el paso de S. Germán; y Ja tercera, hacer en beneficio de la libertad napolitana, cuando llegase mandada por el general Guillermo Pepé,.ocupa la cordillera á presencia de los Soberanos aliados. El Príncipe encarga al de los Abruzzos ; habiéndose agregado á estas divisiones las pueblo que. sea prudente y moderado, para que por este legiones provinciales. Asciende el número de las tropas de me…</t>
  </si>
  <si>
    <t>…simos en el dia por tización. u • . . '.5 ¡as obras que.ha añadido c! arte. Al recorrer aquellas pro - «Veinticuatro mil ducados para cada persona ¿puede vincias S. E. el general ;D. Guillermo Pepé ha podido con llamarse limitación? Computad la suma de todos ios bienes vencerse que si el primer voto del régimen constitucional de la Monarquía, y vereis la cuota que puede caber á cada fue pronunciado en los montes Irpinos, el deseo de una vi t:no. Si uno,…</t>
  </si>
  <si>
    <t>…a que esta religión no es incompatible con la li dos odas contra el predominio de los tudescos en Italia. bertad civil, y demuestra que los católicos tienen , si es po El teniente general D. Guillermo Pepé ha dirigido tí sible , derechos todavía mas fundados á la libertad religiosa. S- R= el Príncipe repente la siguiente carta- - . ■ «El estado católico de Marilnnd fue el primero one procla «Luego que concluya la visita de los Abruzzos, y organi mó y estableció…</t>
  </si>
  <si>
    <t>…tos. Entre tanto la Reina envió á ia Cantara lo que nosotros Carta de S. A. R. el Príncipe Regente d S. E. el te— llamamos una notificación, no pudíendo llamarse mensage, . niente general D. Guillermo Pepe, en qué declaraba que 110 accedcria á ninguna composición »No puedo menos de manifestaros la viva satisfacción mientras no se pusiese su nombré en la liturgia. S. M. , al que he recibido al saber por vuestra carta de 23 del cor anunciar esta resolución, decia…</t>
  </si>
  <si>
    <t>Pera, Baudilio</t>
  </si>
  <si>
    <t>Baudilio Pera</t>
  </si>
  <si>
    <t>…de Sola, ev.-alcalde constitucional. D. Eduardo Serra, id. id. extracto , en el cual hará por sí ó á solicitud de los defensores cuantas Figaeras D. Joaquin de Rosria, hacendado. D. Baudilio Pera. Sta. Co reformas y adiciones sustanciales fueren necesarias para que su conte lunia de Parnés D. F’rancisco Batile y Sagur. Montblanch D. Pablo nido se ajuste exactamente á lo que resulte del proceso, á satisfacción Anguera y Riera. Granollers D. Josef Valio…</t>
  </si>
  <si>
    <t>Perabeles, Lorenzo</t>
  </si>
  <si>
    <t>Lorenzo Perabeles</t>
  </si>
  <si>
    <t>…a .egecutar.os. Pero squé obstáculo hubo jamas ínsupera- Se ha publicado en esta ciudad el siguiente aviso: b.e a unos corazones generosos y acostumbrados á sentir ¿os. agradub es D. Lorenzo Perabeles, intendente honorario de égército y general é inocentes placeres que proporciona la beneficencia! Individuos de su de esta ciudad y provincia. seno, añadiendo á inmensas tareas el sacrificio de sus intereses en bene Las personas que quieran contratar la corta…</t>
  </si>
  <si>
    <t>Perales, Antonio</t>
  </si>
  <si>
    <t>Antonio Perales</t>
  </si>
  <si>
    <t>…iempo hay mucha riqueza; y debiendo pe nada por el decreto de las Cortes de t.° de Octubre último; otra de sar las cargas con igualdad entre todos los ciudadanos, se observaba en ■D. Antonio Perales, vecino de esta Corte, para que no se le exijan esto una diferencia notable. Continuó diciendo que se atrevía á presa ciertos derechos por el despacho de título de abogado;y otra del capi giar habría pueblos que'en el momento mismo en que se pidiera el tán re…</t>
  </si>
  <si>
    <t>Peré.zzD, Jacobo</t>
  </si>
  <si>
    <t>Jacobo Peré.zzD</t>
  </si>
  <si>
    <t>…ozarán doble sueldo.” Aprobado. ' cisco Lafuente. zz: D. Antonio Esparza. z=D. Valero-Roces.zz D. Juan El Sr. secretario de Marina fue dé-parecer que debía ponerse en lu Ester, zz D. Jacobo Peré.zzD. Francisco Morelln. zzT&gt;. Josef Cortés.z: gar de las palabras los oficiales de cargo de artillería ias siguientes: los "D. Miguel Romeo.zzD. Benito Vicente.zzD. Francisco Sabaiau.zz condestables. D. Mariano Planas.zzD. Pedro Aznar.zzD. Josef Barcelona.z=D. Jo…</t>
  </si>
  <si>
    <t>Peregil, Antonio Ruiz</t>
  </si>
  <si>
    <t>Antonio Ruiz Peregil</t>
  </si>
  <si>
    <t>…de Mr. B.; pero el francés na pudo ya aguan ta: siga. tarlo. Pedro Rodrigo , Juan Gómez, Mariano Gómez y Sebastian Rodri . .ANUNCIOS, ... . , . ■ , . go, remitidos el primero por D. Antonio Ruiz Peregil, teniente de , A instancia del comisionado principal del Crédito público, y ea fusileros, en 30 de Entro de 1815, y los demas en 10 de Octubre de virtud de providencia del Sr. D.'Angel Fernandez de los Riós, magis 1818 por D. Vicente Manuel Puerta, comisionad…</t>
  </si>
  <si>
    <t>Pereira</t>
  </si>
  <si>
    <t>…nvilecer el carác Otros Sres. diputados fueron de parecer que debía haber ter del Rey, ridiculizar su persona, y destruir el respeto á previa censura en materias de dogma; pero el Sr. Pereira do que es acreedor como hombre público y como particular. Carino dijo, que la censura era la mayor esclavitud delÉstos esfuerzos no. han sido infructuosos entre los ignoran pensamiento; que la Constitución debía proteger la libertad tes y estúpidos; pero las…</t>
  </si>
  <si>
    <t>…s del mayor elogio, sentimos no Circulares del ministerio de Haden la. poder detallar. i.a Por el ministerio de Hacienda con lecha i.° deí actual se han co En otro parte del mismo coronel Pereira, dado en Puerto-Cabello municado á la dirección de resguardos las Reales ¿irdenes que siguen: con fecha de 7 de Julio, da cuenta de lo ocurrido de resultas de la » Exento. Sr.: Al director general de impuestos indirectos y efec desgraciada acción de Carabobo,…</t>
  </si>
  <si>
    <t>…or el Sr. presidente de ias Cen ascendía entre muertos y heridos á 140 , perdió el enemigo mas de 300. tes, prestándose con mucha actividad y zelo io» señores que comro___El mismo coronel Pereira remite con fecha 9 de Junio el parte dado nian la del Gobierno, a dar las luces que pudiesen, y á trabajar en e»w el 8 por el comandante de la columna del Sur D. Ramón Aboy , en asunto. que manifiesta la acción que tuvieron sus tropas, compuestas de 280 La co…</t>
  </si>
  <si>
    <t>Pereira, Antonio</t>
  </si>
  <si>
    <t>Antonio Pereira</t>
  </si>
  <si>
    <t>…itos, excepto de los que hemos indicado. lo, esto debía verificarse sin quitar al hombre la parte mas preciosa de su libertad. Extracto de una carta de Puerto-Príncipe de 18 de El Sr. Antonio Pereira dijo, que siendo las bares de la Diciembre• «-lU.iuti.uvíUü Jú Uw púid ti Uwl^iüC/ Wi.|Uui"“ »E1 café está muy abundante en *!á‘actualidad. Tam brío, era tan injusto el no permitir al poder egecutivo la bién estamos’ inundados de mercaderías americanas; der t…</t>
  </si>
  <si>
    <t>Pereira, Josef</t>
  </si>
  <si>
    <t>Josef Pereira</t>
  </si>
  <si>
    <t>…orre remite desde su cuartel general de Puerto Cabello , con fecha de 8 -con síntomas análogos á los de la fiebre amarilla. S. M., persuadido que de Julio de 1821 , los partes del coronel D. Josef Pereira, comandante en este particular no debe haber la menor condescendencia ni omisión, del segundo batallón de Vaiencey y de la división de barlovento, de me manda prevenir á la junta superior deSanidad de esa provincia, que 2¡3 y 24 de Junio, relativos á la glori…</t>
  </si>
  <si>
    <t>…de Hostalrich D. Josef María de Mutes 142. jica dió parte con fecha de últimos de Junio de haber recibido orden Ciudad, existencia anterior 256: entrados ó acometidos 28: sali del coronel D. Josef Pereira con fecha del 23 para tomar á toda costa dos ó curados t : convalecientes 25 : muertos 1 5 : existentes 268. la plaza de la Guaira; lo que habiendo verificado al frente solamente Total de los tres puntos: existencia anterior 602: entrados ó aco de 6a hombres…</t>
  </si>
  <si>
    <t>Pereira, Josef María de Antas</t>
  </si>
  <si>
    <t>Josef María de Antas Pereira</t>
  </si>
  <si>
    <t>consejeros! de'Estadoiádlos.Sres. conde de;.Penafiel&gt; conde de S'ih Payo* . '¡VARIEDADES. " ‘ ' obispo de Viseo, D..Juan de Acuita Sotomayor, D. Josef María de Antas Pereira, D. Juan Antonio Fexreira de Moura, D. Joaquín Pe -¿Aviso á los labradores , fabricantes y otros artistas españole: que nece dro-Gómez de Oliveira y D. Josef de Mello Freire. siten sisar de una porción considerable de agua. ■En. virtud de una orden de ia mism…</t>
  </si>
  <si>
    <t>Pereira, Luis</t>
  </si>
  <si>
    <t>Luis Pereira</t>
  </si>
  <si>
    <t>…á Marulanda hacia las ocho de la noche del día. *4.",Lle clase. gando á las cercanías del punto señalado , tomaron sus disposiciones el Se "pasó á la de Hacienda una solicitud de D. Luis Pereira de la alcalde y el comandante; en.seguida rodearán la casa , y para ná alla Guardia, sobre "que se le reponga en el egercicio de su 'destino , cuyo narla „• mandó el alcalde al ventero que bajase á la puerta. Lo hizo asi; sueldo disfruta , refiriendo que fue…</t>
  </si>
  <si>
    <t>…ránjuez el de Francis Alpuente, en que pedia se declarase que los empleados que se hallasen cos descalzos de S. Pascual , y se le agregan los individuos del de Yeen igual caso que D. Luis Pereira sirviesen sus destinos en clase de pes. Sé suprimen en Casarubios del monte los calzados de San Asusprimeros , conservándoseles como segundos á los que actualmente los tin; en Chinchón los de la propia orden; en Barajas el de Franciscos obtuviesen, como se ve…</t>
  </si>
  <si>
    <t>Perelió, Mt.nuei</t>
  </si>
  <si>
    <t>Mt.nuei Perelió</t>
  </si>
  <si>
    <t>…s. para:, que i» Jósef Pujals.‘=De id. el-teniente Manuel Zaragoza.=De id. -el- subteverifiquen en ia orden generaldel egército con arreglo;q ordenanza, co niente Juan Capinírrld. teniente Mt.nuei Perelió. ^ .'A ' * mo igualmente al gobernador de esta plaza;para el mismo electo. Ma zcDomingó Vives , oficial vista de ia aduana de Espolia—Hl teniente drid ii de Diciembre de i8at.=El conde de Cartagena. coronel graduado de capitan dé Lec/u, Juan Timoteo ;Inclan.=…</t>
  </si>
  <si>
    <t>Perellós, Salvador</t>
  </si>
  <si>
    <t>Salvador Perellós</t>
  </si>
  <si>
    <t>…pasase á las comisios á conseguir por la fuerza el objeto de su petición antes que el correo nes de Guerra y Hacienda reunidas, una obra escrita por el teniente ge volviese. neral D. Salvador Perellós, y presentada por él Sr. Villanueva, con.el ' PORTUGAL. título de Discursos soh-e la necesidad de premiar á los hijos de los mi litares. Lisboa 18 di Marzo. A la comisión de Diputaciones provinciales pasó una exposición de los vecinos del barrio de S. Antonio…</t>
  </si>
  <si>
    <t>Péréllós, Salvador'</t>
  </si>
  <si>
    <t>Salvador' Péréllós</t>
  </si>
  <si>
    <t>…es establecían qué lás Cortes determinasen la exten la sesión dé 3 del ,corriente. ' ‘“". V.'!.. ’ • ' sión-de los poderes ’ dél Gobierno; y que no hacia la proposición; con ' -De D. Salvador' Péréllós, acerca de la opinión que'debé* formarse di elobjeto de protégér"ál obispo rector ; sitio para cortar el abusó de au la población de Valencia, y espíritii^públicb' que tnotiyó la. discusión toridad que notaba por la persona nombrada, en lo que solo yéia prin…</t>
  </si>
  <si>
    <t>Perewostschikow</t>
  </si>
  <si>
    <t>…ota ocupan hoy ¡os primeros puestos del Estado. El profesor Rohdgyrew ción 3S) rs., pagados los 2S) del fondo de propios, y los restantes del da es secretario de la sociedad, y el profesor Perewostschikow redacta con Unas memorias: los pretendientes dirigirán sus memoriales, francos de el consejero áulico Moskotilnikow las obras que publica. porte, al procurador de dicha villa Josef Martínez hasta el 15 de Agos í.n ch arkow. 15. Existe una sociedad Jilotécnica…</t>
  </si>
  <si>
    <t>Perez, Agustín</t>
  </si>
  <si>
    <t>Agustín Perez</t>
  </si>
  <si>
    <t>…do , que El remedio de la melancolía , ó sea colección de tecreacio-1. consiste en sustituir á las diferentes reglas aritméticas una nes jocosas é instructivas: tomo i.°: su autor D. Agustín Perez simple operación de partgs alícuotas, que se aplica á todos Zaragoza Godinez. Esta obra nueva y única en su clsse contié los casos posibles., ha sido ya aprobado por muchos sabios, na lo mas agradable y divertido que se ha escrito hasta el dia y especialmente…</t>
  </si>
  <si>
    <t>Perez, Antonio'</t>
  </si>
  <si>
    <t>Antonio' Perez</t>
  </si>
  <si>
    <t>…lero de de la Havana , Contra el comandante general de'dicho apostadero: otra la provincia de Guipúzcoa sobre el arreglo y establecimiento de par de D- Francisco Ruiz Fernandez y; D. Antonio' Perez y la Rosa , te roquias. nientes del regimiento infantería de Tarragona , y-D. Juan Josef Valdés, A la comisión de División del territorio español una solicitud del vecino de la misma1 ciudad, contra el Gefe político; y otra de Doña ayuntamiento constitucional…</t>
  </si>
  <si>
    <t>Pérez, Joaquín</t>
  </si>
  <si>
    <t>Joaquín Pérez</t>
  </si>
  <si>
    <t>…comisión, después de haber oido al Pastor. zzD. Valentín Jope. ~ D■ Ignacio Flesas. zz D. Ramón Cana- gunas observaciones hechas por diferentes oficiales del cuerpo de mari les. = D. Joaquín Pérez. zzD. loo Oliyer.zzD. Tomas Perez.zzDon na , creia conveniente retirar los arts. 109, 110 &amp;c. hasta el 121 in Dionisio Larrosa. = D. Pedro Aznar.ez:Di Manuel Vallen. zzD. lo clusive , y los 125 ,,129 , ,13o y 135 , poniendo en su lugar los dos mas Bailo.zz D.…</t>
  </si>
  <si>
    <t>Perez, Josef Joaquín</t>
  </si>
  <si>
    <t>Josef Joaquín Perez</t>
  </si>
  <si>
    <t>…Si yo he puesto El Rey , á consultas del Consejo de Estado , se ha servido nombrar un pensamiento en un papel para mí mismo, creo que según algunos para el obispado de Canarias á D. Josef Joaquín Perez, canónigo doc autores no será mas que un pensamiento , pues dicen que lo que un toral de la Real iglesia colegial del Real sitio de S. Ildefonso. hombre deposita en un papel está contenido dentro de la esfera de los pensamientos cuando no se ha manifestado á…</t>
  </si>
  <si>
    <t>Perez, Juan</t>
  </si>
  <si>
    <t>Juan Perez</t>
  </si>
  <si>
    <t>…o caballería de Sagunto. FRANCIA. Una memoria sobre el mérodo para percibir en los cuer pos los prest y pagas, y para pasar revista de comisario : su Parts 2¡t de Diciembre. autor D. Juan Perez, comandante del segundo batallón de. La Cámara de los Pares , constituida en supremo tri la Princesa. . bunal de Justicia , no se había juntado desde el dia 26 de Otra memoria sobre arregló de infantería, escrita por el Agosto próximo pasado á tratar del asun…</t>
  </si>
  <si>
    <t>Perez, Julián</t>
  </si>
  <si>
    <t>Julián Perez</t>
  </si>
  <si>
    <t>…103 Otra id., núm. 6, en 25,444 rs. seguros generales contra incendios, acaba de nombrar por"su agente y 104 Otra calle de Culebras, núm. 7, eti 2734 rs. apoderado en esta corte á D. Julián Perez, á fin de quepuéda asegu 105 Otra calle-de-Francos , núm. 7, en 24,091 rs. rar , en nombre de la compañía y por su -cuenta, los edificios que se 106 Otraen la Cava nueva y calle de-Gadenas en Triana, núme desee poner á cubierto del riesgo de fuego. La citada…</t>
  </si>
  <si>
    <t>Pérez, Julián</t>
  </si>
  <si>
    <t>Julián Pérez</t>
  </si>
  <si>
    <t>…le he lacio 12 de Julio de 1821. dado., poniendo en egecucion los principios de las instituciones libera les, que han sido siempre el objeto de mi solicitud; y cuyo benéjico influ D. Julián Pérez , al tiempo de recordar á los propietarios y comer jo espero extenderlo con la ayuda de Dios por todos los países que la ciantes de esta corte que está competentemente autorizado por la com Providencia ha conjiado á mi zelo y vigilancia.” ( En su discurso pro…</t>
  </si>
  <si>
    <t>Perez, Luis</t>
  </si>
  <si>
    <t>Luis Perez</t>
  </si>
  <si>
    <t>…tícu ra instancia de Arévalo, vindicándose de la queja que dió contra él los so y 2i (señalados en el proyecto con 21 y Z2) hasta que el Go un vecino de aquella población: otra de D. Luis Perez, vecino de bierno presentase un proyecto de guardia Real, que se estaba forman Jaén , quejándose de una infracción cometida por el capitán de milicias do , á lo que se opuso el Sr. Sánchez Salvador; y después de una corta provinciales de la misma D. Josef Oso…</t>
  </si>
  <si>
    <t>Perez, Manuel</t>
  </si>
  <si>
    <t>Manuel Perez</t>
  </si>
  <si>
    <t>…qué estando 21 leguas al O. del cabo de Sta. María; y la fragata española dos diputados, se llamase á los suplentes mas inmediatos. Se manda Rosario , alias' la Atrevida, capitán- D. Manuel Perez , de la Huvana, ron pasar estas indicaciones á una comisión especial-, y la tercera era en 35 dias, en lastre: dice que la fragata de guerra Pronta se concep relativa á que habiéndole entregado diferentes corporaciones de aquella tuaba saldriá para el dia 20…</t>
  </si>
  <si>
    <t>…ancisco Fernan mencionado sitio y dia. dez López; para la de Tabernas á D. Melchor Cortés Llamas; paro la María Moneva y Benito, natural de esta corte, muger de Pedro de Almería á D. Manuel Perez de los Ríos; para la de Gergar á Don Rivero, oficial de carpintero, se fugó del lado de su marido en el año Aligue! Antonio Company; para la de Fiñana á D. Manuel Vicente de 181 2, y en el de 13 pasó á Francia en compañía de un herrador dé Morent; para la de…</t>
  </si>
  <si>
    <t>Perez, Manuel Daroian</t>
  </si>
  <si>
    <t>Manuel Daroian Perez</t>
  </si>
  <si>
    <t>…ocurre novedad particular en la importante salud de SS. MM. dirá á la calle del Desengaño, frenie á la del Barco, núm 3, cuar y AA.” to 2.0. donde vive el secretario de la escuela D. Manuel Daroian Perez; adviniéndose que. la matrícula está abierta todo el año. P.l Rey ha expedido el decreto siguiente : VARIEDADES. ” Don Fernando vir por la gracia de Dio» y por la Constitución da la Monarquía española , Rey de las Espafias, á todos los qu¿ las pre Globos aero…</t>
  </si>
  <si>
    <t>Perez, Manuel Sánchez</t>
  </si>
  <si>
    <t>Manuel Sánchez Perez</t>
  </si>
  <si>
    <t>…Ca que hacían varios ciudadanos domiciliados en aquella provincia, y ren llao.” dentes en la actualidad en esta corte- Otra del ayuntamiento constitu Idem jo. cional de Molina, y D. Manuel Sánchez Perez, apoderado de vanos La derrota del egército de Sanmartín á las puertas de Lima se con pueblos de su rodalía, en la que hacian presente los perjuicios que sí firma por cartas que vienen de diversos puntos, aunque r,o^ hemos reci les seguiría si se segregase pa…</t>
  </si>
  <si>
    <t>Perez, Pedro de Alcántara</t>
  </si>
  <si>
    <t>Pedro de Alcántara Perez</t>
  </si>
  <si>
    <t>…segundo toma Se cita y emplaza extrajudicialmente á los que juzguen tener ín rán asiento entre los demas diputados. Art. 27. El presidente nombrará teres á la herencia del Excmo. Sr. D. Pedro de Alcántara Perez de lá diputación que ha de dar parte al Rey de la instalación de las Cor Guzmart el Bueno, duque que fue de Medinasidonia, por el título de tes, y del nombramiento de presidente, haciéndose esta comunicación criados de su casa , á fin de que, legitimando sus…</t>
  </si>
  <si>
    <t>Perez, Rafael</t>
  </si>
  <si>
    <t>Rafael Perez</t>
  </si>
  <si>
    <t>…raL, en ei mismo partido, del presente mes de Enero. ■su cabida de una tahuila y 16 brazas, linda con tierra que Treinta y una fanegas y 2 celemines de tierra de labor, administra D. Rafael Perez, con las de D. Pedro Racho, del éñ Viliaseca, en 8164 rs. Crédito público y de D. Trifon Estor, en 2656 rs. y 8 mrs. Otro trozó ae tierra riego moreral, en el partido de la VARIEDADES. Era alta, stí cabida 2 tahullas, una ochava y 20 brazas, lin da con las de…</t>
  </si>
  <si>
    <t>Perez, Tomas</t>
  </si>
  <si>
    <t>Tomas Perez</t>
  </si>
  <si>
    <t>…e acordó unánimemente ( entre otras cosas} citar por medio que no experimente el menor atraso. de ios periódicos la gaceta y diario á los acreedores de la misma Do ña María Fraga, D. Tomas Perez, D. Juan Antonio de! Cerro, seño AUDIENCIA DE CATALUÑA. res Cock, Sres.-Oterhr Windsor, D. Matías de Gandásegui, Doa Juan Augustus, D. Gaspar Gómez de Alia, D. Julián de Leis, Do* Concluye la visita general de la cárcel pública de la ciudad de Barce Manuel de…</t>
  </si>
  <si>
    <t>PerezdeGuzspo, Fernán</t>
  </si>
  <si>
    <t>Fernán PerezdeGuzspo</t>
  </si>
  <si>
    <t>…ntón epistolario , ó» Cartas del bachiller Fernán Gómez de Cibdadabsurdo el decir que ia definición del delito no es necesaria en el cri real; y generación y semblan zas del noble caballero Fernán PerezdeGuzspo de delitos. Vamos á ver si la definición que da la comisión es tan min , claros varones de Castilla , y Cartas de Fernando del Pulgar: do» dislocada y tan imperfecta como se ha querido suponer. tomos en 8.° marquida, á 16 rs. en pasta y á ao en rústica, fie h…</t>
  </si>
  <si>
    <t>Peris, Francisco Pascual</t>
  </si>
  <si>
    <t>Francisco Pascual Peris</t>
  </si>
  <si>
    <t>…s se mandaba que se pre Joaquín Martínez Diez Campaya; pata Ayora D. Silvestre Berdú y sentasen los títulosy demas documentos en un término fijo, para que MirambeT, para Alberique D. Francisco Pascual Peris; para Sueca Dou los pueblos no se resistiesen á pagar los derechos de señoríos-, por cu Joaquin Angulo; para Morella D. Juan Murcia y Montero; para yo medio rebatió lo que habia expuesto el Sr. Lobato con respecto á la Peñíscola D.. Antonio Castellano. Cabrej…</t>
  </si>
  <si>
    <t>Perramon, Vicente</t>
  </si>
  <si>
    <t>Vicente Perramon</t>
  </si>
  <si>
    <t>…ma y emplaza á los que se consideren con derecho á los bienes &gt; ción, y que al momento ios entregó á una comisión militar. No debe que quedaron por ei fallecimiento abintestato de D. Vicente Perramon, • ser extraño que en Milán , Parma y en todas partes, se inventen taies cirujano mayor que fue del hospital de Extremadura , para que dentro conspiraciones, pues se inventan explosiones en Paris. La política ma de 30 dias, que por tres términos y el último p…</t>
  </si>
  <si>
    <t>Persoa, Francisco</t>
  </si>
  <si>
    <t>Francisco Persoa</t>
  </si>
  <si>
    <t>…das sus circunstancias bra, sobre denuncia de los bienes y efectos de que se compone el vín: de la confianza de la junta. Asistirá á las sesiones; dará razón de los culo que fundó D. Francisco Persoa y Doña Isabel del Castillo; y sien negocios que hayan de tratarse; extenderá el acta, que deberá quedar do acreedora en estos autos Doña María Moreno y Rubio por cierto sentada en un libro destinado al objeto, rubricado por el presidente y* crédito que le dejó D. Manuel de Santibañez,…</t>
  </si>
  <si>
    <t>Pesanha</t>
  </si>
  <si>
    <t>…o ser demasiado largas no se han publicado. ■ paga! Se continuó la discusión del preámbulo de la Constitución; y el » Aquellos compañeros míos que han podido adquirir todos los do Sr. Pesanha no convino en que se dijese » en el olvido de las leyes fun cumentos necesarios tendrán cuidado, á no dudarlo , de manifestar la damentales de la Monarquía,” calificando de dudosa la autoridad de las larga serie de hechos que demuestran el servilismo de la ce…</t>
  </si>
  <si>
    <t>Pesquerías, Juan Ignacio</t>
  </si>
  <si>
    <t>Juan Ignacio Pesquerías</t>
  </si>
  <si>
    <t>…aciones sobre las dudas tación provincial. D. Josef Llaves Valdés , oficial retirado. ocurridas en la de Alicante acerca del aforo y despacho de hierro , y Galicia. Puente de Hume D. Juan Ignacio Pesquerías , escribano. opina que se adopte lo que proponen Jas comisiones de Hacienda y Co Tuy D. Juan Bautista Losada, abad de salcidos. Viga D. Manuel Bar men :io en esta parte. cena, alcalde i.' Cambados D. Francisco Taboada, teniente general, A la referida comisión…</t>
  </si>
  <si>
    <t>Pessanha</t>
  </si>
  <si>
    <t>…ndia, en los mismos términos que lo hacia-la pt-jzi. la-nación.; que debia declararse si esto'era-ó no un crimen, y nombrar de Lisboa. un tribunal que juzgase á este personage. El Sr. Pessanha , en nombre de las- comisiones- de Constitución y - La sesión siguió muy acalorada; se pidió que fuese permanente, y Poderes, leyó el dictamen de las mismas sobre el oficio remitido por que la Regencia informase acerca de las providencias que había toma el Go…</t>
  </si>
  <si>
    <t>…misiones de =: A D. Antonio Barata. Agricultura y Comercio' diesen cada una su dictamen sobre quién deba hacer dicho nombramiento. El Rey ha expedido el decreto siguiente: ' ' F.I Sr. Pessanha preguntó si le era permitido á cualquiera ciudada D. Fernando vri por la gracia de Dios y por la Constitución de la no de fuera del Congreso decir en, un papel impreso que aprobaba ó Monarquía española, Rey de las Españas, á todos los que las presen desaproba…</t>
  </si>
  <si>
    <t>Pesseto, Bernardino</t>
  </si>
  <si>
    <t>Bernardino Pesseto</t>
  </si>
  <si>
    <t>…que sigue en el mismo D. Josef Agustín Va-En Zamora en la de D. Mateo Hernández de Medina, de llester, vecino y dél comercio de Vinaróz, con D. Joaquin Meid. En Valencia en la de D. Bernardino Pesseto ; y en San seguer , de la propia vecindad , sobre pago del importe de 79 bar tander en la de D. Antonio de JaCuesta, boticario. En cu riles de-harina, y-áatisfác'er de ellas la suma de40,140 es., que ya ciudad han sido falsificadas , con grave perjuicio de la…</t>
  </si>
  <si>
    <t>Pestaña, Josef Alvarez</t>
  </si>
  <si>
    <t>Josef Alvarez Pestaña</t>
  </si>
  <si>
    <t>…, 579 rs. vn.; y la otra Antonio Ibarra.'ccrEn la de Galicia á D. Esteban Moyano , D. Pedro en la misma calle Ancha de S. Bernardo entre el núm. 2 , que hace Bermudez del Villar y D. Josef Alvarez Pestaña. =: En la de Sevilla á esquina y vuelve á la de la Garduña á la manz. 497, y está entre di D. Francisco Olavarrieta y á D. Eugenio de Larrnmbide.=En Extre cho monasterio, que tiene el núm. 1, y tiene de sitio 6417 pies cua madura á D. Evaristo de la Dehesa y…</t>
  </si>
  <si>
    <t>Petra</t>
  </si>
  <si>
    <t>…celona, solicitando se le admitan ciertos créditos pro-- Real, y que esto no era sino obra de los malos españoles; lo que de cedentes de suministros-en la-última guerra; y otra de Doña Petra y bían dar á conocer las Cortes áS. M., como él ya lo habia hecho enDoña Teresa Gómez Sólicitándó una pensión...... algunas noticias que se le habian pedido. Ala comisión donde están los antecedentes se mandó pasar una El Sr. Martínez de la Rosa manifestó que…</t>
  </si>
  <si>
    <t>Petrinelli</t>
  </si>
  <si>
    <t>…Las guarniciones de las dos plazas mencionadas seguirán la suerte de las demas tropas napolitanas. ... ITALIA. Hecho, concluido y firmado por duplicado, entre S- E. el’ te niente general Petrinelli, gobernador de Ñipóles , y el Sr. conde de Turin i.° de Abril. Fiequelmont, mayor general, autorizados los dos con los poderes nece Tenemos que deplorar un tristísimo suceso, efecto funesto de nues sarios para este objeto.rrFirmado en Aversa á 25 de Marzo de…</t>
  </si>
  <si>
    <t>…n comprendidos , según se dice , el ex-presidente Bofellij resistir 3 ips tiranos del mundo; pero si el nobl.e marques no se dá el ex-ministro de Justicia, el-general Cofetla , el general Petrinelli,que priesa á tomar ést?, medidas , más tarde va no.será tiempo. ■fue gobernador de Ñapóles &gt; y el general Vairo.! • Es verdad que la Rusia y el Austria podran-disculparse , recordan . Todavía está aquí la; escifádriltá-francesa-, - v-muchós de los buques do a…</t>
  </si>
  <si>
    <t>Peüicec, Antonio</t>
  </si>
  <si>
    <t>Antonio Peüicec</t>
  </si>
  <si>
    <t>…endióse el señor Reináis acerca de las últimas providencias , di (O Este marido v muiiet eran los mismos guardianes de la polacra de Lloret de que hemos dicho hablaba el oficio de D. Antonio Peüicec ciendo haberse dispuesto que todos ¡os facultativo» diesen partes conse dirigido á ia junta de «anidad. cutivos de todas las novedades ocurrentes.</t>
  </si>
  <si>
    <t>Pezuela</t>
  </si>
  <si>
    <t>…ron bajo su disposición. Los Señores ra sus fines en uno de sus periódicos; pero el compositor ignoraba que D. Francisco Raberto y D. Felipe Trullet, profesores de cirugía. Don el Sr. Pezuela habia dejado el mando, y se le descubrió su enredo. Juan Vieta se ofreció para inspeccionar los cadáveres D. Josef María . Otro periodista, que aun no quiere que Lima sea conquistada, la po Bauza, D. Pedro Matamala, capellán de milicias, D. Miguel Maza, ne en…</t>
  </si>
  <si>
    <t>Pfield</t>
  </si>
  <si>
    <t>…tribuciones del poder judi ridos. Murió en ella el capitán Schmidt, del batallón de cazadores cial ; que los que componían el primero estaban obligadas, segun el fuerou heridos el capitán Pfield , de ios húsares del Rev de Inglaterra, art. 117 de la Constitución, á mirar por el bien y prosperidad de la y el teniente Braum , del primer batallón de cazadores. Nación; por lo que el cuerpo legislativo debia acordar medidas en ,, Mientras se peleaba en Ri…</t>
  </si>
  <si>
    <t>Phillimore</t>
  </si>
  <si>
    <t>…or desgracia se manifestase otro parti algunas.peticiones de los propietarios de tierras de muchos condados. do mal intencionado á la llegada del Príncipe ó- de alguna otra Per El doctor Phillimore anunció que el 14 de este mes haría una pro sona Real. puesta para que se le permitiese presentar un bilí, relativo á que se ha El Sr. Freire manifestó lo que era el juramento de los tribunales y gan algunas variaciones en la ley sobre el matrimonio. el del p…</t>
  </si>
  <si>
    <t>…rero¡ - James ÁVláck.intosh, “Mr.'.AVijLberforce, ¿ord Palmerston , Mr. W. El Rey ha nombrado enviado extraordinario y ministro plenipo Wjmn, Sir f. Nexvport'V Sir H. PorneU , y ¿ doctor Phillimore. tenciario cerca de lacorte.de España’ al teniente general Tawast, pri .•¡D- ■ ; Di*' .’.- ‘ ' itt .. - ■' mer gentilhombre de cámara, el cual estaba de ministró'en"la cor , ...... ..j.rH-AvcrA. te de Dinamarca, adonde va á sucederle el consejero de chaticill…</t>
  </si>
  <si>
    <t>Pi, Francisco Fernandez del</t>
  </si>
  <si>
    <t>Francisco Fernandez del Pi</t>
  </si>
  <si>
    <t>…ida de ner en la provisión de la regencia de la audiencia de" Granada ,,úDon Yucatán .- á D.„Manuel Gorvea , asesor de la intendencia de Tarma en Josef López de Cozary debe ser „4 D. Francisco Fernandez del Pi el Perú: á D. Miguel de Náxera , auditor de guerra en Popay.in; y á no, regente interino que era en la de Extremadura.”__Igualmente en D. Simón Fernandez Blanco y Martínez, asesor general que lia sido en la provisión de la última plaza de magistrado para Ja a…</t>
  </si>
  <si>
    <t>Pí, Josef Ixant y</t>
  </si>
  <si>
    <t>Josef Ixant y Pí</t>
  </si>
  <si>
    <t>…nte promovido por ios de abogado de ia misma. Cervera D. Francisco Pastoret, hacendado de la fensores de los reos comprendidos en ia causa formada por las ocurren misma. Tarragona D. Josef Ixant y Pí, comerciante de Tarragona. cias de 10 de Marzo de 1820 en Cádiz , acerca del modo con que ha D. Joaquín Andreu , abogado y escribano de Vails. Gerona D. N. De- bían de instruirse del proceso ¡os defensores de ios reos , presentaron su las , barón de Vilagaya…</t>
  </si>
  <si>
    <t>Piadonde, Silvestre</t>
  </si>
  <si>
    <t>Silvestre Piadonde</t>
  </si>
  <si>
    <t>…_ El ministro de Estado conde de Barbacena habia dado su di tenia á menos concurrir, pues tenían los nobles para sí sitios públicos, misión; y el Rey habia nombrado en su lugar al Sr. D. Silvestre Piadonde solo ellos concurrían. Y si recorriéramos lo absurdo de muchas nheiro Ferrelra. leyes, hallaríamos disposiciones que nos asombrarían cada vez mas, articulo de oficio. si las comparásemos con las que nuevamente se van introduciendo. En el dia vemos establecida…</t>
  </si>
  <si>
    <t>Piaña</t>
  </si>
  <si>
    <t>…Diciembre. pendiente , y no es ni puede ser patrimonio de ninguna fa milia ni persona. ‘ Sesión del 2j de Noviembre. Art. 3.“ La soberanía reside esencialmente en la nación, ' El diputado Piaña leyó un proyectó sobre establecimien y pqr lo mismo pertenece a esta exclusivamente el derecho tos piadosos y sqb e su administración, en el cual proponía de establecer sus leyes fundamentales. Art. 4.0 La nación está obiig da á conservar y prote que se estab…</t>
  </si>
  <si>
    <t>Picard, Vice'flte</t>
  </si>
  <si>
    <t>Vice'flte Picard</t>
  </si>
  <si>
    <t>…- la ^guardia nacional cinos.de Villanueva de los Castillejos /provincia dé la Mancha , sobre las'suministrarán sucesivamente los respectivos ayuntamientos. ‘ ' lo mismo : otra dé'D. Vice'flte Picard , s-ecinó de Uinicarló , provincia - 6.° - ,¿ Los capitanes de la guardia nacional llevarán atada al brazo de Valencia-contra' D.‘; N. Mqnserrat y D. Josef Bosch , alcald^ izquierdo una faja azul con franja de oro ; los tenientes y subtenientes constitucional…</t>
  </si>
  <si>
    <t>Picardo, Bartolomé N. y</t>
  </si>
  <si>
    <t>Bartolomé N. y Picardo</t>
  </si>
  <si>
    <t>…ue se hallaba en gislación, concedieron carta de ciudadano á D. Bfltran Lasalle . de! aquella época; y vqo también que cuando en las Cortes extraordinarias comercio de Málaga, y á D. Bartolomé N. y Picardo, vecino y del se trató) de discutida Constitución no se dio el Carácter de representan comercio de Cádiz; y se la riegaroa al presbítero D. Pedro Dupor.t, tes á los eclesiásticos, sino bajo la condición de que cada uno que vinie cura de la parroquia de Sha. M…</t>
  </si>
  <si>
    <t>Picardo, Juan Bautista</t>
  </si>
  <si>
    <t>Juan Bautista Picardo</t>
  </si>
  <si>
    <t>…términos: «Que efi virtud de lo gan ó pretendan tener derecho á los bienes quedados por el fallecimien aprobado por la junta preparatoria se resuelva que no deben continuar to de D. Juan Bautista Picardo, ocurrido en 15 de Octubre del año egerciendo las funciones de diputados otros suplentes sino los de Fili pasado de 1819 , para que en el término de 60 dias , contados desde el pinas, el Perú y la isla de Cuba.” dia 30 de Agosto último, se presenten á¡deducir…</t>
  </si>
  <si>
    <t>Picolomíni, Antonio Benito</t>
  </si>
  <si>
    <t>Antonio Benito Picolomíni</t>
  </si>
  <si>
    <t>…ao. der. religión; pero se le contestó que este artículo trataba solo de los debe D. Antonio Jardin. ' D. Juan Tomas de Iturralde , de res cívicos, y no de los deberes raligiosos. D. Antonio Benito Picolomíni. Pamplona. Por último se aprobaron las dos citadas proposiciones, y se acordó D. Dionisio Antonio de Arizmen- D. Juan de Urbina. que volviese el artículo á la comisión para que Jo redactase de nuevo. te , de S. Sebastian. La compañía de Pozuelo de Ai ar El Sr…</t>
  </si>
  <si>
    <t>Picuitlem, Francisco</t>
  </si>
  <si>
    <t>Francisco Picuitlem</t>
  </si>
  <si>
    <t>…ulosa ave al efecto de que habilitase el mencionado edificio para el objeto á que riguación y examen de su derrotero, resultando de todo que su'coman se destinaba; oficióse al Dr. D. Francisco Picuitlem para que nombra dante habia cumplido exactamente con lo que se le había prevenida se un facultativo; á los Sres. de la casa de Caridad que facilitasen una en Bahía-, preguntaba si al citado bergantín podría dársele comunica camilla de trasporte; á los adminis…</t>
  </si>
  <si>
    <t>Pierrad, Santiago</t>
  </si>
  <si>
    <t>Santiago Pierrad</t>
  </si>
  <si>
    <t>…idad. .......— empréstito hecho por Ardoin, Laffitreyy compañía. .. . Durante este ardiente debate hubo algunas escenas muy animadas; A la de Legislación se pasó una exposición de D. Santiago Pierrad, cuando se leyó la carta del ministro al síndico de los corredores de natural de Francia, coronel del regimiento.'de caballería ligera de la .cambios., en que le participaba que habian sido derrotados los napo Reina; y otra de D. Benito Boubillon, natural de…</t>
  </si>
  <si>
    <t>Pietro, Miguel de</t>
  </si>
  <si>
    <t>Miguel de Pietro</t>
  </si>
  <si>
    <t>…ntes de la Península, y en las mas del reino de los Países-Bajos; y el 2 de Julio habia muerto en Roma conocidas de las extrangeras; y esta circunstancia ofrece la conveniencia el cardenal Miguel de Pietro, penitenciario mayor. de quedos feriantes pueden negociar y recibir letras en Cáceres sin ex Parece que en Francia se quejan también del contrabando, y que poner sus fondos á los caminos: lo que se hace saber al público para su estaba erigido en sistema este…</t>
  </si>
  <si>
    <t>Pignatellí</t>
  </si>
  <si>
    <t>…las cuales se cuentan 512 curas, 99 frailes, $ j reli ——Durante la ausencia del duque de Gallo, secretario d« giosas profesas, y 1486 judíos. Estado y de la Marina, despachará el Sr. Pignatellí; y du rante la del príncipe' de Cardito, presidente de la comisión Ñapóles jo de Diciembre. de instrucción pública, hará sus veces el Sr. Francisco Rossi, individuo de la misma comisión. ^ Sesión del lo. Después de haber leído el secretario una carta del mi I…</t>
  </si>
  <si>
    <t>Pignatelli, Diego</t>
  </si>
  <si>
    <t>Diego Pignatelli</t>
  </si>
  <si>
    <t>…lero, en 899,389 rs. había verificado su augusto hermano el Príncipe de Salerno, quien lle En la provincia de Plasencia , procedentes de la encomienda mayor del va de ayudantes al príncipe D. Diego Pignatelli y al marques de Bra- orden de Alcántara, vacante por fallecimiento del Sermo. Sr. Infan maschi. Gaeta,Capua, Pescara y Civitta-del-Tronto se hallan provis te D. Antonio, para cuyo primer remate , que debe celebrarse en la tas para mucho tiempo ; esta última e…</t>
  </si>
  <si>
    <t>Pignatélli, Nicolás</t>
  </si>
  <si>
    <t>Nicolás Pignatélli</t>
  </si>
  <si>
    <t>…ro los amantes de la humanidad, que no pueden menos de to visionalmente él. ministerio de Negocios extrangeros el prín mar parte en él aun los extraños; pero ¿quién-al ver un cipe D. Nicolás Pignatélli, rayo de luz semejante difundiendo sus benéficos resplando i Anteayer se terminó en el Parlamento la discusión de res sobre nuestros conciudadanos, sobre el suelo, que nos ha la ley para la abolición de los fideicomisos en Sicilia. visto nacer, que nbs mantie…</t>
  </si>
  <si>
    <t>Piguillcn, Francisco</t>
  </si>
  <si>
    <t>Francisco Piguillcn</t>
  </si>
  <si>
    <t>…n ciándose la apelación. de médicos franceses al gefe político de Barcelona sobre lá epidemia. 4.0 32. Cuatro procesados por comiso. Principió en 25 de Febrero de La carta del Dr. D. Francisco Piguillcn á estos médicos en respuesta á 1820: en libertad. Ultimo estado de esta causa. Sustanciándose la ape dicho parecer oficial. g.u El anuncio y análisis crítico del primer opús lación de la'sentencia dada en 4 de Mayo. culo sobre la peste y la fiebre amarilla de…</t>
  </si>
  <si>
    <t>Piguillem, Francisco</t>
  </si>
  <si>
    <t>Francisco Piguillem</t>
  </si>
  <si>
    <t>…l Gobierno de Bahía y demas papeles, opinaba que á tos que faltaban en él. dicho conde debía ponérsele en una segura y decente prisión de ¡a tor Dia 10. Se dirigió la junta al Dr. D. Francisco Piguillem al efecto re de Belem, ínterin se averiguaba, su conducta, y se le formaba la cor de que nombrase diariamente un facultativo que permaneciendo en la respondiente causa; debiendo oírsele, y mandar venir todas las infor puerta del mar impidiese la entrada í tod…</t>
  </si>
  <si>
    <t>Pililo</t>
  </si>
  <si>
    <t>…ién será el que Marina, Puigblanch , Ó-D_ali, Alonso topez, Savariego , Sotomayor, , "niegue esta evidencia? Si se entra en el examen de dichas causas, se verá Michejena, Lallave £D. Pililo), Pierola,, Puchec, Pedraza, Méndez, . que el resultado es mas bien efecto de la necesidad que no de otra co- Navarro £ D- Andrés) , Quirosa, Mora,’ Uragá, ChrcoHermosiiía, , sa ; pues cuando la obediencia lleva en pos da sí la ruina de la libertad, Castoreña…</t>
  </si>
  <si>
    <t>Pillaría</t>
  </si>
  <si>
    <t>…os diputados se presenten en las Cortes sufrirá la pena de privación Constitución. de empleos , sueldos y honores,” El Sr. Rentero Alpuente dijo que como había expresado la adi El Sr. Pillaría manifestó que en el proyecto de ley constitutiva del ción el Sr. Vitorica, tenia el mismo espíritu que como ét la habia egército se consideraba como delito de traición el emplear la fuerza ar extendido; pero que nunca era da mas ni dañaba que se pusiere: ,,Co…</t>
  </si>
  <si>
    <t>Pimentel</t>
  </si>
  <si>
    <t>…— ticular. carnp; y para Marina el Sr. Eramisto Maximtano de El lord Grey habla hablado en favor de una absoluta Soasa. neutralidad en todos casos (el conde Grey no, no); de es £1 Sr. Pimentel propuso que se extendiese la fórmula del te principio resultaría todo menos la-neutralidad; pues si se juramento de la Regencia, y se señalase el parage en que adoptase, producida un efecto contrario. Esto se adverti- debía prestarlo , que se acordó fuese en…</t>
  </si>
  <si>
    <t>Pimentel, Antonio</t>
  </si>
  <si>
    <t>Antonio Pimentel</t>
  </si>
  <si>
    <t>…cándose de la infracción de que sé.quejó á las Cortes D. Hermene secretaría de Estado, el cual dijo que S. M. habia recibido un correo gildo Chaca; vecino de aquel pueblo: otra de D. Antonio Pimentel, extraordinario,,.* que traía la agradable noticia de que S. M. Fidelísima juez de primera instancia de Montilla, provincia de Córdoba, vindi D. Juan vi habia jurado solemnemente reconocer la Constitución que cándose de la queja que dieron contra él algunos S…</t>
  </si>
  <si>
    <t>Pin</t>
  </si>
  <si>
    <t>…ad de unos corazones y no teniendo ninguno la mayoría, se pasó á terceri elección er.tr-a ;os puros , llenos de los mejores deseos. dos Sres. Ezpeleta y Paul ; quedando ei.gido el Sr. Pin! por 8z -.-oros Ño tenemos en el dia enemigos que cara á cara se presenten , y cu de 135yo orgullo sabemos ya abatir; pero tenemos otras dos clases que son Para secretarios salieron los Sres. Clemencin por 78 votos, Medramuy perjudiciales. La primera se compo…</t>
  </si>
  <si>
    <t>Pineda, Martin de</t>
  </si>
  <si>
    <t>Martin de Pineda</t>
  </si>
  <si>
    <t>…as extensión á los depósitos donde juez letrado de esta corte, vacante por renuncia de D. Valentín Recio, antes existían las fumigaciones; y entre tanto que se reemplazan, se ha i D. Martin de Pineda. llarán al precio de 60 rs. las antireumáticas, á 40 las antivenéreas y á .30 las locales en Alicante en casa de D. Josef Sirvent; en Sevilla en A consulta del consejo de Estado se ha servido S. M. nombrar pa ia de D. Francisco Claucel; en Audújar en ia de D.…</t>
  </si>
  <si>
    <t>Pinedo, Francisco Aguifré y</t>
  </si>
  <si>
    <t>Francisco Aguifré y Pinedo</t>
  </si>
  <si>
    <t>…ias del Doña Francisca López Zapata, viuda de D. Josef Cerdah , ciudadano Aquelarre, con otros dijes y preciosidades dignas de aquellos claros va que fue de Ja ciudad de Zaragoza; D. Francisco Aguifré y Pinedo, rones. Nuestro apreciable Moratin, disfrazado bajo el nombre del ba vecino de Ben abarre, y D. Joaquín del Corral y Resa, vecino de Alba chiller Posadilla, ha sembrado á manos llenas los chistes y las gracias en de Tormes, únicos perceptores de dicho legado,…</t>
  </si>
  <si>
    <t>Pinedo, Manuel Ortiz de</t>
  </si>
  <si>
    <t>Manuel Ortiz de Pinedo</t>
  </si>
  <si>
    <t>…ander. do con la Sta. Sede para la egecucion de las leyes dirigidas á modifi A la de Infracciones de Constitución se pasó una exposición de car la actual disciplina de la Iglesia. D. Manuel Ortiz de Pinedo , juez de primera instancia de la ciudad Se leyó también por primera vez el dictamen y proyecto de ley de Toledo, en que se justifica de la queja que contra él dió D. Geró presentado por la comisión especial nombrada para informar acerca de nimo dé Celanova.…</t>
  </si>
  <si>
    <t>Piñeiró, Pedro</t>
  </si>
  <si>
    <t>Pedro Piñeiró</t>
  </si>
  <si>
    <t>…e iSssjy por la pro duo , porque temía mucho los efectos del despotismo; y por último vincia de la Puebla. que la gloria de Ja marina portuguesa y la economía de este ramo pen Dr. D. Pedro Piñeiró, doctoral de esta santa iglesia; Dr., D. I.ms día de una buena administración , que siempre está mejor en manos de Mendizabal y Zubialdea; Dr. D. Josef María Oller, cura de Tiacote5 ó 5 personas que en la de una sola. pec; Lie. D. Josef María de la Llave , cu…</t>
  </si>
  <si>
    <t>Pinheisuscitar, Silvestre</t>
  </si>
  <si>
    <t>Silvestre Pinheisuscitar</t>
  </si>
  <si>
    <t>…ión. zs Lisboa 20 de Julio de 1821. reLotario de Berks.” francés. El objeto á que se dirigen todos los esfuerzos de los ultras es á Niimero 5.0 (Traducido del francés.) » S. E. el Sr. Silvestre Pinheisuscitar una desavenencia entre Air. Decazes y el ministerio; pero ro Ferreira, ministro y secretario da Estado de Negocios extrangeros de, todavía no han podido conseguirlo , porque Mr. Decazes ha manifestado S. M. Fidelísima, tendrá sin duda noticia de la nota, que…</t>
  </si>
  <si>
    <t>Piñhelro, Silvestre</t>
  </si>
  <si>
    <t>Silvestre Piñhelro</t>
  </si>
  <si>
    <t>respete, y que está próxima á salir para el Archipiélago una escuadra El Sr. secretario leyó el oficio del ministro Silvestre Piñhelro, en inglesa con el objeto de proteger nuestro comercio. el que manifestaba en nombre del Rey su detención en aquella corte __El Times se resiste a creer, por lo'que dicen algunos-periódicos los buques que acompañarían á S. M.', y su. desaprobación de.- Jas.re…</t>
  </si>
  <si>
    <t>Pinillos, Roque Gaspar Diego de</t>
  </si>
  <si>
    <t>Roque Gaspar Diego de Pinillos</t>
  </si>
  <si>
    <t>…lmente eii las jueces de primera instancia de la provincia de León en esta forma: fábricas de paños de Lóuvler ; é igualmente les enseñará, bajo ciertas para el partido, de León á D. Roque Gaspar Diego de Pinillos: para condiciones, la preparación de estos, las operaciones para guarnecerlos, el de Gordon á D. Gerónimo Tcjerina: para el de Villafranca á Don los times y demas que se practica en ¿lias. Y el Sr. Citerne mantiene Josef García Alfonso: para el de Astorga á D…</t>
  </si>
  <si>
    <t>Pino, Bautista</t>
  </si>
  <si>
    <t>Bautista Pino</t>
  </si>
  <si>
    <t>…nos desmentimos; y que fieles observadores de las le tas de Zafarralla. yes , no ríos contentamos con decir que las veneramos, sino que nos sir Se dió cuenta de una exposición de D. Bautista Pino, diputado i ven de norma para conducirnos. Cortes electo por la provincia de México por ios años 20 y 2i, en ja Habia ciertas disensiones entre forzosos y voluntarios, procedentes que hace presente desde Veracruz que no puede continuar su viage á. de pequenec…</t>
  </si>
  <si>
    <t>Pinol, Miguel</t>
  </si>
  <si>
    <t>Miguel Pinol</t>
  </si>
  <si>
    <t>2</t>
  </si>
  <si>
    <t>…suspensión de todo movimiento vi descubrimientos modernos., aplicada á la medicina y á,las ar tal ,. en los cuales ha vuelto la vida, que habia estado embar tes , por el ciudadano D. Miguel Pinol, licenciado en farmacia. gada mas tiempo que d trascurrido desde la egecución has Este pequeño compendio, que con tanta brevedad y claridad ta los experimentos hechos en el individuo de que se trata. da á -primera vista á conocer los verdaderos resultados de…</t>
  </si>
  <si>
    <t>Piñol, Miguel</t>
  </si>
  <si>
    <t>Miguel Piñol</t>
  </si>
  <si>
    <t>…de Hofmann. También han según descubrimientos modernos aplicada á la medicina y á las artes, merecido los debidos elogios una esfera armilar de cobre de una gran por el ciudadano D. Miguel Piñol, licenciado en farmacia. Este peque de dimensión; una balanza hidrostática ingeniosísima, y una máquina ño compendio, que con tanta brevedad y claridad da ú primera vislaá nuevamente inventada para explicar el movimiento de la tierra.y de conocer los verdader…</t>
  </si>
  <si>
    <t>Pinuaga, Fernando</t>
  </si>
  <si>
    <t>Fernando Pinuaga</t>
  </si>
  <si>
    <t>…orma letal. sef de Vilches y D. Gonzalo Heredia: para la de Sevilla á D. Blas Con todo hasta que esta se vea sólidamente establecida ¡ cuántos dis Araguetes: para la de Astriñas á D. Fernando Pinuaga y D. Pascual gustos y males nos hubiera ahorrado el Gobierno, haciendo por su Aipuente: para la de Extremadura á D. Vicente Esteve: para la de parte lo posible para desembarazar el terreno de los estorbos que impi Aragón á D. Vicente Lago Robles : para la de Valencia á D.…</t>
  </si>
  <si>
    <t>Pió, Juan Manuel</t>
  </si>
  <si>
    <t>Juan Manuel Pió</t>
  </si>
  <si>
    <t>…a, Por la provincia ¡le Cuenca. D. Diego Parada, regidor de Madrid; publicando una proclama contra esta insubordinación, diciendo que To D. Nicolás Escolar y Noriega , presbítero; D. Juan Manuel Pió de dos querian mandar y nadie obedecer; y que no volverla sino bajo Arias, abogado; Di Manuel de Sierra, propiciarlo. Suplente. D. Pedro ciertas condiciones que le pusieran en estado de organizar los cuerpos, y Josef Villena. castigar á los que lo merecieran.…</t>
  </si>
  <si>
    <t>Pira, Fran</t>
  </si>
  <si>
    <t>Fran Pira</t>
  </si>
  <si>
    <t>…, sa. Recibida á pnieba. Providencia de visita: siga. el legislador, el egecutor, el que lo hace todo, y á quien todos temen. Juan Rioja v Josef Gómez, remitidos por el dicho prez D. Fran Pira sincerarse del rigor que egerce lia publicado en su periódico cisco Belloc en 18 de Noviembre de 18 jo por escandalosos, y h.aocf (pues tal debe llamarse) un gran párrafo en elogio suyo, y discul sustraído varias prendas de ropa. Estado de esta causa. Tomada…</t>
  </si>
  <si>
    <t>Pirez, Sebastian</t>
  </si>
  <si>
    <t>Sebastian Pirez</t>
  </si>
  <si>
    <t>…e-súbditas obligadas á la El Rey se ha servido conferir el gobierno militar de ía plaza de obediencia, pues conservaban toda su independencia en cuanto á su ad A’mería al teniente coronel D. Sebastian Pirez , capitán del regimien ministración interior. Pero no por eso eran menos oprimidos sus ha to de nlantería de Sevilla; el del castillo de'Santi Petri al teniente bitantes, ó acaso mas que cualquiera otro pueblo del imperio, y les Terrado D. Miguel de Bnistinag…</t>
  </si>
  <si>
    <t>Pisador, Benito Antón</t>
  </si>
  <si>
    <t>Benito Antón Pisador</t>
  </si>
  <si>
    <t>…pensado en reunir la lista de los compromisarios, cuya publicación Parroquia de S. Sebastian, ij electores. creíamos importante para que en los siguientes años pudieran tener pre D. Benito Antón Pisador, el conde de Clavito, D. Diego Parada,. sente los vecinos los nombres de sus conciudadanos qué en los anteriores D. Dionisio Solis, D. Felipe Bauza, D. Jcsef Marti, D. Josef Nuñez merecieron la confianza pública; pero no nos ha sido posible reunir la Arenas ,…</t>
  </si>
  <si>
    <t>Pisón, Ramón</t>
  </si>
  <si>
    <t>Ramón Pisón</t>
  </si>
  <si>
    <t>…retirase á cuidar nueva instancia , y se remitió ai consejo de la Guerra para que consul de su cas3, admitiendo en el servicio á los dos hijos , de los cuales el tase. El difunto D. Ramón Pisón , digno fiscal togado de aquel con uñó murió en la acción de Ocaña. Obedeció con sentimiento Romero sejo , se llenó de entusiasmo, y dijo que después de cinco arios nada se á tan juiciosa orden, y se .restituyó á sus hogares sin perder de vista habia hecho en…</t>
  </si>
  <si>
    <t>Pita, Miguel Martínez</t>
  </si>
  <si>
    <t>Miguel Martínez Pita</t>
  </si>
  <si>
    <t>…o ias bendiciones de todos sus súbditos. de Don Ramón de Argos, en 16 de Abril. El Monitor y la Gaceta de Francia del dia 13 citan un correo ex-, La formada contra Teodoro Robles, D. Miguel Martínez Pita, Ma traordinario, que dicen haber llegado á París el 12 con la noticia de ría Collar y Angel Grande, presos por su orden en 24 de Diciembre que el día 8 habian pasado los austríacos el Tesino, y que delante de de 1820, 17 y 12 de Enero, y 18 de Marzo últimos,…</t>
  </si>
  <si>
    <t>Piüol, Miguel</t>
  </si>
  <si>
    <t>Miguel Piüol</t>
  </si>
  <si>
    <t>…herida no se hará en su ánimo si se desvanece D. Manuel Guballer Muñoz , D. Martin de Ileros, D. Miguel Muñoz, esta ilusión! Ah! no la destruyáis, dignísimos electores; antes bien D. Miguel Piüol, D. Ramón Carreño, D. Ramón Barbara y D. Pelasostenedla con todos vuestros esfuerzos; mostrad la estoica rigidez de yo García Zorrilla. los Licurgos y So'ones, y ya que tan felizmente desempeñaron su en Parroquia de S. Pedro, 2 electores. cargo vuestros comit…</t>
  </si>
  <si>
    <t>Pizarra, Josef</t>
  </si>
  <si>
    <t>Josef Pizarra</t>
  </si>
  <si>
    <t>…entes: - ■ ;; S. Juan de Burgos, solicitando se les aumente su pensión. 88. Antes de la apertura délas Cortes se reunirán el presidente y A lá de Hacienda se pasó una instancia de D. Josef Pizarra, con los cuatro secretarios, teniendo presente la lista de todos los diputados, cejero que fue de Estado, en lá qué-solicita se le aumente el sueldo y nombrarán los individuos que han de componer estas comisiones ; lo -que le corresponde: el Gobierno opinaba…</t>
  </si>
  <si>
    <t>las Cortes recibieron " con aprecio uh'oficio’de D. Josef Pizarra, Que en España eran bastante conocidas Jas máquinas de vapor ; p'éro presidente del Ateneo español , en que participaba al Congreso que ha eran en poco número ias que se habían establecido , porque se'ne-esítabiendo resuelto la sociedad imprimir sus observaci…</t>
  </si>
  <si>
    <t>Plá, Bernardo</t>
  </si>
  <si>
    <t>Bernardo Plá</t>
  </si>
  <si>
    <t>…imo de 1822 se proceda á la bó en camino. Estado de sus causas. Ratificado el sumario, y en poder renovación de los vaies Realas para que puedan recogerse^ los-duplica del relator D. Bernardo Plá, á consecuencia de lo expuesto por el dos, los que hubiesen podido falsificarse, y los que hayan; caducado en fiscal de S. M. Providencia de visita: siga. virtud-de los últimos decretos de las Cortes, y para destruir las clases Mariano García, Miguel Grau, Pe…</t>
  </si>
  <si>
    <t>Pla, Josef</t>
  </si>
  <si>
    <t>Josef Pla</t>
  </si>
  <si>
    <t>…ncion alguna á esa ciudad. Dios guarde á V, E. muchos lalación. , años Villareal 25 de Abril de t82l.=Excmo. 3r.=El capitán coman A la de Hacienda se mandó pasar una exposición de D. Josef Pla dante, Fernando Alvarez de Sotomayor. =£xcmo. Sr. D. Miguel de za, vecino de Cádiz , solicitando se pongan en egecucion las ordenan Alava.” ... . zas del cuerpo de artillería de Nueva-España, y se le faciliten algunas P. D. Se ha conseguido libertar todos los…</t>
  </si>
  <si>
    <t>Plana, Esteban</t>
  </si>
  <si>
    <t>Esteban Plana</t>
  </si>
  <si>
    <t>…Sra. de Aransasú, capitán D. Manuel Antonio BasValencia........................................................................ .. 7-734,1/8 terrechia; jabeque Virgen del Carmen, capitán D. Esteban Plana. Alis Ibiza y Formentera..................................................... 9966 tándose para salir al mismo.destino: el bergantín español patriota Lacy, Zamora......................................................................... 1.321,461 capitán D. An…</t>
  </si>
  <si>
    <t>Planas.zzD, Mariano</t>
  </si>
  <si>
    <t>Mariano Planas.zzD</t>
  </si>
  <si>
    <t>…ln. zzT&gt;. Josef Cortés.z: gar de las palabras los oficiales de cargo de artillería ias siguientes: los "D. Miguel Romeo.zzD. Benito Vicente.zzD. Francisco Sabaiau.zz condestables. D. Mariano Planas.zzD. Pedro Aznar.zzD. Josef Barcelona.z=D. Jo Después de una breve discusión entre los. Sres. Sánchez Salvador y sef Perez. zz D. Tomas Copao.zz D. Dámaso Miranda.zzD. Juan Sa- Olivar quedó aprobado en los términos que había indicado el -Sr. se sera. = D. Bartolo…</t>
  </si>
  <si>
    <t>Plandolit, Narciso</t>
  </si>
  <si>
    <t>Narciso Plandolit</t>
  </si>
  <si>
    <t>…, entregándoselos á los alumnos D. Francisco de Gotssens. D. Miguel Cuff. que ios hayan merecido en el primer dú de la junta general píiblica de Sres. Gómez , hermanos, de Cádiz. D. Narciso Plandolit, de Barce la sociedad , debiendo antes examinarse en público del ramo á que per D. Ignacio Villaveachea. lona. tenezcan los premios que hayan obtenido. Sres. Jane, Orbegoso y Castañares, D. Santiago de Unda, de Bilbao. A los alumnos de las clases de matemátic…</t>
  </si>
  <si>
    <t>Planell, Feiipe</t>
  </si>
  <si>
    <t>Feiipe Planell</t>
  </si>
  <si>
    <t>…tintas tan negras y melancólicas como lasque ho) día emplean en sus cuadro . ANUNCIOS. No tratamos por eso de sostener que no haya abusos en la actuali Los herederos legítimos .de D. Feiipe Planell, capitán retirado qne dad; ;pero acaso no es como característica'la imperfección en todas las residió en Cádiz, y fue gobernador en cierta plaza de América, se pre obras de los hombres? Que nos citen un solo Gobierno desde el prin sentarán en el término de un…</t>
  </si>
  <si>
    <t>Plat, Josef</t>
  </si>
  <si>
    <t>Josef Plat</t>
  </si>
  <si>
    <t>…úblico.” les ,■ según el estado' presentado y archivado en el tribunal, aparece ser Acto continuo el Sr. secretario del Despacho de Marina pasó á D. Juan Pricer, D. Gaspar Lorent, D. Josef Plat. D. Salvador Masleer la memoria de su ramo. • tincla, D. Pedro Juan Bastard y D. Josef Puig; y se avisa para que lle El Sr. secretario del Despacho de Marina leyó la memoria de este gue á debido conocimiento de dichos interesados. ramo; concluida la cual, man…</t>
  </si>
  <si>
    <t>Plata, Andrés Gamez y</t>
  </si>
  <si>
    <t>Andrés Gamez y Plata</t>
  </si>
  <si>
    <t>…qs.de nuestra señora de Ato de la capital á D. Francisco Do,a! y D. Josef Ruiz Manzano; para el cha ; de Carmelitas calzados, de S. Dámaso; de Carmelitas descalzos, de Bujalance á D. Andrés Gamez y Plata; para el de Baena á Don de S. Hermenegildo; de Trinitarios calzados, de la Santísima Trinidad; Antonio Pardo; para el de la Carlota á D. Indalecio Coronel: para de Trinitarios descalzos, de Jesús Nazareno; de Observantes, de San el de Cabra á D. Ignacio Gil d…</t>
  </si>
  <si>
    <t>Plaza</t>
  </si>
  <si>
    <t>…uerpos , sabiéndose vínicamente por un oficial pri nicado al gefe político de la provincia de Cádiz la Real orden que sigue: sionero y escapado que murieron el general Cedefio, el coronel Plaza n He dado cuenta al Rey del oficio de V. S., núm. 9jó , de 5 de y el gefe de batallón Mellado. este mes, en que manifiesta el estado de salud de esa piaza , y de ios El Exctno. Sr. comandante general de Costa-firme E&gt;. Miguel de la -enfermos que existen en la…</t>
  </si>
  <si>
    <t>Plaza, Pedro</t>
  </si>
  <si>
    <t>Pedro Plaza</t>
  </si>
  <si>
    <t>…eñalada con el núm. 2 , linda con el ca Otra partida de tierra en dicho partido, sti cabida de 3 llejón del Almudí, casa horno concejil dé la marquesa de fanegas, linda con las de D. Pedro Plaza y camino públi Espínardo, y; dicha calle¿ en 43,680 ¿Si co , en 750 rsi Otra casa calle del Contraste, núm. 13 ¿ que linda coñ Otra partida de tierra, éñ el mismo partido, su cabida la de los herederos de D, Bernardo Campuzano, calle del de 8 fanegas, 5 celem…</t>
  </si>
  <si>
    <t>Pmdullés, Antonio</t>
  </si>
  <si>
    <t>Antonio Pmdullés</t>
  </si>
  <si>
    <t>…; pero como ya favor de D. Rafnon Casanovas y D. Eulalio Comía por introductores era tarde , se suspendió su lectura para otra sesión. de ia fabricación del ácido suliürico: g.' A D. Antonio Pmdullés por Se pasó á hacer la elección de presidente, vice-presidente y secre haber perfeccionado la fundición de planchas de plomo: 4.a En favor tarios para el mes próximo, y salieron electos, para presidente el señor del Sr. Burel, vecino de Cette, por.haber perfe…</t>
  </si>
  <si>
    <t>Pnigblanch</t>
  </si>
  <si>
    <t>…r .el artículo; pero consideraba indispensable el que las habia propuesto la comisión se lograba con solo que quedase la pala leyes se egecutasen con cierto aparato. bra orden. El Sr. Pnigblanch dijo que los trages y demas de que hablaba el ar El Sr, Calatrava dijo que no habia inconveniente en que se dijese tículo lo consideraba por ageno de un código, porque eran cosas que debe reinar el mayor orden y silencio , quitándose la palabra profundo. podí…</t>
  </si>
  <si>
    <t>Po, Josef</t>
  </si>
  <si>
    <t>Josef Po</t>
  </si>
  <si>
    <t>…R. cu ingenio, su trabajo; vivirán todos con comodidad, y la el Príncipe regente del reino. nación será riquísima, grande, fuerte y poderosa. Concluido este acto solemne, S. E. el Sr. D. Josef Po «La división equitativa de los bienes facilitará los ma li (el mas anciano de los consejeros de Estado ) pronunció trimonios, dará colocación á todas las jóvenes honradas, á nombre de sus compañeros el siguiente discurso: aumentará la población del Estado, de…</t>
  </si>
  <si>
    <t>Podría</t>
  </si>
  <si>
    <t>…namente aherrojado. = Th. H..... sa demasiado célebre!....” heterista é individuo de una sociedad bíblica.” . El ministro alegó otras varias razones en favor del sistema de cen P. D. Podría, si fuese necesario, publicar la lista de un número sura, y por último concluyó su discurso con estas palabras: considerable de bienhechores y suscriptores (entre ellos algunos coro » Cuando venimos á pedir que se tolere todavía la carga de la cen nados) del…</t>
  </si>
  <si>
    <t>Poerio</t>
  </si>
  <si>
    <t>…con to carta de naturaleza y ciudadanía. 3.0 Los que sin ella llevan i o años de vecindad , ganalo que se quiere hacer. da'seaun la ley en cualquier pueblo de la monarquía. . • El Sr. Poerio dijo quele parecía seria arriesgar la Cons - Art. 6.° El amor dé la patria es una de las principales titución si se procediese en aquella coyuntura á hacer las obligaciones de todos los nacionales del reino-unido de las variaciones propuestas en la organizaci…</t>
  </si>
  <si>
    <t>…esen de Africa para impedir el tráfico de los negros. recho de votar en las elecciones, y que los que no estuvie sen sentados en ella no pudiesen usar de este derecho. TURQUIA. El Sr. Poerio impugnó esta disposición con toda la energía y elocuencia que le son características, defendiendo Constantinopla 12 de 'Noviembre. que á ningún ciudadano podía privársele del derecho sag'raMr. Navoni, qué hace de agente del reino de las Dos do de votar, aunqu…</t>
  </si>
  <si>
    <t>…’ondicion necesaria pa de pensiones, asignaciones y sueldos. Como de él provie gar una contribución territorial de í c. nen todos ios honores y dignidades, es por sí propio uii El Sr. Poerio expuso que sus poderes Te obligaban á ha brazo de la legislatura, y forma el otro á su arbitrio; y cer respetar las bases de la Constitución española, cuyo tiene al mismo tiempo ia facultad de prorogar, reunir ó di artículo 92 consideraba él como fundamental.…</t>
  </si>
  <si>
    <t>…o parece que sigue en la actualidad su una innovación , y pido que no se admita.” acostumbrada política , no siendo de esperar que haga en fa Otros muchos vocales , entre ellos el Sr. Poerio, fueron vor de los napolitanos sino lo que hizo en otro tiempo en fa del 'parecer de Lauria; y habiendo pasado á la votación, vor de los polacos'. Aun se podrá decir que lejos, de interesarse se desechó el artículo por 5 7 votos contra 26, que pedían por aque…</t>
  </si>
  <si>
    <t>…ado el Congreso volvería el Rey á sus Esta ITALIA. dos para disfrutar de la paz, ó para contribuir á la defensa de la nación si la guerra fuese iaevitable.” Turin 4 de Enero. , El Sr. Poerio manifestó que todcs los diputados esta Esta noche ha salido para Laibach el conde Mocéní- ban de acuerdo en cuanto al viage deí Rey, y que el Parla go, enviado extraordinario y ministro plenipotenciario de mento había accedido á él con ciertas condiciones, qu…</t>
  </si>
  <si>
    <t>…ontra la fortaleza que debéis Sres. caballero Galdi, general Beyani , coronel Bausan , co mo-trar, el mendigar la intervención de una potencia ex ronel Yisconti, Bernt, di Donato, barón Poerio, presiden tranjera para comprar la paz, pagándola con la libertad. te Ricciardi, y Borrelli secretario. nRecibisteis pues con gratitud el mensaje Real, en que ---- S. A. R. el Príncipe Regente ha remitido al teniente ge se pedia vuestro parecer acerca de la m…</t>
  </si>
  <si>
    <t>…rar sus principales ramos de administración, y de ña abonase el Gobierno los que muriesen; y asi sé acordó. mostró que no se habian disminuido absolutamente ¡os impuestos , cir El Sr. Poerio leyó en nombre de la comisión extraordinaria un cunstancia que lubia contribuido mucho á irritar á la nación. La li proyecto de decreto 'acerca de que la presente guerra se declarase guer bertad individual tampoco era respetada . y lo probó con un egemplo. ra…</t>
  </si>
  <si>
    <t>…. cipio de la independencia de las naciones. En la sesión del Parlamento nacional del rg del pasado pronunció ,, Los políticos modernos se han penetrado mas que los antiguos a. el diputado Poerio el siguiente magnífico discurso: esta verdad, porque la experiencia les ha demostrado que se principia ,, Señores: los discursos de losoradores que me han precedido en haciendo conquistas, y se concluye con el despotismo diplomático; úl esta tribuna, y especi…</t>
  </si>
  <si>
    <t>…ido de abogado el que los tenga vana resplandeció enmedio de los mas espantosos vaivenes de la suerte." dos, como para recibir el grado mayor, previos los exámenes respecti í. Del Sr. Poerio: » Ei Parlamento nacional, convocado en virtud vo». De acuerdo de las Cortes io comunicamo» á V. E., á fin de que de! estatuto político adoptado por el Rey, y cuya primera legislatura se sirva disponer su cumplimiento.” abrió S. M. en persona, y la actual el…</t>
  </si>
  <si>
    <t>…la mañana del ip de Marzo de 1.811 estando en. sesión secre este destino en la dirección general del ramo por el término de un mes; ta; y-en virtud de-la proposición hecha por el diputado Poerio, la eri concepto de que los solicitantes han de tener las fianzas y demas cual fue firmada por 26 individuos, y.entre ellos el autor de la pro circunstancias que están prevenidas por punto general. posición. » Después de la publicación del pacto social del 7…</t>
  </si>
  <si>
    <t>Poerto</t>
  </si>
  <si>
    <t>…yor moderación (como legitímente la peni ion que les .conceden las leyes. Un proyecto de de no lo podían necar los extranjeros), y habia dado las mayores prue creto , leído por el Sr. Poerto, propone una dotación en bienes naciona bas de respeto al Rev y á la Real iamilia. les de un millón de ducados para premiará los militares que se dis Se sabe que al dar S*. A. R. la audiencia á dichos ministros, se que tingan ea esta campaña. .'Aprobado.__S.…</t>
  </si>
  <si>
    <t>Polignac, Julio de</t>
  </si>
  <si>
    <t>Julio de Polignac</t>
  </si>
  <si>
    <t>…ifiestan la triste situa eclesiásticas, se compone de los señores arzobispo de Besanzon, el ción en que se ha hallado aquella ciudad. En una de ellas se dice que conde Ferrand, el conde Julio de Polignac, el vizconde de Chateau en poco tiempo se han sentido mas de 8o terremotos, y en otra del briand y el duque de Doudeanville. 29 de Mayo se lee lo siguiente: » Poco ha faltado para que la Pro Según el periódico intitulado le Narrateur de Saint-'Hall, los mi vi…</t>
  </si>
  <si>
    <t>Polo, Feliciano</t>
  </si>
  <si>
    <t>Feliciano Polo</t>
  </si>
  <si>
    <t>…7 á 10 años, alféreces de ca nes; á saber: el segundo ayudante D. Nicolás Velazquez Rico; los te ballería ó trenes de artillería é ingenieros: los de 10 años en adelante, nientes D. Feliciano Polo y D. José María Omlin; los subtenientes de tenientes de infantería, caballería, zapadores, y trenes de artillería é D. Antonio Malet, D. Antonio González y D. Josef Iturrigaray; los ingenieros: los cadetes que llevasen 4 años en dicho destino, de capi sargentos primeros Fulgencio…</t>
  </si>
  <si>
    <t>Polo, Telesforo</t>
  </si>
  <si>
    <t>Telesforo Polo</t>
  </si>
  <si>
    <t>…uan Jacinto López , D. Juan Josef Sánchez , D. Luis de Dia ao................ ......... 7......... ......... 1....... -•••• s............ .... 49.... Ibarróla , D. Nicolás Alonso, D. Telesforo Polo y D. Ventura de 23- s- 19. 194. la Peña. Parroquia de Sta. Cruz, 8 electores. Jerez. D. Esteban Guinea, D. Josef Manuel de Aranalde, D. Juan An tonio Castejou, D. Juan Muguiro, D.Juan Manuel de Aréjula, Don Dia 17.............. —3....... ........! 3......... ....... O....…</t>
  </si>
  <si>
    <t>Pomar, Jorge Ferrer y Vigcr de</t>
  </si>
  <si>
    <t>Jorge Ferrer y Vigcr de Pomar</t>
  </si>
  <si>
    <t>…rtes aprobasen una quinta ral de Almaguer á D. Josef Antonio Martin palomino: para el de provincia en Galicia, se formase otra compuesta del territorio com Sta. Cruz de la Zarza á D. Jorge Ferrer y Vigcr de Pomar: para el da prendido entre la ria de Navia y el cabo de Ortega!, cuya capital fuese Talavrra dé la Reina á D. Gregorio Barraicoa ; y para ei de Puente del Mondoñedo. Arzobispo á D. Ramón Domínguez de la Torre. A la misma comisión se mandó pasar otra de los Sr…</t>
  </si>
  <si>
    <t>Pomardi</t>
  </si>
  <si>
    <t>…irremisiblemente por; los individuos de hacienda y los de poli Población de Atenas. cía, que deberán ser auxiliados por la tropa de la guarnición y la mi En el viage á Grecia del Sr. Pomardi se dice entre otras cosas 16 licia nacional, dándoles las gratificaciones señaladas á los aprehensores siguiente: ' de tabacos en Real orden de i i de Abril de 1819; y que respecto que » La población de Atenas no pasa en el dia de to9 habitantes', de la de 14…</t>
  </si>
  <si>
    <t>Ponce, Juan</t>
  </si>
  <si>
    <t>Juan Ponce</t>
  </si>
  <si>
    <t>…ndose de solamente ttres mesadas en tódo el año económico actual. la queja de infracción que dió el ayuntamiento constitucional de Al Al Gobierno se mande") pasar una solicitud de D. Juan Ponce, sub cocer. teniente de infantería, que pide se le reponga en el destino que ante las Cortes quedaron enteradas, y mandaron repartirse distintos riormente gozaba. _ ■ . , egemplares de Jas dos circulares expedidas por el ministerio de ia Go Se aprobó el dicta…</t>
  </si>
  <si>
    <t>Ponce, Miguel Paez</t>
  </si>
  <si>
    <t>Miguel Paez Ponce</t>
  </si>
  <si>
    <t>…ión sobre el , A D. Francisco de Rosas y Argomado pertenecen 2259 mrs. de lo* código penal, y levantó la sesión á las ocho y media. 45o® del juro, que en millones de Sevilla tenia D. Miguel Paez Ponce de íeon, con antelación de la tercera situación , cuyo privilegio original ti ARTICULO DE OFICIO. ha extraviado; y por tanto se suplica á la persona en cuyo poderse halle •se sirva remitirlo, ó avisar para que se recoja , al mismo D. Francisco en El Rey ha ex…</t>
  </si>
  <si>
    <t>Ponce, Vargas</t>
  </si>
  <si>
    <t>Vargas Ponce</t>
  </si>
  <si>
    <t>…o por los jueces de nal cesante de Cortes, en que participaba que no habia conocido sino hecho haber lugar á la formación de causa, y pasada la denuncia al en la testamentaría del Sr. Vargas Ponce y en las causas de D. Pedro Í’uez de primera instancia, se averiguó que el autor de la referida carta Fernandez de Castro, presbítero, y D. Cayetano Marimon , los dos o es D. Sebastian Miñano: se procedió en seguida al juicio de conci del número de los diputa…</t>
  </si>
  <si>
    <t>…lla. Supone el Sr. Solanot que el levanta El Sr. presidente nombró para la comisión de Bellas Artes en lugar miento de Zaragoza dió impulso al de Cataluña. Los catalanes no ne del Sr. Vargas Ponce al Sr. López ( D. Marcial). cesitaron de tal impulso; y aunque es cierto que la insurrección de Se leyó la siguiente adición del Sr. Romero Alpuente á la que hi Barcelona se verificó en el día en que se supo allí la noticia de la de zo el Sr.. Lorenzana en la…</t>
  </si>
  <si>
    <t>Pons, Antonio</t>
  </si>
  <si>
    <t>Antonio Pons</t>
  </si>
  <si>
    <t>…omo obra de al calendario de las víctimas del 10 de Marzo de 1820 en Cádiz. gunos agentes, que trabajan en favor de los enemigos de nuestra inde A la de Hacienda una exposición de D. Antonio Pons, coman pendencia. Seis años há que la Suiza italiana es el teatro y el objeto de dante de batallón supernumerario, pidiendo que el crédito que tiene las intrigas dejos extrangero*. contra lá Hacienda pública, procedente de sueldos devengados, se de clare no c…</t>
  </si>
  <si>
    <t>Pons, Josef Marimon y</t>
  </si>
  <si>
    <t>Josef Marimon y Pons</t>
  </si>
  <si>
    <t>…ún Se mandó quedar sobre la mesa un dictamen de la comisión espe que iueren vacando los beneficios simples, los préstamos, medios prés cial de Hacienda, relativo á la solicitud de D. Josef Marimon y Pons, tamos , prestameras, sacristías y demas que no tienen cura de almas; para que se declarasen no comprendidos en ei decreto de 9 de Noviem pues todos deberán quedar suprimidos, y entrará la parte que perciben bre último algunos créditos que resultan á su favor…</t>
  </si>
  <si>
    <t>Pont, Josef Augusto Malotau de</t>
  </si>
  <si>
    <t>Josef Augusto Malotau de Pont</t>
  </si>
  <si>
    <t>…lices con teresados á los bienes quedados por fallecimiento deí brigadier retira servir á su sublime Señor, importa poco que mueran con .tal que sus do de los egército; nacionales D. Josef Augusto Malotau de Pont, sucesores envíen las mismas cantidades al erario, y el mismo nú ocurrido en esta corte á 4 de Octubre último, para que dentro del tér mero de reclutas al egército. Tal era el sistema de los tiempos feuda mino preciso de 30 dias, contados desde este , acudan…</t>
  </si>
  <si>
    <t>Pont, Josef Marcó del</t>
  </si>
  <si>
    <t>Josef Marcó del Pont</t>
  </si>
  <si>
    <t>…ico de nuestro corriente mes para instrucción de los Sres. diputados , relativo á que se Gobierno representativo, haciendo que prevalezcan forzosamente en la pague por tesorería ú D. Josef Marcó del Pont el crédito que resulta Cámara de los diputados los hombres y los intereses particulares sobre a su favor por el suministro hecho á la guarnición de esta corte en el los hombres y los intereses generales de la nación. año próximo pasado, por no deberse satisfa…</t>
  </si>
  <si>
    <t>…n propietarios están comprendidos ordinaria del 20 del corriente mes se mandó quedar sobre la mesa, re •n el decreto da lás Cortes de 25 de Agosto último. lativo á la solicitud de D. Josef Marcó del Pont, para que se declare A la de Diputaciones provinciales una exposición de la diputación no comprendidos en el decreto de 9 de Noyiembre último el valor de provincial de Santander para que se impongan arbitrios, á fin de aten los suministros de pan , paja y ceb…</t>
  </si>
  <si>
    <t>Pont, Juan Josef Marcó del</t>
  </si>
  <si>
    <t>Juan Josef Marcó del Pont</t>
  </si>
  <si>
    <t>…cipio,de la guerra con Francia , y sin embargo esta potencia llegó te al empleo de su difunto marido., al pináculo.del poder militar en medio de su bancarrota, ó por mejor Otro de D. Juan Josef Marcó del Pont pata que se dudaren no decir esta misma bancarrota fue la causa inmediata de todos sus pros comprendidos en el decreto de g de Noviembre último varios sumía peras-sucesos. Es verdad que la Francia cometió .una injusticia atroz nistros hechos á las tropas. mat…</t>
  </si>
  <si>
    <t>Pontea, Filisberto Caldeira Brant</t>
  </si>
  <si>
    <t>Filisberto Caldeira Brant Pontea</t>
  </si>
  <si>
    <t>…rOR'l'TCAt, BRASIL Y AIGARBES. nían, y que el pueblo deseaba con impaciencia ver el estandarte en los balcones, lo presentó. ■Lisboa 20 di Abril, — Sesión del 16, A este tiempo el mariscal Filisberto Caldeira Brant Pontea, que El Sr. Barroso lepó otra vez su proposición y proyecto para que se se hallaba en la Piedad, reunido al conde de Palma y á los dos regi prohíba la introducción de aceite extranjero emPortugal; se tuvo por mientos té y 2.0, se ofrecía á ir con cuatro compa…</t>
  </si>
  <si>
    <t>Porcinari, Nicolás</t>
  </si>
  <si>
    <t>Nicolás Porcinari</t>
  </si>
  <si>
    <t>…razón de que los Gobiernos El' bailío D. Josef Carra'ccioló. D. Carmen Lancellotü ' ' extrangeros habían subido sus tarifas, y los cónsules españoles habían Marques de Sta. Agata, D. Nicolás Porcinari. uniformado i estas las suyas, y aun exigían arbitrariamente los dere til mariscal de campó D. “Vicente El presidente D.Vicerite Marrano. chos. Que el ministerio de Hacienda, á quien pertenecía este asunto, de Escamará. Di Rafael Tramagalia. había tratado de…</t>
  </si>
  <si>
    <t>Porichevaslo</t>
  </si>
  <si>
    <t>…gimjento de dragones ¡de la Reina. ssEl- caballero Monthouy, coman que. hasta ahora ha habido con respecto á ios:asuntos dé Nápoles. eV dare, de ingenieros.u: El conde Mona. = F.L conde Porichevaslo, sar fin de coadyuvar, en cuanto nos sea posible., :ál buen resultado de la genta mayor del regimiento de Guardias.— El conde de San-Albant, conducta del Rey para con su hijo, os invitamos: teniente coronel del regimiento de Aoste.=:El.caballero Páliini,ten¡e…</t>
  </si>
  <si>
    <t>Porlier</t>
  </si>
  <si>
    <t>…ros representantes y los sacrificios de nuestros conciudadanos, aunque de lejos, con el cuerpo del general Walmoden , que está en el entusiasmo no conocía límites. El monólogo del general Porlier, re Spoleto citado por uno de los ayudantes &lt;iel citado cuerpo, puso término á la El cuartel general austriaco está todavía en esta capital. función de teatro, arrancando lágrimas de gratitud. En seguida se dio FRANCIA. : principio al baile, qué fue público,…</t>
  </si>
  <si>
    <t>…aga; pero que estas no tenían ninguna resefa -Trabar , viuda -díl teniente coronel D. Joaquin Cabrera , uno de .lacion con el artículo primero. los comprendidos en ios sucesos dei general Porlier, en la que mani .Después de haber manifestado que la asignación que se hacia al festaba ios méritos que contrajo en aquel egército (por los cuales mere? clero era suficiente para su manutención . continuó diciendo que no se cip qú.e dicho general le concedies…</t>
  </si>
  <si>
    <t>…que por lo mismo se lla y ausente de la Península, por haber sido uno de los comprendidos haria una injusticia en pagar á esto interesado por tesorería general los en la causa del general Porlier. 401; millones que le adeudaba la Hacienda nacional. A la comisión de Pod res se mandaron pasar los presentados por El Sr. Ezpeleta manifestó que no debia fundarse e! paco de este ir.-" D Josef María Quirós y Míllan , diputado electo para Jos años de th20 ler…</t>
  </si>
  <si>
    <t>…ner en Ñá quín Cabrera, en la que exponía que habia sido su marido ¿no de ios pales y en el Piamonte, el poder absoluto, y con él todos los males in comprendidos en la empresa del general Porlier, el cual le concedió separables de la arbitrariedad; y ha determinado se anuncie para cono él grado de coronel ; añadiendo que por el mal resultado de .aquella cimiento del público y satisfacción de los suscriptores, como de su or tentativa, se vió obligado á…</t>
  </si>
  <si>
    <t>…n la fragata Hor El de la de Guerra acerca de la solicitud del capitán de infantería tensia de los diputados por la provincia de Mágico D. Josef Antonio y ex-ayudante de campo del general Porlier D. Juan Flores, en la del Cristo y Conde y D. N. Hernández. que pedia que á consecuencia de sus méritos y distinguidos servicios se Se dió cuenta de una exposición del ayuntamiento constitucional le recomendase al Gobierno, á fin de que lo coloque en la Hacienda de Peñarand…</t>
  </si>
  <si>
    <t>Porras, Josef Ruiz de</t>
  </si>
  <si>
    <t>Josef Ruiz de Porras</t>
  </si>
  <si>
    <t>…...» ...... 2(5... D. Clemente Noguera, D. Evaristo S. Miguel, D. Felipe de 1 a i6. 6. 2. 91. Calle, D. Gabriel Josef García, D. Gregorio Sainz de Villavieja,. L&gt;, Josef Espinosa, D. Josef Ruiz de Porras, el marques de Espinardo Lebrija. Parroquia de S. Lorenzo, 20, electores. Del 13 al ao... ....... 63..... •• 3*...... ...... 46... D. Aníbnio González, D, Antonio de la Iglesia, D. Antonio Mercar, D. Antonio Sala, D.Francisco Gallinas, D. Francisco Javier San…</t>
  </si>
  <si>
    <t>Porrellt</t>
  </si>
  <si>
    <t>…2 de Diciembre de 1820.” las lágrimas del pobre,- y sostenemos el erario sin sacrificar El Parlamento aprobó el proyecto de esta exp isiclon, la piedad. que fue presentado por el diputado Porrellt. «En cuanto al equipo de nuestras legiones no necesitá -----En un periódico de esta capital se ha. insertado el arbamos nuevos recursos para completarle, pues la caja de los -ttculo siguiente: donativos patrióticos pareció suficiente para ello. Manifes Sabré…</t>
  </si>
  <si>
    <t>Porro, Pedro</t>
  </si>
  <si>
    <t>Pedro Porro</t>
  </si>
  <si>
    <t>…e fiscal de la audiencia territorial de Aragón á D. F.rcosa, la tentativa de un delito, cuando la egecucion de este no haya si min Gil de Linares: para otra de la de Extremadura á D. Pedro Porro do suspendida , ó no haya dejado de tener efecto sino por alguna casua Cidoncho, y para otra de la de Castilla la Vieja á D. Miguel Cornejo. lidad ó por otra circunstancia independiente de la voluntad del autor, Asimismo ha tenido á bien nombrar S. M. jueces…</t>
  </si>
  <si>
    <t>Porta, Josef</t>
  </si>
  <si>
    <t>Josef Porta</t>
  </si>
  <si>
    <t>…ino Castelo, D. Ramón Valguera, Don el servicio nacional.” Juan Faldón, D. Antonio María Maeso, D. Antonia García Liñan, De Real orden lo comunico á V. S. para su cumplimiento. Ma D. Josef Porta! y D. Juan Bolet, oficiales de todas armas y graduacio drid 8 de Octubre de 1821. nes, cuyos hechos particulares, dignos del mayor elogio, sentimos no Circulares del ministerio de Haden la. poder detallar. i.a Por el ministerio de Hacienda con lecha i.° deí a…</t>
  </si>
  <si>
    <t>Portocarrero, Manuel</t>
  </si>
  <si>
    <t>Manuel Portocarrero</t>
  </si>
  <si>
    <t>…y los de otras muchas islas A instancia de varios acreedores al concurso y dimisión de bienes del Archipiélago-se habian reunido en otra isla para deliberar acerca que tenia hecho D. Manuel Portocarrero, y posteriormente su hijo Don de las medidas que deberán tomarse cuando tengan su marina junta con .Tomas Antonio Portocarrero, vecino de esta corte , se ha señalado por la de los idriotas, que.es la mas poderosa del Archipiélago. el Sr. D. Julián Diqz de Yel…</t>
  </si>
  <si>
    <t>Portóla, Buenaventura</t>
  </si>
  <si>
    <t>Buenaventura Portóla</t>
  </si>
  <si>
    <t>…nde de Montenegro, Martínez de la Ro á D. Pedro Luque: para el de Jaca á D. Josef Pía y Puig; y para el de sa , Montoya, Freiré, Lecumberri , Clemencin., Cañedo, Ramos Gar Ainsa á D. Buenaventura Portóla. cía, Espiga, Martel, Vallejo , Valle, Ligarte (D. Agustín), San Juan, Dolarea, Torres, Rey , Ugarte QD. Gabriel), Vitorica, Hi- Estado de la tínica causa de conspiración contra el sistema constitu nojosa , Carrasco , Losada, Ramírez Cid, Torre Marin, Cosío,…</t>
  </si>
  <si>
    <t>Porüer</t>
  </si>
  <si>
    <t>…a oir, era imposible que siguiesen la atención á los notorios servicios de su difunto marido en la empresa.del palabra de los señores que hablaban en el Congreso; de lo que se ori general Porüer; á lo mucho que padeció con su familia, y á la oferta ginaba la falta de exactitud en los extractos que se hacían , y á veces el que le hizo dicho general, tengan ábien las Cortes .declararle bene que dijesen una cosa por otra; y que penetrado de lo necesaria…</t>
  </si>
  <si>
    <t>Posadillo, Domingo</t>
  </si>
  <si>
    <t>Domingo Posadillo</t>
  </si>
  <si>
    <t>…rados y 19 las viudas é hijos de E&gt;. Juan Merino, D. Josef Antonio Caballero, cuartillos de tierra de labor y campo, en venta 1720 rs., y en renta L&gt;. Sebastian del Conde Vallejo, D. Domingo Posadillo, D. Norberto 4 terrados de trigo y 4 de cebada.__En la chousa del Pedron, 3 ferra Beleña, D. Pedro Otamendi, D. Juan Francisco Leston y Peña, Don dos y 4 cuartillos dí heredad , en venta 720 rs., y en renta 4 ferrados Francisco de las Barreras, D. Francisco -…</t>
  </si>
  <si>
    <t>Pose, Eduardo</t>
  </si>
  <si>
    <t>Eduardo Pose</t>
  </si>
  <si>
    <t>…del presente En la provincia de Soria, procedentes del suprimido mes de Febrero, á D. Juan Fernandez Florez, D. Cesáreo monasterio de S. Prudencio, para cuyo primé'r rema Ampuero, D. Eduardo Pose, D. Ramón Hacha, D. Fran te, que se ha de verificar en la ciudad de Logroño, cisco y D. Antonio Falcó, D. Antonio Arévato, D. Josef esta señalado el dia 24 del presente. Aguilar, D. Santiago Irazabal, D. Josef Donesteve, Don Una casa en el arco de la Compañía…</t>
  </si>
  <si>
    <t>Pouget</t>
  </si>
  <si>
    <t>quebrantadas., ; podrá graduarse esta violación voluntaria y maliciosa de El Sr. Pouget: Creo que puede haber mas inconvenientes en que delito? Sin duda que no, porque estas se hallan fuera del código penal. se defina el delito que no en que se omita esta definición. No es lo mis Las leyes que prescriben los deberes que tenemos para con nosotros…</t>
  </si>
  <si>
    <t>…icular; y manifestó en seguida que la comisión creía mas acer llas que sabiamente expresan las leyes. • • tado dejar el artículo en los mismos términos que lo habia presentado. El Sr. Pouget: La misma proposición que iba á hacer yo es la del Ei ir. Gil de Linares dijo: Si ¡as Cortes hubiesen determinado que Sr. Linares. La proposición hecha y no aceptada es una verdadera ten no se pusiese en el código penal artículo alguno que no fuese absoluta t…</t>
  </si>
  <si>
    <t>…nes de lito en el extrangero ‘ sea menor, en cuyo caso será esta la que se le que dependan. _ 5-0 Que el art. 7.0 del proyecto reformado como se halla ss colo aplique.” 1 Otra del Sr. Pouget al art. i.1’, que decía: » Agregúense después de que al último del decreto del resguardo marítimo. la palabra egecutor las siguientes: aunque conexo con el que intento' que Asimismo se aprobó el dictamen de las referidas comisiones , las cuales, después de ha…</t>
  </si>
  <si>
    <t>Poujades, Josef</t>
  </si>
  <si>
    <t>Josef Poujades</t>
  </si>
  <si>
    <t>…e que se le conceda rebaja del precio del arriendo de ciertas su naturaleza y objetos para que se les cedió, á los ocho años, conta fincas destinadas al Crédito público; y otra de D. Josef Poujades, Don dos desde el dia en que haya quedado establecida la respectiva pobla Tomas Espinosa y otros vecinos de Valencia, reproduciendo una soli ción , pena de quedar por el mismo hecho baldío y enteramente vacan citud que hicieron en la anterior legislatura. te…</t>
  </si>
  <si>
    <t>Poveda, Agustín Juan de</t>
  </si>
  <si>
    <t>Agustín Juan de Poveda</t>
  </si>
  <si>
    <t>…ble con este dos palabras, ó sus sucesores á la herencia de los bienes, señalándoles el tiempo de Ei barón, tres anos. ¡Tendréis menos hambre después de haberle apaleado? Carta de D. Agustín Juan de Poveda á D. Tomas Juan Serrano, en la Ali-Agá. que se hacen observaciones físico-químicas sobre el aguardiente anisado, Yo me obligo á que sí dentro de un cuarto de hora no teneis aquí llamado vulgarmente leche de anís: se señala un método sencillo para de una excel…</t>
  </si>
  <si>
    <t>Poveda, Joser</t>
  </si>
  <si>
    <t>Joser Poveda</t>
  </si>
  <si>
    <t>…: para la ciudad de Cuenca á de campq. Se dice también que va á ponerse en pie’de guer D. Gaspar Ondovilla Iñigo: para el partido de Huete á ra un gran número de tropas prusianas. D. Joser Poveda: para el dé Iniesta á D. Pedro Henriquez El Morning Chronüie del día ; trae el artículo siguiente: Montero : para el de Bel monte á D. Pascual Carcosen: pa «Mr. Cannirig, que sale el domingo para París, ha escrito ra el de Roda á D. Francisco de Paula Perez R…</t>
  </si>
  <si>
    <t>Povel, Juan</t>
  </si>
  <si>
    <t>Juan Povel</t>
  </si>
  <si>
    <t>…bre las armas-; y un anillen de.guardias nacionales. de la de Granada. .................. La Irlanda tuvo cerca de yóQ voluntarios , cuando su población no A la misma pasó otra de D. Juan Povel, natural de Alemania, era mas que la mitad de la de Nápoles, y.cuando sus rentas ascendian- del comercio de la Havana, solicitando carta de ciudadano español. á; lo masá una cuarta parte de las rentas de este reino. ¡Y qué fuerzas A la de División de territor…</t>
  </si>
  <si>
    <t>Pover, Luis</t>
  </si>
  <si>
    <t>Luis Pover</t>
  </si>
  <si>
    <t>…o los den sino á los que tengan ve licitud de Doña Alaria Luisa de Chavarreti, viuda del capitán de arti cindad conocida; que se obligue á lo mismo á .todas las per,oras de llería D. Luis Pover, para que se Je admita un hijo en la clase de ca ambos sexos que pasen á servir .den u pueblo á otro, con los.abonos dete de dicha arma á expensas de la Nación. correspondientes , y que pernoctando una persona en uná casa se deba A la de Diputaciones provinci…</t>
  </si>
  <si>
    <t>Povoas</t>
  </si>
  <si>
    <t>…resplandezca en toda su plenitud.” Bien Se decidió) que en la sesión inmediata se tratase del proyecto del sabido es lo que se debe pensar con respecto á los obscurantinos', p.ro Sr. Povoas para organización del egército del Reino-Unido en gene lanzar anatema religioso y.civil contra el heteristno , es calumniar las ral, y que se noticiase al ministro de Guerra para que diese después íntenci nes de ios augustos protectores de la sociedad bíblica…</t>
  </si>
  <si>
    <t>…arina, comisarios de barrio, prohombres, para que diese su dictamen. diputados de academias, cónsules extrangeros y otras personas notables Se pasó á la discusión del proyecto del Sr. Povoas sobre el nuevo dió en nombre de la ciudad las gracias al Todopoderoso con un solem arreglo del egército-unido; y habiéndose leído y discutido el artícu ne Te Dettm en la santa iglesia catedral por‘el inmenso beneficio que lo i.', que trata del título que debe…</t>
  </si>
  <si>
    <t>Powis</t>
  </si>
  <si>
    <t>…s en las calles retiradas. Por donde quiera que no han encontra do oposición han hecho pedazos todas las vidrieras. Las casas d I mar . Viena 13 de Julio. ques de Londonderry, del conde Powis, del duque de Mortr.se,de Los muchos puntos fortificados en otro tiempo por lo* caballeros de -las Sras. Eitz-Clarence. (hijas naturales del duque de Glarence) han pa Malta en la isla da Rodas, que están en poder de los turcos, ha impe decido mucho; pero con…</t>
  </si>
  <si>
    <t>Pozo, Felipe</t>
  </si>
  <si>
    <t>Felipe Pozo</t>
  </si>
  <si>
    <t>…al desterrado en Melilla , para que se la conceda una pensión. Velasco por el tribunal especial de Guerra y Marina, como autor de A la ordinaria de Hacienda pasó una exposición de D. Felipe Pozo un impreso que fue declarado enteramente subversivo, porque según no para que se le perdonen 144 rs. y 11 mrs. procedentes de la venta de ticias que tiene se le lia impuesto solamente la pena de seis años bul as en 1819. de presidio. Decia la indicación: ,,Pi…</t>
  </si>
  <si>
    <t>Pozo, Manuel del</t>
  </si>
  <si>
    <t>Manuel del Pozo</t>
  </si>
  <si>
    <t>…impertérrito todo lo facilita, todo lo alcanza, to D. Sandalio Orne y Garay de la de Sepúlveda ; y de .la do lo vence. Un solo problema hubo de resolverse : el genio •de Cuellar á D. Manuel del Pozo. u . tutelar iluminó á Fernando; y la gloria de la Nación en-r tera se fijó por siempre en las generaciones futuras. ¡Gloria A propuesta de! cornejo de Estado se ha servido S. M. á tí, inmortal héroe, piedra angular de ese soberbio edifi nombrar para el obisp…</t>
  </si>
  <si>
    <t>Pozo, Tomas Sánchez del</t>
  </si>
  <si>
    <t>Tomas Sánchez del Pozo</t>
  </si>
  <si>
    <t>…el centro una porción de pages de S. A. negros y blancos, Ciares. D. Josef García Carrasco, vecino de Cáceres. vestidos magníficamente, y montados en caballos árabes del mayor pre D. Tomas Sánchez del Pozo, ídem. cio; y tan diestros estos como los ginetes, hacen sus juegos del djh-it, ó alicántara. D Laureano Santibañez, cura de Ceclavin. sea guerrilla , tirándose mutuamente unas varas yendo los caballos á D. Josef Landero Corchado, juez del partido. escape, y…</t>
  </si>
  <si>
    <t>Pozzo</t>
  </si>
  <si>
    <t>…efecto en la Opinión del Parlamento na edicto de 17 de Febrero de 1820. «El título 5.0 es concerniente á los. templos y á los es--politano. El dia 8 de este mes llegó á Troppau el conde Pozzo tablecimientos de educación pública y de beneficencia. Las1 di Borgo, embajador de Rusia en la corte de Francia. ordenanzas eclesiásticas no pueden publicarse ni egecutarse Francfort s&lt;5" de Diciembre. sin la aprobación del Gobierno. Los eclesiásticos quedan…</t>
  </si>
  <si>
    <t>Pozzomita</t>
  </si>
  <si>
    <t>…Eleutero-Laconia, y llevando á su frente al capitán Colocoíhron, co los destacamentos apostados por ei teniente coronel, ntanhope, que ma ronel que fue al servicio de Rusia, y al capitán Pozzomita, se han apo taron gran número de ellos, y los arrojaron á una laguna de mucha derado de Misitra y de Bordonni en la Laconia. En el Masinísado se ha profundidad. Sin embargo, continuaron los enemigos el fueoocon tena formado una columna at mando de los Capitan…</t>
  </si>
  <si>
    <t>Ppr</t>
  </si>
  <si>
    <t>…acan la ciudad, aunque no tememos que lo den; advirtiendo qué la persona ó personas que quisieren tratar de hagan. ajuste podrán concurrir y presentarse en ésta ciudad á los Sres. Don Ppr lo demas, aunque el comercio se halle en la actualidad en una Manuel Gómez de -las Rivas y D. Joséf Martin Coloma , individuos completa inacción, no tenemos ¡ningún cuidado por ’nuestras mer de la misma diputación, comisionados al efecto; y en la de Toro á lo…</t>
  </si>
  <si>
    <t>Prada, Josef Vázquez</t>
  </si>
  <si>
    <t>Josef Vázquez Prada</t>
  </si>
  <si>
    <t>…o nigo. D. Francisco Bernardo de Quirós y Benavides, comandante de bre que se prohíba la introducción de manufacturas de hierro del exla milicia nacional de caballería, hacendado. D. Josef Vázquez Prada, trangero , y que se fomente esta industria en la Península. teniente del regimiento provincial. G¡jan D. Juan de D.os Miranda, A la misma comisión se pasó una exposición de la dirección gene capitán del mismo. D. Ramón Antonio Rodríguez, s'ocal de la dipu ra…</t>
  </si>
  <si>
    <t>Prado</t>
  </si>
  <si>
    <t>…—21 luntad, según se ha practicado y practica en las causas de mostrencos, A la suscripción para un monumento en él vacantes y abintestatos. Cuya resolución quieren las Cortes sea general Prado que perpetúe lá memoria de las víc para todos los poseedores de vinculaciones que se hallen en iguales cir timas déL 2 de Mayo de 1808............... 2,740 cunstancias.” De Real orden lo traslado á V. S. para noticia de esa audiencia y 1.076,144.. 9 demas que…</t>
  </si>
  <si>
    <t>Prado, Francisco</t>
  </si>
  <si>
    <t>Francisco Prado</t>
  </si>
  <si>
    <t>…do considerablemente Se dió cüenta de otro dictamen de la misma comisión de Infrac en ésta cuarta edición pór-D. Luis de Mata y Araujo, catedrático dé ciones acerca de la queja de D. Francisco Prado, receptor de cruzada latinidad y retórica de la Real casa de pages de S. .M. &amp;c. Bien conodel punido d-e Tortosa, contra el juez de primera instancia que hubie .. cido es en la república^ literaria el célebre P. Fr. Diego de Mello v se lugar/por no haberle qu…</t>
  </si>
  <si>
    <t>Prado, Juan del</t>
  </si>
  <si>
    <t>Juan del Prado</t>
  </si>
  <si>
    <t>…s, algunas de las cuales pueden ser tan Coria , compuesta de 7 aranzadas , linda con otras del mar útiles á los europeos, como lo son para los chinos; por ques de Montefuerte y de D. Juan del Prado, apreciadas egemplo , estas : Es mejor dar educación á los hijos que acoen 150 rs. cada una, en 1050 rs. iarles riquezas; el hombre ingrato no es un hombre; el Un huerto, término de Guiilena, de cabida de una fane ombre falto de conocimientos no se diferencia…</t>
  </si>
  <si>
    <t>Prado, Magdalena</t>
  </si>
  <si>
    <t>Magdalena Prado</t>
  </si>
  <si>
    <t>…existe en la Isla: señoríos. se acordó que pasase á la comisión de Guerra. El Sr. Oliven pidió se leyese un decreto de tas Cortes del mes de A la de Hacienda pasó una solicitud de Doña Magdalena Prado, Octubre de 1813, que es una aclaración del de 6 de Agosto de 1811; viuda de un militar, en que expone no gozar viudedad por haber ob en seguida hizo algunas observaciones sobre su contenido , pnjlrdtiéo tenido su marido últimamente un empleo fuera de la mili…</t>
  </si>
  <si>
    <t>Prado, Nicolás de</t>
  </si>
  <si>
    <t>Nicolás de Prado</t>
  </si>
  <si>
    <t>…aranceles; y la otra relativa al arreglo de aduanas de é intendente honorario de provincia. Betanzos D. Juan García. Lugo aquellas islas. D. Josef Gabriel Somoza , propietario , y D. Nicolás de Prado, aba Se dió cuenta de una exposición que remitia á las -Cortes el Sr. mi te. Ferrol D. Juan Cardcmil, escribano. Paulo D. Pedro Martínez nistro de la Gobernación de la Península del colector general de eslosada, cura de S. Pedro de Ribeiro, Vivero D K;mi n Re…</t>
  </si>
  <si>
    <t>Prado, Pedro</t>
  </si>
  <si>
    <t>Pedro Prado</t>
  </si>
  <si>
    <t>…; y entre ellos sr baila un ofi 5res. D. Nicolás Gómez Villaboa, ministro de la audiencia territorial cio del generas fian Martin desde su cuartel general de Luda, fe de Asturias; D. Pedro Prado, Oran de la Sta. iglesia de Calahorra, y cha ip de Julio ,y en seguida una proclama del mismo 3 los hab-tanD. Antonio González Ron, teniente coronel de artillería. Suplente. tes del Perú, animándolos a concurrir, á la conquista de dicha capital. D. Joaquín Ma…</t>
  </si>
  <si>
    <t>Prado, Ruiz</t>
  </si>
  <si>
    <t>Ruiz Prado</t>
  </si>
  <si>
    <t>…los del Sr. Rodríguez Casal , di lo mismo. putado suplente por. la provincia de Galicia , y, llamado en lugar del; A Ja propia comisión pasó otra del Sr. González Allende, en que Sr. Ruiz Prado. . pide -se declare por punto general que ios comisionados de los Gelés A la de. Infracciones de Constitución ,una queja que da IX Fran políticos para las elecciones de los ayuntamientos deben limitar su en cisco V¡Aches, vecino de León, contra el alcaide con…</t>
  </si>
  <si>
    <t>Prado, Tomas de Sancha y</t>
  </si>
  <si>
    <t>Tomas de Sancha y Prado</t>
  </si>
  <si>
    <t>…ntemente discutida la proposi primera instancia de esta M. H. villa, se cita y emplaza por la escriba ción referida , y quedó aprobada en estos términos: habrá jueces de he nía de D. Tomas de Sancha y Prado á los interesados en la testamen cho , y en ios casos y forma que se determine por las leyes. taría del Lie. D. Francisco Hernanz de Vargas, abogado que fue del £1 Sr. presidente dijo que mañana se continuarían las discusiones de ilustre colegio de la misma,…</t>
  </si>
  <si>
    <t>Prado, Tomas Sánchez y</t>
  </si>
  <si>
    <t>Tomas Sánchez y Prado</t>
  </si>
  <si>
    <t>…Madrid 20 de Febrero de 1821. = Eterno. Se- que en el término de 30 dias acudan á su juzgado por la es ñor.=Bernardode Borja y Tarrius.=Bernardíno de Temes.= cribanía numeraria de D. Tomas Sánchez y Prado, por medio Excmo. Sr. secretario del Despacho de Hacienda. de procurador con poder bastante, á usar de sus acciones en los autos promovidos1 por' el citado Sr. marques' en reclamación de VARIEDADES. - dichas acciones , por habérsele extraviado y pedido su ret…</t>
  </si>
  <si>
    <t>Prat, Josef Melchor</t>
  </si>
  <si>
    <t>Josef Melchor Prat</t>
  </si>
  <si>
    <t>…udiendo en su de Magín Tdrner, fabricante de tejidos de algndon ; D. Francisco Paula fensa lodos los musulmanes ; y por último añade: « Pretenden que si Rosct y Babi, comerciante; D. Josef Melchor Prat, redactor del Día-</t>
  </si>
  <si>
    <t>Prats, Juan de</t>
  </si>
  <si>
    <t>Juan de Prats</t>
  </si>
  <si>
    <t>…os comandantes á los peligro inmediato de muelle por razón de enfermedad, y todo se sus supernumerarios D. Joseí Ortis, del primero de Aragón: al coronel penderá Iiast3 que sane.” D. Juan de Prats , del primero de Cataluña : al coronel ID. Ignacio ViEl Sr. Calatrava dijo que el colegio de Zaragoza y la audiencia de llasana, del de Tarragona: a D. Justo Bcrriz , del de Barcelona: á Don Pamplona habían informado acerca de este artículo. Quedó aprobado. S…</t>
  </si>
  <si>
    <t>Prats, Lorenzo</t>
  </si>
  <si>
    <t>Lorenzo Prats</t>
  </si>
  <si>
    <t>3^2 ños; pero al fin se aprobó por partes todo el artículo como se hallaba. A la misma una queja de D. Lorenzo Prats, vecino de Barcelona, El 84 estaba expresado en estos términos. contra aquel ayuntamiento constitucional, por haber impuesto una con 84. Los presupuestos y estados que presentará el. secretario del des tribución directa para snplir los derechos de puertas. pa…</t>
  </si>
  <si>
    <t>Presa, Domingo Sánchez</t>
  </si>
  <si>
    <t>Domingo Sánchez Presa</t>
  </si>
  <si>
    <t>…tostado, por boca, narices, ojos y oidos , con la silio Guerra , diputado por Yucatán. sangre negra cuajada en las visceras, sin serosidad alguna, y cuya ter Se concedió permiso á D. Domingo Sánchez Presa y á D. Juan minación se presenta con tantas anomalías, como que apenas hay un Manuel Subrié para regresar á su país con motivo de sus achaques. enfermo que convenga con otro en ellas ni tampoco en sus remedios, Se leyó una exposición del Sr. diputado D. Anton…</t>
  </si>
  <si>
    <t>Presidente</t>
  </si>
  <si>
    <t>…les, Beneficencia, Eclesiás elecciones en que fueron nombrados propietarios, y por cuya causa ss tica, Agricultura y Diputaciones provinciales. -* habían retirado del Gongreso. El Sr. Presidente dijo que las Cortes acababan de tener en la expo Se leyó una proposición, firmada por Un gran número de diputados, sición déla Diputación permanente el convencimiento mas completo dirigida á que se nombrase una comisión especial, La cual prepusiera de su prud…</t>
  </si>
  <si>
    <t>…reto citado, ó hasta que convencidos aquellos de ñores Solanot y Torre Marin, y retiraron la proposición. la imposibilidad de su profesión se retirasen del noviciado, los cinco El Sr. Presidente señaló para mañana el expediente del obispo di canónigos electos de Pamplona solo podían disfrutar la media ración, Tarazona, y dijo que habia pensado se concluyera la discusión de la sin tener derecho al vestuario, como previene su instituto. ley sobre infra…</t>
  </si>
  <si>
    <t>…ensas de anos en las carreras literarias pendían de informe da la Sr. secretario de la Gobernación, propusiese-aquella á las Cortes lo que comisión referida , á lo que contestó el Sr. Presidente que examinase estimase oportuno. esta el punto, y,lo propusiese á la deliberación de las Cortes. Continuó el Sr Ranionet haciendo presente á favor de la subsisten El Sr. presidente anunció que se daria cuenta mañana del dictamen cia de la universidad en Valla…</t>
  </si>
  <si>
    <t>…que sé ocasionarían de: que el obispó de Menorca brada para examinar la exposición relativa al establecimiento de so pasase al arzobispado de-Tarragona. ciedades patrióticas; y el Sr. Presidente señaló el día 28 para su dis Se leyó en seguida una, indicación d.el Sr. Zapata, qué decía:» Pido ensión. qúé este expedienté se remita al Gobierno para que en su vista deter La comisión especial nombrada para examinar la exposición que hi mine con todo el ll…</t>
  </si>
  <si>
    <t>…de las provincias sea mayor. do; y dicho Sr. diputado expuso que sobre este punto podían resolver Ha debido asimismo la comisión atender á los errores en que están las Cortes. El Sr. Presidente contestó que esto no era atribución de.las los pueblos, á sus relaciones mutuas, y ha debido hasta cierto punto Cortes extraordinarias; y que asi si tenia alguna queja la dirigiese ai tranáígir, digámoslo asi con sus preocupaciones, para no dividir provin Gob…</t>
  </si>
  <si>
    <t>Pricer, Juan</t>
  </si>
  <si>
    <t>Juan Pricer</t>
  </si>
  <si>
    <t>…una comisión especial de Crédito público.” les ,■ según el estado' presentado y archivado en el tribunal, aparece ser Acto continuo el Sr. secretario del Despacho de Marina pasó á D. Juan Pricer, D. Gaspar Lorent, D. Josef Plat. D. Salvador Masleer la memoria de su ramo. • tincla, D. Pedro Juan Bastard y D. Josef Puig; y se avisa para que lle El Sr. secretario del Despacho de Marina leyó la memoria de este gue á debido conocimiento de dichos interesa…</t>
  </si>
  <si>
    <t>Prie</t>
  </si>
  <si>
    <t>…nos canónigos que habian querido conservar siem En vista de la circular dirigida á las autoridades eclesiásticas, nues pre su instituto,y en esto se diferenciaban de los demas. El Sr. Prie tro limo, arzobispo no solo se prestó inmediatamente á todas las insi go apoyó esta misma opinión. nuaciones del Gobierno , sino que también congregó á todos los cu El Sr. Romero Alpuente dijo: El dictamen de la comisión no debe ras de esta capital; á quienes…</t>
  </si>
  <si>
    <t>Priego</t>
  </si>
  <si>
    <t>…ectores de partido, sente mes de Marzo. formándose nuevas solo cuando falte la mayoría. Una heredad de Olivar de 60 aranzadas, en 124,490 rs. Se aprobó la siguiente indicación del Sr. Priego: „Que se nombre Un cortijo, nombrado Laurete, de 120 fanegas, en 64,442 rs. una comisión especial, de las Cortes, la cual proponga con la mayor Otro, nombrado del Chopo,.de 90 fanegas, en 21,825 rs. brevedad un método fácil, sencillo y uniforme de estadística…</t>
  </si>
  <si>
    <t>…que estimasen ne nómicas, y que no debe confundirse con los polvos, y polvillos cono cesarias. cidos hasta el dia , ha adquirido tal crédito en Francia sobre todos Jos Convino el Sr. Priego en qué Ja imperiosa necesidad de las cir demas abonos preparados hasta el presente, quá su autor ha conseguido cunstancias había obligado al Sr. Romero Alpuente á extender su in un privilegio de invención, concedido por S. M. Cristianísima, y ex dicación; dij…</t>
  </si>
  <si>
    <t>…de senado de los ciudadanos propietarios de todas cla preguntas que se les habia hecho , nada se podia adelantar. ses, siendo su número 6o, que no fuesen menores de 35 años de El Sr. Priego manifestó que el motivo de haberse opuesto por la edad ; que hubiese un tercer poder, que seria el Rey, y concluía mani mañana á la proposición del Sr. Romero Alpuente era porque habia festando que lo restante de su proyecto contenía las atribuciones .de cono…</t>
  </si>
  <si>
    <t>…ción de un ciudadano de Búrgos sobre la mala administración de los A ia misma comisión se pasó1 Un expediente, remitido por el señor caudales de propios de todos los pueblos; y el Sr. Priego manifestó que secretario del Despacho de Hacienda, sobre la supresión de la plaza de estos habían sido el patrimonio de todos los que mandan en los pue receptor de penas de Cámara, blos, y que supuesto era bien conocida la mala inversión de los cau Se pasó á…</t>
  </si>
  <si>
    <t>rigió la junta nacional del Crédito público en 6 de Octubre de 1820, derechos á cada persona que pisa á Gibraltar; y otra del Sr. Priego, manifestando los perjuicios que irrogaba el cabildo de la catedral de dirigida á que diese orden el Gibierno á los intendentes para que Pamplona por provisión de cinco canongías, verificada después de res obligasen á los alcaldes de los pueblos á presentar s…</t>
  </si>
  <si>
    <t>…teros de aquella ciudad, solicitando se les de El Sr. presidente dijo que continuase la discusión sobre señoríos. posesión de las dos cátedras, á las cuales hicieron oposición. El Sr. Priego impugnó en un largo discurso lo que habia dicho so A la de Guerra pasó una exposición del cuerpo de inválidos de la bre el particular el Sr. Cortés, como igualmente el parecer del Sr. Caplaza de Jaca, pidiendo se lleve á efecto el decreto de 13 de Marzo latra…</t>
  </si>
  <si>
    <t>…que sea el título de su adqui ayuntamiento escoltado por la caballería, que por disposición suya mar sición. chaba á pie y con sable en mano. Luego que entre continuados aplau El Sr. Priego, después de haber hecho varias reflexiones sobre el sos , y en medio de sonatas alusivas al objeto, fue colocada la bande dictamen que habian manifestado algunos Sres. diputados acerca del ra en el balcón del ayuntamiento, el alcalde constitucional D. Francis…</t>
  </si>
  <si>
    <t>…s bienes; y los señores, fundados en-ja posesión ó en los tí sean necesarios &lt;5 indis nensables. - ' tulos de adquisición , se creían con derecho á disfrutarlos., haciendo pre El .Sr. Priego dijo que la comisión no podía menos de dar tas gra sente que en la discusión del año Jt ti no habia habido una sola cias al Sr. Torres par los conocimientos que acababa de manifestar, y proposición relativa á hacer reversibles á favor de los pueblos tales do…</t>
  </si>
  <si>
    <t>…de cortar los niales-políticos que puedan sobrevenir á la por aquel Congreso de infausta memoria, que fue el fundador de la nación por los enemigos del sistema .constitucional. El Sr. Priego dijo santa alianza. ¿Gritos al lado derecho.) Sí, señoras, pues que estableció que el Gobierno.estaba tomando medidas para esto, y que opinaba po la ¡ anta alianza que aspira al poder absoluto. ¿Exclamaciones tumultuo día suspenderse dicha indicación hasta ve…</t>
  </si>
  <si>
    <t>…cia que le ha con pro y otros tantos en contra alternativamente, excluidos los indivi cedido S. M. del uso de media firma en todos los casos de costumbre; duos de la comisión.” El Sr. Priego se opuso á esta indicación, y no se Y de otro del de Gracia y justicia acerca de la orden que ha dado S. M. admitió á discusión. para que sea extrañado de estos reinos el R. obispo de Tarazona ,y se El Sr. Puigblanch dijo que el año pasado no aprobó el proyec…</t>
  </si>
  <si>
    <t>…ado por alguno rán juzgados militarmente, con arreglo á la ley xo, tít. 10, lib. 12 de de los concurrentes. la Novísima Recopilación, los que hagan resistencia con armas de fue El Sr. Priego: no he podido hablar sobre el artículo anterior por go, blancas ó cualquier instrumento, asi á la tropa del egército per que no me llegó ia palabra; pero hubiera dicho lo mismo que ahora, manente como de la milicia nacional que tratase de aprehenderlos: esto…</t>
  </si>
  <si>
    <t>…-Sr. Desprat, contrario' á la ñor Cano Manuel-, no hübo lugar á deliberar .sobre dicha indicación.: resolución de las Cortes,,sobre, la; apfóbaeío.n de- la adición del Sr. Li ; El Sr. Priego manifestó: que por el correo de ayer se, había, recibi nares. ... V. • .. «s , : do la noticia de que al »r.'obispo de..Oviedo, uno de los.ó^.px-dipu El Sr, presidente.dijó ¿que mañana:se.discutiría el proyecto de ley tados q.ue firmaron la-representación ,&amp;.…</t>
  </si>
  <si>
    <t>…estar vigente aquella orden, tre todos los individuos del Estado; las Cortes mandaron pasarla á la y sí las Reales ordenanzas. , comisión especial que entiende en este negocio. El Sr. Priego apoyó) el parecer de su preopinante, añadiendo que Las Cortes recibieron con particular agrado, y mandaron pasar á la la mayor parte de Jos jueces 4 quienes está encargada la administración biblioteca dos egempiares de las teorías sociales de Bsntham, present…</t>
  </si>
  <si>
    <t>…de la plaza por el cuerpo capitular, se encamina está rebaja, porque no debia ser materia de controversia. ron á recibir el mencionado batallón de Galicia, y todos juntos, enla El Sr. Priego dijo que después de examinados por la comisión. Ioszados entre sí, y con el pueblo, pasaron á la plaza de la Constitución. antecedentes que se mencionaban en su dictamen, habia reflexionado1 Allí colocada la música en los balcones de la casa consistorial eran…</t>
  </si>
  <si>
    <t>El Sr. Priego expuso que habia ciertas ideas qué parecían muy bue- y capitanes de esta los que reciban los voluntarios , dejando ¿ los ayun ñas en la teórica, y puestas en práctica eran malísimas: que era necesa tamientos respectivos la facultad de aprobarlo ó desaprobarlo…</t>
  </si>
  <si>
    <t>…o presos arbitrariamente. nifestó el St. encargado de la secretaría de Estado. ( 1 ) A la de Legislación y Milicias nacionales una consulta del Gefe Se continuó la discusión, y el Sr. Priego dijo: ,,Me parece qüe no político de Cádiz acerca de algunas dudas propuestas por el coman es del dia tratar de los gastos que ha tenido Iá compañía de Guadal dante de la milicia nacional voluntaria de Jerez de la Frontera, so quivir, ni menos de ios ahorros…</t>
  </si>
  <si>
    <t>…vo general de SS. MM. y A A. continúan sin novedad en su importante salud. la extinguida Inquisición, sino en las secretarías del Despacho y demás tribunales de España. cortes! El Sr. Priego dijo que aunque era muy oportuna la indicación , le parecía que antes de quemarse dichas causas debía preceder un examen ÍSSilíEXCU DEL SEÍíOR CUESTA. de ellas. Sesión del 14 de Mayo. El Sr. Mendez dijo que sin embargo que habían pasado 14 meses Se leyó y apr…</t>
  </si>
  <si>
    <t>…bre que se les con la despachase su secularización. Se mandó pasar al' Gobierno, después cedan varios arbitrios para atender á sus gastos municipales: otra de la de haber hecho el Sr. Priego la siguiente indicación , que fue aproba diputación provincial de Toledo sobre que se apruebe el repartimiento da : &gt;s. Pido que se diga al Gobierno si ha pedido á S. S. la bula para la jjécHo' para sátisfácerel importe de las dietas de tos diputados' a' Cort…</t>
  </si>
  <si>
    <t>…que puede resultar El Sr. presidente dijo que se continuase la discusión del art. 1.“ del de aprobarse su indicación. plan de Hacienda. ( Véase ¡a gaceta del 19 del corriente.) El Sr. Priego dijo que ínterin no se declare la. consulta de. si lo* i El Sr. conde dé Toreno dijo que quiso hablar en la sesión anterior legos profesos podían entrar en las elecciones de sus respectivos prela para contestar á algunos puntos que tocó» el Sr. García Page; p…</t>
  </si>
  <si>
    <t>…d á la riqueza principal de la cabildos de España, con egercicios que se han de practicar sobre el Nación. Maestro de las Sentencias, asi como se practicaba en algunas universi El Sr. Priego dijo que el argumento del Sr. Moreno. Guerra se re dades el leer de oposición sobre los libros de Aristóteles. duce á que por este año no se puede llevar á efecto lo que propone la El Sr. Castrillo dijo: » Yo abundo en los mismos sentimientos que comisión con…</t>
  </si>
  <si>
    <t>779 Continué la discusión del islán de Hacienda. . Art. 15. ,,Todoelque ejerza públicamente alguna industria ó prolu ■ Se leyó la siguiente indicación del Sr. Priego, que se aprobó des sión sujeta al impuesto industrial está obligado á manifestar su título, pués de, una discusión entre el mismo Sr. diputado y los Sres. Oliver, siempre que sea requerido por cualquiera autoridad civil y administra Castrillo, ¿Torre Marín, G…</t>
  </si>
  <si>
    <t>…cantidad que se habia de imponer , por que no el tener que pagar mayor cantidad por la medida que estaba sal las razones que habia ya manifestado. - - • . ' , \ uso en el dia. El Sr. Priego dijo: la comisión en el art. i.° dice que mediante á El Sr. conde de Toreno dijo: la comisión ha creído que era abso estar beneficiadas las ciáis ó industrias agrícola y pecuaria en las-de-, lutamente necesario dejar á arbitrio de los pueblos el que adoptasen…</t>
  </si>
  <si>
    <t>…artículos siguientes': ' regulares una contestación del Sr. ministro de Gracia y Justicia á la • ' 1&gt;5 Que el Gobierno provea el reemplazo de los gefes y oficiales indicación del Sr. Priego, aprobada en Ja sesión de 2 1 del corriente. agregados al egército y supernumerarios', atendidas las circunstancias Se concedió el permiso que solicitaban D. Francisco Javier Campa, de adhesión conocida al sistema constitucional y aptitud, prefiriendo juez el…</t>
  </si>
  <si>
    <t>…ia de oficio, y que por lo mismo no pués de una ligera discusión quedaron, aprobados , suprimiendo las pa viniendo sellada, no se consideraría como tal. labras Gefes políticos. El Sr. Priego dijo: yo me opongo también al artículo por los mu Art. 14. «Por consecuencia quedan abolidas las juntas y oficinas chos fraudes que en esta parte se han comet'do hasta ahora, y por tan de los montes píos, las contadurías y tesorerías general:* de las direc to…</t>
  </si>
  <si>
    <t>…e El Sr. ministro de Gracia y Justicia remitió un oficio, en el que, desnaturalizaban esta excelente institución; pero las que hizo cuando con motivo de la indicación aprobada del Sr. Priego , relativa á que llegó al artículo de gastos de Estado , y la verdad y energía con que por medio del Gobierno se preguntase al reverendo Nuncio si tenia ó se expresó, fueron dignas de un soldado de la libertad. no facultades para la secularización de las monj…</t>
  </si>
  <si>
    <t>…gnaba para gastos, sueldos de los gefes políticos y sus secreta distribución de los diezmos entre el clero. rías era muy grande, dimanando esto de las exorbitantes asignaciones El Sr. Priego manifestó que se oponía al dictamen de la comisión, que tenian; las cuales en su opinión se debian reducir, poniendo 6o© y una de las razones en que fundaba su Opinión era que se establecía reales de suelde á los gefes políticos de primera clase, 50© á los de…</t>
  </si>
  <si>
    <t>…los inconvenientes de que los pueblos capital á Guadalajara, según lo proponía la Comisión de las Cortes. mas distantes se aproximarían á ia capital; pero los mas ricos que pro El Sr. Priego dijo: O en el mapa que se nos ha presentado está mal ducen mas relaciones entre el Gobierno y los gobernados quedarían fijada la situación de Guadalajara, ó la capital resulta en un extremo muy distantes, sin que por esto se hubiese conseguido esa segundad qu…</t>
  </si>
  <si>
    <t>…límites de las provincias de Bilbao, S. Sebastian y Vitoria. de gefes políticas en ¡as provincias nuevamente formadas. Del Sr. Valcarcel acerca de la provincia de Villafranca. El Sr. Priego: ' on tan obvias las observaciones que han hecho los De los Sres. Carrasco y Marrel acerca de los de la de Salamanca. Sres. preopinantes contra este artículo, que me parece que no puede Del Sr. López acerca de los de la provincia de Calatayud. oponerse á ella…</t>
  </si>
  <si>
    <t>…s á este régimen, y de consiguiente se ofrecen mil dudas con las cuales se puede atender á estos nuevos gastos. que no se han previsto &amp;c. Acto continuo se leyó la proposición del Sr. Priego, y no se ad Es muy escusado repetir aquí las generalidades que siempre deben mitió á discusión por 8d votos contra 62. tenerse presentes sobre que los empleados, especialmente los de pri El Sr. Sancho: En este proyecto se aumentan 18'provincias, y re mera cla…</t>
  </si>
  <si>
    <t>…15. » La plana mayor de cada batallón se compondrá da del Sr. Diaz Morales, contrario á no haberse admitido á discusión la Un coronel ó primer comandante. proposición que hizo ei Sr. Priego en la misma. Un segundo comandante mayor. El Sr. presidente nombró para la comisión de Sanidad á los Srei. Dos ayudantes, uno primero y otro segundo, de la clase de tenientes. Arrieta y Gaseo; señaló para la sesión de mañana la discusión sobre Un abanderado.…</t>
  </si>
  <si>
    <t>…sta de los acreedores á los bienes de los rectificasen este artículo de manera que tuviese analogía con aquel. conventos suprimidos. Se mandó pasar á la connsion de Hacienda en Ei Sr. Priego dijo que era necesario se diese alguna mayor explica unión con la del Crédito público. ción á est: articulo, o que se dijese lo que se entendía por sos-echarse, A las mismas comisiones otra exposición del consulado de la Co- porquede lo contrario se abría una…</t>
  </si>
  <si>
    <t>…at posteriores se ve que habían sido forzados para firmar las primeras mas otras en favor del ministerio. de las cuatro quintas partes de los que lo habían hecho. Es también de El Sr. Priego dijo: Me ha sido sumamente sensible no poder con advertir que apenas llegaba al Gobierno una representación contra los venir en manera alguna con el dictamen de la comisión , ya con el de ministros, venían después pretensiones de los que las firmaban pidiendo…</t>
  </si>
  <si>
    <t>Prieto, Andrés</t>
  </si>
  <si>
    <t>Andrés Prieto</t>
  </si>
  <si>
    <t>…ento de Zaragoea á naderos provine ales, D. Francisco Linsac, teniente del batallón pedir que V. S. hiciese dimisión del mando político y militar de esa de voluntarios milicianos, D. Andrés Prieto, capitán Je la milicia provincia. No cree el Rey que la milicia, cuyo pr'ncipa! in-i tuto es voluntaria de Barcelona, D. Josef Lacrar, capitán del primer batallón el mantener el orden y defender la Constitución, haya dado, un paso de la de Zaragoza y otros in…</t>
  </si>
  <si>
    <t>Prieto, Josef</t>
  </si>
  <si>
    <t>Josef Prieto</t>
  </si>
  <si>
    <t>…0 á 16 años, formado por el ciudadano Don A la comisión/de Instrucción pública se mandó pasar una exposi Juan Miguel Rott: con este motivó dió noticia-déla formación de un ción de D. Josef Prieto , solicitando dispensa de estudios. batallón de estadase en la capital de aquella provincia , en el. que se A la de Hacienda una. instancia de la diputación provincial de Cá habían alistado diferentes jóvenes con--un entusiasmo extraordinario: diz sobre la ab…</t>
  </si>
  <si>
    <t>Prieto, Luis Sánchez</t>
  </si>
  <si>
    <t>Luis Sánchez Prieto</t>
  </si>
  <si>
    <t>…eiles, D. Ramón Gil de la Cuadra , D. Manuel Gar ellos por D. Tiburcio López. cía Herreros, D. Josef Canga Argíielles , D. Cayetano Valdes y Don Se dió cuenta de una exposición de D. Luis Sánchez Prieto, vecino Juan Jabaí, en atención al estado en que se hallaban, á los distinguí-</t>
  </si>
  <si>
    <t>Prieto, Matías Herrero</t>
  </si>
  <si>
    <t>Matías Herrero Prieto</t>
  </si>
  <si>
    <t>…de Paz. artículo. Asimismo ha tenido á bien nombrar para plazas de magistratura, Art. 58. ” La repartición entre los propietarios y contribuyentes se en la audiencia de Galicia, á D. Matías Herrero Prieto, D. Diego hará en cada pueblo por repartidores.” Alcalá Gal ¡ano y D. Miguel de Belorado. El Sr. conde de Toreno manifestó que podria hacerse alguna modi ZJsta.de las alhajas robadas en la iglesia de S. Mames de la villa de ficación en este artículo . para qu…</t>
  </si>
  <si>
    <t>Primado</t>
  </si>
  <si>
    <t>…la Marzo último. cual se mandaron pedir informes; y de la reclamación de los herederos 11 Desde el principio de su enfermedad, esto es, desde el 17 hasta ab-intestato del difunto príncipe Primado contra los Soberanos de los Es el 31 de Marzo, le asistió su prop:o médico únicamente , el profesor tados situados á las orillas del Rin, por un atraso de 7 años de. la* Antommarchi; desde i.° de Abril hasta 5 de Mayo recibía las visitas contribuciones indire…</t>
  </si>
  <si>
    <t>Primero</t>
  </si>
  <si>
    <t>…determinada, 6 bien terado, de todo S. M., y oido el consejo de Estado, ha tenido i bien los juncos, aneas, espadaña', ú otro cualquiera de que se pueda formar declarar por”regla general Primero, que al gran priorato de S. Juan y una especie de estera basta. i los comendadores de las órdenes toca distribuir los diezmos y primi 2 Tampoco sabemos dé qué materia ha de ser esta capa, si de ar cias de sus iglesias, y de ninguna manera i las juntas diocesa…</t>
  </si>
  <si>
    <t>Príncipe</t>
  </si>
  <si>
    <t>…de que ha de usar esta comisión. da de dinero y de tiempo, ni se expongan á otros peligros, por la pre sente hacemos saber que en este estado de cosas no se le permitirá ai IMWIA. Sr. Príncipe hacer ensayo alguno sobre curaciones, y que le está pro hibido hacerlos, so pena de una multa de consideración. Parts 11 dt Setiembre. » Y añadimos ademas que no han salido bien todos los ensayos que XI Monitor de hoy contiene el siguiente curiosísimo artícul…</t>
  </si>
  <si>
    <t>Prito, Jaime</t>
  </si>
  <si>
    <t>Jaime Prito</t>
  </si>
  <si>
    <t>…tantas veces se cual recomienda especialmente el comandante de la división á los seño han experimentado en la Península, y. se repiten en el presente año; res D. Joaquín Somoza , D. Jaime Prito, D. Antonio Vázquez , D. Jo S. M. ha tenido á bien mandar que V. S. recuerde de continuo á las sef de la Torre, D. Hilario Nogueras, D. Frar cisco Balct, D. Cipria autoridades dependientes de ese gobierno político de su cargo la urgente no Aragón, D. Josef So…</t>
  </si>
  <si>
    <t>Prudhoe</t>
  </si>
  <si>
    <t>…exposición en nombre de en los Gobiernos sino dimanada de los tronos; lo que era lo las Cámaras. mismo que decir que las cadenas deí despotismo habían de Apoyó esta proposición el lord Prudhoe; pero el con oprimir para siempre á la humanidad. (Oíd-, oid.) (S* de Grey dijo que no adhería á ella, porque á pesar de que continuard.) no contenía expresión alguna que mereciese su desaproba FRANCIA. ción, echaba de menos, asi en el discurso de S. M. como…</t>
  </si>
  <si>
    <t>Prusia, Federico de</t>
  </si>
  <si>
    <t>Federico de Prusia</t>
  </si>
  <si>
    <t>…su viage por Sohlmgen. SS. AA. el Príncipe Reai , ei pon- yecto de ley Mr. Vandoeuvre de l’Aube. Primeramente quiso probar con argumentos bastante especiosos, ócipe Guillermo y el príncipe Federico de Prusia , el Gian-Duque Ni colás y el príncipe Federico de los Países-Bajos han salido con S. AI. por mejor decir sofísticos, que ia ley de censura no era contraria á la para Dusseldorff. S. A. S. el duque de Nassau ha vuelto a Ericb-rich. Carta, porque en esta se co…</t>
  </si>
  <si>
    <t>Ptnheiro, Silvestre</t>
  </si>
  <si>
    <t>Silvestre Ptnheiro</t>
  </si>
  <si>
    <t>…traordinario y ministro plenipotenciario de S. M. I. y R. Aptitólica » Por lo demas el infrascrito no descubre motivo que obligue á re siente verse precisado á recordar á S. E. el Sr. Silvestre Ptnheiro fierrei- currir á una suposición, tan gratuita como increíble, dé semejante ra, ministro y secretario de Estado del departamento de los Negocios convenio. 1 extrangeros, que han pasado tres semanas desde que el caballero de » El Sr. de Berks, juzgando con ant…</t>
  </si>
  <si>
    <t>Puche, Francisco de Paula</t>
  </si>
  <si>
    <t>Francisco de Paula Puche</t>
  </si>
  <si>
    <t>…de los lugares en que ha del corriente varios individuos de ella, al mando del capitán D. Ma ya universidad de tercera enseñanza nombren todos los años las corres nad Perez y del teniente D. Francisco de Paula Puche, verificaron una pondientes subdirecciones de Lima y México.” ; aprehensión ; y esperamos que si coutinúan las medidas que se adoptan, El Sr. Gareli opinó que no habiendo universidades mayores ni me en breve tendrán que desistir de este tráfico tan perjudicia…</t>
  </si>
  <si>
    <t>Puchet</t>
  </si>
  <si>
    <t>…án general de acuella provincia, y úl por el Siv secretario de la Gobernación de la Península á la indicación timamente de su diputación provincialresultaba que dichos vecinos dei Sr. Puchet ( véase en la gaceta del Xl~), relativa á la venida de los estaban acordes y convenidos en satisfacer lo que les correspondiese, y diputados de Nueva-España. que las ventajas que resultarían á dicha villa eran tales cuales las pro A la especial de Hacienda se…</t>
  </si>
  <si>
    <t>…y también millares de familias que no desean mas que la unión con la España: concluyo pues con que deben continuar ios su CORTES. plentes de la América desempeñando su encargo. El Sr. Puchet hizo presente que una vez admitidos en el Congreso Segunda junta preparatoria de las Cortes extraordinarias de 1821. durante todas las sesiones de los años 20 y ai los Sres. diputados su plentes por las provincias de Ultramar, no había razón alguna para Leída…</t>
  </si>
  <si>
    <t>…EZ QJÍ LA ROSA. de las vacantes de las plazas de la secretaría del Despacho, y los oficia les que obtengan estos destinos se considerarán retirados.” Sesión del 4 de Noviembre. El Sr. Puchet pidió que se tuviese presente una indicación que hi Se leyó y aprobó el acta de la anterior. zo en la legislatura pasada al tiempo de discutirse el presupuesto de gas A la comisión de División del territorio se mandó pasar una ex tos de Ultramar, relativa á l…</t>
  </si>
  <si>
    <t>…delitos , sacó por consecuencia que el Se- mandó agregar al acta de la sesión anterior el voto particular mal inerte ó egecutado por uno privado de razón era menos fuerte que dil Sr. Puchet, contrario á la aprobación de los artículos 2.0, 3.” y 4.0 no el que egecutaba otro en su estado natural. Asimismo hizo varias del dictamen de las comisiones de Hacienda y Comercio que se acababa retí exiones sobre el escándalo que causarían, v. er., dos que…</t>
  </si>
  <si>
    <t>…el objeto de las leyes era impedir que se llegase á ia consumación do acerca de este artículo. de los delitos. El Sr. Gil de Linares dijo, que no comprendía la última parte de El Sr. Puchet opinó que debia hacerse una diferencia entre los mu este artículo, porque no podía haber ninguna persona particular que chos modos que hay de cooperar á. ,un delito ó culpa; porque ó bien cometiese el delito que pudiera cometer un funcionario público co puede…</t>
  </si>
  <si>
    <t>…aría si no fuera por el sobor patente á b. M. para su noticia y conocimiento. Dios guarde á V. E. no ó consejo. muchos años. Pamplona 30 de Noviembre de i8ai.r= Excmo. Sr. = En El Sr. Puchet: Este código establece por regla general que sin vo ausencia del gefe político superior, Higinio García deBurunda.rcExceluntad no hay pena. Es asi que el que manda que se haga un delito me lentísimo Sr. secretario de Estado y del Despacho de la Gobernación no…</t>
  </si>
  <si>
    <t>…con aplaudir el zelo de los Sres. que la han suscrito; pero no puedo norancia de la iey que se ha violado. menos de manifestar á ias Cortes que se necesita tiempo para desempe El Sr. Puchet: Abundo en la opinión de ios Sres. de la comisión, ñar el encargo de ia comisión, el cual no sabe si io presentará con y creo que resultará un beneficio á la Nación de que se apruebe este ar el acierto posible, y que exige un asunto de esta ciase , sin el tie…</t>
  </si>
  <si>
    <t>Puchó, Ramón</t>
  </si>
  <si>
    <t>Ramón Puchó</t>
  </si>
  <si>
    <t>…ayor gusto en egecutar el la de los Sres. Domingo y Mdmpié; en Lorca en la de Miguel; en Ali convenio, cante en casa de D. Tomas Calamarte; en Cartagena en la imprenta de Ali-Agá. D. Ramón Puchó!, y en Murcia viuda de Santamaría é hijo. Haréis lo que' gustéis; pero entre tanto dejadme, y estadme atento, Ana ó la heredera del país de Gales: 4 tontos en 8’. con una es como yo lo he hecho durante vuestra conferencia. tampa fina cada uno.— Rosa ó la Niña…</t>
  </si>
  <si>
    <t>Puchst</t>
  </si>
  <si>
    <t>…cosa seria que se le castigase como auxiliador del segundo crimen , y j los términos que lie indicado. otra el que se le castigase como por haber hecho una tentativa respecto \ El Sr. Puchst apoyó el artícu'o , manifestando que el que ayudaba del primero. Por estas razones considero que cuando el delito mavor ¡ a! que hiib a cometido un delito era verdaderamente cómplice del de-', que se cometa sea de la misma clase que aquel que se aconsejó ó su…</t>
  </si>
  <si>
    <t>Puente, Pedro Flores</t>
  </si>
  <si>
    <t>Pedro Flores Puente</t>
  </si>
  <si>
    <t>…Fuelles, regidor primero de Alcañices. Tabaray Mumbuey con Villar de Ciervos D. Pedro Perez Bobo, comerciante y alcalde constitucional PORTUGAL. de Villar de Ciervos. Fertnoselle D. Pedro Flores Puente, labrador hacendado, Lisboa jo de Noviembre. i Provincia de Toro. Toro D. Ezequiel Diez y D. Manuel Sanchet Arcilla. Alaejos D. Agustín Monge. Vezdemarban D. Juan. Manuel Sesión del 2. Coca. Se continuó la discusión pendiente del art. 90 del proyecto de Cons…</t>
  </si>
  <si>
    <t>Puente, Rafael del</t>
  </si>
  <si>
    <t>Rafael del Puente</t>
  </si>
  <si>
    <t>…proponía que se mandase pasar esta peti A la de Hacienda se mandó pasar una solicitud de D. Josef Salva ción al ministro de lo Interior. Mr. Girardin se opuso á que se diese dor y D. Rafael del Puente, vecinos de Lozares, para que las Cortes pidos á semejante pretensión. se sirvan acordar la rebaja' de la tercera parte de unos arriendos que tie Siempre que se presente una solicitud pidiendo algún privilegio nen encabezados á su favor. ( dijo ) subiré á est…</t>
  </si>
  <si>
    <t>Puerta, Vicente Manuel</t>
  </si>
  <si>
    <t>Vicente Manuel Puerta</t>
  </si>
  <si>
    <t>…principal del Crédito público, y ea fusileros, en 30 de Entro de 1815, y los demas en 10 de Octubre de virtud de providencia del Sr. D.'Angel Fernandez de los Riós, magis 1818 por D. Vicente Manuel Puerta, comisionado para la actuación trado hpnorario de la audiencia de Castilla la Vieja, y juez letra de la causa , que principió la justicia de Bugarra, Presos el primero en do de primera instancia de esta M. Hf villa, refrendada de su es go de Enero de 1815 , y…</t>
  </si>
  <si>
    <t>Puga, Nicolás de</t>
  </si>
  <si>
    <t>Nicolás de Puga</t>
  </si>
  <si>
    <t>…z Angulo, D. Fran cisco Orea, D. Josef Larreategui, D. Josef Perez Morales, D. Josef 7■ 5- 3- 34- Pío de Molina, D. Manuel García del Barrio, D. Marcos Cubilio, D. Mariano Valero, D. Nicolás de Puga, D. Pedro Matute, D. Ra Hay ademas cuatro sospechosos. fael Costa y D. Tomas Polo Catalina. Madrid l.° de Noviembre. Parroquia de S. Marcos, p electores. En el domingo próximo 4 de Noviembre se han de celebrar en toda D. Josef de Arca, D. Josef Huel, D. Juan…</t>
  </si>
  <si>
    <t>Pugct, Josef María</t>
  </si>
  <si>
    <t>Josef María Pugct</t>
  </si>
  <si>
    <t>…estado en esta ocasión establecer una escuela tde.primeras letras. que concordaba con las ideas liberales del.poder legislativo, mirando . A la de Poderes se mandaron pasar los de D. Josef María Pugct, con el mayó* desprecio las fanáticas convocatorias que se le .han diri diputado, por N., y los de-D. Basilio López , que lo es por la provincia gido , v entre-las cuales algunas merecen ser reprobadas con .ei mayor de Oajaca , con el acta de las respectivas…</t>
  </si>
  <si>
    <t>Puget</t>
  </si>
  <si>
    <t>…mandaron agregar I dar, O-Dali, Vítorica, Larríva, Aamonet y Cepeda. ella ios votos particulares de-Jos Sres. Cañedo, González Allende, Se leyó por primera vez una proposición del Sr. Puget, relativa 3. Dolare» , Lobato y Torrens, contrarios á la aprobación que se dió en la que los reos que se destinaban en Nueva-EsnaúaAJQs presidios de Veanterior sesión á la proposición de-Ios Sres. Calatrava y otros,para con racruz y Acapulco , se destinen en…</t>
  </si>
  <si>
    <t>…, puedan obrar por sí y. sin,necesidad-de implorar el au , Ei Fr. presidente .nombró para -la-comisión de Diputaciones pro xilio del poder judicial ni otra autoridad. vinciales al Sr. Puget en ¡ugardel Sr: Ramos-Arispe. : 2.? Que con inhibición de las audiencias., jueces y domas magistra Se hizo segunda lectura de las proposiciones de ios Sres. Subrié y dos, puedan los mismos ^intendentes decretar y ,llevar á efecto los apre Marín Tauste, relati…</t>
  </si>
  <si>
    <t>…de los diputados de Nueva-España. El Sr. minis exponga su parecer.” tro contestaba que se habia dirigido una circular á los Ge fes político* Se aprobó la siguiente indicación del Sr. Puget en consecuencia de de Ultramar y á los comandantes de los apostaderos, mandándole* la contestación del Sr. secretario de la Gobernación de Ultramar á la que auxiliasen del mejor modo posible á dichos Sres. diputados, á fin indicación del Sr. Ramos Arispe, de…</t>
  </si>
  <si>
    <t>Puget, Josef María</t>
  </si>
  <si>
    <t>Josef María Puget</t>
  </si>
  <si>
    <t>…ase-dichos artículos, en lo que hallaba Xa'¿Omisión de Podéres: presentó-siis dictámenes relativos á los de un medio término para conciliar la justicia con la clemencia. los Sres. D. Josef María Puget , diputado por Puebla dedos Angeles,' ■ -Otros varios Sres. diputados hablaron eú -favor y en contra, recor y D. Patricio López, que lo es por Oajaca; y habiéndoles examinado" dando unos lo practicado en España con el obispo de Orense encaso con el acta de-su…</t>
  </si>
  <si>
    <t>Puiblanch</t>
  </si>
  <si>
    <t>…próximo á discutiese el proyecto acírca de esta en cada intendencia de Ultramar, con arreglo al artículo 325 de la materia. Constitución ¡ un proyecto de decreto presentado por el Sr. Puiblanch, A la de Legislación se pasó una representación del ministro y re sobre reuniones patrióticas: otro proyecto del Sr. Rodríguez de Ledesligiosos terceros del convento de la Consolación de Sevilla sobre que ma , dividido en 8 artículos, sobre pasaportes para di…</t>
  </si>
  <si>
    <t>…s de Cortes Padilla, MalA la de Hacienda una exposición del Sr. secretario de este ramo, donado y .Bravo. ; en que manifestaba los motivos que habia tenido el Gobierno para que El Sr. Puiblanch dijó que eran muy acreedores aquellos héroes á lo la fabricación de moneda para el pago del empréstito de los 200 ra llo que proponía el Sr. Diaz-Morales, sobre lo cual habia pensado hacer nes se egreutase en esta corte, y en que contestaba á lo demas que de…</t>
  </si>
  <si>
    <t>Puig, Josef</t>
  </si>
  <si>
    <t>Josef Puig</t>
  </si>
  <si>
    <t>…ndreu , abogado y escribano de Vails. Gerona D. N. De- bían de instruirse del proceso ¡os defensores de ios reos , presentaron su las , barón de Vilagaya , hacendado , ex-alcalde. D. Josef Puig, hacen dictamen recadado en los artículos siguientes: dado de Ídem. Sobona D. Manuel Ribaita, hacendado de Fonseca. Art. i.° » La causa sobre las ocurrencias de 10 de Marzo de 18-0 Vich D. Lorenzo Puig y Líoser, sustituto de Cátedra de Cerrera. en Cádiz se po…</t>
  </si>
  <si>
    <t>Puig, Josef Pía y</t>
  </si>
  <si>
    <t>Josef Pía y Puig</t>
  </si>
  <si>
    <t>…de Toreno, Almudevar á D. Joaquin Ruiz Arechavaleta : para el de Cinco Villas Argaiz , Loizaga, Fraile, conde de Montenegro, Martínez de la Ro á D. Pedro Luque: para el de Jaca á D. Josef Pía y Puig; y para el de sa , Montoya, Freiré, Lecumberri , Clemencin., Cañedo, Ramos Gar Ainsa á D. Buenaventura Portóla. cía, Espiga, Martel, Vallejo , Valle, Ligarte (D. Agustín), San Juan, Dolarea, Torres, Rey , Ugarte QD. Gabriel), Vitorica, Hi- Estado de la tínica…</t>
  </si>
  <si>
    <t>Puig, Juan</t>
  </si>
  <si>
    <t>Juan Puig</t>
  </si>
  <si>
    <t>…de absolución ; que igualmente so haga teniente y comandante da la partida del regimiento infantería de Cór notorio que, en virtud de'o-rden del comandante general de Aragón, doba D. Juan Puig; ei cabo comandante de la milicia de caballería fue su regimiento á recibirlo á la'puerta de la corcel en el acto cíe salir T&gt;. Pedro Jover; el teniente comandante de ingenieros D. Manuel Jo de ella; y que se prevenga al alcaide de esta que .anote en loo libr…</t>
  </si>
  <si>
    <t>Puig.en, Lorenzo</t>
  </si>
  <si>
    <t>Lorenzo Puig.en</t>
  </si>
  <si>
    <t>…os hombres reflexionen sobre sus dere lemnidad de estilo las exequias anuales de su fundador el chos y sobre los medios de recobrarlos, y asegurarlos sobre Bey D. Felipe v. El Dr. D. Lorenzo Puig.en una elegan otros fundamentos mas seguros que los que hasta aquí han te oración latina , acomodada á las actuales circunstancias, tenido Scc. Scc. Nápoles será invadida , y los españoles no manifestó que desterrando aquel Monarca, con sus sabias deberíamos mir…</t>
  </si>
  <si>
    <t>Puigbianch</t>
  </si>
  <si>
    <t>…Sr. Navas , pues i su entender no era adición, sino una destruc bierno. Tal era, continuó, el deseo del acierto, que juntó el consejo de ción de lo aprobado: cuya opinión rpoyó el Sr. Puigbianch; y después Estado , la junta consultiva, otra de los inspectores, para que sin per de una discusión entre estos Sres. diputados y el mismo Sr. Navas, no der de vista las benéficas ideas que le caracterizan, pudiese proporcionar se admitió á discusión la refer…</t>
  </si>
  <si>
    <t>…ubsecretario del mi Sesión extraordinaria del 24. nisterio de la Justicia. Se leyó y aprobó el acta de la anterior. El ministro guardasellos tomó la palabra para impugnar á Mr. El Sr. Puigbianch leyó el dictamen de la comisión especial nom r Etienne, y después de haber sentado el principio de que perteneciendo brada para eternizar la memoria de los héroes de la libertad de Castilla al Rey solo la facultad de dar á la administración la forma que le pa…</t>
  </si>
  <si>
    <t>Puigbíanch</t>
  </si>
  <si>
    <t>…sangre, con soga El Sr. Calatrava indicó que la comisión no había creído necesaria d; esparto al cuello.” esta ley, pero que sin embargo ei Sr. Sánchez Salvador podía hacer una El Sr. Puigbíanch dijo que suponia que las manchas de sangre serian proposición al efecto. de la de carnero, y esto convendría expresarse. Declarado este artículo suficientemente discutido, se procedió á sil Otros Sres. diputados pidieron que este párrafo se aprobase por par v…</t>
  </si>
  <si>
    <t>Puigbl</t>
  </si>
  <si>
    <t>…asumo era muy grave no podía manifestar ahora el dictamen de la co licite ó provoque para ello. misión. _ ■_ 9.a «En todos los delitos contra las personas ser'n circunstancias K! Sr. Puigbl tnch ,aplaudiendo el zelo de la comisión , dijo que no «gravantes contra el red , la tierna edad , el sexo f- ni -nino , la dignidad, había hecho bí-.n la cuenta en la progresión que señalaba, sobre lo la debilidad , índ ifensibn,. desamparo •&gt; conflicto de l…</t>
  </si>
  <si>
    <t>Puigblanch</t>
  </si>
  <si>
    <t>…ción, y no se Y de otro del de Gracia y justicia acerca de la orden que ha dado S. M. admitió á discusión. para que sea extrañado de estos reinos el R. obispo de Tarazona ,y se El Sr. Puigblanch dijo que el año pasado no aprobó el proyecto le ocupen sus temporalidades, habiendo encargado la egecucion de esta que se presentó para impedir las sociedades, juntas ó corporaciones orden al Gefe político de Aragón. patrióticas, porque reconoció que el puebl…</t>
  </si>
  <si>
    <t>…algunos que abusen del don de la palabra’ café, casa ó cualquiera otra parte. Aun el Gobierno arbitrario ha protegido las sociedades económicas: y Convengo con lo que ha dicho vi Sr. Puigblanch en que habia ar si estas deben apreciarse por el nuestro, porque tratan de la industria y tículos que eran objeto de ley , otros Je decreto, y otros que no lo eran artes, ;es mas esto que la felicidad y la libertad de la Nación, de que ni de decreto ni de ley…</t>
  </si>
  <si>
    <t>…del Estado méntasen'sus'sueldos. '’ '..... y de la “Iglesia , segun das leyes que rigen~*en Ta- materia-. - , A la de Instrucción pública se mandaron pasar una solicitud de los El Sr. Puigblanch, después de haber refutado el informe del con individuos del colegio de cirugía medica de Málaga-, -en la que mani sejo de Estado sobre el expediente de que se trata , y el voto par festando el crecido númeroJfejóveries que sentían educado:en; el mismo ticula…</t>
  </si>
  <si>
    <t>…Canabal debería decirse que los jueces" preopinante había padecidgLen la.inteligencia de dicho artículo. se podrían valer de cualquier: escribano Real ó numerario del partido , El Sr. Puigblanch, apoyando en parte la opinión del Sr- Traver,- para que actúe en el sumario. Y-el Sr. Rodríguez- de Ledesma añadió, afiadió algunas observaciones acerca de lo impracticable que era publi que se expresara que estos no podrían excusarse.: . •car el bando en cie…</t>
  </si>
  <si>
    <t>…plazo , porque si no bastaban ios de 19 años, entrarían Los de 20, y modificación, &gt;&gt; ó del modo que tenga por conveniente,” y quitando si nó los de 1. .; la palabra siempre. ■ El Sr. Puigblanch dijo deseaba saber si la comisión tenia empeño en Después de declarado el punto por suficientemente discutido, no hu que se aprobase el art. 25 , porque tenia entendido que se había tratado bo lugar á votar sobre dicho artículo, y se mandó volver á la comisió…</t>
  </si>
  <si>
    <t>…ales, entre ellos á los milicianos voluntarios, llamándolos las bases del mismo, véase en la gaceta del 21. con los nombres de exaltados, anarquistas, republicanos , y otras ve El Sr. Puigblanch dijo que hacia muchos años estaba convencido ces con los de fracmasones, hereges y judíos, siendo los mismos á de los grandes perjuicios que han causado á los pueblos ios señoríos por quienes persiguieron y llamaban liberales en los seis años del gobierno la…</t>
  </si>
  <si>
    <t>…ue El Sr. Lobato dijo que de resultas del decreto que dieran las Cor designen las Cortes para su admisión.” tes sobre extinción de monacales y órdenes militares, habían quedado El Sr. Puigblanch fue de parecer que debería hacerse extensivo et sin destino muchos empleados en los monasterios, y entre ellos los privilegio de llenar el cupo que perteneciese á cada provincia del mo de la casa de S. Marcos de León , dependiente del orden de Santia do que c…</t>
  </si>
  <si>
    <t>…, y mandaron pasar á la biblioteca El Sr. Romero Alpuente dijo: reproduzco las consideraciones ex una exposición del consulado de Málaga, remitiendo un cuaderno que puestas por el Sr. Puigblanch, y creo firmemente que esta mañana no contenía los egercicios públicos de Constitución y economía política se trató mas que de si estaba ó no conforme la minuta redactada por que se habían celebrado en el salón de sus sesiones, bajo la dirección la secretaría…</t>
  </si>
  <si>
    <t>…particular del Sr. Gutiérrez Acuña, contrario á no haberse admitido á Art. 65. &gt;1 Después de examinados y aprobados en la escuela podiscusión la indicación que en la misma hizo el Sr. Puigblanch. licténica , podrán pasar los alumnos á las siguientes escuelas de aplica Continuó la discusión del dictamen de la comisión sobre instrucción pú ción. Primera artillería: segunda ingenieros: tercera minas: cuarta ca blica. nales, puentes y caminos: quinta ing…</t>
  </si>
  <si>
    <t>…y, si al disponer asi de mos de una obra que presentó el Sr. D. Juan Justo García. ellos los tienen ya cultivados y ocupados, según su naturaleza y obje Se leyó una indicación deL Sr. Puigblanch, que decía : « Habiendo tos para que se les cedieron: exceptúanse de esta regíalos capitulantes de las Cortes aprobado en su reglamento interior, que se acaba de discutir, nueva población, quienes podían disponer libremente de los terrinos . que todos los año…</t>
  </si>
  <si>
    <t>…agricultura, la química Potosí , Guadalajara , Merida de Yucatán , Saltillo , Chihuahua , Vay la mineralogía.” lladolid de Mechonean, Durango, Oajaca, Santa Fe del nuevo Méxi Del Sr. Puigblanch al art. 37: » Después de la palabra antigüeda co, Goatemala, León de Nicaragua, Manila, Havana, Lima,, Char des, se añadirá en renglón separado habrá un monetario y un gabinete cas, Santiago, Santa Fe de Bogotá, Quito, Cuzco, Panamá y Carta de estas últimas ;…</t>
  </si>
  <si>
    <t>…el cuerpo, deberán ir a pasar D.-spues de una corta discusión se aprobó el artículo. Ja revista á él ; y como según la nueva organización de milicias se de Se leyó una adición del Sr. Puigblanch al ait. 96 para que se aña berá pasar mensualmente esta revista, tendrán que hacer todos ios diesen á ios casos en que las diputaciones provinciales pueden poner meses este viage. Esto parece que es inútil , porque á los oficiales del sobre las armas á los cu…</t>
  </si>
  <si>
    <t>…mandó pasar á la comisión que entiende en el proyecto Orgáni los casos que puedan merecer esta especie -dé dispensa , y por consi co de la milicia activa la siguiente adicidn del Sr. Puigblanch ál art. 5i(S guiente en esta parte estoy conforme. ¿Pero por qué‘cuando las Cortes del referido proyecto, y decía asi; » Que se exprese en dicho articuló hayan de usar de estas facultades ha de ser precisamente á propuesta de quién ha de convocar y reunir las…</t>
  </si>
  <si>
    <t>…los depósitos no faltaría tiempo en El Sr. secretario leyó el nuevo artículo presentado por la comisión, que tuviesen su salida, principalmente, como he dicho, en los años es y el Sr. Puigblanch se opuso á su aprobación, manifestando que seria casos, en que estaríamos obligados á comprarlos en Francia por un pre acrecentar el contrabando, puesto que se extraerían los géneros intro cio mas exorbitante. cidos en los depósitos, y se infestarla con ellos…</t>
  </si>
  <si>
    <t>…es lo que se pone en él artículo, no creo que se porqué lo que la una tenia'mas de peso , la otra lo tenia de ley. conseguirá el evitar este abuso con la medida que se propone. El Sr. Puigblanch opinó que debia decirse moneda resellada, y lue El Sr. Oiiver; El haber puesto enceste articulo la causa por que ss go ro rs. propone esta medida, es únicamente para dar una satisfacción á las ~ El Sr. Azada dijo que con decir solo resellado so rs. era lo bas…</t>
  </si>
  <si>
    <t>…resolución. Yo escribo una carta manifestando á otro mi re bado» solución, y por este hecho ni es preposición ni tentativa. Supongamos Se leyó la siguiente adición al art. g.3 del Sr. Puigblanch: » Pido que se hubiera encontrado á Vinuesa el escrito del plan de conspira que se añadan al fin de dicho art. las siguientes palabras: » sino en el caso ción; si no hubiera habido tentativa, es claro que solo seria una resolu en que habiendo la ley variado l…</t>
  </si>
  <si>
    <t>…odujesen de las expuestas el dia que se desapro Se concluyó la secunda lectura del Código civil. bó el art. 11. A la comisión de División del territorio se mandó pasar una expo El Sr. Puigblanch expuso que la comisión no hacia mas que repro sición del ayuntamiento constitucional de Sanlúcar de Barrameda, en ducir lo que anteriormente había presentado á la deliberación de las la que manifiesta los inconvenientes que se seguirían de su reunión á la Cor…</t>
  </si>
  <si>
    <t>…el artículo que se Variación , creo qué'en cuanto 4- las-palabras-no tendrán inconveniente discutía:' los Sres: de la comisión éh adoptar aquéllas? que les parezcan mas claras, El Sr. Puigblanch: La frase que la comisión pone en este anícula particdlarmehté éh- esté artículo ¿ mientras no se opongas la ideaó de hacen espaldas no -es exacta. Hay dos frases que son diferentes, i Íasé establecida sabiementé'pórla misma comisión. saber, hacer espaldas y…</t>
  </si>
  <si>
    <t>…l que comete una acción contra su voluntad, forza dor se le impone una pena que no se debe, atendiendo á qué es padre, do en el acto por alguna violencia material. hermano ócc. El Sr. Puigblanch hizo varias reflexiones acerca de la redacción El Sr. Calatrasra: Los receptadores que expenden ó distribuyen efec del artículo , y manifestó que abundaba en faltas. La comisión ( conti tos robados serán castigados con la cuarta parte de la mitad de la pe nuó…</t>
  </si>
  <si>
    <t>…se á bien Se mandaron pasar á la comisión del Código penal las siguientes adi emplear en el resguardo marítimo será considerado como un ascenso ciones. ■ 1 en su carrera.” Una del Sr. Puigblanch al art. 12 para que se añada en su primera I 3.0 Que en el art. 14 de dicho proyecto después de la palabra ■ vi parte después de la palabra extrangero las siguientes: por el que según gías se añadan las siguientes: tan pronto como ¡o permita el estado de ios…</t>
  </si>
  <si>
    <t>…os para que se aplique su importe co gio de abogados de Cádiz, audiencia de Aladrid y fiscal de Mallorca. mo multa , entendiéndose estas penas sin perjuicio de la indemnización El Sr. Puigblanch manifestó que constituyendo la pena de infamia de perjuicios y resarcimiento de daños, y del pago de costas judiciales. considerada aisladamente la opinión , no podía el legislador mantener El Sr. Calatrava manifestó que la audiencia y colegio de abogados est…</t>
  </si>
  <si>
    <t>Puigblanch'</t>
  </si>
  <si>
    <t>…Ía;siguiénte fidición £■-»'-Sin qué’á este registro' penderán ó distribuirán :en todo óípérte.” ¿ten sujetos los ; papeléi y libros ''del' uso 'dél- dueño ’de la - casa.” -: .' El Sr. Puigblanch' manifestó que das expresiones •d’algiuio 'de lorAprobado. tfectos en que consiste el \delito no erani exactas ,- pues laimqae!no' fueio Al art. á.° " Al principio-debe decir: «Guando los-alcaldes y jueces- mas que por la definiciob que la /comisión: hab¡a dad…</t>
  </si>
  <si>
    <t>Puigblanch, Antonio</t>
  </si>
  <si>
    <t>Antonio Puigblanch</t>
  </si>
  <si>
    <t>…e apenas hay un Manuel Subrié para regresar á su país con motivo de sus achaques. enfermo que convenga con otro en ellas ni tampoco en sus remedios, Se leyó una exposición del Sr. diputado D. Antonio Puigblanch, se creyó sin duda alguna que era enfermedad local endémica en sus en que manifestaba á las Cortes no poder asistir á sus sesiones por estar principios, y epidémica en su mayor aumento, proveniente de la des detenido en la torre de S. Cayetano de Zaragoza de…</t>
  </si>
  <si>
    <t>Puigblancll</t>
  </si>
  <si>
    <t>…l Sr. presidente dijo que mañana se continuaría esta misma dbcumilicias provinciales en toda la Monarquía. sion ; y beñaió la hora de las ocho de esta noche para sesión póbiiea El Sr. Puigblancll manifestó que Cataluña había estado exenta del extraordinaria , en la que se tratará de las adiciones que se hicieron sorteo, y que los Reyes mismos en su mayor despotismo no habían sobre infracciones de Constitución, y sobre algunas otras hechas al podido in…</t>
  </si>
  <si>
    <t>Puigdo</t>
  </si>
  <si>
    <t>…l Sr. Záphta retiró su proposición.- - ' dó aprobada El Sr. presidente dijo-que habiendo'tenido-rel honór de ser convidar "Nb-se’adriritió á-discúsióri la siguiente indicación del Sr. Puigdo en el día d_- ayer al banquete que diéron las clasís de cabos del egér- blanch, concebida en estos términos: ,,Que no se admita-para hombres citoren unión con 1os dé'milicias-de la guarnición de esta plaza , ic di buenos en los juicios de conciliación á los p…</t>
  </si>
  <si>
    <t>Puirblanch</t>
  </si>
  <si>
    <t>…ecino, Arispe, Yuste, clarase la sesión permanente. Domínguez, Couto, Martínez , Gaseo y Lallave (D. Pablo). Otros señores diputados pretendieron disuadir de esta idea á los se El Sr. Puirblanch se opuso á este nombramiento , creyéndole con ñores de la comisión: y después de una viva discusión se acordó que trario á la Constitución , y opinó no se llevase est edecreto a la sanción, viniese inmediatamente el ministro á explicar ci significado de aque…</t>
  </si>
  <si>
    <t>Pujol</t>
  </si>
  <si>
    <t>…e1 as por el bien púb!ic% NO. del cabo de Trafalgar, 2t hombres de la polacra españolaS. .Totef, y para darles una prueba de su merecido aprecio , ya que ::o puede rr: de T.loret, capitán Pujol, y del místico Mercurio , de S. Feliú, capitán infestarles de otra manera su patriótico reconocimiento. La sociedad! Reich, que salió de Puerto-Cabello el 9 ds Julio para Barcelona con con este motivo excita á los sujetos ilustrados de la nación a que ta caca…</t>
  </si>
  <si>
    <t>Pul, Josef</t>
  </si>
  <si>
    <t>Josef Pul</t>
  </si>
  <si>
    <t>…teoremas pasaron á Francia con Fe ris, D. Gregorio Quiroga y Frías, Di Miguel Irribar- el tratado de Campo-Formio, y ei deseo que excitaron de ren y Ortuño, D. Ramón López y Arce, D. Josef Pul conocer la obra por entero produjo muy pronto una tra gar y Molina, D. Josef Pavía y Bermingham, D. Fran ducción francesa. cisco Tuero y Badillo, D. Mariano Lobéy Rabina, Don Muchos modernos se habían ya valido con buen suceso Joaquín Vallarino y Alaminos, D.…</t>
  </si>
  <si>
    <t>Pulido, Diego</t>
  </si>
  <si>
    <t>Diego Pulido</t>
  </si>
  <si>
    <t>…stitucionales. Domingo Gijon y Vaca , id.: D. Josef Palacio, id.: D. Tomas Ibañez, El Sr. presidente dijo que estando ya casi impresa la Constitución, id. : D. Josef Guerra, id. : D. Diego Pulido, id.: D. Feliciano Manse iba á distribuir muy pronto, y debefia tomarse en consideración en silla, ¡d.: D. Antonio Peran Moya, subteniente: D. Miguel Gargallo, todrf la semana próxima, á fin de que pudiese empezarse su discusión id.: D. Tadeo Aresanenaga, id.…</t>
  </si>
  <si>
    <t>Pustegueras, Francisco</t>
  </si>
  <si>
    <t>Francisco Pustegueras</t>
  </si>
  <si>
    <t>…iva al pago de varias partidas que deben algu de los pastos de invernadero en los campos de Calatrava. nos regimientos por suministros de víveres y vestuarios hechos por con El de D. Francisco Pustegueras sobre que se le perdone una parte tratas particulares; y habiéndose hecho cargo la comisión de la-exposi del arrendamiento de las encomiendas de Horta y Corvara. La cami- ción documentada que hacían á las Cortes D. Simón Lines y D. Juan sion opinaba se le reb…</t>
  </si>
  <si>
    <t>Puy, Josef María Sánchez y</t>
  </si>
  <si>
    <t>Josef María Sánchez y Puy</t>
  </si>
  <si>
    <t>….'Arscliíiss»—. D» ju3n Vi* mo lié¡o__6." D. Manuel Gutierre-*-Orlando.^-7.“ D. Ramón del Pala n Parece que la Grecia misma ha querido manifestar con, su duelo cio y Musitu__ Í5.J D. Josef María Sánchez y Puy._¿).J D. Julián Ja desgracia de sus hijos.-En general el pais está inculto, el suelo des Sarmentó. ’ " nudo, monótono, agreste y de-un color amarillento y mortecino. No Se repartieron cuadernos impresos é todos los señores concurrentes, hay ríos verdaderos, y…</t>
  </si>
  <si>
    <t>Q, A.</t>
  </si>
  <si>
    <t>A. Q</t>
  </si>
  <si>
    <t>1820</t>
  </si>
  <si>
    <t>…es, con tguadad aritmética entre ellas, lacioti Je Cirios 11 al trono de sus mayores, sacado y traducido p°r aunaue sea una mas populosa que otra , dando solo demas los quebrados D. A. Q. del compendio de la historia de Inglaterra, escrita por el á las de mayor población sucesivamente. doctor (joldsmith. Este librito aclara mas aluunos puntos de historn 11. D'riyiéndose el decreto de las Cortes de 8 de Noviembre del de aquellos tiempos, y pued…</t>
  </si>
  <si>
    <t>Q, Juan</t>
  </si>
  <si>
    <t>Juan Q</t>
  </si>
  <si>
    <t>…os ntente cesante de la ronda mqnuila.=Maiiuei Alonso de Huiriobru abusos par los medios que aquellas prescriben,unos cuantos,que en ge contador de rentas nacionales =clacariciado D. Juan Q..imana y Prado, neral ni están marcados por sus virtudes, ni por sus talentos, ui por sus teniente de la quima compañía de la milicia nacional Iccaí.eerüeograservicios, ni por sus fortunas, desconocen las leyes, desprecian las au cias de Sagastizabal.reManuel…</t>
  </si>
  <si>
    <t>Q, López</t>
  </si>
  <si>
    <t>López Q</t>
  </si>
  <si>
    <t>…e. nacional que se hallen enfermos pueden dar su voto por escrito para la Dado el punto por suficientemente discutido, se procedió (i petición elecc (ni de vefes de su cuerpo. del Sr. López Q D. Marcial) á votación nominal, y quedó aprobado el í as Corles oyeron con agrado la representación de los comandantes artículo conforme se proponía, por 85 votos contra 57. de la mlj-có. nac:onal de la ciudad de Granada, en que manifiestan es- Se aprobó una indicación…</t>
  </si>
  <si>
    <t>Qmroga</t>
  </si>
  <si>
    <t>…comisio junta consultiva del ministerio de la Guerra, manifestando el modo de nes de Fuerza armada y especial de Hacienda presenten á la mayor bre llevar á efecto las ofertas del general Qmroga. vedad el proyecto de la comisión sobre oficinas de Contabilidad. A la Especial que propuso el proyecto de ley sobre abreviación de Se leyeron por primera vez unas proposiciones de los Sres. Vadillo, causas de conspiración contra el sistema constitucional una…</t>
  </si>
  <si>
    <t>Qmtacuceno</t>
  </si>
  <si>
    <t>…íncipe Demetrio ípsilanti, que pasó por el Austria disfrazado de Algeciras.” —Y de orden del Sr. gefe político de este partido se ha 3e críalo, se embarcó en Trieste con el jó ven príncipe Qmtacuceno el ce saber al público para su noticia y efectos convenientes. Algeciras 15 8 dé Junio último, y ha llegado ya al Peloponcso. La ¡legada de estos de Julio de 1821. — Joaquín H. Izquierdo, secretario. dos principes y de otros muchos griegos recomendables ppr.…</t>
  </si>
  <si>
    <t>Que-, Santos Josef Macho de</t>
  </si>
  <si>
    <t>Santos Josef Macho de Que-</t>
  </si>
  <si>
    <t>…entos. vales hasta ponerlos á la por y extinguirlos con mayores ventajas de la Los montes que ciñen el valle de Atenas tienen seguramente sitios empresa y del Crédito público: por D. Santos Josef Macho de Que-\ variados y pintorescos; pero la Atica en su mayor esplendor no fue vedo: un cuaderno en 8.° mayor 4 4 rt. Se vende en la librería de Brun trunca mas que un bonito paisage, un museo de la bella arquitectura, y de Villa. Puede ir e» carta. EN LA IMPRENTA NACIO…</t>
  </si>
  <si>
    <t>Queraltó, Josel</t>
  </si>
  <si>
    <t>Josel Queraltó</t>
  </si>
  <si>
    <t>…e Calaicete á D. León González del Camino: para el de Caspe á Don lla , Cantero , San Aliguel, Ezpeieta , Casaseca, Moya , Castañedo, Su- Mateo Cortés Zalon: para el de Tamarite á D. Josel Queraltó: para el brré , Navas , Lorenzana , Martínez, Yandiolá, Novoa , Gareli, G¡- •de Benavarre á D. joaquin Tudor: para el de Barbastro á D. Leonardo raldo , Zubia, Queipo, Caro. Liñan, Cano Manuel , Villa, Zayas, Veyan: para el de Huesca á D. Josef Moreno Remirez…</t>
  </si>
  <si>
    <t>Querol, Rafael</t>
  </si>
  <si>
    <t>Rafael Querol</t>
  </si>
  <si>
    <t>…gará á cada reo una Juta de En Valencia. Peníscola D. Antonio Aiguals, vecino y del co los defensores que respecto de él no se hallen en este caso. Sí algún reo mercio de Vinaroz. D. Rafael Querol, alcalde primero constitucional ó reos no hicieren el nombramiento en el término señalado, io ejecu de Onda. D. Francisco Gaseo, abogado de Alcora. Aleoy D. Luis Pas tará el comandante general. cual y Gisbert, vecino y del comercio de la misma. D. Josef Reig…</t>
  </si>
  <si>
    <t>Qui</t>
  </si>
  <si>
    <t>…rústica. = Censo español hecho en 1787 , en ticia sobre acontecimientos funestos en Lima. Se confirmaba la pacífica folio: á 40 en papel, y 51 en rústica. =: El ingenioso hidalgo D. Qui revolución del Para; y los rumores que se esparcían en París acerca de jote de la Mancha, por Cervantes, 6 tomos en dozavo: á 45 en papel, los acontecimientos del Piamonte llegaron á Londres el 16. 78 en pasta, y 50 en rústica.^Instituciones sobre el cálculo…</t>
  </si>
  <si>
    <t>Quijote</t>
  </si>
  <si>
    <t>…erte de Pedro Ca- En fin, hay sugetos en la Cámara de los Diputados de Francia seme vero. Estado de su causa. En grado de suplicación para concluir. Provi jantes á nuestro célebre D. Quijote, que raciocinan con la mayor sen dencia de visita: siga. satez en todas materias, menos cuando se trata de su capricho caballe Tomas Peris, remitido desde Madrid por el Excmo. Sr. capitán resco ; y son tantos y tales los contrastes y contradicciones £2) que p…</t>
  </si>
  <si>
    <t>Quilchano, Josef Alegría</t>
  </si>
  <si>
    <t>Josef Alegría Quilchano</t>
  </si>
  <si>
    <t>…ástica de esta corte D. Josef Josef Ganancias; para la. de Oriiba á D. Luis Muñoz Palao ; para María Patón, en cuyo oficio está radicada la solicitud de Rivero para ja de Motril á D. Josef Alegría Quilchano; para la de Aihama á Don que se publique este aviso. .Mateo Miguel A.illon, paa ía de Velez-Málága á D. Julián Ruiz nota. En la gaceta del domingo 13 del corriente , sesión de Cortes, Marín; para la de Nerja i D. Juan Sahagun Vicente j para la pri lía. 14, do…</t>
  </si>
  <si>
    <t>Quintana</t>
  </si>
  <si>
    <t>…diputado en particular si se le pidiera, no me le negarán to- cen mayores perjuicios que los que se creen. „dos ellos reunidos, pues confio en que antepondrán las consideracio- El Sr. Quintana manifestó la sorpresa y satisfacción que le habla j, nes-del bien público á ótías'de pura delicadeza'-y -miramiento.0 causado el desprendimiento que por consolidar el sistema hacia S. M. A continuación se leyó’ el art. 15 r de la Constitución , y alguno» de u…</t>
  </si>
  <si>
    <t>…lla' dé: Hinojosa, en Extremadura, Eontra' el alcalde y hubiese cometido que- el Simio Pontífice Romano. ayuntamiento constitucional de la niismáypbr tropelías cometidas con -- El Sr. Quintana dijo éstalb visto que'aquel Sr. obispo no quería varios'ganaderos qué* ftíeroü'á aquél pueblo. : * *- obedecer las determinaciones del Congreso, lo cual no extraña, princi - - A Jaxomision dé' Drvisíoñ del -territorio español se pasó una ótpo* palmente de un…</t>
  </si>
  <si>
    <t>…ación de los comandantes artículo conforme se proponía, por 85 votos contra 57. de la mlj-có. nac:onal de la ciudad de Granada, en que manifiestan es- Se aprobó una indicación del Sr. Quintana, en que proponia que en í &gt;” prontos á sacrificarse por el sistema constitucional. Se mandó hacer lugar de la palabra taquígrafos, última del art. 7.0, se dijese: emplea nvncon en el Diario. dos en la redacción del Diario. A la de Dmutaciones provinciales se…</t>
  </si>
  <si>
    <t>…on de las leyes, se acababa de expresar. . . ._ .......... no se darán licencias á lo mas sino a la tercera parte dei numero No se admitió á discusión la siguiente, indicación del Sr. Quintana:. excedente. . . .. "En el art. 54, después de las palabras ¡¡ue Jes fertenezcan, añádase:. 5?. los diputados que por estado ó clase no tengan'uniforme: o- „pasándose previamente á las comisiones que,-á, juicio del Sr. presidente trage pariicülar se presentar…</t>
  </si>
  <si>
    <t>…os Aprobada el acta del dia anterior, se nombró para la comisión del de las mismas que exigia el que se estaba discutiendo, concebido én es gobierno económico'de las provincias al Sr. Quintana en lugar del Setos términos: ■ ñor Gaseo.' ■ 87. Cada comisión se compondrá á lo menos de cinco, y á lo mas ' Se mandó pasar con urgencia á las comisiones de Hacienda y Co de nueve individuos, los cuales firmarán el dictamen que diere, de mercio el expediente…</t>
  </si>
  <si>
    <t>…, los particulares, los pueblos y las Corres se re por lo que concluyó pidiendo se aprobase su indicación. sistieron en todos los tiempos y edades á los abusos que se comerían El Sr. Quintana reclamó la observanr¡¡i del art. 9Ó del reglamento; sobre tales donaciones, existiendo y, observancia de Jes leyes de re vatios señores diputados reclamaron la observancia de distintos artículos enagenar los bienes de la Corona; y que para satisfacer á ia obj…</t>
  </si>
  <si>
    <t>…mpleados españoles residentes en Roma, despachen gratui se cue/po de tropa ó división.' tamente los breves apostólicos. - En seguida se aprobó conforme lo proponía la comisión. El Sr. Quintana hizo una adición al artículo 1.“ para que después -- Se aprobó el'art. xí, que decia asi: ,,Cada división se compondrá de la palabra prestación de dinero, se añada ti ‘otra cosa equivalente. Ss de todos ios cuerpos que existan en la respectiva comandancia gen…</t>
  </si>
  <si>
    <t>…a acusación del sumario podrá e! juez de primera y que se circule por toda la orden dicha determinación.” instancia valerse de cualquier escribano real ó numerario del partido. El Sr. Quintana pidió que pasase i una comisión especial; y des'pues 'Art. 16. » El juez de primera instancia acordará la formación dé de una corta discusión se mandó pasar á la Especial nombrada para las piezas separadas , con arreglo á lo prevenido en el art. ió de esta le…</t>
  </si>
  <si>
    <t>…deberá aumentarse con palacio de las Cortes para la colocación de los taquígrafos de los pe siderablemente el ingreso de cantidades en el depósito de la milicia na riódicos, y el Sr. Quintana dijo que no encontraba inconveniente en cional : se ampliará también el art. 78 del reglamento citado a la com que se adoptase la medida que proponía, esto es ,.que ios taquígrafos de pra de arni.ts 'por la primera vez. las Cortes bajasen á trabajar al salón,…</t>
  </si>
  <si>
    <t>…tes á propie de Villase’ca, partido de Tarragona , que salió de dicho pueblo el día. dad particular.” l.° del corriente en persecución de unos foragidos, apreso'á dos de ellos, El Sr. Quintana 'dijo que tenía hecho ánimo de hablar sobre la toquitándoles una porción de azafran que habían robado aquella mauana, talidad'del dictamen de la comisión; pero que con arreglo á la reso hiriendo á uno de los conductores. lución de las Cortes , se limitarla á…</t>
  </si>
  <si>
    <t>…l estado de aquellos fa cíeyde Agosto de r8x 3-, relativo á la intervención de los caudales en bricantes. trados en tesorería general; y que el Gobierno examine las operaciones El Sr. Quintana dijo que también convendría recomendar eficaz que tengan relación con el empréstito , y que dé cuenta á las Cortes de mente al Gobierno la pronta aprobación del plano ó proyecto de las su resultado. Este dictamen era de los Sres. Cavaleri, Ochoa , Cotomiobras…</t>
  </si>
  <si>
    <t>…gún los reglamentos para les que afligen al Estado.” 1.a cual se aprobó. los cuerpos del egército; y enterado el Rey de estas solicitudes tuvo También se aprobó una indicación del Sr. Quintana, que decía asó á bien S. M. mandar que el consejo de'Estado consultase sobre Sos pun &gt;• Pregúntese al Gobierno si ha puesto en egecucion, ó si se observa tos siguientes: tC Si los gobernadores cesantes deben obtener el retiro lo que se prescribe en el art. 4.…</t>
  </si>
  <si>
    <t>…aluña eti i8tt. EL Sr. Sánchez Salvador dijo que esta muy bien uno de los Sres. preopinantes, ésta resolución recayó antes exposición debía pasar al Gobierno; á lo que se opuso el Sr. Quintana, de haberse promulgado la Constitución. Verificada su publicación , los diciendo que los interesados estaban ya. cansados de acudir , y nunca títulos deben presentarse ante los jueces de primera instancia, y esto no habían visto ningún resulcado; por lo que p…</t>
  </si>
  <si>
    <t>…stituciones. contribución se imponga con toda igualdad.” Es cierto que los griegos del día no son los del tiempo de Leónidas; Se mandó insertar en las actas el voto particular del Sr. Quintana, j pero acaso son tan imeriores á los que sostuvieron con alguna obstina contrario á la aprobación de ios artículos 8." y 11 del reemplazo. ción las reliquias de su vacilante imperio durante la primera mitad del El Sr. presidente en atención á los muchos nego…</t>
  </si>
  <si>
    <t>…. A la de Legislación la contestación del Sr. ministro de Gracia y Se leyó por primera vez el proyecto de decreto de la comisión de Justicia , á consecuencia de la proposición del Sr. Quintana, relativa a Guerra sobre mudar las insignias militares á los cuerpos del egércilos empleados de la casa Real. to y milicias. A la de Poderes los presentados por D. Juan Nepomuceno Gómez El Sr. secretario Gaseo, al empezar á leer dicho dictamen, dijo que deNav…</t>
  </si>
  <si>
    <t>…co supe personas y bienes con objeto de la pacificación de las Américas.” rior de Nueva-España ha remitido al ministerio de Hacienda de Ultra Se aprobó Ja siguiente indicación del Sr. Quintana: mar, dando cuenta de haberse cumplido lo dispuesto por las Cortes so » Deseoso yo de que los empleados de la Real casá tengan toda la bre la compañía de seguros. consideración que es debida á unos ciudadanos destinados , no solamen . Las Cortes oyeron con ag…</t>
  </si>
  <si>
    <t>…ibición cial de Santander sobre si los individuos del resguardo están exentos del en los términos que estimase convenientes. servicio pecuniario en la milicia nacional local. , El Sr. Quintana entregó una exposición de la diputación provincial Se mandó volver al Gobierno un oficio del Sr. ministro de la Go de Cataluña, en que incluia y recomendaba un proyecto gimnástico mi bernación de Ultramar, en el cual incluia el acta de elección de dipu litar…</t>
  </si>
  <si>
    <t>…dad y proposición se habia leido por dos veces, se declaró esta por tercera prosperidad de la patria. lectura ; y el Sr. presidente señaló para su discusión la sesión ordinaria El Sr. Quintana dijo: Como la exposición del Sr. Solanot se inser siguiente des.pues de haber hecho la elección de presidente, vice-presitará en el Diario de Cortes, no puedo dejar pasar sin contestación una dente y un secretario. especie que he notado en ella. Supone el Sr.…</t>
  </si>
  <si>
    <t>…dquiridos fue El Sr. Giraldo hizo presente que éstos canónigos sé habían llámadó1 ra de los mismos colegios.” Inonges, y la catedral de Pamplona monasterio cuando había conveni El Sr. Quintana se opuso á esta adición por considerarla superflua, do á sus intereses, qúe verdaderamente habitaban en claustró; que es y después de una corta discusión quedó suspensa por no haber suficiente tos canónigos traían su origen del siglo xr, en que los fundó el o…</t>
  </si>
  <si>
    <t>…sin Ja obligación de haberlos antes cultivada. reglamento.” Se mandó pasar á la comisión. Ai r. 18. « Todo nuevo poblador es libre en todo tiempo para vol Se leyeron otras dos del Sr. Quintana: la una sobre que en el re verse á su pais, ó pasarse á vivir en donde inas le acomode; en tal glamento para el gobierno interior de las Cortes se añada un capítulo caso podrá extraer para el punto de su destino sin derechos algunos to que trate de la bibliot…</t>
  </si>
  <si>
    <t>…ascon Escriben de Trieste con fecha de 31 último que la Puerta ha dado gadas.” 10 por roo mas de valor á ciertas monedas, las cuales tenian ya mas Se leyó la siguiente adición del Sr. Quintana á las indicaciones de que el nominal. Esta ruinosa medida y el medio ño menos ruinoso de los Sres. Torre Marín, Cepero y Romero, la cual decía asi: » Sin ad las confiscaciones se pensó podrían bastar para subvenir á los inmensos mitir reclamación alguna despu…</t>
  </si>
  <si>
    <t>…nes, poique si se da mu S:t capital Bilbao. Aprobado. cho tiempo, nos veremos abrumados de representaciones de las pro Producía di Tolosa. Aprobado. vincias. Su capital Tolosa. El Sr. Quintana hizo presente que la diputación provincial de Ca El Sr. Yandiola: El Congreso recordará que cuando hablé en la taluña había formado un proyecto acerca de la división de aquellas otra discusión sobre este mismo asunto dije que Guipúzcoa en nada se provincias,…</t>
  </si>
  <si>
    <t>…en Cádiz en el depósito de la casa de la Camorra; en las academias alterar el espíritu de' la Constitución. de guardias marinas de Ferrol y Cartagena; en los colegios de S. TelEl Sr. Quintana dijo que debía advertirse que no podía haber dos mo de Sevilla y Málaga ; y en las capitanías de puerto de Bilbao y San «ugetos que reuniesen Ja mitad y uno mas del número de votos; y des tander. Su precio 32 rs. en pasta, 22 á la rústica papel fino, y 20 en…</t>
  </si>
  <si>
    <t>…tra viña, llamada la Verdejo , de 1966 cepas, en venta 5898 rs., y venideras un egemplo de economía que imitar. en renta 90.__Otro majuelo, al pago del Valle, de 3633 cepas, en El Sr. Quintana presentó una exposición de la dipatacion provin venta 3635 rs., y en renta 50.__Otro majuelo, llamado el Largo del cial de Cataluña, en la que proponía nuevos límites para la demarca Valle, de 1748 cepas,en venta 3496 rs. , y en renta 56—Otro, lla ción de las…</t>
  </si>
  <si>
    <t>…uien se opusiese públicamente á esto ; de for Habiéndose declarado el punto suficientemente discutido, pidió el ma que hasta ahora no se ha contradicho esta medida que propusieron Sr. Quintana que la votación fuese nominal, cuya proposición no fue los individuos que he manifestado formaban esta junta. Ei consejo de aprobada por las Cortes. El Sr. Quintana preguntó cuándo se estable Estado, Ja junta de aranceles y casi todas las corporaciones que ha…</t>
  </si>
  <si>
    <t>…solo de las bases orgánicas; de lo que de fios las que se hallan detenidas en las aduanas y depósitos." bemos tratar es de la ciase de aduanas que debe haber , porque á las co El Sr. Quintana presentó una exposición de la ciudad de Gerona, misiones les ha parecido que esta era la ocasión en que podía mandarse dando gracias por haberla nombrado capital de la provincia de este llevar á efecto el art. 354 de la Constitución. Vamos á ver si reduci nom…</t>
  </si>
  <si>
    <t>…storno del orden público: podria suceder nistrador y vistas de la aduana de Cádiz, el derecho de 7 por 100.” que algunos con pretexto de las calamidades presentes intentasen in El Sr. Quintana manifestó que si la comisión no tenia inconve fundir desconfianzas y rezelos, menos veneración y respeto á las au niente, se podria suprimir la parte de este artículo que dice: «como lo toridades y á las nuevas instituciones justas y benéficas para encender »…</t>
  </si>
  <si>
    <t>…Según los cálculos que se han presentado por tos em sobre el arreglo económico-político de las provincias. pleados de las casas de moneda, se necesita para la acuñación de cual El Sr. Quintana , después de haber manifestado la necesidad que quier moneda un ig- por too; de manera que suponiéndose que la su había deque Jas Cortes tratasen de este asunto, presentó la siguiente ma de esta moneda en España sea de roo millones, es claro que con proposici…</t>
  </si>
  <si>
    <t>…ticular de los Sres. Desprat, Gaseo y Yuste, contrario crédito, de esta en todas las naciones ; pues teniendo el medio duro es á no haberse admitido á discusión la proposición del Sr. Quintana; los pañol dos granos poco mas ó menos de paso mas , esta nueva tendría de los mismos Sres. contrario á la aprobación del art. 4.' del dictamen uno mas de ley , con lo que se equilibraba lo que le faltaba de,peso. de la cornis ón sobre prohibición del curso d…</t>
  </si>
  <si>
    <t>…a. En la gaceta de ayer, pág. 1801, col. 2.a, donde dice: El se VARIEDADES. ñor Quintana dijo, que seria mejor suprimir la última parte « siempre » que la denuncia &amp;c. :” léase el Sr. Quintana pidió que la última par Concluye el artículo ¡oiré la pebre amarilla. te del artículo so extendiera en estos téoninos: » siempre que la deEn cuanto a¡ método curaivo de la quina que propone el Sr. La- « nuncia fuese declarada falsa ó calumniosa , oyendo previ…</t>
  </si>
  <si>
    <t>…ndose conformado los demas Sres. de la comisión, quedaron muy conveniente que se imprimiese separadamente. retirados este artículo y todos los demas hasta el siguiente, que fue El Sr. Quintana opinó que debia imprimirse; pero se opuso á qu®. aprobado. sé dejase de imprimir en los diarios, porque habiéndole impreso en qj.rt. ¡4- ” Se restablecerá y generalizará e! establecimiento de vi Cádiz á propuesta del Sr. Capmani la discusión que hubo acerca d…</t>
  </si>
  <si>
    <t>…, espero tengan vmds. la bondad de manifestarlo asi el reo 110 diese á su procurador las instrucciones que le convengan en en su periódico, en el supuesto que voté en seguida del Sr. Quintana. el término prevenido , seguirá la sustanciacion del proceso, haciendo Queda de vmds. afectísimo servidor Q. B. S. M.=Julian Solana. el procurador la defensa por lo que resulte , según su oficio, y pa rando *al reo el perjuicio que haya lugar. Madrid 28 de No…</t>
  </si>
  <si>
    <t>Quintana, Andrés</t>
  </si>
  <si>
    <t>Andrés Quintana</t>
  </si>
  <si>
    <t>…. Se admiten memo ción , no se advirtió mas que un soplo momentáneo dé aire riales por el término de 10 días, contados desde el día 14 del presente, y se dirigirán por conducto de D. Andrés Quintana y que entraba en el globo, y el aumento del peso fue solo de Clariana, agente del número, que vive en la calle de la Pue 1,6 granos, aunque la comunicación estuvo abierta un rato bla Nueva , casa núm. 27 , cuarto principal. considerable, y el globo no tenía m…</t>
  </si>
  <si>
    <t>Quintana, Antonio</t>
  </si>
  <si>
    <t>Antonio Quintana</t>
  </si>
  <si>
    <t>…un A la comisión de Aranceles el expediente remitido por Sr. el mi trabajo perfecto, tanto por su dificultad, cuanto por los .-r.firvto-; esco nistro de Hacienda, y promovido por D. Antonio Quintana, vecino y llos con que á cada paso tropezaba , y otra porción de circun stancias del comercio de Barcelona, sobre ios derechos que adeuda la moneda particulares que no se podían desatender: pero que habia trabajado", peé extrangera y el oro en pasta. nieado t…</t>
  </si>
  <si>
    <t>Quintana, Manuel Josef</t>
  </si>
  <si>
    <t>Manuel Josef Quintana</t>
  </si>
  <si>
    <t>…en la que participaba haber quedado instalada en la mañana del 23 del minifestado que á la agricultura concurren el propietario de la tierra y corriente, y elegido por presidente D. Manuel Josef Quintana, vocal el colono ó arrendatario que la labra, y esta contribución recae esencial mas antiguo. mente en el propietario, siendo el colono el que disfruta, á lo menos ' Se leyeron dos indicaciones del Sr. García Page, relativas i que los por este año, el benefic…</t>
  </si>
  <si>
    <t>…ácter ó su rango en la sociedad debieran ser D. Juan Antonio Sánchez, D. Juan García Becerra,.D. Juan Vera, el egemplo de. sus conciudadanos, asi también la envidia , la venganza, D. Manuel Josef Quintana y D. Pedro Solana. la parcialidad , la ambición, y todas las pasiones mezquinas que envile Parroquia de S. Miguel y S. Justo, j- electores. cen y desdoran al hombre en sociedad, aparecen mas disformes en lo» D. Josef Cano Sainz, D. Lorenzo Villanueva y D. Román Corona. que tie…</t>
  </si>
  <si>
    <t>…e resi reo y cobrador de letras, que se excluyen ; y por lo respectivo al agente de en todos los diputados; y yo soy representante de la Havana lo mis de los asuntos eclesiásticos D. Manuel Josef Quintana, en atención á mo que los de aquélla provincia, y por consiguiente en la representa que debe cesar en el percibo de los derechos que por arancel Je corres ción nacional no hacen falta uno ni dos diputados, ni aun los de una pondían , y excedian de un duplo de…</t>
  </si>
  <si>
    <t>Quintana, Ramón</t>
  </si>
  <si>
    <t>Ramón Quintana</t>
  </si>
  <si>
    <t>…la Plata en el tiempo de la restauración, no pudieron contribuir á tan gloriosa obra, FORTVOAt. y deseaban dar una prueba de su amor á la Constitución. Sus nombres y apellidos son D. Ramón Quintana, capitán: D. Dionisio Angulo , te Lisboa 26 de Junio-Sesión del 20. niente: D. Ildefonso Martínez, id : D. Juan Baricher, id.: D. Fran El Sr. Maldonado propuso que se crease una orden con el título de cisco García Aicaráz, id.: D. Josef López Pareja, id.: D.…</t>
  </si>
  <si>
    <t>Quintano, Francisco</t>
  </si>
  <si>
    <t>Francisco Quintano</t>
  </si>
  <si>
    <t>…TES EXTRAORDINARIAS DEL AÑO DE iBai. . D- Juan Muñana Broncano , vecino del Campo. Mé&gt;-¡da. D. Fabián de la Barrera, de AUnendralejo. ÍRB5IDENCIA DEL SEílOR. MARTINEZ DB IA ROSA, 'D. Francisco Quintano, de la Fuente. Llerena. Se ignora. Sesión del zt de Noviembre. Vizcaya. Aprobada el acta de la sesión anterior, se dió cuenta de una ex Bilbao. D. Pedro Novia. posición del ayuntamiento constitucional de Huesca, en la que da graPortugalfte. D. Miguel Butrón.…</t>
  </si>
  <si>
    <t>Quio</t>
  </si>
  <si>
    <t>…ión ordinaria del 28. nacional uno id. América 60 id. Total 395 millones de rs. Se leyó y aprobó el acta de la anterior. Contribución directa y de consumos. Se concedió permiso al Sr. Quio pará que pueda pasat 4 tomar los Impuesto sobre las tierras 150 millones de reales. Sobre las casas baños termales luego qfie se concluyan lis sesiones. 30 id. Consumos too id. EL resto se suplirá con los atrasos del emprés Se mandó pasar á la comisión especi…</t>
  </si>
  <si>
    <t>Quiroga</t>
  </si>
  <si>
    <t>…tivo no tiene olor alguno, puede ber, y echasen mano para ello del único recurso que podia presentarse. trasportarse por tierra y por mar á grandes distancias. Apoyando también el Sr. Quiroga la indicación, hizo presente que su intervención personal en las últimas ocurrencias le.hacia conocer la necesidad de aprobar lo que se proponía , á no ser que se hallaran los ANUNCIOS. encargados interinamente del Despacho en disposición de contestarle á En…</t>
  </si>
  <si>
    <t>Quíroga</t>
  </si>
  <si>
    <t>…e pedir las noticias convenientes, y de pasado las órdenes hubiese hecho la menor indicación sobre el particu su impresión. lar, hubieran prestado el juramento. Habiendo pedido el Sr. Quíroga que Ja comisión encargada parz El Sr. Zorraquin extrañó que en ios periódicos la Miscelánea y examinar el discurso de S- M. presentase los trabajos que había hecho, Constitucional se hubiesen puesto equivocadas algunas noticias. . . . dijo el Sr. conde de Tor…</t>
  </si>
  <si>
    <t>…creia importaba mucho que los Sres. diputados tratasen de este importantísimo asunto del mo CORTES. do que lo habian acordado las Cortes. Sesión extraordinaria del 4 de Marzo. El Sr. Quiroga manifestó que se habia llamado por la mañana á los Se abrió la sesión á las siete y media, y dijo el Sr. presidente que Sres. secretarios ¿interinos del Despacho para que respondiesen á algunas las Cortes habian tomado en consideración lo prevenido en el art.…</t>
  </si>
  <si>
    <t>…a: Otra que llaman la Lechona, de 7 obradas, de segunda y tercera » Que este expediente pase á la comisión Eclesiástica.” calidad, de secano , en 23 rs. Concluido este negocio, el Sr. Quiroga, refiriéndose al artículo in Otra llamada también la Lechona, de 7 obradas, de tercera cali serto en la gaceta de hoy con el título de tribunales, dijo: ,,Por el juez dad , en 1400 rs. de primera instancia de esta corte D. Julián de Sojo se ha condenado Otra…</t>
  </si>
  <si>
    <t>…habla de publicar La tropa continuará sobre las armas todo el dia. el dia-de la revolución. • . Las armas de los cívicos se llevarán al ayuntamiento. Se aprobó una indicación del Sr. Quiroga y otros Sres. diputados Las períocas qúe queden encerradas en palacio serán conducidas para: qúe se imprima inmediatamente el. dictamen de la comision. por el pronto al castillo de Villa viciosa, al mando de una persona res El Sr. presidente señaló la discusi…</t>
  </si>
  <si>
    <t>…e llevado á efecto el decreto de 1.3 de Mar sli3b;a dado ya cuenta-dé lo que pidió el Sr, preopinante. r : zo de 1814 para que sé establezcan depósitos de inutilizados en el &lt;: El Sr. Quiroga dijo que lo que acababa de expresar el Sr, Mágari- servicio, pido que se pregunte al Gobierno qué motivos haú entorpe fios era contrario' á.la reputación de- un general ‘ tari acreditado coma cido la egecucipn de tan justo y benéfico decreto.” . era Pezuela;…</t>
  </si>
  <si>
    <t>…se abreviase, ya d.scutiéndole en sesiones extraordinarias, ya énl municado: habló con su cónsul, el cual le participó que la escuadra de. sesión permanente, cuya opinión apoyó el Sr. Quiroga;-' ; v -. : aquella Regencia se estaba alistando para salir á cruzar, decían, contra1 - - El Se Moreno.Gucrra dijo que este asunto debia tratarse sin preci los buques españoles. Luego que llegó á esta dicho bergantín, su co pitaciones , como lo hizo la asambl…</t>
  </si>
  <si>
    <t>…añando otra de la milicia nacional del mismo pueblo, que soli mas ’de que cuidar que de su alma. ■ . . . ■ citan se -les dé-armamento completo á la mayor brevedad para oponerse El Sr. Quiroga dijo que era de parecer que los comprendidos en es-' á las ofensas que pueden hacer á la Nación los enemigos del sistema, ta ley no tendrian mucho de.que disponer, por lo que creia debía abre tanto interiores como exteriores. viarse la egecucion de la sentenc…</t>
  </si>
  <si>
    <t>…Zorraquin y Vadillo, relativa á que en los pueblos en que ha Llico, y ,se pudiera organizar con mas confianza. ya de 2 á 3 batallones formen un regimiento, y de 3 á 5 dos, nom El Sr. Quiroga insistió en que el tiempo que habia prefijado la co- brándose para cada uno su coronel respectivo. misión'era muy suficiente para que entrasen muchos individuos en di El Sr. presidente dijo que no podia menos de manifestar que algu cha, milicia*, ; - nos Sres…</t>
  </si>
  <si>
    <t>…D.' Juan la representación , se le deba dar entera fe; pues al paso que cita mu María Alvarez de Sotomayor., . chos méritos, ninguno resulta comprobado, por carecer de documen El Sr. Quiroga dijo que esta tropa era digna de la mayor consi tos , y solamente se apoya en la simple relación ; por lo que es de dic deración , pues en principios del año pasado dió pruebas positivas de tamen que se remita al Gobierno para que rectificándola la interesada…</t>
  </si>
  <si>
    <t>acordará el Gobierno, en uso de sus facultades, las providencias que ten _ El Sr. Quiroga hizo la siguiente indicación : - Todo empleado civil,ga por mas convenientes , dando atuso a las Cortes.” militir ó eclesiástico que ponga inconveniente en obedecer las órdenes Asimismo fue aprobada la indicación 3.'1, que decía: ,,Que se legítimas de! Gobier…</t>
  </si>
  <si>
    <t>Quíróga</t>
  </si>
  <si>
    <t>…uantoexposición-dé D. Diégoí-Corraly vecino-de Villanueva de Haro , en que estuviese en sus atribuciones, ■ se quejaba del juez de primera instancia de Almagro por haber infrin El Sr. Quíróga, despues dé haber manifestado el sentimiento que le gido Ja Constitución y varios decretos de las Cortes ; y otra deD. Josef causó el suceso del dia 4, qiíe era enteramente contrario al buen or-Romero , alcalde segundo constitucional de Villanueva de la Seren…</t>
  </si>
  <si>
    <t>…ntendencia, dario que habia concurrido á las últimas juntas electorales de parro que está muy corrompida. quia, pedia se aclarase el decreto de las.Cortes de 23 de Mayo de 1812 El Sr. Quiroga dijo que por lo mismo debia pasar á una comisión sobre formación de los ayuntamientos constitucionales, el cual no pre para que examinase . los procedimientos de todos los que apanciesen senta la claridad necesaria en un asunto tan importante. criminales; que…</t>
  </si>
  <si>
    <t>…clarado no haber lugar á la incor men de la comisión. poración y reversión, y otras favorables á los pueblos.; Necesitarán pre Se leyó por primera vez la siguiente proposición del Sr. Quiroga: sentar los títulos los señores que hayan tenido una egecutoria favora » Pido que todo empleado público extrangero solicite la carta de natu ble; ¡Pues qué la egecutoria no es un juicio fenecido: La Constitu raleza; y que señalado un término fijo, no se admit…</t>
  </si>
  <si>
    <t>…ueja- reglamentos particulares. . ban de que pasaba mucho mas allá de lo que sus facultades le permitian. 47. „ Los estudios que se darán en estas escuelas especiales son los , El.Sr. Quiroga dijo que hablando de su digno compañero el gene- necesarios para algunas profesiones de la vida civil, los cuales se esta tal Morillo, debían tenerse presentes las órdenes que se le habian da blecerán en la forma siguiente: do , las circunstancias y el tiempo…</t>
  </si>
  <si>
    <t>…tarios: ;y qué mayor derecho ciosos en las provincias de Búrgos y Guipúzcoa. tiene uno de estos que el que ha poseído aquella propiedad dos ó tres A la comisión de,Guerra otra del Sr. Quiroga , que decia asi: ,,Pi siglos, para que sea respetada la posesión de los primeros , y no la de do que todo empleado público solicite la carta de naturaleza; y que se los segundos: Aquí no debe decirse, como se ha dicho para defender ñalado un término fijo , no…</t>
  </si>
  <si>
    <t>…er otra cosa mejor que el que se suspenda ó entorpezca la ■ ra justo que unas clases sufran, y las otras gocen de las regalías y venta discusión de este asunto. jas que tienen! El Sr. Quiroga dijo era de suma urgencia esta discusión , porque J-a riqueza de una Nación consiste esencialmente en la agricultura tenia entendido que las atenciones del Estado no se pagaban hacia cin y el comercio, y á estas clases *e las debe atender principalmente. Bien…</t>
  </si>
  <si>
    <t>…podía aprobarse el dictamen de ia. comisión,hasta que se le ticipaciones de particulares,dando algún Ínteres, ó hipotecando a ¡runas diese otr,a extensión. rentas .públicas. 0 "El Sr. Quiroga dijo que la solicitud de que se trataba comprendía . El Sr. conde de Toreno dijo: no puedo menos de contestar al se ' dos cosas: la primera que se concediese á la. viuda el grado de coronel, ñor secretario de Hacienda, ¿1 cual en su discurso ha tocado tres pu…</t>
  </si>
  <si>
    <t>Quiróga</t>
  </si>
  <si>
    <t>…a costum los cuales pedían no sé cóncedicsen ásceñsos © premios sino á los indibre;, de hacer pagar: al &lt; pueblo en tiempo de! paz las contribuciones de - viduos del egército del. general Quiróga y :columna del general Riego; guerra. Pero iio hay.plazo que no se cumpla, y no tardaremos mucho y al .mismo tiempo reclamaban .contralos ascensos concedidos:provisio en ver sorbidos estos recursos por las bocas inútiles y agenas que nos de nalmente á los ofi…</t>
  </si>
  <si>
    <t>…establecimiento de la Consti el juramento que deben prestar les magistrados en manos del regente tución. de la audiencia del territorio, prescrito en el decreto de 9 de Octubre El Sr. Quiroga dijo: la Nación no se halla en el caso de despreciar de 1812, pueda verificarse en manos del regente de cualquiera audien los servicios que han hecho estos beneméritos ciudadanos: yo desearía cia ó del Gefe político superior mas inmediato. que se formase un e…</t>
  </si>
  <si>
    <t>…rse San Martin, quien se habia hecho abor- dijo &amp;c.”—En la de ayer&gt; col. 3.a, sesión de Cortes, después- que el -recible por sus excesos, no dominando mas terreno que el que ocupa Sr. Quiroga apoyó la indicación del Sr. Solanot, relativa á los heroicos ba. Se sabia también que las fragatas Prueba y Venganza , fondeadas, sentimientos y méritos patrióticos de. los inmortales zaragozanos, dijo en Acapulco, habian llevado 300 hombresdí tropa; y Reguer…</t>
  </si>
  <si>
    <t>…ón re presentaciones de algunos labradores de Alentejo, que pedían ser ex ferida, que pedia se aprobase. ceptuados del servicio de milicianos, las cuales se mandaron pasar á la El Sr. Quiroga dijo que todos los papeles piiblicos habian hablado Regencia. de un asunto tan importante y de tanto interes, y que extrañaba mu Igual providencia tomó el Congreso con la representación de 60 cho que el Gobierno no lo hubiese puesto en noticia de las Cortes.…</t>
  </si>
  <si>
    <t>…, era-la quemianifestaba que hallándose destinado en 1820 blación mercantil ó fabril; y supuesto que ahora en España va á haber en el arsenal de la Carraca, facilitó la entrada al general Quiroga con una inmensidad de campos, que se van ú reducir á la clase de propiedad el egército nacional de S. Fernando; en cuya atención , y á los demas particular, llamartn hacia sí los dueños de estos una porción de jorna méritos y servicios que tiene contraidos, s…</t>
  </si>
  <si>
    <t>…indicación del Sr. Sánchez Sallevantó la sesión. „ yador, relativa ( según se pudo entender ) á premiar los servicios de los „ generales Quiroga y Riego. ' NOTICIAS DE ESPAÑA. El Sr. Quiroga dijo y repitió que se oponia á dicha indicación, y que en casó de que se aprobase, seria el primero que renunciaría el be Cádiz s Junio. 1 neficio que pudiera-resultarle: después de una corta discusión dijo el Ha entrado en este puerto el patache español nues…</t>
  </si>
  <si>
    <t>…s adiciones sobre derecho de registro mana de arqueo.” La comisión substituía en lugar de lo propuesto por fíle se hablan pisado a Ja'¿emisión especial de Hacienda, y se aproba el Sr. Quiroga lo siguiente: » El Gobierno pondrá en egecucion este ron ios d-ictámettes siguieiices que pródúgeron dietias adiciones; artículo según se vayan presentando los sugetos para las plazas capaces El art. 45, adicionado por el i&gt;r, lv.y, y aprobado por la comisión…</t>
  </si>
  <si>
    <t>…del re dia y noche para atender al sagrado objeto del sustento de su familia, gimiento de Avila, en la que se quejaban de la falta de pago que ex ni tampoco es creíble que el Sr. general Quiroga le admitiese, cuando perimentan en sus sueldos , y suplicaban se les reintegrase de los atra el otro dia haciendo el Sr. Sánchez Salvador una indicación , á fin de sos, y se diesen las providencias oportunas para que no sufran en ade premiar sus servicios, se…</t>
  </si>
  <si>
    <t>9 31 pez (D. Marcial) al art. i.° de la ley sobre enajenación de vinculacio seos del Sr. Quiroga, cuando se trata de un acto de justicia que-la Na nes , opina que puede añadirse á dicho art. lo siguiente: » Prestado el ción española ha hecho con este ilustre caudillo: por lo mismo creo consentimiento por el inmediato sucesor , no tendrá acción alguna que…</t>
  </si>
  <si>
    <t>…on rusos; ia demolición de Ja casa de la Inquisición de Madrid para le formidad al de 29 de Junio de este año, y que los que obtengan el re vantar en aquel terreno un monumento ai general Quiroga &amp;c. ékc., mate de la parte de edificio de que se componen las casas de entre el son noticias anglo-americanas, semejantes á otras muchísimas del mis núm. 2 , que vuelve á la de la Garduña , y dicho monasterio, que es mo jaez. Entre estas contamos las últimas…</t>
  </si>
  <si>
    <t>…inamente cada provincia de Jas que hay A petición de un Sr. diputado se leyó el art. 44 del reglamento, en el dia en partidos ó distritos provinciales, compuestos de cuatro ó y el Sr. Quiroga manifestó podía nombrarse la comisión de memoria seis partidos de primera instancia. les, á lo que contestó el Sr. Díaz del Moral que debia darse cuenta á 1. ' » Que en cada uno de estos partidos provinciales nombre el las Cortes de todos los expedientes, aun…</t>
  </si>
  <si>
    <t>…de la magnanimidad del Coa— cias , para que torios sus habitantes puedan recurrir á ellos fácilmente greso. siempre que los necesiten. Como lo» puertos de mar suelen ser límite El Sr. Quiroga apoyó el dictamen ds ia com.sioa, tí</t>
  </si>
  <si>
    <t>…fuera de la po del modo con que la diputación había desempeñado su encargo. blación hay algunas casas particulares, lo es igualmente que la mayor El t.r. Martínez, contestando al Sr. Quiroga, dijo que en Vigo se parte ó casi todas son de gente que vive de la pesca , mientras que la ha hecho un muelle después acá del restablecimiento de 'la Consti mayor parte de las de Pontevedra tienen toda la comodidad que puede tución. desearse: su suelo es de…</t>
  </si>
  <si>
    <t>…suficientemente discutido quedó Leida y.aprobada el acta de la anterior, se mandó agregar á ella el aprobada esta provincia con la denominación de su capital. voto particular del Sr. Quíroga , contrario á la resolución de las Cor Su capital Logroíto. Aprobada. tes, por. la cual se nombró á Vigo capital de provincia. Provincia de Salamanca. A probada. be mandó!pasar á la comisión de Hacienda una exposición de va Su capital Salamanca. Aprobada. rio…</t>
  </si>
  <si>
    <t>…nstitucional, y en ei período anterior que hubo Comt tucion , el putación provincial que residía en él. gefe político y la diputación.provincial, esto es , las autoridades supe El Sr. Quiroga hizo presente que no podía el Congreso votar en riores políticas han residido siempre en Sta. Cruz de Tenerife. un asunto tan oscuro, del que no tenia datos la comisión, pues no se El Sr. Giraldo dijo: Sin embargo del talento y laboriosidad de los habia oido…</t>
  </si>
  <si>
    <t>…su dictamen por lo qué respecta á.las islas Canarias en los mismos víveres á Sta. Cruz ds Tenerife. términos que lo ha lucho con re,pecio á las dimas provincias. ■ Ya ha dicho el Sr. Quiroga que no debemos proceder en la aproba El Sr. Clemencin dijo: El Sr. Calatrava ha reconvenido á la comi ción de esta capital sin conocimiento da lo que diga la diputación pro sión de que teniendo á su disposición la representación del gefe políti vincial , pa'a…</t>
  </si>
  <si>
    <t>Qúiroga</t>
  </si>
  <si>
    <t>…isión los habia variado, porque los actuales no -Isacion que nó el tener que formar causa á un individuo. eran conocidos en la mayor parte de las naciones de i uropa , y al con El Sr. Qúiroga opinó que para conciliar en algún modo iás pruden trario los que se proponían; por cuyo motivo dijo que no encontraba tes reflexiones del Sr. Lallave, y no lijar de expresiones tan chocantes, ninguna razón para que se dejase de aprobar el artículo. podría dec…</t>
  </si>
  <si>
    <t>…que entre tanto no se una discusión me parece que no puede servir sino para extraviar la cues vean , no pueden arriesgar las Coates un juicio que pudiera comprome tión. terlas. El Sr. Quiroga: Deseo saber si los Sres. secretarios del Despacho El Sr. Cuesta dijo: Yo creo que las Cortes deben contestar á S._ M. han consultado estos asuntos al consejo de Estado. que quieren que se respete la dignidad del trono y se obedezcan las le El Sr. secretarlo…</t>
  </si>
  <si>
    <t>…ucumbido al poder colosal de Napoleón después Cavaleri, Fraile, Murtei, Ezpelera , Ramonet y Calderón. de agotar todos ios esfuerzos, no se las podría acusar de haber faltado á El Sr. Quiroga dijo: Desearía que en asuntos de esta clase todo* *us deberes; tampoco se ha podido acusar á la gran mayoría de las Cor tuviésemos la calma y prudencia necesaria, para mirarlos bajo su ver—, tes ordinarias de los años ig.y 14 de la cat.strofe de que fueron vi…</t>
  </si>
  <si>
    <t>Quiroga'py</t>
  </si>
  <si>
    <t>…a, según creia-, dos deseos délas' Cortes; y sobre la mejora no era mas que el aborto de un fanitico., pues él mismo confesaba que de la milicia nacional como lo habia indicada el Sr. Quiroga'py con se contaba con poca gente , sistema contrario al adagio-castellano , que. cluyó diciendo que apoyaba en un todtí el dictamen de la comisión. dice: la ¿ente hace negocio. Yo he sido revolucionario (prosiguió) El Sr. secretario de la Gobernación de Ultramar…</t>
  </si>
  <si>
    <t>Quiroga, Antonio</t>
  </si>
  <si>
    <t>Antonio Quiroga</t>
  </si>
  <si>
    <t>…o, pues las Cortes habían reco Se concedió el permiso solicitado per el Sr. ministro de Hacienda nocido dicha deuda en su decreto de 11 de Setiembre último con una para que el Sr. diputado D. Antonio Quiroga se acercase al Gobierno generosidad increíble, y casi sin discusión , como si fiiera la deuda de para la instrucción de cierto expediente que obra en aquel ministerio. un montañés; y por lo tanto no .era extraño que la casa de Hoppe, A la comisión de Hacienda…</t>
  </si>
  <si>
    <t>…otivó. i:-! »t-., . .... (i ru i .. .GarcíÉzy otros-sugetós , acusados de conspiración-contra el , actual s«"i . - .) CORTES. , .. tema, necesitaba recibir una declaración del Sr. diputado D. Antonio Quiroga, í cuyb fin -solicitaba se le confcediese él cbrrospondiente riRStDBSCIA SBl SEÑOR CUESTA. permiso. , ■ El Sr. Sancho dijo que no era necesario este, permisoy-por estar oeSesión de! dia 30. , clarado en la legislatura anterior que en las declaraciones de la*…</t>
  </si>
  <si>
    <t>…rutos dentro de sus terrenoss.” Aprobado. tes de pasar estos al Crédito público , recomendando asimismo á los También se aprobaron los siguientes dictámenes de comisión. generales D. Antonio Quiroga y D. Rafael del Riego ¿ S. M. para que Ei de la Eclesiástica acerca de la solicitud de varios regulares no or se sirviese concederles títulos de Castilla libres de lanzas y medias ana denados in sacris, en la que pedian que en atención á las circunstancias tas en caso de que se le…</t>
  </si>
  <si>
    <t>…que esto es tratar de el cual la comisión proponía: que se señalase á cada uno de los maris formar otros tantos mayorazgos; lo cual creo que es contrario á la reso cales de campo D. Antonio Quiroga y D. Rafael del Riego la renta lución de las Cortes sobre este particular. Por lo mismo deseo saber anual perpetua para ellos y sus sucesores de 8o¿) rs. vr.., consisten qué es lo que !a comisión propone en esta parte. tes en bienes raíces que el Gobierno comprase al Crédito públi…</t>
  </si>
  <si>
    <t>…iado; y en el caso de'tenerle, pasará Art. 5.0 » Las Cortes declaran que los expresados mariscales de certificación de la condena al juez respectivo' para que la exija desde campo D. Antonio Quiroga, D. Ralael del Riego , D. Felipe Arco luego, remitiendo su importe al alcalde que la impuso. En las'provin Agüero, D. Miguel López Baños, D. Demetrio O-Dali, D. Carlos cias de Ultramar la multa será de un peso fuerte á lo menos , y no po Espinosa y el brigadi…</t>
  </si>
  <si>
    <t>…las provincias, como también ción á la notoriedad de sus hazañas. 5.0 Se declara que los mariscales los impresos de Lisboa que nos llegaron ayer, demuestran cuánto se va de campo D. Antonio Quiroga , D. Rafael del Riego , D. Felipe de mejorando el espíritu público en toda la Península. Arco-Agüero , D. Miguel López Baños , D. Demetrio O-Daly y Don Los sabios decretos de las Cortes, y las disposiciones eficaces que Carlos Espinosa, y el brigadier D. Manu…</t>
  </si>
  <si>
    <t>Quiropa</t>
  </si>
  <si>
    <t>…las co dos ios antecedentes y ramificaciones que se.ha:: de,cubierto, remita misiones respectivas. ... . ■; haber una juma suprema.,.-á la cual las juntas particulares prestan El Sr. Quiropa. presentó á.ías.Cottés una..representacfon del escua obediencia; esta, en entender de la. comisión, exist-a ya antes de la drón de artillería de la.ísJa.,.tm que pedia, no se-Jlevara á efecto, la apertura de las Cortes , tenia ranvScaeinne.s en casi todas las…</t>
  </si>
  <si>
    <t>Quirós</t>
  </si>
  <si>
    <t>…va del tes que habia de llevar á la sanción Real varios decretos con carácter egército. de ley. I.as Cortes quedaron enteradas. Se leyeron por primera vez varias proposiciones del Sr. Quirós, Se leyó la minuta de decreto para facilitar el cumplimiento de la una de ellas sobre seminarios conciliares. ley de 27 de Setiembre próximo pasado sobre vinculaciones, ie decla Se leyeron y aprobaron los siguientes dictámenes de comisión. ro estar conforme c…</t>
  </si>
  <si>
    <t>Quirós, Antonio</t>
  </si>
  <si>
    <t>Antonio Quirós</t>
  </si>
  <si>
    <t>…nto constitucional de Ándújar. paraique , con intervpncipn de .del ramo de propios, cuyos cohfadores darán la certificación expresada, lá.diputacipn provincial de Jaén, conceda ,á D. Antonio Quirós la .que con el visto bueno del Gefe político se remitirá ¿ este ministerio. parte de la. dehesa llamada de los Barrios , con la condición de cercar : n.5. ;,Ea los demas ramos dependientes de esta secretaría , como hosla, y de pagar, un canon anual: de'un .3…</t>
  </si>
  <si>
    <t>Qulroga</t>
  </si>
  <si>
    <t>…articulo hasta 6 ú 8 meses á nia apoyada por la comisión del Gobierno interior de Cortes: por lo Jo menos. que era de opinión debia pasar á la misma para que expusiera su dicta El Sr. Qulroga dijo que creía que el t-’rmiro de : meses era muy men acerca de este asunto. Se mandó pasar con urgencia á dicna co suficiente , porque el que no quisiera entrar durante este termino , no entraría ya aun cuando se alargara. misión.</t>
  </si>
  <si>
    <t>R'osslyn</t>
  </si>
  <si>
    <t>…s de este ministerio, porque su multitud im bierno en este asunto; pero cuándo lá curiosidad estaba mas pedia el pronto despacho, y una sola persona no podih en su punto., dijo el lord R'osslyn que no siendo esta noti atender á todos cQn la actividad necesaria ; pero sii proposi cia tan cierta como se suponía;, deseaba el lord Grey sus ción fue desechada. pender su proposición hasta el lunes próximo. Nunca se ha . Se pasó á la discusión sobre los pr…</t>
  </si>
  <si>
    <t>R, Mel</t>
  </si>
  <si>
    <t>Mel R</t>
  </si>
  <si>
    <t>…nálogo á su mérito, por la guerra de ia independencia- que recae sobre aquella pobre patria que ellos han querido hacer feliz. Se concedió permiso á D. Manuel Pcrez de los Rbs y á D. Mel R ■estiba pues de aquí, que ni ¡as Cortes deben pensar en unos premios chor Cortés y Campos, jueces electas de primera instancia en ia pro como estos que degradan el iionor de los patriotas, ni aunque pensasen vincia de Granada, para prestar el juramento en la…</t>
  </si>
  <si>
    <t>Ra</t>
  </si>
  <si>
    <t>…e exonerar'de las respectivas secretarías del Des y por las votadas se hubiera visto si el ministerio podría convenir ó pachó á D: Evaristo Perez'dé Castró ,-D¡ Agustín Arguelles, D. Ra Pero no habiendo - tenido á bien ios consejeros de S. M. hacer món Gil de da Cuadra-;.D.Mrnuei García Herreros, D. Josef Canga aquella consulta confidencial, no deben las Cortes contestar á este ofi Arguelles y D. Cayetano Valdésq'encargando'interinamente , mientr…</t>
  </si>
  <si>
    <t>…contra el alcalde constitucional de dicha villa: otra de D. N. Vázquez , vecino de Sta. María de Cu— !. PORTUGAL.. diña , contra el alcalde constitucional de aquel lugar: otra de D. Ra món de Obes García, contador electo de la aduana de Mallorca, contra Lisboa gt de Marzo. el juez de primera instancia de Mahon; y otra exposición del alcald» constitucional de la Val de Sto. Domingo, vindicándose de una queja Sesión de Cortes del ¡14. que dió…</t>
  </si>
  <si>
    <t>…ro se pasó á la comisión que entiende en este asunto. manos,.en que se recompensaba el mérito con una corona de laurel, * También se hizo la segunda lectura de la proposición del Sr. Ra una pirámide ó un arco triunfa!: la moda de esto ya ha desaparecido, mos Arispe, que dice: » La,dirección de correos marítimos estará bajo y ahora es menester dinero para poder subsistir y vivir con aquel de la inspección del ministro de este ramo.” Se admiti…</t>
  </si>
  <si>
    <t>…ermín Paul, por la de Caracas, y D. Bartolomé es tan sagrada la obligación de un diputado, que debe sacrificar süho- Gutiérrez Acuña, por la de Cádiz; y para suplentes á los Sres. D. Ra nor, que.es mas que su vida, cuando se trata de un asunto de tanta món Losada, diputado por Galicia, y D. Josef Miguel Ramírez, que trascendencia como este. Por lo mismo suplico á las Cortes que ten- lo es por la provincia de Gúadalajara, en Ultramar. .</t>
  </si>
  <si>
    <t>…sobre Ramón López, una certificación dada en la tarán en ia contaduría general de recaudación con su correspondiente, contaduría de,aquella ciudad en. Abril de 1817, en fa.vor de D. Ra solicitud la fe de vida, filmada por el mismo interesado, autorizada fael Sanahuja por ajuste de sueldos, por la cantidad ;de 5994 rs. y por el alcalde constitucional ó procurador síndico ^ y legalizada por tres 29 mrs. vn.; y no habiendo recibido^dicho .D. R…</t>
  </si>
  <si>
    <t>…es, coronel de artillería; D. Josef Luis Septien, capitán bajá, deseando el primero la paz y ei segundo la guerra; las ór hacendado en Ilnrta ; D. Pedro Surrá y Rui!, comerciante; D. Ra denes expedidas á los bajaes del Asia para que levanten doble número món Adan , oficial de la secretaría de Hacienda; D. llemeterio Martí, de tropas del que se había pedido; la declaración de estar en riesgo el cura párroco de Grup; D. Ramón Salvató de Esteve…</t>
  </si>
  <si>
    <t>…trado honorario, y juez de primera instancia de no preciso de 20 dias, á cuyo fin puedan pedir ias juntas, y los co corte, y escribanía del número al cargo del secretario de S. M. D. Ra mendadores las suministrarán testimonios de las tazmías: que asimismo món García Jiménez, se ha mandado citar y emplazar 4 D. Josef cuiden ¡as juntas de recaudar dicha parte del subsidio, y los comenda Chabarino, hijo de D. Josef Chabarino y Villareal, cuya r…</t>
  </si>
  <si>
    <t>Ra, Agustín</t>
  </si>
  <si>
    <t>Agustín Ra</t>
  </si>
  <si>
    <t>…eniente coronel D. Josef Tahona villa sea cabeza de partido. y Ug.nte, en que hacia presente que atendiendo las Cortes á Jas razo A la de Legislación se pasó una representación de D. Agustín Ra nes que expuso en 21 de Junio del año pasado, se sirvieron conceder món Valdés, conde de S. Esteban , coronel graduado de egército , y co le dispensa para ponerse la cruz de Calatráva, que le habia concedido mandante de milicias nacionales de caballería de la…</t>
  </si>
  <si>
    <t>Ra, Félix</t>
  </si>
  <si>
    <t>Félix Ra</t>
  </si>
  <si>
    <t>…nunciada en 28 de Febrero de este año por el señor diputado nosticar-como.-los pasados aeronautas que apenas podremos comunicar en Cortes D. Manuel López Cepero: la ley-absolvió á D. Félix Ra á ia m,¡quina ia. velocidad de una tortuga. JLá actividad, d; la póivorai món Beaudot, ‘responsable de dicha nota; y en su consecuencia es inmensa, y sé ha hallado el punto de apoyo para usarla en el discur mandó D. Luis Ortiz deZúñiga, juez de primera instan…</t>
  </si>
  <si>
    <t>Ra-, Tiburcio</t>
  </si>
  <si>
    <t>Tiburcio Ra-</t>
  </si>
  <si>
    <t>…a cancelación larmente del de aquella diócesis D. Pablo Sichar. 1 en la plaza ó punto de España que mas conviniese á los prestamistas, Se mandó pasar al Gobierno una exposición de D. Tiburcio Ra- siendo á costa de ellos los gastos de conducción , y que se les permitiese “jos, religioso lego capuchino, secularizado, manifestando que por sus sacar la moneda resultante sin pago alguno de derechos, acordando y distinguidos méritos y servicios militares fu…</t>
  </si>
  <si>
    <t>Raberto, Francisco</t>
  </si>
  <si>
    <t>Francisco Raberto</t>
  </si>
  <si>
    <t>…a de los disidentes, y la publican pa nocimientos á la junta, y se pusieron bajo su disposición. Los Señores ra sus fines en uno de sus periódicos; pero el compositor ignoraba que D. Francisco Raberto y D. Felipe Trullet, profesores de cirugía. Don el Sr. Pezuela habia dejado el mando, y se le descubrió su enredo. Juan Vieta se ofreció para inspeccionar los cadáveres D. Josef María . Otro periodista, que aun no quiere que Lima sea conquistada, la po Bauza, D. Pedro Matamala,…</t>
  </si>
  <si>
    <t>Rabina, Mariano Lobéy</t>
  </si>
  <si>
    <t>Mariano Lobéy Rabina</t>
  </si>
  <si>
    <t>…Ramón López y Arce, D. Josef Pul conocer la obra por entero produjo muy pronto una tra gar y Molina, D. Josef Pavía y Bermingham, D. Fran ducción francesa. cisco Tuero y Badillo, D. Mariano Lobéy Rabina, Don Muchos modernos se habían ya valido con buen suceso Joaquín Vallarino y Alaminos, D. Juan Alcalá Galiano y del método que refiere- á tres coordinadas triangulares ;a Be.mudez , D. Vicente Sobrino de la Peña, D. Antonio posición de un punto cualquiera del…</t>
  </si>
  <si>
    <t>Raboso, Pedro Mejía</t>
  </si>
  <si>
    <t>Pedro Mejía Raboso</t>
  </si>
  <si>
    <t>…nterior 298: entrados ó acometidos 17: salidos Gómez y López de la Fuente, presbítero , vecino de Colmenar de Ore ó curados 11 : convalecientes 24: muertos 8: existentes 296. ja ; D. Pedro Mejía Raboso, vecino de Sta. Cruz de la Zarza *, D. Apo-' Total de los cuatro puntos: existencia anterior 337: entradosó aco linar Francisco Guijarro, vecino de Ocafia.. metidos 38: salidos ó curados 16 -. convalecientes 93: muertos 29: Madrid Viernes 9 de Noviembre. exis…</t>
  </si>
  <si>
    <t>Rabudan, Deogracias</t>
  </si>
  <si>
    <t>Deogracias Rabudan</t>
  </si>
  <si>
    <t>…l, por haber despojado á algunos propietarios de los terrenos que miento que hay en las causas, de que se queja la Nación entera, no tan compraron al ayuntamiento en 1813* Otra de D. Deogracias Rabudan, solamente en los jueces de primeia instancia, sino en las audiencias,: quejándose del juez de primera instancia V alcalde constitucional deRo-\ en donde se observan mas demoras; generalmente se observan en to da por haber infringido la Constitución, llevándo…</t>
  </si>
  <si>
    <t>Racho, Pedro</t>
  </si>
  <si>
    <t>Pedro Racho</t>
  </si>
  <si>
    <t>…ino partido, sii ros, linda con el horno de Poya del mismo, en 8064 rs. cabida de4tahuiias, 3 ochavas y 24 brazas, linda con la de En la misma provincia de Guadalajara procedentes D. Pedro Racho y parte de otras del Crédito público, dé también de secularizaciones, cuyo primer remate debe D. Josef Alcaraz y D. Josef Roca, en 11,171 rs. y 27 mrs. verificarse en la propia ciudad de Sigiienza el dia jo Otro trozo de tierra riego moreraL, en ei mismo part…</t>
  </si>
  <si>
    <t>Rafael</t>
  </si>
  <si>
    <t>…l Sr. gefe político; y después de resolver el ayuntamiento que merced de ellos el puesto que se le habia confiado, V con él la tranqui puedan libremente los milicianos vitorear al general D. Rafael del lidad pública y el respeto debido á ¡a Constitución, á las leves y Riego, supuesto que jamas se les ha prohibido: que igualmente les al Gobierno, abriendo asi un camino anchuroso á la anarquía y á ¡a sea permitido proceder á la prisión de cua'quier hombre…</t>
  </si>
  <si>
    <t>Rah</t>
  </si>
  <si>
    <t>…s del conde Miguel Woronzoff, que actualmente se halla en vincias europeas. El fanatismo y el odio nacional contra los rusos son Inglaterra , la mandará en lo sucesivo el teniente general Rah. los principales móviles de esta masa, apero que han de hacer contra un » Según noticias posteriores los cosacos, que estaban acantonados en egército disciplinado y compuesto de veteranos europeos! (’British- la Resarabia y á lo largo de las fronteras de la M…</t>
  </si>
  <si>
    <t>Rai</t>
  </si>
  <si>
    <t>…ase que se proponía para el reemplazo tos cíe la misma. habia de ser perpetua; á lo que contestó el Sr. Palarea que podría ser A la comisión especial de Hacienda una exposición de D. Rai lo si las Cortes no la revocaban con sus decretos posteriores. Ei señor mundo de N., teniente coronel agregado al estado mayor de la isla de Gaseo dijo entonces que subsistiendo esta ley coartaba las facultades que Santo Domingo, existente en Sevilla, manifes…</t>
  </si>
  <si>
    <t>Raimundo</t>
  </si>
  <si>
    <t>…ntó el Joven diariamente, y : cada día recibió una flor . •siembre. ■ ■ ; en pago de su música. ; ■ . Del regimiento infantería Inmemorial del Bey. Raoul, que era hijo natural del conde Raimundo, se ,,Excmo. Sr. : EL regimiento infantería Inmemorial del yió precisado entonces á seguir;:á su . padre al. egército ; pa Rey ha visto, con la mas alta indignación que cierto número de ra contribuir á la destrucción de los invasores de la pro sediciosos 'hip…</t>
  </si>
  <si>
    <t>Rainal, Ricardo</t>
  </si>
  <si>
    <t>Ricardo Rainal</t>
  </si>
  <si>
    <t>…cuyo favor se dignaron empeñarse SS. MM. y 31 borros á 30 rs. y A A. ademas de otros personages, según se expuso en la gaceta de i.° Ganado cabrío. de Abril, conviene saber que el coronel D. Ricardo Rainal iCeene, amo Setenta y ocho cabras de vientre y horras á 35 rs. cada una de las de dicho esclavo, mandó á este buscar colocación fuera de su casa, mas no primeras , y á 30 rs. cada utia de las segundas; 12 machos cabríos ca porque hubiese ocurrido desavenencia…</t>
  </si>
  <si>
    <t>Rainha, Villa-Nova da</t>
  </si>
  <si>
    <t>Villa-Nova da Rainha</t>
  </si>
  <si>
    <t>…s sugetos eran el Constitución despertó vuestro patriotismo: vuestro patriotismo sosten P. Francisco Rom:*5 de Goes, el conde dePalroeTa, el conde Paraty, drá la Constitución.” el vizconde Villa-Nova da Rainha, Tomas Antonio de Villa-Nova M'licianos de caballería. « No es ese porte marcial y brillante lo Portugal , vizconde de Magé , Bernardo Josef de bousa Lobatto, Mon que me inflama al contemplaros: es sí ese fuego patriótico que asoma señor Almetda y Juan Sevcri…</t>
  </si>
  <si>
    <t>Rainonet</t>
  </si>
  <si>
    <t>…etario; y resultaron elegidos, para el primero el señor con alguna córra variación , y se levantó Ja sesión. Martínez de la Rosa por 78 votos del total de t¿8 . para el segundo el Sr. Rainonet por 66 votos de 130; y para el tercero el Sr. Alaman por NOTICIAS DE ESPAÑA 72 de 1 28. En seguida ocuparon sus respectivos asientos el Sr. presi dente y secretario. Lson 13 de Octubre. Se dió cuenta de una exposición de la diputación provincial de En Agosto…</t>
  </si>
  <si>
    <t>Ralfes, Juan</t>
  </si>
  <si>
    <t>Juan Ralfes</t>
  </si>
  <si>
    <t>…los productos que rinda el mismo, y de ninguna manera de oficial el sueldo de 90. rs. vn. los otros arbitrios de! Crédito público. Se solicita saber de la existencia y destino de D. Juan Ralfes, que 8.° Para dichos pasos tendrán presénte los comisionados y conta el año de 1782 pasó á la América en un regimiento de infantería, dores de las provincias que deben observarse todas las formalidades graduado de teniente coronel. E! suaeto que supiere con c…</t>
  </si>
  <si>
    <t>Ram'rez, Antonio</t>
  </si>
  <si>
    <t>Antonio Ram'rez</t>
  </si>
  <si>
    <t>…lista de tos suscriptores al empréstito. la Constitución para tiempos pacíficos; debia haberse conocido que no «iendo el Regente un Príncipe creado de nuevo, sino un Príncipe here D. Antonio Ram'rez. D. Josef Gárgolas. ditario, ningún interes tenia en conservar el sistema constitucional, y D. Basilio Bayon. D Josef Acosta y Montealegre. que ligado á él por fuerza, debia considerársele como un hombre ofen Sres. Castilla , de Pamplona. D. Josef Antonio Iña…</t>
  </si>
  <si>
    <t>Ramí</t>
  </si>
  <si>
    <t>…iduos empleados en tiempo del gobier mera parte. . no intruso, relativa á que se les reintegre en los honores y distinciones Adición al art. 3.0 de la contribución de patentes del Sr. Ramí concedidas por los Gobiernos anteriores. rez Cid, que decía asi: » Pido á las Cortes aumenten el derecho de Se continuó la discusión de los artículos que presentó la comisión patentes hasta la cantidad de 1 500 rs. por lo menos en el máximum, y sobre diezmos…</t>
  </si>
  <si>
    <t>Ramí, Antonio</t>
  </si>
  <si>
    <t>Antonio Ramí</t>
  </si>
  <si>
    <t>…men , y una in contra el Sr. arzobispo de aquella diócesis. dicación del Sr. Ochoa, que decía: » Pido á lasCortes que declaren ha^? A la del Código civil se pasó una exposición de D. Antonio Ramí ber lugar á Ja formación de causa contra el asesor.” Después de lo cual rez de Sevilla, alcalde constitucional de un pueblo de la piovincia de se levantó la sesión. Jaén, para que los escribanos presenten á fin de año al Gefe político testimonio de las escrit…</t>
  </si>
  <si>
    <t>Ramírez, Francisco</t>
  </si>
  <si>
    <t>Francisco Ramírez</t>
  </si>
  <si>
    <t>…ntra los ‘médicos por aque cementos de Buenos-Aires , á saber: i.° una proclama del gobernador llo del cáncer hereditario—La coronación de la Reina es otro punto de de E ntre-Rios D. Francisco Ramírez, gefe superior de la república dmucho ínteres para ios ingleses;y se temía que no se conseguiria, á pe Entre-Rios á sus compatriotas dé la república deBuenos-Aires y »u cam sar de las poderosas razones que' en su favor sé exponen; __ Parece.que piña. Funesta…</t>
  </si>
  <si>
    <t>Ramírez, Francisco María</t>
  </si>
  <si>
    <t>Francisco María Ramírez</t>
  </si>
  <si>
    <t>…las cuotas; pero esta cuestión es D. Luciano Castoreña, diputado electo por ¡a provincia ríe México; absolutamente separada de las bases. La comisión ha tratado primero de los de D. Francisco María Ramírez por Oajaca, y los de D. Tomas N. las contribuciones directas- como productos fijos , pasando luego a tra por Nicaragua. ; : tar de las-indirectas; y ni; parece que la indicación que acaba de pro</t>
  </si>
  <si>
    <t>Ramírez, Iñigo</t>
  </si>
  <si>
    <t>Iñigo Ramírez</t>
  </si>
  <si>
    <t>…instituto, incompati suspendió hasta la sesión siguiente, para “dar cuenta de una solicitud ble con el sistema constitucional por contener principios diametralmen de D. Antonio .y D. Iñigo Ramírez vetíinós de Ja villa de Tausté, en ' te opuestos al art. y otros de. np.estra ley fundamental; pedimos se Aragón) en que se quejaban de haberles impuesto mas derechos én el nombre una comisión especial que se encargúe de informar al Congrer extracto de regali…</t>
  </si>
  <si>
    <t>Ramírez, Josef</t>
  </si>
  <si>
    <t>Josef Ramírez</t>
  </si>
  <si>
    <t>…A la comisión segunda de Legislación se mandaron pasar las expo» almirante Jacob, fondeó en la rada de este puerto el 17 de este mes. siciones de D. Juan^Ruiz, D- Joaquín Blanco, D. Josef Ramírez, Dicha división se compone del navio le Jean-Bart, de 74 cañones; de D. Gerónimo Josef María Samaniego, D. Diego Caballero, D. Josef la fragata la Duchrsse de Berry, y di la corbeta la Aigrette. Parece Puche! , D. Antonio Nieto, D. Francisco Domingo González…</t>
  </si>
  <si>
    <t>Ramírez, Josef Miguel</t>
  </si>
  <si>
    <t>Josef Miguel Ramírez</t>
  </si>
  <si>
    <t>…r süho- Gutiérrez Acuña, por la de Cádiz; y para suplentes á los Sres. D. Ra nor, que.es mas que su vida, cuando se trata de un asunto de tanta món Losada, diputado por Galicia, y D. Josef Miguel Ramírez, que trascendencia como este. Por lo mismo suplico á las Cortes que ten- lo es por la provincia de Gúadalajara, en Ultramar. .</t>
  </si>
  <si>
    <t>Ramírez, Manuel Andrés</t>
  </si>
  <si>
    <t>Manuel Andrés Ramírez</t>
  </si>
  <si>
    <t>…no proponga cuanto convenga y sea consiguiente á esta Real orden. público del número de dicha ciudad y del mismo juzgado, en lo civil, Madrid 3 de Agosto de i8ax. y * instancia de D. Manuel Andrés Ramírez , como tutor de los hi jos menores del difunto D. Manuel de las Cuevas, vecino y del co A consulta del Consejo de Estado se ha servido S. M. nombrar para mercio que fue de la expresada ciudad, se cita para junta de acreedores ia canongía magistral de la igles…</t>
  </si>
  <si>
    <t>Ramírez, Miguel</t>
  </si>
  <si>
    <t>Miguel Ramírez</t>
  </si>
  <si>
    <t>…s.” aumenten sus sueldos. Se aprobó el dictamen de la comisión de Poderes , relativo á la exy Las Cortes recibieron con agrado, y mandaron se hiciese mención posición hecha por el Sr. D. Miguel Ramírez, electo diputado por en la gaceta de una exposición del ayuntamiento constitucional de Guadalajara de Nueva-España, sobre haber perdido la copia de los po Oricumbre, felicitando á la diputación permanente por haber salvado deres , y reducido á que la comisión…</t>
  </si>
  <si>
    <t>Ramírez, Pedro</t>
  </si>
  <si>
    <t>Pedro Ramírez</t>
  </si>
  <si>
    <t>…e atrevía á presa ciertos derechos por el despacho de título de abogado;y otra del capi giar habría pueblos que'en el momento mismo en que se pidiera el tán retirado de artillería D. Pedro Ramírez, reclamando el pago de equivalente no podrían satisfacerlo,porque no tienen dinero, y no hay ciertos atrasos. cosa mas dura que el no tener ; que las Cortes mismas se escandalizarían A la comisión de Infracciones de Constitución lina solicitud de al presentár…</t>
  </si>
  <si>
    <t>Ramírez, Ramón</t>
  </si>
  <si>
    <t>Ramón Ramírez</t>
  </si>
  <si>
    <t>…tara'á D. Josef Ramos Calderón ; y en la provincia de la Man discurso preliminar, y luego de palabra, las bases en que se ha apoyado cha para él partido de las Peñas de S. Pedro á D. Ramón Ramírez y para dár su informe. Hasta ahora no se ha presentado un solo reparo á Lombart. que nó haya contestado la comisión, y con respecto al que se acaba de poner se puede decir que las Cortes, si no implícita, a lo menos explí Sé halla vacante eí gobierno de las i…</t>
  </si>
  <si>
    <t>Ramnnet</t>
  </si>
  <si>
    <t>…e ellos, de los cobradores y de los contribuí-entes , y Se continuó la ducusion del flan de Hacienda. las d irieirári sin dilación al subdelegado del distrito , el cual también El Sr. Ramnnet hizo varias observaciones acerca de la contaduría violara por sí mtsnio, y barí que los alcaldes vigilen sobre ia conduc mayor, de que trataba uno de los artículos del plan general de Hacien ta de los poitadores de apremios»" da. Los contadores, continuo, de…</t>
  </si>
  <si>
    <t>Ramo</t>
  </si>
  <si>
    <t>…les , ademas de ser contrarias á la Constitución. gínales. £1 Sr. Calatrava dijo que siendo la adición del Sr. preopinante al Y el de la misma comisión, relativo á la solicitud de Doña Ramo art. 2.0 según explicaba S. S., no debia admitirse á discusión; y que podía na Ilazabal, viuda del intendente D. Manuel Inca Yupaugui, sobre contestarse á la de las leyes de distinción , y á lo demas que habia referi que se le conceda á su hijo D. Andrés Cors…</t>
  </si>
  <si>
    <t>Ramoaet, Francisco</t>
  </si>
  <si>
    <t>Francisco Ramoaet</t>
  </si>
  <si>
    <t>…marcial, ó sostener la repu tínez de la Rosa , diputado por la provincia de Granada -. para vice tación del que siempre tuvimos para afirmar nuestra libertad é inder presidente el Sr. D. Francisco Ramoaet, diputado por la de Valladolid; pendencia sobre una buena y severa disciplina, ha determinado sacrifi y para secretario el Sr. D. Lúeas Alaman, que lo es por la de Guana- car gustoso el que.posee , que es del año de 153(2, para que se reim-, juato, en Nueva-E…</t>
  </si>
  <si>
    <t>Ramón</t>
  </si>
  <si>
    <t>…ada circunstancia; =131 Príncipe de Anglona. • 5; ¡ ; : _ mismas'-calidades que hatr hécho tan apreciables las demas obra'Stdé aquel áutbr'/:á"sabér:’-u!i,órden'natiiral y bien se D. Ramón dé’-Argos'; ministro .lipri'órarió de-la- audien guidoéri-Iá- distribución.y una liihpieza -y;'claridad lumino cia.territorial , y, juest. Üé primera'instancia en, esta M. H. sa eri-da'explicación dedos’ teoremas mas abstractos. En él villa de Madrid. Por 'el…</t>
  </si>
  <si>
    <t>…les, y en gefe del expedido— marina los que los sean aun al abordage. nario de Costa-firme. 4.° Los militares ó dependientes de un egército que se En consideración á que los Sres. brigadier D. Ramón aprehendan heridos ó enfermos en los hospitales ó fuera de Correa , gefe superior, político de Venezuela; D. Juan Ro ellos , no serán prisioneros de guerra, y tendrán libertad dríguez Toro, alcaide primero constitucional de Caracas, para restituirse á las ban…</t>
  </si>
  <si>
    <t>…biográficas inte D. Blas Damian de la Vega: para la de Urgel á D. Anto- ■- resantes. Miss Wakefield ha hecho después un viage con sus nio Porta y Fábregas: para la de Balaguejr á D. Ramón discípulos por lo interior de la capital y por sus alrede Carvajal y Trej’o: para la de Lérida á D. Josef María Aguí- dores (Preambulations in Ion don and its environs), en lar Oviedo: para la de Tarragona á D. Manuel de. Rada: el cual les ha hecho conocer lo…</t>
  </si>
  <si>
    <t>…ulares, pueblos y establecimientos públicos, se ban comprendidos los señores Guarrero , diputado por Cuen ha formado la ley difinitiva sobre la administración civil, ca, Martínez (D. Ramón ) por Guadalajara, Isturiz por que restituirá á todas las provincias del reino .su antigua Cádiz, García (D. Bernabé) por Canarias, Ruiz Pra prosperidad. Y por fin se ha dado entera libertad á los do por Galicia, y Vargas Ponce por Madrid ; advirtiendo dueños…</t>
  </si>
  <si>
    <t>…ebio Bardají; para el de Gobernación de la Península á Don por 25 años en 1080 rs. cada uno, que -cumple en i.° de Octubre de Mateo Valdemoro; para el de Gobernación de Ultramar á D. Ramón j 840, en 58,634 rs. Feliú; para el de Gracia y Justicia á D. Vicente Cano Manuel^ para Otra núm. 4, calle Caraballo , en 16,134 rs. el de Hacienda á D. Antonio Barata; para el-de Guerra a D. a-ornas Otra núm. .5, en la misma calle de Caraballo, en 20,696 rs.…</t>
  </si>
  <si>
    <t>…dia. siguiente: Hizo presente el Sr. síndico que el Excmo. ayuntamiento ARTICULO DE OFICIO. exigía como término final del juicio conciliatorio una satisfacción pú blica , y por el Sr. D. Ramón ,de Salas, como apoderado del Sr. Miñano, Circular del ministerio de Gracia y Justicia. se expuso que como jamas fue la intención del autor de la carta de He dado cuenta al Rey de un «Bcio del Gefe político de la provin nunciada ofender al Excmo. ayuntamiento…</t>
  </si>
  <si>
    <t>…13 de de causa al expresado Q-efe político, al comisionado D- Francisco Sán Diciembre último , con reserva de pasarla á las Cortes. chez Ferrar y al comandante,de armas de Hellin D. Ramón de la Tor A la de Legislación se pasaron doí. expedientes, promovidos por dos re. La comisión decia que no era lo mismo impedir el tomar posesión extrangeros que solicitan cartas de ciudadanos españoles. . a un funcionario público, lo que prohibía ta Constitu…</t>
  </si>
  <si>
    <t>…misión acer vino para atender á los gastos municipales. ca del expediente promovido para la creación dé plazas de oficiales y A la comisión de Legislación se pasó una solicitud de D. Ramón escribientes* én !:ts ¡secretarías-de íás 'diputaciones provinciales. La comi S. Millón , licenciado en cánones , para que se le conmute un año- áéa- sión era de parecer que se estableciesen en las "referidas secretarías el déxnico para recibirse .de abogado.…</t>
  </si>
  <si>
    <t>…ara Castellón de la Plana D. Josef Calabuig y V,ebía manifestado el Sr. San Miguel en la sesión anterior , con varias le Jlot; para Alcira D. Antonio Martínez Arroyo; para Alcora: D. Ramón yes sancionadas por los Reyes, en contrario de lo que prevenia la del Bernús; para Nules D. Atanasio Pinos y Palos; para Murviedro Don nño de 1455 , citada por dicho Sr. diputado, concluyó fijándose en Mariano Márquez; para Onda D. Pedro Ernaiz de Segura ; pa…</t>
  </si>
  <si>
    <t>…escribanía cartularia, sita en el patio de la cárcel de Corte. se que se despachen en las aduanas, sirviéndose de los sellos antiguos, Por auto proveído en 10 del corriente por el Sr. D. Ramón de mientras se dispone en ellos la variación que fuere conveniente. Y para Argos, ministro honorario de la audiencia territorial de Castilla la evitar los fraudes que podrían encubrir los géneros introducidos hasta Nueva, y juez de primera instancia en esta M…</t>
  </si>
  <si>
    <t>…Santin-y Vázquez; en el concep-1 mer extractóde'.ia de este dia ai Doña Leonarda María Casaviella, hija to de que su último remate se ha de celebrar, con arreglo al decreto d* de D. Ramón:, capitán que fue dei regimiento de infantería de Gua- las Cortes de-3 de .Setiembre próximo, en una dé las 'salas del Excelen dalajara , muertó en el campo del honor. tísimo ayuntamiento, á las 11 'del primer dia Util siguiénte-á'los 30 arriba dichos, que de…</t>
  </si>
  <si>
    <t>…de los pueblos de la en todas sus panes la siguiente sentencia: serranía de Ronda con el mas profundo respeto dirigen á V. M. esta « En la villa de Madrid á 29 de Marzo de 1821 el Sr. D. Ramón sumisa exposición, manifestando que si sostuvieron con entusiasmo la de Argos, ministro honorario de la audiencia territorial, y juez de guerra de la independencia nacional, y tuvieron la gloria de combatir primera instancia de ella; habiendo visto esta causa…</t>
  </si>
  <si>
    <t>…o conveniente para’su cumplimiento.rrEstá rubricado de mucho mas temible; y difícilmente desistiría al ver sumiso al divan, de la Real mano. =2 En Palacio á 8 de Julio de 1821. mA D. Ramón sus planes de engrandecimiento, é insistiría muy particularmente en íéliú." tener una escuadra en el Mediterráneo. Nunca mejor que en este caso VARIEDADES. podría emprender esta solicitud, con el objeto de proteger en el Ar chipiélago á los griegos. Semejante…</t>
  </si>
  <si>
    <t>…. La primera parte se aprobó, y se taduría mayor, y las otras sa están formando; por manera que el Go desechó la segunda. bierno ha llenado sus deberes: ademas se ha comisionado á D. Ramón E1 Sr. Fernandez Thomas pidió que se indicase al Gobierno que so- Aldasoro para que practique estas liquidaciones. La comisión propone Licitarauna bula para que en lo sucesivo pudiese el pueblo portugués co que el ministerio haga una distinción de las deudas á…</t>
  </si>
  <si>
    <t>…e advierte que se llevará para texto las lecciones de Dere la provinciaique corresponda la capital del pueblo, y este mandará cho público constitucional por el doctor de Salamanca D. Ramón de reunir los STSÍtores en su respectiva provincia.” Aprobado. Salas. . Art: 8:° » Reunidos en- el dia señalado en la capital de la provin cia procederán á 1a elección de los individuos que han de formar la- La matrícula para el curso de economía política , q…</t>
  </si>
  <si>
    <t>…é Sevilla, y que se hayan constituido su» comisionados lüc-n la Monarquía españolaRey de las Hspaiías, á todos ¡os que las pre Manuel Aiza, comandante dvl escuadrón de Farnesio, y D. Ramón sentes vieren y entendieren, sabed: Que las Cortes han decretado lo si Ceruti, oficial primero de la capitanía general de Puerto-Rico, cus guiente: » Las Cortes , habiendo examinado la propuesta de S. M. so se halla allí de paso. ; En qué manera ó de qué modo…</t>
  </si>
  <si>
    <t>…cia. davia D. Josef Fermoso, abogado. Carv.illino D. Antonio Monroe , al El Sr. Martel pidió que quedara este expediente sobra la mesa para calde constitucional de Brues. Celanova D. Ramón íieuriquez , propie que los Sres. diputados io examinasen , y viesen la urgentísima necesi tario. Maceda D. Fernando Miranda , abogado y alcalde constitucio dad que habia de promover la discusión del proyecto á que se refería: nal de Baños de Molgas. Monterey…</t>
  </si>
  <si>
    <t>…la provincia de Murcia. D. Josef Rodríguez Paterna ; D. Juan __El príncipe Demetrio ípsilanti dejó el mando de la Motea , porque Alix; D. Amonio Perez de Meca; D. Bonifacio Sotos; D. Ramón sus tropas insubordinadas degollaron á varios prisioneros turcos , á quie Reille. Suplentes. D. Bartolomé Cei Castiiio; D. Josef Aguilur. nes había ofrecido su protección. Con este motivo se embarcó para Hidra, Por la provincia ¡le Cuenca. D. Diego Parada, re…</t>
  </si>
  <si>
    <t>Ramón, Claudio</t>
  </si>
  <si>
    <t>Claudio Ramón</t>
  </si>
  <si>
    <t>…sen pasar á la comisión especial de la propia villa , que los fundadores de un vínculo perteneciente á su de Hacienda tres exposiciones, que presentaba á nombre de los procurahijo D. Claudio Ramón de la Calle habian adquirido por compra en dijres síndicos, curas párrocos y cabildo de Sta. María de la ciudad los reinados de los Sres. D. Felipe iv y D. Carlos 11, y habian sido con de Calatayud , para que tomándolas en consideración, asi como, otra firmad…</t>
  </si>
  <si>
    <t>Ramón, Josef</t>
  </si>
  <si>
    <t>Josef Ramón</t>
  </si>
  <si>
    <t>…o de Hacienda dará noticia á ca Asimismo se aprobó el dictamen.de la-misma comisión, relativo á da intendente de los libramientos y órdenes de pago que sucesivamen la solicitud de D. Josef Ramón, vecino de Almería, para que se le te se dirigieren á los pagadores por el tesorero general. . . perdonase el pago de la tercera parte del arriendo que tuvo de diezmos -Art. 35 . » Cada 10 dias los pagadores pasarán al intendente nota y excusado, en atención…</t>
  </si>
  <si>
    <t>Ramón, Luis</t>
  </si>
  <si>
    <t>Luis Ramón</t>
  </si>
  <si>
    <t>…rgas, cirujano dé la Real brigada de Carabineros ; Doo alto, con casa, dos fanegas de tierra, árboles frutales y Pedro Viet3 , primer ayudante de cirugía de la plaza de Barcelona; D. Luis Ramón, cirujano del primer es parras, en 6674 rs. . En la misma provincia de Granada, procedentes del cuadrón de Artillería; D. Josef Faura, cirujano del re gimiento infantería de Jaén; D. Josef Alarcon, cirujano extinguido monasterio de la Cartuja, para cuyo pri d…</t>
  </si>
  <si>
    <t>Ramonct</t>
  </si>
  <si>
    <t>…vibles de sus destinos; pero ha tenido que contener sus dé’ tara , en la que manifestaba sus sentimientos patrióticos y su decidido seos por la razón indicada : sin embargo, si el Sr. Ramonct quiere' ha amor á ¡a Constitución. Las Cortes ia oyeron con agrado, y mandaron cer alguna indicación, podrá pasar á la comisión. se insertase en el Diario de sus sesiones y en la, gaceta. En seguida se leyó una indicación del Sr. Ramonet, relativa á qu® El Sr…</t>
  </si>
  <si>
    <t>Ramoner</t>
  </si>
  <si>
    <t>…s que le conce Congreso por mano del Sr. Janer.” Se acordó que pasase á la comisión de la Constitución para atajar estos desórdenes. de Salud pública y después á la biblioteca. El Sr. Ramoner dijo: Daría un brazo por tener la elocuencia coa D spues de alguna discusión se mandó) pasase á la comisión de Sa que el orador romano combatió) las doctiinas de los am’gos de Calilini lud pública la proposición del Sr. Corominas sobre el arreglo de las cua e…</t>
  </si>
  <si>
    <t>Ramonet</t>
  </si>
  <si>
    <t>…se leyó y se sobre el Crédito píiblico, remitidas por el comisionado de dicho ramo' -■'declaró por primera lectura. ~“ en Córdoba, y presentadas por el Sr, Yandiola. i ’■-.. ü El Sr. Ramonet presentó una exposición;del regimiento de caba A la de Diputaciones provinciales una exposición de la de Vizca llería de Famesio, en que manifestaba sus sentimientos patrióticos. Las ya , en que proponía medios para atender á los gastos de caminos. Cortes la…</t>
  </si>
  <si>
    <t>…so sobre conceder el pase, ó retener .r : Tampoco se admitió á discusión upa adición al artículo .8.°i del las bulas pontificias que contienen disposiciones generales. El negocio; Sr. Ramonet, que, decia : Cuando se ofrezca alguna ocurrencia ex efe la;presentación de un obispado es un negocio particular , porque ve-, traordinaria sobre que fonvenga.hablar-” ..del Sr. Martel al art. 8.' so rificada la vacante, S. M. usa del derecho ds patronato; y…</t>
  </si>
  <si>
    <t>…l redundaba contra el decoro del Con «Aunque estas regiones esten muy lejanas, mas bien se sabe Jó greso. que pasa allí que lo que es relativo al famoso bajá de Janina. La noti El Sr. Ramonet dijo que para evitar las reclamaciones que se ha cia de su total derrota á consecuencia de una estratagema de los sitia cen de esta naturaleza, y á fin de que no padeciesen extravío las opi dores fue inventada , y se engañó la gaceta de Viena, pues por el con…</t>
  </si>
  <si>
    <t>…ítica como en la pecial de Hacienda y Comercio. . -- - militar , de que se estableciese este cuerpo directivo. El Sr. Calatrava dijo que se había pidido al Gobierno á propuesta El Sr. Ramonet apoyó el dictamen de ia comisión, manifestando</t>
  </si>
  <si>
    <t>…ropio sucedía con de marina , dirigidas á las Cortes- por un oficial de aquel cuerpo , y pre el asunto de que se trataba ; pero que no quería entrar en él , porque sentadas por el Sr. Ramonet en la sesión anterior. le parecía era muy sensible el recordarlo, pues las Cortes habían reco Se concedió el permiso solicitado per el Sr. ministro de Hacienda nocido dicha deuda en su decreto de 11 de Setiembre último con una para que el Sr. diputado D. Anto…</t>
  </si>
  <si>
    <t>…ional, sucederá lo mismo que no debia entenderse con las contadurías y tesoreiias de marina, porque eran de mucha consideración; á lo que el Sr. conde de Toreno con hasta aqui. El Sr. Ramonet se opuso á que todos los empleados. ¿ que se testo , que en este articulo no se hablaba nada de estas oficinas, y que refiere el artículo tuviesen franca la correspondencia , y también á que aun cuando se había hecho mención de ellas en el discurso preiinv.-</t>
  </si>
  <si>
    <t>…ia oyeron con agrado, y mandaron cer alguna indicación, podrá pasar á la comisión. se insertase en el Diario de sus sesiones y en la, gaceta. En seguida se leyó una indicación del Sr. Ramonet, relativa á qu® El Sr. Teran dijo: » Como testigo de las virtudes del ^.0 batallón los contadores de la contaduría mayor de cuentas no pudiesen ser re de infantería de Zaragoza, que todavía permanece en la Isla, que movidos de sus destinos sin causa legítima…</t>
  </si>
  <si>
    <t>…de Alcalá, núm. 2, manz. 267, que tiene de Se dió cuenta de haber sido nombrado el Sr. Zorraquin en lugar sitio 6962 i pies superficiales, tasada en 298,618 rs.: otra en la de del Sr. Ramonet para la comisión que se ha de reunir á la de la Fuer Cedaceros, núm. 8 , manz. 267, tiene de sitio 3933 pies y un octavo za militar, para hacer extensible la ley constitutiva del egércitó á la superficiales, tasada en 138,344; y otra en la de la Cruz, que vue…</t>
  </si>
  <si>
    <t>Ramonét</t>
  </si>
  <si>
    <t>…taba esta adición en cuanto á la mitad de la pensión, si se casa un terreno.: ren antes de los 40 años. Aprobado. . El de Isidro Muñoz, Celedonio Diez y Francisco García, soli Del Sr. Ramonét al mismo artículo: » Que obtengan las viudas citando el primero se le modere ó tase el precio de las yerbas de la suspensiones durante su viudedad, y los huérfanos hasta-la edad de 25 Serena que lleva en arrendamiento, y los dos últimos que se le reba años.”…</t>
  </si>
  <si>
    <t>…scala de em nodebia diferirse; y teniendo que hacer varias observac-ones sobre di pleados. chos artículos, suplicaba se difiriese esta discusión. También se leyó y aprobó otra del Sr. Ramonet, acerca de que las Se leyó un oficio del Sr. secretario del Despacho de Gracia y Jus Cortes se sírvan acordar que para la discusión del proyecto de decreto ticia , en que participaba á las Cortes que S. M. se habia servido señaiar orgánico naval se proceda á…</t>
  </si>
  <si>
    <t>…ntos para aclarar la discusión, y determinar lo que mas En seguida se preguntó si estaba suficientemente discutido, y se convenga al bien de la Nación. declaró por ia negativa. El Sr. Ramonet leyó un discurso, en el que exponía, conformán El Sr. Romero (D. Josef) obtuvo ia palabra, y manifestó (^po dose con los principios que sentaba la comisión, y asimismo con lo» niéndose al dictamen de la comisión) que esta no había desempeñado que manifestó el…</t>
  </si>
  <si>
    <t>…parte del año, y en una palabra se verán infinitas monstruosidades. dar enterado de la misma, resolución. Atendiendo la comisión á estos principios, ;qué es lo que debia hacer! El Sr. Ramonet presentó al Congreso unas observaciones sobre la Mirar el estado político de la Nación, tener presente las reformas que armada naval,, y una traducción del capítulo 5,0 del .reglamento de Ja se han hecho, y las que se deben hacer, procurar que en lo posible f…</t>
  </si>
  <si>
    <t>…o. . -■■■:. relativas á que las razones que propone la comisjon'en su discurso pre Quinta provincia Avila. liminar para que subsistan estos nombres ilustre,, que según ia misma El Sr. Ramonet dijo : No es mi ánimo el impugnar que haya: ó no. comisión excitan tantos recuerdos gloriosos, y que tanto contribuyen al provincia de Avila; pero no apruebo st^pequenez. Las provincias pe houor de los pueblos, son otros tantos argumentos para que se prescin…</t>
  </si>
  <si>
    <t>…nse. Aprobada. riquecerse á sus expensas; pues por medio de un jesuíta logró que se Provincia de Falencia. le quitase primeramente un monte inmediato á la ciudad , y que le era El Sr. Ramonet se opuso á la existencia de esta provincia por los muy útil , y á consecuencia de este despojo tuvieron que trasladar la re mismos motivos que expuso cuando se trató de las provincias de cuina sidencia í Albacete muchas familias de Chinchilla, porque se Ies p…</t>
  </si>
  <si>
    <t>…nifestado, si no me engaño, que no se se cuide de su felicidad; solo mudan de habitación en una casa común. extendería mucho sobre las reflexiones que se hacen en la representa El Sr. Ramonet ha impugnado el dictamen de ia comisión con ción de Falencia, y creo que debe atenderse á la esencia del asunto. La respecto á que se erigiese la provincia de Falencia. La comisión ha comisión pudiera hacer objeciones de igual clase, y aun acaso mas gra dicho…</t>
  </si>
  <si>
    <t>…o del Sr. presidente que las Cortes la habian recibido con en ella mas de 60 muertos y heridos. aprecio. Refugiados en su reserva, que se hallaba á orilla del rio, se rehicie ' El Sr. Ramonet dijo: Que por no haber sido de opinión de que ron y volvieron á subir, y siendo esta carga mas obstinada, parecía hubiese provincias de cuarta ciase, habia pensado presentar su voto imposible el arrollarlos, hasta que puesto Rodríguez al frente de la particul…</t>
  </si>
  <si>
    <t>…tado de interinidad llafranca, que tiene 869 almas ni de otras asi, sino de la de Teruel, por que se propone. egernplo, que tiene 105,191; provincia cuya erección no me parecía El Sr. Ramonet: Después de haberse propuesto 51 provincias , sin conveniente , porque en mi concepto no era necesaria. atender á la economía, que es tan necesaria, todavía se trata de esta Si las tres provincias se reuniesen , serian muy difíciles las comuni blecer una mas,…</t>
  </si>
  <si>
    <t>…ser pa Después de una ligera discusión entre los Sres. Golfin, Palarea y trimonio de los mas poderosos. Gutiérrez Acuña, quedó aprobado el artículo en los términos siguientes: El Sr. Ramonet expuso: Quiero deshacer una equivocación que se n Todos los sargentos, subalternos y capitanes que haya sobrantes en ha padecido, suponiendo que los oficiales agregados no sirven á la Na el egército, aunque sean efectivos, serán destinados, si lo solicitan, á…</t>
  </si>
  <si>
    <t>…ta no tardaría en saberse en Londres. diesen ser nombrados para los empleos municipales. Habiendo observa ■ Francia. La elección de la nueva legislatura es el objeto público do el Sr. Ramonet que en la minuta se decia ios individuos dependien principal de este reino, y en el resultado hay diversidad de pareceres: tes &amp;e., suplicó que se quitase la palabra dependientes, lo cual asi se eY lado izquierda nada ba perdido, segun aseguran; y asi los deb…</t>
  </si>
  <si>
    <t>…l Sr. Lallave « Mi dictamen es que en estos establecimientos se reciban los hijos le contra del proyecto. gítimos de padres absolutamente pobres ,ó los legítimos de viuda , sol El Sr. Ramonet, después de manifestar su respeto hacia la comi tera ó casada , sin corrupción de costumbres, previos los informes cor sión por tratar en este proyecto de ideas verdaderamente filantrópicas, respondientes ; porque creo que la absoluta franqueza en admitir niñ…</t>
  </si>
  <si>
    <t>Rámonet</t>
  </si>
  <si>
    <t>…s, y ha distinguido los he pasar á la comisión. Que eran tres los argumentos en que se apoyaba el chos de tal manera, que creo que no puede haber duda. dictamen de ia comisión. El Sr. Rámonet j después de manifestar la desconfianza con que en i u El art. 140 de la Constitución que decia: » Si las Cortes des traba en esta discusión por haber de impugnar el dictamen de una co echaren un proyecto de ley en cualquier estado desu examen, ó resolvie- mi…</t>
  </si>
  <si>
    <t>…. = Baltasar La-iglesia , sareento de das en secreto lo habían sido en las personas delincuentes ó en otras. cabalIería.:^:Mariano lLoldan , cabo primero de caballería—Gaudioso El Sr. Ramonet manifestó que la ley 00 podía alcanzar á un hom Serrano, miliciano de caballería. = Josef Zamora, miliciano de ca bre muerto , y de consiguiente lo que se debia hacer en el caso de que ballería.” babia el artículo era entregarlo á la hermandad de la Caridad p…</t>
  </si>
  <si>
    <t>…que contestó el ca de ¡os trabajos perpetuos , ni disfrutar de la gracia que se expresara Sr. Calatrava. en el artículo 147; y si el delito cometido después de la fuga merecie El Sr. Ramonet manifestó que iba á hacer una observación relativa se mas de n años de obras públicas, se impondrá al reo irremisible i este artículo , porque en su concepto no se habían seguido en él las mente la pena de muerte, entendiéndose que en ninguno de estos casos m…</t>
  </si>
  <si>
    <t>Ramonet-</t>
  </si>
  <si>
    <t>…icencias qúe los deza , pata que se aprobasen las impuestos que proponía, á fin de aten - mas españoles.” der-al gasto del empedrado de las calles: la comisión era de dictamen, El Sr. Ramonet- manifestó lo poco útil que seria el permitir que ss que pasase al Gobierno esta solicitud , para que con su informe recayese casasen los militares sin que acreditasen antes tener con qúe-mantener la providencia que las Cortes consideren mas oportuna. -las obl…</t>
  </si>
  <si>
    <t>Ramos</t>
  </si>
  <si>
    <t>…quía de las Españas, se vió interrumpido por los y. con exactitud lo que.se traía y resuelve en lasCortas. sollozos de júbilo y tiernas lágrimas de alegría, que derramaban abun El Sr. Ramos .Arispe manifestó la necesidad de este artículo, dantes los milicianos mismos y el inmenso concurso reunido de algu puesto que ia impresión de las actas debía verificarse mucho antes que nos pueblos de la.comarca. ¡Tal es la fuerza de la razón en.que es la de…</t>
  </si>
  <si>
    <t>…nero el 3 del presente en la lat. 37° 53 'y lonsr, Continuó la discusión de las adiciones al plan de Instrucción públi ij° 33/ O. de Lóndres. ca , y se leyeron las siguientes: del Sr. Ramos: &gt;1 Que al art. 56 se aña Madrid Sábado 0.3 de Junio. da Manila.'” Aprobada. Del Sr. Cabrero al art. 36-. » Que se añada á las universidades de SS. MM. y AA. continiian sin novedad en su importante salud. tercera enseñanza la de Huesca.” El Sr. Tapia dijo que…</t>
  </si>
  <si>
    <t>Ramos, Joséf</t>
  </si>
  <si>
    <t>Joséf Ramos</t>
  </si>
  <si>
    <t>…ndo pesos fuertes y correspondencia; y de la Guaira y Puerto-Cabello la barca traerlos muertos ó vivos al mercado de los esclavos: 300 de estos infe Carmen (alias) las dos Marías, capitán D. Joséf Ramos, en 51 lices habían sido ya ¡levados y vendidos á z oyó 25 pesos, con la condi dias. Este buque salió con un convoy de 14 velas, escoltado por la ción de llevárselos al Asia. Los mas dignos de compasión eran 1 30 mu fragata de guerra Ligera, que iba para Cuma…</t>
  </si>
  <si>
    <t>Ramos, Josefa</t>
  </si>
  <si>
    <t>Josefa Ramos</t>
  </si>
  <si>
    <t>…nuevo en la dis ñor D. Josef Martínez Moscoso , y escribanía del número al curvo de cusión principal; pero'si variase la cuestión, podrá pedirse nuevamente D. Anselmo Ordoñez, por Doña Josefa Ramos, viuda de D. Vicen la palabra. Art. 107. Los diputados cuando hablen dirigirán la pala te Perramon , cirujano mayor que fue del hospital militar de Extrema bra al Congreso,- y en ningún caso á persona particular. Art. 108. Si dura ,se dió p.-dimerito, solicit…</t>
  </si>
  <si>
    <t>Ramos, Pedro González</t>
  </si>
  <si>
    <t>Pedro González Ramos</t>
  </si>
  <si>
    <t>…quella'Extractaremos la prolijidad de darlo todo al pie de la letra. ciudad. En esta discusión, dijo, deben desaparecer todas las diferencias de A la de Hacienda una exposición de D. Pedro González Ramos; opiniones políticas. El honor y la seguridad de los hombres no son me- vecino de Algeciras, relativa á la abolición de un impuesto de 4 rs. rno‘s apreciables que su subsistencia, ni los intereses de la justicia menos que se cobra en el campo de Gibraltar, ha…</t>
  </si>
  <si>
    <t>Rancharte, Cárlos</t>
  </si>
  <si>
    <t>Cárlos Rancharte</t>
  </si>
  <si>
    <t>…la ya suprimido en el de la provincia de Santander, á que del Infante D. Cárlos. pertenece. Al propio tiempo se ha servido S. M. mandar que si al re Doña Margarita Díaz, muger del teniente D. Cárlos Rancharte, cibo de esta resolución algunos de los conventos que por ella quedan destinado á inválidos hábiles de Sanlúcar de Barrameda. subsistentes no tuviesen el número determinado.por la ley por haber pedido su secularización alguno ó algunos de sus individuos despu…</t>
  </si>
  <si>
    <t>Raneé, Josef</t>
  </si>
  <si>
    <t>Josef Raneé</t>
  </si>
  <si>
    <t>…mi cia de Murcia. Su límite meridional es el mar Mediterráneo. nisterio se hicieron en Andalucía de tamañas necesidades, los benemé Límite oriental. ritos profesores de Cartagena D. Josef Raneé , D. Josef Furió , D. Se Su límite oriental da principio en S. Juan de los Terreros: sigue al bastian Florit y D. Manuel Navas se presentaron gustosos á sacrificar E. del Campo de Pulpi á la sierra del Medió , cabeza de la Jara , tor la quietud de sus destino…</t>
  </si>
  <si>
    <t>Ranerio</t>
  </si>
  <si>
    <t>…Bourne en la presidencia chl despacho del re bia esparcido la voz de hallarse bastante enfermo—Parece que ei Archi gistro; Mr. Sancin al lord Manners como canciller de Irlanda, y duque Ranerio, hermano del Emperador, y virey del reino Lombardo- E. Plumket será procurador general. Véneto, pensaba dejar su destino; pero que se arreglarla su permanen Francia. Ya había salido da la cuarentena en Marselta el famoso cia en él, consintiéndole residir solo…</t>
  </si>
  <si>
    <t>Rangel, Francisco de Paula Perez</t>
  </si>
  <si>
    <t>Francisco de Paula Perez Rangel</t>
  </si>
  <si>
    <t>…g Chronüie del día ; trae el artículo siguiente: Montero : para el de Bel monte á D. Pascual Carcosen: pa «Mr. Cannirig, que sale el domingo para París, ha escrito ra el de Roda á D. Francisco de Paula Perez Rangel: á Mr. Bolton de Liverpool, una carta (que se ha enseñado á para el de S, Clemente á D. Antonio Briz de la Cuesta • pa sus comitente0), en la que le manifiesta las circunstancias de ra el de Req&lt;¡ena á D. Alejandro María Barrachi y Ore: su retirada; en ella l…</t>
  </si>
  <si>
    <t>Ras-, Josef Villaseñor y</t>
  </si>
  <si>
    <t>Josef Villaseñor y Ras-</t>
  </si>
  <si>
    <t>…tivo lugar pera el ejercicio en el orden siguiente:^—1.° D. Fehcano ran pasar en estas mismas clases al resguardo , sean preferidos respecti- "■ V¡gas 2.■ D. Jc»ef Dondement.—g.* D. Josef Villaseñor y Ras-</t>
  </si>
  <si>
    <t>Ratafe</t>
  </si>
  <si>
    <t>…in cuanto podían de Según los periódicos de Londres un buque que había arribado á la sear los protestantes; pero ¡cual fue el resultado? El clero católico Isla de Francia traia al príncipe Ratafe y otros 10 jóvenes de Msda- , condenó esta declaración, y prohibió á los legos que se mezclasen en gasear, que.Radama, Rey de esta, isla, envía á Inglaterra para la rati materias, del dogma...; Mientras la iglesia católica conserve semejantes ficación de. un…</t>
  </si>
  <si>
    <t>Ravasa, Tomasa</t>
  </si>
  <si>
    <t>Tomasa Ravasa</t>
  </si>
  <si>
    <t>…Prusia se convierte en vigilancia, y po D. Juan Luque. Dona Teresa, Doña Josefa y ne en movimiento alguiias tropas. De la Rusia ya se decía haber entra D. Justo Josef de Binqueri. Doña Tomasa Ravasa. do efectivamente sus tropas en el territorio turco; haberse apoderado de D. Josef Martínez Moscoso. D. Teodoro de la Calle. Galatz, y que el egército ruso llevaba orden-de no detenerse hasta Constantinopla. Hablábase de la evacuación deBucharest por los turc…</t>
  </si>
  <si>
    <t>Raya, Juan</t>
  </si>
  <si>
    <t>Juan Raya</t>
  </si>
  <si>
    <t>…de Cas en 28 5 o rs. tilla la Nueva , juez de primera instancia en esta M. H. villa, Otro prado también cercado de tapia , en el día rotu por la escribanía de su número que egerce D. Juan Raya; rado mucho de él, su cabida de 4 fanegas en sembradura, en inteligencia de que pasado dicho término, sin mas cita al sitio de Papalaquinda, en 15,150 rs. ción ni emplazamiento se proveerá lo que corresponda en Otro prado á 8. Marcos, cercado de tapia, su cab…</t>
  </si>
  <si>
    <t>…re último. Quien quisiere-hacer postura, y. enterarse de la tasación-, acuda ante dicho Tñdmer.ot. Járonlos. -Administraciones, Sr. juez-por la escribamaálel ■ nú mero que-.egeree D. Juan Raya. -Catálogo, de las obras que se hallan-de-venta -en- el-despacho y alma» ¿iSos......... ioooopesos fuertes. Oviedo., cen de ■■ 'a. imprenta Nacional. ifS-ÍP........ iv—Madrid/ Viage artíitico, por-Bosarte, tomo r.°; en- 8;-° marquilla, á i6 rs, S580........ 2…</t>
  </si>
  <si>
    <t>…aque postura, y enterarse de la tasación, acuda ante dicho señor juez por llos que están al frente de los pueblos, levantáis una mano parricida la escribanía del número que egerce D. Juan Raya. contra quien os dió el ser: en vuestra desgracia, en vuestra humilla Por providencia del Sr. D. Josef Martínez Moscoso, ministro ho ción reconocíais la Constitución española, por ver en ella las espe norario do la audiencia territorial, y juez de primera ins…</t>
  </si>
  <si>
    <t>…n, acuda ante dicho señor juez, por la escri con el núm. 2, en 12,224 rs. y 17 mrs. Otras casas, situadas en lu calle de los Frailes, colación de-S. Lo banía del número que egerce D. Juan Raya. renzo, señaladas con el núm. 5, en 15,034 rs. Por providencia del Sr. D. Josef Martínez Moscoso, ministro ho El corrijo nombrado de Rojas, en los términos de dicha ciudad norario togado de la audiencia territorial de esta capital, juez de pri de Córdoba, vil…</t>
  </si>
  <si>
    <t>…turai}-í y ;ehterarse de;la!tasac¡on ,^acuda .ante dicho señor juez por-'la&lt;ésctiballíá:1drí[ En lá provincia de la Manchaprocedente de 'encomiendas veteantes de número que egerce D. Juan Raya. - _ ■ Moafiel -y ladea, para cuyo prhnerfrématey. que wha df- verificar ’ ~í Ai virtiid de ' próvidenCiá'del Sri D. Josef Martiné¿"MóSéosó5; jn¡enda villa de. Infantes, está señalado 'el dia 24 descorriente. nistro togado ;!.ju¿Z2letr;ido de primera instanci…</t>
  </si>
  <si>
    <t>…ar M. H. villa. Quien quisiere hacer dichas mejoras, acuda ante el propio tículo 16 de la expresada ley de 25 de Octubre; en Medina del Cam señor juez por la escr.banút que ogerce D. Juan Raya. po el de franciscos observantes; en Tordesillas el de franciscos descal •En 27 ile Marzo último se verificó el primer remate de la casa que zos; en Abrojo el de franciscos recoletos; en el despoblado de Fuen fue consejo supremo de la Inquisición, y hoy toca…</t>
  </si>
  <si>
    <t>…a que se prescribe en ella. En su de primera instancia D. -Julián Díaz- de Yela , ante el escribano del cumplimiento, hallándose vacantes dos de mariscales mayores en el 2° número D. Juan Raya: una en que estuvo' el extinguido consejo dí y 4* batallón del tren de artillería, residentes en Cartagena el x.°, y Inquisición, sita en la calle de Tórijá, señalada con el núm. rdé! en la Cortina el a.°; err concepto de que por Real orden de zo de No íál.ma…</t>
  </si>
  <si>
    <t>…la causa de la patria , sus per primera instancia en esta capital, por la escribanía del número que eger- secuciones durante los seis años últimos del despotismo, su tesón, ge ce D. Juan Raya. nerosidad y nobleza de sentimientos con respecto á sus compañeros de Aprobado por el Sr. intendente de la provincia el primer remate que planes, ideas y desgracias, se ve también el uso que se hacia del tribur en 121,100 rs. se hizo de una casa en esta corte…</t>
  </si>
  <si>
    <t>…uy interesante que los Quien supiese su paradero se servirá avisarlo en la escribanía del nú comandantes generales tuviesen los distritos cortos, porque de esta ma mero que egerce D. Juan Raya. nera podrían ver mas de cerca todas las dificultades y objetos á que En consecuencia del anuncio hecho en los diarios de 2 de Agosto y conviene atender, como responsables que son de cualquier suceso; deben 7 de Noviembre de este año de una rifa á favor del h…</t>
  </si>
  <si>
    <t>Razóla, Mateo</t>
  </si>
  <si>
    <t>Mateo Razóla</t>
  </si>
  <si>
    <t>…lectores siguientes: resulta que han fallecido en la ciudad de toda dolencia 62: en el hos Partido de Toledo. pital General 5: en el Militar 1: en el del Seminario 29: en el de la D. Mateo Razóla, cura párroco de Navalmoral de Pusa; D. Fran Vireina .... en la Barceloneta .... Total 97. cisco Blas Garoz, vecino de Yébenes de Toledo; D. Casimiro Francis De orden de la M. I. junta municipal de Sanidad. = Francisco Su- co Benayas , vecino de Noves; D. Jos…</t>
  </si>
  <si>
    <t>Real, Clau V. S. de</t>
  </si>
  <si>
    <t>Clau V. S. de Real</t>
  </si>
  <si>
    <t>…término de 30 dias, contados desde la publicación de este aviso, timo sobre reforma de regularen. Todo lo que comunico á acudan al juzgado de dicho señor , y por la escribanía de D. Clau V. S. de Real orden para su inteligencia, noticia del inte dio Sanz , á deducir y exponer sus acciones ; prevenidos que resado y demas electos correspondientes. Madrid 15 de di no hacerlo les parará el. perjuicio que haya lugar. Enero de l8zi-” • • Por ei Sr. D. Ramón de A…</t>
  </si>
  <si>
    <t>Real, De</t>
  </si>
  <si>
    <t>De Real</t>
  </si>
  <si>
    <t>…prontitud se pasará esta como se ha mandado respecto de las otras en su poáer los fondos con que debieran cubrirse.” á la comisión del Diario para que se imprima.” A petición del señor De Real orden lo traslado á V. para su inteligencia, y que co conde del oreno se mandó pasar á las dos comisiones de Hacienda opere á su cumplimiento por cuantos medios esten en el alcance de sus reunidas. facultades, según le está prevenido por las diferentes órdene…</t>
  </si>
  <si>
    <t>Real, Príncipe</t>
  </si>
  <si>
    <t>Príncipe Real</t>
  </si>
  <si>
    <t>…bril Febrero de dicho año, en esta ciudad de Rio-Janeiro, en la casa del se habia servido S. M. nombrar á D Antonio Martínez, contador ge Teatro y sala donde se presentó el Sermo. Sr. Príncipe Real de; Reinoneral de recaudación , tesorero general de la Nación, por jubilación de Unido de Portugal, Brasil y Algarbes D. Pedro de Alcántara , donde D. Domingo de Torres. Asimismo se dió cuenta de otro del misino se hallaba reunida la Cámara de esta misma ciud…</t>
  </si>
  <si>
    <t>Rebebo</t>
  </si>
  <si>
    <t>…mismo deseo. Si se había ción española; hubo sobre esto varias opiniones, y por fin de tomar parte en la guerra , el sistema de ella , que por con se acordó , según lo propuso el Sr. Rebebo, que fuesen lla siguiente se debía adoptar, era, aunque con la mayor repug mados por el orden de su elección provincial. nancia , el de intervenir en los negocios interiores de los demas Se leyó despees la lista de los Sres. diputados presentes, Estados. (Oid…</t>
  </si>
  <si>
    <t>Rebello</t>
  </si>
  <si>
    <t>…s, y sucesivamente que se merece la honra que V". _M- acaba de hacerle , y las las otras por su orden. • atentas expresiones que se ha dignado dirigirle por boca de , Yendo el Sr. secretario Rebello á leer una proposición su presidente, quisiera poder manifestar,con toda la clari del Sr. Alvés^del Rio sobre abolición de ciertos privilegios, dad y energía que desea los sentimientos de gratitud y reco manifestó el Sr. Suarez Franco que habla formado un pro…</t>
  </si>
  <si>
    <t>…lgunas proposiciones, y se leyeron otras por segun reagh sin embargo insistió en la suya de que se le señala da vez. sen^ á la Reina 50® libras esterlinas de renta anual; y sus El Sr. Rebello leyó la exposición que debe dirigir el amigos Mr. Sitiart vVorí/ey y Mr. llolme' Sumner han Congreso á S. M., en la que se le da parte del modo con que aplaudido su generosidad en asignar esta suma, que ellos se han hecho las elecciones-, juramento de los dip…</t>
  </si>
  <si>
    <t>…os oficiales de guardias que estuvieron de facción el dia de las tase en un partido que, se desconocía en el Brasil, cual era el de los exequias de la Reina. serviles. Idem 14. El Sr. Rebello dijo que por su estancia en el Brasil le constaba que Ha pronunciado ya el jurado su dictamen ó sentencia en la causa el conde de Arcos se habia manifestado siempre á favor de Portugal, formada con motivo de la muerte de Honey en el tumulto de 14 de pidiendo…</t>
  </si>
  <si>
    <t>…convalecientes 19: muertos 21: existentes 108. Juego se les haga el aumento ó descuento que les corresponda. Ciudad, existencia anterior 176 : entrados ó acometidos4s : salido» El Sr. Rebello expuso que la proposición del Sr. Fernandez Tomas ó curados 8 : convalecientes 27: muertos 19: existentes 194. hacia honor á su autor y á la humanidad; pero que habiendo venido Total de los tres puntos: existencia anterior 46a : entrados ó aco con licencia mu…</t>
  </si>
  <si>
    <t>…gaflas, disolverlas, ni de modo alguno protestar contra sus lumnia contra aquellos buenos turcos. decisiones.” ¿Ni cómo podría quejarse nadie délas medidas un foco acerías', to El Sr. Rebello habló largamente en apoya de este artículo , y dijo madas por el Gobierno dé &lt; onstantinopla ! El embajador de Inglaterra que faltaba expresar qué pena se Je habia de imponer al Rey en caso vive satisfecho. La influencia de lord Strangftbrd, nos dice el corre…</t>
  </si>
  <si>
    <t>Rebello, Luis</t>
  </si>
  <si>
    <t>Luis Rebello</t>
  </si>
  <si>
    <t>…de la tarde hasta las seis y media; y en las Filgueiras, D. Josef Joaquín Rodríguez de Bastos, D. Jo circunstancias actuales no ha podido menos de excitar su sef Ferreira Borges y D. Luis Rebello. Se discutió luego si mamente la curiosidad pública, dando motivo á innume debería nombrarse al momento el poder egecutivo; pero sa rables conjeturas, entre Las cuales era la mas probable el ha resolvió conservar interinamente el actual Gobierno hasta berse t…</t>
  </si>
  <si>
    <t>Rebelloj, Antonio Teixeira</t>
  </si>
  <si>
    <t>Antonio Teixeira Rebelloj</t>
  </si>
  <si>
    <t>…os negocios de las demas naciones. No era y salieron electos: para Hacienda el Sr. Erancisco Uñar tiempo de entrar en mayores explicaciones ; pero podría te Coelho; para Guerra el Sr. Antonio Teixeira Rebelloj llegar tiempo en que manifestase su opinión sobre este par para Negocios extrangeros el Sr. Anselmo Josef Bfaam— ticular. carnp; y para Marina el Sr. Eramisto Maximtano de El lord Grey habla hablado en favor de una absoluta Soasa. neutralidad en todos casos (…</t>
  </si>
  <si>
    <t>Reber, Pedro</t>
  </si>
  <si>
    <t>Pedro Reber</t>
  </si>
  <si>
    <t>…iese encajas la mitad de bunal especial de Guerra y Marina acerca de ia causa que se ha seguido esta cantidad! La mayor parte de los otros individuos del Parlamento en el mismo al coronel D. Pedro Reber y al teniente D. Manueí huyeron á las provincias; pero quedaron como una docena de ellos, que López por haber servido al Rey intruso; y pedia se aclarase el decre proponiéndose imitar al senado romano, se reunieron y celebraron se to de las Cortes generales y…</t>
  </si>
  <si>
    <t>Rebolledo, Simón María</t>
  </si>
  <si>
    <t>Simón María Rebolledo</t>
  </si>
  <si>
    <t>…enta gún el orden de la numeración, de D. Manuel Ortizde Taranco á Don. 625 rs., y en renta 2 ferrados y medio de trigo__ Otras 2 heredades, Lázaro Sanz: de D. Apolinar Enderica á D. Simón María Rebolledo: que hacen 5 ferrados y 26 cuartillos de labor y prado, las que lleva en de D. Antonio Brusi á Dofi3 Eulalia Brusi, en Barcelona : del Dón' arriendo Benito García, y radican en las veigas de Amieiro y Figuei- Martin de Ocio á D. Angel del Valle; y de D. Pedro…</t>
  </si>
  <si>
    <t>Recabarren, Francisco</t>
  </si>
  <si>
    <t>Francisco Recabarren</t>
  </si>
  <si>
    <t>…que los ladrones en la tarde anterior habían ya cruzado el aquel continente : para la de la Piara, disrrirode Charcas, á rio por la barca de Utebo,, adonde no habian podido llegar D. Francisco Recabarren , intendente que era de Guamanlos avisos con oportunidad , porque los ladrones, noticiosos ga; y para la de Cuenca, del distrito de Quito, á D. An sin duda de que los milicianos de Castejon y Egea los tonio Diaz y Cruzado, que lo era interino de la misma. per…</t>
  </si>
  <si>
    <t>Recio, Valentín</t>
  </si>
  <si>
    <t>Valentín Recio</t>
  </si>
  <si>
    <t>…ia, elegido también por el Rey, y Angel Fernandez de los Rio,, D Juan Gómez y Díaz, D. JosefReel cual se reunirá en la cabeza de partido de la misma para pronunciar mirez Moreno y D. Valentín Recio: para la de Alcalá de Henares á sobre el reparto de impuestos &amp;c. D. Antonio Mediano y Sartolo: para la de Valdemoro á D Francisco Estas son las cláusulas mas importantes de la nueva Constitución Herrero Blanco : para la de Chinchón., á D. Juan Domingo Paloma…</t>
  </si>
  <si>
    <t>…simismo ha tenido á bien nombrar S. M. pira la sexta plaza de salbes atender de nuevo á dar mas extensión á los depósitos donde juez letrado de esta corte, vacante por renuncia de D. Valentín Recio, antes existían las fumigaciones; y entre tanto que se reemplazan, se ha i D. Martin de Pineda. llarán al precio de 60 rs. las antireumáticas, á 40 las antivenéreas y á .30 las locales en Alicante en casa de D. Josef Sirvent; en Sevilla en A consulta del cons…</t>
  </si>
  <si>
    <t>Redactor</t>
  </si>
  <si>
    <t>…; el de los pequeños propietarios, cuya renta líquida no lle guiente, publicada ya hoy por otro periódico. ga á 625 libras esterlinas, asciende á 6181; y finalmente las propieda » Sr. Redactor de la gaceta de Madrid. Me es muy sensible que des de todas clases pertenecientes á corporaciones componen el núme hablen de mí al público los que no me conocen, ni les he dado moti ro de 144. vo para hacerlo. En este caso está V. según lo que ha estampado en…</t>
  </si>
  <si>
    <t>Redin, Manuel Alvarez Osorio y</t>
  </si>
  <si>
    <t>Manuel Alvarez Osorio y Redin</t>
  </si>
  <si>
    <t>…es im ción de D. Manuel de Lira á Carlos n sobre los males del reino y medios posible que no prevalezca en ellos el principio sano y sagrado de que de remediarlos; los escritos de D. Manuel Alvarez Osorio y Redin su propiaTelicidad depende'de la de sus súbditos , del contento de es sobre política y economía. Una memoria sobre la rema de población tos, de su amor, y de la idea que de él formen. del reino de Granada, dividida en 18 párrafos por el Sr. Sempere. Un No con…</t>
  </si>
  <si>
    <t>Regente</t>
  </si>
  <si>
    <t>…rsonas que componen actualmente el Gobierno aplausos, manifestando á voces el mas sincero reconoci de Ñapóles; pero su poca ó ninguna veracidad en esta par miento-hácia el auuusto príncipe Regente te es bien notoria á todo el mundo. Este dia , gloriosísimo para la nación y para S. A. R., Se cree que el duque de Gallo, que ha de ser quien lle será para siempre memorable en nuestra hi-voria y en la de ve á Ñapóles el ultimátum de los Soberanos, está ya e…</t>
  </si>
  <si>
    <t>Regis</t>
  </si>
  <si>
    <t>…del egér- oprimen les infunden un vigor invencible, y la defensa de la justicia da cito constitucional. Una columna situada en Casal á las órdenes un nuevo temple á sus almas. del general Regis marchó sobre aquel punto, adonde llegó el 6. El «Medio siglo de combates, las ligas, ios esfuerzos, las traiciones general Latonr volvió á Novara, y consiguió introducir en la plaza por del despotismo, el movimiento denodado de las naciones, sus próspe camino…</t>
  </si>
  <si>
    <t>Reigadas, Josef</t>
  </si>
  <si>
    <t>Josef Reigadas</t>
  </si>
  <si>
    <t>…ima necesi tario. Maceda D. Fernando Miranda , abogado y alcalde constitucio dad que habia de promover la discusión del proyecto á que se refería: nal de Baños de Molgas. Monterey D. Josef Reigadas, auditor hono y asi se acordó. rario. Glnzo D. Francisco Monseo, juez de primera instancia. Bande ■se leyó el dictamen de la comisión de Guerra sobre la incompati D. F. ífstevez, médico. Faltan los nombres de 20 electores. bilidad entre el decret de 30 de May…</t>
  </si>
  <si>
    <t>Reina, La</t>
  </si>
  <si>
    <t>La Reina</t>
  </si>
  <si>
    <t>…vosotros habitantes de todas las islas griegas : la guerra que acabamos de declarar bajo el estan Londres 12 de Juliodarte de la cruz no es una guerra de partido-, es una empresa general La Reina acaba de dirigir JÉt vizconde de Sidmouth, ministro del de toda la nación contra sus sanguinarios tiranos, predestinada por la Interior , la carta siguiente : * Providencia, y dirigida por hombres sabios: no nos toca á nosotros or Brandembourg- Hottse 11 de J…</t>
  </si>
  <si>
    <t>Reináis</t>
  </si>
  <si>
    <t>…ta resolución de la junta Casas consistoriales á las 9 de 1a mañana del dia 9 da Agosto de tS2t. habia providenciado que estuviesen los sosoechosos sin comutu-acion. Extendióse el señor Reináis acerca de las últimas providencias , di (O Este marido v muiiet eran los mismos guardianes de la polacra de Lloret de que hemos dicho hablaba el oficio de D. Antonio Peüicec ciendo haberse dispuesto que todos ¡os facultativo» diesen partes conse dirigido á ia…</t>
  </si>
  <si>
    <t>…ón de las providencias tomadas el din tf. queramos reunir indicios sobre la paz ó la guerra. A las &lt;í de la tarde del mismo día se rcunió'la, junta municipal de sanidad. Expuso el Sr. Reináis que para la seguridad de la pública sa FRANCIA. lud de esta capital y de la Barceloneta creía indispensable trasladar in París io de Agosto. , mediatamente al lazareto los 4 enfermos sospechosos del hospital gene Si se ha de dar crédito á lás noticias de Ñapó…</t>
  </si>
  <si>
    <t>…de esta ciudad pasase al mencionado hospital para la debida go del gobierno económico-político de los pueblos, sus áyuntamientos lasistencia de los enfermos. A esta indicación del Sr. Reináis, toman son los que deben cuidar directa é inmediatamente de tales gastes y do Já palabra el D/. D. Salvador Campmany, ofrecióse generosamente negocios, sin que los jueces ó las audiencias tomen en ellos intervención á pasar al lazareto para acudir al socorro…</t>
  </si>
  <si>
    <t>Reináis, Juan</t>
  </si>
  <si>
    <t>Juan Reináis</t>
  </si>
  <si>
    <t>…ntamiento , y parte de la junta no de la diputación provincial. municipal de sanidad, los cuales con arreglo á las leyes sanitarias diesen Habiéndose dado principio á la junta, el Sr. D. Juan Reináis hizo de pronto las disposiciones oportunas, llamando a las autoridades una relación sucinta de los fundados temores tenidos en los últimos siempre que lo considerasen conveniente. días, motivados por las enfermedades que se habían observado en al En consecuen…</t>
  </si>
  <si>
    <t>REINO, NOTICIAS DEL</t>
  </si>
  <si>
    <t>NOTICIAS DEL REINO</t>
  </si>
  <si>
    <t>…por Guadalajara; D. josef Cabeza y Mora, eficaz cooperación de V. A. R.” diputado suplente por Canarias ; D. AgustinTorres, diputado suplente por Cataluña ; D. Mariano Zorraquín , diputado NOTICIAS DEL REINO. suplente por Madrid;-D. Joaquín Manían y D. Pablo LaMadrid 20 de Febrero. llave, diputados por Veracruz; D. Lorenzo Zavala y Don , SS. MM. y AA. continúan sin novedad en su impor Juan López Constan te , diputados por Yucatán, y D. Juan tante salud. Bernardo…</t>
  </si>
  <si>
    <t>Reino-Unido, Caliima-</t>
  </si>
  <si>
    <t>Caliima- Reino-Unido</t>
  </si>
  <si>
    <t>…principales gefes de los válacos no han Imitado el egemplo de de la representación nacional, enriando á las Cortes generales del los boyardos moldavos. A pesar de la proclama del príncipe Caliima- Reino-Unido un número proporcionado de diputados, he dado por chi , nuevo hospodar de la Valaquia, y de la excomunión del patriar otro decreto de hoy las disposiciones convenientes para la inmediata ca griego, se han declarado contra la Puerta y en favor del príncipe ele…</t>
  </si>
  <si>
    <t>Reinosa, Elena Pover y</t>
  </si>
  <si>
    <t>Elena Pover y Reinosa</t>
  </si>
  <si>
    <t>…sumía peras-sucesos. Es verdad que la Francia cometió .una injusticia atroz nistros hechos á las tropas. matando de hambre á sus acreedores; pero pagaba muy bien á sus sol Otro de Doña Elena Pover y Reinosa, vecina de Valladolid , so dados, y por consiguiente los cálculos de Pitt cayeron por tierra, atm bre que se la conceda un plazo para el pago del arriendo de una casa. antes.dé que. hubiese dejado de hablar. A la de Guerra una exposición que ha dirigido el Sr…</t>
  </si>
  <si>
    <t>Remáis</t>
  </si>
  <si>
    <t>…para otra vez reunirse á las once de la noche del mismo dia. PORTtJCAI. Volvióse á convocar á esta hora, habiendo acudido á ella muchos de los señores médicos de esta capital. !;l Sr. Remáis, manifestando en JJsboa I£ de Agosto—Sesión\ de Cortes del dia 8. tonces el objeto para que habían sido llamados, dijo que en atención Se leyó y aprobó el decreto mandado extender, prohibiendo el que á lás actuales circunstancias, y habilitado el lazareto par…</t>
  </si>
  <si>
    <t>Remirez, Josef Moreno</t>
  </si>
  <si>
    <t>Josef Moreno Remirez</t>
  </si>
  <si>
    <t>…Novoa , Gareli, G¡- •de Benavarre á D. joaquin Tudor: para el de Barbastro á D. Leonardo raldo , Zubia, Queipo, Caro. Liñan, Cano Manuel , Villa, Zayas, Veyan: para el de Huesca á D. Josef Moreno Remirez: para el de Benitez, Loriares, Dominguez, Huerta, Torrens, conde de Toreno, Almudevar á D. Joaquin Ruiz Arechavaleta : para el de Cinco Villas Argaiz , Loizaga, Fraile, conde de Montenegro, Martínez de la Ro á D. Pedro Luque: para el de Jaca á D. Josef Pía y…</t>
  </si>
  <si>
    <t>…los tres artículos anteriores, para que aun desmem un mes.al ayuntamiento constitucional de la misma villa. brados aquellos en caso necesario, queden con la fuerza precisa para El Sr. D. Josef Moreno Remirez, juez de primera instancia de dar el servicio.” Aprobado. esta M. H. villa, y ministro honorario de la audiencia territorial, por Art. ai. » El Gobierno señalará según los artículos anteriores i su providencia de 19 del corriente, refrendada de D. Pascual Sec…</t>
  </si>
  <si>
    <t>Remirez, Josef Moreno y</t>
  </si>
  <si>
    <t>Josef Moreno y Remirez</t>
  </si>
  <si>
    <t>…300 rs., y en renta 2 copi rez de la Frontera, ha librado despacho requisitorio, que se ha cum nes__ Otro prado, en Riega las Sebes, con sus árboles, de un largo plimentado por el Sr. D. Josef Moreno y Remirez , ministro honora dia de bueyes, en venta 360 rs., y en renta 2 copines__ Una tablada rio de la audiencia territorial, juez de primera instancia en esta corte, de heredad , en la ería del Teigo , de medio dia de bueyes, en ven por la escribanía de D. Francisc…</t>
  </si>
  <si>
    <t>Renart, Salvador Ros y</t>
  </si>
  <si>
    <t>Salvador Ros y Renart</t>
  </si>
  <si>
    <t>…quierda para estorbar que se di A la de Pesos y Medidas una memoria sobre monedas, dirigid* jese lo que temía oir; que la franqueza era una necesidad en todos los á las Cortes por D. Salvador Ros y Renart, que recibieron Jas Cor hombres que tenían algún valor moral; que explicarse c impugnarse tes con agrado. era el mejor medio oara conocerse v entenderse. El Sr. González Allende dijo que no podia menos de hacer presente á las Cortes el noble empeño de los cas…</t>
  </si>
  <si>
    <t>Renovales</t>
  </si>
  <si>
    <t>…o. , cbaca sobre que se la conceda una pensión en premio de los méritos Acto continuo pidió.el Sr. Romero Aipuente se le permitiera leer de su marido, que contribuyó á la fuga del general Renovales. una representación de varios oficiales de los regimientos la Constitución A la comisión Eclesiástica se pasó una exposición del intendente y Cantabria , y de las milicias nacionales de Zaragoza , en que pedían ¡de Galicia, apoyando la del ayuntamiento consti…</t>
  </si>
  <si>
    <t>…ción. . , . Velasco para que se la conceda una pensión por las persecuciones que En seguida se leyó por segunda vez el proyecto de ley sobre los sufrió en la causa que se formó al general Renovales., juicios de conciliación. 1 Se dió cuenta de la felicitación que hacia á las Cortes por su reu Se leyó por primera vez el proyecto de ley presentado por las co nión un pueblo de Canarias , y de la solicitud para que se le restituya misiones de Agricultura, i…</t>
  </si>
  <si>
    <t>Representación</t>
  </si>
  <si>
    <t>…r. ministro de ia Gobernación de la la segunda ^Francisco Guendica, teniente de la tercera. cnFrancisco de Península.” Lemonauria hijo, subteniente de la primera.=Bautista ILÍgal, sargento Representación de que habla el anterior ojhio. segundo de la primcra.uzPascual de Uhagon , subteniente &lt;le la terce- » Señor: La guarnición de esta villa, sus milicias voluntarias de ra.zrjuan Antonio de Barrida, sargento primero de Ja segunda compa infantería y caballería,…</t>
  </si>
  <si>
    <t>Repuliés, Mateo</t>
  </si>
  <si>
    <t>Mateo Repuliés</t>
  </si>
  <si>
    <t>…ución. Se ha tiva ; repitiendo que la segunda del Sr. Diaz , corregida y mejorada, es blaba de otro congreso en Florencia para el mes de Setiembre. la hecha en Madrid, imprenra de D. Mateo Repuliés año de 1821 en La insurrección griega sigue siempre en aumento. Parece que el tres tomos 4.0, con una estampa fina del Sr. Ametller al frente de lá príncipe Ipsiianti se halla ya-con 369 hombres; que con efecto Alt obra, la que ss vende solamente en Madrid en…</t>
  </si>
  <si>
    <t>Requena, Josef López y</t>
  </si>
  <si>
    <t>Josef López y Requena</t>
  </si>
  <si>
    <t>…. 8, manz. 2Ó7, y otra, ca á D. Líborio Tudda: para la de Cerro á D. Antonio Moreo é Jnza: lle de la Cruz, núm. 1, manz. 209, que pertenecieron- al extinguido para la d; Cazalla á D. Josef López y Requena: para la de Carinona monasterio de los Cartujos del Paular de Segovia, Usada la primera en á D. Blas Josef de Manos: para la de Eclja á D. Bartolomé Vega y I3®&gt;3-14 rs- &gt; y subastada en 68o3, y la segunda en 88,992 , y rema Agudo: para la de Estepa á D. Juan…</t>
  </si>
  <si>
    <t>Resa, Joaquín del Corral y</t>
  </si>
  <si>
    <t>Joaquín del Corral y Resa</t>
  </si>
  <si>
    <t>…de aquellos claros va que fue de Ja ciudad de Zaragoza; D. Francisco Aguifré y Pinedo, rones. Nuestro apreciable Moratin, disfrazado bajo el nombre del ba vecino de Ben abarre, y D. Joaquín del Corral y Resa, vecino de Alba chiller Posadilla, ha sembrado á manos llenas los chistes y las gracias en de Tormes, únicos perceptores de dicho legado, sin embargo de haber las notas de que abunda este folleto. Se hallatá á 6 rs. en rústica en la llamado en la fundación en…</t>
  </si>
  <si>
    <t>Resa, Josef Domingo Sánchez</t>
  </si>
  <si>
    <t>Josef Domingo Sánchez Resa</t>
  </si>
  <si>
    <t>…4 de las Cortes Por Sueva Galicia los Sres.©r,:p. Josef Miguel Ramírez, rac;one. generales y extraordinarias , quedeciaasi: » Las Cortes, queriendo per-, ro de esta catedral ;-Rr. D. Josef Domingo Sánchez Resa, racionero de pétuar por tódos los medios posibles la gloriosa,..aunque tristememo-, lá misma; Dr* R. Josef Francisco -Arroyo de Anda, 'canónigo lectora! ria del Dos dé Mayo, en cuyo día sellaron con su sangre los primeros de la catedral del nuevo-reino de Le…</t>
  </si>
  <si>
    <t>Resa, Sánchez</t>
  </si>
  <si>
    <t>Sánchez Resa</t>
  </si>
  <si>
    <t>…specto en este asunto, lo es también que no puede negarse del pais, para facilitar los auxilios posibles á tos habitantes de esta ca este permiso sin hacer una injusticia, pues al Sr. Sánchez Resa se le pital ; y al propio tiempo que se habiliten las de Mataró y Villanueva concedió con igual motivo. para el comercio nacional y extrangero de entrada y salida, con ex Un Sr. diputado pidió) se leyesen los documentos que se incluían en tensión la primera a…</t>
  </si>
  <si>
    <t>Resusta, Josef</t>
  </si>
  <si>
    <t>Josef Resusta</t>
  </si>
  <si>
    <t>…clase de municiones, de suerte que es Juan de Zulueta; D. Joaquín Abreu; D. Amonio Alcali Galiino» tán prontos para entrar en acción desde luego. Las fuerzas rusas reuni Suplente: D. Josef Resusta. ( Diario mercantil de Cádiz.') das actualmente en nuestras provincias fronterizas, no solo se hallan Por la provincia de Sevilla. El teniente general de la armada na a en estado de batirse con egércitos numerosos, sino que en el interior cional D. Cayetano V…</t>
  </si>
  <si>
    <t>Retamosa, Juan</t>
  </si>
  <si>
    <t>Juan Retamosa</t>
  </si>
  <si>
    <t>…contra el alcalde de la villa de Mugan Josef Alíaro. Alcaraz , puraque se le ponga expedita su ayuda de costa; y 4. por Don A la comisión de Legislación se pasó una exposición del alcalde Juan Retamosa, en solicitud de que se le siga pagando una pensión. primero constitucional de M'accha Real (provincia de Jaén&gt; sobre si Las Corres quedaron enteradas , y mandaron repartir egempiares han de entrar en las ekeaáones de ayuntamiento los criados de labranza de u…</t>
  </si>
  <si>
    <t>Retonillo, Baltasar</t>
  </si>
  <si>
    <t>Baltasar Retonillo</t>
  </si>
  <si>
    <t>…ento de danospero que esto podría ser voluntarios de Castilla: á D. Francisco Arias Mercado, de! primer ba objeto de una adición. Se aprobó el artículo. tallón del de Vitoria; y á D. Baltasar Retonillo, del primer batallón Art. 98. « Nmguna condenación que cause egecutoria se notificara del de Vaiencey. al reo constituido en estado de verdadera demencia ó delirio , ó en En los regimientos ligeros empleos era segundos comandantes á los peligro inmediato de m…</t>
  </si>
  <si>
    <t>Rev</t>
  </si>
  <si>
    <t>…ción del Gefe político de Ca Se leyó, y se mandó pasar á la.comisión especial de Hacienda , una taluña, incluyendo un plan para formar una plaza en el lugar que ocu indicación del Sr. Rev, relativa á quejas Cortes manden se preceda á pa actualmente el convento de Capuchinos, y trasladar á estos al edifi la liquidación de cualquier género de créditos que no provengan de cio de! extinguido monasterio de S. Pablo, intramuros de la misma ciu ^sumi…</t>
  </si>
  <si>
    <t>Revel, Thaon di</t>
  </si>
  <si>
    <t>Thaon di Revel</t>
  </si>
  <si>
    <t>…No sus empleos. se puede hablar con seguridad acerca de la intención del Rey ; pero se Turin ig de Junio. da por supuesto que, con arreglo á la Constitución , permanecerán poco El conde Thaon di Revel, teniente general del Rey, acaba de tiempo en Polonia los rusos, si es que llegan á venir. crear una comisión superior que residirá en Turin , y cuyo principal en cargo será juzgar á los empleados que se comprometieron en la rebe SUEdA. lión. Al mismo tiempo…</t>
  </si>
  <si>
    <t>Revira</t>
  </si>
  <si>
    <t>…ando á las Cortes por al Crédito público; otra de D. Manuel Rublo para que se aumente el su segunda instalación. valor de la moneda; y otra de D. Manuel Sánchez, vecino de esta El Sr. Revira presentó una exposición del cuerpo de la armada de corte, manifestando la injusticia con que fue perseguido en 1814 y Cádiz, manifestando el atraso en que se halla la marina española, y despojado de su empleo, solicitando el abono de sueldos que le corres lo…</t>
  </si>
  <si>
    <t>…ca la correspondencia de oficio , siempre que esté sella las intendencias, contadurías y tesorerías de egerciio.” da como corresponde;” porque de otro modo en poniendo una S. y El Sr. Revira manifestó que lo que se prevería en el artículo 14 una N., que quiere decir servicio nacional, sucederá lo mismo que no debia entenderse con las contadurías y tesoreiias de marina, porque eran de mucha consideración; á lo que el Sr. conde de Toreno con hasta…</t>
  </si>
  <si>
    <t>…ian se declarase haber lugar a la formación de causa por infracción por contrata. dei artículo 171 de la Constitución , y del articulo 25 de las bases de Después de haber hecho el Sr. Revira varias reflexiones acerca de la aranceles. utilidaH de conducir la correspondencia por la marina de guerra, porque El Sr. Lázaro hizo presente que acababa de tener noticia de que un iba mas segura, y porque pr- porcionaba un medio para que s« instruye pastor…</t>
  </si>
  <si>
    <t>…sterio de-Gracia y Se mandó pasar con urgencia á la comisión ordinaria de Hacienda Justicia 899,500 rs.: consejo de Estado 5.2103.- tribunal supremo de ia siguiente indicación del Sr. Revira, relativa al presupuesto de! mi Justicia 2.321,299: audiencia de Madrid 8709: audiencias de Valla- nisterio de Marina, concebida en estos términos: Que las Cortes se sir dolid, Granada , Sevilla , Valencia , Extremadura , Aragón , Navarra, van asignar para el…</t>
  </si>
  <si>
    <t>…ayor lo de perfecta caridad. De este modo, y perseverando en nuestras conti fomento de la industria española. nuas súplicas, oraciones y limosnas, podemos y debemos esperar que El Sr. Revira, como de Ja comisión, apoyó el artículo , manifestan el Dios Santo , Omnipotente , siempre justo, siempre amable, temible do que se había propuesto en estos términos, siguiendo el mismo or y adorable (que nos prueba en las presentes calamidades para nuestra d…</t>
  </si>
  <si>
    <t>…erificó Ja primera lectura del dictamen de lás comisiones defía- festar que tal vez habría ocasiones en que el Gobierno tuviese por con cienda y Comercio y del voto particular del Sr. Revira, relativos i veniente echar mano para estos destinos de un general, opinó que de los resguardos marítimos. Y se acordó que se imprimiesen; bería dejarse á su arbitrio la elección del que considerase mas á propó Se leyó el dictamen de la; comisión de Beneficen…</t>
  </si>
  <si>
    <t>…rítimo , y propondrá cuanto considere útil á la dos y premiados según sea la importancia de sus auxilios.” Nación y á los individuos que la sirvan en dichos.resguardos con jus F.l Sr. Revira reprodujo lo que tenia manifestado en su voto parti ta proporción, y cuanto sea necesario para el cumplimiento de los artí cular, y después de una corta discusión se aprobó el artículo,, supri culos 4.0*, 5.0 y 6 i de este decreto.” miendo á solicitud del Sr.…</t>
  </si>
  <si>
    <t>Rey</t>
  </si>
  <si>
    <t>…E1 diputado por 70: 17 el Sr. Ochoa por 62: 18 «1 Sr. Canabal por ya: 19 el se teniente de navio de .la. «Tinada. -nacional Dionisio Capaz, na El secre ñor Lasañta por Ó4; y 20 el:Sr. Rey,'por:62. tario «de la diputación»Tnédico de cámara-déFi.íM., Hipólito Unaniié,” • "■ Sé leyó-un oficio del-Sr. encargado de-ía -secretaría del Despacho de Gracia y Justicia , en que manifestaba se habia servido S. M. señalar NOTICIAS DEL AUNO. la hora de una…</t>
  </si>
  <si>
    <t>…E; los sentimientos de mi mayor consi^eracionéaF/V- de nuestro buen Soberano á seguir el egemplo del Rey .Católico y del mado. = Marques Benzoni.= Concuerda xqn el:original.-xcEl -secretario Rey de.las Dos Sicilias::: Hemos jurado, no dejar las armas hasta que de Estado ministro -de: negocios extrangeros± el duque de. Gallo;”,. no se establezca entre nosotros la Constitución de España. Seguid nues . r -i. ' nm;.4°ó,::..., ...■ ;r. , tro egemplo, apre…</t>
  </si>
  <si>
    <t>…la comisión de Hacienda se pasó una instancia de los herederos creto de las Cortes de 6 de Agosto de 1811. del marques de Echandía sobre una gracia concedida á este para llevar El Sr. Rey, apoyándose en la ley misma que había citado su preopi géneros nacionales y extrangeros á América. nante, dijo, que muy lejGs de mandarse en aquella la presentación dó A la comisión de Legislación se pasó una solicitud de D. Fernando títulos, la misma ley man…</t>
  </si>
  <si>
    <t>…se publicasen en la gaceta del yente- de Francia: y apoyado en varios documentos , dijo que la sesión Gobierno. memorable de dicha asamblea de la noche del 4 de Agosto, de que El Sr. Rey dijo, que de ponerse todas las felicitaciones en la ga Babia hablado el Sr.'preopinante , encendió ia guerra civil en aquel ceta se seguiría el que como son tantas la ocuparían toda diariamente, reino-, y por último concluyó pidiendo que las Cortes tomasen en…</t>
  </si>
  <si>
    <t>…dictamen de la .comisión no es, ó no se me presenta tan justo •la política y la justicia, que aun en esta aserción exigia la primera que ni acertado como me parecia.” El voto del Sr. Rey y otras noticias se tomase esta medida , por tratarse de la felicidad de muchos indivi que he adquirido, me han hecho mudar de concepto , y me parece que duos , ó de la superabundancia y redundancia de bienes de otros: no se puede mandar á. los señores que pr…</t>
  </si>
  <si>
    <t>…ara lo que habia hecho, y que solamente la debía manifestar á términos indicados. S. S.': refirió en seguida: los conflictos en. que se veían las autoridades Que habia supuesto el Sr. Rey que el exponente, sin contraerse á civiles de las provincias con motivo de las secularizaciones, y conclu ninguna edad-ni tiempo, y de un modo absoluto, había dicho que la yó oponiéndose á que pudiesen ir á sus casas lós regulares luego que corona española er…</t>
  </si>
  <si>
    <t>…ni por las impresiones del cuerpo ó del alma su, dando en poder de los señores que los han disfrutado. bien ó su mal; que son felices cuando un déspota les asegura que lo -Dice el Sr. Rey que es imposible que losseñores presenten sus tí son , aunque toda la naturaleza les haga ver lo contrario, y esten acos-, tulos, marcando en Ja pág. 46 de su voto particular estas palabras: tados en un lecho de dolor; que son desdichados, criminales, impíos,…</t>
  </si>
  <si>
    <t>…en la provincia del Vierzo , jurisdicción ñor Rey sobre señoríos, después de la palabra Nación falta un no: el de Ponferrada, reino de León y obispado de Astorga, para que dentro Sr. Rey no extrañó haberse dicho , que los bienes de la Nación son del término de 30 dias, contados en esta corte desde el dia jó del cor enagenables, sino el haberse dicho que no lo son. riente, y en dicho pueblo de Fillonedo desde su publicación en él , ¡,e oti;a.…</t>
  </si>
  <si>
    <t>…e viese perjudicado por esta providencia debia presentar el título de surrección, es una masa de absurdos impracticables, que no puede con adquisición. venir mas qtte á locos.” El Sr. Rey rebatió algunas razones expuestas por el Sr. Marina, Que la dicha censura consienta y apruebe esto no debe ser ex y dijo que no convenia en que los pergaminos se pudiesen conservar traño: asi agrada á los que dominan. Que el Gobierno francés permita mas que l…</t>
  </si>
  <si>
    <t>…e sí,, y que no podía menos de conformarse con su dictamen , confesando sin embargo; CORTES. que la primera vez que había leído el voto particular de su digno amigo y compañero el Sr. Rey se había visto bastante embarazado con las suti MEStDEsiClA DEL SESOR GUTIERREZ DE TERAN. lezas gramaticales con que explicaba el sentido contrario de la comi sión , y aun sé había indinado á ser del mismo dictamen, hasta que Sesión del 21 de Abril. habiéndol…</t>
  </si>
  <si>
    <t>…usado de ¡a palabra señorío baja nerse á la agresión enemiga. la misma acepción que quedaba demostrado. » Todo' pues 'está á nuestro favor. El de^cho de gentes, la indepen Que el Sr. Rey habia indicado ya el modo de abolir todos los de dencia de ia patria , el honor del trono, la voluntad del Monarca. rechos del feudalismo, sin atacar el derecho de propiedad , y que había u Defensores de la patria, el que quiera conservar la religión de sus a…</t>
  </si>
  <si>
    <t>…remuevan habló de una representación de los pueblos del marquesado de Pallas, estos obstáculos que detienen y entorpecen su egecucion. Las Cortes, de la cual leyó úna cláusula el Sr. Rey, se padeció una equivocación que miran en el M. R. nuncio un fiel egecutor de Jas órdenes y dispo -tan involuntaria como algunas otras que han ocurrido al extractar los siciones de S. S., no pueden persuadirse que la denegación de algunas discursos pronunciad…</t>
  </si>
  <si>
    <t>…ercera parte mas de lo que importa el derecho de De las oficinas en que debe ejecutarse el registro, registro. Art. 48. « Los instrumentos otorgados ante escribanos serán regis El Sr. Rey manifestó debería suprimirse en este art. la palabra le trados en las oficinas del partido á que pertenezcan los pueblos en que gatarios , en razón de que estos no están tan interesados en las heren lo hubiesen sido. Las convenciones ó escrituras privadas lo…</t>
  </si>
  <si>
    <t>…no supiere firmar , se dirá asi. -ocupando -actualmeute la comisión en examinar la indicación que había Art. 80. » Inmediatamente que los estados indicativos de las pro Jiecho el Sr. Rey sobre este asunto, quedó aprobado el artículo sin piedades de cada sección se hayan concluido, ios repartidores se uni fijare! número de contralores que había de haber. rán y darán cuenta al alcalde constitucional para que convoque al ayun Asimismo s-1 aoroba…</t>
  </si>
  <si>
    <t>…tecimientos del rebelde Merino, y su secuencia de haber tomado las Cortes en consideración la indicación amor á las nuevas instituciones. Como zeloso observador de las órdenes del Sr. Rey, relativa á liquidación de suministros. La comisión opina del Congreso , quería entregarla en la secretaría; pero el escuchar Ja que ba que debía decirse al Gobierno que evacuase á la mavor brevedad se acaba de leer me anima á presentarla en este momento, si…</t>
  </si>
  <si>
    <t>…con ventajas iguales ó mayores:” razones que me parecen bastante poderosas para aprobar el artículo. Se continuó la discusión sobre el dictamen de la comisión de Znstruosiott - El'Sr. Rey opuso algunas dificultades á la aprobación de este artí fúbtica. culo; y habiéndose dado el punto por suficientemente discutido, se sus pendió la votación por no haber bastante número de diputados para vo TITTJIO vr. tar; por lo que el Sr. presidente levantó…</t>
  </si>
  <si>
    <t>…s rompió) la columna su mages- salir de su casa, y otras muchas razones ademas de las que sabia tuosa marcha, solo interrumpida por vivas y aclamaciones á la Cons mente propuso el Sr. Rey en la íiltima noche: En cuanto á la segunda titución , á las Cortes y al Rey constitucional, hasta el parage en que de las razones que refirió el Sr. Tapia ,que en un objeto de tanta impor se hallaban colocadas las mesas: fotmaban estas la figura de una herra…</t>
  </si>
  <si>
    <t>…ión , y la renta que deberán dis la universidad central , donde siempre debía ser mayor la concurrencia. frutar , según los años que se hayan empleado en la enseñanza pública.” El Sr. Rey propuso se expresase ó dijese la comisión en qué tiem Se leyó el art. 85, que decia asi: « Si algún catedrático deseare no po debian celebrarse estas oposiciones, porque en esto se podía perju entrar en la clase de jubilado, á pesar de haber cumplido el tiemp…</t>
  </si>
  <si>
    <t>los Sres. secretarios de las Cortes á consecuencia de una indicación del aquellos arbitrios y de todos los demás que procediesen de variaciones, Sr. Rey sobre liquidación de suministros. hechas arbitrariamente; y que en cumplimiento .de ió mandado en el A la primera de Legislación Sentando pasar una exposición que ha decreto de las Cortes de 1 3 de Setiembre de 1813, propusiese 4 la di dirigido al Rey la dipu…</t>
  </si>
  <si>
    <t>…mas circunstancias. Estos par presentarlo el término de 15 dias después de concluido. La comisión, tidos se llamarán subdelegaciones.” Aprobado. decía: » En este artículo desea el Sr. Rey que se suprima la palabra le Art. 24. ' » En cada una de estas sñbdelcgaciones habrá una comi gatarios ; pero obsérvese que está puesta .con todo cuidado, porque es sión compuesta de ciaco individuos, vecinos de algún arraigo, cuyo tando el legatario obligado…</t>
  </si>
  <si>
    <t>…sus agentes. En tiempo del Sr. Cirios in apenas llegaban los gas 8/ Habrá tres secciones del consejo de Estado, compuestas de siete tos de esta clase á 8 millones; y en tiempo del Sr. Rey D. Cirios iv,</t>
  </si>
  <si>
    <t>…de Luís xvmí Este es un hecho ,’ como Jo nuevo sistema; que todas «tas circunstancias se pusiesen en noticia del lia dicfiq juiciosamente, vuestro sabio y elocuente relator el Sr» conde Rey, que indudablemente las ignoraba, para que procediese como con de "V^aublanc, sabidó de todo el mundo , reconocido por los mismos viniese en un asumo que tanto interesaba á la seguridad pública'” ministros, por las seis leyes de excepción que reclamaron. y co…</t>
  </si>
  <si>
    <t>…comi cha de ayer lo que sigue: '■ sión , ha propuesto á la deliberación de las Cortes el artículo que se » SS- MM. y AA. continúan sin novedad en su importante salud.”discute. El Sr. Rey hizo varias observaciones sobre este artículo, alas que E! Rey se ha .servido admitir la renuncia que ha hecho el teniente contestó) el hr. Rovira. general marques "dé la Reunión del mando militar de la provincia de El Sr. Vadillo: Si las Cortes no aprobasen…</t>
  </si>
  <si>
    <t>…ó la pro tos billetes. Art. 8.° Los documentos que en virtud de las entregas de posición del Sr. Traver. los particulares se expidan por las comisiones serán interinos; expresa El Sr. Rey hizo algunas reflexiones para probar la necesidad y uti rán el número de monedas y su valor por tarifa según la cédula de i8t81 lidad de la definición. de la moneda presentada , hasta que remitida esta á la junta directiva El Sr. Lasanta manifestó la imposibi…</t>
  </si>
  <si>
    <t>…e modo' tendría mas yen todos los casos, sean los que quieran. El art. 7.° dice que la tenta claridad. tiva en ciertos casos será castigad !. ; Y la proposición hecha para come El Sr. Rey hizo varias observaciones para apoyar el dictamen de la ter un crimen podrá dejar de ser tentativa! Yp creo. que lo es, y por comisión, como asimismo para demostrar que no habia contradicción lo mismo el que hace esta proposición es delincuente , y si en algu…</t>
  </si>
  <si>
    <t>…mación del Circular del ministerio de Hacienda. delito, y los que solo fueren el primer paso para egecutarlo. Con fecha de 11 de este mes los Sres. diputados secretarios de las Ei Sr. Rey hizo algunas reflexiones para probar que no debía haber Cortes extraordinarias me dicen lo que sigue: inconveniente en castigar con la mitad de la pena los casos que citaba » Las Cortes extraordinarias han examinado el expediente que les di ei articulo. rigió…</t>
  </si>
  <si>
    <t>…plices serán castigados respectivamente con la y de consiguiente pidió que se le diese mayor explicación. misma pena impuesta por la ley á los autores del delito ó culpa , á no El Sr. Rey contestó a las observaciones que habia hecho el Sr. Laser que la propia iey determine expresamente otra cosa , observándose grava ,.añadiendo que para mayor claridad del artículo podrian omitir ademas lo prescrito en los artículos 94,95 y 103. se ciertas pala…</t>
  </si>
  <si>
    <t>…fracción de que trato de hacer se necesita hablar de los siguientes, me parece, ten-, las nuestras. dré necesidad de anticipar algunas ideas, relativas á los artículos que si 1 El Sr. Rey contestó á las observaciones de los Sres. preopinante y guen, sin cuya anticipación mi raciocinio no puede, tener objeto algu Uraga , apoyando el artículo que la comisión había presentado. no. El art. 13 dice: » Son delincuentes ó culpables sujetos á ia respo…</t>
  </si>
  <si>
    <t>…l egecutor, oo que se indicaba del artículo , porque entonces resultaría lo que con mu se debe castigar sino como tentativa del primero. cha razón hab a dicho el Sr. Calatrava. Eí Sr. Rey hizo varias observaciones en apoyo de la parte del ar El Sr. Romero Al puente: No puedo comprender que se llame au-' tículo que se discutía. siliador de un delito á aquel que no tiene parte alguna en el proyecto Eí Sr. Lallave ( D. Pablo) opinó que el artícul…</t>
  </si>
  <si>
    <t>…culo subsista la palabra diferente. Hizo en seguida claradas de tránsito en ei manifiesto dei buque le acomóde que en ve? algunas observaciones contra el principio referido por el Sr. Rey de de llevarlas este á su destino sean trasbordadas á buque español con el que qitad est causa causas , est causa causati ; á lo cual contestaron fin de conducirlas en él, no se le impida hacerlo, observándose exac algunos Sres. diputados, y en seguida se apr…</t>
  </si>
  <si>
    <t>…ices que no postergación del delito ; y supuesto qué todos-ios Sres. diputados dan éntre lós auxiliadores. un testinjonio de suaihór-álá humanidad?, proponiendo alguna qué otra El Sr. Rey hizo varias observaciones en apoyo del artículo que se Variación , creo qué'en cuanto 4- las-palabras-no tendrán inconveniente discutía:' los Sres: de la comisión éh adoptar aquéllas? que les parezcan mas claras, El Sr. Puigblanch: La frase que la comisión po…</t>
  </si>
  <si>
    <t>…bligación de impedir ó estorbar los delitos iré., por cuanto estos tienen va á establecer un campo turco , y i él van llegando ja varios cuerpos. mucha mas culpa que los demas. El Sr. Rey manifestó que no era ne F.n Londres se tenían noticias de Rio-Janeito hasta 3 de Octubre, cesaria esta adición, porque mas adelántese prevenía lo conveniente. anunciando haberse descubierto en aquella capital una conspiración, ■ Habiéndose declarado el punto…</t>
  </si>
  <si>
    <t>…ista en un Gobierno repre Por otra parte, en un siglo de ilustración, en que todas ¡as ideas sentativo. ■, están en su alfo grado de perfección, parece imposible que se prive á El Sr. Rey contestó á estas observaciones. un hombre de la sociedad cuando puede serle mil , por haber hecho un El Sr. López (D. Marcial) opinó que no debia aprobarse esta pe mal que ya hecho no tiene remedio. Someto esta» obstiraciones á la na, porque solo servia para…</t>
  </si>
  <si>
    <t>…la fuga mo los establecidos en la primera, solo se necesita un juicio sumario, de cualquier individuo. siendo asi que para todas las penas se establecía que el juicio fuese ple- M Sr. Rey, como individuo de la comisión, contestó á las obser nario con todos los trámites legales establecidos para defensa del ino vaciones del Sr. Ramonet, manifestando las razones por las que la co cente y averiguación de los verdaderos culpables. Asi mismo manife…</t>
  </si>
  <si>
    <t>…había notado que estaba du había otras muchas representaciones de varias provincias, en las cuales plicada. no solo firmaban ciudadanos particulares, sino autoridades constitu El Sr. Rey añadió que apenas se podian leer los nombres de los fir cionales , á quienes no se podia decir que hacían la guerra á la liber mantes; y ademas creia estar algunos equivocados ; de modo que la co tad. Fundado en estas razones, indicó su opinión , la cual era…</t>
  </si>
  <si>
    <t>…ó la destrucción de tantas fortunas en tiempo del Gobierno in ba ademas de los Sres. Escovedo y Velasco. truso. La experiencia nos acredita la influencia de dichos juegos en la El Sr. Rey contestó que dichas autoridades eran los regidores y minoración de los Ingresos de la renta de nuestro cargo, tanto mas sen comandantes que habían firmado la exposición. sible ahora , cuanto que sus productos, calculados por el presupuesto ge El $r. Calatrava…</t>
  </si>
  <si>
    <t>…ue ss de lo robado ó sustraído, y la reparación de io dañado y destramo labia calculado. ó alterado , siempre que se pueda verificar.” Después de haber hecho varias reflexiones el Sr. Rey sobre este El Sr. Calatrava dijo que la audiencia de Sevilla habia hecho algu dictamen , á las que contestó el Sr. Olivar, se suspendió esta discusión. nas observaciones á este artículo. Quedó aprobado. Se continuó la del cód’go penal. Art. 96. i: Ei que esté…</t>
  </si>
  <si>
    <t>…ado juramento como individuos del conseio privado de S. M. El du y secretario. que de Montrose ha sido nombrado gentil hombre de Cámara en lugar Para presidente resultó elegido el Sr. Rey por 71 votos de i»i. del marques de Herford , y el marques de Coninghatn mayordomo Para vice-presidente el Sr. Villa por 74 votos de no. mayor en lugar del marques de Choimodley. El duque de Dorset ad En seguida se procedió á la elección del primer secretario…</t>
  </si>
  <si>
    <t>Rey, Domingo del</t>
  </si>
  <si>
    <t>Domingo del Rey</t>
  </si>
  <si>
    <t>…familia por la Gran Bretaña, y fue tan bien recibido la de Gerona á D. Francisco Juan Cantarella: para la de como la obra antecedente , habiéndose hecho ya 8 ediciones. Solsona á D. Domingo del Rey: para la de Olot á D.'Jo Esta obra da á conocer á los jóvenes las riquezas, tanto sef Vera y Pantoja: para la de V ích á D. Manuel Frutos: naturales como industriales, de la Gran Bretaña, sus anti para la de Manresa á D. Ildefonso Gonzalo Moron: para la güeda…</t>
  </si>
  <si>
    <t>Rey, El</t>
  </si>
  <si>
    <t>El Rey</t>
  </si>
  <si>
    <t>…regocijo y agradecimiento públicos.czPalacio de Rio-Ja Brasil, de que queda encargado. neiro 23 de Abril de 1821. = E1 Rey.” En este Gobierno será el conde de los Arcos ministro y secretario El Rey á los habitantes de Rio-Janeiro. de Estado de ios negocios del reino del Brasil y negocios extranjeros; » Cuando Yo, solícito de vuestra seguridad, tranquilidad y prosperi «1 conde da Souza £&gt;. Diego de Metieses ministro y secretario de dad establecía con cir…</t>
  </si>
  <si>
    <t>…e la forma y dependientes de la A D. Vicente Cano Manuel. junta. Art. 1.° La junta se compondrá de los siete individuos que prescribe la nueva ley de libertad de imprenta, y de un secretario El Rey , á consulta del consejo de Estado , se ha servido nombrar nombrado por ella, y que no sea individuo suyo. Art. i.’ Será presi para dos plazas de magistrados vacantes en el tribunal supremo de dente de la junta el primero de sus individuos en el orden de nomb…</t>
  </si>
  <si>
    <t>Rey, Fernando Moyano del</t>
  </si>
  <si>
    <t>Fernando Moyano del Rey</t>
  </si>
  <si>
    <t>…e amarilla es ó no contagiosa! Lejos de turnina Valeriano, en cuyo caso acudirán con documentos justificati pensar muchos médicos como la gente vulgar, que al ver ia propaga vos á D. Fernando Moyano del Rey, en Melilia, el cual fue nombra ción de un mal al punto le caracteriza de contagioso, deberían apli do tutor de los referidos por su abuelo D. Jacinto Diaz Capilla , y quie carse á hacer y repetir ios experimentos mas convincentes hasta ca re entregarles el c…</t>
  </si>
  <si>
    <t>Rey, Francisco</t>
  </si>
  <si>
    <t>Francisco Rey</t>
  </si>
  <si>
    <t>…ada por el Congreso , pue te Fuster: para la de Cataluña á D. Josef Víctor Oñaie, D. Felipe da ser vista en tod3 su pureza , sin que haya entre ella y el espectador Martin Igual y D. Francisco Rey. otro cuerpo intermedio mas' que el aire! VARIEDADES. Treinta años estuvo luchando la Inglaterra con estas oposiciones, hasta que el régimen constitucional se (¡jó de una manera estable; pero En un periódico portugués se ha publicado lo siguiente: ;será este…</t>
  </si>
  <si>
    <t>…rnandez Blanco y Martínez, asesor general que lia sido en la provisión de la última plaza de magistrado para Ja audiencia de Ca Manila. taluña debe ser „D. Joaquín Rey” „en vez de D. Francisco Rey.” EN LA IMPRENTA NACIONAL.</t>
  </si>
  <si>
    <t>Rey, Jacinto</t>
  </si>
  <si>
    <t>Jacinto Rey</t>
  </si>
  <si>
    <t>…capitán D. Bartolomé Pares; fragata la Libertad, capitán Soria.............................................................................. D. Pablo Soler ; bergantín Alejandro, capitán D. Jacinto Rey ; que- Toledo............................................................................. 2.849,976 Valladolid....................................................................... 2.059,687 chemarin Ntra. Sra. de Aransasú, capitán D. Manuel Antonio BasVale…</t>
  </si>
  <si>
    <t>Rey, Joaquín</t>
  </si>
  <si>
    <t>Joaquín Rey</t>
  </si>
  <si>
    <t>…__Igualmente en D. Simón Fernandez Blanco y Martínez, asesor general que lia sido en la provisión de la última plaza de magistrado para Ja audiencia de Ca Manila. taluña debe ser „D. Joaquín Rey” „en vez de D. Francisco Rey.” EN LA IMPRENTA NACIONAL.</t>
  </si>
  <si>
    <t>Rey, Pinheiro Aceveel</t>
  </si>
  <si>
    <t>Pinheiro Aceveel Rey</t>
  </si>
  <si>
    <t>…que tomaron par en lugar de 100 diputados hubiese 130 ó mas. te los espectadores, y se concluyó la fiesta con repetidas voces de viva ^ E1 Sr. Camello,Fortes apoyó el proyecto dei Sr. Pinheiro Aceveel Rey. do, demostrando que era necesario hubiese un cuerpo que sirviese de V RANCIA. equilibrio entre el poder legislativo y el egecutivo. El Sr. Guerreiro , entre otras varias cosas, dijo que veia se trataba de París l~ de Febrero. coartar el poder legislativo, y…</t>
  </si>
  <si>
    <t>Reyero, Francisco Alvarez Reyeró de</t>
  </si>
  <si>
    <t>Francisco Alvarez Reyeró de Reyero</t>
  </si>
  <si>
    <t>…ez , Don sino lo que podía egecutarse con la regla y el compás. MasAgustin de Sesma y Landa , D. Ignacio Ve! unza y Gadea, chsroni, todavía mas severo, quiso no hacer uso de la re D. Francisco Alvarez Reyeró de Reyero, D. Antonio gla. Es de admirar el gran número de proporciones nuevas Vargas Ucles de Herrera , D. Jacobs Wals y Linch , Don y curiosas que ha sabido encontrar en una materia agotada Luis Soler y Gómez de Cárdenas, D. Juan O-DonelL y' al parecer. Sus principal…</t>
  </si>
  <si>
    <t>Reyes, Josef.de.los</t>
  </si>
  <si>
    <t>Josef.de.los Reyes</t>
  </si>
  <si>
    <t>:e novedad en la salud pública del campo fronterizo, ni en el.orden ’ ral y D. Josef.de.los Reyes ..capitanes y ayudantes segundos de la ciupolítico de las. inmediaciones.. . .. -daddeSsvilla j en que piden que no siendo el sueldo que disfrutan sufi Las últimas noticias del imperio son' que Mulev Ibrahim tiene par ciente para atender á sus necesidades, se…</t>
  </si>
  <si>
    <t>Reyes, Juan Guerrero</t>
  </si>
  <si>
    <t>Juan Guerrero Reyes</t>
  </si>
  <si>
    <t>…razones;, sihaquellas viles manadas consi declare l'ranco aquel puerto. guen penetrar en nuestro suelo-. La sospecha envenenaría -los afectes A la de Ultramar pasó tiña memoria de D. Juan Guerrero Reyes mas puros: rodeados continuamente ¡de delatores , nos veríamos preci sobre las utilidades,'que pueden sacarse de’ las islas Filipinas.;; ■ sados i usar de la mentira, deda-ficciorívsde la-bajeza. La;moral evan ' A la de Comercio: una exposición del de la isla…</t>
  </si>
  <si>
    <t>Ri-, Francisco Tarrago</t>
  </si>
  <si>
    <t>Francisco Tarrago Ri-</t>
  </si>
  <si>
    <t>…bano del Para la de Santa Fe á D. Luis Ruiz Diosayuda; para la de Izna- número D. Jacinto Gaona y Loeches, se ha señalado el dia zt del lloz á D. Juan Berges ; para la de Guadix í D. Francisco Tarrago Ri- corriente en la casa de S. S., y hora de las 12 de su mañana , para el queime; para la de Haza á D. Juan Víctor Navarro; para la de Hues remate de una casa, sita en el lugar de Fuenlabrada, y su calle que lla ear ál). Agustín Lozano; para la de Velez-Rubio á…</t>
  </si>
  <si>
    <t>Rib.-ro, Juan Antonio</t>
  </si>
  <si>
    <t>Juan Antonio Rib.-ro</t>
  </si>
  <si>
    <t>*7^5 jijo Villegas. Valdemoro D. Francisco Herrero Blanco. Chinchón'Don lítico de Vizcaya, informada por aquella diputación provincial , solici Mariano Aranguren. Culminar Viejo D. Juan Antonio Rib.-ro. Fuen- tando que quedasen agregados á aquella provincia el pueblo de Castro earral D- Manuel Laureano Esp nel. Gitafe O. Juan ürionagoena. Urdíales y otros varios de la misma. Navalcarncro D. Francisco Romo Pavedano. Fuente el Saz D. Feli También se pasó á di…</t>
  </si>
  <si>
    <t>Ribaita, Manuel</t>
  </si>
  <si>
    <t>Manuel Ribaita</t>
  </si>
  <si>
    <t>…defensores de ios reos , presentaron su las , barón de Vilagaya , hacendado , ex-alcalde. D. Josef Puig, hacen dictamen recadado en los artículos siguientes: dado de Ídem. Sobona D. Manuel Ribaita, hacendado de Fonseca. Art. i.° » La causa sobre las ocurrencias de 10 de Marzo de 18-0 Vich D. Lorenzo Puig y Líoser, sustituto de Cátedra de Cerrera. en Cádiz se pondrá de manifiesto á los defensores de ios reos en una Berga D. Josef Riu, labrador, hacendad…</t>
  </si>
  <si>
    <t>Ribajar, Josef Primo de</t>
  </si>
  <si>
    <t>Josef Primo de Ribajar</t>
  </si>
  <si>
    <t>…uyó Ayer dió la vela para Costafirme y Veracruz el navio de guerraaprobando el proyecto de ley tal como le proponía la comisión, y al Asia, su comandante el capitán de igual clase D. Josef Primo de Ribajar de la tribuna recibió los parabienes de los vocales del lado dere bera. Conduce al Excmo. Sr. D. Juan O-Donojú, capitán general decho , y se levantó la sesión. Nueva-España. PORTUGAL. Madrid Jueves 7 de Junio. Lisboa 19 de Mayo___Sesión de Cortes del 18. SS.…</t>
  </si>
  <si>
    <t>Ribera, Juan</t>
  </si>
  <si>
    <t>Juan Ribera</t>
  </si>
  <si>
    <t>…ia de la legislación: obra escrita en italiano por el caballero Lace que insensiblemente se formen dos partidos principales; uno á fa Cayetano Filangieri, nuevamente traducida por D. Juan Ribera en 6 vor del Gobierno, y otro á favor de sus contrarios. Cuando ambos tomos en S-° prolongado, y adornada con un hermoso retrato del autor. obran de buena fe, su objeto es el mismo; pero difieren en los medios, El tomo i.° se hallara en la librería de Sojo. S…</t>
  </si>
  <si>
    <t>Ribera, Juan Sánchez</t>
  </si>
  <si>
    <t>Juan Sánchez Ribera</t>
  </si>
  <si>
    <t>…resen pública, si las Cortes lo.tienen por conveniente. Igual resolución recayó tarán igualmente los tutores y curadores de ios pupilos y menores. . con motivo de haber presentado D. Juan Sánchez Ribera dos egein- Art. 3.° «En el caso de que se opongan ai consentimiento:.para, plares de una gramática española-francesa , uno de los cuales se mando la venta el siguiente llamado en el orden, el procurador .síndico y pasar á la biblioteca. curadores, tratándose…</t>
  </si>
  <si>
    <t>Ribera, Patricio</t>
  </si>
  <si>
    <t>Patricio Ribera</t>
  </si>
  <si>
    <t>…olación de S. Bartolomé, titulada cole posada y hora de Jas 10 de su mañana , para una junta general gio Viejo, linda con la casa escuela, con la parroquia de San de acreedores de D. Patricio Ribera, vecino y del comercio que fue de esta corte.Cristóbal y su calle, en 61,668 rs. • Carta 7.a de D. Roque Leal. Supresión de monasterios. Si Otra casa en dicha colación , contigua á la anterior, lin es total ruina. Si es abolición perpetua de la profesiou moná…</t>
  </si>
  <si>
    <t>Ric, Pedro María</t>
  </si>
  <si>
    <t>Pedro María Ric</t>
  </si>
  <si>
    <t>…oyo , 2 carros de prado , en venta Hallándose vacante la regencia de la audiencia de Aragón por ju 132 rs----En ¡d. y sitio del Hospital, 5 carros de id., en venta 350 bilación de D. Pedro María Ric , ha acordado el consejo de Estado sé rs.—En id:, 8 carros y 1 octavos de prado, en venta 544 rs__En id., admitan memoriales por el término de 30 dias en Solicitud de dicha 2 carro^.y 2 octavos de prado, en venta 148 rs__ En id., un carro y 6 plaza. octavos d…</t>
  </si>
  <si>
    <t>Rica, Ezequiel Ramírez</t>
  </si>
  <si>
    <t>Ezequiel Ramírez Rica</t>
  </si>
  <si>
    <t>…ario de los Debates está persuadido de que ya mi tón, Anastasio González, Juan Angel Ponce, Gumersindo Platel,. puede.. ser. mejor, el desarreglo de su cerebro nos causa compasión D. Ezequiel Ramírez Rica* Carlos Velazquqz, Pedro Platel , Faustino siempre que eL desorden no se haya comunicado al corazón ni á ia vo Platel é Isidoro Serrano; dándoles unas medallas de plata con una le luntad , como es de temer en semejantes casos. yenda que decia: Premio á la apl…</t>
  </si>
  <si>
    <t>Ricafort</t>
  </si>
  <si>
    <t>…á alguna emboscada &amp;c. F.l R'cv acabada abolir por dos decretos la conscripción y el alis Las cartas de Lima del 17 de Febrero dicen de un modo posi tamiento marítimo. tivo que el general Ricafort habia batido á S. Martin en dos diferentes Jloma j-de Junio. encuentros, en los cuales quedaron derrotados unos 1insurgentes; Nadie habrá olvidado que animados los facciosos en el curso de pero las cartas de Chile guardan el mayor silencio sobre el particj¡.)…</t>
  </si>
  <si>
    <t>Ricardo, Miguel</t>
  </si>
  <si>
    <t>Miguel Ricardo</t>
  </si>
  <si>
    <t>la ínáyoT parte de los cuales licuaba bandera sarda; los demás eran aus- Por la provincia de Alava. El Excmo. Sr. D. Miguel Ricardo de ti lacos, ingleses y ,junios; dos holandeses y tres españoles. Se observa Alava , teniente general de ¡os ejercites nacionales. Surtiente. D. Mar que no ha entrado en este puerto ningún buque giiego procedente de la tin Ramírez de la Piscina , abad de la c…</t>
  </si>
  <si>
    <t>Ricardo, Pedro</t>
  </si>
  <si>
    <t>Pedro Ricardo</t>
  </si>
  <si>
    <t>…rior ó exterior, después que las Cortes hubieren D. Josef Sigler Bustamante, de D. Pedro Elias. declarado por los votos de dos terceras partes de sus diputados estar ¡a ValladoLd. D. Pedro Ricardo. patria en peligro, podrán suspender la egecucion de aquellos artículos de D. Josef Manuel de Aniz. Sres. Sánchez y Lozano. la Constitución relativos á la división de ¡os poderes políticos que crean D. Josef Joaquín Garviso , de Doña Teresa de Acosta. necesar…</t>
  </si>
  <si>
    <t>Richard</t>
  </si>
  <si>
    <t>…to una conspiración, tramada por el duque de la Marmeiuda, primero y último de la obra. Su precio en venta es el de 26 rs. en gobernador de aquel punto,, y el sanguinario negro el general Richard: rústica y 30 en pasta. No se admiten ya suscripciones. SUPLEMENTO</t>
  </si>
  <si>
    <t>…--- v itkuV*iD_. _ .' TÍ.luivif1»f— . í —s. „«n— 'j~- «-.i -i— &gt; - — -1 J ei»-w silla apostólica no podían prestar suficientes"seguridades á -ia üglesia lian para ser juzgados éí. general Richard y otros 27 conspiradores , 'y protestante anglicana. \ 1 ■ ' ' &lt; - ■: -~..- qúeprobablemente serán pasados por las armas. Lá guarnición de GoEl Duque de Yorck .manifestó. quedas :hases:del bilí le parecían nanils y los habitantes de jas cercanías se apoderaro…</t>
  </si>
  <si>
    <t>Richelieu</t>
  </si>
  <si>
    <t>…ibido la cias decidan de la suerte de la Grecia dél mismo modo que decidieron bendición de este venerable anciano, y me parecia sentir entonces nuer de la suerte de aquel pais! El cardenal Richelieu , algo mas ilustrado vas fuerzas en mí mismo.” en cuanto á los intereses del Estado que el Gobierno actual, hizo por __Iü Rey de Inglaterra y Hannover ha nombrado grandes cruces de espacio de mucho tiempo ¡a guerra en Italia para impedir que el Aus la orden d…</t>
  </si>
  <si>
    <t>Richter</t>
  </si>
  <si>
    <t>…fesión. Providencia de visita: siga. 8.u La sociedad de las Ciencias fisico-medicas , dirigida actual Labal de Flores , remitida por el juez tercero D. Luis Ortiz de mente por el profesor Richter , publica sus tareas bajo dos diferentes Zúñiga en 14 de Diciembre de 1820 por haberla aprehendido varios formas. Las disertaciones sobre puntos que solo interesan 4 los médi géneros robados. Estado de esta causa. En sumario. Providencia de vi cos de profesió…</t>
  </si>
  <si>
    <t>Rico, Camilo García</t>
  </si>
  <si>
    <t>Camilo García Rico</t>
  </si>
  <si>
    <t>…s , regalías Sic. &amp;c. Las Cortes han recibido con agrado una memoria, publicada y di- que disfrutaban los llamados señores en aquellos estados; :es por venrigid.vá las ‘mismas por D. Camilo García Rico sobre los derechos que -tura: injusta semejante resolución! no por cierto: ; es efecto de la ig tienen las provincias'en una monarquía, cuyo gobierno sea represen norancia! mucho menos; ;de la sorpresa: tampoco-, : de la viclenc'a? tativo. ¡ de ninguna manera…</t>
  </si>
  <si>
    <t>Rico, Félix</t>
  </si>
  <si>
    <t>Félix Rico</t>
  </si>
  <si>
    <t>…irla; pero cuáles son estos me El Triunfo de España. Wats nuevo con seis variaciones para forte jores , es el punto de la dificultad. ¡Son acaso los hombres de bien? No piano: por D. Félix Rico, dedicado á la Excma. Sra. Doña Josefa por cierto. La probidad por ai sola no basta para Ser merecedor de tan Morillo, condesa de Cartagena y marquesa de la Puerta: su precio alta dignidad, porque á nadie se le oculta que hay muchos hombres 4 rs. Se hallará e…</t>
  </si>
  <si>
    <t>Rico, Juan</t>
  </si>
  <si>
    <t>Juan Rico</t>
  </si>
  <si>
    <t>…es en unión los medios y costo necesario para hacerlas norca D. Pedro María Santaló, en Mondoñedo D. Josef María Pardo producir. Montenegro, en Orense D. Josef Somoz3, en Orihuela D. Juan Rico, 13. Desde el presente año inclusive pagarán los comisionados del presbítero, en Osma D. Angel Itero, en Oviedo L&gt;. Ramón Gil, establecimiento en las provincias á los partícipes legos de diezmos un Couder, en Plasencia D. Modesto Galban , en Patencia D. Isidr…</t>
  </si>
  <si>
    <t>…decidió que sé suspendiese su resolución para cuando La ¡unta de partido de esta ciudad ha nombrado para electores á los se tratase de Jas atribuciones del poder egecutivo. Sres. D. Juan Rico, presbítero; D. Josef Llopis de los Dolores, pro En seguida se suprimió el art. 83, concebido en estos términos: pietario; D. Josef Sempere y Amat, propietario de Elda; y D. Justo ó Ningún diputado podrá ser removido de sus funciones sino por Sevilla, juez de…</t>
  </si>
  <si>
    <t>…is abogado; D. Bernardo Falcó, presbítero; D. Manuel Beltran de Lis, tianos, y por el descontento que han mostrado al partir para et Da capitán retirado; D. Jaime Gil, presbítero; D. Juan Rico, vicario genubio, no menos que su voluntad de volverse al Asía. Enmedio de n. ral castrense; D. Joaquín García Domenech , ex-gefe político da tantos apuros parece imposible que el divan evite catástrofes que com Murcia ; D. Francisco Belda y Asensio, teniente…</t>
  </si>
  <si>
    <t>Rico, Juan Pablo</t>
  </si>
  <si>
    <t>Juan Pablo Rico</t>
  </si>
  <si>
    <t>…donde no hubiese gastos; pero se Igualmente se aprobó el de la comisión de Guerra, relativo á la trata de que los ha de haber indispensablemente. Cuando se han discu solicitud de D. Juan Pablo Rico, vicario general de Valencia, de la tido tos presupuestos se decía que la marina estaba abandonada, que el cual resultaban los distinguidos méritos y servicios coniraidos por este egército no podia subsistir, que tos tribunales deben ser independien interesad…</t>
  </si>
  <si>
    <t>Rico, Melchor</t>
  </si>
  <si>
    <t>Melchor Rico</t>
  </si>
  <si>
    <t>…s necesidades urgentes ' Asimismo se aprobó el dictamen de la comisión de Hacienda en de la administración-, ó que pidan gruesas cantidades , como son Jas vísta de Ja solicitud de D. Melchor Rico, vecino de Valencia, en la de lo material de la guerra y marina , los secretarios del despacho de qué manifestaba que habia sufrido 10 anos de presidio en Ceuta por estos departamentos las libren en las proporciones que dispusieren todos. adicto al sistema co…</t>
  </si>
  <si>
    <t>Rico, Nicolás Velazquez</t>
  </si>
  <si>
    <t>Nicolás Velazquez Rico</t>
  </si>
  <si>
    <t>…de in ciales y sargentos de estas, compañías que concurrieron á dichas accio fantería y zapadores: los que tengan de 7 á 10 años, alféreces de ca nes; á saber: el segundo ayudante D. Nicolás Velazquez Rico; los te ballería ó trenes de artillería é ingenieros: los de 10 años en adelante, nientes D. Feliciano Polo y D. José María Omlin; los subtenientes de tenientes de infantería, caballería, zapadores, y trenes de artillería é D. Antonio Malet, D. Antonio Gonzál…</t>
  </si>
  <si>
    <t>Rico, Ramón Acedo</t>
  </si>
  <si>
    <t>Ramón Acedo Rico</t>
  </si>
  <si>
    <t>…an pasar de alféreces al resguardo de caba haber pasado á la comisión de Infracciones una queja del brigadier llería , y los que cuenten ocho puedan pasar de tenientes, consideran D. Ramón Acedo Rico, coronel del regimiento de milicias provincia do 4 unos y otros en alternativa con los tenientes y subtenientes del les de Ciudad-Rodrigo , contra el alcalde constitucional de Pereña 701egército 13. Que los guardias que no tengan cuatro años de servicio haber…</t>
  </si>
  <si>
    <t>Rico, Tádeo</t>
  </si>
  <si>
    <t>Tádeo Rico</t>
  </si>
  <si>
    <t>…nio Morell y Eugenio Baixaulr , remitidos los-cuatro primeros por el juició':jmparcial‘:y preventivo'de la opiniondel Sr. -Morerio Guerra juez-de primera instancia de esta-ciudad D. Tádeo Rico, eri 19 de Di (oblé pi’óhibicioriesí'Véndésé en-la librería de Rasz á 4 cuartos. ciembre de2t8iSi y los demas por el consejo de guerra establecido en ' Dómiriici CavaHSrii -iñ régia'neapolitana academia primar i i professo Saguñto en 19 de-Mayo de 1820. Preso…</t>
  </si>
  <si>
    <t>Ricomá, Mariano</t>
  </si>
  <si>
    <t>Mariano Ricomá</t>
  </si>
  <si>
    <t>…na de las tres provincias, sin ad ce Nombre de María, capitán D. Josef Castalio, polacra Virgen del mitir reclamación alguna después de señaladas las cuotas. Madrid 29 de Carmen , capitán D. Mariano Ricomá; fragata Preciosa Catalana, ca Junio de 1821.2= Josef María Moscoso de Altamira, presidente.;; pitán D. Francisco Jovcr; polacra francesa Josefina , capitán D. Pedro Francisco Fernandez Gaseo, diputado secretario. =Pablc de la Llave, Esteban Simón. Se está su…</t>
  </si>
  <si>
    <t>Ríe, Pedro María</t>
  </si>
  <si>
    <t>Pedro María Ríe</t>
  </si>
  <si>
    <t>…de Sevilla á D. Josef María Manescau; para la de Cataluña á D. Juan nes contra el mal venéreo, las cuales tan maravillosos efectos han pro López de Vinuesa, y para la de Aragón á D. Pedro María Ríe. ducido en toda la Península y fuera de ella, ha resuelto dicho Go . Asimismo ha tenido á bien nombrar S. M. pira la sexta plaza de salbes atender de nuevo á dar mas extensión á los depósitos donde juez letrado de esta corte, vacante por renuncia de D. Valent…</t>
  </si>
  <si>
    <t>Rie, Rafael del</t>
  </si>
  <si>
    <t>Rafael del Rie</t>
  </si>
  <si>
    <t>…en las inviolables en sus personas , y nunca serán responsables: de sus opi mismas, en atención á sus méritos y servicios. niones. ■ : El capitán general de la provincia de Aragón D. Rafael del Rie 29.. : A: las Cortes corresponde nombrar, la Regencia, cuando go remitía dos egemplares de una proclama sediciosa y alarmante con fuere necesario; prescribir el modo como se ha de dar Ja sanción á Jas tra el nuevo sistema, que le habia entregado uno de los ge…</t>
  </si>
  <si>
    <t>Riego</t>
  </si>
  <si>
    <t>…America del Sur , y las conti dirigido á restablecer el sistema constitucional, llegó á per nuas extracciones de numerario para el sueldo y manuten noctar en esta villa el invicto general Riego en su marcha ción de la parte de egército portugués que estaba alii desti para Zaragoza. Dos comisionados del ayuntamiento consti nado :- gastos que, sacando irrevocablemente fuertes sumas tucional y la caballería de milicianos locales -salieron á es del giro…</t>
  </si>
  <si>
    <t>…ento, para Logroño 3 de Enero. los Soberanos y sus ministros. El dia 2 tuvimos la satisfacción de ver pasar por esta El 21 habia llegado á Viena el barón de Hahn , envia ciudad al general Riego en su viage á Zaragoza. do que fue á Nápoles á convidar al Rey al Congreso. Era La oficialidad del primer batallón de Jaén le lia dirigi rumor en Viena que la misión del barón de Lcbzeltern á do la siguiente felicitación: Roma tenia por objetó el paso de las…</t>
  </si>
  <si>
    <t>…s épocas lución produjo, debían hacerse valer contra el nuevo poder anteriores ha gozado; y la.presencia y hospedage del pri de ia rebelión. , mer héroe de la-libertad española el Sr. Riego, y. el ex «Los Monarcas que se han reunido en Troppau con es traordinario júbilo con que fue recibido, los harán notables te ob;eto pueden esperar conseguirle. Por regla de su con á los siglos venideros. Luego que se tuvo noticia de la ducta se propondrán obs…</t>
  </si>
  <si>
    <t>…é cóncedicsen ásceñsos © premios sino á los indibre;, de hacer pagar: al &lt; pueblo en tiempo de! paz las contribuciones de - viduos del egército del. general Quiróga y :columna del general Riego; guerra. Pero iio hay.plazo que no se cumpla, y no tardaremos mucho y al .mismo tiempo reclamaban .contralos ascensos concedidos:provisio en ver sorbidos estos recursos por las bocas inútiles y agenas que nos de nalmente á los oficiales del egército dé Ultram…</t>
  </si>
  <si>
    <t>…íce. , de ios bría C institución en España! Cualquiera que sea el mérito distinguido cuales tinos son curiosos, otros muy útiles , y no pocos necesarios, ex que haya contraido el general Riego siendo el primero ,á proclamar Ja trañarán que algunos de sus aviios queden sin publicarse. No sucediera libertad en el año ao, no podemos olvidar que antes que él tuvieron esto, s: torios vinieran con las formalidades que se requieren para que la misma glori…</t>
  </si>
  <si>
    <t>…ermiso para mandar retirar el piquete que tenían en la fun dores , y á los que se dedican á este tráfico. Un miserable labrador, que ción ; porque habiéndose sacado el retrato del general Riego á pesar de compraba por mucho menos dinero una camisa, ahora se le obliga la prohibición que va indicada, no era la mente de su cuerpo apoyar (por l;i prohibición del algodón) á gastar mas en esta camisa por ser de semejante acto de desobediencia, antes por e…</t>
  </si>
  <si>
    <t>…e he presenciado y ha causado grande descontento. Este es el de Za extraño es, señor , que cuando tenemos un Congreso tan líbre que no hay ragoza , con motivo de la deposición del general Riego: este es bien cosa que no se pueda proferir en este santuario de las leyes, y cuando te nemos fas autoridades judiciales independientes de las demas, las veamos á público, todos saben la agitación en que estaba mucha parte de la pro vincia de Aragón , todos a…</t>
  </si>
  <si>
    <t>…d# para arrestar a varios oradores: por último, todas las autoridades que han palabra ni por escrito hubiese tomado esta disposición. consentido las demostraciones de gratitud al general Riego han sido re La dificultad en que se encuentra un ministerio en las actuales cir emplazadas por otras. cunstancias al proponer para los empleos, .porque no estamos tan so En cuanto á los sucesos de Cádiz se invocan ahora los principio* brados de e»os hombres i…</t>
  </si>
  <si>
    <t>Riego, Antonio Qjiroga y D- Rafael del</t>
  </si>
  <si>
    <t>Antonio Qjiroga y D- Rafael del Riego</t>
  </si>
  <si>
    <t>…iento actual, por la regularidad y circunspección con cion , han decretado: i.° Se señala á cada uno de los mariscales decam que efectuó la gloriosa empresa de su regeneración. po D. Antonio Qjiroga y D- Rafael del Riego una renta anual de v La felicidad nacional fue la base en que se apoyó, y el entusiasmo 8o3 rs. vn. para ellos, y en su defecto para sus mugeres é hijos. 2,= con que adora á su augusto Soberano, fue el que dirigió sus accio A los mariscales de campo D. Felipe…</t>
  </si>
  <si>
    <t>Riego, Rafael del</t>
  </si>
  <si>
    <t>Rafael del Riego</t>
  </si>
  <si>
    <t>…ibir libros edificantes, y tienen visiones nocturnas. Algu rila Isla por la salida á Oviedo de 'su dignísimo general nas de estas mugeres están á la cabeza de ciertas congregacio »D. Rafael del Riego," y e! que fue declarado por la junta nes de fieles, y se hacen llamar Madres de Sion , cuyo título de Censura por sedicioso y subversivo, se lia .pronunciado lisonjea mucho el amor propio de tales fanáticas , que con la sentencia del tenor siguiente. versan…</t>
  </si>
  <si>
    <t>…en el pueblo, que tiene concedida, y se le mande pagar por la renta de correos. . El Sr. Romero Alpuente dijo que no sabia en qué estaba fundado A la de Guerra una exposición del general D. Rafael del Riego, el querer suponer que los oficiales del egército permanente supiesen, en solicitud de que se reintegre á los tenderos de Sevilla el importe del mas de conspiraciones que ios de.las milicias, y que -estos no tenían paño que se empleó para vestir á la tropa de…</t>
  </si>
  <si>
    <t>…ecreto de las Cortes de 29 de Mayo de » Se señala á cada uno de los mariscales de campo D. Antonio i8i2; sobre establecimiento de las diputaciones provinciales; otra del Quiroga y D. Rafael del Riego la renta anual perpetua y en plena y Sr. conde de Maulé, para que se suspenda en Cádiz la contribución del libre propiedad para ellos y sus sucesores de 8o3 rs. vn., consistentes g por 100 sobre murallas, por ser contrario á la Constitución; y otra en bienes…</t>
  </si>
  <si>
    <t>…io de conciliación para que decía? « Que se señale á cada uno de los mariscales de campo Don hacer efectivo el pago de todo género de contribuciones é impuestos, Antonio Qinroga y D. Rafael del Riego una renta anual de 8oá rs. vn. asi nacionales como municipales, ni para el de los créditos dimanantes Quedó aprobada esta parte por 142 votos contra 15. 1 del mismo origen. 6.J Tampoco deberá preceder el juicio de concilia En seguida se procedió á la segunda…</t>
  </si>
  <si>
    <t>…también ción á la notoriedad de sus hazañas. 5.0 Se declara que los mariscales los impresos de Lisboa que nos llegaron ayer, demuestran cuánto se va de campo D. Antonio Quiroga , D. Rafael del Riego , D. Felipe de mejorando el espíritu público en toda la Península. Arco-Agüero , D. Miguel López Baños , D. Demetrio O-Daly y Don Los sabios decretos de las Cortes, y las disposiciones eficaces que Carlos Espinosa, y el brigadier D. Manuel Latre , con sus dig…</t>
  </si>
  <si>
    <t>…e que se adoptase Una nueva escarapela; y habiéndo se leído el decreto de S. M. de 7 de fuero de 1796 , por el cual se Copia del o/icio rasado á la secretaría de las Cortes por el general Don Rafael del Riego en contestación al que aquella le ha dirigido conhaba adoptado para el egéroto 2cc. la escarapela de su Real casa, di motivo de los premios que le fueron otorgados por las mismas.jo ei Sr. Pinto de Majal haes que por este decreto se conocía cuán irnprop.o era…</t>
  </si>
  <si>
    <t>…te, y del Ki’.n de ios negros En varios periódicos de esta capital se ha publicado una represen que viene del este: reúne también á estos dos ríos en una corriente sola tación del general D. Rafael del Riego , dirigida á S. M.: hoy hemos hasta el reino de Calbarry, en donde forma un vasto de!¡a r imo el de! sabido que dicha representación no se ha presentado al Gobierno, y es Nilo de Egipto. tamos persuadidos que aquel documento puede ser apócrifo, no solo porque…</t>
  </si>
  <si>
    <t>…o acordado por el Excmo. ayunta plicar sus deseos , reducidos, primero: á que se les permitiese vitorear miento constitucional de esta ciudatj, doy la presente en Zaragoza á 30 ti general D. Rafael del Riego, como héroe de la independencia espa de Octubre de 1811. ñola : que se les facultase para prender á cualquier hombre, que bajo algún disfraz se presentase armado: que al teniente de la milicia de ca Oficio del Sr. secretario de ia Gobernación de la Península…</t>
  </si>
  <si>
    <t>…os aún en ' Por la 'provincia de 'Asturias/ EÍ'Excmo. Sr. D. Agustín Argue mayor prosperidad Jamás pu'dieroñ'interhárse; estos pun- lles, consejero honorario de Estado; él generál D. Rafael del Riego, los primeros como unas plazas inexpugnables, de donde mariscal de campo de los egercitos nacionales; el Exorno. Sr. O. Josef ^HBHB(^^ente sacan nuevos recursos;; 4." Los griegos tienen mucha Canga-Arguelles, consejero honorario de Estado; el Sr. D. Diego de…</t>
  </si>
  <si>
    <t>Riego, Ralael del</t>
  </si>
  <si>
    <t>Ralael del Riego</t>
  </si>
  <si>
    <t>…e'tenerle, pasará Art. 5.0 » Las Cortes declaran que los expresados mariscales de certificación de la condena al juez respectivo' para que la exija desde campo D. Antonio Quiroga, D. Ralael del Riego , D. Felipe Arco luego, remitiendo su importe al alcalde que la impuso. En las'provin Agüero, D. Miguel López Baños, D. Demetrio O-Dali, D. Carlos cias de Ultramar la multa será de un peso fuerte á lo menos , y no po Espinosa y el brigadier D. Manuel Latre, c…</t>
  </si>
  <si>
    <t>Rienmayer</t>
  </si>
  <si>
    <t>…órdenes. Las tropas que componen el cuerpo de observación dei Pia- riado desde aquella época, y que se opondría al nuevo bilí, porque lo monte estarán bajo el mando particular del general Rienmayer. creía perjudicial á la supremacía de la religión del Estado. Se leyó por primera vez el bilí El conde de Donoughmore anunció que haría el dia io la propuesta de costumbre para que se procediese á ITALIA. la segunda lectura. — La junta de los católicos de Ing…</t>
  </si>
  <si>
    <t>Riestra, Vicente</t>
  </si>
  <si>
    <t>Vicente Riestra</t>
  </si>
  <si>
    <t>…primer dia útil si Joaquín Canala, D. Antonio Gumiel y D. Luis Ortega. Teniente guiente á los 30 arriba dichos, que deberán contarse desde el en que D. Juan Herrera, y subteniente D. Vicente Riestra, dastinados á la se inserte este anuncio en la gaceta inclusive. SUPLEMENTO</t>
  </si>
  <si>
    <t>Riezu, Severino</t>
  </si>
  <si>
    <t>Severino Riezu</t>
  </si>
  <si>
    <t>…o de esta capital, y después de manifestar todos ios hechos que habian precedido.y motivado la exposición, opinaba no haber lugar á la. for Cátedra de estadística, establecida por D. Severino Riezu. Esta mación de causa; cuyo dictamen fue aprobado. cátedra se compondrá á lo mas de 30 individuos", que se admitirán por Igual resolución recayó sobre otro de la misma comisión, que suscripción: en ella se enseñarán los elementos de aritmética . geome opinaba…</t>
  </si>
  <si>
    <t>Rifa, Carlos Xarrie</t>
  </si>
  <si>
    <t>Carlos Xarrie Rifa</t>
  </si>
  <si>
    <t>…l Austria sufrieron uña baja extraordinaria. de introducción para la elaboración y purificación de la potasa: 4.0 í Decíase en Londres que S. M. iria á hacer un viage á Hannóver á D. Carlos Xarrie Rifa y compañía, por la invención de extraer del cá su vuelta del que piensa emprender á Irlanda; y se tenian noticias de ñamo una materia igual al mejor lino; y finalmente dos á favor ds estarse preparando en Rio-Janeiro una expedición para traer á Europa D. Dieg…</t>
  </si>
  <si>
    <t>Riga</t>
  </si>
  <si>
    <t>…de I.ivwen, espoci del embajador ruso eñ Londres. Se está Se publican gacetas rusas y alemanas en Petersburgo , Moscow, espetando á S. M. et Rey de Wurtembcrg, á S. A. R. el gran duque Riga , Muían , Revel, Abo y Casan, 'ale ademas en Moscow un dia de Weimar , al embajador de Rusia en Londres , al c msejero ae Es rio literario en lengua rusa, y en Wdna otro en:lengua polaca. tado ruso Mr. Oubril , y á otros vanos personages. El principe Met En M…</t>
  </si>
  <si>
    <t>Righini</t>
  </si>
  <si>
    <t>…res 7 de Setiembre. chiarotti, capitán de la brigada de Alejandr a , habia arrestado de acuer . Eri Dublin se ha abierto una suscripción con el objeto de erigir un do con aquel al barón Righini, coronel de la misma brigada, y monumento que consagre la memoria de la visita de un Rey de Ingla cooperó por este medio á sustraer el regimiento de la obediencia del terra en Irlanda. El 30 del pasado se habían reunido ya 7200 libras es Gobierno saboyano. te…</t>
  </si>
  <si>
    <t>Ríiffb</t>
  </si>
  <si>
    <t>…rla de una verdad me remito al ministro de Hacienda. ' . ' exposición, en que manifestaba la necesidad de que el público se ilus - ,,Los víveres faltaron siempre, de suerte que el mariscal Ríiffb me : trase sobre esta materia. escribió qué por esta falta tenia que abandonar áCivita-Ducalé. El or-j Se mandó agregar al acta de la sesión anterior el voto contrario del denador en gefe, varios1 comisarios de guerra, él pagador general, el' Sr. Palarea acer…</t>
  </si>
  <si>
    <t>Rin</t>
  </si>
  <si>
    <t>…y que tuviese siempre al lado dé su sepul atinguhó : muertos ninguno : existentes 15.^ ' cro una guardia de 30 hombres. De los seis entrados uno procede de la polacra Carmen, del capitán Rin Las disposiciones testamentarias son cosa muy sagrada entre estos com.i; otro de la polacra Dulce nombre, de, María, del capitán D. Jo paganos: ási es que el nuevo Emperador se ha mostrado muy diverso sé f Castalio, y los restantes de la fragata Libertad, del cap…</t>
  </si>
  <si>
    <t>Rincón, Juan</t>
  </si>
  <si>
    <t>Juan Rincón</t>
  </si>
  <si>
    <t>…á entregado a cada uno las reformas, merciante de Villanueva. Reus D. Pedro zXJcáutara de Aperia, co adiciones ó advertencias que estimen oportunas para fundar sus aleuamerciante. D. Juan Rincón, abogado de dicha v,Ua. Matará D, Juan tos , á cuya lectura asistirá precisamente el juez fiscal con su diario ó Baró de Sola, ev.-alcalde constitucional. D. Eduardo Serra, id. id. extracto , en el cual hará por sí ó á solicitud de los defensores cuantas Figa…</t>
  </si>
  <si>
    <t>Rincón, Mauricio Justo del</t>
  </si>
  <si>
    <t>Mauricio Justo del Rincón</t>
  </si>
  <si>
    <t>…r. se presenten á usar del derecho que pueda competirles en los autos que -&gt; Luneville 7 de Agosto de 1821. Al redactor del Diario de los se siguen por la escribanía cartularia de D. Mauricio Justo del Rincón, Debates. á pedimento de Juan Antonio de Pila , sobre cobro de réditos de u« ,&gt; Como en vuestra intención no pueda caber la idea ele publicar en efecto de villa de sS ducados; que si lo hicieren se les oirá y guarda vuestro apreciable periódico falsas relacio…</t>
  </si>
  <si>
    <t>Rio, Aires do</t>
  </si>
  <si>
    <t>Aires do Rio</t>
  </si>
  <si>
    <t>…bo; y en seguida el lord primer gentilhombre con el cetro de la Paloma, pasase á la comisión diplomática. i A los pies de la mesa estaban á la derecha los duques de York, Cla- El Sr. Aires do Rio presentó nuevamente una proposición sobre rence y Sussex, y á la izquierda los duques de Cambridge y Glocester, que se mandase recibir una información acerca de un sugeto que ante como también el príncipe Leopoldo de Saxonia-Cobourg. S. M. habia ofendido al s…</t>
  </si>
  <si>
    <t>Rio, Aíves do</t>
  </si>
  <si>
    <t>Aíves do Rio</t>
  </si>
  <si>
    <t>…ig de Abril. Sesión del 24 de Abril. Se leyó y aprobó el acta de la sesión anterior. cortes.__Sesión del 10. El Sr. presidente dijo que el Sr. ministro de la Gobernación de la El Sr. Aíves do Rio hizo la propuesta de que fuesen removidos Península venia á participar á las Cortes algunas noticias que habia re todos los empleados que estaban causando perjuicios á los pueblos, y cibido el Gobierno acerca del estado de los sediciosos; y efectivamente que…</t>
  </si>
  <si>
    <t>Rio, Aives do</t>
  </si>
  <si>
    <t>Aives do Rio</t>
  </si>
  <si>
    <t>…Con referencia á algunos dictámenes de las comisiones sobre expe política. El instinto de su conservación domina á la sociedad ,y esta no dientes que se les habían pasado, dijo el Sr. Aives do Rio que seria puede consentir en perderse por el temor de hacer excepción de un siempre un defensor eterno de los derechos de cada uno de los poderes principio.” para que se conservasen dentro de sus límites los poderes legislativo, No. examinaré , señores,.hasta…</t>
  </si>
  <si>
    <t>Rio, Alees do</t>
  </si>
  <si>
    <t>Alees do Rio</t>
  </si>
  <si>
    <t>…ca , relativo á la venta de bienes nacionales para la amortización de la Una carta particular de S. Miguel (islas Azores) del 5 de Febre deuda nacional. ro dice, lo siguiente: EL Sr. Alees do Rio hizo varias observaciones sobre la necesidad „ Participo á V. que estamos en la mayor consternación con mo de esta medida, manifestando los perjuicios que va se estaban sieu'entivo de las órdenes que se han recibido del .general Stokler, en virtud do de no ha…</t>
  </si>
  <si>
    <t>Rio, Alvés del</t>
  </si>
  <si>
    <t>Alvés del Rio</t>
  </si>
  <si>
    <t>2o6 tido, sabrá todo el mundo que este partido es enemigo de la El Sr. Alvés del Rio dijo que juzgaba que dicha co Francia, del Monarca , y de la paz pública; y caerá sobre misión había omitido una muy importante, cual era la de él la execración general. las peticiones ; á lo que respondió el Sr. Fernandez que si Sigue en mucha estimación el…</t>
  </si>
  <si>
    <t>Rio, Alves del</t>
  </si>
  <si>
    <t>Alves del Rio</t>
  </si>
  <si>
    <t>…le rogaba separase de sus destinos á seme periódicos para inteligencia del público, lo hacemos presen jantes sugeto?. te á V- E., para que previa su conformidad , si no tuviese El Sr. Alves del Rio insistió-en que estaban probados inconveniente , podamos proceder á su egecueion. Madrid 8 los hechos que indicaba; que en todos Los papeles-públicos de FebrenLde 182 i.=Excmo. Sr.=Bernardino de Temes.=</t>
  </si>
  <si>
    <t>Rio, Alves do</t>
  </si>
  <si>
    <t>Alves do Rio</t>
  </si>
  <si>
    <t>…d de los servando que no era decoroso que se hablase, de esto en se acontecimientos del 24 de Agosto y 15 de Setiembre. sión pública, dijo el presidente que la de mañana empeza El Sr. Alves do Rio propuso se concediese una am ría por secreta á las 3 de ¡a tarde; y levantó la sesión. nistía á los oficiales portugueses, que se habían ido con el egército francés, á fin de que pudiesen voLver al reino. NOTICIAS DEL REINO. El Sr. Fernandez Tomaz entregó por…</t>
  </si>
  <si>
    <t>…componer las otras comi presidente para la comisión del tesoro público, ó si debia siones. serlo él mismo. Uno de los Sres. secretarios leyó el oficio, Se recordó el proyecto del Sr. Alves do Rio sobre am y el Sr. Braamcamp dijo que este asunto era muy interesan nistía ; pero no se discutió, y se acordó que las Cortes te , y no debia tratarse sin estar presentes los diputados en diesen parte á S. M. de todo cuanto habían hecho hasta el cargados de alg…</t>
  </si>
  <si>
    <t>…la divina Providencia ha frustrado sus sacrilegos para los que siguieron al egército francés en 1808 , pro intentes. Han querido armar la nación contra la autoridad puesta por el Sr. Alves do Rio, sé retiró el Sr. diputado del Rey; y la nación, indignada de sus doctrinas, se ha Francisco Antonio de Almeída por tener; un hermano reunido mas estrechamente que nunca alrededor del tronó comprendido en este caso. Después de leído el ’proyecto de de V. M. H…</t>
  </si>
  <si>
    <t>…de la calificación hecha por los jurados del papel intilos presos de las cárceles del reino (que sean capaces de tulado •. El Alguacil alguacilado dD.\ Tirilla , se ha' él); v el Sr. Alves do Rio pidió que este indulto fuese ex condenado á D. Juan Bautista Cavaleri responsable de di-' tensivo á los desertores. cho impreso, en la pena de un mes dé prisión yen un»' Otro Sr. diputado presentó un proyecto de decreto so multa de 500 rs. de vn. , expresada…</t>
  </si>
  <si>
    <t>…uanto le es dable, á'la féllcid’adfde' y diputación permanente, que son la verdadera seguridad de la nación. sus conciudadanos, y llenar debidamente los benéficos objetos de su El Sr. Alves do Rio dijo que el Rey podia llamar á quien quisie— instituto. -; se para que le aconsejase sin: necesidad de este consejo, aunque fuess- ■ -Murcia 6 de Marzo. - - •........... - . - ; propuesto por el poder legislativo:; que el verdadero consejo del Rey El gobernad…</t>
  </si>
  <si>
    <t>…licar el nombramiento diese los mo A la de Infracciones de Constitución pasaron' las Exposiciones de tivos qué habia tértidopara esteprocédinliento. los sugetos siguientes: " : Eí Sr. Alves do Rio y otros Sres; diputados manifestaron, que ha- - D, Marcelino'Sánchez Rangel, canónigo.dé Salamanca, quejándo biendá puesto á cargo* dé la'Regencia el poder egecutiyq, y siendo este se del gobierno'eclesiástico deaquel^obispado, por^^ h'abérsele: déSpojado nom…</t>
  </si>
  <si>
    <t>…tas, debían acabar congobiernan, y la flaqueza y la ignorancia en los qué son gobernados. Pero cuando la fuerza V el saber pasan al lado del mayor numero, la vida del poseedor. El Sr. Alves do Rio hizo la siguiente adición al artículo, y fue es preciso que sobrevenga una mudanza en la forma y el objeto del aprobada: ,,Cuando la merced sea por la vida ó vidas posteriores á laGobierno. En cuanto á la forma , el Gobierno no es ya un derecho, si de! actual…</t>
  </si>
  <si>
    <t>…abía dicho, las Cortés no hubieran tenido facul méritos de la patria d sus autores, y quedó aprobado. tades para derogar los señoríos jurisdiccionales ; todos convienen en. que El Sr. Alves do Rio quiso que se pasase á tratar de la extinción las tenia, luego también las' deben tener para los territoriales y sola del santo oficio; pero se suspendió para otiii sesión, y se levantó ia ds riegos que no hayan cumplido las condiciones ó pactos con.'qué serim…</t>
  </si>
  <si>
    <t>…se diese el vergon mordaza ( adhesión a la izquierda). zoso título de capitanía 4 aquella provincia del-reino de Portugal ;-y-el Por último, concluyó su arenga con estas palabras: Sr. Alves do Rio propuso que se convidase á la diputación..de Para Tódós’decimos'que queremos la legitimidad y la monarquía ry no á que asistiese.á las sesiones de Cortés éndá'tribuna del cuerpo: diplo hace mucho tiempo que Air. Dudon en una especie de testamento po mático; l…</t>
  </si>
  <si>
    <t>…Después de leí dalla grande de plata de Mr. Caunoy, alusiva á la presentación de do el decreto se aprobó y mandó imprimir. S. A. R. el duque de Burdeos al pueblo y al egército. El Sr. Alves do Rio en nombre de la comisión de Hacienda leyó En el mismo día por la mañana los corregidores y comisarios de un proyecto de decreto en nueve artículos sobre la introducción de la caridad repartirán á un mismo tiempo en,los 12 cuarteles una gran nas de España, y s…</t>
  </si>
  <si>
    <t>…es del pueblo,y especialmente de los genízatps, que greso acordó que se presentase en ¡a sesión inmediata. se manifiestan muy pacíficos desde que se les distribuyó la última pa El Sr. Alves do Rio dijo que habia llegado un buque de Rio-Jaga. Los malos resultados de la expedición contra Ali-Bajá han cau neiro, á cuyo comandante, á su salida de aquella Corte, le habia di sado mucho descontento.” cho S. M. que no escribía á Portugal, porque debía salir mu…</t>
  </si>
  <si>
    <t>…os oficiales de cual no , y se tuvo por primera lectura .la de las' otras dos proposiciones.. quier grado que sean, que haciendo parte de nuestro egército Reai han A propuesta del Sr. Alves do Rio se pasé) á la discusión de lo que abandonado sus banderas par-dirigirse á Monteforte, quedan privados se debería hacer con los empleados que vienen del Eiasil, y s.e empezó . . de¿jis grados.y distinciones.militares, y estarán sujetos al juicio de por ios emp…</t>
  </si>
  <si>
    <t>…as que lo deseen el libre derecho de mática, á la cual se remitiese este oficio; y el Sr. presidente la nombró. marcharse con todos sus bienes durante el término de un año, que El Sr. Alves do Rio pidió que se mandase venir al Congreso al mi ■se contará desde el día en que se cangee el presente tratado. nistro del Interior pava que informase de la conducta que habia obser б.a Que no exigirá nada por ria de pago de cuentas atrasadas. vado ante S. M. el…</t>
  </si>
  <si>
    <t>…Rusia , lo cual siendo cierto , coincidiría con las voces que corren de que se dejará, ver ny,¡s ó menos pronto- una escua Sesión de Cortes del 20. dra rusa en el Mediterráneo. El Sr. Alves do Rio dijo que habiéndose desechado en la sesión Según otras noticias los griegos habtáij recibido últimamente varios - anterior la segunda parte de su proposición sobre la ofensa que el ba refuerzos 'de tropas hasta el número dé 15tD~ hombres. Hajr quien dice rón…</t>
  </si>
  <si>
    <t>Rio, ALves do</t>
  </si>
  <si>
    <t>ALves do Rio</t>
  </si>
  <si>
    <t>…tuto para que dejase de manejar un asunto semejante de modo que no se le Parts 18 de Setiembre. pudiese probar. Se ha recibido una carta de Roma, de la cual hemos extractado lo El Sr. ALves do Rio dijo que no correspondia al Congreso el deci siguiente: dir este asunto, y sí el remitirlo al poder judicial para que lo juzgase » Un ingles, llamado Waddington, que acaba de llegar de Egipto según las leyes. aquí', ha subido mas de 600 leguas mas arriba de l…</t>
  </si>
  <si>
    <t>Rio, Andrés del</t>
  </si>
  <si>
    <t>Andrés del Rio</t>
  </si>
  <si>
    <t>…plazo que vence en - A la comisión de poderes se mandaron pasar los presentados por 1." de Eneiqgde 1821, y en el.art. 3.0 parece que hay una contradic el 'marques del Apartado y D. Andrés del Rio, diputados electos por ción , porque se trata solo de los intereses devengados de dicho capital, la provincia de México, y el conde de Alcaraz' por la de Zacatecas. y no pagados hasta el dia de hoy, y por consiguiente solo desde esta Las Cortes recibieron con…</t>
  </si>
  <si>
    <t>…itares que residen en esta capital que podían aprobarse los que presentaron l«s Sres. marques del Apar han:presentado una solicitud al Sr. capitán general, exponiendo están tado y D. Andrés del Rio, diputados por la provincia de Méjico, y pronío9-á hacer el servicio que se les mande en clase de soldados; ac los del conde de Alcaraz por la de Zacatecas, con el acta de elección ción, digna de eterna alabanza, y que ha sido sumamente agradable á de dicha p…</t>
  </si>
  <si>
    <t>Rio, Benito Díaz del</t>
  </si>
  <si>
    <t>Benito Díaz del Rio</t>
  </si>
  <si>
    <t>…art. 90 del proyecto de Cons Provincia de Navarra. Pamplona D. Cristóbal María Rípa da titución, y el Sr. Correa de .Seabra opinó contra él, diciendo que lo ha jaureguizar; el Dr. D. Benito Díaz del Rio, suplente actual de la di llaba en contradicción con el art. 23 de las bases; que el poder egecu- putación de Navarra. Tudela El marques de Montesa; D Mariano tivo por su propio ínteres no negaría la sanción á.la ley que tuviese en Aysa. Estrila el licenciado…</t>
  </si>
  <si>
    <t>Rio, Bernardo del</t>
  </si>
  <si>
    <t>Bernardo del Rio</t>
  </si>
  <si>
    <t>…gunda y tercera enseñanza,' esta misma se reunirá á la 'diézmós á la mitad. central, formando un solo cuerpo bajo el mismo régimen económico y A la de Legislación una solicitud de D. Bernardo del Rio, arce gubernativo, entendiéndose lo propio respecto á las de México y Lima. diano de Calatayud , en laque pide se le .permita prestar -juramento</t>
  </si>
  <si>
    <t>Rio, Josefrdel</t>
  </si>
  <si>
    <t>Josefrdel Rio</t>
  </si>
  <si>
    <t>…ádiz de Julio. Ha entrado en este puerto el bergantín goleta española 'de guerra Lisboa s8 de Jimio.,__'Sesión de Cortes del ay. -correo Mágica, su comandante el teniente de navio D. Josefrdel Rio, Til Sr. Pereira do Carino tomó la palabra y dijo: En la sesión -del de Veracruz y la Havana en 45 dias, con la correspondencia, 126,336 día 2¡ se nos repartió á los diputados el proyecto-de Constitución po pesos fuertes en 12 barras; 13,863 del primer puerto…</t>
  </si>
  <si>
    <t>Rio, Juan Bonifacio del</t>
  </si>
  <si>
    <t>Juan Bonifacio del Rio</t>
  </si>
  <si>
    <t>…de Pont Ja , de 2 tes en metálico en fin de Junio del presente año corresponden á ferrados y 8 cuartillos, que lleva en arriendo con ¡as fincas s guier,tes los fondos siguientes: D. Juan Bonifacio del Rio, en venta 450 rs. , y en rema i fi-rido» y A propios y sisas. ................................................ 324&gt;5OI-*25 medio de cebada__ Otra, á los Tarrees de Moneufi’o , d ■ 10 Errad.*», A la reserva para pago á los acreedores efec en venta 1440 r»., y…</t>
  </si>
  <si>
    <t>Rio, Manuel Riiiz del</t>
  </si>
  <si>
    <t>Manuel Riiiz del Rio</t>
  </si>
  <si>
    <t>…-pérh áu'réúnion rio; D. Éélix María Manso, juez de primera instancia de Sto. Domin ■cnxy merece el nombre ide-egército , pues se reduce á unospelptóncs tan ¿n- go de la Calzada-, D. Manuel Riiiz del Rio , coronel retirado y propiet.disc¡plinac!os,.que el último Sultán perdió ,1a yida por haber querido in tapio.'Suplente. D. Juan CruzOrovio, propietario. i, troducir entre los gehízaros el sistema militar de Éuropa.,A estas ven- - , , Por Galicia. D. Andrés Ro…</t>
  </si>
  <si>
    <t>Riofrio, Josef García</t>
  </si>
  <si>
    <t>Josef García Riofrio</t>
  </si>
  <si>
    <t>…presión del moderno y sublime Gibbon, la elocuencia del celebrar junta general de los acreedores á los bienes , créditos- y mismo Tito Livio. efectos quedados por fallecimiento de D. Josef García Riofrio, Por desgracia estos Ingenios tan sobresalientes vivían co contado^ que fue de la casa y estados del conde de Salvatier mo forasteros en su patria, pues endiosados con Cicerón y ra; señalando para ella el domingo 11 del próximo Febre demas clásicos antiguos,…</t>
  </si>
  <si>
    <t>Ríos</t>
  </si>
  <si>
    <t>…rriente desde lá calle de S. Vicente Alta hasta la igle ” Dios guarde á V. E. muchos años. Avila 27 de Noviembre de sia parroquial de S. Basilio , sustanciándose por pobre ante el Sr. Ríos ,1821. = Excmo. Sr.=;Manuel Dejuan. = Excmo. Sr. secretario del des y escribanía de D- Alfonso de Yébenes , á instancia de D. Juan María pacho de la Gobernación de la Península.” Garrido , suplica á quién los hubiere encontrado los llevé á la calle del « Excm…</t>
  </si>
  <si>
    <t>Ríos, Fernando</t>
  </si>
  <si>
    <t>Fernando Ríos</t>
  </si>
  <si>
    <t>…''castigó de los delincuentes , y con el ver mitido por el capitán-general de Valladoiid én que participaba que dadero arrepentimiento de los simplemente seducidos ó alucinados; y D. Fernando Ríos, capitán di las milicias de Vatderas, había sido cediendo algo cada uno por su parte en el dominio de las pasiones, muerto á manos de una partida de facciosos en el momento de atacar que son ¿no de nuestros pebres enemigos , podremos todos dentro de los con s…</t>
  </si>
  <si>
    <t>…rreglo á la ley constitutiva del egército,aprobada por.las Cortes, de militar; 4.a Dirigir :las propuestas paradlos empleos que vaquen en la be declararse á la viuda del expresado D. Fernando Ríos la misma misma; £-a,Informar sobre las solicitudes de cualquier especie que ha- asignación que está señalada y que corresponde: á las de los capitanes ganíá’S. M. los empleados en la administración militar: 6. '..Entenderse del egército que fallecen en accion…</t>
  </si>
  <si>
    <t>Ríos, Joaquín de Fuentes y</t>
  </si>
  <si>
    <t>Joaquín de Fuentes y Ríos</t>
  </si>
  <si>
    <t>…o del egército i la primera sefial. Solo escasea el dinero algún tan Cádiz; D. Antonio González A cu irre, alcalde primíro de está ciudad; to para empeñarse en una larga guerra. • D. Joaquín de Fuentes y Ríos , doctoraL de la capilla Real de S- Ferr</t>
  </si>
  <si>
    <t>Riossa, Bened'Cto</t>
  </si>
  <si>
    <t>Bened'Cto Riossa</t>
  </si>
  <si>
    <t>…unirse al rede do — Victor Manuel. = Cáelos Alberto de Saboya = De San Mardor de la autoridad que actualmente gobierna. Sin esta reunión no zano. — Joaquín Cordero de Rob.urcnr.ee D. Bened'Cto Riossa*co te puede esperar ni tranquilidad pública, ni bien alguno; la anar de Noac. = Delachiesa de Roddi. = Francisco Amat. = Alejandro quía, y probablemente la invasión del extranjero , nos llenarían de Vallera. = Thaone Resel. =De San Marzo. erBrignol_-.ee Bul d…</t>
  </si>
  <si>
    <t>Rípa, Cristóbal María</t>
  </si>
  <si>
    <t>Cristóbal María Rípa</t>
  </si>
  <si>
    <t>…cilla. Alaejos D. Agustín Monge. Vezdemarban D. Juan. Manuel Sesión del 2. Coca. Se continuó la discusión pendiente del art. 90 del proyecto de Cons Provincia de Navarra. Pamplona D. Cristóbal María Rípa da titución, y el Sr. Correa de .Seabra opinó contra él, diciendo que lo ha jaureguizar; el Dr. D. Benito Díaz del Rio, suplente actual de la di llaba en contradicción con el art. 23 de las bases; que el poder egecu- putación de Navarra. Tudela El marques de…</t>
  </si>
  <si>
    <t>Riquer, Antonio</t>
  </si>
  <si>
    <t>Antonio Riquer</t>
  </si>
  <si>
    <t>…na dirigido «1 alférez de fragata graduado de según se previene en el párrafo 4.0 para los ae instrucción. la armada nacional, comandante de los guarda-cosras de es ta provincia, D. Antonio Riquer, describiendo el combate 18. También la darán de los progresos que hagan las luces y las instituciones actuales en sus provincias, lo cual que en desempeño de su comisión ha sostenido la polaera deberá ser el objeto de un oficio en cada uno de los pliegos, S.…</t>
  </si>
  <si>
    <t>Risa, Juan Bautista</t>
  </si>
  <si>
    <t>Juan Bautista Risa</t>
  </si>
  <si>
    <t>…reire y y D. Baltasar Fusrer , de Enguera—En Alicante el Excmo: Sr. Don Feigueiras, y suplentes los Sres. Miranda y Pinto Magalhaes; y el se- Cayetano Valdés; D, Rafael Bernabeu y D. Juan Bautista Risa ñbr ¡presidente levantó la sesión. En dijoña: D. Ascensión Campis, alcalde primero constitucional de Elche *, D. Josef Soler y Garrigos, id. de Gijona, y D. Pascual Juan NOTICIAS DE ESPAÑA. y Servent, vecino de Onili__En Denla: D. Joaquin Abargues, de Benisa;…</t>
  </si>
  <si>
    <t>Risueño, Cirios</t>
  </si>
  <si>
    <t>Cirios Risueño</t>
  </si>
  <si>
    <t>…ositores aspirantes á estas plazas han de comparecer en est3 corte dir fuera de ellos, á lo mas por dos años, con la mitad del sueldo, y ante el secretario de la junta escolástica D. Cirios Risueño por sí ó después se les empleará en los destinos de buques ó arsenales que les por medio de su apoderado á firmar la oposición que hayan de hacer, corresponda por alternativa, á que cuidarán concurrir puntualmente.” para lo cual se señalan 30 dias de término,…</t>
  </si>
  <si>
    <t>Risueño, Oírlos</t>
  </si>
  <si>
    <t>Oírlos Risueño</t>
  </si>
  <si>
    <t>…Todos los opositores á estas plazas comparecerán en esta corte ante tramar•, principalmente al comercio por mayor , como asimismo de el secrerjrio interino de la junta escolástica D. Oírlos Risueño, por sí la grande porción de empleados que seria indispensable mantener para ó por medio de apoderado á firmar .la oposición que hayan de hacer, impedir el contrabando, que forzosamente seria mayor. para lo cual se señalan 30 dias de término, que empezarán á…</t>
  </si>
  <si>
    <t>Riu, Josef</t>
  </si>
  <si>
    <t>Josef Riu</t>
  </si>
  <si>
    <t>…e las ocurrencias de 10 de Marzo de 18-0 Vich D. Lorenzo Puig y Líoser, sustituto de Cátedra de Cerrera. en Cádiz se pondrá de manifiesto á los defensores de ios reos en una Berga D. Josef Riu, labrador, hacendado de Castellar de Riu. Villa- sala proporcionada para que todos puedan oir bien su lectura , y hr.cer franca D. Pedro Batüe, abogado de dicha villa. D. Juan B&amp;nach, co en el diario ó extracto que se habrá entregado a cada uno las reformas,…</t>
  </si>
  <si>
    <t>Rivacobá, Joaquin</t>
  </si>
  <si>
    <t>Joaquin Rivacobá</t>
  </si>
  <si>
    <t>…ase que fuere, que haya Salvatierra, y daba noticia de la división que persigue á los facciosos dado apruebas positivas de aversión á la Constitución, á la independen al mando del brigadier D. Joaquin Rivacobá , compuesta de tropa y cia ó á ladibertad nacional, será suspendido de su destino; yen el caso milicias con qoo milicianos de -Guipúzcoa y varias partidas de pro de ser gefe en cualquiera de las carreras , en la de la milicia desde co vinciales, un piquete de…</t>
  </si>
  <si>
    <t>Rívarola</t>
  </si>
  <si>
    <t>…las violen mosúics sobre la formación del globo terráqueo. Honró á la asamblea tas revoluciones que han sufrido. Concluyó el sabio orador declarando con su presencia el Hrao. Sr. cardenal Rívarola , varios respetables pre que no presentándose otro camino por donde los hombres llegasen á lat lados y otras personas doctas. indicadas regiones, y no debiendo apartarnos de la senda marcada pot ¿_Eí jueves 9 de Agosto se juntó la misma academia, según cos la…</t>
  </si>
  <si>
    <t>Rivas, Francisco</t>
  </si>
  <si>
    <t>Francisco Rivas</t>
  </si>
  <si>
    <t>…cto. Se renueva como seguro el rumor de para la de Villena á D. Pablo Blanco Caballero : para la de Totana á Ja sublevación de los servios y búlgaros contra el Sultán; se afirmaba D. Francisco Rivas: para la de Lorca á D. Josef Joaquín de Eraso: ya la entera decisión de Teodoro , por haberse negado el divan á las para la de Segura de la Sierra á D. Josef Jorge del Molino; y para la propuestas que le remitió el Gobierno provisional de Valaquia: hallá de C…</t>
  </si>
  <si>
    <t>Rivas, Manoel López de</t>
  </si>
  <si>
    <t>Manoel López de Rivas</t>
  </si>
  <si>
    <t>…o asegura que en esta obra sé pre del escribano actuario D. Juan de la Peña Martínez , como puso sentar las bases fundamentales de la sociedad humana, y habilitado del propietario D. Manoel López de Rivas, se que es laque mas trabajo le costó de todas sus producciones. cita , llama y emplaza al Sr. D. Manuel de Vidaurre, mi De Saint-Pierre teníamos ya en castellano el Pablo y Virginia, nistro decano que se titula ser de la audiencia nacional del la .Cabaña ind…</t>
  </si>
  <si>
    <t>Rivas, Manuel López de</t>
  </si>
  <si>
    <t>Manuel López de Rivas</t>
  </si>
  <si>
    <t>…canos mas recónditos de la teología; y por cribano actuario D. Juan de la Peña Martínez, como habilita último, en la historia latina de Mariana campeó, según ex do del propietario D. Manuel López de Rivas, se ha acordado presión del moderno y sublime Gibbon, la elocuencia del celebrar junta general de los acreedores á los bienes , créditos- y mismo Tito Livio. efectos quedados por fallecimiento de D. Josef García Riofrio, Por desgracia estos Ingenios tan sobre…</t>
  </si>
  <si>
    <t>…tación. rizada del escribano cartulario D. Juan de la Peña Martínez, competen S-° En jd acto de la entrega de estos géneros al comprador, ó á temente habilitado por el propietario D. Manuel López de Rivas, yá aquel en quien recaiga la rifa, se pondrá en cada pieza un sello parti instancia de los síndicos representantes de los acreedores á la testamen cular que acredite su procedencia. taría de D- Juan de Andrade, vecino que fue de la villa de Aravaca, 6.° Dand…</t>
  </si>
  <si>
    <t>…s advertían que semejante documento no era nue~vo. D. Gregorio Tejas desdé Cabrerizos, con fecha 2 de Setiembre de juzgado del precitado Sr. D. Juan Gómez y Díaz, y escriba: ía de Don Manuel López de Rivas, deduciendo cualquiera acción de que se crean 1820, nos decía: » En la gaceta del Gobierno de 30 de Agosto se pu asistidas; en la inteligencia de que pasado dicho término sin haberlo blica la noticia de un manuscrito &amp;c.: me acuerdo haberle leído casi verific…</t>
  </si>
  <si>
    <t>Rivas, Víctor Xagandara y</t>
  </si>
  <si>
    <t>Víctor Xagandara y Rivas</t>
  </si>
  <si>
    <t>…ación tres solicitudes: y tienen en cierto modo sitiada aquella fortaleza.' - una de I&gt;. Vicente Lorenzo Martinete; otra de D. Francisco -y-Doña Alaria del Carmen Olave, y otra de D. Víctor Xagandara y Rivas so PORTUGAl. bre dispensa de edad para manejar sus bienes. Se mandó insertar en las actas el voto del Sr. Carrasco, contrario Lisboa 10 de Marzo. i lo dispuesto por las Cortes acerca de ser suficiente el examen para incorporarse en las universidades. •! Co»tb…</t>
  </si>
  <si>
    <t>Rivera, Autonio Damiely</t>
  </si>
  <si>
    <t>Autonio Damiely Rivera</t>
  </si>
  <si>
    <t>…onde, ni en qué tiempo el tí tulo primordial de egresión de la corona del oficio de tesorero general VARIEDADES. del derecho de la media anata de mercedes, que poseyó en propiedad D. Autonio Damiely Rivera, y hoy pertenece á sus herederos fá los Concluye el artículo sobre la Opinión pública. que únicamente interesa), se suplica al que tenga ó sepa donde exis Hemos dicho que en los Gobiernos liberales, lejos de ser la opinión te dicho título se sirva entregarlo…</t>
  </si>
  <si>
    <t>Rivero</t>
  </si>
  <si>
    <t>…para la de Tabernas á D. Melchor Cortés Llamas; paro la María Moneva y Benito, natural de esta corte, muger de Pedro de Almería á D. Manuel Perez de los Ríos; para la de Gergar á Don Rivero, oficial de carpintero, se fugó del lado de su marido en el año Aligue! Antonio Company; para la de Fiñana á D. Manuel Vicente de 181 2, y en el de 13 pasó á Francia en compañía de un herrador dé Morent; para la de Ugijar á D. Josef Martínez Bustamante; paro…</t>
  </si>
  <si>
    <t>Rives, Patricio Martin del Tejar y</t>
  </si>
  <si>
    <t>Patricio Martin del Tejar y Rives</t>
  </si>
  <si>
    <t>…firmanes que se expiden continuamente á las escalas, re roz, abogado y hacendado de Yébenes de Toledo. comendando á las autoridades se abstengan de su acostumbrada arbi Suplentes. D. Patricio Martin del Tejar y Rives, ahogado y ha trariedad, y obren con moderación; y las exhortaciones dirigidas á los cendado de Poyales del Hoyo. D. Clemente Sigüenza, capitán de la griegos, inclinándolos á la sumisión, y ofreciéndoles amnistía plena. milicia activa, y hacendado de Talayera…</t>
  </si>
  <si>
    <t>Rizo, Glara del</t>
  </si>
  <si>
    <t>Glara del Rizo</t>
  </si>
  <si>
    <t>…o y á las diversiones, tonio de la Lada Fernandez y Setura.__Idem en la vega de Revilia, un pues el trabajo no se hizo para los Reyes.” carro y cuarto de tierra , coa 90 pies , de Doña Glara del Rizo , y prado Los Monarcas que oyeron esto , y no eran Federicos ni Henri- de D. Manuel de la Muela__Idem en la vega del Palacio, carro y me ques iv, se dejaron alucinar; y prestando su nombre sagrado para sellar dio de tierra poblado de viña, linda herederos con…</t>
  </si>
  <si>
    <t>Rludavech, Francisco</t>
  </si>
  <si>
    <t>Francisco Rludavech</t>
  </si>
  <si>
    <t>…ino y'fruta..__A las tres de la tarde de ayer llegó A este muelle la lan- En artículo de Francfort se anuncia que el egército ruso ha tenido orclia dél jabeque S. Buenaventura, su capitán D. Francisco Rludavech, den de avanzar, y que se hablaba ya de uta manifiesto de la Rusia acer procedente de Manon , en lastre, y fletado para Sevilla , habiendo esta ca de los motivos de su conducta. También afirman la fuga del emba do en Cartagena á dejar unos pasageros, de donde…</t>
  </si>
  <si>
    <t>Ro</t>
  </si>
  <si>
    <t>…ecisa do, Moscoso , Marte!, Arrieta y Quintana- . V :. mente habían sido separados; por lo que creía que algunos enemigos En seguida seleyeron.por primera.XezCdosátidicaoioues del.Sr. Ro del orden habían conspirado para ultrajar á seis hombres, que aunque mero Alpuehte y otros Sres. diputados; .la una para' que,i no: „se adíese hubieran cometido errores, era bien público se habian sacrificado por preferencia:á_la antigüedad en la provisión de…</t>
  </si>
  <si>
    <t>…sion.se consideró por primera lectura la molestar la atención de las Cortes el quererse extender sobre este punto: proposición , que en clase de adición, á la medida sexta hizo el Sr. Ro la autoridad civil puede por sí sola obrar en este particular; pero nun mero Alpuente, concebida en estos términos: » Declárese que para ob ca debe oponerse á que sea de acuerdo con la eclesiástica. El número tener algún empleo sea civil, sea eclesiástico, es…</t>
  </si>
  <si>
    <t>…de re también su dictamen sobre ella; y que las listes para la elección de ju gulares. rados debían contener 48 sugetos. A la de Infracciones de Constitución se pasó una queja de D. Ro Después preguntó el Sr. pres dente: -&gt; ¡Si el reo tendría derecho de que Remisa , vecino de Sepúlveda, en la provincia de Segovia , contra recusar hasta 20 de los 48!” y sí declaró que sí. el juez de primera instancia de aquel partido. Se acordó que el primer jurado…</t>
  </si>
  <si>
    <t>…r Inultas á los ayuntamientos, á fin de hacerlos ellas; que la comisión habiendo meditado este asunto, habia encontra mas puntuales en el desempeño de sus obligaciones ¡ y otra de D. Ro do la cuota muy proporcionada, y creia que las Cortes no podian me drigo Fuentes y otros individuos de la casa de S. Marcos de León, so nos de aprobarla. licitando se íes indemnice de tos gastos que hicieron para entrar en di El Sr. Torre Mariu hizo varias re…</t>
  </si>
  <si>
    <t>…olución que pocos días hacia habían tomado no dijo que tenia el hilo de la trama que se urdía para arruinar el sí*, fas Cortes sobre una proposición de igual naturaleza que la del Sr. Ro tema , no avanzó ninguna proposición arriesgada: fácil seria hacer ver mero Alpuente. á ias Cortes cuánto se trabaja dentro y fuera de España sobre esto. El Sr. Eanqueri manifestó que bastaba que hablasen tres Sres. dipu- - Cuando la comisión habla acerca de…</t>
  </si>
  <si>
    <t>Ro, Ignacio</t>
  </si>
  <si>
    <t>Ignacio Ro</t>
  </si>
  <si>
    <t>…e D. Josef Medina, alcalde constitucional de Tresjuncos , que Se tuvo por primera lectura, y se mandó imprimir el dictamen de jándose de la infracción de Constitución cometida por D. Ignacio Ro la comisión Eclesiástica. ' dríguez de Fon seca, Gefe político de la provincia de Cuenca, en las Ss continuó ia discusión sobre el flan general de Hacienda. elecciones de ayuntamiento del expresado lugar. El Sr. Moscoso pidió que se leyesen las cuatro bases a…</t>
  </si>
  <si>
    <t>Ro, Juan</t>
  </si>
  <si>
    <t>Juan Ro</t>
  </si>
  <si>
    <t>…de un egército que se En consideración á que los Sres. brigadier D. Ramón aprehendan heridos ó enfermos en los hospitales ó fuera de Correa , gefe superior, político de Venezuela; D. Juan Ro ellos , no serán prisioneros de guerra, y tendrán libertad dríguez Toro, alcaide primero constitucional de Caracas, para restituirse á las banderas á que pertenezcan luego que y D. Francisco González de Linares, mis comisionados se hayan restablecido* Interes…</t>
  </si>
  <si>
    <t>Ro, Juan Félix</t>
  </si>
  <si>
    <t>Juan Félix Ro</t>
  </si>
  <si>
    <t>…dico: otra de D. Ramón Pedrosa, ahora están agregadas. bachiller en leyes, para que se le habiliten los años de práctica que tu ' El de ia de Hacienda , relativo á la solicitud de D. Juan Félix Ro vo antes de recibir aquel grado : otra de D. Anastasia Cammañ, soli driguez , en la que manifestando lo mucho que habia sufrido por su citando dispensa de edad para recibirse de médico: otra de D. Pedro ffdh.sion al sistema constitucional, pedia se le proporc…</t>
  </si>
  <si>
    <t>Ro, Manuel</t>
  </si>
  <si>
    <t>Manuel Ro</t>
  </si>
  <si>
    <t>…tad Dáóiz y Velarde. A las 9 de 1¿ mañana ' s¿„dirigió á AUSTRIA.' ia iglesia parroquial, acompañado de los' milicianos nacho,ijales'que pu dieron armarse, mandados por su capitán comandante D. Manuel Ro ■' Trieste ‘21 de Abril. ' mero, y se cantó en ella liria soleóme misa de retiü:em',‘í. la.que asis S! se ha .de dar crédito á los patrones de algunos buques que llegan tieron el limó, y patriota- obispo de esta diócesique!se hallaba de vi ■¿ nuestro puerto ,…</t>
  </si>
  <si>
    <t>…ara e¡ de Palmas a D. Juan Rodríguez Botas; para el de Tclde un león dorado de 10 pulgadas de iargo y altura correspondiente, el á D. Gregorio Joscf Gaicía Laia; para eí de Guia á D. Manuel Ro que estará colocado sobre un pedestal , sostenido por una bomba, que bledo y Aivarez; para el de Laguna á D.. Josef Antonio Morales ; pa apoyará en un zócalo proporcionado, todo en la forma que manifiesta ra el de Ürotava á D. Juan Ferrera y Machado; para el…</t>
  </si>
  <si>
    <t>Ro, Miguel</t>
  </si>
  <si>
    <t>Miguel Ro</t>
  </si>
  <si>
    <t>…prisioneros, y aseguraban que la caba nes dé regulares. i' llería enemiga había hecho grande estrago en los nuestros. Estas voces, A la: de Guerra se mandó pasar una solicitud de D. Miguel Ro el-mal egempio,lis pérfidas insinuaciones, propagaron el abandono y dríguez , sobre que se le declare benemérito de la patria, en premio de la deserción en todo el cuerpo del egército. sus servicios patrióticos. ■ „L?os dias estuvo el enemigo sin saber tal ac…</t>
  </si>
  <si>
    <t>Ro, Ramón</t>
  </si>
  <si>
    <t>Ramón Ro</t>
  </si>
  <si>
    <t>…rtes recibieron con agrado, y mandaron pasar á la comisión añade quedos vencedores marchaban hacia Guayaquil,, prometiéndose de Instrucción pública, una carta polémica escrita por D. Ramón Ro con fundamento el buen éxito. San Martin quedaba en. su posición de dríguez , en contestación á un artículo del redactor del diario de Cien Guacho, sin. novedad particular. : cias médicas de Paris, por ser injurioso á ja ilustración española, y Ha .entrado en…</t>
  </si>
  <si>
    <t>Ro-, Carlos María</t>
  </si>
  <si>
    <t>Carlos María Ro-</t>
  </si>
  <si>
    <t>…lado este asunto. Las Cortes tuvieron á bien pasar estas Duqúrde Cassano. gro. - exposiciones á la comisión de Comercio , y en el expediente que se for Duque de Luscianó. Monseñor D. Carlos María Ro- mó no consta que el secretario del Despacho de Estado pasase al da Marqués de Pietracatella. sini. Hacienda las ordenanzas sobre los derechos y obligaciones de estos em Marques dé S. Eramó. El abate D. Domingo Sarno. pleados en los puertos extrangeros para el…</t>
  </si>
  <si>
    <t>Robbione, Caissotti de</t>
  </si>
  <si>
    <t>Caissotti de Robbione</t>
  </si>
  <si>
    <t>…iento. = Rubricado del cardenal Morozzo , el senador Garau , el duque de Valle-Ombró- de la Real mano.crPalacio 29 de Marzo de i8n'~A D. Tomas Atosa , el caballero Chevillard , el conde Caissotti de Robbione , el abó- reno y Daoiz.” ' ^ ado Spirito Migliore, de D. Selvi Nigra, banquero, y de D.'Josef . ' , La ¡unta - general de accionistas del Banco nacional de S. Carlos, f"ravega, idem.. Eos acontecimientos del Piamonte han causado la mayorsatisfac- celebrada en…</t>
  </si>
  <si>
    <t>Robello</t>
  </si>
  <si>
    <t>…que debían componerse; y habiéndose empezado por la nal , y modo de formarla. de Seguridad pública, se advirtió que esto pertenecía al po Se pasó á tratar de las comisiones, y el Sr. Robello der egecutivo: se leyó otra vez la proposición, y el señor propuso, y fue adoptada su proposición por la mayoría, que Pereira do Carmo se opuso enérgicamente á sus atribucio la comisión que debía presentar las listas de las otras comi nes , diciendo entre otr…</t>
  </si>
  <si>
    <t>…y El fiscal de la corona respondió á las invectivas de Bur después de algunas otras modificaciones fue aprobada ; y dett con bastante moderación; yen seguida tomó Ja pala pasó el Sr. Robello á decir al Gobierno que podia disponer bra Mr. Tierney, el cual pronunció un largo discurso , que la salida del correo. jándose de la conducta de los ministros respecto de la Rei El Sr. presidente dijo, que debía continuarse la discu na ; pero protestando que…</t>
  </si>
  <si>
    <t>Robert</t>
  </si>
  <si>
    <t>…quedan los señorío* francés, su capitán Saint Martin, quien pereció con su criado; una territoriales á favor de los llamados señores, los pueblos tienen que bombarda francesa, su capitán Robert; un bergantín español, su capi seguir pagando como hasta aquí, y 1© mismo les sucede si los señoríos tán Femericas; una polacra española, capitán Vinent; un bergantín quedan a favor de la Nación; por consiguiente á los pueblos no les ruso, su capitán Agustín…</t>
  </si>
  <si>
    <t>Robertson</t>
  </si>
  <si>
    <t>i #5 a público'de Madrid et Sr. Robertson, sugeto bien ¿onocido por los mu Cook marche au fond des mers; chos experimentos que ha hecho en este ramo. Montgolfier volé aux cicux; En la gaceta del i a de Junio anunciamos una obrita en francés in Ouvrez moi les enfers, titulada la Minerva ó buque aireo,…</t>
  </si>
  <si>
    <t>…pronto : Montgolfier y compañía vie Continuaremos pues compendiosamente las noticias aerostáticas ron que esto ya era mas de lo que ellos esperaban (1). hasta llegar á la obra del Sr. Robertson y al nuevo descubrimiento de Entre tanto los ingleses estaban en inacción; pero la academia de las la dirección de globos-, pero no haremos mas que picar, porque la his Ciencias hizo saber al Rey que la invención de los globos no atraía toria seria larga. uti…</t>
  </si>
  <si>
    <t>Robira</t>
  </si>
  <si>
    <t>…n distinción de clase. Habrá ros sin licencia del Gobierno. igualmente el local necesario para los taquígrafos. A las Eclesiástica y de Legislación se pasó una consulta del con El Sr. Robira presentó una indicación, en que decia que no se desejo dé Estado sobre la incompatibilidad de la existencia de una junta bia impedir á las mugeres asistir á las sesiones de Cortes, teniendo la apostólica con el sistema constitucional. debida separación de los…</t>
  </si>
  <si>
    <t>Robirat, Mariano</t>
  </si>
  <si>
    <t>Mariano Robirat</t>
  </si>
  <si>
    <t>hecha la división del distrito señalado á cada compañía y cuerpo, se hurio de Cortas; D. Mariano Robirat, abogado; D. Josef Bages Oliva, yan dado los reemplazos correspondientes por las diputaciones pro abogado; D. Ramón Butano , escribano y hacendado. Suplentes. Don vinciales. * Bartolomé de Amat, coronel de ingenieros ; D. Bernardo de Borjas y 7.’ Las planas m…</t>
  </si>
  <si>
    <t>Robles, Francisco Martínez de</t>
  </si>
  <si>
    <t>Francisco Martínez de Robles</t>
  </si>
  <si>
    <t>…orcione educación á sus hijos en un colegio. Las Corles recibieron con agrado, y mandaron pasar á la comisión CORTES. de Agricultura, cuatro ejemplares de la memoria compuesta por Don Francisco Martínez de Robles, miliciano voluntarlo de caballería, y PRESIDENCIA DEt SEÑOR CANO ‘ MANtTEt. catedrático de agricultura de Toledo; y por Pablo Antonio López, la brador de la misma, sobre los montes de aquella ciudad. Sesión del dia ig de Marzo. El Sr. diputado Díaz Morales p…</t>
  </si>
  <si>
    <t>Robles, Juan Torrecilla de</t>
  </si>
  <si>
    <t>Juan Torrecilla de Robles</t>
  </si>
  <si>
    <t>…ana, número ao, El Sr. Oliver dijo que debía pagarse 2 por too el primer año, y cuarto principal. uno en el segundo. El Sr. Sancho dijo que el artículo estaba concebido con una am Don Juan Torrecilla de Robles , abogado de los tribunales nacionales, bigüedad que debía aclararse, y por lo mismo opinaba se dijese á con juez de primera instancia de esta villa de Velez-Rubio y demas de ríe tinuación de modo que en los dos años se pagará 3 por zoo. partido (re. El Sr. G…</t>
  </si>
  <si>
    <t>Robles, Miguel de</t>
  </si>
  <si>
    <t>Miguel de Robles</t>
  </si>
  <si>
    <t>…, núm. 171. D.Luis Gargollo , calle del Calvario , núm. 134. Don Bíblica, á quienes los turcos han respetado por miramientos á lord Stran- Josef Veamurguia, calle Ancha, núm. igi. D. Miguel de Robles, ford, lian auxiliado en cuanto les ha sido posible á los ' eclesiásticos calle del Sacramento, núm. 223. D. Diego Gaitía, extramuros. Cá griegos. diz 16 de Octubre de 1821. = Jaureguí. Las últimas cartas de Rusia no indican con certeza el resultado de Idem 2…</t>
  </si>
  <si>
    <t>Robles, Vicente Lago</t>
  </si>
  <si>
    <t>Vicente Lago Robles</t>
  </si>
  <si>
    <t>…rrado el Gobierno, haciendo por su Aipuente: para la de Extremadura á D. Vicente Esteve: para la de parte lo posible para desembarazar el terreno de los estorbos que impi Aragón á D. Vicente Lago Robles : para la de Valencia á D. Vicen den qne la estatua del bien público , levantada por el Congreso , pue te Fuster: para la de Cataluña á D. Josef Víctor Oñaie, D. Felipe da ser vista en tod3 su pureza , sin que haya entre ella y el espectador Martin Igual y D.…</t>
  </si>
  <si>
    <t>Roca, Jo.sefAfalls de</t>
  </si>
  <si>
    <t>Jo.sefAfalls de Roca</t>
  </si>
  <si>
    <t>…e los informes.del procurador nuestro* guerreros, se.ser,viran acudir á la casa del comisario regidor .?y?djc&lt;&gt;-y.del alcalde,constitucional, de aquella'-villa. de esta M. H-villa D. Jo.sefAfalls de Roca, maestro zapatero, que vi ... -¡El.deJa' misma- sobre, quechi .Gobierno, remita todos I05; anteceden ve calle de,,1a Cruz, innvediató a!;coliseo, con la cantidad que;.tenga# tes del expediente proinovidppor D. Antonio Barcia, vecino de,Cór.r por conveniente.…</t>
  </si>
  <si>
    <t>Roca, Joaquín</t>
  </si>
  <si>
    <t>Joaquín Roca</t>
  </si>
  <si>
    <t>…révato, D. Josef esta señalado el dia 24 del presente. Aguilar, D. Santiago Irazabal, D. Josef Donesteve, Don Una casa en el arco de la Compañía de la ciudad de Baltasar Salomón y D. Joaquín Roca; y con la de 6 del Logroño, en 2,200 rs. mismo Febrero á D. Eusebio Salcedo, D. Fernando Freire, Un corral existente en el término nombrado PeñalogroD. Antonio Garnica , D. Bedro Talens, D. Josef Varona, ño, con solo las cuatro paredes de piedra y su puerta v…</t>
  </si>
  <si>
    <t>Roca, Josef</t>
  </si>
  <si>
    <t>Josef Roca</t>
  </si>
  <si>
    <t>…s, eñ 6697 rs; y 9 mrs. D. Pascual Añquiz, dicha calle dé victorio y con la de D. Mateo Lope? , en 8795 rs. kúmero. 13. Otra en la plazuela de Cevallos, núm. 17, linda coñ otra de D. Josef Roca y de D. Gerónimo Gómez, en En la provincia de Guadalajara procedentes de secu si,869 rs. larizaciones , cuyo primer remate- debe verificarse en Un trozó de tierra riego moreral, en el partido del mo la ciudad de Sigiienza el dia 14 del presente mes de lino de…</t>
  </si>
  <si>
    <t>Roca, Miguel Bonanza y</t>
  </si>
  <si>
    <t>Miguel Bonanza y Roca</t>
  </si>
  <si>
    <t>…l método que refiere- á tres coordinadas triangulares ;a Be.mudez , D. Vicente Sobrino de la Peña, D. Antonio posición de un punto cualquiera del espacio. Mr. Mouge Lobé y Rabina, D. Miguel Bonanza y Roca, D. Juan sacó de este principio el fundamento de una doctrina nue León; y Valdivieso, D. Tadeo Aguilera y Contreras , Don va y completa, indispensable en todas las arres de construc Josef Iribarron y Ortuño, D. Serapio Aguas y-Muñera'de ción, y á la que ha da…</t>
  </si>
  <si>
    <t>Roca-Tallada, Gerónimo</t>
  </si>
  <si>
    <t>Gerónimo Roca-Tallada</t>
  </si>
  <si>
    <t>…es, las fincas que no tonio Tuque, en Muesca D. Francisco Domenech, en Ibiza D. Ma lo estuvieren, cuyo arrendamiento no tendrá validación sinla compe riano Ramón de Arabi, en Jaca D. Gerónimo Roca-Tallada, en Jaén tente aprobación de la junta. D. Sebastian Vicente .García, en león el marques de Monte-Virgen, 1:2. Si existiesen algunas fincas que por $u mal estado y deterioro en Lérida D. Ramón Hostalrich, en Lugo D. Josef Jesús Varela, en no sean arrendables n…</t>
  </si>
  <si>
    <t>Rock</t>
  </si>
  <si>
    <t>…linas de premio al que prenVlsr.a ig de Octubre. ' da á los Sacrilegos. E! Observador austríaco.publica las últimas noticias de Zante del Se ha presentado en la escena el teniente general Rock, magistrado 31 de Setiembre, y entre otrzs cosas dice lo siguiente: .. de los caminos Reales,y cazador en gefe de las montañas: tales son los „ La escuadra- otomana , después que .reunida con la del bajá de Egip pomposos títulos con que so condecora este suge…</t>
  </si>
  <si>
    <t>Rodas, Diego</t>
  </si>
  <si>
    <t>Diego Rodas</t>
  </si>
  <si>
    <t>…forme á los artículos antecedentes. visión de partidos de aquella provincia, ó los antiguos: una exposi ■ 7.-0 Ei Gobierno procederá á establecer en las poblaciones dé Sierción de D. Diego Rodas, para que se le dispensen ocho meses de prác ramoreria un gefe político subalterno al de la provincia de Jaén , á que tica que le faltan para recibirse de médico: otra de D. Ramón Pedrosa, ahora están agregadas. bachiller en leyes, para que se le habiliten lo…</t>
  </si>
  <si>
    <t>Rodofi-</t>
  </si>
  <si>
    <t>…mayor sd m-uisterio sobre el molo de sustanc ar los sumarios de los reos, cu ó menor. yos capitanes sirviesen el empico de ayudantes. Daba mucho que ha'Jar en Viena la llegada del caballero Rodofi- ,• Las Cortes quedaron enteradas • y acordaron que se repartiesen los nikin á aquella capital: este sugeto, griego de origen , y ai servicio de ‘ egempiares. Rusia , es el mismo que fue enviado por aquel gabinete á los servios A las comisiones de Hacienda y G…</t>
  </si>
  <si>
    <t>Rodon, Antonio</t>
  </si>
  <si>
    <t>Antonio Rodon</t>
  </si>
  <si>
    <t>…n U NOTICIAS DE EiSPAÑA. que manifiestan sus sentimientos patrióticos y pura adhesión al régi men constitucional. Cádiz go de ISloviembre,. . .. Se dió cuenta de.una exposición de D. Antonio Rodon,. vecino Se has sepultado en el cementerio dé esta ciudad los cadáveres si de Tarrasa , á ia qué. acompañaba varias observaciones sobre el códi guientes; ' go penal. Día 27 hombres 3: mugeres 1 : niños i: niñas o.Total 5.. Las Cortes la recibieron.con aprecio…</t>
  </si>
  <si>
    <t>Rodrí, Blas</t>
  </si>
  <si>
    <t>Blas Rodrí</t>
  </si>
  <si>
    <t>…200 hombres, de los cuales 30 heridos, y herido él mismo en Después de haberse leido todo el proyecto, el ¡Sr. .Marte!, como in el pecho y el hombro, igualmente que los capitanes D. Blas Rodrí dividuo de la comisión, dijo: Las Cortes nombraron en la legislatura guez Ojeda, D. Ramón Aponte , y los tenientes D. Manuel Iglesias, del año pacido una comisión para el objeto de proponer un plan de be D. Francisco Vallejos y D. Hilarión lleras, no pudo ni…</t>
  </si>
  <si>
    <t>Rodrí, Francisco</t>
  </si>
  <si>
    <t>Francisco Rodrí</t>
  </si>
  <si>
    <t>…y sustituto del derecho natural y de gentes en el colegio de con la dotación de 69 rs., para que auxilie al secretario en el desem Francia: traducidos al español por el ciudadano D. Francisco Rodrí peño de su encargo. Art. 8.° Habrá también un portero con la dota guez de Ledesma, ex-diputado de las primeras Cortes ordinarias, y di ción do 300 ducados, que practicará personalmente las diligencias pre putado en las actuales. Esta obra, que consta de dos t…</t>
  </si>
  <si>
    <t>Rodrí, María de Loreto</t>
  </si>
  <si>
    <t>María de Loreto Rodrí</t>
  </si>
  <si>
    <t>…ecirhiehtos pueden ser tales, qiietodo el continente D. Diego Fiérralas.' chica. sufra nuevas desdichas,,y qué la huniímídad resienta los efectos de la D. Domingo Hilario Ibaceta, Doña María de Loreto Rodrí ambición , ó los de la injusticia contra un pueblo que reclama lo que vecino de Bilbao. guez. todos han reclamado en diferentes épocas, y tarde ó temprano han D. Francisco Fernandez Suarez. Doña María Asunción Sexma. conseguido. D. Francisco Antonio Briagas.…</t>
  </si>
  <si>
    <t>Rodrigo</t>
  </si>
  <si>
    <t>…o siguiente: pues desde -el-añó de 1671, que percibió los últimos réditos-Doña Ca » Exento.’Señor: Ayer entró en este puerto, procedente de Puerto- talina Gordo y Galino, viuda de D. Rodrigo de la Vega Acuña y Cabello, la goleta española Ntra. Sra. del Carmen-, su capitán Don Mendoza j nadie ha comparecido &gt; se ha mandado por el expresado se Manuel Orta; de donde salió con otros 17 buques con destino á leís ñor juez en 20 r1,: corriente que se ci…</t>
  </si>
  <si>
    <t>Rodrigo, Antonio</t>
  </si>
  <si>
    <t>Antonio Rodrigo</t>
  </si>
  <si>
    <t>CORTES. A la de Infracciones de Constitución se ntando pasar una exposi ción de D. Antonio Rodrigo, alcalde constitucional de Chinchón, ' PRESIDENCIA DEL SERgR CUESTA. -------- contra el síndico del ayuntamiento constitucional del mismo lugar, por haber infringido varios artículos de la Constitución. Sesión del xp. Se leyó y aprobó el acta de la anterior.…</t>
  </si>
  <si>
    <t>Rodrigo, Bernardo</t>
  </si>
  <si>
    <t>Bernardo Rodrigo</t>
  </si>
  <si>
    <t>…... D. Valero Javierre.zz D. Alejandro Lera.— D. Agustín de Gracia. = Art. 122. m Los oficiales de cargo de artillería de los buques serán D. Carlos Serrano, zz D. Pedro Garcés. z=D. Bernardo Rodrigo.=Don nombrados de entre aquellos del grado que pida el reglamento mas ap Mariano Siles. zz D. Miguel Juanton. — D. Josef Collados. = Sr. ba tos para desempeñar estos destinos; y en consideración á la importan rón de Torrefiel. z=D. josef Paniagua. zz D. Josef…</t>
  </si>
  <si>
    <t>Rodrigo, Juan Francisco</t>
  </si>
  <si>
    <t>Juan Francisco Rodrigo</t>
  </si>
  <si>
    <t>…Barrameda. Delgado,D. Francisco Hernández Montañer,D. Isidro Blanco, Don Dia 14............. 3" •••♦ ••••••• z. .♦»*. .... .. 0.... ....... 6..... Isidro Merino, D. Josef Sánchez, D. Juan Francisco Rodrigo, D. I ov Día 15............. ....... 1..... ....... O.............. .. O.,.. ...... 7-- renzo Arias, D.'Mamerto Landaburu , D. Manuel Cavero y Garay Dia io..t........ ....... 0....... ....... O...... ....... 1...» ........ 6........ D. Manuel García de la Mad…</t>
  </si>
  <si>
    <t>Rodrigo, Juan Matías</t>
  </si>
  <si>
    <t>Juan Matías Rodrigo</t>
  </si>
  <si>
    <t>…on aprobados la mayor parte de los artículos, A la comisión de Política se mandaron pasar las exposiciones de y se volvieron otros á la comisión con la nota de no haber lugar á vo D. Juan Matías Rodrigo, apoderado del cuerpo de obreros y distintos tar ,y vuelvan tí la comisión, con varias adiciones de algunos señores sugetos de Chiclana , y de D. Josef Miguel Martínez , vecino de Sun- diputados á los artículos aprobados; por lo que presentaba á la deli lucar…</t>
  </si>
  <si>
    <t>Rodrigo, Manuel</t>
  </si>
  <si>
    <t>Manuel Rodrigo</t>
  </si>
  <si>
    <t>…omunes del territorio. Molina á D. Francisco Antonio Vergara: para Sigíienza á D. Juan Art. 55. m El estado del repartimiento hecho con la diputación •Roza Ridozes: para Atienza á D. Manuel Rodrigo: para Brihuega á ■de partido se reunirá inmediatamente por el subdelegado al intendente.” D. Josef Pío Mourelo: para Cifuentes á D. Damian Alcocer: para Se aprobó el art. 56 , concebido en estos términos: Cogolludo á D. Rodrigo Castaf.on : para Pastrana á D.…</t>
  </si>
  <si>
    <t>Rodrigo, Miguel Antonio</t>
  </si>
  <si>
    <t>Miguel Antonio Rodrigo</t>
  </si>
  <si>
    <t>…estado actual de Jas pro tasar de Aguirre: en la de Valencia á D. Josef de Cartagena, D. Dal- vincias de que son representantes, y medios convenientes para su de inacio Alpuente y D. Miguel Antonio Rodrigo: en la de Cataluña á finitiva pacificación, con una noticia de los trámites que la precedieron D. Jacobo Villaurrutia y D. Antonio González Rodríguez: en ia de y motivaron. Véndese á 2 rs. en la librería de Hurtado. Mallorca á D. Manuel de Lizana: en la de Ga…</t>
  </si>
  <si>
    <t>Rodrigue, María Concepción</t>
  </si>
  <si>
    <t>María Concepción Rodrigue</t>
  </si>
  <si>
    <t>…tres años ser prisioneros , como mientras hayan permanecido en clase de tales. de edad que le faltan para poder administrar sus bienes sin necesidad de Aprobado. tutor; y otra de Doña María Concepción Rodrigue* para que se haga igual Art. jó. ,, Siempre que se haya de proveer una vacante por elec dispensa á su hija política del tiempo que ¡a taita para poder adminis ción se formará la propuesta por terna. Aprobado. trar sus bienes. Las Cortes mandaron repartir á lo…</t>
  </si>
  <si>
    <t>Rodríguez</t>
  </si>
  <si>
    <t>…os. PRESIDENCIA. DEi SEftOR CIEMENCIN. Habiéndose declarado el punto por suficientemente discutido, se ‘ aprobó el dictamen. Sesión del 6 de Diciembre. Se leyó una proposición del Sr. Rodríguez ( D. Josef) para que se Se leyó y aprobó el acta de la anterior. declarasen por ahora libres de derechos de entrada todos los instrumentos ' A ia comisión de Guerra se mandó pasar una exposición del ins de máquinas para el estudio y fomento de las ciencias ma…</t>
  </si>
  <si>
    <t>…s, termómetros y otros, que tal vez se hacen mejores que en los paí causado ; pero que sin'embargo no dejarían de aplicar todos sus talen ses extmngeros; lo que acaso no sabría el Sr. Rodríguez por haber es tos para aclarar-una materia tan importante en utilidad no solamente tado cuatro ó cinco años fuera de la Península. del Gobierno que los ha enviado , .sí que igualmente en beneficio de El Sr. Alaman dijo que no se podia negar que los españoles e…</t>
  </si>
  <si>
    <t>Rodríguez, Agustín</t>
  </si>
  <si>
    <t>Agustín Rodríguez</t>
  </si>
  <si>
    <t>…cación, en la cual se ensena con acier lla ciudad por no habérseles satisfecho unos sueldos muy atrasados; otra to á un sinnúmero de hombres ya adultos y de edad avanzada , que de D. Agustín Rodríguez, teniente retirado , exponiendo los méritos ahora mismo no conocen sus propios intereses, é ignoran lo que les ad que tiene contraidos para que se le recomendase al Gobierno, y otra quiere el glorioso título de ciudadanos, al paso que en este instante de D. M…</t>
  </si>
  <si>
    <t>Rodríguez, Alejandro</t>
  </si>
  <si>
    <t>Alejandro Rodríguez</t>
  </si>
  <si>
    <t>…en 4. : á 5-Ven papel, y 11 en pasta. Los rligeros que quisiesen viajar en dicho coche acudi = Alerliini Pldlaretae , epislolae de V. Joanne. Palafoxio, 3 to* rán á ¡a librería de D. Alejandro Rodríguez , calle de Car mos en 4 ": á 27 en papei, y 30 en rústica. * MADRID EN LA IMPRENTA NACIONAL.</t>
  </si>
  <si>
    <t>Rodríguez, Alonso</t>
  </si>
  <si>
    <t>Alonso Rodríguez</t>
  </si>
  <si>
    <t>…os pretendientes que aspiraren á su obtención dirigirán sus memoriales de prado, de Paldenabes , en venta 330 rs. , y en renta 3 copines..;__ al propio ayuntamiento por mano de su secretario D. Alonso Rodríguez, La tierra nombrada Riega las Sebes, de ¡dia y medio de bueyes largo, Habiéndose advertido que el curso de política constitucional , que en venta 0.64 rs., y en renta 2 copines—Medio dia de bueyes, poco el Gobierno ha mandado se dé por texto en las universida…</t>
  </si>
  <si>
    <t>Rodríguez, Andrés</t>
  </si>
  <si>
    <t>Andrés Rodríguez</t>
  </si>
  <si>
    <t>…r regimiento de guardias de infantería: y la sargentía mayor déla á aquellas personas que podían perjudicarles ó favorecerles en Constanplaza de Denia al teniente coronel retirado D. Andrés Rodríguez. tinopla. Ademas de Jas quejas que generalmente se daban contra ellos, Amonedación de los metales preciosos en España á coste y costas. tenían que luchar contra otros griegos , que a cada instante asaltaban la Las casas nacionales de moneda de España, con arr…</t>
  </si>
  <si>
    <t>Rodríguez, Antonio</t>
  </si>
  <si>
    <t>Antonio Rodríguez</t>
  </si>
  <si>
    <t>…sión se mandaron unir al expediente A la misma comisión de Hacienda se pasó una solicitud del pres las siguientes indicaciones: del Sr. Priego : ,,No habiendo procedido las bítero D. Antonio Rodríguez, dirigida por el Crédito público, en la diputaciones provinciales al repartimiento de propios, y retardándose uno cual pretende se le devuelva la tercera parte que le corresponde de un de ¡os mas interesantes decretos de las Coites, pido se diga al Gobier mol…</t>
  </si>
  <si>
    <t>Rodríguez, Buenaventura</t>
  </si>
  <si>
    <t>Buenaventura Rodríguez</t>
  </si>
  <si>
    <t>…licianos; bamos de saber quienes son Jos electores partidos. La lista impresa es pero no pudieron lograrlo, pues el valor de estos los hizo retirarse al como sigue: Alba de Tormes D. Buenaventura Rodríguez, cura párroco grueso que tenían á su espalda. La noche puso fin á tan desigual com de S. Pedro de Alba. Barco d: Avila D. Juan Ulloa, cura párroco de bate, retirándose los salteadores; en cuya persecución siguieron todos la Horcajada. BéjarD. Josef Miranda, a…</t>
  </si>
  <si>
    <t>Rodríguez, Gregorio</t>
  </si>
  <si>
    <t>Gregorio Rodríguez</t>
  </si>
  <si>
    <t>…ia' para que su corto sueldo; por lo que suplicaba se les concediese una pen el Congreso » cuanto el comandante de las expresadas compañías, Don sión. La comisión no presume que á D. Gregorio Rodríguez, que firma Fernando Alvarez Sotomayor era hijo del dignó diputado D.' Juan la representación , se le deba dar entera fe; pues al paso que cita mu María Alvarez de Sotomayor., . chos méritos, ninguno resulta comprobado, por carecer de documen El Sr. Quiroga di…</t>
  </si>
  <si>
    <t>Rodríguez, Josef</t>
  </si>
  <si>
    <t>Josef Rodríguez</t>
  </si>
  <si>
    <t>…echa): dejo á un lado las pala A la comisión de Infracciones de Constitución se pasaron una ex bras, y voy á las cosas. Vosotros queréis restablecer las antiguas insti posición de D. Josef Rodríguez y D. Manuel Garrido , vecinos de tuciones: vuestro objeto es hacer del clero un cuerpo político é inde Fuentes en Andalucía , quejándose de la infracción cometida por su al pendiente: en hora buena. Como os gobierna el Ínteres, creeis consoli calde constitucional, y otra del alc…</t>
  </si>
  <si>
    <t>…dad en nuestras fábricas de Salas, coronel retirado. Partido de Navia D. Bartolomé Méndez de paños, y el comercio de esta ciudad no ha experimentado tantos atra Luarca, hacendado; D. Josef Rodríguez dé Castro, juez de primera sos como se podía temer en vista de los sucesos del Oriente. Desde el instancia del partido de la Vega deRivadeo; D. Josef Cuervo, abogado. i.’ de Octubre de 1820 hasta el i.° de Octubre último se han fabrica Provincia de Jaén. Jaén…</t>
  </si>
  <si>
    <t>186o tías Torres y Josef Sevilla i y al sargento Josef Rodríguez, que fue el fetirados dispersos Juan Algibe.zzPor la clase de sargentos primeros del primero que entró eü la casa.” El gobernador hace un elogio ríe la bri Canal de Campos Angel Maitinez.cclor la de segundos Antonio del llante conducta del oficial y. tropa de…</t>
  </si>
  <si>
    <t>Rodríguez, Juan</t>
  </si>
  <si>
    <t>Juan Rodríguez</t>
  </si>
  <si>
    <t>…utado" Manuel Fernandez Tomas; fe político de Venezuela brigadier D. Ramón Correa, al pero como no formaba este número la mayoría absoluta, calde primero constitucional de Caracas D. Juan Rodríguez se repitió la votación, reducida al señor Francisco Simoens Toro, y D. Francisco González de Linares; y S. E. el pre Margiochi, que tuvo 20 votos , y al señor Manuel Fernan sidente de Colombia Simón Bolívar, como gefe de la repú dez Tomas, que salió electo vi…</t>
  </si>
  <si>
    <t>Rodríguez, Juan Josef</t>
  </si>
  <si>
    <t>Juan Josef Rodríguez</t>
  </si>
  <si>
    <t>…les que tienen relación con el arte militar entre Estado de esta causa. Para sentencia. Providencia de visita: siga. los oficiales jovenes, trabaja bajo los auspicios del ayudante general Juan Josef Rodríguez y josef Cuevas, remitidos por ei susodi príncipe Wolkonsk, y publica un diario militar. cho juez D. Francisco Belloc en 9 de Julio de 1820 por robos. Estado en moskow. 7.0 La sociedad de los Naturalistas , cuyo director ac de esta cu:-a. Para sentencia. Provi…</t>
  </si>
  <si>
    <t>Rodríguez, Manuel</t>
  </si>
  <si>
    <t>Manuel Rodríguez</t>
  </si>
  <si>
    <t>…onda, sacó vistas y diseños, y levantó pla demas en un estado inmediato á la mas completa barbarie, ha nos de la costa; en suma hizo cuanto pudiera haber hecho excitado el zelo de D. Manuel Rodríguez, cirujano mayor del el mas ilustrado viagero envídelo á propósito. Saltó también hospital de la plaza de Mahon, para desmentir tamaño error , de en tierra, y tomo posesión de ella según costumbre en nom mostrando no solo que se han cultivado en España todo gé…</t>
  </si>
  <si>
    <t>Rodriguez, Manuel</t>
  </si>
  <si>
    <t>Manuel Rodriguez</t>
  </si>
  <si>
    <t>9D% nació Balanzat, encargado del Despacho de la Guerra, los Reales de Otra, núms. 63 y 64 , calle Alcuceros, arrendada de por vida i cretos siguientes; . D. Manuel Rodriguez en 1 200 rs., que cumple, en 17 de Marzo dé r.J ,.Movido por los mas puros y sinceros deseos de que los impor 18 y?, en 42,944 rs. tantes destinos de secretarios del Despacho recayesen en sugetos que i Otra calle de la Corona, núm. 10 , en 13,402- rs. su deci…</t>
  </si>
  <si>
    <t>…, y deseosas en extremó da repartimiento. ' , • . ■ - , ••......... hacerlas triunfar. .La dificultad consiste pues-en'saber- dónde- deposita- A la dé Legislación una solicitud de D. Manuel Rodríguez ,-tnonreis-efe gran podér qüe veis á crear, y cómo'podréisytóiweguirjqué sé ge benedictino que era en: el:-monasterio de Cangas , á fin de que se 1* ejercite imparcl-ilmenfe, porque es evidente qué. la; mayoría- lo berce dispense lá léy-qUé prohíbe á los regu…</t>
  </si>
  <si>
    <t>…alot, no pudo menos ceda á sus vecinos facultad.para cultivar ¡as tierras del monasterio de de decir .un d'untado: ved ahí la moderación de esos señores, y otro S. Julián: otra de D. Manuel Rodríguez, en la que exponiendo jos dijo: esa es la urbanidad del antiguo r.ígdnen. ... servicios que ha hecho ea el discurso de jo año» en un colegio de Sa-</t>
  </si>
  <si>
    <t>Rodríguez, Mariano</t>
  </si>
  <si>
    <t>Mariano Rodríguez</t>
  </si>
  <si>
    <t>…eudalismo, este es el origen de ios señoríos misma, en infracción de la ley de y de Octubre de ion. en España, coh* los cual es no es mi ánimo confundir el enfiteusis, que Otra de D. Mariano Rodríguez, abogado , vecino de la Val de es de naturaleza muy diversa. Sto. Domingo, provincia de Toledo, quejándose de infracción de • Los títulos*Leúdales en que se daban los señoríos eran en un per Constitución, hecha por el alcalde D. Leonardo Gómez Zurbano,que gam…</t>
  </si>
  <si>
    <t>…l juez de primera instancia de Mahon; y otra exposición del alcald» constitucional de la Val de Sto. Domingo, vindicándose de una queja Sesión de Cortes del ¡14. que dió contra él D. Mariano Rodríguez. Después de haber dado cuenta de algunos expedientes y dictámenes A la Eclesiástica pasó una solicitud de.D. Juan Bautista Vargas, de las comisiones sé pasó á tratar sobre la abolición de la Inquisición; cura párroco de Escalona, para que en las oraciones del…</t>
  </si>
  <si>
    <t>Rodríguez, Martin</t>
  </si>
  <si>
    <t>Martin Rodríguez</t>
  </si>
  <si>
    <t>…a á dicha villa la expresada finca, por haber sido dersu perte 1 síndico'de aquel ayuntamiento constitucional: otra de D. Josef Alfanencia. ■ - i ro , vecino de S. Peíayo , contra D. Martin Rodríguez, vecino de di A las comisiones de Hacienda y .Guerra reunidas una exposición de cha villa : otra del juez de primera instancia de Toro, vindicándose de varios oficiales 3 sargentos, cabos y soldados del regimiento de Ecija, la queja de infracción dada contra…</t>
  </si>
  <si>
    <t>…inverosímil, sin que por castellano por algún principiante en el estudio de idiomas. 2.*’ Es otra eso dejemos de publicar en adelante cuanto acerca de un punto tan in proclama de D. Martin Rodríguez , brigadier, gobernador y capitán ge-1 teresante' se inserte en los periódicos extrangeros j sea adverso ó favo neral de la provincia de Buenos-Aires , á ios habitantes contra la de Ra rable. mírez: los dos andan á quien puede engañar y alucinar á los malhada…</t>
  </si>
  <si>
    <t>Rodriguez, Pascasio</t>
  </si>
  <si>
    <t>Pascasio Rodriguez</t>
  </si>
  <si>
    <t>…ode han de estar examinados en dicho el examen marítimo de D. Jorge Juan y la medalla grande de la magisterio, y deberán presentar el título, dirigiendo sus memoriales sociedad. á D. Pascasio Rodriguez, secretario del ayuntamiento constitucional, A los alumnos de la clase de economía política que tiene bajo su en el término de 20 dias, contados desde su publicación. dirección la sociedad,y sirve gratuitamente uno de sus individuos, que Los suscriptores á la…</t>
  </si>
  <si>
    <t>Rodríguez, Pedro</t>
  </si>
  <si>
    <t>Pedro Rodríguez</t>
  </si>
  <si>
    <t>…ho y con'Ja arbitrariedad mas villa del Arenal, contra el alcalde de la misma D. Gerónimo Solanas y manifiesta; y que los reos de que se trataba debían ser sentenciados el abogado D. Pedro Rodríguez, vecino de Talavera , por haberle pri pronta y sumariamente, y que á este fin hacia la siguiente indicación, vado de empleo por ocho años, y haberle desterrado a 20 leguas de que retiró después el autor. aquel distrito; y otra de D. Josef Vargas, vecino del p…</t>
  </si>
  <si>
    <t>Rodríguez, Ramón Antonio</t>
  </si>
  <si>
    <t>Ramón Antonio Rodríguez</t>
  </si>
  <si>
    <t>…ta industria en la Península. teniente del regimiento provincial. G¡jan D. Juan de D.os Miranda, A la misma comisión se pasó una exposición de la dirección gene capitán del mismo. D. Ramón Antonio Rodríguez, s'ocal de la dipu ral de aduanas, en la que hace varias observaciones sobre las dudas tación provincial. D. Josef Llaves Valdés , oficial retirado. ocurridas en la de Alicante acerca del aforo y despacho de hierro , y Galicia. Puente de Hume D. Juan Ignacio…</t>
  </si>
  <si>
    <t>Rodríguez, Sebastian</t>
  </si>
  <si>
    <t>Sebastian Rodríguez</t>
  </si>
  <si>
    <t>…egecutivo eran siempre muy peligrosas. briel Antonio Mancho , suplente actual de Ja diputación de Navarrt. Otros Sres. d,pialados hablaron en favor y en contra del artículo, Olite D. Sebastian Rodríguez,; presbítero de Tafalla. habiendo manifestado el Sr. Sarmentó que no solo consideraba el veto como una prero^ativa Real, sino como una necesidad política, y-con CORTES EXTRAORDINARIAS DEL AÑO DE 1821. cluyó su discurso dici ndo que en lugar de este articu.o s…</t>
  </si>
  <si>
    <t>Rodrrguez, Juan</t>
  </si>
  <si>
    <t>Juan Rodrrguez</t>
  </si>
  <si>
    <t>…a norario de la audiencia territorial, y juez interino de primera instan lahorra á D. Francisco Fabian: para el de A a reda á D Manuel Mateo cia , en los autos de testamentaría de D. Juan Rodrrguez, radicados en Gentico; y para el de Arnedo á D. Tomas Rebert y Pauló. la escribanía de D. Francisco de Paula Ribera y Lozano, se convoca á todas y cualesqiera personas que se contemplen con derecho que expo Cumpliendo como director del Fomento general del rei…</t>
  </si>
  <si>
    <t>Rodrt-</t>
  </si>
  <si>
    <t>…mas cérea de 'Badajoz:: estad» hasta aqui. •• • . .... examínese ademas la-mayor facilidad qué hay en ir á Badajoz que ■' no El Sr. Clemencin satisfizo á algunas observaciones del Sr. Rodrt- á Mérida, porque en cierta parte del - año -están’los caminos á esta úl ’giiez de Ledesma.’ ; tima ciudad mu'cho mas expeditas y fáciles dé transitar. ' n ~ 'El Sr. Calatrava dijo; Aunque estaba resuelto á no hablar en eetá ' Supl ico á los Sres. d ipufadps t…</t>
  </si>
  <si>
    <t>Rognait</t>
  </si>
  <si>
    <t>…terial, se bur cen que sobre este asunto corrían voces poco satisfactorias en Juvernesf, la de este y de ótios semejantes rumores. pero no se les tlaba crédito. Se habla de que el general Rognait ha. presentado un plan para cons __Las cartas de Cunstautinopla del 10 de Marzo anuncian lo siguiente: truir dos plazas fuertes en el interior de la Francia, y que muy en » Acabamos de saber con certeza Jas mudanzas importantes que se han. breve se presentará…</t>
  </si>
  <si>
    <t>Rognat</t>
  </si>
  <si>
    <t>…xponer á las dos partes á graves inconvenientes. Afounier. » El infrascrito ha sufrido una evidente violación de las garantías » Ahora se dice que va á entrar en. el ministerio el general Rognat mas comunes. S. M. I. y -R. A. no puede sin faltarse á- sí misino como ministro de la Guerra. guardar silencio en este asunto, en atención á que las explicaciones da » Mr. Decazes salió el dia 3 para la Estrella, y el 4 á las nueve das por la Regencia, á cons…</t>
  </si>
  <si>
    <t>Rohdgyrew</t>
  </si>
  <si>
    <t>…ores de su educación literaria: muchos de sus compatriotas, qué de Salmerón, en la Alcarria, provincia de Gnadalajara; tiene de dota ocupan hoy ¡os primeros puestos del Estado. El profesor Rohdgyrew ción 3S) rs., pagados los 2S) del fondo de propios, y los restantes del da es secretario de la sociedad, y el profesor Perewostschikow redacta con Unas memorias: los pretendientes dirigirán sus memoriales, francos de el consejero áulico Moskotilnikow las obra…</t>
  </si>
  <si>
    <t>Rojano, Agustín</t>
  </si>
  <si>
    <t>Agustín Rojano</t>
  </si>
  <si>
    <t>…ivir en ios domi co; Lie. D. Josef Manuel Noguera. nios de Turquía. Diputados por la de Tlaxcala. lodo esto podrá tener alguna probabilidad; pero lo cierto es que Los señores: Dr. D. Agustín Rojano, canónigo de la santa iglesia la sublime Puerta, en el estado de debilidad en que se halla, no podrá catedral de Puebla y rector del colegio seminario. menos de acceder á cuanto se le proponga; y ioo3 rusos en sus fron Suplente. Bachiller D. Manuel María Carv…</t>
  </si>
  <si>
    <t>Rojas</t>
  </si>
  <si>
    <t>…s del y.° ramo de los tres que se expresan en este decreto.” Art. 8.° » En toda nueva población habrá un ayuntamiento para su No se admitió á discusión la siguiente indicación del Sr. Rojas gobierno ; I03 vecinos respectivos , luego que hayan jurado la Constitu Clemente: » Las direcciones locales se compondrán en cada estableci ción según el articulo anterior , procederán , bajo la presidencia put esta miento de sus propios catedráticos exclusiv…</t>
  </si>
  <si>
    <t>Rojas, Juan María de</t>
  </si>
  <si>
    <t>Juan María de Rojas</t>
  </si>
  <si>
    <t>…Las tropas no , juez de primera instancia de Málaga; D. Agustin López del .Baño, asiáticas hacen sombra á los genízaros: estos amenazan con desórdenes médico de Lucena. Suplente. D. Juan María de Rojas, abogado. y trastornos, y ya han comenzado los incendios, que es uno d • ios me Por Valencia. D. Cayetano Valdés, ex-ministro de Guerra, y te dios que hay en Constantinopla de manifestar el descontento contra el niente general de la armada nacional; D. Vicent…</t>
  </si>
  <si>
    <t>Rojas, Simón de</t>
  </si>
  <si>
    <t>Simón de Rojas</t>
  </si>
  <si>
    <t>…eglo á las bases esenciales de terreno, riqueza ,¡población Gáceres. ^ . . y demas circunstancias de los pueblos"exponga ai Congreso lo que Se dió cuenta de una representación del Sr. D. Simón de Rojas crea mas conveniente, nó excediendo el número de provincias de 32, Clemente, diputado por Valencia, haciendo presente que se. hallaba que en mi concepto es muy suficiente. ' enfermo en aquella provincia:, por lo que pedia licencia á las Cortes El Sr. Zorraqui…</t>
  </si>
  <si>
    <t>Rojo, Andrés</t>
  </si>
  <si>
    <t>Andrés Rojo</t>
  </si>
  <si>
    <t>…o T&gt;. Juan Orejas Canseco, juez interino de primera instancia. Vlmianzo aquella diputación provincial para suspender en parte el establecimien T&gt;. Fernando Ramas, labrador. Coruña D. Andrés Rojo , comerciante to de los nuevos aranceles; y la otra relativa al arreglo de aduanas de é intendente honorario de provincia. Betanzos D. Juan García. Lugo aquellas islas. D. Josef Gabriel Somoza , propietario , y D. Nicolás de Prado, aba Se dió cuenta de una ex…</t>
  </si>
  <si>
    <t>…erdió ,1a yida por haber querido in tapio.'Suplente. D. Juan CruzOrovio, propietario. i, troducir entre los gehízaros el sistema militar de Éuropa.,A estas ven- - , , Por Galicia. D. Andrés Rojo, comerciante; D.-Josef»Pumarejo, riajás ¡qué.poseen los griegos opone el autor ías siguientes-en-favor de teniente, dé fragata ; .el Dr. Cortés", catedrático de la universidad de -los turcps.x.° Tienen estos, un Gobierno establecido. í.° Son dueños de Santiag…</t>
  </si>
  <si>
    <t>Rojo, Benito Ciruelos do</t>
  </si>
  <si>
    <t>Benito Ciruelos do Rojo</t>
  </si>
  <si>
    <t>…Sego- presa de la junta. via D. Roque y D. Francisco Delgado, en Sevilla D. Juan García 14- Las oficinas del establecimiento en las provincias llevarán cuen Burdugo, en Sigiienza D. Benito Ciruelos do Rojo, en Sobona Don ta, parcial á cada partícipe en libros proporcionados, en los cuales sen Ramón ¿erra y Orio, en Tarragona D. Ramón Feliu , en Tarazona tarán el capital líquido que haya resultado de las liquidaciones, y ios D. Mariano Lafuente ,'en'Teruel D Isi…</t>
  </si>
  <si>
    <t>Rojo, Domingo Vacas</t>
  </si>
  <si>
    <t>Domingo Vacas Rojo</t>
  </si>
  <si>
    <t>…étodo de enseñar áleer ¿ los niños desde que comienzan á hablar, nos que Las leyes fundamentales de su país podían ser atropelladas fácil presentado á las Cortes y al Gobierno por D. Domingo Vacas Rojo, mente por un Gobierno sin principios; y se persuadieron á que sola abogado de los tribunales nacionales, cuyo método se está practicando mente podían verse libres de este continuado peligro dando tal exten- con extraordinario fruto desde el año de r8i 8, baj…</t>
  </si>
  <si>
    <t>Rojo, Julián</t>
  </si>
  <si>
    <t>Julián Rojo</t>
  </si>
  <si>
    <t>Deseoso D. Julián Rojo, profesor de primeras letras en. esta corte, la libertad de la imprenta saque á luz pública sus desaciertos, descon de corresponder aL aprecio que lian merecido sus tareas en el espacio de cierte sus descabellados planes, y manifieste sus injusticias, á pesar…</t>
  </si>
  <si>
    <t>Rojo, Manuel</t>
  </si>
  <si>
    <t>Manuel Rojo</t>
  </si>
  <si>
    <t>…ibradas de plaza á plaza-, La comisión primera de Legislación presentó su dictamen acerca -¡j.u Las sentencias dadas en juicio contradictorio ó en rebeldía de íde la exposición de D. Manuel Rojo, canónigo de Palencia, en la que íos tribunales civiles de comercio y árbitros, y de los tribunales cri pedia, que en atención á su escasa renta , y en virtud de sus notorios minales.que contengan condenas, graduación de acreedores, ó liquida méritos y servic…</t>
  </si>
  <si>
    <t>Roldan, Higinio</t>
  </si>
  <si>
    <t>Higinio Roldan</t>
  </si>
  <si>
    <t>…vila 27 de Noviembre de versidades de Orihuela y Osma, abogado en la villa de! Bureo , impreso ¿811.= Excmo. Sr. = Manuel Dejuan.=Excmo. Sr. secretario del Des en ■ Valladolid por D. Higinio Roldan. Se hallará en la librería d* pacho de la Gobernación de la Península.” González á 2 rs. Paraíso racional de López del Aguila: rimado por Fr. Nicolás del ” Señor: Constitución y su observancia hemos jurado todos los es Pilar, religioso lego carmelita descalzo…</t>
  </si>
  <si>
    <t>Román</t>
  </si>
  <si>
    <t>…de Laybach que se han recibido hoy dicen que aun no rio á que estaba esperando 12 cañones que se estaban fundiendo en se han concluido la» negociaciones relativas al Piamonte. El ministro Román, en la Moldavia. El dia 8 de Abril se presentó en Bucharest sardo .Mr. de Revel, á quien parece que se han pasado notas de mu un arnauta armado, y se llevó para el egército de Ipsilanti todos los cha importancia, ha Vuelto desde Laybach á Módena á verse ton e…</t>
  </si>
  <si>
    <t>Román, Domingo</t>
  </si>
  <si>
    <t>Domingo Román</t>
  </si>
  <si>
    <t>…D. Manuel Díaz de Arce y,Revuelta; para el de Granadilla á Don rando con la garra derecha la parte superior del 1 bro de la Constitu Josef Diez Bermudo, y para el de f . Miguel á D. Domingo Román ción cerrado, y la inferior descansará en el pedestal, de modo que se y Linares: igua'meme para el juzgado de primera instancia del partido presente á la vista una de las snperScies planas del libro. Esta insignia de Villalon a D. Joaquín López de Ayala. se c…</t>
  </si>
  <si>
    <t>Román, F'rancisco</t>
  </si>
  <si>
    <t>F'rancisco Román</t>
  </si>
  <si>
    <t>…colar, que vive calle de las Aguas, á S. Francisco, núm. 18, cuarto ba los que aconsejan á los potentados desean acaso la estupidez y la ig jo, yen Carbonero al señor cura párroco D. F'rancisco Román, quie norancia en los súbditos.; quieren que el hombre no tenga conocimien nes tienen que comunicarle noticias que le interesan. to de sus deberes; ansian por dominar arbitrariamente, manejando á Práctica de vida cristiana y egercicios de devoción , dado á lu…</t>
  </si>
  <si>
    <t>Rome, Juan</t>
  </si>
  <si>
    <t>Juan Rome</t>
  </si>
  <si>
    <t>…magistrado, porque nada significan 40 rs. diarios dis idea preparó los ánimos, y juntó las armas y municiones que pudo : en tribuidos entre cinco personas, un grado de teniente á D. Juan Rome la torre de la iglesia formó el baluarte principal, y después se fortificó ro, y seis años de colegio costeados al D. Josef para los b'enes que I13 en su casa , que formaba manzana , y desde donde podía atender á todas perdido lá familia, y el valor incalcula…</t>
  </si>
  <si>
    <t>Romei</t>
  </si>
  <si>
    <t>…e con el concurso de las luces de la nación: etnn prae~ ha mandado poner arrestado ea el castiflo de Taranto al te latís, -jaranitas, caeterisque nobilibus et subditis nos- niente coronel Romei, quien apenas llegó á Lecce, en lu tris. La comisión , dice la circular, está bien penetrada de gar de ocuparse en organizar , como debía hacerlo, la legión su sublime encargo, puesto que ha de corresponder á las puesta á su cargo , pidió 29 dias de licencia…</t>
  </si>
  <si>
    <t>Romeo.zzD, Mateo</t>
  </si>
  <si>
    <t>Mateo Romeo.zzD</t>
  </si>
  <si>
    <t>…es de artillería los Vitalie.zzD. Pedro Nobailasmer. = D. Pablo Vicente.z:D. Joaquín oficiales del parque, los cuales tendrán á sus órdenes el número de Laguna.zzD. Matías Cobo. = D. Mateo Romeo.zzD. Mariano Sise subalternos que sea necesario para el desempeño de sus funciones, que ra. — D. Mariano Bonaz.zzD. Diego Vicente.zzD. Lorenzo Monta dando por consiguiente suprimido aquel empleo.” Aprobado. : ñés.zzD. Cayetano Gíbete zz D. Mariano Ferrer.zz D. Pe…</t>
  </si>
  <si>
    <t>Romeo.zzD, Miguel</t>
  </si>
  <si>
    <t>Miguel Romeo.zzD</t>
  </si>
  <si>
    <t>…arecer que debía ponerse en lu Ester, zz D. Jacobo Peré.zzD. Francisco Morelln. zzT&gt;. Josef Cortés.z: gar de las palabras los oficiales de cargo de artillería ias siguientes: los "D. Miguel Romeo.zzD. Benito Vicente.zzD. Francisco Sabaiau.zz condestables. D. Mariano Planas.zzD. Pedro Aznar.zzD. Josef Barcelona.z=D. Jo Después de una breve discusión entre los. Sres. Sánchez Salvador y sef Perez. zz D. Tomas Copao.zz D. Dámaso Miranda.zzD. Juan Sa- Olivar q…</t>
  </si>
  <si>
    <t>Romer, María</t>
  </si>
  <si>
    <t>María Romer</t>
  </si>
  <si>
    <t>…iferente camino , á re Se aprobó el dictamen de la comisión ordinaria de Hacienda, re concentrar todo el poder en manos de los ministros. Aunque la ley de lativo á la solicitud de Doña María Romer: la comisión opinaba que elecciones haya privado de sus derechos á las 99 centésimas partes de las Cortes podían aprobar se la pagasen los caídos de la pensión que los ciudadanos, no es bastante aristocrática á su modo de pensar, pues disfruta; declarando que…</t>
  </si>
  <si>
    <t>Romer, Mariano</t>
  </si>
  <si>
    <t>Mariano Romer</t>
  </si>
  <si>
    <t>…la sesión siguiente. y mandaron pasarlas á la comisión de Caminos y Canales. Se acordó el indulto para los presos y desertoresr y se levantó la A la de Agricultura una memoria de D. Mariano Romer , que sesión. trata de las épocas y causas que han motivado la decadencia de la agri Sesión del 9. cultura en España. Las Cortes la recibieron con agrado. Los procuradores de la tierra de Carrion , provincia de Búrgos, pre Habiéndose dado cuenta de varias sol…</t>
  </si>
  <si>
    <t>Romera, Rafael</t>
  </si>
  <si>
    <t>Rafael Romera</t>
  </si>
  <si>
    <t>…1820, Anteayer se recibieron también directamente periódicos de Ñapó les con noticias hasta el 5 de Junio; pero ya aquel país no presenta cárcel publica de sEvntA. --.Stt alcaide D. Rafael Romera. otro interes que el de la curiosidad, y esta no puede,menos de excitar Juan Vejarano, remitido por.el juez segundo de está ciudad Dba la compasión al leer el único periódico que los austríacos consienten • Francisco Belloc en 5 d* Noviembre último por haber…</t>
  </si>
  <si>
    <t>Romero</t>
  </si>
  <si>
    <t>…Marzo de 1820, yque este las mandeimpriprir y publicar.” Jas Cortes que se diese alguna aclaración sobre el mismo. El Sr. pre Se leyó por primera vez la siguiente proposición del Sr. Romero sidente dijo que toda ley admitía interpretaciones; pero que pertenecía Alpuente: » Dígase al Gobierno que en el reglamento de policía que á los jueces el examinarla y aplicarla; y dado caso que fuese infundada forme y haya de remitir á las Cortes para su apr…</t>
  </si>
  <si>
    <t>…hos qué pagar! Por consiguiente no ignorándolo, debían haberlo Después de una ligera discusión se aprobó el dictamen de la co contratado á su tiempo. Soy del mismo dictamen que el Sr. Romero misión en-los términos que lo proponía. Alpuenté ; aqui tenemos un nuevo rédito ó una nueva carga, y yo La comisión de Poderes presentó su dictamen después de haber exa creo que no debe accederse á ella; y los trámites que se han segui minado los del Sr. D. J…</t>
  </si>
  <si>
    <t>…l artículo 13; y el Sr. Vitorlca di jo debía quitarse la cláu El Sr. Sánchez Salvador dijo que se entendía ya con la palabra de sula ó'circunstancia á lo mas; á lo que contestó él Sr. Romero, Alsertores que eran dei egército o milicia provincial, porque la local no puente que era indispensable ponerla, porque, si no, podría haber mu-S está sujétala.lista:.habiéndose declarado por suficientemente discutido,. chos abusos en la tardanza del nombrami…</t>
  </si>
  <si>
    <t>…todos los elementos que contiene parecen - • de.la-fábrica del Congreso; pero aun estos muy estropeados , y sin el or lá comisión, ...... - , i) ¡ i-,.i Se'leyó el art. 4.0, y el Sr. Romero, Alpuente expuso que habiendo den y método que se usa comunmente én ellos. Es imposible que no la una circunstancia, en. este .artículo, que.hacia referencia á lo que se.,ex haya dictado .algún fanático de menos habilidad que malicia, y tampo presaba en.el i.…</t>
  </si>
  <si>
    <t>…seguida se aprobó ,,que se diga al Gobierno que marle señor sus naturales , y todos los otros que vienen á vivir en si» remita la causa fenecida ya de que habla la indicación del Sr. Romero tierra;” y repito que si el artículo no está bastante claro en los térmi Alpuente , para que pase á una comisión y exponga su dictamen.” nos que la comisión expresa , esta se halla prouta á variarlo, advinien Se aprobó el dictamen que las comisiones especial…</t>
  </si>
  <si>
    <t>6oo haber admitido á discusión las proposiciones del mismo Sr. Romero sistema , y que se recomienden al Gobierno para los efectos convenien Alpuente. - ■ - ., . _ _ - tes,” A la comisión de Diputaciones provinciales se mandaron pasar el A la comisión de Legislación se mandaron pasar una consulta del informe del Gafe político y…</t>
  </si>
  <si>
    <t>…de las concedidas con gilancia tomaría ' todas las "medidas convenientes. arreglo al. reglamento de las Cortes extraordinarias.” Tampoco se admitió á discusión una Indicación del Sr. Romero Después de, haberse leído los artículos correspondientes al fuero mi Alpuente, que decía: » Pido se diga al Gobierno que las Cortes que litar se suspendió esta discusión; y el Sr. ministro de ia Guerra leyó dan enterabas, y que éste informé por escrito acerca de ¡as…</t>
  </si>
  <si>
    <t>…tas de contribuciones de consu llevaba á bordo a Ladi Cochrane. mos á la provincia de Cuenca, ó autoricen al Gobierno para que lo haga por sí.” TRANCIA. Se aprobó la siguiente del Sr. Romero : &gt;» Pido que la resolución París 19 de Junio. tomada con respecto á Málaga sea extensiva á las provincias Vascon Escriben de Trieste con fecha de 31 último que la Puerta ha dado gadas.” 10 por roo mas de valor á ciertas monedas, las cuales tenian ya mas Se l…</t>
  </si>
  <si>
    <t>…uida se preguntó si estaba suficientemente discutido, y se convenga al bien de la Nación. declaró por ia negativa. El Sr. Ramonet leyó un discurso, en el que exponía, conformán El Sr. Romero (D. Josef) obtuvo ia palabra, y manifestó (^po dose con los principios que sentaba la comisión, y asimismo con lo» niéndose al dictamen de la comisión) que esta no había desempeñado que manifestó el Sr. Villa , relativos á la imperiosa necesidad de pre su enc…</t>
  </si>
  <si>
    <t>…ecididos;y.beneméritos cuerpos de la rigir al Congreso sobre este asunto.” . . ' milicia nacional. ¡Qué falta ppdrán hacer ni entonces ni nunca unos En seguida leyó un discurso el Sr. Romero (D. Josef), en el que pocos alborotadores.,.que siñ distinguir, -las-¿pocas".y.las circunstancias, impugnaba el dictamen de la comisión, y opinaba que no debía apro-- y dirigidos siempre por, pasiones’indecentes , pretenden introducir la di barse la parte de…</t>
  </si>
  <si>
    <t>…e en aquel pumo., .bueno» v.e discusión entre: los Sres. Cuesta, Sancho, La santa y. Jjzpgleta, y, edificios,para contener, las .oficinas,de. la c.-.pital , abundancia da agua, el Sr. Romero hizo Ja siguiente proposicio-n: Pido, á las Cortes se di Un magnifico canal cerca.de la -villa , buena cosecha &amp;c.i Sec., circuns-ga que de las tres provincias Vascongadas,se forme una soli.” . , tancias. de que carece Ghinchilla. y que.algunas de ellas le so…</t>
  </si>
  <si>
    <t>M.tdrül ge? de Octubre. El Sr. Romero hizo presente que de ningún modo debía pasar esta Circular comunicada por ¡a ¡unta de sanidad de Marsella en 9 del r.'prcsentacícn á la comisión , porque solo pasaban á ella las relativas corriente, y remitida al ministerio de Estado por el cónsul de España a…</t>
  </si>
  <si>
    <t>…............ .v leyó en ságuida.JS del Sr,' Sandio , que fue- admitida a discusión, No consolidados............................................................1. Vi? por roo. . El Sr. Romero ^Ipu-irtte opuso alguna dificultad á que se aprobase Consolidados.................................................................. . o 3 ds. de 200 ps. esta proposición por. el modo en que estaba concebida, porque creía Inscripciones.........................…</t>
  </si>
  <si>
    <t>…do! Hasta en el Congreso se han pre conferírsela á otro. En cuanto á las causas que influyeron en ello, si el sentado papeles que en cualquier tribunal de justicia se hubieran des Sr. Romero se hubiera acercado á ia secretaría hubiera visto que medió atendido. ; Para qué se apela á esos papeles, que sen peores que ¡as pági— un cierro arreglo ó convenio entre los mismos jueces. ginas del añp pasado? Preséntense de una vez esos documentos, y sal •…</t>
  </si>
  <si>
    <t>…parricidio? Me parece que no, y que no merece es El Sr. San Miguel dijo que se conformaba con este artículo , siempre to la pena de que se varíe el artículo. ; Por ventura cree el Sr. Romero que las diligencias que se practicasen fuesen el reconocimiento de la Alpuenle que habrá tantos en España que sean condenados á muerte por identidad de la persona y la prueba de haberse fugado, que era lo que traidores y parricidas? Yo espero que haya muy poc…</t>
  </si>
  <si>
    <t>…naciones la acción, pertenece :á ios tribunales señalados por la misma.ley. que se han salvado desobedeciendo á las leyes., pueden sacarse infini . Por lo.tocacte á lo que-dice el Sr. Romero. Alpuente sobre que jas tos de las que se han perdido y arruinado por, este medio. Es cierto que 'firmas,contenidas en la exposición- representan otros tantos testigos de el Congreso debe reputarse en este asunto como un jurado de acusación; la copmoqion popu…</t>
  </si>
  <si>
    <t>Romero, Antonio</t>
  </si>
  <si>
    <t>Antonio Romero</t>
  </si>
  <si>
    <t>…puede admitir el establecimiento, guía á los facciosos; no pudiendo [olvidar á la segunda columna al de jurados; pero el Congreso nacional no debe fiarse solo del estado mando de D. Antonio Romero , que llegó á este punto al anoche de la Nación , di be sí atender y caminar según los hechos ; porque- si cer, habiendo hecho una larguísima marcha. Los restos ó mayor pelo no después de tomada una resolución , y de tanta consecuencia co tón de los facciosos…</t>
  </si>
  <si>
    <t>Romero, Benito</t>
  </si>
  <si>
    <t>Benito Romero</t>
  </si>
  <si>
    <t>…ontecimientos en aquellos paises, que bien la de Hellin á D. Joaquín Beneito y Beneito: para la de Chinchilla pueden fundarse esperanzas de que su decidida resolución de sacudir á D. Benito Romero: para la de Yecla á D. Cirios de la Cruz Pujalte: el yugo turco podrá tener efecto. Se renueva como seguro el rumor de para la de Villena á D. Pablo Blanco Caballero : para la de Totana á Ja sublevación de los servios y búlgaros contra el Sultán; se afirmaba…</t>
  </si>
  <si>
    <t>Romero, Bernabé</t>
  </si>
  <si>
    <t>Bernabé Romero</t>
  </si>
  <si>
    <t>…sucedido en sus funciones á los alcaldes mayores, se niegan'á con El Sr. Betancurt leyó el dictamen de la comisión de Agricultura so tribuir con ló que les corresponde; y otra de D. Bernabé Romero , ve bre el tributo llamado Voto dé ~Santiágo, presentando un proyecto de cino de Baza , manifestando los Servicios que hizo á la Nación en la ■ ley, que se mandó imprimir.para ser discutido. •' ’ última guerra con cuatro hijos suyos; y pedia se socorriese á-…</t>
  </si>
  <si>
    <t>Romero, Francisco</t>
  </si>
  <si>
    <t>Francisco Romero</t>
  </si>
  <si>
    <t>…acaso mas, y los impresos por las Cortes extraordina de partido. rias llegan á 23. ;Cuántos serán de aquí á diez años ! Y pregunto: &lt; ha A la de Legislación pasó una solicitud de D. Francisco Romero, brá quién los compre:” catedrático de teología en Valencia , acerca de que se desestime la ins Se aprobó la indicación del Sr. García Page. tancia hecha por dos presbíteros de aquella ciudad, solicitando se les de El Sr. presidente dijo que continuase la dis…</t>
  </si>
  <si>
    <t>Romero, Josef</t>
  </si>
  <si>
    <t>Josef Romero</t>
  </si>
  <si>
    <t>…tros objetos &amp;c. &amp;c. « He dado cuenta al Rey de la instancia dirigida á las Cortes por Concluida la lectura, dijo el Sr. Moura que aquella era Ja opinión Doña Ana Dorado, viuda de D. Josef Romero, alcalde mayor que de un hombre solo; el cual fuese quien fuese, podia dejar de valerse de fue en 810 de la villa de Montellano, provincia de Sevilla, y que este medio,cuando podia escribir é imprimir su opinión , y aun firmar V. E. me remitió para la resoluc…</t>
  </si>
  <si>
    <t>…narle como todos sabemos. lunes 27 del mismo , se hace relación de las acciones brillantes del al No se abatió el ánimo de la viuda de Romero con tantas desgra calde de Montellano D. Josef Romero, y de las que inseríamos aquí cias, y sabúndo que un paisano suyo hacia en Cádiz las diligencias que una pequeña relación. pedia el caso para que se la premiase, se fugó por Algeclras, á fin de D. Josef Romero, casado con Doña Ana Dorado y con siete hijos, ev…</t>
  </si>
  <si>
    <t>Romero, Josef Miguel</t>
  </si>
  <si>
    <t>Josef Miguel Romero</t>
  </si>
  <si>
    <t>…que peitene- do , vindic ándose de la queja de infracción dada contra el procurador cia á dicha villa , llamada de Bolones , con motivo de ¡a concesión que D. N. Sánchez: otra de D. Josef Miguel Romero , alcalde constitucio se Je hizo en aquel término de algunas.fincas de obras pías , pide sá de nal de Villanueva de la Serena j vindicándose de la queja dada por el vuelva á dicha villa la expresada finca, por haber sido dersu perte 1 síndico'de aquel ayuntam…</t>
  </si>
  <si>
    <t>Romero, Juan</t>
  </si>
  <si>
    <t>Juan Romero</t>
  </si>
  <si>
    <t>…d , y que consi compensa , quedando vivos para disfrutarla , la viuda , dos hijas solte deraba inoportunas las providencias de acordonamiento é incomunica ras y dos hijos, que son D. Juan Romero, teniente de coraceros del ción que se habian dictado por el comandante general y junta superior Rey, y L&gt;. Josef, alférez de artillería: no debiendo omitirse que esta de Sanidad de Granada. inaudita resistencia animó á la Sierra de Ronda á levantar el estand…</t>
  </si>
  <si>
    <t>Romero, Juan Eduardo</t>
  </si>
  <si>
    <t>Juan Eduardo Romero</t>
  </si>
  <si>
    <t>nioues que hubo en ella. En la primera discusión resultó adoptada la en la que pide á su secretario D. Juan Eduardo Romero se le den cuestión previa sobre tres resoluciones propuestas por Mr. Hume , y i89 rs. anuales. dirigidas á que la fuerza y los gastos del egército se redujesen' lo mas . A la de Diputaciones provinciales pasó otra exposición de Anto que fuese posible al pie d…</t>
  </si>
  <si>
    <t>Romero, Matías</t>
  </si>
  <si>
    <t>Matías Romero</t>
  </si>
  <si>
    <t>…se formó en Londres una sociedad Otra porción de tierra con ün cuerpécito de casa, en el con el objeto de extender y propagar la Biblia por las cua mismo partido, linda con las de D. Matías Romero, Don tro parres del mundo , poniéndola al alcance de los hombres Rafael Flecher, paso de aguas por medio, y de D. Isidro de todas las lenguas, cultos ó sectas; y algún tiempo há pu Campos, su cabida de 3 ochavas y 8 brazas, en 1812 rs. blicó en dos volúmenes…</t>
  </si>
  <si>
    <t>Romero, Pedro Lorenzo</t>
  </si>
  <si>
    <t>Pedro Lorenzo Romero</t>
  </si>
  <si>
    <t>…agitación convulsiva en todos los músculos del ro de Sevilla; con 47 rs. 6 mrs. por dicho plazo á la ca cuerpo, semejante á la que produce un violento calofrío. pellanía que goza D. Pedro Lorenzo Romero en S. Mar En el lado derecho fue donde se notaban las convulsiones cos; con 62 rs. 16 mrs. por dicho plazo al capellán Don mas vivas siempre que se repetía el contacto eléctrico. Miguel Guerrero , y con 23 rs. 4 mrs. por el propio pla Moviendo la segunda vari…</t>
  </si>
  <si>
    <t>Romero, Rainon</t>
  </si>
  <si>
    <t>Rainon Romero</t>
  </si>
  <si>
    <t>…removido de sus funciones sino por Sevilla, juez de primera instancia de Callosa,.;_En Murcia han sido causa gravísima aprobada por dos terceras partes de sus concolegas. elegidos D. Rainon Romero, médico; D. Diego Moreno, de Alcan Esta remoción no le impedirá el poder ser reelegido en lo futuro.” tarilla, propietario; D. Alfonso Melgases, de Carabaza, propietario; y Se descebó la proposición del Sr. Vascoucellos sobre .que si algún D. Francisco de Alp…</t>
  </si>
  <si>
    <t>Romero.Aípuente</t>
  </si>
  <si>
    <t>…rencia por faltade peso,'y ni» ■«es dei último empréstito de 200 millones que decretaron lis Corres; -de ley, en las monedas de que se trata. Laxcircunstanciasque constitu- ( ■ El Sr. Romero.Aípuente dijo’: La cqmisioD tratá de-’aliviar á la •yen esta diferencia'son el: precio:y, el peso, que en'toda buena moneda España de males'incalculables, y por 'eso propone que el-3fr//z:*í que re -deben constar á la;sirople vista, teniendo:cada pieza jún.nombre cono…</t>
  </si>
  <si>
    <t>Romsro-Alpuente</t>
  </si>
  <si>
    <t>…ria hizo varías observaciones, fundándose en algunos de responsab{lrdad''á los empleados»- .&gt; - . •' los principios manifestados por los Sres. que habían impugnado él dic El mismo Sr. Romsro-Alpuente citó: una ley dé Partidas , lo qué tamen dé la comisión, opinando que las Cortes no podían adoptarlo, precisamente prueba lo contrario que S. S■ ha deducido; esa ley establepor no, ser un medio oportuno para el objeto que se preponía. ce. que el alcaide de un…</t>
  </si>
  <si>
    <t>Ronce, Claudio</t>
  </si>
  <si>
    <t>Claudio Ronce</t>
  </si>
  <si>
    <t>…u vista, y con de la Gobernación de la Península se han expedido las certificaciones presencia del expediente del asunto que me dirigió V. E. con ofició siguientes; i.a A favor de D. Claudio Ronce, de nación francés, y en de 21 de Abril último, se ha servido S. M. resolver que subsistan en la actualidad vecino de Barcelona, por haber introducido una máquina Zaragoza el convento de carmelitas descalzos, el de agustinos calzados, llamada á la Jacar para…</t>
  </si>
  <si>
    <t>RoptE</t>
  </si>
  <si>
    <t>…nages que podían Mondragon, por el lado izquierdo de la Cun.ua de ¡o; Diputado, de tener interes en eilos Francia, por los ilustrados portugueses &amp;c. Des pues de la comida se __El Sr. RoptE, asociado de la casa KopfF y Eeukart, en ocasroti que hizo ejercicio de cañón , en el cual manifesta on mucha destreza !«&gt; su socio se hallaba ausente desaparee o , llevándose un gran nume nuevos artilleros, continuando toda la tarde la» diversiones s.-r-cui…</t>
  </si>
  <si>
    <t>Roque</t>
  </si>
  <si>
    <t>…va la Constuiui'n, viva nuestro Rey cons de Alcaráz á D. Juan Moreno de la Espada; y para el titucional. Se dirigieron luego á la plaza , y allí saludaron á de Peñas de S. Pedro á D. Roque de la Figuera. la lápida, haciendo tres descargas. Por la noche dieron los Circulares de la Junta del Crédito público.mismos milicianos un baile general en el teatro, con entra da franca, sin distinción algura., El regocijo qi.e en aquel «Excmo. Sr.: El juez…</t>
  </si>
  <si>
    <t>…ntisteban á D. Josef Vicente Irazabal: para el de han sido colocados. Estos detestan un sistema que cierra la puerta á sus Estella á D. Hemeterio López Blanco: para el de Tudela á D. Roque arbitrariedades, por cuyo medio aumentaban sus intereses, y satisfa Domingo de la Figuera : para el de Aoiz á D. Josef Alberto de Beor- cían sus resentimientos particulares. Creemos que de ningún modo se tegui: para el de Olite á D. Josef Aragón. atribuirá á…</t>
  </si>
  <si>
    <t>…María Hoz, en valentes; pero para egecutar el citado pago obtendrán antes orden ex Santiago D................ Barros, en Segorve L&gt;. Josef Cuevas, en Sego- presa de la junta. via D. Roque y D. Francisco Delgado, en Sevilla D. Juan García 14- Las oficinas del establecimiento en las provincias llevarán cuen Burdugo, en Sigiienza D. Benito Ciruelos do Rojo, en Sobona Don ta, parcial á cada partícipe en libros proporcionados, en los cuales sen Ramón ¿erra y Orio, en Tar…</t>
  </si>
  <si>
    <t>Ros</t>
  </si>
  <si>
    <t>…empresas de esta naturaleza. Aunque Carta tercera de D. Boque Leal. Diezmos. Opiniones del los franceses estaban ocupados en otros objetos muy dife F.Veloz sobre su origen. La del Sr. Ros, obispo de Tortosa, so rentes., tampoco abandonaban las tareas geográficas. Sí los bre este precepto. Diezmos introducidos en España.por los fran ingleses nos hacían conocer mejor la punta meridional del ceses, Disposiciones de nuestros Reyes sobre diezmos. V…</t>
  </si>
  <si>
    <t>…en su hermosa fábrica de Clichi; otros químicos han pri públicas. Dueño de estos bienes. Tres clases de ellos. Opinión vado á los holandeses de los enormes beneficios que cán del Sr. Ros sobre los monasterios ricos. Calificación, original del se guian con las preparaciones mercuriales y los óxidos de P. Velez. Muchos pobres mantenidos por monasterios ;qué prue plomo. ban? Diferencia de la propiedad de los particulares y de. las Los Sres. Chap…</t>
  </si>
  <si>
    <t>Rosa</t>
  </si>
  <si>
    <t>…co de la. artillería; alrededor del cadáver ua cesidad de nombrar un general en gefe del egército, respec número considerable de voluntarios nacionales con cirios to á hallarle el general Rosa electo diputado en Cortes, el encendidos; y por último un duelo numerosísimo', compues Sr. Fernandes Thcímaz manifestó que el egército no estaba to de toda la oficialidad de ios cuerpos que allí residen ; dei sin cefe , y que eso correspondía al poder egecutí…</t>
  </si>
  <si>
    <t>…gunos de los judíos nuevamente que la-pensión que disfruta pase despúes de su muerte á sus hijas Doña convertidos estaban en el error de que después de la venida del Me-* Tomasa y Doña Rosa. sias no debían reconocer mas Príncipe que á Dios, confuta su error,- A la de Guerra una exposición de los oficiales del ramo adminis enseñándoles que toda alma debe estar sujeta á las potestades sublimes, trativo de artillería del departamento de Valencia, p…</t>
  </si>
  <si>
    <t>Rosa, Martinez.de la</t>
  </si>
  <si>
    <t>Martinez.de la Rosa</t>
  </si>
  <si>
    <t>…blecerse toda la caciones siguientes, una de los Sres. Medrano, Golfin, Moscoso, Ser- parte segunda, se excite_al Gobierno para que se verifique en lo porállach y Losada, otra del Sr. Martinez.de la Rosa, y otra del Sr. Na sibla. vas acerca del modo con que han de considerarse los militares en la El Sr. Gaseo, manifestó que el objete que se habia propuesto en elección de diputados á Cortes, fue del mismo dictamen que el dicho sus indicacionesano era la .suspe…</t>
  </si>
  <si>
    <t>Rosa, Santorre de Santa</t>
  </si>
  <si>
    <t>Santorre de Santa Rosa</t>
  </si>
  <si>
    <t>…in gran pérdida; pero el Parlamento naciorial temente aquella noche en que se nombrase ministro de la Guerra al seguía reunido, y manifestando siempre la mayor energía, á pesar de conde Santorre de Santa Rosa, á lo que accedió con apariencias de sa cuantos rumores han esparcido varias personas mal intencionadas, Su tisfacción , sin duda para ocultar mejor la fuga que proyectaba á Nova poniéndole disuelto ó sumiso enteramente al Gobierno absoluto. Sí ci ra , y que…</t>
  </si>
  <si>
    <t>…erá á tomar aliento con vuestra concordia y resolución; el Rey Cárlos ' ITALIA. Félix os dará gracias algún dia por haberle conservado el trono, =5 Turin 23 de Marzo de 1821. = El conde Santorre de Santa Rosa, mi Turht »£ de Mario. nistro interino de Guerra y Marina.” El día 15 se verificó con la mayor solemnidad ante la Junta pro visional del reino el juramento de S. A. S. el Principe Regente en los muela. Términos siguientes: „Yo Carlos Alberto de Saboya, Prínci…</t>
  </si>
  <si>
    <t>Rosaron</t>
  </si>
  <si>
    <t>…o con la mira de cultivar " Gobierno. Se atribuye esta medida á haber aprobado este batallón la el azúcar ó el café , sino con la de hacer feliz á una porción, de hom conducta del general Rosaron en Mesina. Los oficiales napbliiar.os que bres, y al mis-no tiempo mejor! Busquemos un pais si es.menester en tuvieron partéenla reunión de Monteforte, y han podido ser presos, han el Océano austral, en las costas de esa nueva Holanda, tan grande sido encerra…</t>
  </si>
  <si>
    <t>Rosen</t>
  </si>
  <si>
    <t>…ón públ ca i las personas que había comprometido, las cuales de rezelo, estando la Francia mas bien para temer que para ser temida. De berían ser declaradas inocentes; i saber: el conde Rosen , espitan de la todos modos si es cierto este proyecto puede llegar á ser perjudicial provincia de Gothembourgo; el general conde de Lagardie; el primer en su egecucion, pues justamente en este caso será cuando exciten en gentilhombre de cámara conde de ijtem…</t>
  </si>
  <si>
    <t>Roseñada, Marcos de</t>
  </si>
  <si>
    <t>Marcos de Roseñada</t>
  </si>
  <si>
    <t>…s del ayuntamiento de Segovia por haberse admitido á la oposición de estatutos corregidos y arreglados al sistema constitucional de la Mo curatos patrimoniales de aquel obispado á D. Marcos de Roseñada, narquía , y otra del Sr. Torres sobre que el Gobierno se ponga de acuer natural del de Santander. do con la Sta. Sede para la egecucion de las leyes dirigidas á modifi A la de Infracciones de Constitución se pasó una exposición de car la actual disciplina de…</t>
  </si>
  <si>
    <t>Rosier</t>
  </si>
  <si>
    <t>…e ayer, á la que asistieron el director general de recauda ción y el ministro de Instrucción pública como comisarios del Rey, fuá AUSTRIA. del mayor interes. Se leyó una carta del diputado Rosier, fiscal de lo criminal ea FRONTERAS DE LA VAUVQUIA. Mons, en que anunciaba verse precisado á volver á su tribunal en cum plimiento de un oficio que el ministro de la Justicia le habia comuni Brassovio (Cronstad) 10 de Junio. cado, y que esta resolución no le…</t>
  </si>
  <si>
    <t>Rosostenerla</t>
  </si>
  <si>
    <t>…mismos si su religión genera plantarum aequinoetialltim. no era mala, ó á lo menos si no se engañaban en cuanto á los medios de En la Dieta de Noruega propuso el-17; de Febrero el cónsul Rosostenerla. Estoy pronto á perecer por atestiguar la verdad de las doc senkilde que ningún representante pudiese admitir empleo público ó trinas de la iglesia anglicana; pero nó deseo que sea sostenida por nin favor alguno del Soberano hasta pasado up aqo^dqspu^s Je su…</t>
  </si>
  <si>
    <t>Rosria, Joaquin de</t>
  </si>
  <si>
    <t>Joaquin de Rosria</t>
  </si>
  <si>
    <t>…juez fiscal con su diario ó Baró de Sola, ev.-alcalde constitucional. D. Eduardo Serra, id. id. extracto , en el cual hará por sí ó á solicitud de los defensores cuantas Figaeras D. Joaquin de Rosria, hacendado. D. Baudilio Pera. Sta. Co reformas y adiciones sustanciales fueren necesarias para que su conte lunia de Parnés D. F’rancisco Batile y Sagur. Montblanch D. Pablo nido se ajuste exactamente á lo que resulte del proceso, á satisfacción Anguera y Rie…</t>
  </si>
  <si>
    <t>Rossaroll</t>
  </si>
  <si>
    <t>…Dirección general de policía. Lindres 36 de Abril. ” Habiéndose hecho notoriamente culpable de alta traición el ex Uri periódico de Viena insinúa que acaso no se disolverá el Con general Rossaroll por su conducta en Mesina , se hace saber al publi greso de Laybach sin tomar algunas medidas dirigidas á impedir en co que si volviera á cualquiera punto de los estados de S. M. será lo sucesivo las conmociones políticas semejantes á las que han sido cau aho…</t>
  </si>
  <si>
    <t>Rossi</t>
  </si>
  <si>
    <t>…do concerniente á los derechos de los ciudadanos. un grave insulto hecho el año pasado en Erzerum á una Sesión del 28. de las mugeres del Schah, que yendo á los santos lugares, El Sr. Rossi leyó un informe que le habían remitido Íiasóos aduanerospor Erzerum,turcos,queconestápretextoen las defronterasreconocimiento,de Turquía,quiy contrado á unaun cantidadintendente,'delde ^óoocualducadosresultabaun destinoque estemuy'habíadiversoda sieron penetr…</t>
  </si>
  <si>
    <t>…refugiado en los montes te" presentada al ministro de las Colonias en el mes de Mayo próximo pa miendo la venganza de los turcos. Nada se sabia con respecto al prínci" sado por el Sr. Rossi, en la que se quejaba de actos arbitrarios cometidos pe Ipsilanti, el cual no parece que ha progresado. El bajá de Bosnia ha en la isla de Zante, y que se comunicase a la Cámara una nota exacta desistid© del proyecto de atravesar la Servia con sus tropas. Deb…</t>
  </si>
  <si>
    <t>Rossi, Francisco</t>
  </si>
  <si>
    <t>Francisco Rossi</t>
  </si>
  <si>
    <t>…y de la Marina, despachará el Sr. Pignatellí; y du rante la del príncipe' de Cardito, presidente de la comisión Ñapóles jo de Diciembre. de instrucción pública, hará sus veces el Sr. Francisco Rossi, individuo de la misma comisión. ^ Sesión del lo. Después de haber leído el secretario una carta del mi INGLATERRA. nistro de Hacienda sobre un empréstito de 12 millones, pro puso el presidente al Parlamento el proyecto de ley si Londres 8 de Enero. guiente :…</t>
  </si>
  <si>
    <t>Rostriaga, Antonio Ruiz</t>
  </si>
  <si>
    <t>Antonio Ruiz Rostriaga</t>
  </si>
  <si>
    <t>…epresentar á sus conciudadanos. Cuanto mas au Parroquia de S. Millan, xy electores. gustas y mas sagradas son las funciones de.este cargo, cuanto mayores D. Andrés Moya Luzuriaga, D. Antonio Ruiz Rostriaga, Den virtudes se reconocen necesarias para ser árbitro de los destinos de una Fermín del Rio y de la Vega, D. Francisco Acebal y Arratia, D. Fran patria adorada, tanto mas repugna á sus comitentes el haber de desnu cisco Fernandez, D. Francisco de Paula Ferna…</t>
  </si>
  <si>
    <t>Rotaide, Nicolás de Santiago y</t>
  </si>
  <si>
    <t>Nicolás de Santiago y Rotaide</t>
  </si>
  <si>
    <t>…ó en el diario Gaditano, A la que sobresalga en aritmética otro, consistente en ¿o rs. vn. ó numero 183 , del 5.hado 17 de Marzo último, denunciado por el coro Su equivalente. nel D. Nicolás de Santiago y Rotaide , la ley abs.lvió á D Camilo A la que sobresalga en conocimientos del catecismo político otro Gntrano Tomé y Cabañas, responsable de dicho impreso, y en su con igual en un todo al anterior. secuencia mandó que inmediatamente se le alzase la fianza, y que esta…</t>
  </si>
  <si>
    <t>Roten, Antonio</t>
  </si>
  <si>
    <t>Antonio Roten</t>
  </si>
  <si>
    <t>…n los individuos que se hallan en el caso de ser socorridos .Todavía conserva el cristianismo este carácter sagrado; la libertad con urgencia , y se está ya egecutando por mano de D. Antonio Roten, renace en la Grecia bajo el estandarte de Constantino, y con su divisa brigadier con destino á esta plaza, á quien ha dado todas las instruccio in hi‘c siynn vincei. Me parece que puedo citar este egempio sin inco nes necesarias al intento. modaros, porque n…</t>
  </si>
  <si>
    <t>Rótildé, Nicolás'Santiago</t>
  </si>
  <si>
    <t>Nicolás'Santiago Rótildé</t>
  </si>
  <si>
    <t>…cia se había excedido dé sus faculta-, de servicio.' ■ V-Ü"V’. , ’. ..*!’'!'-..'!,’7;,,!&lt; ,,7'".,! des- &amp;c. • y en su comprobación se mandó* leer el acta de la sesión en, Otra dé' D. Nicolás'Santiago Rótildé", ayudante'general,del. éstadó, quetse habia* tratado dé'esté asunto. ' " - - • , mayor del egército de S. Fernando, solicitando su fétiro suá'íueldÓ, Leyó el acta el.Sr. secretario,, y ,el Sr. Javier.Monteiro añadió uso de uniforme ni fuero militar, con tal…</t>
  </si>
  <si>
    <t>Rotun, Mariano</t>
  </si>
  <si>
    <t>Mariano Rotun</t>
  </si>
  <si>
    <t>…D. Pedro Valdés, juez de primera instancia de ja de Verade todas clases, inspirar la obediencia debida i las leyes,.y castigar í cruz, vindicándose de la queja dada contra él por D. Mariano Rotun fódós aquellos qué bajo cualquier pretexto promuevan ,él desorden y da y otros vecinos de aquella ciudad. la insurrección; sé hace preciso atraer 4 los ilusos al cumpliiriiento de Las Cortes recibieron con agrado , y mandaron pasar 4 la bibliote sus propios'd…</t>
  </si>
  <si>
    <t>Rovira</t>
  </si>
  <si>
    <t>…para que se atendiese á pueblos vecinos.” varias clases del egército, que desde el año 1814 carecen de ascensos. El Sr. ministro de la Guerra manifestó que era preciso saber si El Sr. Rovira y otros Sres. diputados fueron de parecer que el ar convendría á la Nación el que se llevase á debido efecto lo que se tículo necesitaba un poco mas de explicación por las dificultades que proponía en este artículo. expresaron, refiriéndose al contenido del a…</t>
  </si>
  <si>
    <t>…mandó que-sé pase á la comisión especial nombrada* para’: examinar las causas pasar á una comisión especial. de Estado del año de 1814 el expediente' promovido'pur‘Doña’Maríat J1 Sr. Rovira presentó una indicación relativa á que se mandase á del Carmen , viuda de D. Carlos Elias Delgado , en solicitud de que sé la comisión de Agricultura que presentase un proyecto de ley, en el le asigne la correspondiente pensión para que no esté niartienípó su…</t>
  </si>
  <si>
    <t>…grande entorpecimiento la marcha de Sa mandó pasar á la comisión Eclesiástica una exposición que pre los negocios; y asimismo era preciso tomar en mucha consideración el sentó el Sr. Rovira de algunos eclesiásticos de América, pidiendo que dictamen del consejo de Estado, siendo este una corporación de 30 las Cortes adopten medidas para aliviar su estado. ciudadanos escogidos de la masa de la Nación, no por el Gobierno , si A la de Infracciones d…</t>
  </si>
  <si>
    <t>…artículo siguiente se ve que quedan excepta reglas que se proponen en la parte administrativa de este plan.” das las casas de campo; de lo contrario, no pudiéndose satisfacer á El Sr. Rovira manifestó que no podia aprobarse este artículo, por esta objeción, ó se debe poner el artículo como he indicado, ó de que se citaba en él la base del artículo y.°, que no habia sido apro be volver á la comisión. bada , á lo que contestó el Sr. conde de Toreno…</t>
  </si>
  <si>
    <t>…l- El Sr. conde de "forano dijo: Uno-de los argumentos del Sr. premaccnes de tais provincias.” ... : i ' opinante está rediieidóá manifestar-él poco aumento que tendra'está , - El Sr. Rovira dijo quesiendo la sal un mineral abundante en Es- -renta. Es bien evidente que si esta renta ha producido cierta cantidad .paña; y que puede dar mucho benefició á¡la Naciqn, le parecía que se = cuando se yendia-á io rs; ,-con mucha mas razón se consumirá la m…</t>
  </si>
  <si>
    <t>…las cillas de los diezmos mas bien paradas sin prorateo.” juicio de la Hacienda pública. Aprobado. Habiendo reclamado algunos. Sres. diputados las adiciones que te Indicación del Sr. Rovira: » Que las Cortes se sirvan resolver sobre nían hechas ai plan de Hacienda, las cuales no fueron tomadas en la suerte de los comerciantes que habiendo hecho especulaciones sobre consideración por la comisión , declararon lasCortes que no se discutieran. tabac…</t>
  </si>
  <si>
    <t>…ó la minuta de decreto sobre minería de la Pe año económico del modo siguiente: nínsula. «Recapitulando todo lo dicho, cree la comisión que las Cortes Se aprobó una indicación del Sr. Rovira para que las Cortes se deben aprobar el presupuesto para la casa Real por Ja suma de 45.2120 sirvan resolver que se circule el proyecto de arreglo dq la marina mi reales en la forma siguiente: i.° Por la consignación de S. M. el Rey litar, presentado á las Co…</t>
  </si>
  <si>
    <t>…títulos de admiración y de respetó.” ■ Luego que lo hubo verificado concedió la palabra el Sr, presidenfeal ra qué hemos de dar unos títulos á ciertos pueblos que luego tal vez se Sr. Rovira, el cual, apoyando el dictamen de la comisión5, manifestó les tenga que quitar! ;Por qué se les ha de dar unos títulos que han de que el rectificar la carta topográfica de Espáña no era cosa de dos años, conservar á toda costa, y que en caso de quererles desp…</t>
  </si>
  <si>
    <t>…r retirarse á su provincia. Quedó concedido. de la posesión, sin embargo de las muchas razones que la asisten. El Sr. San Miguel continuó la primera lectura del código civil, y El Sr. Rovira dijo; Que por la falta de datos que tiene la comisión, se mandó imprimir la parte que se habia leido. y aun el Gobierno , no ha tenido aquella por conveniente señalarla ca Continuó la discusión sobre división del territorio. pital : que la comisión, como ha m…</t>
  </si>
  <si>
    <t>…esulta que la diferencia que hay de tener 8o3 milicianos á te tes para el reemplazo del egército permanente. ner 40© soldados es de 40 millones por un lado y 343 por otro , que EL Sr. Rovira hizo presente que esto se habia propuesto con objj!o componen 400 y tantos millones. También resulta de aquí un grande de fomentar mas la marina española, pues no solamente se rebajaban aumento de población, fundado en'que siempre que se aumenten los me los m…</t>
  </si>
  <si>
    <t>…propio país del bu .géneros que se introduzcan por tierra se exigirá un 2 por 100mas sobre que conductor.” los valores de los géneros, según las reglas de arancel , para compenEl Sr. Rovira pidróique se leyese el voto particular que hizo con .sar en parte otros derechos, y los arbitrios consulares y de puertos qué el Sr. Desprat. &gt; deben pagar los mismos géneros trasportados por mar.” . Se leyó en seguida tí (voto de dichos señores relativo á qu…</t>
  </si>
  <si>
    <t>…speto y subordinación debidos á las auto Después de haber apoyado el Sr. Florez Estrada lo que habla dicho ridades públicas, y rec.bid con esto nuestra pastoral bendición. Dado el Sr. Rovira, se declaró este asunto suficientemente discutido; y que en S. Baudilio del Llusenés á io de Octubre, firmado de nuestra mano dó aprobado el artículo , suprimiéndose las palabras que habla indicado y nombre, sellado con el escudo de nuestras armas, y refrenda…</t>
  </si>
  <si>
    <t>…por pauta en la parte que se ha podido la constitución de tes podrán decir lo que tengan por mas oportuno. Ja marina inglesa , adoptándose o que se ha podido para la marina es El Sr. Rovira: El discurso del Sr. Lallave tiene dos partes, y á la i.® pañola en razón del carácter , leyes, costumbres y sus relaciones lo ha respondido el Sr. presidente manifestando que el -Sr. secretario del cales. Todas estas cosas son las que ha tenido ia comisión p…</t>
  </si>
  <si>
    <t>…general é inspector general de arsenales, cuyas funciones y destinos se yas; por cuyos motivos pido que no sé apruebe el artículo. extinguen y refunden en el 'almirantazgo.” ■ El Sr. Rovira pidió que no se pasase de la discucion del art. i.° al Ld Sr- Sancho dijo que convendría saberse si las ordenanzas conce 3.0, y que para satisfacer al Sr. preopinante advertía que el tribunal den al director general de la armada, mayor general é inspector ge…</t>
  </si>
  <si>
    <t>…mas ardiente á ir á consagrarse al tringir las facultades que la Constitución atribuye á la autoridad Real. alivio de los míseros afligidos. El Gobierno , que deseaba con el ma El Sr. Rovira contestó que la comisión respetaba la Constitución, yor anhelo socorrer á la desventurada Tortosa, quería al mismo tiem y que no podía menos de ser asi , componiéndose de individuos de ias po conservar vidas tan preciosas; pero en vano, pues no pudo conte Cor…</t>
  </si>
  <si>
    <t>…cos debiendo considerarse las cantidades de los presupuestos puramente te de algún pueblo ó corporación. nominales , no podía prescindirse de aprobar este artículo , añadiendo El Sr. Rovira hizo presente que las obras hidráulicas de que se que en donde decía puede el almirantazgo rrupuncr al Gobierno, se trataba t-man un» íntima relación con la marina, en razón de que añadiese oyendo al consulado d diputación provincial respectiva. se habían d:…</t>
  </si>
  <si>
    <t>…s conocimientos, y al mismo tiempo menos anteriores, y por el mismo orden , será preferido el huérfano. edad. El Sr. Sánchez Salvador dijo que se oponía á este artículo, porque El Sr. Rovira: La comisión ha coincidido en las mismas ideas del daba una preferencia á los hijos de los oficiales de marina ó del egér Sr. preopinante , y no exige que deba entrar el aspiro,nie—precisamente cito en una carrera que estaba abierta á todos los ciudadanos. á…</t>
  </si>
  <si>
    <t>…instrumentos, ya los ha no procediese podría muy bien decírsele que no sabia su obligación; bia en los buques. y que ademas si las Cortes aprobaban este artículo, no hacían mas El Sr. Rovira dijo que esto no bastaba, porque los debia llevar que abrir un camino á la arbitrariedad, para que luego se viese cargada consigo toda la vida, aun cuando ascendiese en su carrera. la Nación con gastos excesivos y sin medios para satisfacerlos, por El Sr. San…</t>
  </si>
  <si>
    <t>…no hallaba Arr. 60. » En cualquiera ocasión que al guardia marina por falta en esto ninguna utilidad. de robustez ú otras causas , no se le considerase á propósito para la car El Sr. Rovira expuso que los brigadieres del egército tenian algu rera de la mar, podrá ser destinado á otro d: ios cuerpos de laarmuda, nas mas obligaciones que los de marina, los cuales no se diferenciaban para el que tenga tas circunstancias necesarias. El de mala condu…</t>
  </si>
  <si>
    <t>…Síes, de la comisión si el Gobierno se ha de sujetar á la ta, es decir que para nada sirve este-cuerpo, o propuesta del almirantazgo ; porque si e, asi , no sé cómo el Gobierna El Sr. Rovira: No es precisamente ds.este artículo la contestación -ha de responder de la aptitud de estos individuos, ni sé cómo á.esta ss que.exige el Sr.'preopinante , pero sin:embargó tengo mucha satisfac le ha de exigir la responsabilidad. ción en dársela. Exigir que…</t>
  </si>
  <si>
    <t>…que obtuvieren tales empleos, quedarán obligados go,. á quien siempre deberá dar parte de tal ocurrencia.” á venir al servicio de la armada en tiempo de guerra si fueren llama El Sr. Rovira pidió que volvieraá la comisión, y asi se acordó. dos , y entonces disfrutarán todos los goces que correspondan á su clase Art. 94. »&gt; Ningún oficial podrá ser nombrado para ninguna secre en el destino que desempeñasen.” Aprobado. taría del despacho ni del al…</t>
  </si>
  <si>
    <t>…. zzD. Ramón Marco.z=D. Manuel Sierra. =D. Serapio Marin.zzr pleándose en él solo géneyos nacionales.” Aprobado. D. Eugenio Lopez.zzD. Josef Percz.=D. Luis Zueco. = D.. Vicente El Sr. Rovira manifestó que la comisión, después de haber oido al Pastor. zzD. Valentín Jope. ~ D■ Ignacio Flesas. zz D. Ramón Cana- gunas observaciones hechas por diferentes oficiales del cuerpo de mari les. = D. Joaquín Pérez. zzD. loo Oliyer.zzD. Tomas Perez.zzDon na ,…</t>
  </si>
  <si>
    <t>…para no dar lugar A abusos que se pueden cometer en podrá votar el artículo-con el debido conocimiento. semejantes casos, qu£.s£ ponga til ¿1 una aclaración en estos términos: El Sr. Rovira: El sueldo de los primeros contramaestres es de 300 Siempre que estuviesen haciendo el Servicio tanto tiempo antes de la reales , y embarcados tienen 600; pero debo decir que en la legislatura publicación del reemplazo de egércitp, porque las leyes deben sen’…</t>
  </si>
  <si>
    <t>…o ca; y después de haber ..manifestarlo qüe este artículo era contrario á; que si lo verificasen én;:ests dirección general, tendrán el mismo re dicho plan, y de.haber expuesto el Sr. Rovira que la ¿Omisión desea-' sultado. rii’ reunirse con algunos de los individuos de salud pública para deter ANUNCIOS. minarlo mas conveniente acerca de éste punto', se mandó volver á la' comisión él artículo y lo restante del título. '; En el Juzgado interino de…</t>
  </si>
  <si>
    <t>…entos , y sabremos entonces con acierto si debemos juntarlas ó sepa marina necesitase tanto que la hubiese ! rarlas. ¡ Que bueno seria que tratándose de un matrimonio , y dudan El Sr. Rovira expuso que la medida propuesta por la comisión era do si uno era ó no hermafrodita , dijéramos que se juntaran! ¡Pues muy justa y equitativa; porque no estando, como no está nuestra no seria necesario saber antes á qué sexo pertenecía? Pues lo mismo su marina…</t>
  </si>
  <si>
    <t>…algo á la prohibición: que en Galicia no se había mismo precio, ó acaso m..s baratas que las extiangeras. perdido la afición á esta clase de manufacturas; pero que no habiendo El Sr. Rovira dijo que las fibricas de lonas de que se trataba nun lino extrangero, se obligaría á que se cultivase en Galicia mayor canti-r ca habían proveído á la marina militar , y que las Cortes extraordina dad que la que actualmente se cultiva; dándose mayor fomento p…</t>
  </si>
  <si>
    <t>…i se trataba de precauciones de parte de aquella Noveno distrito. Cádiz con Cnita, Córdoba, Huelva y Sevilla. nación , de miras hostiles y demas? Para mí es indudable que no po El Sr. Rovira hizo varias r&lt; flexiones para manifestar que no de drá hacerlo, ni será.posible usar de la mejor arma que tiene una na bería unirse el distrito militar de Cádiz con los demas que se pro ción contra los enemigos exteriores, que es la precaución, ó sea la pre-…</t>
  </si>
  <si>
    <t>…eñalasen 5S rs. i los bri •obre el modo de egecutarse varios artículos de la ley de 21 de Abril gadieres empleados en estos destinos, y 651 á los mariscales de'campo. de 182 t. El Sr. Rovira, después de haber hechovarias reflexiones para mani Se verificó Ja primera lectura del dictamen de lás comisiones defía- festar que tal vez habría ocasiones en que el Gobierno tuviese por con cienda y Comercio y del voto particular del Sr. Revira, relativos i…</t>
  </si>
  <si>
    <t>…idad que hay encargo como correspondía. de dar al pueblo leyes que se funden en los principios de moral ur.iDespués de haber apoyado el Sr. Sánchez Salvador la opinión del versal. Sr. Rovira, manifestando que las reflexiones del Sr. Banqueó podrían Contrayéndome á hacer varias observaciones Sobre el dictamen di yqnir. bien cuando se.tratase del arreglo de la administración de mari Ja cena s on en su totalidad, digo que considero como vaga Ja mala…</t>
  </si>
  <si>
    <t>…oda la claridad necesaria su idea , se acor con algún ascenso 1 dó que tuviera presente ia comisión esta adición; y se aprobó el artículo. En cuanto á los arts. 16 y 17 ya dice el Sr. Rovira en su voto par - Art. 2.0 « La fuerza de este resguardo constará de cinco berganti ticular que pueden tomarse con tal extensión, que causen competencias nes ó buques, de fuerza de 18 á 21 cañones,-y de 15 buques menores y disputas entre los oficiales de la ma…</t>
  </si>
  <si>
    <t>RoVira</t>
  </si>
  <si>
    <t>…la diferencia qué' meta” , en lugar de «'aunque no provoquen. directameute a cometer el se haciade’ las costas'merididnalés jr de las septentrionales. del i toó culpa &amp;c.”i &gt; ' El Sr. RoVira co'ntéstó qUe'el motivo de hacer la diferencia'que1 se Et Srs Romero Alpuente opinó; que este artículó debia suprimirse^ expresaba en el'ártículo 'era por-raéó»de-láisituac¡oñtopográfica de las: porque su - contesto ó significaba / mucho.ó significaba muy &gt;po…</t>
  </si>
  <si>
    <t>…ajando más penas que prescriba la ley. Lo dado en soborno ó regalo no se res los sueldos de que se trataba. tituirá nunca al sobornador, sino que se aplicará también su importe El Sr. Rovira: Es verdad que los productos , tanto agrícolas como como multa. mercantiles son cortos; pero también lo es que el Estado tiene ciertas 1 « Si lo prometido en soborno no consistiere en cantidad ú otra dá cargas, de las cuales no se puede desentender. Partiendo…</t>
  </si>
  <si>
    <t>Rovira, Juan</t>
  </si>
  <si>
    <t>Juan Rovira</t>
  </si>
  <si>
    <t>…te legítima en representación de la Hacienda nacional en la causa for internado en el Sur de Ñapóles, y los rumores de haber muchas parti mada contra el administrador propietario D. Juan Rovira, y varios das en aquellos países , dejan presumir la necesidad' de la presencia de empleados, por extracción de lana y añil con guias ? por permitir des un egército bastante numeroso, si ha de establecerse lo que por alli se empeñar las funciones fiscales en…</t>
  </si>
  <si>
    <t>Rovira, Pedro Josef</t>
  </si>
  <si>
    <t>Pedro Josef Rovira</t>
  </si>
  <si>
    <t>…eriódicos de la insurrección griega debe ser D. Juan Martínez Arroyo y á D- Tomas Escamez: para la de Molina muy desagradable para los cristianos que desean la preponderancia de á D. Pedro Josef Rovira: para la de Cartagena á D. Josef Antonio Jos musulmanes en la parte de Europa sujeta al Sultán, pues tal es el Vázquez Qucvedo: para la de Cieza á D. Tadéo Rico Bononat: para giro que van tomando los acontecimientos en aquellos paises, que bien la de Hellin á…</t>
  </si>
  <si>
    <t>Roviradijo</t>
  </si>
  <si>
    <t>…es, y decirse en su Jugar comandante de depar mirantazgo no debe informar sobre estas obras, lo cual pertenece á las tamento ú otra cosa equivalente. diputaciones provinciales. El Sr. Roviradijo que podría aprobarse el artículo sin perjuicio de El Sr. Oúver manifestó que se habia puesto esta circunstancia en variar después el nombre, y asi se verificó. el artículo , porque se habían hecho algunas obras en distintos puntos, • Art. i&lt;5. « Para atender…</t>
  </si>
  <si>
    <t>Rovjra</t>
  </si>
  <si>
    <t>…el Sr. Traver que se haga con los ministros, debo manifestar rango de una potencia marítima de tercera dase. que yo soy muy amigo de reformas; pero en lo exterior es preciso an El Sr. Rovjra hizo presente que encontraba un vacío en el pre dar con mucho cuidado ; y ya dije el año pasado que La calidad de la supuesto; á saber: el no decirse en qué estado se hallaban los buques, persona influye mucho en estos empleos. Por lo mismo no me opon para cu…</t>
  </si>
  <si>
    <t>Rovra</t>
  </si>
  <si>
    <t>…no se discuta este proyecto; y es tanto menos importante rece opuesto á la Constitución y á las leyes. la asistencia de dicho Sr. secretario, cuanto que está conforme en la par Ei Sr. Rovra manifestó que la comisión no trataba de defender ab te principal del proyecto. Ademas tenemos una porción de egemplares solutamente lo que rtfilió el Sr. preopinante; pero sí de manifestar las en que Ja falta de ios ministros no ha sido un obstáculo paia que…</t>
  </si>
  <si>
    <t>Rovtra</t>
  </si>
  <si>
    <t>✓ V*T • El Sr. Rovtra hizo varias riftexiones acerca de los perjuicios que ss do antes en la' fragua herrado y” forjado en la forma que se señale. seguirían de.-imponer la cantidad de lo rs. en libra de tabaco de Ul Todos los opositores á estas plazas comparecerán en esta corte an…</t>
  </si>
  <si>
    <t>Ru, Antonio Posada</t>
  </si>
  <si>
    <t>Antonio Posada Ru</t>
  </si>
  <si>
    <t>…u Santidad celebró el 24 de Setiembre un consistorio, y en él se que con el carácter de provisional, llenará de júbilo á sus habitantes, preconizó para el obispado de Cartagena al Sr. D. Antonio Posada Ru y templará el disgusto de rezelar otras novedades. i bín de Celis__Hemos hablado de una bula de excomunión dada por su La comisión no ha olvidado los inconvenientes de esta resolución. Santidad contra todo lo que toca y atañe á carbonarismo: larga es, pe El p…</t>
  </si>
  <si>
    <t>Ru, Fernando</t>
  </si>
  <si>
    <t>Fernando Ru</t>
  </si>
  <si>
    <t>…el segundo batallón del del Infante D. Antonio: á D. Hipó del nacimiento, misterios y alegorías santas, las zarzuelas, óperas, lito Angulo, del primer batallón del de la Corona: á D. Fernando Ru serenatas, loas, follas, entremeses, bailes y sainetes &amp;c. Scc. : un to bín , del segundo batallón del de Zamora: al brigadier D. Esteban Llo- mo en 4.0 Se hallará en las librerías de Sancha y de Castillo á 20 rs. en bcra, Hel segundo batallón del de Soria: á…</t>
  </si>
  <si>
    <t>Ru, Mariano</t>
  </si>
  <si>
    <t>Mariano Ru</t>
  </si>
  <si>
    <t>…er con la sangre en el continente europeo. Las Cortes recibieron con agrado 180 egemplares que fes hab¡á re-1 ,,¡Y vosotros , magnánimos y heroicos españoles y portugueses, mitido D. Mariano Ru,z de: los problemas que ha publicado1 sobre; nuestros hermanos! ¡Vosotros aplaudiréis el valor con que vuestros el. arte de curar. ■ - :■ / ■ hermanos de N-polas, y otros guerreros escogidos de la valiente Italia, El Sr. presidente nombx&lt;&gt; al ShvCosío para la…</t>
  </si>
  <si>
    <t>Rubalcava, Joaquín</t>
  </si>
  <si>
    <t>Joaquín Rubalcava</t>
  </si>
  <si>
    <t>…Garnica , D. Bedro Talens, D. Josef Varona, ño, con solo las cuatro paredes de piedra y su puerta vie D. Miguel Gardoqui, D. Antonio Butrón, D. MiguelPaa- ja , en 1,200 rs. din y D. Joaquín Rubalcava. Cinco heredades, compuestas de 29 fanegas , 11 celemi nes , en la misma jurisdicción de Logroño, en 5,696^ rs. N5M. 20. Nota. Las tres antecedentes fincas se hallan libres da Relación de fincas que se están subastando de las apli toda carga,. cadas al Crédit…</t>
  </si>
  <si>
    <t>Rubio, Angel</t>
  </si>
  <si>
    <t>Angel Rubio</t>
  </si>
  <si>
    <t>…Lobato, Giraldo y Peñafiel, se mandó pasar á las comisiones y á las Naciones española, napolitana y portuguesa. Un inmenso gentío de Legislación y Hacienda unidas la solicitud de D. Angel Rubio y acompañaba esta marcha triunfal, que terminó en la plaza de la Cons D. Manuel Victoria, vecinos de Garróbillas de Alconetar, provincia titución, colocándose la milicia de caballería e infantería írente de la de Extremadura , en que se quejaban del juez de p…</t>
  </si>
  <si>
    <t>Rubio, Domingo Tibuicio</t>
  </si>
  <si>
    <t>Domingo Tibuicio Rubio</t>
  </si>
  <si>
    <t>…rior 189: entrados ó acome Perez, vecino de Talavera ; D. Antonio Acevedo , vecino del Puen tidos 21: salidos ó curados 3: convalecientes 37: muertos 31: existen te del Arzobispo; D. Domingo Tibuicio Rubio , vecino de la Perale tes 184. da de la Mata. Hospital de la Vireina, existencia anterior...... entrados ó acome Partido de Ocaña. tidos .... salidos ó curados ...... convalecientes ....... muertos .... exis D. Pedro Alcántara Sanz, cura párroco de Villasequi…</t>
  </si>
  <si>
    <t>Rubio, Josef Rodríguez</t>
  </si>
  <si>
    <t>Josef Rodríguez Rubio</t>
  </si>
  <si>
    <t>…dinarias por su de Junio del oficio que había recibido dei capitán ayudante mayor instalación, y recordando ia representación que había dirigido al Con del tercer batallón del Rey D. Josef Rodríguez Rubio, en que daba greso en la legislatura pasada en solicitud de ¡a agregación de aquella cuenta de sus operaciones, dirigidas á auxiliar al comandante D. Lucas vifla, en unión con el puebio de Sta. Gádea y demas, que estaban si González que se hallaba en Sta. Luc…</t>
  </si>
  <si>
    <t>Rubio, Juan María Villanueva y</t>
  </si>
  <si>
    <t>Juan María Villanueva y Rubio</t>
  </si>
  <si>
    <t>…te que se miento. Madrid 2 de Agosto de iS2t. recojan todos ios egemplares del impreso denunciado que se hallaren en poder del autor, editor, impresor, vendedor ó repartidor; y la D. Juan María Villanueva y Rubio, presbítero, teniente limosne reparación del daño si se hubiera declarado haber lugar .(Se continuara.) ro mayor de S. M., y tesorero de sus Reales limosnas, de orden del Exento. Sr. patriarca de las Indias D. Antonio Aliue y Sesé, como li NOTICIAS DE ESPAÑA.…</t>
  </si>
  <si>
    <t>Rubio, Manuel</t>
  </si>
  <si>
    <t>Manuel Rubio</t>
  </si>
  <si>
    <t>…no obstante , 155' "A lá comisión de Hacienda sé mandó pasar TIBá solicitud dé'Doña cuatro quintas partes de mi cuerpo de egército, el primero que había de María Canosa, viuda de D. Manuel Rubio, oficial 3.° que fue de la dar con el enemigo, y al cual se le confiaba una frontera de 1:50 millas, secretaría del Despacho de Gracia y Justicia, solicitando se le continué se componia de los expresados batallones. ! pagando por la tesorería general la pensi…</t>
  </si>
  <si>
    <t>Rubio, María Moreno y</t>
  </si>
  <si>
    <t>María Moreno y Rubio</t>
  </si>
  <si>
    <t>…razón de los culo que fundó D. Francisco Persoa y Doña Isabel del Castillo; y sien negocios que hayan de tratarse; extenderá el acta, que deberá quedar do acreedora en estos autos Doña María Moreno y Rubio por cierto sentada en un libro destinado al objeto, rubricado por el presidente y* crédito que le dejó D. Manuel de Santibañez, se les cita y emplaza para por él; llevará la correspondencia de la junta con todas las autoridades que en el término de 20 dias, c…</t>
  </si>
  <si>
    <t>Rublo, Manuel</t>
  </si>
  <si>
    <t>Manuel Rublo</t>
  </si>
  <si>
    <t>…titucional de S. Fernando , en solicitud de que se le perdonen 6&amp; rs. que adeuda de Borja (presentada por el Sr. Solanot), felicitando á las Cortes por al Crédito público; otra de D. Manuel Rublo para que se aumente el su segunda instalación. valor de la moneda; y otra de D. Manuel Sánchez, vecino de esta El Sr. Revira presentó una exposición del cuerpo de la armada de corte, manifestando la injusticia con que fue perseguido en 1814 y Cádiz, manifesta…</t>
  </si>
  <si>
    <t>Ruchan</t>
  </si>
  <si>
    <t>…, incluyendo en ellos una carta cerrada qué conten de Terranova del 5 de Junio anuncian que esta expedi ga el nombre , edad y residencia del autor, con un epí ción, mandada por el capitán Ruchan, del buque de S. M. grafe ó Señal que corresponda al que se ponga en. la obra, el Grasshopper, se ha frustrado1 enteramente; porque este para que abriéndose solo en el caso de obtener el premio, distinguido oficial habia tenido que regresar con la tripula pue…</t>
  </si>
  <si>
    <t>Rue, Julián</t>
  </si>
  <si>
    <t>Julián Rue</t>
  </si>
  <si>
    <t>…el reglamento, por estar las otras acabando sus tareas. regularmente sino la voz de su pastor espiritual; y si .este, al solo oír Se mandaron pasar á la comisión de Poderes los de D. Julián Rue el nombre de la Constitución, arruga la frente, y pone la cara ceñuda, da , diputado por Guatemala; y á la de Guerra-dos expedientes, el ;qué harán sus infelices ovejas? Todos los párrocos recibieron de sus uno que trata de la extinguida Cámara de Guerra, y e…</t>
  </si>
  <si>
    <t>Ruet, Josef</t>
  </si>
  <si>
    <t>Josef Ruet</t>
  </si>
  <si>
    <t>…2 del día. Aldana y Espalza , de Bilbao. plona. D. Alejandro Baile , de Lisboa. D. Josef Pantaleon de Aguirre, de NOTICIAS DE ESPAÑA. D. Andrés García del Hoyo, de Bilbao. Bilbao. D. Josef Ruet y la Torre, id. Sevilla 4 de Agosto. D. Angel Martínez, id. D. Josef Perez Marañon, de San D. Anselmo Elguizabal, id. tander. (Continua el artículo de ayer.) D. Antonio Coma, de Cádiz. D. Josef García Carrasco, de CáA los .que se presenten leyendo bien en pro…</t>
  </si>
  <si>
    <t>Ruf-</t>
  </si>
  <si>
    <t>…vanzar; mas advertido de ello por sus partidarios, ade ra, vecino de S. Juan de Arenas, sobre que sé le perdone una canti lantó por varios puntos con fuertes columnas , y atacó al mariscal Ruf- dad que se supone estaba debiendo á la Hacienda pública su difunto fo,.que defendía ¿Antrodoco con pocos centenares de hombres: al mis padre: otra de Ja junta nacional del Crédito público, manifestando los mo tiempo cambió la posición, presentándose ¿n aquell…</t>
  </si>
  <si>
    <t>Ruffo</t>
  </si>
  <si>
    <t>…ice que dicho ministro no irá á Laibach, pero que sir Gordon , que también PRUSIA. ha estado en Troppau, va al nuevo Congreso como minis tro de Inglaterra. Berlín l.° de Enero. El príncipe Ruffo, antiguo Embajador de Ñapóles en El Rey está todavía en Postdam; y se pondrá en ca nuestra corte, salió el sábado último para Laibach en virtud mino para Viena mañana ó pasado mañana. de una orden de S. M. el Rey de las Dos Sicilias para que Hace algún tiempo…</t>
  </si>
  <si>
    <t>RufFo</t>
  </si>
  <si>
    <t>…entregó á un correo ruso, quien los trajo á- viesen-prontas las tropas, y estas correspondieron gritando Troppau. •viv.i el Rey. Al ponerse en marcha les encargó que trarasett El príncipe RufFo, que continúa declamando contra el con moderación á aquellos jóvenes, y les mandó que fue*en nuevo estado de cosas, va también á Laibach, y esta parti despacio para dar lugar á que se retirasen'los menos exalta cularidad ha motivado el rumor que corre aquí de…</t>
  </si>
  <si>
    <t>…cipios, sea con respecto á los derechos de la humanidad, Varios periódicos quieren hacernos creer por fuerza sea por lo tocante á ¡a estabilidad de los Gobiernos. De todos que el príncipe RufFo, embajador del Rey de Nápoles en modos hay fundados motivos de sospechar que la Inglater Viena antes de la revolución del reino de las Dos Sicilias, ra no ha cumplido en esta ocasión con sus deberes políti pasa á Laibach con carácter de embajador. Uno de esto…</t>
  </si>
  <si>
    <t>…tamos...... como le tienen engañado, y Anunciaba la gaceta de Laibach del dia 10 la llegada á abusan de su bondad ; pero llegó el tiempo en que han de aquella ciudad del cardenal príncipe Ruffo, del marques recil ir el premio á que se hicieron acreedores. Quiera el Rufifo, secretario de Estado, y del gentilhombre cel key cielo que todo se haga con sosiego, y que manifiesten los de. Ñapóles príncipe Rutera; de los ministros franceses portugueses á to…</t>
  </si>
  <si>
    <t>…uedar da la votación propuesta para reconvenir á los ministros. se en Coriza, y que se le impidió pasar adelante. Parece Como la proposición no se encaminaba directamente á que el príncipe Ruffo es quien dirige los negocios del Rey conseguir que el nombre de S. M. se insertase de nuevo en de Nápoles en Laibach. la liturgia, lo cual hubiera hecho que se' decidiesen todos Todavía se ignora si el lord Stewart, embajador de In los que están convencidos d…</t>
  </si>
  <si>
    <t>…o á perturbar, sino á respetar el nuevo Gobierno sino para discutir con sus ¡guales sus propios intereses y los de su político de su reino! nación. ,,Hay mas todavía: se niegan el príncipe Ruffo, embajador. que «Estos eran los deberes del Rey \ y aun añadiré que estas y no era en Viena, y el pune:pe de Castelcícala, embajador en Paris, á otras han sido sus intenciones; pero los ministros austríacos tenían un prestar el juramento á la Constitución, y…</t>
  </si>
  <si>
    <t>…coronel Magdoné én Fagliacórza. Se desbandaron igualmente dos Hacienda para que informe á las Cortes si han de seguir cobrando el • batallones nacionales, que bajo las órdenes del general Ruffo estaban en nuevo sueldo dichos empleados, ó si deben seguir con el antiguo. 1 Civita-Ducale. Cada vez que. faltaba la distribución de víveres se grita No hubo lugar á votar sobre otra indicación dé los Sres. Villa y ba traición, traición, según costumbre. (^S…</t>
  </si>
  <si>
    <t>…ministerio de su cargo; en el retrato del príncipe Ipsilanti. el concepto de que con esta fecha lo traslado al R. obispo de Málaga En un artículo de Atrgsburgcr se anuncia que el príncipe RufFo, em para su egecucion en cuanto le compete. Palacio 30 de Abril de 1821.” bajador del Rey de Ñapóles cerca de la corte del Austria , ha teñidovarias conferencias en Laybach con el príncipe de Metternich, di ANUNCIOS. rigidas unas al arreglo definitivo del egé…</t>
  </si>
  <si>
    <t>Ruffo, Fabricio</t>
  </si>
  <si>
    <t>Fabricio Ruffo</t>
  </si>
  <si>
    <t>…egos, y el recuerdo de la ■■ ,Art. z.° » Esta se compondrá de los individuos siguientes: el mar antigua Grecia parece que infunde, ánimo á muchos para declararse ques Circeilo, el cardenal Fabricio Ruffo, el príncipe de Canosa , el en favor de esta insurrección. No son los ingleses los que menos se duque de Gualtíeri, el príncipe de Cuto, el director Vecchioni, el ca apresuran á ponerse bajo las banderas de los griegos con un entusias - ballero Rafael de San…</t>
  </si>
  <si>
    <t>Rufíb</t>
  </si>
  <si>
    <t>…se hallaban en tal estado, que no habían podido pagarse los bi creado muchos descontentos. A las clases amenazadas de perder tanto lletes de la lotería en el dia de su' sorteo.—El general Rufíb, preso ¿cómo ha de agradar esta ley! Disimularán, sí; pero es imposible que en un castillo, se había fugado, disfrazándose de muger—Ei 9 de No esten agradecidas á estas disposiciones. viembre fue asesinado el prelado Monseñor Tomas!--- El marques An- Haré tam…</t>
  </si>
  <si>
    <t>Rufifo</t>
  </si>
  <si>
    <t>…ocupar, porque faltos de tropa, ya no estaban guardados. declare el modo cómo debe procederse á su pago; y otra del Gefe po La poca tropa de Antrodoco se defendió con valor, y el mariscal Rufifo lítico rde Sevilla, acompañando otras de ■ distintos vecinos de aquella no se retiró sino después de una obstinada resistencia. Vanas fueron provincia, para que se Ies satisfagan por tesorería las diferentes canti todas mis diligencias para reunir unos cuanto…</t>
  </si>
  <si>
    <t>Ruggiero</t>
  </si>
  <si>
    <t>…es de parte de sus Gobiernos respectivos; presidente, vice-presidente y de secretario del Parlamento, y pretenden algunos que se trata de una ley orgánica sobre y fue reelegido el caballero Ruggiero, actual presidente.</t>
  </si>
  <si>
    <t>…a que en razón de las actuales circunstancias batirse en unión con sus conciudadanos; y le fue concedida. se autorizase á los coroneles de los regimientos de caballería para ad El Sr. Ruggiero leyó una petición de un gran número de ciudada mitir los voluntarios que se presentasen á servir por el tiempo que du- nos de la guardia de seguridad de Ñapóles para que se les permitiese .rase ¡a campaña. ir á las fronteras. EL Sr. Borrelli leyó en seguida l…</t>
  </si>
  <si>
    <t>Ruhn</t>
  </si>
  <si>
    <t>…rcos al arzobispo, servaciones que reunió Mr. Pouqueville, que vivió mucho tiempo en i un eran número de sacerdotes, y á unos 40 griegos de los mas ricos los países orientales. El doctor Ruhn ha publicado también su dicta y distinguidos, habiendo encerrado á otros muchos en los calabozos. men sobre la cuestión de si conviene ó no á la juventud alemana ir á « Entonces fue cuando reunidos en masa ¡os sphakiotas enarbolaron pelear ¿n favor de los gri…</t>
  </si>
  <si>
    <t>Rui, Pedro Surrá y</t>
  </si>
  <si>
    <t>Pedro Surrá y Rui</t>
  </si>
  <si>
    <t>…n visir y el los Sres. D. Josef Grases, coronel de artillería; D. Josef Luis Septien, capitán bajá, deseando el primero la paz y ei segundo la guerra; las ór hacendado en Ilnrta ; D. Pedro Surrá y Rui!, comerciante; D. Ra denes expedidas á los bajaes del Asia para que levanten doble número món Adan , oficial de la secretaría de Hacienda; D. llemeterio Martí, de tropas del que se había pedido; la declaración de estar en riesgo el cura párroco de Grup; D. Ra…</t>
  </si>
  <si>
    <t>Ruiz, Bartolomé</t>
  </si>
  <si>
    <t>Bartolomé Ruiz</t>
  </si>
  <si>
    <t>…ión entre los. Sres. Sánchez Salvador y sef Perez. zz D. Tomas Copao.zz D. Dámaso Miranda.zzD. Juan Sa- Olivar quedó aprobado en los términos que había indicado el -Sr. se sera. = D. Bartolomé Ruiz. zzD. Ramón Bale.zzD. Josef Baile.zzDon cretario del Despacho. Cristóbal Oitiz.=D. Antonio Zabay. zzD. Juan Lacuey.zzD. Pedro Art. 123. ’&gt; Sustituirán a los ayudantes generales de artillería los Vitalie.zzD. Pedro Nobailasmer. = D. Pablo Vicente.z:D. Joaquín…</t>
  </si>
  <si>
    <t>Ruiz, Bernardo</t>
  </si>
  <si>
    <t>Bernardo Ruiz</t>
  </si>
  <si>
    <t>…rector general de rentas, y como tal autorizado con Real de nes, y no atiendan á la superficie de los distritos, sino á sus atenciones, creto para ello en 11 de Julio de 1782 ante D. Bernardo Ruiz del bajo cuyo supuesto el dictamen de la comisión es bastante acertado. Burgo, escribano mayor de la superintendencia general de rentas. • El Sr. ministro de la Guerra dijo: Seria muy interesante que los Quien supiese su paradero se servirá avisarlo en la esc…</t>
  </si>
  <si>
    <t>Ruiz, Domingo</t>
  </si>
  <si>
    <t>Domingo Ruiz</t>
  </si>
  <si>
    <t>…queja no podian vender sus vinos hasta fines de Diciembre , la comisión cor- dada á las Cortes por el alcalde segundo constitucional de dicha ciudad rigió su dictamen en el acto. D. Domingo Ruiz de la Végal El Sr. Borges Carneiro propuso que se señalasen á la Regencia y á A la dé Hacienda iiná representación de la súperiora de las herma los secretarios del Despacho los sueldos correspondientes , y decidió el nas de Caridad de S- Vicente dé Paul de es…</t>
  </si>
  <si>
    <t>Ruiz, Domingo María</t>
  </si>
  <si>
    <t>Domingo María Ruiz</t>
  </si>
  <si>
    <t>…a comisión de Diputaciones-provinciales; Se pasó con urgencia á la comisión de'Infríccionés una exposiciott en que proponía se pasasen' al Gobierno las actas de la junta de -Na de D. Domingo María Ruiz de la^Vega, alcalde 2.“ constitucional de varra para que las devolviese á la Dipütacion provincial-de la-misma7 Granada, pidiendo se declare haber*lugar -í la formación de causa á la Las comisiones reunidas de Legislación y de'Comercio, habiendo sala del crim…</t>
  </si>
  <si>
    <t>…1820 se levantó á favor de la Constitución en la provin El de la de Infracciones de Constitución, relativo á la solicitud de cia de la Mancha á las órdenes del conde del Abisbal. D. Domingo María Ruiz de la Vega , alcalde segundo constitucional Las Cortes oyeron con aprecio una exposición de varios ciudadanos de ia ciudad de Granada, solicitando la formación de causa contra ¡a de Areñs de Mar en Cataluña, en que daban gracias por la aprobación sala del cri…</t>
  </si>
  <si>
    <t>…lo Por la provincia de Granada. D. Nicasio Tomas , natural de la vistas, administradores y contadores que concurrieron al reconocimien villa de Galera, vicario general de Madrid ; D. Domingo María Ruiz to y detención de los géneros, siendo de su cuenta los pequeños gastos de la Vega, abogado de los .tribunales de la Nación , vecino de Grana que puedan ocurrir hasta su entrega al comprador. 6 da ; D. Francisco de Paula Soria , abogado de los tribunales de la…</t>
  </si>
  <si>
    <t>Ruiz, Feliz</t>
  </si>
  <si>
    <t>Feliz Ruiz</t>
  </si>
  <si>
    <t>por la ley, y por jueces nombrados también anteriormente.” za gratuita en. la Escuela Pía de esta corte á D. Feliz Ruiz, hijo del Quedó aprobado el art. x 36, que decía asi ^ n difunto D. Juan , teniente de caballeiía del regimiento de Boibom Art. 135. ,, Las ordenanzas generales del egércl.to. determinaran la • Y el de la comisión de Bellas Artes sobre.que en vista de las ob…</t>
  </si>
  <si>
    <t>Ruiz, Francisco</t>
  </si>
  <si>
    <t>Francisco Ruiz</t>
  </si>
  <si>
    <t>…de Gandásegui, Doa Juan Augustus, D. Gaspar Gómez de Alia, D. Julián de Leis, Do* Concluye la visita general de la cárcel pública de la ciudad de Barce Manuel de la Peña Rodrigo y D. Francisco Ruiz, óá sus respectivos he lona , hecha en ay de Diciembre de 1820. rederos y representantes legítimos, á fin de que concurran á dicho juz Pablo Valero y Lucía Morera , procedentes del juez D. Josef Este- gado y escribanía por sí ó por medio de personas competent…</t>
  </si>
  <si>
    <t>Ruiz, Francisco Guerrero y</t>
  </si>
  <si>
    <t>Francisco Guerrero y Ruiz</t>
  </si>
  <si>
    <t>…to en la gaceta de Gra que cause ejecutoria. nada de xo de Enero , número 12 , denunciado en 1 3 de Febrero por » Los días de arresto , reclusión ú otra pena temporal serán comple D. Francisco Guerrero y Ruiz, laley condenó áD. Gabriel Benavides tos de 24 horas: los meses de 30 dias cumplidos: los años también Fernandez, responsable de dicho impreso, á la pena de tres meses de completos de doce meses.” prisión y en una multa da 1500 rs. vn.: en cuya consecuencia e…</t>
  </si>
  <si>
    <t>Ruiz, Josef</t>
  </si>
  <si>
    <t>Josef Ruiz</t>
  </si>
  <si>
    <t>…está demostrado que te en el plan de instrucción pública. la Nación debe exigir ciertas garantías á la enseñanza privada, ¡cuáles El de la de Legislación acerca de la solicitud de D. Josef Ruiz, deberán ser estas! Esta.es la cuestión en su último análisis. La comisión en que pide su rehabilitación en un empleo que obtenía: la comisión no ha creído suficiente un examen, y sí, el exigir dos pruebas, ,una fi opinaba¿¡ue este interesado estaba comprendi…</t>
  </si>
  <si>
    <t>Ruiz, Josef María</t>
  </si>
  <si>
    <t>Josef María Ruiz</t>
  </si>
  <si>
    <t>…ndo que le era inuy lisonjero eí Reflejo de la dignidad del hombre, núm. i.°, denunciado en 25 de Se que se hubiese hecho esta proposición, porque como individuo de la tiembre por D. Josef María Ruiz; la ley absolvió i D. Felipe Conscoimsion .tenia Ínteres en que se examinase el expediente, y se pesa tenfa Garrido responsable de dicho impreso; y en su consecuencia el sen todas sus palabras con la mayor escrupulosidad posible. Sr. D. Pedro García Crmbrero,…</t>
  </si>
  <si>
    <t>Ruiz, Juan</t>
  </si>
  <si>
    <t>Juan Ruiz</t>
  </si>
  <si>
    <t>…calde 1.° constitucional de Málaga D. Antonio Parejo que de ellas se verificará separadamente el dia rr de Agosto próximo á se pusiera en libertad a D. Blas María de S. Milian y á D. Juan Ruiz las ir de la mañana en una de las salas del ayuntamiento de esta de la Herran , declarando al mismo tiempo que la persecución sufrida M. H. villa, á pagar en créditos contra el Estado, y con sujeción en no les sirviera de nota, ni perjudicara á su buena opini…</t>
  </si>
  <si>
    <t>Ruiz, Juan Antonio</t>
  </si>
  <si>
    <t>Juan Antonio Ruiz</t>
  </si>
  <si>
    <t>…í Las Cortes recibieron con agrado, y mandaron pasar á la comisión teros, capellanes de coro de la catedral de Badajoz, para que se decla de Instrucción pública, una exposición de D. Juan Antonio Ruiz, rase que el provisor de aquella diócesi habia infringido varios artículos maestro de primeras letras, en la que presentaba un método para ense de lá Constitución: la comisión opinaba que no debía accederse á ella ñar á ios niños la gramática y ortografía cas…</t>
  </si>
  <si>
    <t>Ruiz, Juan Martin</t>
  </si>
  <si>
    <t>Juan Martin Ruiz</t>
  </si>
  <si>
    <t>…acciosos aprehendidos por partidas militares destinadas á perseguir blicos. los , después de haber hecho resistencia, d ben ó no ser juzgados en Se dió cuenta de una exposición de D. Juan Martin Ruiz, vecino consejo de guerra ordinario , con arreglo á lo prevenido en las Rea de esta corte, pidiendo no se acceda á la solicitud que hicieron varios les ordenanzas, y orden del ir. D. Carlos iv del año i800.” ciudadanos procesados y castigados por su adhesión…</t>
  </si>
  <si>
    <t>Ruiz, Julián</t>
  </si>
  <si>
    <t>Julián Ruiz</t>
  </si>
  <si>
    <t>…radicada la solicitud de Rivero para ja de Motril á D. Josef Alegría Quilchano; para la de Aihama á Don que se publique este aviso. .Mateo Miguel A.illon, paa ía de Velez-Málága á D. Julián Ruiz nota. En la gaceta del domingo 13 del corriente , sesión de Cortes, Marín; para la de Nerja i D. Juan Sahagun Vicente j para la pri lía. 14, donde dice D. Silvestre léase D. Silvestre Ezcurrá, SUPLEMENTO</t>
  </si>
  <si>
    <t>Ruiz, Manuel</t>
  </si>
  <si>
    <t>Manuel Ruiz</t>
  </si>
  <si>
    <t>…. tampoco se fia enteramente, y se prepata á una lucha, que podrá ser muy sélas. D. Antonio Cañero Hidalgo, de sangrienta si consigue fanatizar al pueblo musulmán. El resultado de D. Manuel Ruiz de la Prada. Córdoba. estas negociaciones se ignora todavía; y aunque se esperaba tiempo ha, D. Niell Campbell, de Paris. Sres. Llano y Echavarri, de Barbasta ahora la mayor parte de los políticos se han engañado en sus cál D. Marcial Francisco del Adalid é c…</t>
  </si>
  <si>
    <t>Ruiz, Pántaleon</t>
  </si>
  <si>
    <t>Pántaleon Ruiz</t>
  </si>
  <si>
    <t>…én dicha citar y emplazar nuevamente por término 'del ocho dias precisos ciudad de Valladolid, en cuyo término radican las fincas , esta se á D. Miguel de Corres, D. Joséf Calvo, D. Pántaleon Ruiz y déñalado para el dia 14 del - corriente. ■ mas últimos tenedores é interesados en cinco vales. Reales , los tres Una ribera cercada, compuesta de viñedo ; árboles frutales, un soto de 30b pesos; creación dé i.° de Setiembre de 1808 , señalados con de álamos…</t>
  </si>
  <si>
    <t>Rull, Pedro Surra y</t>
  </si>
  <si>
    <t>Pedro Surra y Rull</t>
  </si>
  <si>
    <t>…ide se sobresea) la cer El 29 había habido un consejo de ministros presidido por el Rey, y tificación siguiente. asistieron el duque de Richelieu y los ministros-_Se había abierto D. Pedro Surra y Rull, alcalde constitucional de esta H. V. de en aquella capital una suscripción para socorrer á las familias griegas Madrid. Certifico que este dia ha comparecido ante mí á juicio de con refugiadas últimamente en Francia; y este anuncio estaba firmado por ciliaci…</t>
  </si>
  <si>
    <t>Ruño</t>
  </si>
  <si>
    <t>…ch los ministros de cuya comitiva era brillante y numerosa. todas las cortes italianas. Pasan de 24 millones los que se lian gastado con moti —- Parece cierta la noticia de que el príncipe Ruño ha pa vo de nuestras disposiciones militares y de la provisión de sado á Laibach con el objeto de recibir allí á su Soberano, nuestras tropas. Se han tomado ya medidas para traer de del cual se dice que ha hecho saber su modo de pans-r acet-</t>
  </si>
  <si>
    <t>…ta ocasión con sus deberes políti pasa á Laibach con carácter de embajador. Uno de estos pe cos. Si nuestros ministros hubiesen empleado en impedir riódicos aseguró también que el príncipe Ruño se había ade que los austríacos invadiesen la Italia la mitad del zelo que lantado á salir al encuentro del Rey ; que le precedía en manifestaron en seducir á cierto número de italianos para Una jornada, y que lo acompañaba á Laibach. : ti.ar lo inas puro y m…</t>
  </si>
  <si>
    <t>…esa-ios que gozaban pensiones sobre las remas de la mitra Je que !agaceta nos hubiera tranquilizado: en él leimos ayer Oviedo, y de la representación que en 30 de Setiembre que él príncipe Ruño quería ir á-Laibach, con el objeto de de 1818 dirigió á S. M» el R. obispo de ella , manifestando ganar de nuevo la gracia de S- M. Napolitana. Luego que á pesar de hallarse prohibido por va ias Real» órdenes si el mismo príncipe espera ganar de nuevo la grac…</t>
  </si>
  <si>
    <t>…enor han tomado las armas para El consejo de Estado se compone provisionalmente del marques de substraerse del pago de contribuciones; y en los víveres ha habido tal Circeilo, del cardenal Ruño, del príncipe de Ento, del duque de Gualdesorden que es inevitable el hambre. En la Valaquia mayor se han tieri y' del príncipe de Scilla. El marques de Circeilo está encargado huido á las montañas muchos de sus habitantes; y en Bucharest se es también del mi…</t>
  </si>
  <si>
    <t>Rusia, Nicolás de</t>
  </si>
  <si>
    <t>Nicolás de Rusia</t>
  </si>
  <si>
    <t>…Reina, y hoy a en Jerusalen. medio dia -ha marchado á JLieja. ■ . . Si fuese cierto que .se hubiese1 encendido' la persecución , conserva Esta mañana á las ocho ha llegado el gran duque Nicolás de Rusia, ríamos á lo menos Ja esperanza de, que no hubiese alcanzado á los la y se ha apeado en casa de su cuñado el príncipe de Orange. tinos , qué se 'han sabido hacer siempre respetar por su amor á la cari Los periódicos de Alemania nada dicen del asesinato del pr…</t>
  </si>
  <si>
    <t>Russel</t>
  </si>
  <si>
    <t>…eron los periódicos de Francia,'que no hacían mención alguna NOTICIAS DEL REINO. de semejante ocurrencia. ?&gt; Habiendo preguntado en la Cámara de los Comuneivei Coruña i(Tde Enero. lord Russel al canciller del echiqiiier si había recibido el Corre por el pueblo la voz de que algunos individuos Gobierno de S. M. alguna declaración de guerra de ¡as pa del regimiento infantería voluntarios de Castilla, movidos tencias aliadas contra Nápoles, contestó:…</t>
  </si>
  <si>
    <t>…artes de aquella isla; é inmediatamente el Sr. se to del nombre de la Reina en la liturgia. cretario Filgueíras leyó el parte que daba el gobernador Se -----Habiendo preguntado el lord Russel al canciller del bastian Javier Botelho. Acabada esta lectura, leyó el señor echiquier.si el Gobierno de S. M. había recibido de parte brigadier Palhares, individuo de la diputación, un breve y de las potencias aliadas alguna declaración hostil contra elocuen…</t>
  </si>
  <si>
    <t>Russel, John</t>
  </si>
  <si>
    <t>John Russel</t>
  </si>
  <si>
    <t>…nuevamente sus tareas en el dia 29, los cuales se sentaron por su orden en unos bancos dispuestos al electo. Iban muv decentemente vestidos, y se presentaron con la ma- de hoy. El lord John Russel anunció para el dia siguiente una proposición, .yor serenidad; en seguida entraron los abogados, y se colocaron delante relativa á las villas podridas. (Poblaciones que habiendo tenido en otro -de elios , dando la mano al paso á algunos con el mayor afecto. t…</t>
  </si>
  <si>
    <t>Russo</t>
  </si>
  <si>
    <t>…on numerosas columnas el paso de Antrodocco. Esta gar se espera que este manifieste sus intenciones, que también hemos pro ganta fue defendida con simia intrepidez por el valiente general Russo, curado explorar, la junta provisional , única autoridad central , se ha cuyas tropas combatieron con el mayor denuedo; pero fue superior el reunido para deliberar sobre las criticas circunstancias en que se halla número al valor de las nuestros, y el paso fu…</t>
  </si>
  <si>
    <t>Rutera</t>
  </si>
  <si>
    <t>…ir el premio á que se hicieron acreedores. Quiera el Rufifo, secretario de Estado, y del gentilhombre cel key cielo que todo se haga con sosiego, y que manifiesten los de. Ñapóles príncipe Rutera; de los ministros franceses portugueses á todo el mundo que si siempre fueron fuertes marques de Carnman , conde de la Ferronaye y conde en las batallas, mayores son aun en política, fidelidad á su Blacas; de ¡os ministres ru os conde de Capo-d'Tstria, Rey y…</t>
  </si>
  <si>
    <t>Rutfo</t>
  </si>
  <si>
    <t>…os del ex-jesuita D. Geróni el 28 de Febrero de los plenipotenciarios de las cortes de Italia; nom mo Trento, traducido del toscano al español por D. Josef Marcos Gu bramiento del príncipe Rutfo por el Rey Fernando r para la embaja tiérrez , en cuatro tomos. Los sermones de Trento , por sus grandes r úti da de Viena; nombramiento del Sr. Pozo di Borgo para la embajada les asuntos, por sus vivas y terribles sentencias, por la gracia de su* rusa en Náp…</t>
  </si>
  <si>
    <t>S'er.déla</t>
  </si>
  <si>
    <t>…odo á la anterior, y la de distribución las Cortes. i de pliegos con un gefe, 10 oficiales y un portero. Para el desempeño El Sr. conde de Toreno dijo: al paso que convenzo con el Sr. S'er.déla moderna 4 oficinas; una de numeración y foliación de billetes, ra Pambley, que cuando se haga la división del territorio español se otra de sello y recuento de los mismos, otra de disíribucion y otra de podran hacer algunas mod.ficaciones acerca del aum. nto…</t>
  </si>
  <si>
    <t>S'Jzzo</t>
  </si>
  <si>
    <t>…trinas que se restablezca la tranquilidad. Por parte de los turcos se pide que constitucionales; pero muy particularmente la obediencia á las autori se les entregue la persona del príncipe S'Jzzo , antiguo hospodar de Va dades , sin cuyo requisito ningún estado puede subsistir: repitan, sí, laquia--- Un correo ruso , que ba llegado á París, parece que llevaba la los derechos del ciudadano; pero sin dejar de inculcar al mismo tiempo nota con que la Rus…</t>
  </si>
  <si>
    <t>S, Alves do Rio</t>
  </si>
  <si>
    <t>Alves do Rio S</t>
  </si>
  <si>
    <t>…presidente propuso que se procediese á hacer el nombramien boroto llega al mayor extremo.) El orador continúa: Es indudable que to de un nuevo individuo para la Regencia; pero el Sr. Alves do Rio S¡ la Francia estuviese armada, si los ministros fuesen á úna con ia na manifestó que continuando el Sr. conde de Sampayo en el Gobierno,, ción... (al lado derecho: sí van), no habria que tener rezelos; pero no era necesario por entonces, y que podía dejarse pa…</t>
  </si>
  <si>
    <t>S, Josef Rafael Fernandez</t>
  </si>
  <si>
    <t>Josef Rafael Fernandez S</t>
  </si>
  <si>
    <t>…erno adquiera ¡os conocimientos Por Galicia. Ademas de los que se pusieron en la gaceta del g los necesarios para fijarla definitivamente.Sres. Lie. D. Francisco Henriquez, y Lie. D. Josef Rafael Fernandez S.° Los actuales cuerpos de milicias conservarán su antigüedad, yCid- Suplentes. Lie. D. Josef Moure, teniente coronel; D. Antonio los de nueva creación sortearán la suya en la junta de inspectores, de Jusef Acevedo , comerciante-, D. Jacobo Llórente, capitán de…</t>
  </si>
  <si>
    <t>S, To de</t>
  </si>
  <si>
    <t>To de S</t>
  </si>
  <si>
    <t>…0 rs. nistro togado honorario de la audiencia territorial, y juez deFincas que se rematan el dia a &lt;T, del y r opio monasterio primera instancia en esta M. H. villa, refrendada de D. To de S, Basilio. mas María Manriqueescribano de número, y á consecuen Dos y medio marjales, en la Zubia, pago del Martes, cia de despacho requerido, librado por el juez letrado interino en 1875 rs. de la de Villafranca del Vierzo y su partido en 29 de Agosto Quince…</t>
  </si>
  <si>
    <t>S., Antonio Ramón Zarco del Valle y</t>
  </si>
  <si>
    <t>Antonio Ramón Zarco del Valle y S.</t>
  </si>
  <si>
    <t>…del 11 aseguran que en Viena ha vención feliz y original de nuestro suelo, que el Sr. gefe político inte tenido una junta extraordinaria el consejo de Estado para tratar asun rino D. Antonio Ramón Zarco del Valle y S. E. la diputación pro tos relativos á la Turquía, y que esto se verificó poco después de haber vincial pasaron á examinar por sí mismos en la tarde del 22 del cor llegado un correo despachado por la legación austríaca en Constantino riente , y cuyos felices resul…</t>
  </si>
  <si>
    <t>Sa</t>
  </si>
  <si>
    <t>…sten los dos hijos de D. Mariano Díaz Capilla, dad! ¡Cuánto se rectificarían estas, y cuántos males se ahorrarían deci teniente que fue del antiguo regimiento de la Princesa, y de Doña Sa diendo positivamente si la fiebre amarilla es ó no contagiosa! Lejos de turnina Valeriano, en cuyo caso acudirán con documentos justificati pensar muchos médicos como la gente vulgar, que al ver ia propaga vos á D. Fernando Moyano del Rey, en Melilia, el cual…</t>
  </si>
  <si>
    <t>Sa, Rafael</t>
  </si>
  <si>
    <t>Rafael Sa</t>
  </si>
  <si>
    <t>…eza á ofrecer al Sr. presidente la tropa nigos de aquella. que tenia á su disposición. Asimismo se leyó la representación hecha Se paso á la comisión de Legislación un proyecto de D. Rafael Sa por los Sres. oficiales del segundo batallón de dicho regimiento , en que las para precaver los delitos , y evitar que haya ladrones y mendigos. manifestaban lo sensible que les habia sido la ocurrencia involuntaria A la misma cornisón una exposición del Gafe…</t>
  </si>
  <si>
    <t>Sa-, Josef</t>
  </si>
  <si>
    <t>Josef Sa-</t>
  </si>
  <si>
    <t>…milicia nacional. Se mandó pasar á la comisión de Guerra. catálogo todas las siguientes : Calatayud que tiene 105,947 almas. Cas Las Cortes quedaron enteradas de una exposición de D. Josef Sa- tilla ó Búrgos 161,277- Guipúzcoa 160,088. Huelva 142,425. Játiva casa , en que manifestaba conformarse con la resolución de las Cor 164,795. Lérida 150,005. Pálencia 136,202. Segovia 160,757. Soria tes en su segunda junta preparatoria, y quedar enterado de q…</t>
  </si>
  <si>
    <t>Sa.ived</t>
  </si>
  <si>
    <t>…ete están suficientemente dotados.con. lo que queda r-.ferido. Es pre vero, 3 oficiales y un partero. Para que las oficinas de la lotería mor ciso tener presente que en tiempo del Sr. Sa.ived,a estaban la» cosas derna puedan ocuparse de sus atribuciones en las primeras semanas del mucho mas baratas que en el día, y los postillones se contentaban con ■mes , y auxiliar en las restantes á la» oficinas de la lotería primitiva, mucho menos que ahora, y…</t>
  </si>
  <si>
    <t>Saavcdra</t>
  </si>
  <si>
    <t>…iento de que habla el da á otros destinos Con respecto al sueldo, es bien sabido que antes del art. 309; presentará á las Cortes para su examen y aprobación una nue ministerio del Sr. Saavcdra estos individuos no tenían sueldo fijo, y va tarifa de las cartas, proporcionando los precios y las distancias , y solo servían por un tanto que se les daba por legua , que era 15 r».: y un sistema de cuenta y razón unifórme que asegure la exactitud de ia ent…</t>
  </si>
  <si>
    <t>Saavedra, Diego</t>
  </si>
  <si>
    <t>Diego Saavedra</t>
  </si>
  <si>
    <t>…se han arreglado en la edic-.on española todas las obras modo literatos latinos, ¿quién pudiera trascordar á todo un de Bentham, publicadas en francés por Air. Dumort; y que cst i D. Diego Saavedra , que escribió fluidamente en su Repúbli ya imprimiéndose en la misma forma que este cuaderno, que fia ca literaria , y que enmedio de un estilo crespo , recortado de servir de discurso preliminar. En este se da una idea exacta y fatigoso, profesó real y anti…</t>
  </si>
  <si>
    <t>Saavedra, Josef</t>
  </si>
  <si>
    <t>Josef Saavedra</t>
  </si>
  <si>
    <t>…de su cargo la urgente no Aragón, D. Josef Soiano, D. Josef María Salomón, D. Juan Mu necesidad y obligación en que se hallan de concurrir á impedir ios ma ñoz, D. Rafael Morete, D. Josef Saavedra, D. Josef Zafra , D. Fran les que ocasiona el contrabando; en la inteligencia de que cumpliendo cisco Manuel González, D. Juan Valderas, D. Pedro Gazapo , D Pe V. S. con esta resolución dará al Rey una nueva prueba de su zelo por dro Antonio Fernandez, D. Lin…</t>
  </si>
  <si>
    <t>Saavedra, Manuel</t>
  </si>
  <si>
    <t>Manuel Saavedra</t>
  </si>
  <si>
    <t>…, aniversario de la publicación de nuestra Constitu siástico. ción política, ‘fue uno de los -de mayor júbiLo para los habitantes de A la de Legislación se pasó una solicitud- de D. Manuel Saavedra, esta capital y su partido- I-a milicia nacional de caballería e infantería, . vecino de Ceniciento,, provincia de Toledo , en la que pedia que en mandada por sus respectivos gefes , se formo en el sitio acostumbrado, atención á los méritos contraidos en la ú…</t>
  </si>
  <si>
    <t>Saavedra, Silvéstre</t>
  </si>
  <si>
    <t>Silvéstre Saavedra</t>
  </si>
  <si>
    <t>…avoso en Sicilia que en Las Cortes recibieron con agrado, y mandaron pasase al Gobierno, otras partes; pero la nobleza de esta isla quiere conservar intactas las una solicitud del capitán D. Silvéstre Saavedra y otros militares, pi prerogativas de que ha disfrutado hasta aqtti en perjuicio de los pue diendo se les emplease en la persecución de los facciosos enemigos del blos. En semejante» circunstancias será necesaria la intervención de la sistema. fuerza arriiada…</t>
  </si>
  <si>
    <t>SABADO</t>
  </si>
  <si>
    <t>Nfim. xi3- C 7 cuartos.) G AGE T A D E M ADR I D. SABADO ai DE ABRIL DE 1831. NOTICIAS EXTRÁNGERÁS. Las guarniciones de las dos plazas mencionadas seguirán la suerte de las demas tropas napolitanas. ... ITALIA. Hecho, concluido y firmado por duplicado, entre S- E. el’ te niente general Petrinelli, gobernador de Ñip…</t>
  </si>
  <si>
    <t>771</t>
  </si>
  <si>
    <t>Núm. .148., C7 cuartos.) 771 M GACETA D E M A D R I D. SABADO 26 DE MAYO DE 1821. m NOTICIAS EXTRANGERAS. .míos, la Cámara tuvo por esta vez la cordura de declarar que no habí* lugar á votar sobre 2a famosa petición de los peluqueros de París. INGLATERRA. f FORTCGAL. Linde es 8 de Mayo. Un correo extraordinario llegado…</t>
  </si>
  <si>
    <t>Núm. 176. C 7 cuartos. ) 9SS GACETA DE M A D111D. SABADO a5 DE JUNIO DE 1821. ción hecha por Mr. Hume para que » se hiciese una exposición álRey, NOTICIAS EXTRANGERAS. suplicándole enviase una comisión á las islas Jónicas para informar sobre el estado actual del gobierno local; sobre la conducta de sir T. AUSTRIA»…</t>
  </si>
  <si>
    <t>Nú». 270. ( 7 cauto*.) 1417 GACETA DE MADRI D. SABADO 22 DE SETIEMBRE DE 1821. .NOTICIAS EXTRANGERAS. y en la mañana del tercero vimos que avanzaban 34 buques helenos, y entre ellos dos fragatas turcas apresadas anteriormente. Delante de 1» AUSTRIA» escuadra iba un bergantín, que montaba el contra-almirante; lev…</t>
  </si>
  <si>
    <t>Núm 33j. ( 7 cuartos.) 1S07 GACETA DE M A D R I D. SABADO 34 DE NOVIEMBRE DE 1831. WSkrflMPmrtMSSmmmamrn 11 , MOTICIAS EXTRANGERAS. pecíalmente desde la salida de la escuadra turca que estaba fondeada en Gumeniza , y era un recurso poderoso para los castillos. AUSTRIA. « Los triunfos de los sulíotas en lo interior d…</t>
  </si>
  <si>
    <t>Níini. 350 (7 cuartos.) 1905 GACETA DE M A D R I D. SABADO 8 DE DICIEMBRE DE i8at. nsaaaa ' noticias extrangeras. Puerta, á pesar de cuantas tentativas se han hecho para hacerles tomar parte en la insurrección.” ALEMANIA. INGLATERRA. Francfort z8 de Noviembre. Ldndres 21 de Noviembre. Todas las ncticias que recibimos…</t>
  </si>
  <si>
    <t>Níim, 372. 204* G ACETA íl M A D R I D. SABADO 29 DE DICIEMBRE DE 1821. NOTICIAS EXTRANGERAS. por sus brillantes cualidades personales. En la paz ajustada-con la Ru sia en 11 de Octubre de 1813 sé obligó el Emperador Alejandro por KIÍSÍA. tí y por sus sucesores á auxiliar con fuerza armada en caso necesar…</t>
  </si>
  <si>
    <t>Sabando, Josef Aquilino</t>
  </si>
  <si>
    <t>Josef Aquilino Sabando</t>
  </si>
  <si>
    <t>…dos. Estos Asimismo en la provincia de Guipúzcoa: para S. Sebastian á Don cuatro diputados, nombrados por el presidente, darán razón al mismo Claudio Antón Luzuriaga; pan Tolósa á D. Josef Aquilino Sabando, y á los sec etarios del resultado de su cuenta; y hallándose conformes, y para Versara á D- Josef Churruca. Y en la provincia de Navarra publicará uno de cada parte el número de diputados que aprueban ó para el partido de Arcos á D. Román Martínez Arenzana.…</t>
  </si>
  <si>
    <t>Sabater, Francisco</t>
  </si>
  <si>
    <t>Francisco Sabater</t>
  </si>
  <si>
    <t>…tros que -implorasteis el .auxilio^ agraciadosuentfe otros los inclividuós'sigüiéntési’ ’-'t ¡ - ¡ ¡ - de los’ puébió’s par'a'vénceftn¿!, •récó'nocísteisi.su libertad é independen D. Francisco Sabater, sargento' retirado'quB ¡ha servido desde 1803. cia, fu¡stéisMos"'maestros-de sús Const¡tuciónes, ;y ahora queréis des-¡-‘ Juan .González Diiperio,‘inutilizado1 etvcamtiaíisl’ truir la'de Ñapóles': cotejando él egemplo ide Lisboa ,y.de Madrid, oshabeis echídó…</t>
  </si>
  <si>
    <t>Sabater, Salvador</t>
  </si>
  <si>
    <t>Salvador Sabater</t>
  </si>
  <si>
    <t>…el pagador pasará al comandante general ciales del -regimiento de Almansa , quejándose de lo mismo ; otra de bota del haber que exista en sus cajas, con expresión de todos los pa D. Salvador Sabater, vecino de Belmonte, manifestando que fue uno gos hechos en la quincena anterior, y de los que hubiere de verificar de los quemas arriesgaron su vida en la guerra de la independencia, para que los gefes cuiden de que se atiendan todas las obligaciones con lle…</t>
  </si>
  <si>
    <t>Saboya, Pedro Gapeani de</t>
  </si>
  <si>
    <t>Pedro Gapeani de Saboya</t>
  </si>
  <si>
    <t>…circule.=Rubricado de la Real mano.ss zna y emplaza á la persona ó personas qne pretendan tener derecho .ÍL En palacio á 7 de Julio de 1821.=A D. Antonio Barata. vinculo que fundó D. Pedro Gapeani de Saboya, del que fue poseedor D. Martin de Herze, oficial de tesorería de salinas en esta corte, cu AUDIENCIA D* VALENCIA. yas fincas radican en dicha ciudad y pueblos de Villatoro, Zorita y Muñana, para que se presenten á deducirle-en' el término legal, y al Vit#* g…</t>
  </si>
  <si>
    <t>Sacarino, Angel</t>
  </si>
  <si>
    <t>Angel Sacarino</t>
  </si>
  <si>
    <t>…o, que versaban sobre la relajación de la rios y colonos. justicia, elogios del ministro á algunas personas, condescendencias con Ei de la de Política , acerca de la exposición de D. Angel Sacarino, varios magistrados, y retraso en la publicación de decretos , citándose teniente de navio de las Dos Sicilias, por la cual había ofrecido á las algunos casos en comprobación de los argumentos; dijo el ministro que Cortes el bergantín de 12 cañones que mandab…</t>
  </si>
  <si>
    <t>Sacken</t>
  </si>
  <si>
    <t>…empicados da ¡diferentes clases, que no sé nombraron. l\uremberg 51 do Marzo. Esta petición , dijo el relator de ¡a comisión, no contiene mas que - El egército ruso mandado por el general Sacken fue el que recibió la acusacioues vagas, destituidas de fundamentó, porque nó traen ningún orden de pasar por la Galitzia á los Estados hereditarios de Austria pa documento auténtico que las compruebe, y por tanto la jurisprudencia ra dirigirse á Italia; pero…</t>
  </si>
  <si>
    <t>…servios, y pueden El cuerpo de egército que se hallaba acantonado cerca de Mohiconsiderarse ya como separadas del imperio otomano. low á las orillas del Nieper, á las órdenes del general Sacken , se Las providen -ias del. G°bierno turco habían demostrado ya , aun ha dirigido hacia Rossein y Schaulen. Se cree que irá á Besarabia para antes de estos últimos sucesos, cuan'grande era su apuro. Para atemo formar un cuerpo de observación en las fronteras…</t>
  </si>
  <si>
    <t>…a cuerpos principales, subdivididos en otros tres : la primera de estas dos plaza no es sufic tara su numeroso vecindario. S. M. se ha servido grandes divisiones está al mando del general Sacken, que ha reempla resolver igualmente que dicho gefe político y el gobernador eclesiástico zado al feid-mariscal príncipe Barclay de Tolly; la segunda está á ios señalen el término mas breve posible y perentorio para llevar á efecto órdenes del conde de Wittgen…</t>
  </si>
  <si>
    <t>Saco, Josef Antonio</t>
  </si>
  <si>
    <t>Josef Antonio Saco</t>
  </si>
  <si>
    <t>…ujano militar interi no de la provincia de Cataluña ; D. Juan Casademon, ci 28,859 rs. y 10 mrs. Un huerto en el mismo Baza, callejón de los Perales, rujano de. egército retirado; D. Josef Antonio Saco, ciruiacon casa, fanega ymedia.de tierra de riego, y un pedazo no del regimiento caballería de Calatrava; D. Mariano Orrit, cirujano del colegio de cadetes de Valencia ; D. Josef de secano con "Frutales y parras, en 8783. rs. Otro huerto en idem, sitio de Bez…</t>
  </si>
  <si>
    <t>Sactran</t>
  </si>
  <si>
    <t>…clavar por las ore 'Nuretnberg 33de Agosto. 1 -jas á los panaderos y mercaderes griegos..Las tropas asiáticas se concen ' Las cartas de Polonia traen la noticia de-haberse dado ál general Sactran hacia el Bosforo para marchar contra los moscovitas, dejando la1 ken el mando en- gefe de todos los egércitós rusos destinados á obrar expedición de la Morea para .ocasión mas oportuna. contra la Puerta en caso de guerra. Aseguran que tendía bajo sus ór El pr…</t>
  </si>
  <si>
    <t>Saeta</t>
  </si>
  <si>
    <t>…manifestado en su carrera política y mili Regencia tómase todas las providencias necesarias para evitarlo. tar, y que es tan conforme á la opinión que teníamos de S. E., y á í» El Sr. Saeta se quejó dél abuso que se. notaba en el correó de abrir aceptáción.general que merece por los grandes servicios que ha hecho Jas cartas, como habían notado algunos Sres. diputados, y le había su al Perú.” ’ cedido al preopinante con una carta de'España, que v…</t>
  </si>
  <si>
    <t>…hiaceva se han declarado á favor de los griegos, comenzando jeto era bien conocido, como la manifestarla á su tiempo. por degollar á los pocos torcos que aun. había en Peschia. El Sr. Saeta apoyó al Sr. Fernandez Thonias, y dijo que cuando se c_ Dicen que será nombrado cardenal el conde de .Vlontesquieu. había tratado de prevaricaciones nunca se había personalizado, porque __Los periódicos ingleses han examinado las ventajas que ofrecerían al si…</t>
  </si>
  <si>
    <t>Saeta, Joaquín</t>
  </si>
  <si>
    <t>Joaquín Saeta</t>
  </si>
  <si>
    <t>…feliz éxito; en cuya, consecuencia pedia se le recomendase al Gobierno Art. jo. «Los recibos de los suministros hechos por los pueblos para que le confiriese un empleo, y otra de D. Joaquín Saeta, vecino de á militares transeúntes se reconocerán, liquidarán y pagarán por las la ciudad de Avila, solicitando lo -mismo. 'tesorerías de las provincias que los entregaron como dinero efectivo á A la especial de Hacienda y Comercio reunidas uha consulta del l…</t>
  </si>
  <si>
    <t>Saez, Josef Cuenca</t>
  </si>
  <si>
    <t>Josef Cuenca Saez</t>
  </si>
  <si>
    <t>…el partido de la ca mosura cuanto por su riqueza y demas circunstancias que le son pital á D. Antonio Basilio García del Arco: para el. de Paredes de peculiares. ’i : , . . Nava á D. Josef Cuenca Saez: para el de Baltanás á D. Jóséf Valen El Sri Banqueri man¡festó',qüe no podia - aprobar el que Alicante tín Rica: para el de Cárrión'á D. Julián Bringas : para el de Cer'vera fuese provincia ó nó lo fuese, mientras no viese que por las Cortes se de Pisuerga á…</t>
  </si>
  <si>
    <t>Saftcho</t>
  </si>
  <si>
    <t>El Sr. Saftcho: Xa eoinísíoft no" dice en su dictamen Ies ftiotívos cretario del Dsspacho correspondiente, y el resu’tado fue que á este no que puede haber habido para que se hayan cubierto ó nó los presu le parecieron bien las medidas que proponía ia comisión , y no soío n…</t>
  </si>
  <si>
    <t>Sagredo, Ignacio Gil de</t>
  </si>
  <si>
    <t>Ignacio Gil de Sagredo</t>
  </si>
  <si>
    <t>…ados, de la Santísima Trinidad; Antonio Pardo; para el de la Carlota á D. Indalecio Coronel: para de Trinitarios descalzos, de Jesús Nazareno; de Observantes, de San el de Cabra á D. Ignacio Gil de Sagredo; para el de Lucena á Kon Francisco el Grande: de Franciscos descalzos, de S. G¡1; de Capuchi Josef Arjona y Zapata; para el de Montilla á D. Diego Crespo de nos, de S. Antonio del Prado; de Agustinos calzados , de S. Felipe el León; para el de Pozoblanco á D.…</t>
  </si>
  <si>
    <t>Sagur, F’rancisco Batile y</t>
  </si>
  <si>
    <t>F’rancisco Batile y Sagur</t>
  </si>
  <si>
    <t>…de los defensores cuantas Figaeras D. Joaquin de Rosria, hacendado. D. Baudilio Pera. Sta. Co reformas y adiciones sustanciales fueren necesarias para que su conte lunia de Parnés D. F’rancisco Batile y Sagur. Montblanch D. Pablo nido se ajuste exactamente á lo que resulte del proceso, á satisfacción Anguera y Riera. Granollers D. Josef Valionesta, abogado. La Bis- del mismo fiscal y de los defensores.- y en este trabajo invertirán a io bal D. Pedro Camps. Seo de…</t>
  </si>
  <si>
    <t>Sah.ignn, Paulino</t>
  </si>
  <si>
    <t>Paulino Sah.ignn</t>
  </si>
  <si>
    <t>…e D. Do A la derecha: sí, sí. mingo Gómez de la Peña. Los discípulos de las escuelas da primeras El orador: con los derechos que nos asegura. &lt; letras,á cargo de D. Juan Sorron ,-.D. Paulino Sah.ignn y D. Josef Ro A la derecha : sí, sí. go Embria, ganaron 31 premios de segunda- y tercera clase , y. ademas El orador: con las instituciones que anuncia y las leyes que son se distribuyeron entre los niños 250 premios en egempiares de la Cons necesarias para que disfrutemos d…</t>
  </si>
  <si>
    <t>Sahagun, Juan</t>
  </si>
  <si>
    <t>Juan Sahagun</t>
  </si>
  <si>
    <t>…isión en donde cusión se mandó pasar á la comisión especial de Hacienda. existe una proposición del Sr. Alvarez Guerra, y otra delSr. Moreno Se concedió el permiso que solicitaban D. Juan Sahagun , juez Guerra , relativas á dichas concesiones. , electo de primera instancia del partido de Nerja, en la provincia de El Sr. secretario Gaseo dijo que íe era muy sensible no poder dar Málaga, y D. Antonio N., juez electo de primera instancia del par cuenta a…</t>
  </si>
  <si>
    <t>Saiícho</t>
  </si>
  <si>
    <t>…n la manera. que puesto que asi se llamado que está sujeto; á-ia aprehensión^ fíe aprobado. • . - : El Sr. Vad illqr expuso- que tan: inexacto- era decir- cnerpo del delito' ' El ’Sr. Saiícho propuso que después de la palabra /&lt;* ruó/ se añadiese como efectos -' dél delito ,' ppr la rniimá -razón- de -que lokslditos- son g acto continuó'. Sé aprobó. actos.' Ai'átt. 3.” » Eri el final del articulo debe añadirse: Esta responsa o En seguida se declar…</t>
  </si>
  <si>
    <t>Sainz, Josef Cano</t>
  </si>
  <si>
    <t>Josef Cano Sainz</t>
  </si>
  <si>
    <t>…lidad , la ambición, y todas las pasiones mezquinas que envile Parroquia de S. Miguel y S. Justo, j- electores. cen y desdoran al hombre en sociedad, aparecen mas disformes en lo» D. Josef Cano Sainz, D. Lorenzo Villanueva y D. Román Corona. que tienen á su cargo representar á sus conciudadanos. Cuanto mas au Parroquia de S. Millan, xy electores. gustas y mas sagradas son las funciones de.este cargo, cuanto mayores D. Andrés Moya Luzuriaga, D. Antonio Rui…</t>
  </si>
  <si>
    <t>Saínz, Nicolás</t>
  </si>
  <si>
    <t>Nicolás Saínz</t>
  </si>
  <si>
    <t>…e Córdoba, procedentes del extin VARIEDADES, guido monasterio de S. Gerónimo de aquella ciudad, para cuyo primer remate, que se ha de verificar en Con fecha t.° de Febrero escribe D. Nicolás Saínz de! la misma, esta señalado el dia 19 del presente mes Vigo desde Quintanamanil lo siguiente: de Febrero. »Lo mismo que se refiere en la gaceta del 19 de Enero Doscientas sesenta fanegas de tierra, confinantes con las último acerca de las observaciones hechas…</t>
  </si>
  <si>
    <t>Sainz, Pedro</t>
  </si>
  <si>
    <t>Pedro Sainz</t>
  </si>
  <si>
    <t>…quedando desde ahora en plena libertad por lo que hace fe de ciertos'escritores del Sena, y para otros un buen aviso, á fin de á esta causa el detenido Vicente Mateu; y dándose á D. Pedro Sainz no dejar'correr )a pluma con demasiada ligereza ■, dando armas á nues Terrones los testimonios que pida para que de ellos haga el uso que le tros enemigos, que por la estructura1 peculiar de su ser, por su profesión convenga. El Sr. D. Josef Martínez Moscoso,…</t>
  </si>
  <si>
    <t>Saivador, Sánchez</t>
  </si>
  <si>
    <t>Sánchez Saivador</t>
  </si>
  <si>
    <t>…informar sobre la ley prohibiti por cuartos de onza ó por libras para la debida seguridad,” va de introducir y exportar granos y harinas,. Tampoco se admitió á discusión otra del Sr. Sánchez Saivador , qué El Sr. presidente nombró á. los Sres. Vadillo, Cepero, Quintana, decia asi: » Que se prefije si el decomiso de los sa-itres y pólvoras ex Zorraquin y Desprat para la comisión de Biblioteca; y para que. asistan, tranjeras puede serlo fuera de la línea de…</t>
  </si>
  <si>
    <t>Saivato, Ramón</t>
  </si>
  <si>
    <t>Ramón Saivato</t>
  </si>
  <si>
    <t>…e la incompati D. F. ífstevez, médico. Faltan los nombres de 20 electores. bilidad entre el decret de 30 de Mayo último y el art- 46 de ¡a ley Barcelona D. Narciso Sanz v de Rius. D. Ramón Saivato, abo orgánica del egército. Ei Sr. presidente dijo que quedaba sobre la mesa gado. D. Josef Elias, abogado. D. Francisco Serra y Franch. D. Agustín este expediente para la instrucción de ios Sres. diputados. Yañez. Igualada D. Josef Pascual, hacendado de Espa…</t>
  </si>
  <si>
    <t>Saiz, María del Carmen</t>
  </si>
  <si>
    <t>María del Carmen Saiz</t>
  </si>
  <si>
    <t>…xpresada libremente y dirigida hacia un objeto da Angeles, núm. 1 , cuarto 2.0, quien dará una gratificación. utilidad común , cual es la libertad bien entendida; es decir, acompa Doña María del Carmen Saiz , académica de mérito de la academia ñada del orden y de la obediencia á las leyes. Mientras no se pierde de de S. Fernando, por el dibujo j arte del grabado fia primera dedicada vista este caro objeto , y se va á él por el camino*recto de la viitud, á este a…</t>
  </si>
  <si>
    <t>Sakellarios, Jorge</t>
  </si>
  <si>
    <t>Jorge Sakellarios</t>
  </si>
  <si>
    <t>…ar , desterrarán fácilmente eí sueño y el fas colegio-en-Andrinópoli, y el plan .se ha-formado bajo los tidio leyendo algunas páginas, pues pasarán las noches alegres auspicios dd barón Jorge Sakellarios, uno de los comercian y divertidas, sin cesar á un tiempo de reac'y llorar; y pot último esta obra es como la onza de oro, que á toaos gusta, á tes griegos mas acaudalado? que hay en el. Austria. Ha abier todos alegfa , todos la necesitan, todos la buscan, y…</t>
  </si>
  <si>
    <t>Sal, Estanislao Sánchez</t>
  </si>
  <si>
    <t>Estanislao Sánchez Sal</t>
  </si>
  <si>
    <t>…oprima , publique y circule, re Rubricado de la Reab mano. =:En San su autor cuando le ocurrió la feliz idea de escribirla ; y á pesar de qué Lorenzo á 28 de Noviembre de 1821.= A D. Estanislao Sánchez Sal su modestia no le permite considerarla sino como un ensayo ’á que is vador.” estimuló su zelo por la insjor instrucción de los niños, no hay du . ■ Circular .de! ministerio: de Hacienda de Ultramar. da en que con dificultad podrja presentarse á estos Una cole…</t>
  </si>
  <si>
    <t>Sal, Sánchez</t>
  </si>
  <si>
    <t>Sánchez Sal</t>
  </si>
  <si>
    <t>…leyeron por primera vez,.el dictamen de la comisión de Organi El ór. Lobato manifestó que por su provincia se habian hecho va zación de la fuerza, armada, y el voto particular del Sr. Sánchez Sal rias representaciones sobre el modo de pagar los diezmos , de las cua.es vador, relativo á una consulta que dir.gió el Gobierno sobre .cadetes. no se habia hecho mención; y que deseaba que antes de entrar en esta Se mandó insertar en el acta el voto particula…</t>
  </si>
  <si>
    <t>…cobren por las aduanas los derechos establecidos general. antes de regir el nuevo sistema de aranceles , decretado en 5 de Octu Se mandó insertar en el acta el voto particular de! Sr. Sánchez Sal bre de 1820, con excepción del derecho de reemplazo.” vador, contrario á que los oficiales de las planas mayores de la "mili El Sr. presidente anunció que se iba á proceder á la discusión del cia activa, y los que pasaren del egército permanente , sean reempl…</t>
  </si>
  <si>
    <t>Sál-, Sánchez</t>
  </si>
  <si>
    <t>Sánchez Sál-</t>
  </si>
  <si>
    <t>…inante. -- :. ... &gt; -á: deliberar" acerca de dicha- Solicitud, -i Sr. Vadillo dijo: Yo ncvsé cómo&gt;cpnformándose loásañores de 'El--No sendmitieron á discusión dos indicaciones del Sr. Sánchez Sál- la comisión en que hay perjuicios en el estanco déla sal, nos le pro -vador, relativas ú-qué se previniese- al Gobierno no i proveyese , en la ponen, sin demostrarnos: que á - pesar, de estos perjuicioáupfoduce una Guardia lLeal da infantería las-vacantes que…</t>
  </si>
  <si>
    <t>Sala, Antonio</t>
  </si>
  <si>
    <t>Antonio Sala</t>
  </si>
  <si>
    <t>…pinardo Lebrija. Parroquia de S. Lorenzo, 20, electores. Del 13 al ao... ....... 63..... •• 3*...... ...... 46... D. Aníbnio González, D, Antonio de la Iglesia, D. Antonio Mercar, D. Antonio Sala, D.Francisco Gallinas, D. Francisco Javier Sanlúcar de Barrameda. Delgado,D. Francisco Hernández Montañer,D. Isidro Blanco, Don Dia 14............. 3" •••♦ ••••••• z. .♦»*. .... .. 0.... ....... 6..... Isidro Merino, D. Josef Sánchez, D. Juan Francisco Rodrig…</t>
  </si>
  <si>
    <t>Salamanca, María Luisa</t>
  </si>
  <si>
    <t>María Luisa Salamanca</t>
  </si>
  <si>
    <t>…ra instancia en esta M. II. villa , se cita , llama y emplaza i os Sevilla. Administrador de la aduanarle Cartaya: en 5500 rs. acreedores que hayan quedado á los bienes de la Sra. Doña María Luisa Salamanca. Administrador depositarlo de la aduana de Fuentes de Justis, vizcondesa de las Torres de Luzón, y á los del Sr. D. josef de Oñoro: en 5500 rs. - - - Figueroa y Tabares, conde de Puertohermoso, su marido, para que en Valencia. Contador vista del contraregistr…</t>
  </si>
  <si>
    <t>Salas, Fermín Urien de</t>
  </si>
  <si>
    <t>Fermín Urien de Salas</t>
  </si>
  <si>
    <t>…n de los partí món Vázquez Freire, en Tudela D. Rafael Garbayo, en UrgeL Don cipes de diezmos, sin perjuicio de adquirir los demás datos y noticias Antonio Castelló, en Valladolid D. Fermín Urien de Salas, en Va que conceptúen oportunas, las pruebas y documentos que sean necesa lencia D. Martin Serrano, en Vich D. Antonio Valí, en Zamora rios par3 acreditar el valor anual de los diezmos de que se íes priva, D. Antonio Gómez de la Torre, y en Zaragoza D. Lucas…</t>
  </si>
  <si>
    <t>Salas, Josef Lorenzo</t>
  </si>
  <si>
    <t>Josef Lorenzo Salas</t>
  </si>
  <si>
    <t>…n ellos: 6.~‘ Losgriegos tor D. Rodrigo Valdés del Busto, canónigo de León. Suplentes. Kl son nías instruidos en estas materias que los tuTcos : 7.0 Lie. D. Josef Rodríguez Busto; D. Josef Lorenzo Salas, coronel de los por la libertad ;civil y religidsá ,'íinó tímbien por su :exi5?enciá:',sij 'des- ■ egérclíós-’ridciónales'. ~ truccion es inevitable si son vencidos , mientras que los turcos tienen el Por la provincia de Segóvia-. D.'-Sántiago Sedeño , obispo…</t>
  </si>
  <si>
    <t>Salas, Mariano</t>
  </si>
  <si>
    <t>Mariano Salas</t>
  </si>
  <si>
    <t>…omínguez, el de la com comandante de la compañía’de la caballería voluntariaD. Apolinario Lo pañía de caballería. D. Ápoüñario Losada, y el de la artilleríaD. Fer sada arrestase a D. Mariano Salas, para evitarle cualquiera atropeílamín Iñigo, con diferentes oficiales, sargentos, cabos y milicianos de los mieuto que pudiera intentarse contra su persona: quedando encar.ados sobredichos cuerpos, se presentaron nuevamente en la sala consistorial, los Sres.…</t>
  </si>
  <si>
    <t>Salas, Ramón de</t>
  </si>
  <si>
    <t>Ramón de Salas</t>
  </si>
  <si>
    <t>…lemento de esta obra inmortal se está imprimiendo en un tomo igual el comentarlo que hizo de ella el célebre conde Destutt■: ANUNCIOS. Traci, que ha traducido al castellano el Dr. D. Ramón de Salas, cate En virtud de providencia del Sr. O. Julián de Sojo, ministro to drático de leyes que fue de la universidad de Salamanca, y se dará á la gado honorario de la audiencia territorial de Castilla la Nueva, y juez mayor brevedad. Los Sres. que han suscrito al…</t>
  </si>
  <si>
    <t>Salazar, Casilda de</t>
  </si>
  <si>
    <t>Casilda de Salazar</t>
  </si>
  <si>
    <t>…cencia con la libertad de la ñoríos de Sevilla, núm. 7’, en favor del mayorazgo que fundaron An imprenta se puede por algún tiempo excitar la curiosidad popular , y drés Herrera y Doña Casilda de Salazar, que posee D. Pedro Alcántara ganar,algún dinero publicando invectivas; pero al fin el amor á la ver Quirós y Herrera , se avistarán con D. Fernando" García de Labarga, dad, la. sensatez', el buen discernimiento y la razón llegan por último Caba Baja, núm. 18…</t>
  </si>
  <si>
    <t>Salazar, Diego de</t>
  </si>
  <si>
    <t>Diego de Salazar</t>
  </si>
  <si>
    <t>…e imprimió sin nombre de ARTICULO DE OFICIO: autor; pero siempre se atribuyó su redacción ó compilación á di El Sr. secretario del Despacho de Marina dice al Sr. secretario de cho D. Diego de Salazar, oficial distinguidísimo, natural de Toledo, la Gobernación de la Península desde el Real sitio de S. Lorenza con. amigo muy apasionado del Gran-Capitan , hombre de superior talen fecha de ayer lo que sigue : to, y tan feliz en sus composiciones prosaicas de…</t>
  </si>
  <si>
    <t>Salazar, Isidro</t>
  </si>
  <si>
    <t>Isidro Salazar</t>
  </si>
  <si>
    <t>…ias son auténticas, cí, a tres cuartos di-legua de las fronteras dé Francia , él famoso cura sé pueden esperar grandes acontecimiéntós; pero ¡cuán desgraciada se tuerto de ArmiSqq D. Isidro Salazar s D.Francisco. ;j.?z»roti, capitán ríala suerte de la patria de Solon y de Licurgo si los griegos fuesen ven ‘que fue de ¡a compañía de extranjeros del primer regujriéntó.de la »licidos en esta tremenda lucha1. -Qué sangre bastaría A saciar la crueldad 'vi,io…</t>
  </si>
  <si>
    <t>Salcedo, Antonio</t>
  </si>
  <si>
    <t>Antonio Salcedo</t>
  </si>
  <si>
    <t>…en Baza en la de D. Ramón Serraren _ ' - - anuncio. ■ Soria en ’n de D. Pedro Martínez de Aparicio; én Avila' Cartas sóbre los apuntes publicados por el Sr. D. Joaquin ló-en la dé D. Antonio Salcedo, boticario ; en Ciudad-Real renzo Villanueva. Véndense en la librería ‘de Tieso y de Pérez. ' MADRID EN LA IMPRENTA NACIONAL.</t>
  </si>
  <si>
    <t>…Molino; para Ube- Antonio Chalanzon ; en Búrgos en la de D. Paulino Alegría, del co da á D. Antonio Vicente Lobariñas; para Bezmar á D. Josef Santerías mercio, y en Avila en la de D. Antonio Salcedo, boticario; y los de-' y lerin; nara la Carolina á D. Francisco de Paula Villa-Real, y pa mas depositarios que gusten seguir en dicha venta de fumigaciones podrán ra Cazorla á D. Ignacio Velasco y Alzamora. dirigirse al referido doctor Gosalbes; y á fin de qu…</t>
  </si>
  <si>
    <t>Salcedo, Eusebio</t>
  </si>
  <si>
    <t>Eusebio Salcedo</t>
  </si>
  <si>
    <t>…go Irazabal, D. Josef Donesteve, Don Una casa en el arco de la Compañía de la ciudad de Baltasar Salomón y D. Joaquín Roca; y con la de 6 del Logroño, en 2,200 rs. mismo Febrero á D. Eusebio Salcedo, D. Fernando Freire, Un corral existente en el término nombrado PeñalogroD. Antonio Garnica , D. Bedro Talens, D. Josef Varona, ño, con solo las cuatro paredes de piedra y su puerta vie D. Miguel Gardoqui, D. Antonio Butrón, D. MiguelPaa- ja , en 1,200 rs. di…</t>
  </si>
  <si>
    <t>Salcedo, Josef Justo</t>
  </si>
  <si>
    <t>Josef Justo Salcedo</t>
  </si>
  <si>
    <t>…sumi davía estaba vigente en la fecha del decreto: pidió en seguida se leye nistros. se dicha contrata, y asi lo verifico el Sr. secretario; concluyendo que A la de Guerra otra de D. Josef Justo Salcedo, oficial que fue de si se enviaba este interesado al Crédito público, debia abonársele el la armada, para que se Je reponga en el goce de sus honores y sueldo, descuento del papel-moneda. ó se le oiga en consejo de guerra. El Sr. Zapata manifestó que cuando m…</t>
  </si>
  <si>
    <t>Salez, Antonio</t>
  </si>
  <si>
    <t>Antonio Salez</t>
  </si>
  <si>
    <t>…Estado; sa de Gordon , relativas al pago de varias cantidades. . á los sugetos siguientes: para la plaza correspondiente á grandes de A las de Guerra y Hacienda'Uña exposición de D. Antonio Salez, España al Sr. marques de Cerralbo: para lu de eclesiásticos al Sr. Don capitán graduado de ingenieros, sobre aumento de sueldo á los depen ■Ramón Cabrera: para las correspondientes á naturales de ios dominios dientes de dicho cuerpo. de Europa áTíos Sress D.…</t>
  </si>
  <si>
    <t>Salgado, Juan Díaz</t>
  </si>
  <si>
    <t>Juan Díaz Salgado</t>
  </si>
  <si>
    <t>…para uso é instrucción de las diputaciones de sanidad de este reino, quieran matricularse para ganar certificación acudirán al gabinete de y conservación de la salud pública: por D. Juan Díaz Salgado , cate Historia natural, donde están establecidas dichas cátedras, desde el día drático que fue de medicina de la universidad de Valladolid un tomo 18 del corriente, de 10 á 11 de la mañana. , en 8.° Se hallará en la librería de Orea á 8 rs. en pasta holandes…</t>
  </si>
  <si>
    <t>…para el uso é instrucción de las diputaciones de sanidad de este nos hombres alucinados, que no ven en el Gobierno sino iin enemigo reino, y conservación de la salud pública, por D. Juan Díaz Salgado, natural de las libertades públicas; Asi es que partiendo de un princi catedrático que fue de medicina de Ja Real universidad de Valladolid. pio tan absurdo, no reparan en.mirar con ur.a maliciosa desconfianza á un tomo, en 8.° Se.ltallará en la librería de R…</t>
  </si>
  <si>
    <t>Salinas, Joscf de</t>
  </si>
  <si>
    <t>Joscf de Salinas</t>
  </si>
  <si>
    <t>…erse sin formalidad alguna lo, según escritura que otorgó por ante el escribano público de dicha por disposición del gefe siempre que lo considere conveniente. ciudad de la Havana D. Joscf de Salinas á los 19 de Enero de 1 803 : Art. 10. « En los lados del zócalo que habrá por bajo de la bom y deseando la heredera que se cancele dicha hipoteca, cita y emplaza al ba se pondrá la clase y número del regimiento á que pertenezca la insig que se considere con a…</t>
  </si>
  <si>
    <t>Salinas, Josefa</t>
  </si>
  <si>
    <t>Josefa Salinas</t>
  </si>
  <si>
    <t>…n el partido de la VARIEDADES. Era alta, stí cabida 2 tahullas, una ochava y 20 brazas, lin da con las de D. Isidro Campos , D. Fernando Perez y Sobre la propagación de la Biblia. Doña Josefa Salinas, en 601 i rs. y 23 mrs. En el año de 1804 se formó en Londres una sociedad Otra porción de tierra con ün cuerpécito de casa, en el con el objeto de extender y propagar la Biblia por las cua mismo partido, linda con las de D. Matías Romero, Don tro parres del…</t>
  </si>
  <si>
    <t>Saline</t>
  </si>
  <si>
    <t>…ómetro de Farenheit. En esta si acuerdo? tuación se escribía é imprimía á bordo un diario para la P. de M. Un solo medio existe, y este no es una tripulación bajo la dirección del capitán Saline , mientras conciliación, sino un remedio contra el mal que os oprime. el capitán Parry componía los drámas que representaban Vos deseáis conocerlo, y yo voy á indicárosle. Que los después los marineros para divertirse. hombres fuertes y amantes del bien de su…</t>
  </si>
  <si>
    <t>Sallevantó, Sánchez</t>
  </si>
  <si>
    <t>Sánchez Sallevantó</t>
  </si>
  <si>
    <t>…precisamente de &lt;5co© reís.” indicación, que quedó aprobada. • Hubo alguna discusión sobre este artículo, y después de aprobado se El Sr. González Allende leyó una indicación del Sr. Sánchez Sallevantó la sesión. „ yador, relativa ( según se pudo entender ) á premiar los servicios de los „ generales Quiroga y Riego. ' NOTICIAS DE ESPAÑA. El Sr. Quiroga dijo y repitió que se oponia á dicha indicación, y que en casó de que se aprobase, seria el primero que re…</t>
  </si>
  <si>
    <t>Sallier</t>
  </si>
  <si>
    <t>…; el de Genova al general conde de Des-Geneis, y la Gran Bretaña, firmado en 3 de Julio de 1815 , y cuyo término estaba el de los otros Estados de tierra-firme al teniente general conde Sallier próximo á espirar,.ha sido renovado por ro años; las diferencias que de Latour. Mandamos á todos los gobiernos particulares, empleados se habían suscitado sobre el derecho reclamado por los Estados-Unidos reales, intendentes, prefectos , tesoreros , jueces &amp;c…</t>
  </si>
  <si>
    <t>Salomón, Josef María</t>
  </si>
  <si>
    <t>Josef María Salomón</t>
  </si>
  <si>
    <t>…nuo á las sef de la Torre, D. Hilario Nogueras, D. Frar cisco Balct, D. Cipria autoridades dependientes de ese gobierno político de su cargo la urgente no Aragón, D. Josef Soiano, D. Josef María Salomón, D. Juan Mu necesidad y obligación en que se hallan de concurrir á impedir ios ma ñoz, D. Rafael Morete, D. Josef Saavedra, D. Josef Zafra , D. Fran les que ocasiona el contrabando; en la inteligencia de que cumpliendo cisco Manuel González, D. Juan Valderas,…</t>
  </si>
  <si>
    <t>Saludes, Juan</t>
  </si>
  <si>
    <t>Juan Saludes</t>
  </si>
  <si>
    <t>…a'y Oltór.q .. S4. del corriente. ■ be desea- saber!el paradero defallecimiento de Doña-jMaríá*Coiñás} La dehesa titulada del Espadaña! situada' én' térmLno,'de&gt; lá&gt;misma mugir-dé D. Juan Saludes,; sargento que-fue^de la ■ segúlí'dá tcóthpaññi villa. Üe Naval moral;, de., cabida de. 4500 fanegas pobladas’dei encinas, deÍTegüiiiento de; Bórlxin. • liá' pstsona quedo sepa 'tehdrá!da-bonf!á3?de alcornoques y algunos robles , en 2.852 ,goo;rs.&lt;;■ V .tV-.'…</t>
  </si>
  <si>
    <t>Salva</t>
  </si>
  <si>
    <t>…clarando que fueron hijas del sentimiento v,olento y que ha hecho que ¡as elecciones duren en algunas parroquias mas de de una ofensa, y que no dcb’n manchar 111 nada el honor del D. Salva 48 horas, á pesar de haberse aumentado Jas secciones en que estaban dor Gosaives, el cual debe quedarse en el buen concepto que se me divididas para abreviar la operación; y el acierto en el nombramiento de reció , y tenia acreditado antes de dicho impreso. E…</t>
  </si>
  <si>
    <t>Salva, Josef</t>
  </si>
  <si>
    <t>Josef Salva</t>
  </si>
  <si>
    <t>…pasar á las comisiones que conocieron de este acreedor. asunto. El relator de la comisión proponía que se mandase pasar esta peti A la de Hacienda se mandó pasar una solicitud de D. Josef Salva ción al ministro de lo Interior. Mr. Girardin se opuso á que se diese dor y D. Rafael del Puente, vecinos de Lozares, para que las Cortes pidos á semejante pretensión. se sirvan acordar la rebaja' de la tercera parte de unos arriendos que tie Siempre que se p…</t>
  </si>
  <si>
    <t>Salva, Manuel Pedro Sánchez</t>
  </si>
  <si>
    <t>Manuel Pedro Sánchez Salva</t>
  </si>
  <si>
    <t>…tados desde esta fecha , no les da no La Gastronomía, ó el arte de comer, poema didáctico en ticias de su existencia, se le considerará como muerto, y cuatro cantos: traducido por D. Manuel Pedro Sánchez Salva dispondrán de sus bienes habidos y por haber. dor : impreso en Londres, ea papel vitela. Se vende en la li brería extrangera, calle de la Montera. VARIEDADES. Lista de las obras que no se hallan puestas en el catálogo, y Continúa el artículo de ayer. están ve…</t>
  </si>
  <si>
    <t>Salva, Miguel Sánchez</t>
  </si>
  <si>
    <t>Miguel Sánchez Salva</t>
  </si>
  <si>
    <t>…eta, de una representación de la milicia nacional de Mora, expo el espíritu del siglo; que aun en la era presente habia también tomado niendo sus sentimientos patrióticos; otra de D. Miguel Sánchez Salva el carácter del siglo , y dijo. „A no ser asi, por ningún ínteres me hubie- dor Grizcampani, comandante de lá milicia nacional de N., provincia ra yo prestado á ser ministro de semejantes horrores, antes hubiera pre de Granada, sobre lo mismo; otra del alcald…</t>
  </si>
  <si>
    <t>Salvad, Sánchez</t>
  </si>
  <si>
    <t>Sánchez Salvad</t>
  </si>
  <si>
    <t>…s de oficiales y otros individuos fijos 4#*^ armada que hayan asi si acordó. muerto gloriosamente en acción de armas.” v. Se leyó ei artículo 48 , concebido en estos términos : El Sr. Sánchez Salvad &gt;r.dijo que no eran de peor condición los hi Art. 48. » Desde este dia su familia constituirá obligación de sumi jos huérfanos de aquellos ciudadanos que hubiesen muerto gloriosamen nistrarle seis reales diarios hasta que salga á oficial, y de mantenerlete po…</t>
  </si>
  <si>
    <t>Salvador</t>
  </si>
  <si>
    <t>…os que hayan fallecido, acudirán á D. Romualdo Casanova , ca la tenga presente.” pellán de dicho batallón, que es el encargado de verificar el pago, sin Se leyó una indicación del Sr. Salvador, que decía: «Ruego á las otro descuento que el que origine el gasto del correo. El mencio Cortes establezcan en su nuevo reglamento como precisa una comisión nado batallón se halla en Plasencia en Extremadura. del Crédito público.” El Sr. Romero Alpuente apoy…</t>
  </si>
  <si>
    <t>…el Despacho las noticias que crean necesarias, las que estos cómu- 86 la Voz industria. ‘nicarin, no-siendo de aquellas que exijan-secreto, cuya violación pu No se aprobó otra del Sr. Salvador, que decia: „Se aumentará una diera ser perjudicial al servicio público. comisión de Crédito público; pero sin que se remueva por ahora á Se leyó el art. 86, expresado como sigue: los de la comisión especial de Hacienda que entienden en este ramo. 86. Se nomb…</t>
  </si>
  <si>
    <t>…nvScaeinne.s en casi todas las provincias disoliicion.de.dicho cuerpo, Como lo hubia niandado el Gobierno;; de,España como fuera de ella, y prtr.c-pahneate en Francia. En Parts El Sr. Salvador dijo .que se. Labia mandado que los Sres. diputados hay una reunión para fomentar el descontento, establecidi en la calle presentasen en ia secretaría las súplicas de ;?u? provincias, regla.que de Richeiieu, y se sabe el nombre-del sugeto que la preside. En B…</t>
  </si>
  <si>
    <t>…la fonda llamada del Escudo de Francia al lazareto limpio. , » Accediendo á las eficaces instancias de D. Tomas Moreno y Daoiz, Atendiendo la junta al mérito contraído por el Dr. D. Salvador . mi secretario de Estado y del Despacho de la Guerra, y teniendo en Capmani, y deseando recompensárselo en cuanto estuviese de su parte, .' consideración el quebranto de su salud, he venido en admitirle la re se dirigió al Sr. gefe superior político con el o…</t>
  </si>
  <si>
    <t>…su proposición. Verificada que fue la lectura de estas, el Sr. Loizaga manifestó los r , , ANUNCIOS. inconvenientes que habia deque se hiciese una provincia separada 4a de El Dr. D. Salvador, Gosaives1, médico-.c’trujano de esta corte, Guipúzcoa; y ¿enrostró que aquella provincia, después de haberles primer ayudante de egércitó; inventor de las fumigaciones anti-venéimpuesto Jas mismas contribuciones que á todas las demas, y de haber xeas aprobad…</t>
  </si>
  <si>
    <t>…an los defensores enterarse lo verificarán; debiendo ademas tenerse presente la observación que ha de él. No diré que se deba pasar el tiempo sin que se finalice esta cau hecho el Sr. Salvador de que en el proceso hay muchas hojas poso in sa; pero creo muy arreglado á justicia que los defensores tengan todo teresantes , cuya lectura puede ser rápida, al paso que muy pausada la aquel tiempo necesario para instruirse de ella ; y con la lectura que de…</t>
  </si>
  <si>
    <t>…al del distrito de Castilla, estando en Búrgos, no pueda acerca de la situación topográfica de Algeciras , Cádiz y otros puntos saber lo que pasa en la frontera, como lia dicho el Sr. Salvador , yo interesantes , fue de opinión que ia capital debería fijarse en cualquier creo que no es asi. El capitán general no va á inspeccionar las cosas; pu-bío que estuvi-se cerca de Cádiz, y mejor que en ninguno en el pero puede saber todo loque pasa por medio…</t>
  </si>
  <si>
    <t>Salvador, Canchez</t>
  </si>
  <si>
    <t>Canchez Salvador</t>
  </si>
  <si>
    <t>…ce que por el se abre primiese la propuesta del Gobierno , el dictamen de la comisión , y el el campo á que haya graduaciones superiores á los destinos que dis voto particular del Sr. Canchez Salvador. fruten los oficiales de la armada; y todo el mundo sabe que estas gra Se dió cuenta de un oficio del Sr. secretario de la Gobernación de duaciones no-se pueden dar, y si algún oficial de marina hiciese una la Península, en el que insertaba otro', fecha de ay…</t>
  </si>
  <si>
    <t>Salvador, Estanislao</t>
  </si>
  <si>
    <t>Estanislao Salvador</t>
  </si>
  <si>
    <t>…idas enérgicas, y se dieron órdenes para que la tropa dispersase aquella municareis á quienes corresponda para su cumplimiento, fian Ildefon reunión. so 16 de Setiembre de :8ü- =A D. Estanislao Salvador.” El Espectador ha guardado sobre este punto un profundo silencio. Contaduría general de Valores y ¡Distribución. E! Imparcial no hace masque referir muy ligeramente el hecho, aña ^ El Gobierno nos ha manifestado nuevamente su decidida voluntad diendo no tene…</t>
  </si>
  <si>
    <t>…te á las Cortes, y dispondréis se imprima1, piiblique y circule. = En S; Lorenzo á j ■la próposíciori del señor Martel' no es nueva. En. las Cortes extraor-' Noviembre de i8ai-=.A&gt;D. Estanislao Salvador— ' .. dinarias de Cádiz se hizo lá misma proposición con- motivo de haber pedido algunos Sres. diputados licencia y haberla cumplido, y con esté • - -i ; ' : VARIEDADES. -motivo, se hizo una proposición para que se declarase que habían perdido la confianza.de…</t>
  </si>
  <si>
    <t>…e los nuestros. Asi que y circule, as Rubricado de la Real mano.— En S. Lorenzo á 11 que todos ios extrangeros hacen lo que les conviene en esta parte, y de Noviembre de 1821.=: A D. Estanislao Salvador. nosotros debemos hacer lo mismo , sin atender ñ la consideración de que los extrangeros prohíban ó, no la introducción de nuestros géneros. ANUNCIOS. D spues de haber hecho: varias observaciones para manifestar que, los vinos extrangeros eran únicamente un,…</t>
  </si>
  <si>
    <t>…los ministros , embajadores extrangeros y comitiva de- 1 cado de la Real mano.cnEn S, Lorenzo á 22 de Noviembre de 1821.= Bian estar sujetos a las leyes del'páis dónde moraban. A D. Estanislao Salvador. El Sr. Martel, contestando á la objeción propuesta por el Sr. Na-' varro (D. Andrés) , dijo que no debía servir de disculpa la ignorancia El Rey , á consulta de! consejo dé Estado , sé ha servido nombrar de una ley , ni todas las demas objeciones propuestas…</t>
  </si>
  <si>
    <t>Salvador, Estanislao Sánchez</t>
  </si>
  <si>
    <t>Estanislao Sánchez Salvador</t>
  </si>
  <si>
    <t>…salientes y dignas que se le presentasen; ha servido nombrar gefe de Estado mayor general al marisca! de cam la una reducida á un discurso gratulatorio ó eucarístico al Rey por po D. Estanislao Sánchez Salvador, en atención á sus relevantes pren haber jurado la Constitución, y la otra contraída á una epístola en das , á sus muchos conocimientos militares, á sus buenos servicios y tercetos ó en verso suelto endecasílabo, en que se manifestase el alto los particularme…</t>
  </si>
  <si>
    <t>…rirle por mi Real decreto de 4 riel sanitarias. corriente; he venido eh nombrar para dicho cargo al mariscal de cam No dudan el Excmo. ayuntamiento y junta municipal de sanidad po D. Estanislao Sánchez Salvador, actual gefe del estado mayor del que el público de Barcelona dará el mas exacto cumplimiento á qstas egército.” Tendreislo entendido ,y lo comunicareis á quien corresponda. medidas adoptadas para el bien de todos, por cuyo medio esperan que te conservará en…</t>
  </si>
  <si>
    <t>Salvador, Manuel</t>
  </si>
  <si>
    <t>Manuel Salvador</t>
  </si>
  <si>
    <t>…bras propuesta del almirantazgo. Fernando Alvarez Miranda, secretario del gobierno político de Santan La comisión retiró el art. ,j 3, y se pasó á la discusión del 14, que der , y D. Manuel Salvador, empleado en la misma oficina, solicitan dice asi: ' do se establezcan escalas para los gobiernos políticos. Art. jq. » El secretario del Despacho de Marina no podrá presen Las Cortes quedaron enteradas de una exposición de los alcaldes tar í la sanción del R…</t>
  </si>
  <si>
    <t>Salvador, María</t>
  </si>
  <si>
    <t>María Salvador</t>
  </si>
  <si>
    <t>…carácter de ley. insignia. Se aprobó el dictamen de la comisión ordinaria de Hacienda, rela Art. 4.0 &gt;5 Que la primera compañía será de preferencia en todos tivo á la solicitud de Doña María Salvador, viuda de D. Josef Costa y los regimientos, y que en todas las de estos habrá á elección del capi Gali, diputado á Cortes que fue por la provincia de Cartagena en esta tán un cabo primero ó sargento segundo furriel para egercer las fun legislatura. La comisió…</t>
  </si>
  <si>
    <t>Salvador, Sánchez</t>
  </si>
  <si>
    <t>Sánchez Salvador</t>
  </si>
  <si>
    <t>…bia permitir asistir Los Sres, Vítorica y Zapata manifestaron no~ ser tiempo oportuno á sus discusiones. para discutir la memoria , por ser asunto muy interesante , y que coa aiEl Sr. Sánchez Salvador dijo que si los secretarios del Despa glo á la ley debia pasar á la comisión. cho no "habian prestado el juramento que aun á los mismos diputados El Sr. Ramos Arispe opinó ser muy oportuna la razón de ios se está mandado hacer , no podian entrar en aquel sant…</t>
  </si>
  <si>
    <t>…ngido los artículos 46 y 309 de la Constitución. sino que habia sido un acto voluntario del Sr. presidente. , . El Sr. Gaseo, abundando en las ideas.de su preopinante, y redu - El Sr. Sánchez Salvador manifestó que se podia manjar que; ,1a mis ciendo mas la cuestión, hizo presente quf aunque la instrucción para el ma comisión que hizo la propuesta anterior .siga con esté,ejqcárgp.,, gobierno econóin¡co-polxtico-de las provincias da á los Gefes políticos El…</t>
  </si>
  <si>
    <t>…os demas asuntos en quemar las máquinas de cardar é hilar lanas. El dia 2 á las once de la que entendía. mañana se supo :que se.había proyectado una reunión , y que se dirigían El Sr. Sánchez Salvador extrañó que no se hubiese acudido á las; los amotinados hácia aquella villa con el objeto referido. Se puso sobre milicias locales ó á la plaza de Alicante, cuyo gobernador podria tam las armas la poca fuerza' que existia, en la misma, y se adoptaron las bién…</t>
  </si>
  <si>
    <t>…xposición de aquellos de la diputación provincial de Galicia , que solicitaba que en atención á paises. subsistir las mismas causas que impidieron á las Cortes establecerla ley El Sr. Sánchez Salvador dijo que el ministro anterior tema prepa rado el expediente relativo á la organización del egército, el que se de 26 de Junio último, por la que se prohíbe.la importación de granos había entorpecido ó detenido con la mudanza de ministros; que en extrangeros ,…</t>
  </si>
  <si>
    <t>…álD. Josef. Se mandó tener, presente al tiempo-de discutir é' reglamento interior Ramírez.'A/állano, alcalde constitucional de la villa de Torrenueva, de Cortes una indicación dél Sr. Sánchez Salvador , en que pedia la proviriciá de; la .Mancha, reclamada por D« Máteos .Punce de León,, formación de un ceremonial.ó formulario para la comunicación recí beneficiado jé Xarancon^ residióte en la villa de Sta, Cruz de Múdela, proca dejos poderes legislativo y eg…</t>
  </si>
  <si>
    <t>…dicha práctica, y que se reprenda la creto de 2 r de Octubre próximo pasado. inobediencia del citado tribunal. Las Cortes recibieron con agrado, y mandaron pasar á la comisión El Sr. Sánchez Salvador manifestó que se habia expedido un de que entiende en el proyecto de ley constitutiva del egército, varios creto por las Cortes generales y extraordinarias, en que se mandaba que egemplares de una memoria presentada por los Sres. oficiales encarga las solicit…</t>
  </si>
  <si>
    <t>…icia Otra á la parte de abajo del mismo molino, de 4 cuartas, de pri voluntaria, con otros particulares relativos á la misma milicia. mera calidad , de secano, en 500 rs. Otra del Sr. Sánchez Salvador para que se cometiesen al Gefe po Otra á la senda de la Rodada, de 4 cuartas, de primera calidad, lítico , mandado establecer en el campo de S. Roque, las atribuciones de secano, en goo rs. del comandante, á fin de evitar gastos. Otra á la misma senda, de 2 o…</t>
  </si>
  <si>
    <t>…e Duna María de Aragón, y sus individuos pasarán á S. Fe respectivamente se les habían concedido. lipe el Real; los de Agonizantes de Sta. Rosalía y de S. Dámaso, y A petición del Sr. Sánchez Salvador se mandó dejar sobre la mesa de Clérigos menores de Portaceli, y su comunidad se reúne á la del el expediente informado por la comisión de Hacienda á consecuencia Espíritu Santo. Se agregan ademas á los conventos que subsisren ea de una exposición de la junta…</t>
  </si>
  <si>
    <t>…de seguridad interior, compatible con nuestras j en 130,000 rs. instituciones liberales. - Otro prado en el mismo sitio de Renueva, titulado de la MagesDespués de haber pedido el Sr. Sánchez Salvador que el Sr. encar •tad , de cabida de 7 fanegas en sembradura, en 17,000 rs. gado de la secretaría de Estado dijese-lo que habia con relación á la Otro en el dicho sitio, cercado de cal y canto, titulado la Huerta medida 4.a, dijo este señor, que el Gabinete f…</t>
  </si>
  <si>
    <t>…ón en el valle de Andorra, como parte integrante del principado Entraron los señores ministros, y el Sr. presidente les dijo el obje de Cataluña. tó á que habían sido llamados. El Sr. Sánchez Salvador leyó la exposición que por su, medio di El Sr. secretario, de la Gobernación de Ultramar dijo que única rigía á las Cortes el segundo batallón del regimiento de España, asegu mente se sabia que habia en Búrgos una reunión mas ó menos sosperándolas de sus nobl…</t>
  </si>
  <si>
    <t>…ertores era de los que se trataba, esto es, si del egér-, ponía la comisión. . cito permanente ó milicia. Se leyó el artículo 13; y el Sr. Vitorlca di jo debía quitarse la cláu El Sr. Sánchez Salvador dijo que se entendía ya con la palabra de sula ó'circunstancia á lo mas; á lo que contestó él Sr. Romero, Alsertores que eran dei egército o milicia provincial, porque la local no puente que era indispensable ponerla, porque, si no, podría haber mu-S está suj…</t>
  </si>
  <si>
    <t>…o que no tienen agregación determinadas á los ds También se mandó pasar á la referida comisión otra adición del la propia orden mas proporcionados y próximos á la provincia; y que Sr. Sánchez Salvador al art. 8.° para que los consejos de guerra ordi para verificar este arreglo asignen el termino mas breve que sea pouble, narios sean compuestos de oficiales del egército permanente y milicia debiendo. d3r cuenta á S. M. cuando se halle completamente egecuta-</t>
  </si>
  <si>
    <t>…ez, vecino de bierno presentase un proyecto de guardia Real, que se estaba forman Jaén , quejándose de una infracción cometida por el capitán de milicias do , á lo que se opuso el Sr. Sánchez Salvador; y después de una corta provinciales de la misma D. Josef Osorio; y otra del juez de primera discusión se resolvió suspender la discusión de estos artículos hasta di instancia de Baza , vindicándose de la queja que dió contra él el alcal cha época. de constit…</t>
  </si>
  <si>
    <t>…dó volver á la comisión; de sustituir otro que se adaptase mejor á todas las provincias; á lo que como asimismo una adición que á él hizo el Sr. Cepero, que decia: » ó contestó el Sr. Sánchez Salvador que la comisión habia creido que era del modo que ¡as Cortes determinaren.” ef mas conveniente, porque ya habían declarado las Cortes que habría El Sr. presidente dijo que mañana se continuaría esta misma dbcumilicias provinciales en toda la Monarquía. sion ;…</t>
  </si>
  <si>
    <t>d?8 , capitán de milicias provinciales de Seggvia, en que solicitaba permiso El Sr. Sánchez Salvador pidió que esta exposición pasase al Go para poder administrar sus bienes; y otra del ayuntamiento constitucio bierno para que exigiese la responsabilidad ,al intendente de Andalu nal de Granada, en la que manifestando la gran desigualdad de vecin cía, pues er…</t>
  </si>
  <si>
    <t>…au pidiéndo se les conceda la antigüedad de los empleos con que les agració diencias sean las que entiendan en esto. Es verdad ; pero, como dijo la junta de Cataluña eti i8tt. EL Sr. Sánchez Salvador dijo que esta muy bien uno de los Sres. preopinantes, ésta resolución recayó antes exposición debía pasar al Gobierno; á lo que se opuso el Sr. Quintana, de haberse promulgado la Constitución. Verificada su publicación , los diciendo que los interesados estab…</t>
  </si>
  <si>
    <t>…ia provincia, y se les no es prudencia anticipar los elogios de un pueblo antes que los decre abone el tiempo que hayan servido. te la historia. No se admitió á discusión otra del Sr. Sánchez Salvador, que de La Grecia no es, ni con mucho, lo que fue en otro tiempo; pero cía : Que los sustitutos hayan de ser individuos de la provincia, ó tampoco se halla en unestado de abatimiento y de humillación como avecindados en ella al menos seis meses, para ser admi…</t>
  </si>
  <si>
    <t>…ión de D. Domingo hayan pertenecido á cada pueblo para ios los efectos convenientes. Mariano Rosello y otros vecinos de esta corte, haciendo presente oue Se aprobó una adición del Sr. Sánchez Salvador al dictamen de Ja siendo la causa de no afianzarse mas en la Monarquía el amor á'ia comisión de Guerra, que decía asi: »&gt; ó cualquiera otro cuerpo del egérConstitución, la poca ó ninguna instrucción que dan de ella los pirro- cito permanente.” eos á sus felig…</t>
  </si>
  <si>
    <t>…itu de la Constitución, cu Se mandó pasar á la comisión de Organización de fuerza armada yo trabajo pase á las Cortes con su dictamen antes de concluirse la pre una indicación del Sr. Sánchez Salvador, relativa á que las Cortes ex sente legislatura.” citen i la comisión de Milicias para que presente á la mayor brevedad Se leyó por primera vez una proposición del Sr. Mendez, relativa sus trabajos acerca de! levantamiento de milicias provinciales en las pro…</t>
  </si>
  <si>
    <t>…lo practican en una temporada del. ^■■El Sr.' Romero Alpúenté opinó que está exposición y la indicación añó ; asi* que son menores-lós perju icios' que'puede haber'en éstoque del Sr. Sánchez Salvador debería pasar á uña comisión especial-’,' para las injusticias que 'se pueden-cometer. Quedó aprobado el articuló, sus qUe oyendo al Gobierno,.infórmase mañana lo que tuviera por conve pendiéndose lo que dice con respecto á los ganaderos. ■‘‘i niente.-- : '■…</t>
  </si>
  <si>
    <t>…jor ni mas ba te reglamentaria; y después de una corta discusión, y á consecuencia rato que él de la Hacienda nacional, y en este caso para qué han de de una duda propuesta por el Sr. Sánchez Salvador, se aprobó el artí querer los comerciantes emplear sus caudales en este producto. Si esto culo con la adición de ó comandantes' después de la palabra tenientes es asi, : para qué se quiere que esté estancado ! Sí fuese cierto , no so soroneles. lamente desear…</t>
  </si>
  <si>
    <t>…a del Si.* presidente que “antes dé concluirse la legislatura sedaría cuenta de Cármen, capitán Ignacio Cernuda, con maíz, en ocho dias de Ponte un expediente general, en donde él Sr. Sánchez Salvador podria poner vedra y Marín. Fue-reconocido el día ¡,~ del corriente, á tres leguas al esta indicación como adición. O. del cabo de La-Roca por úná corbeta insurgente, que tenia 14 ca - Se leyó una'indicación del Sr.'Aláman , relativa a que la comisión ñones m…</t>
  </si>
  <si>
    <t>…ro día , todavía hay motivos, aunque infundados, para decir que se deben estado de la Hacienda pública. lina infinidad de meses. El Sr. González Allende lia reclamado la exacti El Sr. Sánchez Salvador dijo : la mavor parte de los cuerpos del tud en la cobranza de las contribuciones , y esta en nu concepto no puede egércitó están bieu pagados, y sin embargo di esto ha habido algunas hacerse con igualdad por dos motivos; el primero porque es mas fácil co que…</t>
  </si>
  <si>
    <t>…e pago que ex ni tampoco es creíble que el Sr. general Quiroga le admitiese, cuando perimentan en sus sueldos , y suplicaban se les reintegrase de los atra el otro dia haciendo el Sr. Sánchez Salvador una indicación , á fin de sos, y se diesen las providencias oportunas para que no sufran en ade premiar sus servicios, se opuso á ella con la mayor energía , y aun ro lante estas demoras: la comisión opinaba que este expediente debe pa gó encarecidamente á su…</t>
  </si>
  <si>
    <t>…. Juan.Elias y compañía, para los efectos, convenientes con arreglo gánica de la armada naval.” Después de una ligera discusión quedó á ella-." ... aprobada dicha indicación. _ El Sr. Sánchez Salvador dijo que era justo se. pagase á estos intere Se leyeron los tres proyectos de ley sobre prados boyales, sobre ca-, sados , pero no en el .modo que ,1o expresaba la comisión , pues era dar za, y sobre hacer extensiva la amnistía concedida á los facciosos de Sa…</t>
  </si>
  <si>
    <t>…xilio divino en el castillo unos 40 suliotas y el capitán Zoursa manifiesto general del estado de la Nación. D/cirsa; habia dentro 30 turcos con Murtobey; tenemos ya las llaves El Sr. Sánchez Salvador dijo , que deseaba saber si en este artículo de las puertas y establecida la guardia. Ahora, si Dios nos asiste , pue estaban comprendidos los créditos de los cuerpos é individuos milita de venir el Sultán Mahmout en persona con todo su imperio; ya no le res…</t>
  </si>
  <si>
    <t>…carta de España. 342,074. Total 69.363,155 yese por el Gobierno entre las mas principales obras de esta naturaleza reales. con acuerdo de la dirección facultativa de este ramo. El Sr. Sánchez Salvador manifestó que la partida de 6.953,400 rs. Se leyeron las bases presentadas por la comisión Eclesiástica para la que se asignaba para gastos, sueldos de los gefes políticos y sus secreta distribución de los diezmos entre el clero. rías era muy grande, dimanand…</t>
  </si>
  <si>
    <t>…sueltos con los sueldos que tenga cada uno, y también el de Se mandó pasar á la comisión ordinaria de Hacienda la siguiente las personas que gozasen las pensiones." indicación del Sr. Sánchez Salvador, que decía asi: » Que ningún cesan El Sr. Traver hizo presente 1a multitud de cesantes que el Go te pueda gozar mientras se halle en esta clase mas sueldo que el que le bierno habia empleado en diferentes comisiones, y que si se dejaba á corresponda, aunque t…</t>
  </si>
  <si>
    <t>…0 rs.: total de gastos del Gobierno de la comisión de División del territorio, y habiendo ocupado la tri político 5.349,500 rs,: diferencia de lo propuesto por la comisión buna el Sr. Sánchez Salvador leyó)el siguiente discurso: 2.319,800 rs. Dividir ya las provincias en fracciones acomodadas para su régimen Comparado lo que ahora cuesta el Gobierno político con lo que sa constitucional, atendiendo á su población y situación; no chocar aho- indica en mi si…</t>
  </si>
  <si>
    <t>…a á Huelva, sino á de sus habitantes. Por mi parte digo; (prosiguió) que desde que juré Moguer. ; . - . . ¡ la Constitución, de la Monarquía en Cádiz no conocí ni mas fueros de El Sr. Sánchez Salvador caniestó al Sr. Zapata apoyando: de nue Vizcaya ni mas divisa que la Constitución; por ella he padecido, y, vo el dictamen de la comisión; y .después de haberle declarado el. aun puede decirse que he contribuido con mi sangre á su restauración,- pumo por sufi…</t>
  </si>
  <si>
    <t>…, resultando la diferencia que va de un Gobierno cutado aun en doble tiempo en algunas provincias. : despótico que dispone de la vida de los ciudadanos á uno libre, en Ha dicho el Sr. Sánchez Salvador que esto puede haber pendido de cuyo caso se presenta en el Congreso con causas muy legítimas para so las comunicaciones: pero yo creo que no es una razón poderosa. ¡Son licitar disponer de cierto número de tropa. La Constitución , al prefijar por ventura las…</t>
  </si>
  <si>
    <t>…sino tornar los mis poner el art. 326 fue por si acaso se habían de aumentar. La objeción mos términos que se expresan en el art. 326, que dice que la dipu que ha querido poner el Sr. Sánchez Salvador por un efecto de su zelo, tación provincial se compondrá del presidente , intendente &amp;c., y las alegando el art. 326 y el n de la Constitución, no tiene réplica al Cortes decidirán la cuestión que ha indicado el Sr. preopinante cuando guna. ■ se trate de ella…</t>
  </si>
  <si>
    <t>…er con la mayor suavi cia de los egercitos, es aplicable ai egército español, l odos los políti dad posible. cos miran los egércitos permanentes como enem'gos de la libertad, y El Sr. Sánchez Salvador: El Gobierno está convencido de que se en España no estamos en ese caso. Asi pues me referiré solo á las refle necesitan 863 hombres .de milicias ; pero por las circunstancias no se xiones económicas. deben sacar mas que 663 en ios 4 anos* í o encuentro que e…</t>
  </si>
  <si>
    <t>…seria muy bueno que no se excep excluir de esté artículo los saígeñtós de milicias , y aun los cabos. tuasen los individuos que se casasen teniendo la edad que requería la ley, El Sr. Sánchez Salvador manifestó que no había una grande proba porque eran malos los matrimonios prematuros, tanto á la sociedad co bilidad de que saliesen para'el egército los cabos , tanto por los pocos mo para ellos mismos, porque los padres estaban en ocasión de apren que habia…</t>
  </si>
  <si>
    <t>…se retirasen, á que en este asunto con discernimiento, debo manifestar que no hay una volviesen á servir. precisión de completar los cuadros en los cuerpos de milicias , en ra El Sr. Sánchez Salvador dijo: Me parece que cuando el Gobierno zón de que el reemplazo se deberá hacer por sextas partes, y de consi concede un retiro, y lo concede con el sueldo proporcionado á los años guiente cada batallón el primer año no tendrá loo hombres, y seria sü- de servi…</t>
  </si>
  <si>
    <t>1617</t>
  </si>
  <si>
    <t>…sos por los méritos que han penso de su graduación ni dei sueldo que por ella disfrute, ni trasla contraído. dado sin solicitarlo de un cuerpo á otro, sino por causa legalmente El Sr. Sánchez Salvador: La mira que ha llevado la comisión para probada y sentenciada.” proponer este artículo ha sido político-militar; quiere que estos gefes El Sr. secretario de Guerra: Hay coroneles que pasan de 68 años, mientras esien en las provincias, esten en alguna manera…</t>
  </si>
  <si>
    <t>…s Continúa la variedad de pareceres sobre las elecciones de Francia ; y para desempeñar estos destinos. . es muy de notar el lenguage de la famosa Cotidiana cuando dice: « ; Es El Sr. Sánchez Salvador añadió á las reflexiones del Sr. ‘Sancho bastante completo el código electoral qaie nos rige? ;Lo ha previsto todo? que cuando en una compañía falten sugetos inteligentes para desempe &lt;Será definitivo? Solo el tiempo podrá decírnoslo. Las pérdidas numéricas ñ…</t>
  </si>
  <si>
    <t>…s de subtenientes en la milicia activa to El Sr. Aínedo hizo algunas reflexiones en contra de este artículo. dos aquellos sugetos que teniendo la edad necesaria reúnan los cono El Sr. Sánchez Salvador anadió á las del Sr. Sancho que jamas los cimientos que dicte un reglamento particular, y que al Gobierno le oficiales del egército pueden esperar los ascensos que reciben en la mili parece muy útil el que se tenga esta consideración por los motivos que cia,…</t>
  </si>
  <si>
    <t>…o estará mas bien defendida la costa de fuerza armada.” Aprobado. Granada que no ahora con ias compañías fijas. Art. 103. '3 Cuando las milicias esten sobre las armas deben con El Sr. Sánchez Salvador dijo que la comisión habia creído que luego siderarse en todo lo perteneciente al orden adnnnUttativo como cuer de establecida la milicia nacional deberian suprimirse estas compañías, pos del egército permanente.” Aprobado. pues según se dijo por ei ministeri…</t>
  </si>
  <si>
    <t>…esión de ayer para „ Tal es la situación actual de nuestros establecimientos sanitarios, continuar su discusión. no habiendo en ellos mas que umconvaleciente, y ningún enfermo. El Sr. Sánchez Salvador pidió que se oyera al Sr. secretario de Ha „ En cuanto á la ciudad siempre ha sido excelente el estado ds cienda para aprobar ó desaprobar este artículo; sobre lo cual manifestó salud pública, y esperamos que la certeza con que se lo aseguramos á el Sr. presi…</t>
  </si>
  <si>
    <t>…o, y siendo una medida para el fomento de la industria, creo que Las Cortes deben aprobar el artículo. Relación Je fincas a ue se están subastan Jo Je ias aplicadas ei¡ Crc.Vln El Sr. Sánchez Salvador apoyó el artículo, manifestando que pu- publica para raga Je la deuda nacional, e.vrresha Je las provincias diendo trasportarse géneros nacionales de un punto á otro de la Penín donde se bailan , su situación ,,procedencia , cantidades en ,pte &gt;.an sida sula,…</t>
  </si>
  <si>
    <t>…danos por muerte ú otros acci tractos de noticias extrangeras que apenas deja que recoger cosa alguna dentes.” nueva. El 25 de Setiembre habia llegado á Petersburgó el barón de El Sr. Sánchez Salvador como individuo de la comisión pidió qus StrogonofF. El Monitor desmiente el rumor que se habia propagado se leyese todo el dictamen, para que las Cortes viesen las razones en acerca de la peste en Liorna. En Ñapóles se continúa el rigor de la que se habia fun…</t>
  </si>
  <si>
    <t>…que al segundo se le dé una banderola; pero que se dé ó mayor claridad para que no haya lugar á dudas. no á esta banderola una importancia , al fin es una insignia, y tiene el El Sr. Sánchez Salvador expuso : » Las objeciones que ha puesto mismo inconveniente que h» tratado de evitar el Sr. secretario de Ja el Sr. preopinante no tienen ninguna fuerza, porque es claro que los Guerra, porque aunque se la mude el nombre, queda ia insignia; y la oficiales agr…</t>
  </si>
  <si>
    <t>…el de banderas y estandartes previenen, interesen conservarla, y asi le prestan todo el apoyo ó auxilio que las ordenanzas generales.” pueden con el mismo vigor que el primero. El Sr. Sánchez Salvador propuso que para mayor claridad del artí El Sr. Sánchez Salvador: Pueden concillarse las opiniones diferen culo dijese prevtngan en lugar de prninten, y asi se aprobó el artículo. tes que hay. En mi opinión deben mudarse las insignias que hay, por Se leyeron…</t>
  </si>
  <si>
    <t>…ad cristiana, que al grito de la humanidad afli ñor Rovira, individuo de la comisión, convino en que se suprimiese. gida acudiesen volando á socorrerla y aliviarla en su dolor. El Sr. Sánchez Salvador dijo que este artículo daba una idea de que Asi lo hicieron las hermanas de la Caridad d»l instituto de S. Vi el almirantazgo era superior al Gobierno, cosa que no podía ser; y cente de Paul, establecidas en Valencia , las cuales al primer llama que por lo mi…</t>
  </si>
  <si>
    <t>…ue tengan destino fijo en él. 3.° Entre los que deben exigirse menos conocimientos, y al mismo tiempo menos anteriores, y por el mismo orden , será preferido el huérfano. edad. El Sr. Sánchez Salvador dijo que se oponía á este artículo, porque El Sr. Rovira: La comisión ha coincidido en las mismas ideas del daba una preferencia á los hijos de los oficiales de marina ó del egér Sr. preopinante , y no exige que deba entrar el aspiro,nie—precisamente cito en…</t>
  </si>
  <si>
    <t>…s y plazas del almirantazgo y de He ¡os oficiales de guerra de la armada. mas destinos fijos de tierra.” Art. ríg. : *» Las ciases de este cuerpo quedan reducidas á siete; £ sa El Sr. Sánchez Salvador propuso que después de la palabra n.izíos ber: almirante., y ice-almirantecontra-almirante , capitanes de navio, se añadiese útiles, porque como tenemos pocos de estos, y muchos inúti capitanes de fragata , primeros tenientes y segundos tenientes , que cor le…</t>
  </si>
  <si>
    <t>…ercerá las fun d.'ár. su retiro á propuesta del almirantazgo conforme al .último regla-, ciones de tal.” mentó. Los oficiales que en virtud de la reforma resulten sobrantes ó . El Sr. Sánchez Salvador: Yo apruebo este artículo siempre que se mo retirados podrán optar á otros destinas fuera de la armada, según su difique de modo que el Gobierno pueda variar esto, como se ha pues aptitud y conocimientos.” Aprobado. to en el artículo anterior; porque se ha de…</t>
  </si>
  <si>
    <t>…¡a del despacho de tít. 4." de dicho proyecto, la cual decía asi: » Para la posible analogía Marina. con la ley orgánica del egército fíjese en este título alguna base al al ■ El Sr. Sánchez Salvador fue de opinión que no debia privarse á los in mirantazgo para propuesta de ascensos, ya sea la antigii dad , ó la dividuos de que se trata de ser llamados á desempeñar cualquier destino: elección en igualdad de circunstancias, en las clases respectivas al ten…</t>
  </si>
  <si>
    <t>…vigilando úriintnienñl'sdbre el ciimJ segundo y el de recorrida 800 rs., y los terceros 700 rs.” Aprobado. plimiento dé las órdenes; y representando al almirantazgo las -faltas El Sr. Sánchez Salvador insistió en que deberían presentarse los que notare.” Aprobado; ' : sueldos de estos individuos antes’de aprobarse el artículo. Habiendo ' 'Art; 224.- «'Tendrá •«! cofriandanté ge'tleral á sus ótdmes para" el manifestado los señores-de la comisión en que podr…</t>
  </si>
  <si>
    <t>…das las personas qu* se estimen con derecho á dicho patro este decreto , y en cuanto no se oponga á él.”. nato , para que en el término de 40 dias se persónen por sí, ó pór pro El Sr. Sánchez Salvador dijo que sé oponía á- este artículo, porque curador con poder bastante á usar del derecho de que se crean asistidos estaba concebido en términos que coartaban'lis‘facultades del Rey; y con respecto al mismo patronato; bajo apercebiniiento que pasado di despué…</t>
  </si>
  <si>
    <t>…a bala del Papa excomulgando á los carbonarios ha producido el correspondiente á los sargentos primeros.” .grandes efectos en el reino de Ñapóles, si. hemos de creer á quien no El Sr. Sánchez Salvador, reproduciendo, las observaciones que te tiene Ínteres en que se sepa la verdad. Varias gentes del campo , de quie nia hechas en su voto particuiar , dijo que si se aprobaba este artículo, nes nada se sospechabaentregan sus diplomas de carbonarios, diciendo c…</t>
  </si>
  <si>
    <t>…misionado para la compra de una partida de a ios principios de equidad el artículo que se había leído. lonas, á fin de armar dos ó tres navios de guerra, en perjuicio de las fá El Sr. Sánchez Salvador dijo que la mayor parte de ¡a Nación, que bricas nacionales y en beneficio soio de tres ó cuatro particulares, sin es la de los pu-blos interiores, clama contra la libre introducción, que embargo de que se acordaba que cuando se libró cierta cantidad para no…</t>
  </si>
  <si>
    <t>…terna déla junta los estados, el que se aprobase al dictamen que no la proposición de inspectores. referida. . Art.47. » Los ayudantes actuales de milicias que " tengan derecho Ei Sr. Sánchez Salvador manifestó que únicamente resultaba de tos . á salir'á capitanes del egército en las vacantes que dejaban los que de estados que se habían leído una baja en la milicia del año de 24, pues esta clase pasaban á sargentos mayores de milicias,” serán declarados ca…</t>
  </si>
  <si>
    <t>…ta en los términos que dejo re sores se enteren mas pronto, sería un medio de entorpecer la causa, feridos. porque todas las piezas tienen una íntima relación unas con otras, y El Sr. Sánchez Salvador, como individuo de la comisión, después de se necesita mucho mas tiempo para esto que no para lo que propone la hacer varias reflexiones para demostrar lo detenida que habia estado la comisión ; y por lo mismo las Cortes están en el caso de aprobar el comisió…</t>
  </si>
  <si>
    <t>…bia aprobarse este por reunir E11 cuanto á la provincia de Burgos es lo mismo que exista como mayores ventajas. que no exista; cunea ha habido guarnición en Búrgos en tiempo de El Sr. Sánchez Salvador, reproduciendo' lo que tenia manifestado paz; lo mismo en la provincia de Rioja, en la de Santander &amp;c. ¡Y- en su voto particular como individuo de la comisión, dijo que resul qué inconveniente hajr en que se reúnan con la de Navarra , y formen tando una econ…</t>
  </si>
  <si>
    <t>…Sr. Sancho dijo que para deshacer algunas equivocaciones que fe recomendaba por la baratura de todos los mantenimientos : lo que habían padecido el Sr. ministro de la Guerra y el Sr. Sánchez Salvador ■podia hacer subir la economía de tener allí acuartelados algunos regi era preciso repetir las observaciones que se habían hecho en la sesión mientos á tenerlos en Andalucía, á muchos millones; y por fin que anterior; y habiendo dado mayor extensión á las raz…</t>
  </si>
  <si>
    <t>…costaría trabajo que dejara de serlo ; pero si se hubiese de hacer esto,sé y esto seria demasiada dilación. trasladarla entonces la capital á Zamora, que por razón de, ser casi El Sr. Sánchez Salvador se opuso al dictamen de la comisión , ma fronteriza debería estar mejor que en ningún ctro punto; pero repito nifestando que era demasiado territorio el que se comprendía en las que atendiendo á las circunstancias, se ha creido mejor dejarlo como está. provin…</t>
  </si>
  <si>
    <t>…ase mas á propó Se leyó el dictamen de la; comisión de Beneficencia,acerca de lo sito para el efecto. &lt; que habia propuesto el Sr. secretario de-la Gobernación de la Penírísu-r El Sr. Sánchez Salvador: La comisión está de acuerdo con la idea del la en 12 del actual, relativo á 34 plantificación y arreglo de: casas de Sr. preopinante; y poniendo en el artículo que quede á elección del corrección y presidios correccionales.;.y opinaba que no siendo propios G…</t>
  </si>
  <si>
    <t>…no debe absolu tel Sr. m,ni,tr.o de la Guerra'hiizo presente que los tenientes de rey tamente desampararla. y sargento, mayores-podrían aesempeoar estos destinos interinamente El Sr. Sánchez Salvador manifestó que esto no era una cosa nueva; hasta, que se hi-ies-elfarreglo. general, para lo cual se necesitaban al«n razón de que el marques de Castel-Dosrius había sido, capitán gene gunosiconóciniu-nt-s. 5 . ' ral de Andalucía , y comandante general de Cád.…</t>
  </si>
  <si>
    <t>…adición, mes siguiente; y por el cálculo mas aproximado Jos prodnetos de las que podia hacer S- S. después. rentas públicas, y demas recursos con que se cuente para llenarlos: El Sr. Sánchez Salvador apoyó el artículo, manifestando que el al 5.0 Que asi el cantador de Valores como el de Distribución, á quienes calde debía asistir de todos modos sin meterse á averiguar si era bien deben v*nir directamente estas noticias, respondan de la observancia ó mal r…</t>
  </si>
  <si>
    <t>…ública: otra del ayuntamiento de S. Salvador, en Gali Cortes resuelvan lo que tuvieren por conveniente.’cia , dándoles gracias por haber designado á Vigo por capital de la -pro El Sr. Sánchez Salvador dijo que para él era muy' claro que una ley vincia de su nombra; y otra del ayuntamiento de Bilbao,dando gracia* ja aprobada por las Cortes no podia volver á ponerse en discusión en á las Cortes por haber hecho á Vizcaya provincia independiente, fijan todo aq…</t>
  </si>
  <si>
    <t>…onmigo ; y de aquí se puede inferir la nicesidad que hay encargo como correspondía. de dar al pueblo leyes que se funden en los principios de moral ur.iDespués de haber apoyado el Sr. Sánchez Salvador la opinión del versal. Sr. Rovira, manifestando que las reflexiones del Sr. Banqueó podrían Contrayéndome á hacer varias observaciones Sobre el dictamen di yqnir. bien cuando se.tratase del arreglo de la administración de mari Ja cena s on en su totalidad, di…</t>
  </si>
  <si>
    <t>…marinas; y por último otras muchas ventajas eco grandes sumas después de no lograr el objeto principal. nómicas. Se dirá acaso que no será decoroso para los oficiales de la ar El Sr. Sánchez Salvador apoyó el dictamen de la comisión, mani mada el servir de guardas; yo no encuentro nada indecoroso en el ser- festando que habia visto por sí mismo lo costoso que era un resguardo yicio de la Nación , y por otra parte están sirviendo de correos, y no se por cu…</t>
  </si>
  <si>
    <t>…conforma aduanas que se señala por premió de la aprehensión en elart. 5.0, se en ban en Que se pusiese el artículo en aquellos términos. tienda también el producto del tabaco.” El Sr. Sánchez Salvador convino con la idea del Sr. Alaman res ' Del Sr. Palarea al mismo, que se añada : » El medio por 100 entre pecto de las facultades del Gobierno ; pero no en cuanto á la fuerza qne todos los individuos de ios resguardos con proporción á su sueldo, y el se debí…</t>
  </si>
  <si>
    <t>…hurst les ha proporcionado todos [os medios de seguridad y pro rilla. tección que están á su alcance. Esta pequeña carabana, guiada por los Se aprobó) la siguiente proposición de! Sr. Sánchez Salvador: ,,Siendo naturales del país, se encaminará desde Trípoli í Mourzonck, y desde conveniente que se agregue á la comisión de Grvrra algunos individuos allí áTombuctu ó á Burnon , proponiéndose principalmente internarse de Ultramar pira tratar de las consultas h…</t>
  </si>
  <si>
    <t>…e , deben las Cortes apro» resultado es que en el erario nación».! no'ha entrado cantidad alguna bar el artículo de que se trata. dé esta ciase: por'consiguiente, el argumento del Sr. Sánchez Salvador El Sr. Sánchez Salvador dijo que aunque no ss oponía al dictamen no tiene fuerza alguna. . c . de la comisión , creía oportuno observar que si se suprimía el derecho de Se declaró en seguida-este asunto suficientemente discutido, y 4 por too, como se proponía , es…</t>
  </si>
  <si>
    <t>…por el Sr. diputado Don pondiente-á la clase de.subtenientes. Josef Rodríguez * era d* parecer, que las Cortes se-sirviesen acordar se - Se leyó en seguida.el voto particular del Sr. Sánchez Salvador, in admitiesen por ahora'con absoluta -libertad de derechos, . excepto el- dividuo de la cemisipn , en.el que disentía del dictamen de Ja mayo 3 por too de administración., todos Jos instrumentos y máquinas des-, ría , y opinaba que los subtenientes de que se…</t>
  </si>
  <si>
    <t>…í dó aprobado dicho párrafo, y se leyó el siguiente: culo 290 de que habia hecho mérito el Sr. preopinante. n Si se le hubiere impuesto esta pena con la de muerte , llevará des El Sr. Sánchez Salvador fue de parecer que precediera á la egectlcubierta la cabeza, y será conducido en un jumento en los términos cion de la sentencia la misma fórmula que hay en los juicios militares, expresados. Aprobado.” esto es, el publicar un bando imponiéndose pena de la vi…</t>
  </si>
  <si>
    <t>…ijo que no habia otra objeción que la del tribu D. Ramón Rodríguez de Velasco, juez de primera instancia de Gra na! supremo de Justicia. nada, mandó se llevase á debido efecto. El Sr. Sánchez Salvador dijo que debía tenerse alguna consideración con los reos que hubiesen estado algún tiempo en calabozo, y abonar Habiéndose observado los trámites prescritos por la ley, y calificado les el tiempo que hubiesen permanecido en él, como si hubiesen esta los doce…</t>
  </si>
  <si>
    <t>…NC1N. políticos, considerando á Jaén como á una ciudad interior, país fértil, . y en el cual los artículos de primera necesidad eran muy abundantes. Serian del 37 de Diciembre. El Sr. Sánchez Salvador opinó que podían pasarse muchas provin cias de las de mayor dotación á otra de menor, y que podían rtbajurse Se leyó y aprobó el acta de la anterior. considerablemente los sueldos de los gefes políticos y demas empleados, Las Cortes quedaron enteradas de un o…</t>
  </si>
  <si>
    <t>…os oficiales segundos respecto ¿e los las objeción ,-s que estimase convenientes. escribientes y porteros. El Sr. prcsid nte dijo que se suspendía esta discusión pata continuar El Sr. Sánchez Salvador se opuso al artículo , y manifestó que res la del cudigo penal. pecto de las cebajas que se hacían en ios sueldos de estos .mpicados, Se leyó el articulo siguiente: debían ser todas á proporción para que tuvieran una escala proporciona GAFETUIOIV. da. La prin…</t>
  </si>
  <si>
    <t>Salvador-, Sánchez</t>
  </si>
  <si>
    <t>Sánchez Salvador-</t>
  </si>
  <si>
    <t>…zo, este tratado en¡ beneficio puesta á un delito en una nación cuando sé lia cometido fuera de ella. -de los mismos delincuentes^ porque el que, fuese juzgado e,n aquel país ' El Sr. Sánchez Salvador-: El artícutó le véd como'corresponde, solo seria empalado. El Gobierno portugués también envía á los, delinc.uenr con añadir cuando se dice kabietuio cometido ttn delito la palabra contra tes españoles. Ademas de la, causa de los,monederos’falsos, he actuado…</t>
  </si>
  <si>
    <t>Salvadorefe, Sánchez</t>
  </si>
  <si>
    <t>Sánchez Salvadorefe</t>
  </si>
  <si>
    <t>…bien conocido á por 100, aumentándose de este modo elcredito 122. papel. Con fesp-íctn lo el mundo. í.a razón de este vacío de dinero, que se aumenta anual to á lo que ha dicho el Sr. Sánchez Salvadorefe que se debería sácarmente , es que siendo muchos mas los productos de industria extrangera esta contnhucíon de ¡4?por 100 de otra paite , debo manifestar que del que si introducen en ia Península que los que salen de la nuestra, : 4 pot.loo.n.o sé ha cogido t…</t>
  </si>
  <si>
    <t>Salvadores, Josef</t>
  </si>
  <si>
    <t>Josef Salvadores</t>
  </si>
  <si>
    <t>…cajas de azúcar que les han remitido de li adoptaba en ios mismos términos. Aprobado. mosna desde la Havana. La comisión añadió el siguiente artículo ademas de los aprobados El de D. Josef Salvadores, D. Miguel y D. Rafael de 1» Puente so respecto de tesorero». bre que se les admitan créditos liquidados en pago de lo, que deben n Los tesoreros de provincia continuarán siendo propuestos por el como arrendatarios de las rentas de la mitra de Astorga. La com…</t>
  </si>
  <si>
    <t>Salvadur, Estanislao</t>
  </si>
  <si>
    <t>Estanislao Salvadur</t>
  </si>
  <si>
    <t>…egército permanente y milicia nacional bricado de la Real mano. = En Pa.acáo á 9 de D.ciembrc de 1821.= activa usarán en adrante , en lugar de las banderas y estandartes que en A D. Estanislao Salvadur. el dia tienen la insignia de un león de bronce, en la forma y con las diferencias que para las distintas armUs prescriben los artículos si El Rey, á consulta del consejo de Estado, se ha servido nombrar guientes: para los juzgados de primera instancia de las…</t>
  </si>
  <si>
    <t>Salvé, Vicente</t>
  </si>
  <si>
    <t>Vicente Salvé</t>
  </si>
  <si>
    <t>…neral de la armada nacional; D. Vicente Gisbert y Colomer, Gobierno. El divan parece que pretende conservar á los asiat.cos para propietario de Alcoy; D. Martin Serrano , abogado: D. Vicente Salvé, contener á los genízaros, sin embargo de que aquellos le son muy sospe regidor constitucional de Valencia; D. Lorenzo Villanueva, magistra chosos por su insubordinación, por el deseo que manifiestan de come do de la audiencia territorial de Madrid; D. Vicent…</t>
  </si>
  <si>
    <t>Samaniego, Gerónimo Josef María</t>
  </si>
  <si>
    <t>Gerónimo Josef María Samaniego</t>
  </si>
  <si>
    <t>…deó en la rada de este puerto el 17 de este mes. siciones de D. Juan^Ruiz, D- Joaquín Blanco, D. Josef Ramírez, Dicha división se compone del navio le Jean-Bart, de 74 cañones; de D. Gerónimo Josef María Samaniego, D. Diego Caballero, D. Josef la fragata la Duchrsse de Berry, y di la corbeta la Aigrette. Parece Puche! , D. Antonio Nieto, D. Francisco Domingo González y Don que estaba tomando disposiciones para volver á hacerse á la vela. Manuel Ibañez, solicitando los…</t>
  </si>
  <si>
    <t>SamLos</t>
  </si>
  <si>
    <t>…Una introducción y varios apuntamientos para la historia teres, solo aman el poder arbitrario por tener parte en él. déla jurisprudencia española, divididos en 35 párrafos por el Sr. SamLos pueblos y los Reyes van conociendo cada dia mejor cuán per pere: el g.1' Varios escritos dei licenciado Gerónimo de Cevallos.Don niciosos son estos hombres, y cuán detestable es la hipocresía con que Guillen Barbón y Castañeda, D. Diego Saavedra Fajardo, D. J…</t>
  </si>
  <si>
    <t>Sampayo</t>
  </si>
  <si>
    <t>…odrían elegirse, fue aproba ber que la. copia, de.este decreto no podía publicarte por haberlo llevado • do el que propuso el Sr.'.'Magiochi por parecer el mas breve, y el cúál gl conde Sampayo á mostrárselo á;$- MO ;.r:¿ se reducía á escoger 32 personas de las que se {tallaban en la lista con . » Para que S. M. .no pueda remover en Lisboa ni en Oportó ra máyór número de votos t debiródó señalar cada-diputado de estos mis— los comandantes de los cue…</t>
  </si>
  <si>
    <t>San</t>
  </si>
  <si>
    <t>…positivo. sible á los ojos de -todos los buenos españoles. El Sr. Cepera dijo que afortunadamente no hallaba á la Nación en El Sr. Moreno Guerra dijo que apoyaba la indicación del Sr. San el miserable cuadro que ha hecho el Sr. Romero Alpuente; que sus cho, y que en la ocasión presente debían dictarse leyes severas pam cas proposiciones eran emanadas de su ardiente zelo y amor á la patria; tigar estos atentados, y que á él le parecía debía hac…</t>
  </si>
  <si>
    <t>Sán</t>
  </si>
  <si>
    <t>…el decreto de 9 de Noviembre último para poder dieron: « Visir, dádselo.” El contestó: « Me firmareis una promesa de presentar sus créditos. Que en cuanto á lo que habia dicho el Sr. Sán que si alguna vez se rinden á las tropas del Sultán, ;os daréis vosotros chez Salvador, debia entender que este artículo no habla ni de los cré mismos la muerte!” y ellos la firmaron al momento. El Visir entonces ditos de los cuerpos militares, ni de ningún o…</t>
  </si>
  <si>
    <t>…incias mas distantes de la capital las que no han la línea divisoria de los varios poderes, ha dado al Rey la facultad de cumplido todavía? Es claro que no; luego el argumento del Sr. Sán disponer libremente de la fuerza armada; y como encargado de ¡a con chez oa'vador qu :da desvanecido. Si algunas de las mas distantes lian servación del orden , el Gobierno , por el art. 365 de la Constitución, cumplido, también pueden haber cumplido las demá…</t>
  </si>
  <si>
    <t>…mado con esta adición los Sres. de la comisión, envío de estados con responsabilidad á los contadores y tesoreros si se quedó aprobado el artículo en los términos que manifestó el Sr. San lo abonasen, y á la segunda que sean separados de sus dest’nos sin- obMiguel. cion á otro alguno. Y como el olvido de una disposición tan terminan Se leyó el art. 82, que decía asi: te sea una falta inexcusable en el mencionado contador principal, quie ■ Art.…</t>
  </si>
  <si>
    <t>San'tigan', Ramón</t>
  </si>
  <si>
    <t>Ramón San'tigan'</t>
  </si>
  <si>
    <t>…sde luego como vacantes, procediéndose á su provisión. imprenta. .. - - - 4.0 Cada tres meses se remitirán á este ministerio iguales certifica El de la de Legislación, denegando á D. Ramón San'tigan', vecino ciones, expresando que en el trimestre anterior no han faltado de sus del.Burgo de Osma , la permuta que solicitaba del grado de bachiller destinos los empleados ; y en el caso de haber faltado alguno, por cuán en cánones por el de leyes. . ’ : , , .,…</t>
  </si>
  <si>
    <t>San, Claudio</t>
  </si>
  <si>
    <t>Claudio San</t>
  </si>
  <si>
    <t>…en dicho pueblo de Fillonedo desde su publicación en él , ¡,e oti;a. En la gaceta del 1 5 de Marzo, columna 5.*, líneas 4 y e¡,' presenten en su juzgado y escribanía numeraría de D. Claudio San/, donde dice hablando de Pamplona y de la exposición dei cabildo 'y. por medio de procurador, y con poder bastante , á deducir y exponer ayuntamiento de dicha ciudad ipc., léase solamente.y de la exposición dei lo que á su derecho crean convenirles; apercibid…</t>
  </si>
  <si>
    <t>San, Domingo de</t>
  </si>
  <si>
    <t>Domingo de San</t>
  </si>
  <si>
    <t>…, enviarán á los alcaldes cons Josef Calleja: para Villaoz á D. Bartolomé Fernandez: para Miranda titucionales la orden que fija el contingente de su pueblo ó distrito. de Ebro á D. Domingo de San. Martin: para Sto. Domingo de la Cal El Sr. Bahamonde manifestó que parecia se oponía á la Constitu zada á D. Félix María Manso de Velasco: para Sedaño á D. Gabriel ción el que se enviase la orden de repartimiento á los alcaldes consti Gutiérrez; y para Villa…</t>
  </si>
  <si>
    <t>Sán, Juan</t>
  </si>
  <si>
    <t>Juan Sán</t>
  </si>
  <si>
    <t>…de varias academias, y profesor de economía política se convencerían los gefes y autoridades del ningún fundamento que ha en el ateneo de París. Nueva traducción en castellano por D. Juan Sán bía para atribuir semejante impostura á unos pueblos dignos de mejor chez Rivera, maestro de lengua francesa de los establecimientos milita consideración, y los mas tranquilos de toda la Península. Pero es muy res de Alcalá: dos tomos en 4.°, de papel entrefi…</t>
  </si>
  <si>
    <t>San-, Ignacio Vich y</t>
  </si>
  <si>
    <t>Ignacio Vich y San-</t>
  </si>
  <si>
    <t>…zcaya, Santander, Asturias y Galicia. llorca, en esta forma: para el partido de Palma á D. Mi 3.0 El de Zamora, Salamanca, Extremadura y Sevilla. guel Fluxá; para el de Esportas á D. Ignacio Vich y San- 4.0 El de Cádiz, Málaga, Granada y Cartagena. tandreu ; para el de Inca á D. Oaoíre Gradoli; para el - Debiendo variar cada año de departamento los subins</t>
  </si>
  <si>
    <t>San-Miguel</t>
  </si>
  <si>
    <t>…contestación al discurso dillo por 72: 13 el Sr, Lorenzana por &lt;52: 14 el Sr. López (D. Mar de S. M. , y concluida esta se siguió leyendo la precitada memoria. cial) por 79: 15 el Sr. San-Miguel por Ó9: 16 el Sr. Marín. Titule Concluida la lectura dijo el Sr. presidente,-que las Cortes cuidaban</t>
  </si>
  <si>
    <t>Sanamétodo, Vicente</t>
  </si>
  <si>
    <t>Vicente Sanamétodo</t>
  </si>
  <si>
    <t>…udad-Rodrigo a D. Fclix Aviles; para Alba de Tormes á D. Josobre los asuntos discutidos se hará por regla general por el primer »ef Catalin y Calderón; para Miranda del Castañar á D. Vicente Sanamétodo, á no ser que algún diputado pida que sea nominal, en cuyo huja y Mey: para -Piedrahita á D. -Pedro Remolí y Zalduendo; para caso decidirán las Cortes si lo ha de ser ó no. La que recaiga sobre Xedesma á D. Juan Luxigo de i’edrosa; para Vitigudino á D. Euge e…</t>
  </si>
  <si>
    <t>Sancha</t>
  </si>
  <si>
    <t>…sidente que podría hacerse que quisiesen sacarías. una adición á este artículo sobre el particular. Puesto á volucion el ar be declaró este asunto suficientemente discutirlo, y el Sr. Sancha tículo , quedó aprobado. preguntó qué resolución de las Cortes halna recaído sobre el art. 10 Art. 5.° •&gt; K1 traginante ó conductor de cargas de cualquiera espe Jas bases orgánicas, que se refería al establecimiento de las guias de qu* cie, que quiera llevar…</t>
  </si>
  <si>
    <t>Sánchez</t>
  </si>
  <si>
    <t>…. El ayuntamiento constitucional dió aquella el juramento. noche un espléndido ambigú con baile general en los salones del pala Estando suficientemente discutida la indicación del Sr. Sánchez cio episcopal, adonde concurrieron mas de 500 personas, y se bailó y Salvador, se dió cuenta de algunos expedientes, Jos cuales pasaron á cantó hasta el amanecer. De esta manera se ha correspondido en Baza las comisiones respectivas, y del oficio que se acaba…</t>
  </si>
  <si>
    <t>…pecial v.de Hacienda un cuaderno de Legislación. . • . . presentado_por. el intendente honorario de provincia-D. Josef Añáde Se tuvo por proposición leída,poir-primera vez una del Sr. Sánchez lo Perez,.[qiiétráta de. Ia estadística, para todas i‘as provincias; las Cor Salvador, en que pedia que' ios pasaportes que. hubiesen dé expedir las tes lorecibiej-on.con agrado. , *.. L. . , , ; autoridades civiles á los extranjeros se,diesen como se practic…</t>
  </si>
  <si>
    <t>…eto; que se mandó pasar á la comisión de Milicias nacionales prenta , con preferencia á cualquiera otro objeto., y que no se podia Se hizo segunda lectura de las proposiciones dei Sr. Sánchez sobre -considerar que era libre la nación sin tener esta libertad. Se acordó extinción del cuerpo de Guardias de Corps, y establecimiento de una que la comis on presentase el proyecto de ley para ser discutido á la guardia Real de caballería; que se mandó pas…</t>
  </si>
  <si>
    <t>…riquezas troducción de e»tos géneros, y de consiguiente quedarían arruinadas que no las fabricas de lona. una infinidad de familias que se dedicaban á las manufacturas de esta El Sr. Sánchez alvador , apoyándose en lo que sucedía con la pro materia. Por lo mismo opinaba que .debía rebajarse parte del derecho hibición del trigo , opinó que no debía aprobarse este artículo. que se fijaba en el articulo. El Sr. Alanian apoyó el dictamen de ia comisi…</t>
  </si>
  <si>
    <t>Sánchez, Antonio</t>
  </si>
  <si>
    <t>Antonio Sánchez</t>
  </si>
  <si>
    <t>…pinaba que esto debia resolverse por una regla general, y conceda una plaza de teniente del resguardo. no mirarse como caso particular. Ala segunda de Legislación una solicitud de D. Antonio Sánchez, El Sr. Fraile dijo que opinaba que las Cortes debian mandar se pa para que en virtud del decreto de las Cortes de 6 de Agosto último gase á este interesado por la tesorería nacional por dos razones; prime se declare á su favor el grado de bachiller que le ha…</t>
  </si>
  <si>
    <t>Sánchez, Antonio Aniceto</t>
  </si>
  <si>
    <t>Antonio Aniceto Sánchez</t>
  </si>
  <si>
    <t>…rgencia, una exposición acordó que la comisión de Legislación lo extendiese y presentase ai del mariscal dé campo D. Miguel de Haro, gobernador de Tortosa, Congreso. quejándose de D. Antonio Aniceto Sánchez, juez de primera instancia Se continuó la discusión de la ley de libertad de imprenta; y ha de aquella ciudad, por ser contrario al nuevo sistema, y uno de los que biendo preguntado el Sr. presidente si las Cortes tenían alguna otra re protejen á los enemigos…</t>
  </si>
  <si>
    <t>Sánchez, Francisco</t>
  </si>
  <si>
    <t>Francisco Sánchez</t>
  </si>
  <si>
    <t>…tinos nombrarlos por eí Gobierno. No hubo lugar á votar sobre la pro repusiese en su empleo y honores. posición por una mayoría de 21 votos. A la de Instrucción pública un plan de D. Francisco Sánchez, que Seuun el estado presentado al Parlamento del importe de la deuda trata del gobierno económico para las escuelas de primeras letras. no redimida y corriente, asciende esta á 845.200,931 libras esterlinas Se aprobaron los siguientes dictámenes de comisión.…</t>
  </si>
  <si>
    <t>Sánchez, Joaquín</t>
  </si>
  <si>
    <t>Joaquín Sánchez</t>
  </si>
  <si>
    <t>…virtud de providencia del Sr. D. Julián de Sojo, juez togado de primera instancia, refrendada del escribano cartula tablecimiento debe únicamente su existencia al zelo patrió rio D. Joaquín Sánchez, se cita, llama y emplaza á todos los tico de algunos individuos, y no tiene otros fondos que los acreedores y demas interesados en la testamentaría de D. Mateo donativos de los habitantes ae Nueva-Yorck. Arroyo, vecino que fue de esta corte, para la junta ge…</t>
  </si>
  <si>
    <t>…nto engañado en sus esperanzas; togado de primera instancia en esta corte, refrendada del escribano y su trono, legitimado en el aventurero Murat por aprobación, consen cartulario D. Joaquín Sánchez, se cita, llama y emplaza á todos los timiento , y tratados de los mismos diplomáticos que en el dia claman acreedores al concurso de bienes de la casa comercio titulada en ella por la legitimidad. Murat vió, sí, garantido su trono de Ñapóles por Posadíllo, h…</t>
  </si>
  <si>
    <t>Sánchez, Josef</t>
  </si>
  <si>
    <t>Josef Sánchez</t>
  </si>
  <si>
    <t>…, en 233,724 rs. gunos Gobiernos , libres ya de los temores pasados , se re y 17 mrs. ' unieron para establecer principios contrarios á los de la na* Se desea saber el paradero de D. Josef Sánchez, naturalturaleza, y sujetar á ellos á todas las naciones. de esta corte, profesor de cirugía, é hijo legítimo de Don ¿Se pretende consolidar para siempre la paz? Sean jus Juan Antonio Sánchez y tíe Doña Catalina "V elez.. Contrajo tos los Gobiernos, y está co…</t>
  </si>
  <si>
    <t>…avier Sanlúcar de Barrameda. Delgado,D. Francisco Hernández Montañer,D. Isidro Blanco, Don Dia 14............. 3" •••♦ ••••••• z. .♦»*. .... .. 0.... ....... 6..... Isidro Merino, D. Josef Sánchez, D. Juan Francisco Rodrigo, D. I ov Día 15............. ....... 1..... ....... O.............. .. O.,.. ...... 7-- renzo Arias, D.'Mamerto Landaburu , D. Manuel Cavero y Garay Dia io..t........ ....... 0....... ....... O...... ....... 1...» ........ 6........…</t>
  </si>
  <si>
    <t>Sánchez, Josef Manuel</t>
  </si>
  <si>
    <t>Josef Manuel Sánchez</t>
  </si>
  <si>
    <t>…para que se les aumen á dicha ciudad. Se mandó pasar á la comisión de División de territorio ten las pensiones que tienen señaladas. español. Se concedió el permiso que solicitaba D. Josef Manuel Sánchez, El Sr. Ramos Arispe hizo la siguiente- indicación: juez de primera instancia de la Rambla, para que pueda prestar su ju ” Que el Gobierno informe cuanto sepa relativo á la venida de los ramento en la audiencia de Castilla la Nueva, en lugar de la de Gra dipu…</t>
  </si>
  <si>
    <t>Sánchez, Josef María</t>
  </si>
  <si>
    <t>Josef María Sánchez</t>
  </si>
  <si>
    <t>…en también en la propia forma por lu misma viuda de Barbeito Muro á para servir estos destinos, y aspiren á obtenerlos; y hasta cumplida di 21 de Febrero, á la orden del precitado D. Josef María Sánchez, y cho término no se proceda á dar á los expedientes la demas instrucción cargo de D. Clemente Longet, y endosada también á la casa de Miqui- que está prevenida, ni á calificar el mérito de ninguno de los que los litorena en 23 del próximo A-layo, y remitida…</t>
  </si>
  <si>
    <t>Sánchez, Juan Antonio</t>
  </si>
  <si>
    <t>Juan Antonio Sánchez</t>
  </si>
  <si>
    <t>…er despachado 3/1 2 expedientes, y dado Y el de la especial de Hacienda, acerca de las observaciones hechas acertadas providencias sobre puentes y caminos &amp;c. en su exposición por D. Juan Antonio Sánchez, contador de la junta El Sr. Borges Carneíro dijo que la respuesta del ministro no le sa nacional del Crédito público de esta provincia , sobre mejoras de este es tisfacía; y después de hacer varias reflexiones sobre ella , concluyó con tablecimiento. Opinaba…</t>
  </si>
  <si>
    <t>…o, el sacerdote, el militar , el hacendado, que María Santiago, D. Josef Mariano Vallejo, D. Juan Angel Ortiz, por su educación, su carácter ó su rango en la sociedad debieran ser D. Juan Antonio Sánchez, D. Juan García Becerra,.D. Juan Vera, el egemplo de. sus conciudadanos, asi también la envidia , la venganza, D. Manuel Josef Quintana y D. Pedro Solana. la parcialidad , la ambición, y todas las pasiones mezquinas que envile Parroquia de S. Miguel y S. Just…</t>
  </si>
  <si>
    <t>Sánchez, Juan Josef</t>
  </si>
  <si>
    <t>Juan Josef Sánchez</t>
  </si>
  <si>
    <t>…..... ......... 6......... ....... 1....... ......... 0........... .... 48.... Francisco Jaquete, D. Francisco de Paula Martínez, D. Josef Mari.» Torrijos, D. Juan Jacinto López , D. Juan Josef Sánchez , D. Luis de Dia ao................ ......... 7......... ......... 1....... -•••• s............ .... 49.... Ibarróla , D. Nicolás Alonso, D. Telesforo Polo y D. Ventura de 23- s- 19. 194. la Peña. Parroquia de Sta. Cruz, 8 electores. Jerez. D. Esteban Guinea,…</t>
  </si>
  <si>
    <t>…en el interior cional D. Cayetano Valdés ; D. Juan Miguel Caamañó, director gene? de Rusia están ademas formando cuerpos de reserva para reunirse al ral del impuesto de registros: D. Juan Josef Sánchez, intendente de grueso del egército i la primera sefial. Solo escasea el dinero algún tan Cádiz; D. Antonio González A cu irre, alcalde primíro de está ciudad; to para empeñarse en una larga guerra. • D. Joaquín de Fuentes y Ríos , doctoraL de la capilla Real…</t>
  </si>
  <si>
    <t>Sánchez, Manuel</t>
  </si>
  <si>
    <t>Manuel Sánchez</t>
  </si>
  <si>
    <t>…s, deduciendo de hucemas , para que se le pague una pensión de 78 mrs. diarios que an- todo que esto no debía juzgarse por las ley es, sino mirarlo política*tes cobraba, y otra de D. Manuel Sánchez de la Peña, para que se le meiUe para atender al bien de ia Nación. pague la asignación de x 500 rs. que disfrutaba de los fondos de penas Que la mayor parte de lo que se había hablado habia sido sobré de cámara. si se podía ó no exigir la presentación de tít…</t>
  </si>
  <si>
    <t>…esentada por el Sr. Solanot), felicitando á las Cortes por al Crédito público; otra de D. Manuel Rublo para que se aumente el su segunda instalación. valor de la moneda; y otra de D. Manuel Sánchez, vecino de esta El Sr. Revira presentó una exposición del cuerpo de la armada de corte, manifestando la injusticia con que fue perseguido en 1814 y Cádiz, manifestando el atraso en que se halla la marina española, y despojado de su empleo, solicitando el abon…</t>
  </si>
  <si>
    <t>Sánchez, Manuel Francisco</t>
  </si>
  <si>
    <t>Manuel Francisco Sánchez</t>
  </si>
  <si>
    <t>…ya persecución siguieron todos la Horcajada. BéjarD. Josef Miranda, alcalde primero constituclona1. lo, milicianos de Antequera, reunidos ya, y otros 6 de Bobadilla Ciudad-Rodrigo D. Manuel Francisco Sánchez, labrador en la alque hasta las paredes de Mollina, en donde fue forzoso detenerse para dar ría de Sepúlveda. Ledesma Lie. D. Cipriano Antonio Esteban , aboga algún descanso á los caballos, por ser entrada la noche. Por la mañana do. Miranda D. Juan Pacheco,…</t>
  </si>
  <si>
    <t>Sánchez, Martin</t>
  </si>
  <si>
    <t>Martin Sánchez</t>
  </si>
  <si>
    <t>…e establecer los oficios cura de Valdeorras , en Galicia, y la del síndico segundo del ayunta de hipotecas en las cabezas de partido. miento constitucional de Moron de la Frontera D. Martin Sánchez; Se recibió con agrado, y se mandó pasar á la comisión de Cami por la una se ve lo que sufre el pueblo de Valdeorras por el conde de nos y Canales, una memoria de D. Luis Ya miagar raga y lagar te, veci Ribadavia , señor que se dice de aquella villa , y por l…</t>
  </si>
  <si>
    <t>Sánchez, N.</t>
  </si>
  <si>
    <t>N. Sánchez</t>
  </si>
  <si>
    <t>…nuel Gcdoy de la dehesa que peitene- do , vindic ándose de la queja de infracción dada contra el procurador cia á dicha villa , llamada de Bolones , con motivo de ¡a concesión que D. N. Sánchez: otra de D. Josef Miguel Romero , alcalde constitucio se Je hizo en aquel término de algunas.fincas de obras pías , pide sá de nal de Villanueva de la Serena j vindicándose de la queja dada por el vuelva á dicha villa la expresada finca, por haber sido dersu…</t>
  </si>
  <si>
    <t>Sánchez, Tomas</t>
  </si>
  <si>
    <t>Tomas Sánchez</t>
  </si>
  <si>
    <t>. 97 i ssr á la comisión de Legislación una instancia de D. Tomas Sánchez, sideraba de mucha ut/lü-d el establecimiento de dichas escuelas; pero comisario de artillería, solicitando la remisión de cierta cantidad, á cu ai mismo tiempo observaba algunos inconvenientes para establecerlas, yo pago se le condenó en 22 de Octubre dé 182…</t>
  </si>
  <si>
    <t>Sánchez, Vicente Perez</t>
  </si>
  <si>
    <t>Vicente Perez Sánchez</t>
  </si>
  <si>
    <t>…el de Gordon á D. Gerónimo Tcjerina: para el de Villafranca á Don los times y demas que se practica en ¿lias. Y el Sr. Citerne mantiene Josef García Alfonso: para el de Astorga á D. Vicente Perez Sánchez: su depósito de cardas de su fábrica de Nonancourt, como iguihnér.tu pira el de Valderas á D. Ramón Angel de las Cuevas: para el de Sa- la de cepillos de todos tamaños. M.VDR'D.EX LA IMPRENTA NACIONAL.</t>
  </si>
  <si>
    <t>Sánchez.zzD, Cosme</t>
  </si>
  <si>
    <t>Cosme Sánchez.zzD</t>
  </si>
  <si>
    <t>…guiente suprimido aquel empleo.” Aprobado. : ñés.zzD. Cayetano Gíbete zz D. Mariano Ferrer.zz D. Pedro de Gra Art. 114. «Habrá una brigada de oficiales en cada deparlamento, cia.= D. Cosme Sánchez.zzD. Julián Borruel. zz:D. Antonio-de Gra ademas de ios de los batallones, dedicados principalmente á desempe cia, zzD. Pascual Perez. zzD. Valentín Jópe. ziD. Josef Ferrer.— ñar los destinos de parque, laboratorio de mixtos, .fundiciones;y otros D. Manuel Noball…</t>
  </si>
  <si>
    <t>Sancho</t>
  </si>
  <si>
    <t>…4,71; rs. presentantes españoles, cuyo único objeto será la salud y La haza de Perea, con 106 aranzadas de labor, en prosperidad de nuestra amada patria.” 94,too rs. En seguida el Sr. Sancho, secretario de la Diputación per La haza de la fuente del Suero , con 276 aranzadas de manente, leyó el acta deja sesión celebrada por esta en el labor, gravada con 900 rs. á la copel la nía de D. Juan Mar dia de ayer, en la cual, con arreglo á lo mandado en…</t>
  </si>
  <si>
    <t>…zación piensa continuar en el convento, ó quiere ser depo Secunda junta preparatoria del dia tg de Febrero. sitada j dispongan en este segundo caso el extraerla, pata que JÉl Sr. secretario Sancho leyó el acta de la junta prepa lo sea en algún convento ó, beaterío en el mismo pue ratoria anterior, y en' seguida el Sr. secretario Couto ,el blo ó sus inmediaciones; entendiéndose:en todos.los ca dictamen de la comisión de Poderes , en, el cual opinaba de…</t>
  </si>
  <si>
    <t>…ólica con el sistema constitucional. debida separación de los hombres. A la de Legislación se pasó una instancia de D. Josef Espinosa pa El Sr. Moscoso apoyó esta indicación, y el Sr. Sancho manifestó ra que se le dispense un año y meses que le faltan de práctica para re que las señoras no debían intervenir de ningún modo en la forma validarse de abogado. ción de las leyes ni en los negocios públicos: que su principal obliga A la misma se pasó un…</t>
  </si>
  <si>
    <t>…á castigar los delitos cometidos, y las se .buidó tanto á la libertad de. ia ¡patria. . 1,.. . , ;.- ; gundas para .precaver que.se.repitan : respecto á las primeras habia una El Sr. Sancho apoyó,en un todo-el,dictamen\del Sr. Golfin, ¡aña-r comisión especial nombrada con este objeto; y respecto á las secundas dienrlo-que'por las circunstancias actuales no . convenía destruir Jos propuso la comisión que-por los.medios acostumbrados se den las gr…</t>
  </si>
  <si>
    <t>…usa para ello,- exigir la responsabilidad á conducta de aquella tropa, la que se sometía á las resultas. dicho consejo; por lo que era de parecer debía pasarse la expresada re El .Sr. Sancho dijo que la comisión había manifestado ayer no te presentación al Gobierno.’ ner antecedente alguno-para poder sospechar de lu distinguida conducta "• El Sr. Sancho indicó tener una duda, cual era que después qtie el de aquel batallón, igualmente que de' la d…</t>
  </si>
  <si>
    <t>…citud de que acababa de darse León, este grito resonó á poco tiempo en todas las provincias; por con cuenta. siguiente no puede probarse que la Nación española se'divida jamas. El Sr. Sancho apoyó también el dictamen de la comisión: dijo que Manifestó asimismo las ideas que se habían propuesto los malvados la conducta de los guardias de la Real Persona en la época que se cita en todas sus maquinaciones, y principalmente en la de- hacer removec en…</t>
  </si>
  <si>
    <t>…opuesto, en términos que un noble ingles que ha escrito’tina nas, á fin de evitar los males que se temen.” obrita sobre este asunto después de motejar á nuestra Nación, lo atri El Sr. Sancho dijo que la comisión al extender su dictamen tuvo buye^ un castigo deb cielo.-. ■ : K n. presente la memoria del.S.r&gt; secretario de Gracia y Justicia, las exposi A fin pues de evitárbque se haga un uso de la bandera española, ciones de muchos Gefes políticos,…</t>
  </si>
  <si>
    <t>…Laybach hanlentusiasmado, mucho -mas á todos los habitantes'dell Cores Priego y Quirógá. • ‘ . ; reino de. las Dos Sicilia*; ,y la conducta admirable de ese Principé ’ •-¡k-:'' El Sr. Sancho dijo que era imposible qué Con-*tan poco tiempo pudie- magnánimo, que .está al.frente de su Gobierno constitucional, h¿ és- ’ se dar razón-de. si están 1 satisfechas todas las obligaciones:, ni las que trochado de un modo, indisoluble los vinca Los que ligan…</t>
  </si>
  <si>
    <t>…a aquella que tuviese 30 años y uñ mes, pues dei diocesano del pueblo á que quieren trasladar su residencia. cualquiera que hubiese poseído con buena ó mala fe una cosa durante El Sr. Sancho dijo que le parecía conveniente se fijase un término el tiempo de 30 años habia adquirido la propiedad de ella. para el cumplimiento de ló que proponía la comisión , á fin de que no Para hacer esto mas palpable citó la ley hecha en Barcelona el año se tratase…</t>
  </si>
  <si>
    <t>…pn de la comisión especial de Haciénda’ sobre las que solicitaban se le.permitiese volverse al momento. dudas ocurridas en el pago de los intereses del empréstito hecho en vir- El'Sr. Sancho pidió, al Sr. presidente se levantase la sesión pública 'tud del decreto de 13 de Octubre último., y sé resolvió,quedase sobre ‘para quedar en secreta! El Sr. Romero Aipuente dijo que se pregunta la mesa para discutirse el dia que señalase el Sr. presidente”,…</t>
  </si>
  <si>
    <t>…que estaba acor y que aun en el caso de hacerles alguna gracia , por ser grande la canti dado por el Gobierno. dad que se trataba de exportar, se debia imponerlo menos un i ó 3 El Sr. Sancho, abundando en las mismas ideas que el Sr. Toreno, por 100 : que el Congreso no se debia dejar llevar’ de esa generosidad, manifestó que apoyaba en un todo lo que habia dicho. porque ataca ciertamente hasta al mismo crédito, y tratándose de una El Sr. Alartine…</t>
  </si>
  <si>
    <t>…a de patrimonio Real, aunque no presente título , no pueda Se mando continuar la discusión sobre señoríos. ser demandado ni inquietado en sú posesión: por una consulta hecha en El Sr. Sancho dijo que supuesto que toda, la dificultad versaba so tiempo de Carlos n¡ se dice que los señores de 30 anos á aquella parte bre el art. 2.' que se estaba discutiendo, en favor de la brevedad pre -no habían introducido derechos en los castillos, lugares &amp;c.; y…</t>
  </si>
  <si>
    <t>…ti se dió acogida en todas las provincias á un número considerable de tucional. emigrados de aquella nación. 4.0 Y que espirado el plazo de un mes que se prefija , los respecti El Sr. Sancho manifestó que era muy justo se socorriese á aquellos vos intendentes formen y remitan á esta dirección las correspondien desgraciados; que era una virtud que se practicaba en todas las nacio tes propuestas, acompañando cuantas solicitudes les hayan sido pre n…</t>
  </si>
  <si>
    <t>…nga, y las temporalidades si fuese memoria del Sr. secretario de la Gobernación de la Península, en lu eclesiástico. Las cantidades señaladas serán dobles en Ultramar.” No gar del Sr. Sancho al Sr. Al vare/ Guerra, y para la comisión especial hubo lugar á votar sobre este articulo. del proyecto de ley sobre policía, presentado por el Sr. Ledesma, á este Se mandó) suprimir el artículo 8.’, que tenia al margen la misma misino , y ií los Sres. Gil d…</t>
  </si>
  <si>
    <t>…que proponía la comisión. sacrificarse en las aras de la patria. Se leyó el art. 33 ,que se mandó volver á la comisión en la legislatu Después de una ligera discusión extendió el Sr. Sancho una indi ra pasada, y estaba concebido en estos términos: ,,Ademas de los casos cación concebida en estos términos: ,,Declárese que las Cortes han oido expresados la persona, de cualquiera clase y condición que sea, que en con particular agrado ia expresión d…</t>
  </si>
  <si>
    <t>…ecesidad de ampliar las facultades de las diputaciones para concluir los procesos y egecutar las sentencias.” en ciertos puntos, y mejorar el régimen económico político con que El Sr. Sancho dijo que seguramente se ha fundado la audiencia de se gobiernan dichas autoridades: se mandó pasar á la comisión que en •- Valladolid para la providencia que se ha referido en una orden dada tiende en estos arreglos. por S. M. eu uno de estos años pasados par…</t>
  </si>
  <si>
    <t>…mos á V. E., á fin de que se sirva disponer su cumplimiento.” ticas. Y de Real orJenlo traslado á V. . para su inteligencia y demas Se mandó pasar á la comisión una indicación del Sr. Sancho, que efectos convenientes. Madrid 7 de Abril de 1821.” ' decía: ,,Pido que vuélvaoste dictamen á la comisión para que se de signe la cantidad que por todos títulos se ha de dar anualmente al Papa. Habiendo resuelto el Rey que el Consejo de Estado proceda á la…</t>
  </si>
  <si>
    <t>…presado batallón se dirigió seguidamente al campo, donde se que propuso en su anterior dictamen. - • , presentó el tierno espectáculo de comer unidos ge fes, oficiales y tropa, El Sr. Sancho dijo que apoyaba el dictamen de la comisión, al prometiéndose sincera fraternidad. El ayuntamiento comió con varios cual se habia opuesto en la sesión anterior por no saber las cantidades ciudadanos de todas clases, después de lo cua1., acompañados de una que…</t>
  </si>
  <si>
    <t>…estiones que competan á su autoridad , y que contribu cuantos sean siificientes para el territorio español.” yan á la buena armonía y recíproca correspondencia entre ambas po , El Sr. Sancho manifestó que la comisión habia puesto la palabra testades , que desean conservar las Cortes.” Quedó aprobado. división, porque creia era mas general, pues indicaba una parte del todo, Se leyó después y aprobó un artículo adicional de la misma comi y no'había…</t>
  </si>
  <si>
    <t>…ués de una ligera discusión no hubo lugar-á votar sobre el ar '■ Los señores diputados secretarios de las Cortes con. fecha de ayer tículo referido. _ ■me dicen lo que sigue: . El Sr. Sancho manifestó que mediante no haba: habido lugar a ■vo - • Las Cortes enteradas de una exposición de D. Fernando Antotar sobre el referido artículo , y que el Sr. secretario de la Guerra ha-' ñio de Cos, en que manifiesta que siendo regidor quinto1 del ayunta bia…</t>
  </si>
  <si>
    <t>…s de las leyes vigentes, y debia compararse pre prestando auxilio,” creia estaba salvada esta dificultad. cisamente con el estado actual de U Nación , y con las circunstancias: El Sr. Sancho dijo que en todos los casos en que la milicia hiciese que hacia mas de ún año que los enemigos del sistema, por la indul una aprehensión seria por requerimiento de la autoridad civil; y que gencia con que hasta ahora se habia procedido, estaban conspirando cr…</t>
  </si>
  <si>
    <t>…pa de una sola clase. se ,,quedando todos responsables con arreglo á la Constitución.” Se leyó asimismo otra adición del Sr. secretario de la Gobernación Se aprobó una adición del Sr. Sancho al art. g.°, que decía : ,,Des- de la Península,que decid asi; ,vQue se declare que la obligac ión.que pites de* las palabras /.también' serán juzgados militarmente,” añádase: se impone á las autoridades políticas-en los artículos 4.0 y 5.0 sobré Ja ,,en el c…</t>
  </si>
  <si>
    <t>…enes de ellas como les de Cata 20:6;...... ... ínnn,................ .. .. 7:m&gt;ora. luña , en donde e-_r.í muy adelantada la industria. 28 207-...... Tnnn.................. 4 j El Sr. Sancho dijo que era preciso partir del principio de que en 5222........ lOOO................. ..... Idem. tiempo de guerra se necesita mucha mas fuerza que en tiempo de paz, porque en esta segunda época solo hay que cuidar de una frontera, y Según noticias comunicad…</t>
  </si>
  <si>
    <t>…lacio de Cortes , tanto Declarado haber lugar á votar sobre el dictamen de la comis-’rn. ss porque era poco decoroso y muy ridículo que los taquígrafos de Cortes leyó el art. y el Sr. Sancho manifestó era de op-nioti debía alargar bajasen á extender las sesiones al salón , cuanto porque esta idea no ve se el término que se prefijaba en dicho articulo hasta 6 ú 8 meses á nia apoyada por la comisión del Gobierno interior de Cortes: por lo Jo menos.…</t>
  </si>
  <si>
    <t>…imas: que era necesa tamientos respectivos la facultad de aprobarlo ó desaprobarlo.” rio conocer , la situación de los pueblos para prefijar un término mas Se leyó una adición del Sr. Sancho al art. z.°, que decía asi: ,,Des largo que el que proponía la comisión; que convenia mucho aumentar pués de las palabras otras compañías, añádase ó batallones.” l'a milicia nacional voluntaria, porque cada individuo de ella era un También se pasó á la referi…</t>
  </si>
  <si>
    <t>…una casa dezmara; y otra del director general de artillería, puesto el Gobierno sobre este mismo asunto. manifestando una equivocación que padeció el Sr. secretario de la Guer £1 Sr. Sancho dijo que la comisión presentaba el artículo en los ra en su memoria leída en la sesión de 10 de Marzo último. mismos términos que el Gobierno lo habia indicado, sin mas diferen A la de Beneficencia una exposición de D. Diego de la Torre, ve cia que no decir s…</t>
  </si>
  <si>
    <t>…activa estaba ya mandado por las mismas, y por coásiyulente los términos que previene la Constitución.” • pó habia dificultad en que el reemplazo del egército permanente se hi El Sr. Sancho, prosiguió: la comisión no tiene inconveniente en ciese con está. Se dice (continuó) que ei reemplazo se ha de verificar adoptar el artículo en estos términos, ó como lo ha propuesto, porque en estos términos, cuando las Cortes lo manden, ; y por. ventura las…</t>
  </si>
  <si>
    <t>…e com Se leyó asimismo el de la comisión de Organización de la fuerza poner la cañería de la única fuente que.hay en aquella villa: otra del armada acerca de las proposiciones del Sr. Sancho, sometidas á su exa ayuntamiento de Villaber, en Santander, solicitando el arbitrio de men {véase la gaceta de 23 de Marzo último). tres reales en cada cántara de vino para atender á los indispensables La comisión exponía que aunque consideraba que no había n…</t>
  </si>
  <si>
    <t>…lo .£ ama comisión, p.edia que fuese á una especial, pues la Eclesiástica está demasiado cargada de negocios. Se mandaron pasará ¡a CORTES. comisión especial con la indicación del Sr. Sancho. El "Sr..presidente nombró para la misma á ios-Sres. Villanuevs, PRESIDENCIA DEL SEKOR' GUTrEXRBZ DE TERAN. García Page, Cortés, Florez Estrada y Díaz del Afora). Se hizo segunda -lectura de las proposiciones del Sr. Romero AiSesión-del:26 de Abril. • i puent…</t>
  </si>
  <si>
    <t>…ue se impugnara, la única razón tados; pero no ha perecido ninguna persona. que habida seria por ser un poco'débil. Se han ido á pique dos embarcaciones en el puerto de MarsamusEl Sr. Sancho dijo: no creí que se impugnara este artículo en los ceto (Malta) , y otro ha sido despedazado en el de Marsascirocco. Se: términos que la comisión lo ha presentado, con el objeto de satisfacer ha arruinado casi totalmente el fuerte de Ricasoli, qué estaba á l…</t>
  </si>
  <si>
    <t>…hallado en el sitio de Zaragoza y expedición del Norte. dolas con 120 horribles, entre los cuales se contaban los presos mili La comisión especial nombrada según la indicación del Sr. Sancho tares que se hallaban en el parque: toda esta fuerza estaba á las órde para proponer las medidas que se consideren necesarias ót fin de en nes dé los bizarros capitanes Falcaon y Veloso. Dadas estas providen trenar y castigar á los eclesiásticos que abusando…</t>
  </si>
  <si>
    <t>…las naciones, concluyó mani á su capital. festando debería nombrarse una comisión que entendiese en este asunto. En Liorna habia hecho mucha sensación la revolución griega: los El Sr. Sancho la apoyó, manifestando que los militares que estaban buques griegos no querían dar la vela, y se descargaban sus mercancías: obrando contra las partidas de facciosos debian tener toda la autoridad parece que los griegos de Candia se habian apoderado de todas…</t>
  </si>
  <si>
    <t>A la de Infracciones de Constitución otra de D. Francisco N., al debería ser juzgado por la' misma; y el Sr. Sancho dijo que e*í: artícáí-rf calde constitucional de S. Roque, quejándose de infracción cometida comprendía á dos clases de personas; I3 de ¡os’mil ¡tares que faltando por el juez de primera instancia de Algeciras, por haberle tenido preso a su honor y á su oblig…</t>
  </si>
  <si>
    <t>…nadie era mas ene cada provincia , y no queden perjudicadas las provincias marítimas; á migo de los enemigos del sistema que él, y lo demostraba el haber cuyo dictamen se opuso el Sr. Sancho, diciendo que el servició-de ia. propuesto á las Cortes la ley de abreviación de causas para-que los mal marina era muy distinto del del egército ; que este debía repartirse con vados cayesen con prontitud bajo la cuchilla de la ley; -pero el abuso igualdad e…</t>
  </si>
  <si>
    <t>…lo que las Cortes han aprobado. Si se trata de que las ejecutorias legí las Cortes por el Sr. Calatrava. timas tengan el valor de cosa juzgada, los tribunales competentes harán El Sr. Sancho presentó reformados los artículos siguientes sobre el mérito de ello cuando se presenten reemplazo del egército , que decían asi: El Sr. Traver deshizo algunas equivocaciones, que dijo haber pade Art. 1.“ ’&gt; Se reemplazará el egército permanente en el present…</t>
  </si>
  <si>
    <t>…imeramente lo habrían sido las Cor (V éase la gaceta del 9 del corriente.) , tes; pero que ni, estas ni aquel lo eran á su parecer; y se sigue de esto Se leyó dicho dictamen, y el Sr. Sancho manifestó podía'añadirse que la inteligencia de aquellas leyes no era como habia propuesto el en el tercer caso del art. 1.°, donde dice del egército permanente, 6 de . Sr. Moreno Guerra, sino en la manera que habia referido el señor milicias provinciales; po…</t>
  </si>
  <si>
    <t>…ngañar tan fácilmente, ni ellos alegar esta disculpa. Quedó Se continuó la discusión sobre el reemplazo, y se aprobaran los ar aprobado este artículo con la indicación que hizo el Sr. Sancho. tículos siguientes: Después de una ligera discusión quedaron aprobados los art.- a.°, Art. 11. v Si algún sustituto voluntario desertase antes de cumplir s.° y 4.u dos años de servicio , quedará responsable á reponerlo inmediatamente Se aprobó una indicación…</t>
  </si>
  <si>
    <t>…a lo ex guna colocación correspondiente á sus méritos y circunstancias, y qutxe tendiese en otros términos. pasase este expediente al Gobierno, para que en su vista determinase EL Sr. Sancho manifestó que las atribuciones que se conferian al lo que fuese mas justo. Quedó aprobado. cuerpo directivo de la guerra no se oponían en nada i las facultades Se leyó por primera vez el dictamen de la comisión de Legislación,' de S. M. En cuanto á las primer…</t>
  </si>
  <si>
    <t>…en este caso ya no se respetaría la pro _ Se continuó la d:scusíov de la ley constitutiva del egército; y el piedad particular que tienen los señores en aquellas fincas ó propieda Sr. Sancho suplicó á las Cortes se suspendiese la del capítulo 8.®, y des en que está reunido el dominio directo con el útil; resultando por volviese este á la comisión , para que los señores que hasta ahora le ha consiguiente que se considera como un crimen el haber di…</t>
  </si>
  <si>
    <t>…ón , en vista de todo lo que refería, opinaba que debía recomendarse de causas , y otras hedías en esta legislatura... , á este interesado al -Gobierno. Se leyó una indicación del Sr. Sancho .para que. las Cortes decía** El Sr. Mora dije» que 'dpbia arreglarse la solicitud de este oficial á I3 reu que todas las comunidades que no hayaii elegido prelados superio Real orden de S. M. de iz de Abril dé 1U2Ó ; y después de una corta res conforme á lo…</t>
  </si>
  <si>
    <t>…que sobre la materia expusieron el consejo de Estado cuotas o presupuestos no correspondía á esta discusión. y la dirección de Hacienda pública, atribuyendo ésta últimamente el El Sr. Sancho dijo que’el Sr. secretario habia propuesto que la ter menor rendimiento de las aduanas y la escandalosa circulación del frau cera parte de diezmos se apliquen S la Nación , y que era necesario sa de á la falta de vigilancia , zeio y exactitud que se nota por…</t>
  </si>
  <si>
    <t>…cia, contestando al que se le dirigió'en-t 2 del actual acerca la formación de un lazareto1 en Cádiz. . de la consulta pendiente, relativa á si los oficiales de la armada están El Sr. Sancho leyóel capítulo 8.° del'proyecto de !a ley constitutiva comprendidos en la orden de las Cortes de / de Noviembre último. del egército, que se habia mandado volver-á la comisión , y se mandó A la de Hacienda se mandaron pasar las exposiciones de los consu impr…</t>
  </si>
  <si>
    <t>…acras, se podian aprobar Estado proporcionalmente, y no solo i los labradores. los referidos poderes, ya porque están conformes con lo que previene Después de haber contestado el Sr. Sancho á las reflexiones del se la Constitución, ya porque dichos poderes comprenden una relación ñor preopinante, manifestando que con la rebaja que se habia hecho de circunstanciada de las juntas electorales de partido y parroquias, con .la mitad del diezmo se com…</t>
  </si>
  <si>
    <t>…e indicado, ó de que se citaba en él la base del artículo y.°, que no habia sido apro be volver á la comisión. bada , á lo que contestó el Sr. conde de Toreno que debería sobre El Sr. Sancho dijo: quisiera hacer una pregunta á los señores de la entenderse la base que aprobasen las Cortes en lugar de la del art. 7.0 comisión, á saber, ; qué diferencia encuentran entre una población rús- que habia propuesto la comisión. tica-compuesta de 3o casas d…</t>
  </si>
  <si>
    <t>…so A la de Legislación una consulta del ministerio de la Goberna de acceder a lo que propone la comisión- - ción de la Península acerca del decreto de las Coites de 10 de Marzo El Sr. Sancho hizo- presente que no se hallaba ningún, señor'dipu último. ............. ........ i..-..e,. tado de la comisión de Hacienda que pudiese responder á las objecio Las Cortes oyeron con agrado, y mandaron pasar al Gobierno, uña nes que se hicieran , y con este m…</t>
  </si>
  <si>
    <t>…to á suspender el término se- Se leyó un oficio del Sr. secretarlo de Hacienda, en que, hacia pre fialado. sente á las Cortes que para determinar el modo rúas justo de pagar el El Sr. Sancho dijo que la representación de los ex-individuos del atraso y los intereses de la deuda de Holanda necesitaba examinar el cuerpo de Guardias de la Real Persona, de que se habia dado cuenta, expediente. Se acordó que sé recogiese de la comisión dicho expediente…</t>
  </si>
  <si>
    <t>…tes, debia satisfa Tercia , solicitando se le conceda un reparto, á fin de atender á sus cerse su crédito á este interesado por la tesorería nacional. obligaciones municipales. El Sr. Sancho dijo que la comisión se apoyaba en una contrata, que A la de Hacienda una exposición de Doña María Joaquina de seguramente diría se pagase el importe de dichos suministros en dinero Saavedra, viuda , pidiendo se le continuase pagando por tesorería una metálic…</t>
  </si>
  <si>
    <t>…sargentos primeros desde 1814 á lo menos. ,'Cortes.extraordinarias. í--t, . A Art. 5.0 El Gobierno tomará todas las medidas y precauciones ........Después de haber manifestado el. Sr. Sancho el modo de -proceder que juzgue oportunas, para' que la promoción de que tratan ios ar . de los señores con sus ¡ señoríos, apoderándose. de lo que no era suyo, tículos anteriores se haga bajo las reglas de la mas rigurosa justicia, como sucedía con el expedi…</t>
  </si>
  <si>
    <t>…s leyes vigentes trabas que debe tener el Gobierno para conceder estas patentes. que quieran oponerse á dicha plaza, lo harán dirigiendo sus memoriales Después de haber hablado el Sr. Sancho bajo el mismo concepto francos de porte al alcalde constitucional de dicha, villa, presidente de que el Sr. Romero Alpuente, dijo el Sr. Yandiola que la razón que ha una- junta encargada de proveer dicho magisterio, para el dia 15 de Ju bía tenido la comisión…</t>
  </si>
  <si>
    <t>…, necesitaba recibir una declaración del Sr. diputado D. Antonio Quiroga, í cuyb fin -solicitaba se le confcediese él cbrrospondiente riRStDBSCIA SBl SEÑOR CUESTA. permiso. , ■ El Sr. Sancho dijo que no era necesario este, permisoy-por estar oeSesión de! dia 30. , clarado en la legislatura anterior que en las declaraciones de la* causa* Se leyó y aprobó el acta de la anterior. ¡criminales no debía haber fueros privilegiados. - Las Cortes quedaron…</t>
  </si>
  <si>
    <t>…es juicios dispensable que se exijan contribuciones. La comisión estaría muy sa que no se mencionan en este. tisfecha si pudiera decir: ya no necesitamos que los pueblos paguen El Sr. Sancho manifestó que encontraba un inconveniente en el ca contribuciones; pero no estamos en este caso, porque es indispensable so séptimo de la nota id Hay muchas viudas (continuó) que gozan una pagar á las diferentes ciases del Estado, ó esta contribución se ha de…</t>
  </si>
  <si>
    <t>…onceda el edificio de un convento su franqueza qiie me es característica; y ahora debemos principalmente primido para establecer una iglesia: •' ocuparnos en remediar el mal. ¡Efc Sr. Sancho dice que se añadan á las A la de Marina una exposición del Gefe político de Barcelona, facultades militares de los capitanes generales las facultades políticas, •en solicitud de que se promueva la obra del puerto de Barcelona. conforme al reglamento político…</t>
  </si>
  <si>
    <t>…onvenientes. Lo que puedo decir es que en efecto aquél ción del Sr. conde de Toreno. arzobispo lo ha nombrado. EL Sr. secretario dedi Guerra manifestó que en efecto , cuando se El Sr. Sancho dijo : la gran medida que se anunció á las Cortes era batió á Merino la primera vez habia sido derrotado completamente, que el arzobispo de Búrgos nombrara un gobernador dé aquella mitra. habiendo quedado reducida su partida á solos 10 hombres; que este Esta…</t>
  </si>
  <si>
    <t>…omprendiesen en prendidas en el decretó de 6 de Agosto dé 'i8x1 , ha pedido -i las Cor tes se sirvan declarar sobre esté extremo , y también el modo y medioeste articulo. í , ' El Sr. Sancho preguntó si la aprobación de este articulo se opon-' de reintegrar en su caso el'importe ói préeioMe-sus compras; Las Cor díia á que cuando. se’ presentase ‘la parte de ■administración tes, en vista de esta'exposición , se han servido declarar que Tas escri t…</t>
  </si>
  <si>
    <t>…a resolución del negocio principal - tener cierta propiedad para que sirviese de una cierta garantía para el en que entiende la comisión* especial.” pago de las contribuciones. El Sr. Sancho manifestó que era inútil esta indicación, porque no El Sr. conde de Toreno dijo: me parece que la comisión está de habia necesidad de participar al Gobierno que tuviese un buque dis acuerdo con el Sr. Martínez de la Rosa; por mi parte podría sustituir puesto…</t>
  </si>
  <si>
    <t>…unos sueldos los y'atentados los procedimientos de aquellas causas , pues se sabe que de consideración. la arbitrariedad contra la inocencia siempre recae sobre aquellos que la El Sr. Sancho se opuso á lo que habia. dicho el Sr. Romero Alusaron : que en cuanto á la solicitud de quemar los procesos le parecia puente, y después de una corta discusión se mandó volver el dictamen muy acertada la opinión del Sr. Teran; y en orden á la devolución de á…</t>
  </si>
  <si>
    <t>…á con la otra para de S. M.; y después de hab.rie impugnado el 5r. Romero Alónente, remitirla por medio del ministerio de Hacienda ¡i la contaduría mayor y de haber manifestado el Sr. Sancho que-debía aprobarse , se declaró pata que su va de comprobante en la toma de estas cuantas Este es e{ este asunto suficientemente discutido, y no Hubo lugar ¿votar sobre él. medio mas seguro de evitar él fraude. Se continuó, la discusión de¡ plan general de H…</t>
  </si>
  <si>
    <t>…'consideran comprendidos solamenteTos ¡negros,y esclavos venidos de-Africa y,que SS. MM. y AA. continúan sin novedad en su importante salud, son tenidos-y reputados pór tales.'iEl Sr. Sancho dijo: Se trata dé una cuestión de: hecho y rio de de ;• ’ "■ . CORTES. recho: dice la Constitución que los originarios de.Africa tienen-abier ta la puerta al riierecimientó para ser ciudadanos españoles ¡si los ÍSESIBIKCU-'jJlBI SEÑO* HOSCOSO. mulatos son ó n…</t>
  </si>
  <si>
    <t>…, ó á lo menos muy pequeño. Las cátedras se La fínica razón que puede tener alguna fuerza es la alegada por el han de dorar por el pronto mucho mejor de lo que están ahora, na vas Sr. Sancho sobre quiénes serán los censores en las oposiciones, para la pro liendo algunas en el día arriba de 100 ducados al año. De aquí se si visión de cátedras , cuando por desgracia son poco conocidas en ahunus gue que el que prefiera una jubilación tan corta á seg…</t>
  </si>
  <si>
    <t>…hubiesen, hecho de ellas.” Apro á todas las autoridades dependientes de sus ministerios; y V. cuidará bado.” muy particularmente de hacerla llegar á noticia de todos los ayunta El Sr. Sancho propone : » Que él derecho proporcional del registro mientos constitucionales y demas corporaciones civiles de esa provincia. sea de ro por zoo en las ventas del Crédito público.” La comisión no Madrid 9 de Junio de 1821. yu:ds admitir esta adición,'y limita…</t>
  </si>
  <si>
    <t>…sobre que se le condonen 3500 rs. que al ción de los asentistas de Barcelona para los efectos convenientes. tiempo de morir la dijo su marido estaba debiendo á la Hacienda pú- El Sr. Sancho dijo que este asunto era de la mayor importancia, y büca , y cuya cantidad no puede satisfacer por su absoluta pobreza. en su consecuencia pedia quedase el dictamen sobre la mesa para la ins El de D. Miguel Montero González sobre que se exonere al ayun trucci…</t>
  </si>
  <si>
    <t>…stiones que proponía el Gobierno en esta forma: rio de las Cortes de la magera que pudiese serles mas honorífica. i.a ;íe ha de reconocer la concordia ó transacion hecha por el El Sr. Sancho dijo que se oponía á que el Gobierno comprase bier Rey en 181Ó, ó se ha de examinar si hubo ó no justicia para ella? nes al Crédito público, porque esto equivalía á no decir nada; y que la comisión opina que debe reconocerse, y que por consiguiente ia ca si s…</t>
  </si>
  <si>
    <t>…funcio y Gisbert: » En defecto de ellos~sea la renta para sus mugeres é hijos.” nes de conciliador el alcalde del año último; y si se tratase de un ne Asimismo se aprobó otra del Sr. Sancho, que decia asi : » A la pa gocio de interes común, se ocurrirá al del pueblo,mas inmediato que labra compañeros', aíi.-ícfise, y dañas individuos que han contribuido cotí no lo tuviere. 12. Los alcaldes y demás personas que concurran al jui sus nobles virtude…</t>
  </si>
  <si>
    <t>…s de aqui en adelante, y no de los. y García (D. Antonio) , contrario á lo resuelto por las Cortes de no gastos imprevistos. haber lugar á la renuncia hecha por el Sr. Quiroga. El Sr. Sancho apoyó en un todo el dictamen de la comisión , ma-‘ El Sr. presidente señaló la hora de las nueve de esta noche para se infestando las razones de justicia y .de política que obraban en su fa sión extraordinaria; y se levantó ia sesión pública para continuar la…</t>
  </si>
  <si>
    <t>…manifestando sus sentimientos patrióti tablecieron para su pago. Quedó aprobado. cos , pedia á las Corles se sirviesen destinarla en persecución de lós Se leyó una indicación del Sr. Sancho, relativa á que las Cortes pi facciosos. ! dan al Gobierno una nota de las mesadas libradas al, tribunal especial' Se leyó una lista de varias representaciones que se habian dirigido á de Guerra y Marina desde x.° de Julio próximo pasado hasta últimos las Cor…</t>
  </si>
  <si>
    <t>…se incluyesen en necesarios según la situación actual de la Europa. el presupuesto del próximo año económico. Después de haber apoyado el Sr. Cuesta el dictamen del Sr. Traver, El Sr. Sancho dijo : El otro dia cuando estuvieron aquí los Sres. se manifestando que la consideración y ¿¿coro de la Nación consistía cretarios de Estado, manifestó el del despacho de Hacienda que con el esencialmente en Ja reputación y riqueza de la misma, se declaró est…</t>
  </si>
  <si>
    <t>…Sr. 'Marin-Tatísté al att. 8.°» Relativas á estos establecimientos temporales.” Aprobado. "" - piadososá-’de'bénéficéñcia” ‘ Se leyó el art. 26 , que decía asi: - '• 'r • - - Del Sr. Sancho al mismo: » Después de las palabras cesantes jubila Art. 26. ,»&gt; El pago del valgr de los remates de fincas se hará en pa dos-, digautiÁsiÓJ los militare'S retirados.’” pel de cualquiera especie con ínteres ó sin él; pero nunca podrá ser me &lt; Del Sr. ‘SÍerra…</t>
  </si>
  <si>
    <t>…que no sabiéndose cuándo las propondría el manifestando que debía aprobarse, el dictamen de la comisión. Gobierno, no podia incluirse este asunto, como solicitaban los señores El Sr. Sancho dijo; Es preciso tener presente tres circunstancias; á diputados de-América. saber r si hay necesidad del empréstito , la cantidad, y el modo de veri El Sr. conde de Toreno apoyó el dictamen del Sr. Calatrava, y ficarlo. Todo el mundo esta convencido de lo pr…</t>
  </si>
  <si>
    <t>…tengo entendido, algunas cuentas que habían que y se mande pasar á ella la proposición que habia referido. dado por examinar de Jas que se habían remitido por consulados se ha El Sr. Sancho dijo que se oponia á dicha indicación, porque era una bían encargado al es-secretario de la junta de comercio, moneda y mi cosa impracticable el que antes de concluir la legislatura se haga una nas , en cuya casa habia una oficina; asunto que lo hubiera desem…</t>
  </si>
  <si>
    <t>…este pun hay una partida de 35 millones y tantos mil rs. que se asjgna por los to era contra los pueblos. sueldos de cesantes, y es preciso tener presente que mucha parte de es Ei Sr. Sancho impugnó en un largo discurso el dictamen de la co tos están empleados en diferentes oficinas , y por consiguiente lo que en misión, rebatiendo con bastante escrupulosidad y detenimiento cada una parte se carga, es preciso que se rebaje en la otra. razón que l…</t>
  </si>
  <si>
    <t>…unta. Las Cortes quedaron enteradas de la contestación del Sr. ministro Art. 4° » Esta queda por este año autorizada por las Cortes para de Hacienda, relativa á unp indicación del Sr. Sancho, manifestando que reuniendo las tazmías ó notas de los frutos pertenecientes al medio el estado de pago de los ministros del tribunal especial de Guerra y. diezmo y primicias, de cualquiera clase que sean, y cualesquiera que ha Marina desde el i.° de Julio de…</t>
  </si>
  <si>
    <t>…en hubieren En seguida se leyeron las tres distribuciones de las referidas con regresado á la Península, ó sido removidos á otros destinos. tribuciones ; y habiendo manifestado el Sr. Sancho que deberían haber 2. ° Que las mismas autoridades digan al propio tiempo si se hacen se acompañado las bases sobre las cuales se habian verificado , hizo la los descuentos respectivos á los individuos asignatarios, á cuyo efecto siguiente indicación , que fu…</t>
  </si>
  <si>
    <t>…icta , Después de una ligera discusión no se aprobó el dictamen de la co do el Congreso en las dos legislaturas de 1820 y, 21: todas ellas están ál misión, y en su consecuencia el Sr. Sancho hizo la siguiente indica ■alcance de los que se dedican á la lectura, deseosos de saber li nueva ción:: ’&gt; Que se rebaje un 30 por too de las ganancias.” No hubo lu- legislación'de su patria; todas ellas estarán bien:impresas en cuantos .gar 4 votar sobre est…</t>
  </si>
  <si>
    <t>…n en todas partes: finalmente se le da un color per chos .diputados propietarios.” manente de teja ó de pizarra, lo cual ofrece á la vista un aspecto Después de haberla apoyado el Sr. Sancho , se admitió á discusión, agradable. y.se mandó pasar á la comisión de Poderes. Se han hecho todos los experimentos posibles en un techo de está El Sr. presidente señaló la hora de las diez del dia de mañana para especie á presencia de la Real sociedad de Arr…</t>
  </si>
  <si>
    <t>…obarse el dictamen de la co la ley aunque después se haya disminuido, subsistan sin embargo hasta misión. que las Cortes determinen respecto á ellos , con tal que en los mismos El Sr. Sancho dijo: La cuestión es muy sencilla; no es nada mas se hallé número suficiente de religiosos ordenados 1n sacris para cons que saber si ha habido ó no tiempo suficiente para que hayan podido tituir comunidad, que á juicio prudente de los gefes políticos, de acu…</t>
  </si>
  <si>
    <t>…parece aumento Los Sres. Dolarea y Calatrava fueron de opinión que se discutiesen alguno. provincia por provincia. La comisión se ha adherido tanto á las máximas esenciales del El Sr. Sancho hizo presente que no solo habia que aprobar los lími Gobierno, que estoy por asegurar quede ninguna sustancial de ellas tes de cada provincia, sino asimismo el número de ellas, porque de se ha separado. La única difetencia que hayes con respecto á las pro otr…</t>
  </si>
  <si>
    <t>…bla en aquella ciudad, y continuó diciendo: » En el dia no hay. mas en ella otras cuestiones distintas. lápida en aquella población que una tabla colgada en las rejas de ¡a cár El Sr. Sancho dijo: La proposición del Sr. Serrallach confunde el cel , que se quita de noche: esta es la lápida que hay en S. Cristóbal, y art. 2° con el 3." El otro día se hizo proposición par2 determinar los i esta es razón para que sea capital de las islas! La capital…</t>
  </si>
  <si>
    <t>…discusión presente. El Sr. Ramírez Cid pidió que se leyera la exposición de la diputa Esta ha dicho que el establecer la capital en tal ó cual punto era ción de. Vailadolid; y el Sr. Sancho hizo presente que debía recaer la con el objeto de poder gobernar mejor los pueblos de la provincia, misma resolución en esta representación que en las demas de igual cla la capital que se propone en la nueva provincia de Almería está á su se; por lo cual se…</t>
  </si>
  <si>
    <t>…ulares del ministerio de la Gobernación de ia Península. pero que 110 se debe llamar Castellón , sino Segorve. Al Sr. secretario del despacho de Hacienda digo con esta fecha lo El Sr. Sancho dijo: La provi ncia dé Castellón es una de las que,prue siguiente: ban la necesidad que había:de la división del territorio español; pues ’&gt; He dado cuenta al Rey de las exposiciones que V. E. me diri habiendo tocado á Valencia 12 diputados, no ha habido uno…</t>
  </si>
  <si>
    <t>…, con ex Un Sr. diputado pidió) se leyesen los documentos que se incluían en tensión la primera al comercio de América, á fin de proporcionar la la solicitud; á lo que se opuso el Sr. Sancho, diciendo que era una co circulación de los frutos de Ultramar por la provincia, como igual sa indecorosa el que no se creyese á un Sr. diputado por su palabra, mente la de los nacionales y extrangeros durante la incomunicación da cuando en el servicio milita…</t>
  </si>
  <si>
    <t>…ta; esto , como-las Cortes ven, no es circunstancia que pue no en el caso que el Gobierno necesite tropas? da prevenir mucho en favor de la salubridad de este territorio; y aun El Sr. Sancho: Guarido la comisión ha examinado la propuesta que que es cierto que allí se ha hecho un canal ; pero si esto ha producido ha hecho el Gobierno, y ha dado su dictamen, ha sido solo en aten buenos efecto» , está todavía en opiniones: lo que se ha dicho sobre l…</t>
  </si>
  <si>
    <t>…fieste que los españoles son hombres que para conservar el orden supuesto, procurará no usar de los 8 ó io9 hombres, sino de los pu lio necesitan la fuerza. ramente necesar'os. El Sr. Sancho dijo: Por lo que acaba de decir el Sr. preopinante El ministerio confiesa un déficit, que aunque no lo confesara posi parece que yo he disculpado á las provincias que no lian verificado el tivamente hab'a de resultar por los nuevos gastos que se originan. ¡Y…</t>
  </si>
  <si>
    <t>…se halla la tesorería, ese caos profun ministrativa pueda añadir a! proyecto lo que sea mas conveniente. do que nadie es capaz de sondear, si concedemos gastos y mas gastos, ' El Sr. Sancho: lia manifestado el Sr. secretario de ia Gobernación se seguirá el descrédito de la Nación, y cada dia iremos caminando mas que mañana el Gobierno hará una proposición a las Cortes análoga á derechos á nuestra ruina. Por estas razones creo que las Cortes debe…</t>
  </si>
  <si>
    <t>…por cada 400 almas de población, de terminada poi-los mismos censos que sirvan para la elección de dipu PRESIDENCIA DHL SEÍÍOK. DUK P.EOKO OONZALEZ YAHEJO. tados de Cortes.” 1 EL Sr. Sancho: Se han hecho algunas observaciones por el Sr. se Sesión del 2.2 de Octubre. cretario del Despacho que recaen sobre este artículo. Dice S. S. que Aprobada el acta de la sesión anterior, se mandó agregar á ella el la Nación necesita tener i6o9 hombres para que…</t>
  </si>
  <si>
    <t>…Q hombres cuatro almas por cada matriculado que tuviesen las provincias marír que no trabajan, si lo verificaran, producirían .cerca de 400 millones; y timas; á lo que contestó el Sr. Sancho que habia seguido la‘ comisión comparando la economía que resulta á la Nación sirviéndose de Jos mi en esto la misma regla que la que se guardó con el decreto de las Cor licianos, resulta que la diferencia que hay de tener 8o3 milicianos á te tes para el reem…</t>
  </si>
  <si>
    <t>…ose en que sus atenciones no serán nada, y los sueldos las armas, se autoriza asimismo al Gobierno para que de los batallones muy gravosos. Después de una corta' discusión dijo el Sr. Sancho, indi que se reemplacen en los distritos donde haya plazas fuertes ó departa viduo de la comisión, que se mandase volver á ella este artículo para ar mentos de artillería pueda agregar hasta el número de 5® hombres de reglarle á las observaciones hechas, y lo…</t>
  </si>
  <si>
    <t>…ión : este dice: " ®ira el cytnpuM los pueblos á gozar pronto de los beneficios de la división territorial. de la población de los dominios europeos servirá el último censo del Kl Sr. Sancho: Yo r¡o me opongo á que se suprima este artículo; año de 1797 hasta que pueda hacerse otro nuevo, y se formará el cor pero con respecto á lo que ha manifestado el Sr. Cortés debo hacer respondiente para el cómputo de la población de los de Ultramar , sir una…</t>
  </si>
  <si>
    <t>…bo convertir toda mi atención, cia quedaban libres estos individuos; lo que no creía arreglado á justicia. .me imposibilitan corresponder ¿ los deseos de los que en mí han pues El Sr. Sancho respondió: « Para que .se verifique el reemplazo es to su confianza. Debopor consiguiente acudir á sugetos de acreditado preciso seeuir un sistema. Esto es, que á principios ,de cada año se ha juicio ylhouradez, con el objeto de que reemplacen en esta parte m…</t>
  </si>
  <si>
    <t>que en principios &lt;Je él se debeT'áhacer eL alistamiento.” Se declaró su El Sr. Sancho dijo: Está determinado esté punto cdtt bastante:ckficientemente discutido este'asuntó, y quedó aprobado el artículo. ridad. La formación de la milicia se ha dé hacer por un sortea general Art. 3&lt;5. „ Las exenciones para el reemplazo de la milicia activa de lo…</t>
  </si>
  <si>
    <t>…ión hablando de oficiales: ; Los oficiales que se cender á segundos comandantes los capitanes de milicias. despidan para siempre del egército con las dos terceras partes, ó los El Sr. Sancho dijo que de la manera que lo marcaba la comisión, otros que jamas quieran separarse del servicio ? Los que no se separan no podía haber ninguna dificultad. del servicio es evidente que trabajarán mas por la esperanza de los as Habiéndose declarado el punto su…</t>
  </si>
  <si>
    <t>…as cuenta. Es necesario partir del principio de no presente la propuesta que va á hacer sobre este asunto. que las milicias provinciales pueden ser en algún tiempo y casi siem ■El Sr. Sancho: Este artículo es casi igual al que aprobaron las Cor pre el áncora de la libertad, y en cuanto sea posible debe hacérselas tes con referencia al egército permanente, y por io mismo debe apro independientes del poder egecutivo: en este punto deben ser las Cor…</t>
  </si>
  <si>
    <t>…nsión al .ar dichas tres naciones se les entreguen todas las plazas fuertes de las pro tículo. • •"■‘J--' nrvincias turcas europeas; sin embargo, le dejan al Gran Señor el puer EI Sr. Sancho dijo que la comisión ya habia pensado en esta difi to de Novarino y la capital de Morea, Tripolitza. Ni el Gabinete tur cultad ; pero teniendo presente lo mucho que contribuyen estos'indivico, ni los turcos consentirán en una cesión que daría á conocer su de…</t>
  </si>
  <si>
    <t>…los milicianos de aquella que sirven de base para todas las demas ciencias, y en estas escuela*, compañía. podrá enseñarse con mucha mas extensión ; y ia. esperanza de que los Él Sr. Sancho dijo que no hay inconveniente en que se exprese esto; alumnos salgan algún dia, no precisamente con un destino militar, sino pero puede suceder que después de haber dado el empleo de cabo á un con una charretera, es ya un estímulo muy grande , y que puede con…</t>
  </si>
  <si>
    <t>…ontinuarla esta discusión y ¡a y demas circunstancias que los,del egército permanente i á lo cual con del proyecto sobre aranceles, y se levantó la sesión á las tres menostestó el Sr. Sancho que esta propuesta la tomaría en consideración la cuarto. comisión , y que propondría después de meditarla lo que creyese mas ARTICULO DE OFICIO. conveniente. " Quedó’aprobado el artículo.: cu. El Sr. secretarlo del Despacho de Marina dice al Sr. secretario d…</t>
  </si>
  <si>
    <t>…, y los festarnos de qué modo se presentaba la independencia de América en cornetas el mismo que los pitos. Nueva-España. Por mi parte puedo asegurar que si fuera americano, no El Sr. Sancho dijo: La comisión ha meditado mas detenidamente quisiera que se presentara bajo la forma que la presenta Itúrbide, por sobre este artículo, y cree que pueden bajarse los sueldos que señala á que cuando en Europa se trataba de procurar quitar los obstáculos qu…</t>
  </si>
  <si>
    <t>…ividuos de milicias con los del egército, mandará las armas unos o^ho meses, no podiendo verificarse antes. el que tenga mas graduación, y si esta fuese igual, el mas antiguo.” El Sr. Sancho di;o que este inmediatamente se entiende luego de Aprobado. establecidas las autoridades en las nuevas provincias, porque sin ellas Art. 99. &gt;j Las diputaciones provinciales pondrán sobre las armas no podra hacerse ei repartimiento de la gente qu.e correspond…</t>
  </si>
  <si>
    <t>…er año.” nado D. Eugenio Alonso, sito en la calle de la Manzana, número ao, El Sr. Oliver dijo que debía pagarse 2 por too el primer año, y cuarto principal. uno en el segundo. El Sr. Sancho dijo que el artículo estaba concebido con una am Don Juan Torrecilla de Robles , abogado de los tribunales nacionales, bigüedad que debía aclararse, y por lo mismo opinaba se dijese á con juez de primera instancia de esta villa de Velez-Rubio y demas de ríe t…</t>
  </si>
  <si>
    <t>…e retire i-ü »&gt; i'l establecimiento de adnanas y depósitos, acomodado por sus este artículo, como ha indicado el Sr. Oiíver. distintas clases a los fines útiles de su creación. El Sr. Sancho: El Sr. conde deToreno no ha fijado la cuestión ba 2. » Todas las medidas que crea conducente; pr.ra arreglar definiti jo su verdadero aspecto. Esta se reduce á ver si hay contradicción entre vamente el régimen mejor para la circulación y comercio interior ,…</t>
  </si>
  <si>
    <t>…ento que falten por secretario del Despacho en mi entender es de poca fuerza , porqueramuerte ó ascenso.” hiéndase que orla batallón tiene una bandera , es claro que el cogerse El Sr. Sancho expuso: se podía evitar esta discusión, porque creía tres no significará mas que el haber derrotado tres batallones; por con que de lo esencial del dictamen todos estaban convencidos, y única siguiente esto no puede tener influencia ninguna desde el punto en…</t>
  </si>
  <si>
    <t>…en el lazo , que po abandono; porque acaso en ia Europa no Í13 hah do nunca casas mis ben día ser morado. reglamentadas; / sin mas que examinar las ordenanzas ,s' verán las for El Sr. Sancho dijo que ni aun esta diferencia debia haber, porque malidades, escrupulosidad y tino con que están regidas: los ¡ndivdur.s siendo estos cuerpos iguales cuando estaban sobre las armas, era inut.l que en eí dia están empleados en eüa son , en mi concepto , homb…</t>
  </si>
  <si>
    <t>…rdia ó de una guerra civil, que seria el colmo de no creía del caso el que se citase esta circunstancia. todos los males, y armaría de nuevo el brazo de la Divina justicia, que El Sr. Sancho: Yo desearía que se suprimiese otra parte, y es el tan justamente nos castiga por nuestras muchas culpas y pecados. Abor pago .de 7 por too. Si es Util que estos géneros se extraigan , las reced tales designios; abominad semejantes ideas; predicad ia moral Co…</t>
  </si>
  <si>
    <t>…para no tener que sus la armada naval, y el voto particular de los Sres. Oliver y Romero so pender este artículo , ó aprobarlo con condición. bre varios artículos del proyecto. El Sr. Sancho dijo: En la segunda parte del artículo hablando de la El Sr. Rovira como de ia comisión hizo ver cuan interesante era el junta del almirantazgo dice: » El secretario del despacho de Marina asumo de que se trataba, no tan solo por lo respectivo al fomento de l…</t>
  </si>
  <si>
    <t>…bre todo un auditor que entienda en los negocios marítimos. 9 y f°El Sr. Hzpeleta se opuso á que el ministro asistiese á ia junta de al • El Sr, Rovira contesto á los reparos del Sr. Sancho , y dijo que po mirantazgo , bien sea como individuo , bien como presidente , diciendo dria aprobarse con ía condición de que na sirviese de obstáculo para ia que las observaciones que habia hecho el Sr. Oliver á favor de lo mis resolución de los artículos re…</t>
  </si>
  <si>
    <t>…resa, á un S. Juan de Dios, á un S- Juan cantil , y para el acrecentamiento y respeto de la marina militar. de Mata, á un S. Josef de Calasanz y á otros insignes santos, no po- El Sr. Sancho hizo algunas reflexiones acerca de la inteligencia que dia menos de abrigar en su regazo otras muchas almas inflamadas del podría darse á este artículo subsistiendo la palabra comercio; y el se fuego divino de la caridad cristiana, que al grito de la humanida…</t>
  </si>
  <si>
    <t>…es este método pata dar fomento á los pueblos, pues mediatamente al director del establecimiento de este ramo. to que un comisionado muchas veces informa lo contrarío de la ver El Sr. Sancho dijo que debía suprimirse la palabra almirante, por dad únicamente por intereses particulares, lo cual no puede suceder con que no estaba aprobada la escala que ha de haber en la marina ni los las diputaciones provinciales, l or Jo mismo soy de opinión que el…</t>
  </si>
  <si>
    <t>…personal de dichos em Francia. La Batidera blanca, intérprete del realismo exclusivo, se anun pleados.” cia como colectora de las suscripciones á favor de los griegos. El lunes El Sr. Sancho dijo: Yo creo que estas atribuciones que se dan al al 31 del mes último diz que se celebró en París un consejo muy secreto mirantazgo con respecto á los cónsules eran en razón de lo que se pre y confidencial en casa 'de....: (No dicen donde). Asistieron á él…</t>
  </si>
  <si>
    <t>…plaza de guardia marina, porque siendo do consultado de antemano lo que se observa en la marina inglesa. una la plaza que debia proveerse, era irremediable que todos los oposi El Sr. Sancho aprobó el dictamen de la comisión , manifestando tores , menos uno , quedasen sin el premio; y como consideraba que no que la mayor parte de los estudios que se exigían eran preparatorios, era ninguna injusticia el preferir á los hijos de unos hombres ya inte…</t>
  </si>
  <si>
    <t>…los hijos de los oficiales y de otros individuos de equipado de las prendas, libros é instrumentos necesarios.” la armada, cuyos padres hubiesen muerto también del mismo modo; ¿i Sr. Sancho dijo: Yo tengo una dificultad para votar este artícuv siendo asi que en un Gobierno de igualdad no debia haber astas dis 1° , y es que puede suceder que un muchacho que no tenga bienes su tinciones , pidió que se dijese que estas plazas eran para ios hijos hu…</t>
  </si>
  <si>
    <t>…otra pane la ma bit-ariedad; ademas que siendo esta una pena infamatoria debía bus- rina era muy poca, y que de consiguiente no se les perjudicaba como carie y adoptarse otra. el Sr. Sancho habia querido suponer, y que en cuanto á lo que S. S. El -r.- Olíver d 1 o que la comisión había meditado mucho sobre había dicho con respecto á los nombres que ha adoptado la comisión, esto, y que le había parecido que este método era mucho mejor para lá deb…</t>
  </si>
  <si>
    <t>…o en suprimir este artículo. de lo aprobado en el articulo 7Ó.” Ait. 95. » Ningún oficial del cuerpo general de la armada será Se mandó pasar á dicha comisión otra proposición de! Sr. Sancho, premiado con graduaciones de esta clase por otros servicios que ios que que estaba concebida en estos términos: » En la marina no se darán contraiga en los destinos de su profesión.” graduaciones superiores al empleo efectivo que cada uno obtenga.” El Sr. sa…</t>
  </si>
  <si>
    <t>1707</t>
  </si>
  <si>
    <t>…éiidosc desde la fecha del ahpiismp tiempo el precio .corriente,por mayor de los .njjsmos artícu decreto. ' ' los,epreí comercio de Ís,p(aza en.el dia^de la compra.” Aprobado.i EL Sr. Sancho expuso que np/íeji'3 aprobarse este artículo , porque | Art. 036., p El recib.o de,to,dps Ips generos.se aerificará , preqip .exa-. entendiéndose por presidiarios aquellos sugetos que en el código penal gien.y reconocimiento ¡ylel gefe del ramp ,.del contadi…</t>
  </si>
  <si>
    <t>…rganización de fuerza armada y milicias nacionales blecido en el año 48 para el régimen de este cuerpo. que se habia leído, y luego el de las de beneficencia y salud pública, y El Sr. Sancho dijo’qué desearía saber si los empleos que ahora ha levantó la sesión á las’ tres y cuarto. bía quedaban suprimidos; á lo que contestóéTSr. Oliver que no-^ ' El Sr. conde de Toréno opinó que no debía crearse ó sustituir este ARTICULO DE OFICIO. c'uerpo, y que…</t>
  </si>
  <si>
    <t>…a un des religión cristiana, y asegurándoles que el Papa era cabeza de la empre contento en el egército. sa; añadiendo que en los .conventículos secretos se presentaban algunos El Sr. Sancho, después de haber contestado á las observaciones que disfrazados de prelados con insignias de dignidades de la Iglesia, y los había hecho el Sr. preopinante en su voto; particular, dijo que lejos cotífirmaban en la misma creencia, leyéndoles ademas bulas fals…</t>
  </si>
  <si>
    <t>…ue habian tenido presentes, y que después se el precio de 7S rs. la arriba; lo que era casi imposible, atendiendo leyeron. que en el dia estaba muy caro , y no pasaba de 50 rs. El Sr. Sancho dijo que en la certificación que se había leído , dada El Sr. Cavaleri dúo que el Sr. conde de Toreno habia manifestado por la aduana de Cádiz, constaba que ¡os cáñamos de Rusia e! año que la urgencia y necesidad de una prohibición absoluta , y que por lo mis…</t>
  </si>
  <si>
    <t>…y 6 octavos de prado, en ó en aquellos otros á que fuesen deitinados; y que en cuanto á lo que venta 37 rs.__En id. y sitio del Mato, g carros y ó octavos de prado, habia dicho el Sr. Sancho, respecto á la certificación que se habia leí en venta 82 rs__ En la mies de Boó, al sitio de este nombre, una tier do' , debia tenerse presente, que si bien en Cádiz cuando se hablaba se ra de 2 carros de prado, en venta 66 rs En id., 2 carros y un octa, Con…</t>
  </si>
  <si>
    <t>…mo que se proponía en al ar El Sr. Lailave (jD. Pab'o) dijo que no se oponía directamente á es tículo. * ' te artículo, ni tampoco ¡o apoyaba, sino que queria manifestar que de El Sr. Sancho dijo que regularmente no se quejan de las. ¡eres sino bía adm tirso el sistema prohibitivo hasta cierto punto, porque si se las clases agraviadas, porque ¡as favorecidas no tienen de que quejarse; aprobaba el artículo como está, se iba a poner a! Gobierno en…</t>
  </si>
  <si>
    <t>…e se habían-indicados v ,*,¡111'' &lt;7 -É&gt; Se leyóel art. g. f líase ia mismagaceta-)..:¡ u.-:,!. - «e noiEl-'hTj .Márt¿l:c¥a-,*no di^o tetuniprdposfeiorr'qxéKearr. Auihbl Íoí .i El Sr. Sancho : Porel artículo anterior se.prohibí la circulación/do árese diputados i»Ismi, .v eos» abo'«óH) qae-fiay«» «rupiicremeiájoi los luises, y no se proporciona el medio de,salir de--el los ; porcónsi-^ sito paTy qiie áasiCortes)tomen,Jsthí&lt;{«&lt;etmáñact(stiUia \ ua…</t>
  </si>
  <si>
    <t>…extranjeros; y debe tenerse entendido que si con motivo riel otro, según la partida que hubiesen entregado. empréstito se ha aumentado esta moneda, ha podido hacerse legalmente M Sr. Sancho replicó que en este cato debía tenerse presente que el y sin perjuicio en el Gobierno; y no creo decorosas Jas expresiones resguardo de los 25Ó luises no era susceptible de correr con tanta rapi que se han dicho en este santuario de las leyes de que se debia…</t>
  </si>
  <si>
    <t>…os 7.0 y 8.J de los insertos en la gaceta de 11 del corriente. ción. Los parroquianos de S Andrés firmemente adictos á la Constitu be leyó el 10, que es el 9.' de los mismos, y el Sr. Sancho dijo que ción , peio rio al desorden; á la libertad, pero no á la licencia; á le parecía, según el contenido del artículo, que se autorizaba á la junta Jas garantías individuales, pero no á la disolución de los vínculos so directiva para aprovechar ios cospel…</t>
  </si>
  <si>
    <t>…idos, sin embargo para fomentar la industria creo que no siendo asi no podrán recibirse sino én virtud de él. que será muy conveniente que se ponga el avalúo en los términos que M Sr. Sancho dijo que convendria suprimir desde en la inteligencia he dicho. Síz. hasta el fin del artículo, á fin de que los comerciantes que entre El Sr. Oiiver manifestó que cuando las imposiciones de derechos gúen su dinero en la casa de moneda , luego qu; se publique…</t>
  </si>
  <si>
    <t>…del mejor mo do la parle proporcional de su respectivo cupo.” (A éj^r la gaerta de! do posible los diferentes impuestos que forman el total de tenias ule la 9 del cor tiente. F.i Sr. Sancho, como de la comisión : F1 día pasado se suspendió) lanación. » Se respetan las leyes; los depositarios del poder van penetrándose votación de este ai tiento hasta que &gt;e presentasen por el Sr secretario mas cada dia de su verdadero espíritu, y en el egércilo…</t>
  </si>
  <si>
    <t>…un cuando daban un fruto niayor.Despues.de haber hecho varias reflexio dos de milicias por rigorosa antigüedad. nes, manifestó que debia aprobarse la proposición del Sr. Navas. El Sr. Sancho: Me parece un poco injusto el que se les obligue á El Sr. secretario del Despacho de la Guerra manifestó que debia los ayudantes de milicias á pasar al egército permanente para ascender tenerse en consideración que los soldados del egército permanente que en…</t>
  </si>
  <si>
    <t>…solamente el interes general de la El Sr. conde de Toreno: -Añadiré una razón á las que ha expuesto Nación. el Sr. preopinante en apoyo de la comisión , á saber, que siendo bas El Sr. Sancho : Yo no he dicl o que la comisión en su dictamen tante grande la producción de vinos de la Península, é introduciéndo parta del principio de favorecer á los extrangeros; y el Sr. preopinan se mucha parte en i rancia, resultaría que .si nosotros prohibíamos Ja…</t>
  </si>
  <si>
    <t>…, porque creía que ni aun el número ds Techo de 10 por 100 en ¡a introducción á 2 por too, quedó aprobado omisarios habia necesidad de aumentar. el artículo en estos términos. F.I Sr. Sancho dijo : Esta cuestión se reduce á si han de ser io ó u Se leyeron y aprobaron varios artículos adicionales que presentaron los distritos militares: hasta ahora han sido 1: ; pero los do» , que son las mismas comisiones á la deliberación de las Cortes. los de l…</t>
  </si>
  <si>
    <t>…u-, grande extensión de territorio, y las que podía ocasionar un estado ma ya costa no ha habido nunca guarnición en tiempo de paz ; Soria no la yor tan pequeño como lo deseaba el Sr. Sancho. necesita; Búrgos tampoco, y Segovia no tiene otra atención militar que. El Sr. presidente dijo que se suspendía esta discusión. el colegio de Segovia; pero ¡estará mejor Segovia siendo su capital Se leyó por tercera vez un dictamen de las comisiones de Hacie…</t>
  </si>
  <si>
    <t>…lid , como lo proponía la co Ochoa, diputado por la provincia de Toledo, en la que hacia presente misión. que por efecto de sus dolencias no había podido regresar á esta corte, El Sr. Sancho dijo que muy poco importaba el que se agregase esta y que continuaba en su enfermedad; que había llegado á tal punto, que .provincia al distrito de Galicia ó al de Castilla la Vieja, y que por lo cuando recibió el oficio del Sr. gefe político de ig de este in…</t>
  </si>
  <si>
    <t>…Guarnido , donde se habían fabricado muchos buques de guer nuevo para no alargar aquel hasta la frontera. En este concepto se tra ra , y por la interesante ría, que no ignoraba el Sr. Sancho , y que por tó de que siendo bastante gra'nde el distrito de Jas tres provincias Vas lo mismo no debia depender de un punto tan distante como Pamplona, congadas sí les quitase una parte de él , que es la de Santander , la cual según el dictamen de la comisión…</t>
  </si>
  <si>
    <t>…que el comandante general sobre tq. das las del distrito.” CORTES EXTRAORDINARIAS DEL AÑO DE i8ai. El Sr. Vitorica manifestó que cuando se trató del proyecto de la armada opuso el Sr. Sancho á un artículo semejante á este, porque BRESIDENCIA*\DBZ, SEÑOR MARTÍNEZ MI IA ROSA. *e coar. :„an las facultades al Gobierno, por tener que dar el mando á clases-determinadas. Por-lo misino (prosiguió) creo que se debe dar Sesión del 2j.de Noviembre. mas- lat…</t>
  </si>
  <si>
    <t>…ores podrían seguirse grandes ventajas en caso de campaña, no se propone. , solo por conocer el terreno y demas circunstancias de dicha provincia, Después, de haber manifestado el Sr. Sancho que la diferencia de es sino también por la idea exacta que tendrían de la tropa que mandasen; tos sobresueldos era en razón de que había provincias en que eran ma y que con respecto á que se pudiesen proveer estos destinos en corone yores ios gastos que en o…</t>
  </si>
  <si>
    <t>…r. presidente nombró para la comisión encargada de proponer zio merezcan ser promovidos á oficiales.” el establecimiento de las casas y presidios de corrección á los Sres. Rey, Ei Sr. Sancho opinó que podia omitirse el art. 3,0, porque las Cor ViiUnueva, Manescau, Losada , García (D. Antonio), Traver, Vitotes habían ya decretado lo que en ¿i se proponía ; y en su cons cuencia rica y López (D. Marcial). *e retiro dicho artículo , y se aprobaron el…</t>
  </si>
  <si>
    <t>…ículo y su resolución, que era la de es Circular di i miáis terco de Hacienda. tar suspendida su discusión. »» Sin estados y noticias de recaudación y distribución ds los cauda El Sr. Sancho pidió en seguida que las Cortes determinasen que el les p.Vdicos se anda á ciegas en medio de las dificultades que por sí ofre art. 10, cuya discusión se habia suspendido, se finalizase antes que se cen los asuntos de la Hacienda nacional. En varias exposicio…</t>
  </si>
  <si>
    <t>…ombramiento del Sr. Andi rias , se podría leer la del Sr. conde de Toren» y discutirse, yen segui lla es que la resistencia que se hace á este nombramiento no tiene nada da la dei Sr. Sancho. que ver contri las calidades del elegido, puesto que en otras circunstan Se leyó la proposición del Sr. conde de Toreno y quedó admitida cias seria agradable este nombramiento , según se expresa en dicha re á discusión. El Sr. conde de Toreno manifestó las r…</t>
  </si>
  <si>
    <t>…la ciudad de es Continuando la discusión pendiente dijo el Sr. Díaz Morales que U te nombre, en tres correos continuos, y de haberse asi verificado se poncomision que proponía el Sr. Sancho no podía tomar en consideración gan sucesivamente en el proceso los correspondientes testimonios por el este asunto, porque según había, indicado el Sr. secretarlo del Despa escribano de cámara actuario: asi se declara y manda , y que para ma cho , parecía qu…</t>
  </si>
  <si>
    <t>…el Sr..Losada por Concluye la exposición presentada á S. M. por la diputación deja Cá 63 votos de 1 22 , y de los restantes tuvo 21 el sr.-García Page ,• ■ r el mara de los Pares. Sr. Sancho, 5 cada uno de los Sres. Janer y Gareli ,"3 respectivamente «Señor: no hay súbdito vuestro-, no hay extrangero que viajando los Sres. Novoa y Mediano, 2 el Sr. Ezpeieta, otros, yel Sr. Navarro por vuestro imperio no haya visto y admirado ese rápido desarrollo…</t>
  </si>
  <si>
    <t>…os españoles se hari dedicado á ia construcción de maquinas , y que compró pagando doble precio. - .: ;-:en algunas partes se fabrican , especialmente en Cataluña; que se fabri E1 Sr. Sancho dijo que ño dudaba que el amor á ¡á Nación- hacía can también en Murcia, y aun en Madrid; pero sé igualmente que estas proferir expresiones algo exageradas; que tampoco ¡dudaba que en EsjJamáquinas distan mucho de la perfección de las extrangeras; que tienen…</t>
  </si>
  <si>
    <t>…Sr. Lasanta manifestó que no pudiendo producir este artículo demas creo que debe aprobarse el artículo. el efecto que se deseaba, á saber , el que los del contraregistro no per El Sr. Sancho preguntó al Sr. Ochoa si lo que había manifestado, mitiesen introducir el contrabando en la Península , puesto que se po respecto del producto de aduanas, lo sabia positivamente ; á lo que con dría dar mayor interes por los mismos contrabandistas para qué se…</t>
  </si>
  <si>
    <t>…a,' cesos que afligen á todos los buenos españoles, en este caso á la pri y en seguida se leyó el art. 2.' mera representación de aquellas que hubiera salido á luz, se hubieran El Sr. Sancho dijo que refiriéndose á los argumentos que hizo la otra1 seguido á millares otras de todos los que aman la patria, que quieren vez que se trató de este asunto, no se oponía 3 que se diese á los co-' la Constitución pura, y que no pueden ver con indiferencia q…</t>
  </si>
  <si>
    <t>…bía aprobarse el dicta presenta mucha d.ficmtad, sobre la cual voy í explicar mis obser men de la comisión. vaciones. Dice el artículo: « Los que habiendo ordenado, su,.itrtdo, El Sr. Sancho: Se ha dicho que el 4 por too equivale al 25 por 100 aconsejado , enseñado ó facilitado voluntariamente y á sabiendas ;a eje en papel, y á mi me parece que no es asi. Yo propuse que se pagase el cución de un delito, ó sobornado, ó amenazado ó provocado para e…</t>
  </si>
  <si>
    <t>…e Toretío, Martínez de la Rosa, Ezpeíeta , Martel, Doiarea y Fraile. en la segunda parte de este informe, que'presenta cerrado, manifestando Abierta ladiscusion tomó la palabra el Sr. Sancho, como indi que en su concepto la dignidad del Trono, el decoro del Congreso, el viduo de la comisión, diciendo, la cuestión presente se reduce á si el bien de la Nación y la causa de la libertad exigen imperiosamente que dictamen de la cómision debe discutirs…</t>
  </si>
  <si>
    <t>…detención que requería el de Sevilla abcoronel vivo de infanteríí^D. Ramón Uizurrum y í-raso; asunto. V. „ del de taragoza al teniente coronel s|pernumerario D. Alonso Sierra; Eí Sr. Sancho dijo que si los Sres. diputados se'vhacian cargo de lo del de España ileoronel vivode-infantería D. Agustín González; del que se proponía en este mensage, conocerían que eráufl documento de de Mallorca alJcomandáSite del r^Miento de Granada D. Manuel aquellos…</t>
  </si>
  <si>
    <t>…resolvió prolongarla hombres, y pueden haber errado como todos; pero yo conozco que si por otra hora mas. m- viese en la precisión en que se hallan, no podría gobernar, pues es Ei Sr. Sancho : Creo que la cuestión va divagando, y me parece taría desazonadísimo como sus Señorias lo están; pues su situación es debe reducirse á si la medida que se propone es ó no eficaz y convenien seguramente amarga, y aun digna de la compasión de todos los hom te.…</t>
  </si>
  <si>
    <t>…fatal el estado de aquellas provincias. El Sr. Golfin dijo: Añadiré otra reflexión á la que ha manifestado El ni misterio de este ramo ha descuidado proponer medidas sobre este el Sr. Sancho, la intención de la comisión no ha sido acriminar al mi asuntó, y debió procurar someter á la deliberación de las Cortes las nisterio, sino hacer ver las causas que cree haber habido para las ocur que creyese convenientes para llevar á efecto ia pacificación…</t>
  </si>
  <si>
    <t>…nque no con la perfección de las-extrangeias ; por cuyo mo Sesión del 16 de Diciembre. tivo debia hacerse alguna distinción. , Se leyó'y aptobó el ecta ds la sesión anterior. ' El Sr. Sancho dijo que no habia duda en que para fomentar las art» Las Cortes quedaron enteradas, y mandaron que se repartiesen va en España era indispensable dejar libre la introducción , y que lo pro rios egemplares del decreto de las Cortes*, por.-el oual. se fija el mo…</t>
  </si>
  <si>
    <t>…n firmado la representación, y el crimen que puente, Lastarrfa, Gaseo, Navarro (D. Felipe) y Quintana. aparece para hacer esta declaración es sin duda el de desobediencia á las El Sr. Sancho pidió qu: se leyese la exposición que motivaba esta Cortes. Pero en primer lugar las autoridades de Sevilla no desconocen discusión, por no haber asistido ayer al Congreso á causa de estar en en S. M. la facu'tnd de nombrar te dos los empleados, asi civiies c…</t>
  </si>
  <si>
    <t>…nserto que antecede, en consideración á los no existía ley alguna que declarase quiénes eran autoridades. perjuicios que irroga á la Hacienda nacional la trasgresion de las mediEl Sr. Sancho citó un hecho del año 13 , en qué no se pudo exigiir •dís establecidas acerca de este particular, y considerando lo trascenden la responsabilidad al secretario de Gracia y Justicia por no expresarse tales que son dichos júegos-á las costumbres públicas y buen…</t>
  </si>
  <si>
    <t>…de 503 4j3, pagar con los bienes del reo ó de su fiador concederá ci juez ai prime y los de 408 36,800 rs. ro un plazo proporcionado para el pago , y entre tanto ci responsable El Sr. Sancho manifestó que convenia con los señores de la comi- quedará suspenso de los derechos de ciudadano , como deudor á ios fon rion respecto á que los empleados de primera clase debían tener aquel dos públicos. Si no bastare, ó si fuere excusado este medio por la a…</t>
  </si>
  <si>
    <t>…vergonzoso para pleados, no insistía en esto, porque en parte abundaba en la opinión una ciudad como Smirna , que tiene 1309 almas de población, el haber que había manifestado el Sr. Sancho; pero que desearla que en este ar sufrido que un puñado de miserables, abominados de todos ios habi tículo ó en otro se expresase que estas dotaciones -eran interinas por tantes, hayan llegado á perturbar impunemente y de un modo tan es ahora, mientras llegue…</t>
  </si>
  <si>
    <t>; 2 (ja¿tos.040 Provincias de cinco diputados 460 rs.: de cuatro 40©; de El Sr. Sancho : Este asunto es sumamente delicado , porque apenas hay una nación que se haya atrevido á hacer lo que nosotros en este asun tres 34© : de dos id©. to. No creo que se puede prorogar el término que se pide, pues seria el Resumen del gasto del Gobierno político…</t>
  </si>
  <si>
    <t>…» Por ahora y hasta que se haga ? nales.” un arreglo general de los sueldos de todos los empleados públicos.” El Sr. Gil de Linares dijo que esta discusión era la mas importan Del Sr. Sancho al mismo •&gt; Que estos sueldos sean los que se ha te del código penal; y como no estaba señalada para hoy, 1- s Sres. di yan de cobrar en lo sucesivo, aunque algunos individuos los hayan putados no habrían meditado sobre el asumo, por cuyo motivo fue da disfru…</t>
  </si>
  <si>
    <t>Sancho'dijo</t>
  </si>
  <si>
    <t>…Constitución; pe Se aprobó el dictamen de la.comisión de Guerra, que decía drb'a dia alguna recompensa. pasarse á la de Haíienda para que lo tuviera presente , el eXpíd-'ente . El Sr. Sancho'dijo que le parecía podía nombra»» una toiriisiori remitido por el Gobierno., qué trata de los obstáculos qúí se hallan en V£p.</t>
  </si>
  <si>
    <t>Sancho, Francisco Navales y</t>
  </si>
  <si>
    <t>Francisco Navales y Sancho</t>
  </si>
  <si>
    <t>…se su derecho de pedir lo conveniente en el supre CORTES. mo tribunal de Justicia. A las comisiones de Legislación y Hacienda se pasó una solicitud Sesión del dia zi de. Marzo. de:D. Francisco Navales y Sancho, por sí,y á nombre de 25 habitan Aprobada el acta.del dia anterior,-pidió el Sr. Maniau se le per tes de la provincia de Guipúzcoa, sobre que se les ponga en posesión, mitiese á él y al Sr. Lallave acercarse al Gobierno á-.tratan asuntos de de las fincas de o…</t>
  </si>
  <si>
    <t>Sancho, Gregorio</t>
  </si>
  <si>
    <t>Gregorio Sancho</t>
  </si>
  <si>
    <t>…in duda, dice, ha pre Antonio Jordana : para la de Villafranca á D. Salvador Ar- sidido un buen talento á la colección de los materiales que naldo y Segarra: para la de Igualada á D. Gregorio Sancho la componen, y nosotros no conocemos libro alguno de y Granado: para la de Granollers á D. Pablo Duran de Ju este género que encierre tanta instrucción en-tan-pocas -ho lia: para la de Mataró á D. Gaspar Borraz: para la de Fo jas. Al tratar de cada edificio p…</t>
  </si>
  <si>
    <t>Sancho, Miguel</t>
  </si>
  <si>
    <t>Miguel Sancho</t>
  </si>
  <si>
    <t>…varri ,de Ve A la comisión del Código civil se mandaron pasar varios egemplara cruz y la Havana, en cjcy.dias:; :con grana; añil , café, .ponienta de res de ía, obra compuesta por D. Miguel Sancho, abogado de Granada, Tabasco, y t; 1,000 pesos fuertes á D. Joaquín, de Tnueva». Dice su .ca titulada Instrucción teórico-práctica de alcaldes constitucionales, ofre pitán que había llegado á la Jfiavana de Veracruz la. fragata, española ciendo la mitad.de su…</t>
  </si>
  <si>
    <t>Sancho, Pedro</t>
  </si>
  <si>
    <t>Pedro Sancho</t>
  </si>
  <si>
    <t>…dijo que mañana se seguiria la discusión de fa tonio de Oquendo. nueva división del territorio, y la del proyecto de decreto sobre el es Y en la de Málaga: para el de Antequera á Don Pedro Sancho tablecimiento de la milicia.activa, si hubiese lugar; y se levantó la se Yerto. sión á. las dos y media. VARIEDADES. ARTICULO DE OFICIO. Sula ¿le V. S.padre Pío vsi , parda cual se conJeua la sociedad Ha* mada de los carbonarios. ? Con fecha 12 del corriente…</t>
  </si>
  <si>
    <t>Sancho, Vicente</t>
  </si>
  <si>
    <t>Vicente Sancho</t>
  </si>
  <si>
    <t>…San s o, del primer batallón del de Toledo: á D. Francisco Mancha, del Gerónimo, frente á la Fontana, á 6 rs. al mes llevado á las casas , y pa segundo batallón del de Murcia: a! coronel D. Vicente Sancho, del ra las provincias á 28 rs. por trimestre, franco de porte. Este d¡3rio con secundo batallón de! de la Princesa:» D. Pedro Baradiu, del primer tiene las mismas noticias particulares de Madrid que el antiguo , ios batallón .leí de Extremadura: á D. Josef F…</t>
  </si>
  <si>
    <t>Sanchoe</t>
  </si>
  <si>
    <t>…r presente a ia» Se declaró este asunto suficientemente discutido, y quedócaprobado- Cortes •, ■ -i. el artículo en estos términos: » Desdé, el .dial.0 de Enero de7i8z&lt;z en it ,Et Sr. Sanchoe íáipropósieiañ del St-.híartel ho ptiedeser ihás jusadelante queda sin. efecto lá Real,cédula de xa de Noviembre de t8r8¿. ta;.,]Uin..diputado5‘tieh«7Dt¿&gt;gácion .de venir aquí?, y.,stieslát}iai^.-«na de^ por la cual se fijó- el valorde lamonedt francesa.”; ,…</t>
  </si>
  <si>
    <t>Sandino</t>
  </si>
  <si>
    <t>…men , y podía darse cuenta de él ctiando Ies pareciese 4 las Cortes. benemérita Zaragoza , haciendo particular mención de los dignos co Se leyó por primera vez una proposición del Sr. Sandino sobre que mandantes que tanto contribuyeron ai restablecimiento de la Consti el juramento que deben prestar les magistrados en manos del regente tución. de la audiencia del territorio, prescrito en el decreto de 9 de Octubre El Sr. Quiroga dijo: la Nación no…</t>
  </si>
  <si>
    <t>…de habla empezado. sobre nuevas poblaciones en aquellas provincias. La comisión opinaba ' El SrV Borges Carneiro, haciendo varias observaciones, y deducien debían aprobarse la del Sr. Sandino y la del Sr. Alaman al art. 4P: que do de ellas que el edificio habia sido incendiado á propósito, dijo que en cuanto á la de los Sres. Sánchez y Medina encuentra que están com: la junta de comercio era enteramente inútil, y que en aquella misma prendidas en…</t>
  </si>
  <si>
    <t>Sandio</t>
  </si>
  <si>
    <t>…es bases.” Se mandaron pasar á la comisión, después de haberse admitido á dis tas dos distintas formas se ha considerado, y todos han convenido en cusión dos adiciones: la una del Sr. Sandio, concebida en estos térmi que si se verificaba esta pretendida reunión se daba un golpe mortal á nos : « Exprésese que el observatorio de que habla el art. 385 sea un ambos ramos ; motivo por el cual el Sr. secretario de la Gobernación «stablecmiento diferent…</t>
  </si>
  <si>
    <t>…ev para impedir el importación de la» remesas pendientes, según las distancias de donde curso de la moneda francesa. procedan los efectos.” Se leyó el proyecto , que decía asi; El Sr. Sandio dijo que se daba tanta libertad á los comerciantes, qua Art. i.° si Desde el día i.' de Enero de 18:1 en adelante queda</t>
  </si>
  <si>
    <t>…y va en poco tiempo en su original prueban la grande aceptación que ha me ga , y debía ser mas terminante. recido á la Europa ilustrada; y en efecto forma la mas nueva , comple El Sr. Sandio dijo que su proposición era conforme al espíritu de ta y agradable descripción, no solo de Jerusalen y santos lugares , sitio la Const.tucion , y que si la comisión se excediese en su dictamen, en de la Grecia, del Asia menor y de la costa Mediterránea del Af…</t>
  </si>
  <si>
    <t>Sandobal, Andrés de</t>
  </si>
  <si>
    <t>Andrés de Sandobal</t>
  </si>
  <si>
    <t>…ola es una monarquía la percepción de los réditos de un juro correspondiente al patronato moderada hereditaria. Los diputados á Cortes son representantes de la fundado por el Lie. D. Andrés de Sandobal; con apercibimiento qu* Nación española, y como tales presran solemne juramenlo : » ¡Juráis ■ pasado el referido término se dará á los autos formados á solicitud de haberos bien y fielmente en el encargo que la Nación os ha encomen los demas partícipes de aqu…</t>
  </si>
  <si>
    <t>Sanhá, Andrés de</t>
  </si>
  <si>
    <t>Andrés de Sanhá</t>
  </si>
  <si>
    <t>…a'hallarse asistido á la percepción de los réditos de un 29 de Junio. Y por lo respectivo al pago del primer tercio ya vencido, juro correspondiente ai patronato que fundó el Lie. D. Andrés de Sanhá tenido á bien S. M. mandar que las juntas satisfagan inmediatamente doval; apercibido que pasado dicho término sin haberlo egecutado se las dos terceras partes de él, si no lo hubiesen verificado, y los comen le nombrará de oficio, con quien se entenderán ¡as…</t>
  </si>
  <si>
    <t>Sanjenot, Josef</t>
  </si>
  <si>
    <t>Josef Sanjenot</t>
  </si>
  <si>
    <t>…rata ha llamado mucho la atención del público, muta de estudios. porque siendo esa infame proclama que hizo el referido Velasco el A la de Legislación una solicitud del presbítero D. Josef Sanjenot, primer ataque al poder legislativo,'el público ha observado los trámi vecino de Villafranca del Panadés en Cataluña, para que se restituyan tes de la causa que se le ha seguido. La junta de censura de esta capi los bienes que se secuestraron á un hermano suy…</t>
  </si>
  <si>
    <t>Sanmartín</t>
  </si>
  <si>
    <t>…e ha nom la goleta Guadalupe , que había llegado en io dias desde Paita-Port, brado ya á los cinco que deben ir. distante de Lima 10 dias de navegación. ^ NOTICIAS DE ESPAÑA. v El general Sanmartín , comandante de las fuerzas de Chile, dejo una guarnición de 900 inválidos, y se embarco en Guacho con jtD hom Madrid Sábado de Octubre. bres, los cuales desembarcaron en un puerto que dista de Lima dos le SS. MM. y AA. continúan sin novedad en su importante…</t>
  </si>
  <si>
    <t>Sanmartín, Andrés</t>
  </si>
  <si>
    <t>Andrés Sanmartín</t>
  </si>
  <si>
    <t>…uar la indemnización según el valor actual, ó se con toda solemnidad. . gún el del tiempo del contrato ? Se decidió que según el valor actual. A la de Guerra pasó una solicitud de D. Andrés Sanmartín, capi Por último se resolvió que los artículos volviesen á la comisión tán de tiradores de Valencia , para que en atención á sus servicios, y lo para extenderlos según lo acordado; y se levantó la sesión. mucho que ha sufrido por su adhesión al sistema consti…</t>
  </si>
  <si>
    <t>Sans, Juan</t>
  </si>
  <si>
    <t>Juan Sans</t>
  </si>
  <si>
    <t>…citado oficio, hablaron la mayor parte de El entrado procede del bergantín goleta ¿a Virgen del Carmen, del los señores diputados en elogio del gobierno de Bahía, y se acordó que capitán D. Juan Sans, de Sitges. El enfermo del bergantín Tallapiedra se diesen las gracias á los individuos de dicha junta por un proceder sigue con mejoría. El médico D. Salvador Campmany designa 2 enfer tan constitucional. mos de los existentes como acometidos de enfermedades…</t>
  </si>
  <si>
    <t>Sant</t>
  </si>
  <si>
    <t>…cobo Vázquez García; para la ciudad de S- Fernando á Dos se un termómetro que graduase las sospechas qué eran fundadas y las Juan de Dios de Aguilar, y para Arcos de la Frontera á D. Sant» que no lo eran; y como las leyes que trataban de conservar la propie González Salcedo. dad de los ciudadanos debían ser terminantes, se oponía á la apro bación de este artículo. - Ateneo español. El jueves 22 se verificará la apertura de la cáte El Sr. Calde…</t>
  </si>
  <si>
    <t>Santaló, Pedro María</t>
  </si>
  <si>
    <t>Pedro María Santaló</t>
  </si>
  <si>
    <t>…uctivas, deberán manifestar los comisiona Málaga D. Mariano Gutiérrez, en Mallorca D. Josef Serra, en Me dos y contadores en unión los medios y costo necesario para hacerlas norca D. Pedro María Santaló, en Mondoñedo D. Josef María Pardo producir. Montenegro, en Orense D. Josef Somoz3, en Orihuela D. Juan Rico, 13. Desde el presente año inclusive pagarán los comisionados del presbítero, en Osma D. Angel Itero, en Oviedo L&gt;. Ramón Gil, establecimiento en las…</t>
  </si>
  <si>
    <t>Santander</t>
  </si>
  <si>
    <t>…do las Cortes á la renovación dé su presidente, can acerca de los puntos de Oajaca, Puebla, Llanos de Apan, Nuévo- vice-presidente, y secretario mas antiguo , que lo era el s *ñor Don Santander , Chalco, Tufa', TeriacaZacualpan , Queretaro, Vallado- Vicente Tomas,Traver, han.sido elegidos , partí presidente eí Sr. Don lid, Guiriajiiáto, S. I.UÍS Potosí, Zacatecas, Nueva-Galicia", provin Antonio", de la Cuesta y Torre , diputado por la provincia de A…</t>
  </si>
  <si>
    <t>Santerías, Josef</t>
  </si>
  <si>
    <t>Josef Santerías</t>
  </si>
  <si>
    <t>…camente; para Andujajr á D. Francisco de Paula Molino; para Ube- Antonio Chalanzon ; en Búrgos en la de D. Paulino Alegría, del co da á D. Antonio Vicente Lobariñas; para Bezmar á D. Josef Santerías mercio, y en Avila en la de D. Antonio Salcedo, boticario; y los de-' y lerin; nara la Carolina á D. Francisco de Paula Villa-Real, y pa mas depositarios que gusten seguir en dicha venta de fumigaciones podrán ra Cazorla á D. Ignacio Velasco y Alzamora. dirig…</t>
  </si>
  <si>
    <t>Santiago</t>
  </si>
  <si>
    <t>…s ideas para tratar algunas desús par Vera : segundo comandante de la brigada de Carabineros tes de un modo enteramente analítico. En la otra se propu Reales y-primero interino al brigadier D. Santiago "Wall; so Mr. Lacroix conservar lo mas esencial del antiguo méto y ge fe de sección de la secretaría del Despacho de la Guer do ; pero de manera que su libro pudiese servir de introduc ra al brigadier D. Jos.:f Riclr, coronel del regimiento de ción al análisi…</t>
  </si>
  <si>
    <t>…ecibieron con aprecio, y mandaron, pasará su biblioteca y £4 del reglamento interior de las Cortes; y habiéndose procedido á seis egemplares de la obra de la Prueba por jurados de D. Santiago nombrar por votación los Sres. diputados de los cuales se había de Joanama» componer el tribunal de Cortes, lo fueron por e&gt;te orden : i.° el señor Las Cortes recibieron con aprecio, y mandaron pasar á la comisión La Bodega por 71 votos: i.'1 el Sr. Caro por…</t>
  </si>
  <si>
    <t>…de la de Legislación sobre. Jas solicitudes de D..Benito Puiron, za que tenían Jos generales en todas las tropas, que tan gustosas concur de nación frunces, vecino de Barb.astro, D. Santiago, Pierrad , francés, rían a la defensa de la patria, y del trono constitucional., no pueden ;coronei;del regimiento de caballería de la Reina, D. Juan del Castillo, leerse sínoxtrañéza y admiración. las causas que han disipado en un mo .genpvés, avecindado en…</t>
  </si>
  <si>
    <t>…. que en atención á haber sido sentenciado á presidio por su adhesión camarA de tos pares. _ Continua la sesión de ayer. ai mas de 5 9 duros, se le conceda una pensión; y otra de D. Santiago El duque de Sussex, como individuo de esta Cámara, y al mismo - Valenzuela, relativa a sistema constitucional,: y pedido que se le con tiempo de la familia llamada á Ja corona, protestó su adhesión á la ceda una pensión en premio de sus servicios. iglesia protes…</t>
  </si>
  <si>
    <t>…en los países extrangeros por la im Paz Merino, D. Clemente García Escudero y D. Juan Antonio Gu becilidad del ministerio. tiérrez Varona Ortiz; y para dos fiscalías de la misma ¿ D. Santiago Da osle modo se ha logrado que el ministerio por su imprevisión Amatriain y D. Pedro García del Valle. EN LA IMPRENTA NACIONAL.</t>
  </si>
  <si>
    <t>Santiago, Josef María</t>
  </si>
  <si>
    <t>Josef María Santiago</t>
  </si>
  <si>
    <t>…fe,. gobernadores de las servaciones que hace el director de la imprenta Nacional no se acceda* plazas y demas gefes que son responsables de las: operaciones de la la solicitud de D. Josef María Santiago , relativa á hacer una. impre sión estereotípica de la Constitución; y sí que se le permita imprimirla guerra.” . • Volvió la diputación de p'alacio, y el.Sr. López £D. Marcial ) dijo con los adornos y dimensiones que ha propuesto. que S..M. habia contestado…</t>
  </si>
  <si>
    <t>Santibañez, Josef de</t>
  </si>
  <si>
    <t>Josef de Santibañez</t>
  </si>
  <si>
    <t>…ntes na 400 vecinos. cionales. Habiendo llegado por un evento casual á mediados de Octubre úl Estas dos principales bases, y las aplicaciones que de ellas derivan, timo á manos de D. Josef de Santibañez, alcalde constitucional de la deseariamos nosotros se tuviesen presentes al tiempo de fijar un arancel villa de Ontígola.un paquete, que conserva intacto como lo recibió, para las puertas abiertas y puertas cerradas , de cuya oportunidad de exige su delicadez…</t>
  </si>
  <si>
    <t>Santibañez, Manuel de</t>
  </si>
  <si>
    <t>Manuel de Santibañez</t>
  </si>
  <si>
    <t>…cta, que deberá quedar do acreedora en estos autos Doña María Moreno y Rubio por cierto sentada en un libro destinado al objeto, rubricado por el presidente y* crédito que le dejó D. Manuel de Santibañez, se les cita y emplaza para por él; llevará la correspondencia de la junta con todas las autoridades que en el término de 20 dias, contados desde el en que se publique ea que deban tenerla con ella; tendrá á su cargo otro libro, en que se la gaceta, comparezc…</t>
  </si>
  <si>
    <t>Santillan, ZeferiAntonio</t>
  </si>
  <si>
    <t>ZeferiAntonio Santillan</t>
  </si>
  <si>
    <t>…e atender á sus gastos municipales. ne á su favor. _ t ... A la comisión especial de* Hacienda se paso «na exposición de Don A la de Infracciones de Constitución una exposición de D. ZeferiAntonio Santillan , apoderado de la vida de Guadalcazar, en que dice* no -Abad, alcalde constitucional de Cadalso, en Ja provincia de Tole que habiéndose apoderado D« Manuel Gcdoy de la dehesa que peitene- do , vindic ándose de la queja de infracción dada contra el procurador…</t>
  </si>
  <si>
    <t>Santin, Martin</t>
  </si>
  <si>
    <t>Martin Santin</t>
  </si>
  <si>
    <t>…réditos contra el Estado,, acudirá al juzgado de primera instancia aduanas interiores , lo cual estaba ya determinado por las Cortes, jr del Sr. D. Ramón de Argos, y escribanía de D. Martin Santin y seria, si se aprobaba este artículo, una declaración opuesta é incompatible Vázquez; en el concepto de que su último remate se ha de celebrar con la libertad nacional y con el decoro de la Constitución. Se suspen en una de las salas del ayuntamiento, á las…</t>
  </si>
  <si>
    <t>Santin, Martín</t>
  </si>
  <si>
    <t>Martín Santin</t>
  </si>
  <si>
    <t>…contra el Estado, acudirá al juzgado de primera instancia del bargo , siempre será bueno esperar la confirmación , y en Cádiz se sabrá Sr. D. Julián Díaz de Yela, y escribanía de D. Martín Santin y ya en el dia, pues al hablarse de este punto no se habia entregado aun Vázquez; en el concepto de que su último remate se ha de celebrar Ja correspondencia que trae Ja goleta Galga, procedente de la lluvana en una de las salas del ayuntamiento, á las 12 de…</t>
  </si>
  <si>
    <t>…o de la audiencia territorial, y juez de primera instancia gión de Olot; en Petalada el de 'dominicos , destinándolos al de Ge de esta M. H. villa, por la escribanía del número de D. Martin Santin rona de su instituto; en Castellón de Ampunas elde mercenarios; en y Vázquez; en el concepto de que su último remate se ha de celebrar, Cladels el de franciscos, reuniéndolos ai de Gerona de su orden; en Pa- con arreglo al decreto de las Cortes de 3 de Setiem…</t>
  </si>
  <si>
    <t>Santini</t>
  </si>
  <si>
    <t>…vación de un eclipse de sol anular. El dia 7 de Setiembre del ción de dichas ideas. No hay duda que-es sumamente penoso estudiar año próximo se logró completamente en Fadua por el profesor Santini, trestomos gruesos de una materia árida y abstracta, aun á los que po que determinó los cuatro apulsos. Primer apulso externo á i*1 36' 2o'',6 seen ya conocimientos en ella , y es al mismo tiempo inasequible para .tiempo medio; principio del anillo ó primer c…</t>
  </si>
  <si>
    <t>Santo, Mareo Mi del Espíritu</t>
  </si>
  <si>
    <t>Mareo Mi del Espíritu Santo</t>
  </si>
  <si>
    <t>…vincia Je Valencia. Para las seis judicaturas de la capi lapios, de S. Fernando y de S. Antonio Abad ; y de Clérigos menores, tal y su partido á D. Josef Vilella, D. Josef Codina, D. Mareo Mi del Espíritu Santo. Se suprimen los de Dominicos de la Pasión, cuyos randa, D. Andrés Soler, D. Vicente Fernandez Villegas y D. Tomas religiosos se trasladarán al convento de la misma orden én Ocaña; y Liñan. los de Sto. Tomas y del Rosario, y sus individuos se trasladarán ai E…</t>
  </si>
  <si>
    <t>Santocildes, Josef María</t>
  </si>
  <si>
    <t>Josef María Santocildes</t>
  </si>
  <si>
    <t>…a continuar sus desvelos, dirigidos á 14. he reconocerá por comandante genera! del cordon al Excmo. Se cortar los progresos del mal en aquellas desgraciadas poblaciones, y pre ñor D. Josef María Santocildes, teniente, general de los egércitos na servar á las otras de tan terrible azote. cionales, nombrado al intento por el Excmo. Sr. comandante general Sin perder de vista el alivio á que soft acreedores en su desgracia los .dei egército de esta provincia. 1 bene…</t>
  </si>
  <si>
    <t>Santos, Francisco Antonio dos</t>
  </si>
  <si>
    <t>Francisco Antonio dos Santos</t>
  </si>
  <si>
    <t>…. Gaseo dijo: Hace algunos dias que se ha mandado al Go del empréstito é hipoteca eran inconstitucionales. bierno presentar á las Cortes la terna para el nombramiento del Crédi El Sr. Francisco Antonio dos Santos dijo que debia averiguarse si to público, de cuya necesidad estoy bien penetrado. Según esta solici Jos diamantes mencionados eran del Rey ó de la nación, para incor-- tud, va á quedar reducida esta dirección á solo un individuo, y en esta porarlos en esta ;…</t>
  </si>
  <si>
    <t>Sanz, Antonio</t>
  </si>
  <si>
    <t>Antonio Sanz</t>
  </si>
  <si>
    <t>…rse el que va ve en la plazuela de Matute, número 6 y 7, que lo agradecerá: rias personas', y personas de la corte, lleven su adulación , su bajeza y Se vende una botica propia de D. Antonio Sanz, vecino de la villa su infamia hasta el punto de declararse en favor de ciertas intrigas , y de Villalon , tasada en io9 rs.; es moderna, y se halla situada en Pe retractarse después con la mayor desfachatez de lo que antes y contra rl raza de Campos: los sug…</t>
  </si>
  <si>
    <t>Sanz, Claudio</t>
  </si>
  <si>
    <t>Claudio Sanz</t>
  </si>
  <si>
    <t>…s y subtenientes efectivos de egér expresadas mejoras acuda ante dicho señor por la escribanía de núme cito que quieran pasar en estas mismas clases al resguardo, sean prefe ro de D. Claudio Sanz. ridos respectivamente , mientras no se complete el número de regla Hallándose el Sr. D. Julián de Sojo , ministro togado de la audiencia mento á los tenientes, subtenientes y sargentos, que reuniendo las cir territorial, y juez de primera instancia de esta M…</t>
  </si>
  <si>
    <t>…las Cortes en 3 de Setiembre del año último. Quien quisiere hacer postura, y enterarse de las tasaciones, acu cambios. Madrid 12 de Julio de 182Z. da á la escribanía de número de D. Claudio Sanz. Se ha publicado el número i.° del tercer trimestre (19 de la co París, .. 16..4 lección) de las Décadas médico quirúrgicas y farmacéuticas, el cual con Londres........................... 3 7* tiene ia continuación de los 'excelentes aforismos prácticos de Sa…</t>
  </si>
  <si>
    <t>…dos de cebada__Otra de un ferrado y 17 la tasación, acuda ante dicho Sr. juez por la escribanía de número, de cuartillos, en la veiga de Sta. Cruz de Abajo, en venta 750 rs., y en D. Claudio Sanz ¡dentro del término de 30 dias, que deberán contarse renta 3 ferrados de trigo.__Otra de 4 ferrados y medio, en dicha veiga desde que se publiqúe^el presente aviso en la gaceta de esta capital. y sitio llamado de Torres, en venta 1720'rs., y en rent3 4ferrado…</t>
  </si>
  <si>
    <t>…M. H. villa por la-escribanía de número de tableció el despotismo roas insolente que jamas experimentó la especie humana? «Han olvidado que Bonaparte procuró sofocar los sentimien D. Claudio Sanz. Por providencia del Sr. D. Ramón de Argos, juez de primera instan tos que unían los ciudadanos á la patria, desterrar todas las luces de la cia de esta M. H. villa, se manda despachar citación por edictos con tér civilización, y paralizar todos los-medios de…</t>
  </si>
  <si>
    <t>…n interesadas comparezcan ante el señor juez de primera ins que ios hombres que lo componen saliesen desde luego del contingente tancia D. Julián de Sojo y escribanía de número da D. Claudio Sanz, general con que contribuye la nación, y se reemplazase indistintamente por sí ó por medio de procurador con poder suficiente , dentro del tér como los demas cuerpos del egército; lo que no se verifica; y antes al mino de 60 dias, contados desde la inserción…</t>
  </si>
  <si>
    <t>…400—Otra en el mismo pago, llamada la Hermana mera instancia de esta M. H. villa, por la escribanía de número de Chica , de 4541 cepas, en venta 4341 rs., y en renta 143.__Otra al D. Claudio Sanz. Humilladero, lamada la Sacramental , de 467 cepas, en venta 233 rs., Consideraciones generales sobre varios puntos históricos, políticos y en renta 2.__Otra á los Hoyos, llamada la Redondilla, de 801 ce y económicos á favor de la libertad y fomento de los pu…</t>
  </si>
  <si>
    <t>Sanz, Genaro</t>
  </si>
  <si>
    <t>Genaro Sanz</t>
  </si>
  <si>
    <t>…otro pueblo del imperio, y les Terrado D. Miguel de Bnistinaga; y el del fuerte de Sta. Cruz de la hubiera sido imposible soportar las exacciones de sus tiranos, sí la Guarnía al teniente D. Genaro Sanz, subteniente retirado. La tenencia portentosa fertilidad de su suelo no les hubiera suministrado los medios: de Rey de Mahon al coronel D. Lilis Elejaburu, sargento mayor de la Sus vaivodas ó príncipes , como acostumbran todavía á llamarlos, plaza de Cartagen…</t>
  </si>
  <si>
    <t>Sanz, Josef</t>
  </si>
  <si>
    <t>Josef Sanz</t>
  </si>
  <si>
    <t>…Zaragoza. Santa Cruz é hijos , de Logroño. siguiente: ’ D. Ignacio Perez de Soto. D. Santos Aboin, coronel de Las Cortes generales , extraordinarias y constituyentes de la nación D. Josef Sanz. Avila. portuguesa, queriendo aclarar y determinar los principios que se esta D. Josef Antonio Senosain, de D. Tomas Jiménez de Cenarbe, blecieron en los artículos 8.°, g.° y to de las bases de la Constitución, Pamplona. de Pamplona. por conocer que aquella l…</t>
  </si>
  <si>
    <t>Sanz, Narciso</t>
  </si>
  <si>
    <t>Narciso Sanz</t>
  </si>
  <si>
    <t>…la comisión de Guerra sobre la incompati D. F. ífstevez, médico. Faltan los nombres de 20 electores. bilidad entre el decret de 30 de Mayo último y el art- 46 de ¡a ley Barcelona D. Narciso Sanz v de Rius. D. Ramón Saivato, abo orgánica del egército. Ei Sr. presidente dijo que quedaba sobre la mesa gado. D. Josef Elias, abogado. D. Francisco Serra y Franch. D. Agustín este expediente para la instrucción de ios Sres. diputados. Yañez. Igualada D. Jose…</t>
  </si>
  <si>
    <t>Sanz, Pedro Alcántara</t>
  </si>
  <si>
    <t>Pedro Alcántara Sanz</t>
  </si>
  <si>
    <t>…4. da de la Mata. Hospital de la Vireina, existencia anterior...... entrados ó acome Partido de Ocaña. tidos .... salidos ó curados ...... convalecientes ....... muertos .... exis D. Pedro Alcántara Sanz, cura párroco de Villasequilla ; D. Ma tentes ..... nuel Ventura Martínez Aedo , vecino de Estrcmera; D. Victoriano Ciudad, existencia anterior 298: entrados ó acometidos 17: salidos Gómez y López de la Fuente, presbítero , vecino de Colmenar de Ore ó curados…</t>
  </si>
  <si>
    <t>Sapronaro</t>
  </si>
  <si>
    <t>…ella época no ha ceSado de ad que iá nación napolitana liabia jurado conservar las bases quirir mayor fuerza e! influjo .ce la Corona , y los Comude la Constitución española; y el Sr. Sapronaro, citando nes solamente han egercidoün poder nominal sobre el tesord el egemplo de la Francia, pidió que se adoptasen ¡as leyes publico De aquí ha resultado el aumento de ios impuestos,francesas, y se aplicasen á las condiciones que se habian la miseria de tod…</t>
  </si>
  <si>
    <t>Sar.ra</t>
  </si>
  <si>
    <t>…fensiva con ella en el 1 Heñios sabido que varios emigrados piamonteses, entre los cuales instante que cualquiera potencia de la Europa envíe allá un solo soldado. se hallan el ¿x-ministro Sar.ra liosa, y el hijo del conde de S. Marsari, También creo que si la Rusia insiste en’sriiysísteroa, es preciso ene se han visto precisados á arribar.á Antibo , y que sus buques han sido riar una escuadra al Balticó para' que bloquee todóV sus puertos. Des secues…</t>
  </si>
  <si>
    <t>Saraiva</t>
  </si>
  <si>
    <t>…Algarbe , porque apenas era una pi o— caballos con ricos arneses, que en todo valian zcQ pesos. vincia &amp;c. , Los griegas van haciendo los mayores progresos en su insurrección, El Sr. Saraiva se opuso á ésto, diciendo qué se debían conserva? sí ha de creerse á multitud de circunstancias que publican varios periolos usos antiguos, y citó por egemplo al Rey de Inglaterra, que aun distas; sin embargó que hay otros de diferente opinión, los cuales ha…</t>
  </si>
  <si>
    <t>Saraudeses, Marcos</t>
  </si>
  <si>
    <t>Marcos Saraudeses</t>
  </si>
  <si>
    <t>…rano Soto para Mirtos á Cuesta y Hontañon, boticario; en Pontevedra en la de D. Juan ArgiD. Francisco Martínez Rey ; para Alcalá la Real á D. Miguel Lerin bay ; en Oviedo en ia de D. Marcos Saraudeses; en León en la de Don Bracamente; para Andujajr á D. Francisco de Paula Molino; para Ube- Antonio Chalanzon ; en Búrgos en la de D. Paulino Alegría, del co da á D. Antonio Vicente Lobariñas; para Bezmar á D. Josef Santerías mercio, y en Avila en la de D. Anto…</t>
  </si>
  <si>
    <t>Saravia, Fernando</t>
  </si>
  <si>
    <t>Fernando Saravia</t>
  </si>
  <si>
    <t>…en :io en esta parte. cena, alcalde i.' Cambados D. Francisco Taboada, teniente general, A la referida comisión se pasó una exposición de la diputación pro propietario. Pontevedra D. Fernando Saravia, coronel retirado de ar vincial de Sevilla, en la que también hace varias observaciones acerca tillería. Caldas D. N. Amor, propietario. Padrón D. Bernardo Pai- de las modificaciones que se estiman necesarias para el arancel general zal, abogado. Sar D. Jacob…</t>
  </si>
  <si>
    <t>Saravia, Rafael</t>
  </si>
  <si>
    <t>Rafael Saravia</t>
  </si>
  <si>
    <t>…lebrar en toda D. Josef de Arca, D. Josef Huel, D. Juan Antonio Villarino,' la Península las elecciones de los electores de partido por los de las D. Luis Negro, D. Pedro Delgado, D. Rafael Saravia y D. Ramón parroquias, nombrados en el primer domingo de Octubre. Este se Calatrava. gundo trámite del método de elecciones, aunque menos concurrido, Parroquia de Sta. María , 2 electores. no es menos augusto; y el importante cargo cometido á los electores, en D. Juan d…</t>
  </si>
  <si>
    <t>Saravia, Rafael Sánchez</t>
  </si>
  <si>
    <t>Rafael Sánchez Saravia</t>
  </si>
  <si>
    <t>…a hacer sin que » Soberano' Cóngrésó: lá columna móvil de Castilla la Nueva á las -al mismo tiempo sea indemnizado, y se le dé el buen cambio a bien órdenes del benemérito militar D. Rafael Sánchez Saravia, qué por cla vista de hombres (menos. Por consiguiente siempre que se asegure que ses firman esta exposición , tienen el honor de elevar al soberano Congre lo que se dice en ei art. i.ú que se discute se ha de cumplir, en este so el fuego patrio que los anima…</t>
  </si>
  <si>
    <t>Sardeño, Juan Josef de</t>
  </si>
  <si>
    <t>Juan Josef de Sardeño</t>
  </si>
  <si>
    <t>…nos de extrañar que en medio de la Gran Bre Diego Valdivia—El brigadier coronel de Astúrias Pedro Dejoui.réEl taña ;-Ján~ célebre por la sabiduría de su Gobierno, por su cultura y brigadier Juan Josef de Sardeño.—Til coronel Juan María Gamez.ee: Ei por'sú”ilustración ; se halle todavía un pueblo en un estado tan lasti capitán del primer batallón de Astúrias Francisco de Paula de Luna.=; moso ó de opresión , pues que necesita recurrir al asesinato para ven Capitán de…</t>
  </si>
  <si>
    <t>Sari</t>
  </si>
  <si>
    <t>…iónes que se,hiciesen. en la-América del Sur , y para aliviar á los■■ ha de ia ciudad dé Badajoz. r bitantes de aquellas provincias de las muchas pérdidas y sacrificios qué ‘ _ El Sr. Sari* Juan dijo qúe Tí ciudad dé Cartagú, capital de Costá«estaban sufriendo, había hecho eri la legislatura pasada cierta indicar- Ricá; Ié había encargado felicítase-árlas Cortes por su instilación, y al cion, que fue aprobada, para que- los Secretarios--del Des…</t>
  </si>
  <si>
    <t>Sárichó</t>
  </si>
  <si>
    <t>…ovincia. ' la Gobernación de la Península sé ha concedido la correspondiente cer Su capital ¡Alicanti. '".Sr tificación á Mr. Berthonean de ser inventor de una máquina para tun El Sr. Sárichó manifestó que podrían dejarse las capitales para des dir paños, casimiros y otros tejidos de lana, Madrid 2 de Octubre pués de qué estuviesen determinadas las provincias ’;: pero que sin em de 1821. bargo , por 10 qué hace á Ia'dé Alicante sé podría aprobar q…</t>
  </si>
  <si>
    <t>Sarmentó</t>
  </si>
  <si>
    <t>…dente dijo que seria necesario expresar en este artículo vellón en cada cabeza de carnero, y dos.pesos fuertes ¿n cada cabeza de que el ministro debería firmar y no rubricar; y el Sr. Sarmentó apoyó ganado vacuno que entren en dicha ciudad, á fin de atender á sus gastos la proposición, añadiendo que ninguno debía rubricar, porque esto municipales. eran restos de las costumbres bárbaras antiguas. El Sr. ministro de la Guerra dirigió á las Cortes 190…</t>
  </si>
  <si>
    <t>…tas no dicos ingleses ni una sola noticia de un interes general. Los del 25, que ticias eran positivas. - . nos han llegado esta mañana, no contienen hechos ni reflexiones polí El Sr. Sarmentó llamó la atención del Congreso sobre lo mucho ticas. Hay en Londres, como todos saben, y mas allí que en ninguna que se destruía la hermosa caballería del egército haciendo el servicio otra capital, periódicos ministeriales, gacetas ultra-monárquicas y dia de…</t>
  </si>
  <si>
    <t>…ocultar cuanto pasaba en ei Piamonte, y que las espías tador de tan plausible noticia: quedó aprobado. se metían por todas partes y particularmente vigilaban á ios carbonarios: El.Sr. Sarmentó renovó su proposición de que sé enviase una di--' que se pidió una lista de estos por el ministro austríaco, al frente de la putacion á S. M., la cual fue apoyada, ....... cual ibá el nombre de! príncipe Borghese :'que se remitió esta á Viena,, . El Congreso…</t>
  </si>
  <si>
    <t>…óxi mo; pero esto no tiene relación alguna con el viagc del Rey , que ha Lisboa 17 de Mayo__ Sesión del l6. afianzado en persona este establecimiento, y ha depositado en diaman El Sr. Sarmentó presentó una exposición de 200 individuos de tes y en barras de oro el importe supuesto de su déficit. Se cree que este Villa-Real, en la cual pedían se extinguiese la feria que se celebraba allí, asciende á 1.9609 milrés (cada milrés vale unos 22 rs.), y se…</t>
  </si>
  <si>
    <t>…al juez que el mayor publicista de la Europa; y después de haber sido generalmente contraviniendo á ia disposición de este artículo , niegue la habilitación aplaudida, propuso el Sr. Sarmentó que se imprimiese en ingles y por á las personas que tengan dicho requisito; y que se encargue á la au tugués para que no perdiese la fuerza y expresión aon qué estaba escrita. diencia y demas tribunales de Cataluña que zelen y repriman los abu Se pasó á disc…</t>
  </si>
  <si>
    <t>…eren, sabed : Que las Cortes han decretado lo si se, quedándoseel ministro de Marina. . &lt; &gt;. . w - guiente: »;La$ Cortes, usando de :1a facultad que-se' les ccíncede pon la • » Él Sr. Sarmentó dijo que¡ia diputación, de; la: Regencia debería Constitución,.han decretado: Que estando habilitados por d • :to de 16 «aperará bordo hasta que llegara la de las .Corte», .si-. . -r;; de. Abril ide tttia los diputados á Cortes, cuyos empleos s^;:ayan su.v »…</t>
  </si>
  <si>
    <t>…adanos, el resultado y el término igno presos en el momento que se iba á discutir el asunto de que trataban. minioso á que conducen la felonía, la soberbia, el orgullo, la hipo El Sr. Sarmentó presentó un folleto, diciendo que en él se le inju cresía , la avaricia y la ingratitud, bordo este desgraciado á las repeti riaba; pero que hacia tan poco caso de ello , que hasta deseaba que con das instancias de un padre octogenario .y lleno de honradez, n…</t>
  </si>
  <si>
    <t>…ciondetodos los .pagos: hechos durante el mes anterior, lá‘cual firma lo á votación , y fue desechado. ran el comandante' general; el comisario y el pasador, y se remitirá al ¡El Sr. Sarmentó propuso que se sustituyese á este artículo otro, en intendente, para que por .ella pueda formare! cargo á quien correspon que se evitasen los abusos de gratificaciones; y el Sr. Miranda manifes da en sus respectivos.ajustes. Art: J&gt;.\Cada 15 dias el pagador p…</t>
  </si>
  <si>
    <t>…á ren nación de 80 millones de reis anuales, cuya suma total ascendía á un dir Jas amias. millón y 700© cruzados. El barón Cuvier, comisario delRey, tomó la palabra , y rebatió El Sr. Sarmentó se opuso á la asignación de la Princesa Doña Ma completamente todos los sofismas de los enemigos de la enseñanza mu ría Teresa, respecto á que habiéndose casado con un infante de España tua : hizo ver que en la distribución de los fondos, destinados á fomen n…</t>
  </si>
  <si>
    <t>…puede salvar la justicia y la-estabilidad.de las. instituciones políticas. sos que creyera oportunos. Es pues necesario que las libremos del- naufragio, consolidando aquella . 311 Sr. Sarmentó manifestó que era el mas zeloso observador de las división. Demos, Señor, al mundo egemplos de justicia y de entereza. bases de ia Constitución, y dijo que creía conveniente se suspendiese Nuestra resolución está tomada ya: perpetuamente constitucionales prov…</t>
  </si>
  <si>
    <t>…se leyese la nota, en la cual el.encargado de España entre otras co monias poco mas ó menos, y tocó la corona que S. M. tenia en la ca sas se quejaba de las palabras que el señor, diputado Sarmentó había beza. Lo mismo hicieron los otros príncipes de la sangre, como igual proferido en el' Congreso contra su persona, y pedia una satisfac mente Jos Juques y otros Pares, pronunciando el mas antiguo las pa ción &amp;c. labras de homenage, y repitiéndolas los de…</t>
  </si>
  <si>
    <t>…gel Martí de que él no había manifestado al encargado de Ne á concluir esta paz tan necesaria; pero él no la quiere-, -y Ilams nue gocios de España las palabras que habia dicho el Sr. Sarmentó. vos males á su patria. Se pasó á tratar sobre los diplomáticos, y se aprobó. «Soldados: nuevos laureles os esperan en el campo da batalla, Que no hubiese embajadores ordinario? en las cortes donde se ha adonde vais Henos de justicia á sostener el honor nacio…</t>
  </si>
  <si>
    <t>…inuir el indujo del clero para aumentar el ius credenciales el encargada. luyo; y conociendo que el único medio de lograrlo era generalizar la El Sr. Borges CarneirO expuso que el Sr. Sarmentó no habia di .instrucción entre sus conciudadanos, han fundado escuelas en Constan— cho que D. Josef María Pando era un espía, pues solo habla dicho [inopia, Smirna, Salónica y en las principales ciudades para enseñar á que no teniendo credenciales, ni estando…</t>
  </si>
  <si>
    <t>…sión de este artícu calor que estos dias atrás se ha experimentado; el exceso cenagoso del lo para otro dia. puerto; la mucha inmundicia que avocan las cloacas y acequia cordal El Sr. Sarmentó presentó una carta que se le habia remitido de dentro del mismo, y el poco aseo é incuria en algunos barcos de los Setubal, la cual se suponía ser contestación á otra suya, con el abomi muchos que hay anclados en él (iir continuará.') nable objeto de comprome…</t>
  </si>
  <si>
    <t>…e la tomase en con será siempre uno de los baluartes de la Constitución , en el que se es-' sideración. trellaián todos los esfuerzos de los temerarios que osasen perturbar la; El Sr. Sarmentó pidió que se añadiese el Don al nombre de S. M.; tranquilidad y el orden público. =Dios guarde á V. S. muchos años. y-el Sr. "Trigoso que la leyenda fuese en latin. Madrid 11 de Setiembre de i82i. = Jóscí Martinez San Martin es. Se continuó la discusión sobre…</t>
  </si>
  <si>
    <t>…izadas en el mismo,jsino que lesdo qué 'sé-les sefialase á los consejeros un millón de reis anuales. facilitaron.loshniédios de alianár cualquiera obstáculo que/se opusiese á - El Sr. Sarmentó se opuso á que los consejeros tuviesen tan corta- este necesario fin. 1° Qué habiendo trascurrido casi- tres meses desde l« dotación, porque creta preciso que se les diese lo suficiente para sostener* oonclusioa dadicha año -, no hay razón algún* gara’ que se…</t>
  </si>
  <si>
    <t>…la ciudad .1 han sídt» trasladados al hospital Se trató de los diversos gobiernos .instalados en poblaciones peque del Seminario ,-y los 3 restantes se dan por curados. ñas ; y el Sr. Sarmentó sostuvo que se debian conservar como estaban 1 De orden de-la M. I. junta municipal de Sanidad. — Francisco por no chocar con los pueblos que los habían formado. : Por último se Altes , vice-secretario. ; acordó que se compusiesen de siete individuos las junt…</t>
  </si>
  <si>
    <t>…. Borges Carneiro opinó que se suprimiera el que fuese una di cerla, poique nunca los abusos pueden ser un . motivo suficiente pata putación á presentar el decretó aí Rey; pero el Sr. Sarmentó fue de dejar de tomar una buena resolución. distinta opinión, fundándose en que no se debia omitir formalidad al La libertad de imprenta es una de las principales bases de un Go guna en la promulgación délas leyes, y concluyó diciendo que las bierno represent…</t>
  </si>
  <si>
    <t>…ctual de Ja diputación de Navarrt. Otros Sres. d,pialados hablaron en favor y en contra del artículo, Olite D. Sebastian Rodríguez,; presbítero de Tafalla. habiendo manifestado el Sr. Sarmentó que no solo consideraba el veto como una prero^ativa Real, sino como una necesidad política, y-con CORTES EXTRAORDINARIAS DEL AÑO DE 1821. cluyó su discurso dici ndo que en lugar de este articu.o se pusiese el ;qy He la Constitución española. . PRESIDENCIA PE…</t>
  </si>
  <si>
    <t>…ordó el ilustre ayuntamiento constitu porque seria una pena demasiado grande para un delito tan pequeño. cional nueve medallas con esta inscripción : já la aplicación el ayunta El Sr. Sarmentó opinó que debía dejársele al Rey plena libertad miento cosistltuciosial de Ocasia, las cuales fueron entregadas por mano para casarse, con quien quisiese; peto que cuando lo hiciese, sus hijos del alcalde de segundo voto á los discípulos que mas se d;«*»»guie…</t>
  </si>
  <si>
    <t>Sarmentó-dijó</t>
  </si>
  <si>
    <t>…evamenterá aquellastgefeafqué el servicio ,.las.ótdenes._cpu que; disfrutáf lós-éottséjerós de Esfádo. ’ ’ nos hallamos, nuestra responsabilidad y nuestro deber exigen quedemos El Sr. Sarmentó-dijó qué debía señalárseles un sueldo algo "i|iayor&gt; cuenta al Gobierno1 Heicuulqúiera ^.Ita /que nb'teraol en esta-pazte, j que el; designado á los regentes^ pero el Sr. Bastos se opuso á esto ,'di que: para-que no nos riimorca este casa,- sensiblt paraaosOtros;.…</t>
  </si>
  <si>
    <t>Sarmiento, Josef Jiménez</t>
  </si>
  <si>
    <t>Josef Jiménez Sarmiento</t>
  </si>
  <si>
    <t>…o el dictamen de tra los mismos lo resultante en las causas pendientes en Granada, á sa la comisión, uno de sus individuos tendrá la palabra con preferencia ber? la formada contra D. Josef Jiménez Sarmiento, ia principal de ¿ los demás diputados para aclarar la materia , dar justa idea de los fun conspiración, y la sobre la conmoción del citado dia 2 de Febrero úl damentos del dictamen, y todo lo demas que juzgue necesario para la timo contra los jueces interino…</t>
  </si>
  <si>
    <t>Sarniento</t>
  </si>
  <si>
    <t>…quien Rey para sí en la persona de un censor , cuyas decisiones sin apelación los aprehendiese; y que se mandase asi á la Regencia hoy mismo. eran superiores á toda discusión. El Sr. Sarniento apoyó la proposición ; y manifestó que la agricul ,,Si descendéis luego á nuestros tiempos modernos, vereis á la asam tura era en el dia la fuente de nuestra prosperidad, y que por eso debía blea constituyente, á la legislativa, al Congreso americano, d las m…</t>
  </si>
  <si>
    <t>…ridad de las larga serie de hechos que demuestran el servilismo de la censura y su Cortes de JLamego , irritante parcialidad; y entonces se verá , si como lo ha dicho el Sr. mi El Sr. Sarniento aprobó el preámbulo en esta parte como la mas nistro del Interior, ha borrado de los periódicos de todos los partidos necesaria, y con numerosas citas probó que la duda sobre la autoridad expresiones exageradas, y declamaciones y colores falsos. Entonces se d…</t>
  </si>
  <si>
    <t>…un numeroso concurso de jóvenes, y las señoras fueron adornadas con la sesión. mayor elegancia. Esta función, en ia que se sirvió un abundante refres-' Se leyó la proposición del Sr. Sarniento para que se le diese al ge co, duró hasta la una de la mañana. En seguida empezaron á recorrer neral Pepe algún auxilio ; y su autor manifestó que la España lo ha las calles patrullas numerosas de personas de ambos sexos y de todas bía auxiliado ; que los pat…</t>
  </si>
  <si>
    <t>…ialmente. ó, Asi 'es que el principió-, de la censura es inicuo, el uso que se ha Sesión de Cortes del sy. hecho ha sido infame, y el fin que se proponía no se h* conseguido.”s El Sr. Sarniento manifestó al Congreso que el general Pepe había (JV continuará.') ■ ■ sido robado en Portugal , quitándole los ladrones io3 eruzuilos, y pro __En u) de Agosto de 1820 se descubrió en esta capital la conspira puso que se insinuase a! Gobierno que le diese un s…</t>
  </si>
  <si>
    <t>Sarniento'</t>
  </si>
  <si>
    <t>…apiz da cometer tan enorme Habiéndose principiado á tratar de las elecciones directas ó indirec delito. Dentro de pocos dias veremos si se harán para arrancar este de tas, dijo el Sr. Sarniento': Cuando se trató de los jurados opiné yo, tal lincuente de manos de la justicia los mismos esfuerzos que se han he vez con indiscreción, qué la'elección fuese indirecta; pero como pre cho antes que la naturaleza de su delito fuese declarada por la resolu fier…</t>
  </si>
  <si>
    <t>Sarno, Domingo</t>
  </si>
  <si>
    <t>Domingo Sarno</t>
  </si>
  <si>
    <t>…secretario del Despacho de Estado pasase al da Marqués de Pietracatella. sini. Hacienda las ordenanzas sobre los derechos y obligaciones de estos em Marques dé S. Eramó. El abate D. Domingo Sarno. pleados en los puertos extrangeros para el buen desempeño de su en £l‘ director D. Antonio Spinelli. El párroco D. Cayetano Giannat- cargo. Príncíp'é de Belvedere. tasió. En seguida hizo el orador varias reflexiones sobre lo ocurrrido en Príncipe_de.Supmq. .…</t>
  </si>
  <si>
    <t>Saro, Josef Coisa y</t>
  </si>
  <si>
    <t>Josef Coisa y Saro</t>
  </si>
  <si>
    <t>…moral. Sin embargo , en el com-. del misino consejo pira regentes de las audiencias de Valladolid y bate que hay siempre entre el orden de cosas nuevo y ei antiguo , en Granada á D. Josef Coisa y Saro y á D. Josef López de Cozar. tre el despotismo que acaba y la regularidad que emp'eza, pueden los Para magistrados de las audiencias de Valladolid á D. Angel de. apasionados de aquel retardar la victoria de esta; pero triunfará al fin Govantes Fernandez de An…</t>
  </si>
  <si>
    <t>Sarragio, Francisco Javier</t>
  </si>
  <si>
    <t>Francisco Javier Sarragio</t>
  </si>
  <si>
    <t>…riano Serra—Miguel las provincias en todas las administraciones principales y agregadas de Sans y Oliva—Josef Luis Draper.=Mariano Trielís—Félix Gras. correos. Por providencia del Sr. D. Francisco Javier Sarragio, juez de pri Excmo. Sr.: « Dirijo á V. E. para conocimiento de S. M. y efectos mera instancia del partido de S. Salvador de la Lama, en la provincia convenientes la representación adjunta del ayuntamiento constitucional de Galicia , en el expediente de testam…</t>
  </si>
  <si>
    <t>Sarraiva</t>
  </si>
  <si>
    <t>…ta. gos á cual mas dignos de admiración , y de ser imitados, El Sr. presidente permitió su lectura; y concluida esta, desde que la regeneración española ha hecho á todas las de el Sr. Sarraiva dudó si el Congreso estaba legalmente cons más provincias participes de los bienes asegurados por el tituido, no-hallándose reunidos todos los representantes de régimen constitucional. la nación; pero fue desechada su proposición. La milicia nacional de 22 pu…</t>
  </si>
  <si>
    <t>Sarrio, Ignacio Perez</t>
  </si>
  <si>
    <t>Ignacio Perez Sarrio</t>
  </si>
  <si>
    <t>…8 la fragata francesa Louise Manto:se, procedente titucional de esta M. H. villa. Marques de Casa-Pizarro. dé Smirna , cuya tripulación aseguraba habér quemado los tiircos aquella D. Ignacio Perez Sarrio. Marquesa viuda de Villafranca, ciudad, y asesinado á todos los griegos; no permitieron álos'francos re D. Ignacio Jacobo y Ekano. por sí y sus hijos. fugiarse á bordo de los buques, ni á dicha fragata entrar en el puerto D- Ignacio Uranga. D. Aíateo de la Qu…</t>
  </si>
  <si>
    <t>Sartolo, Antonio Mediano y</t>
  </si>
  <si>
    <t>Antonio Mediano y Sartolo</t>
  </si>
  <si>
    <t>…D. JosefReel cual se reunirá en la cabeza de partido de la misma para pronunciar mirez Moreno y D. Valentín Recio: para la de Alcalá de Henares á sobre el reparto de impuestos &amp;c. D. Antonio Mediano y Sartolo: para la de Valdemoro á D Francisco Estas son las cláusulas mas importantes de la nueva Constitución Herrero Blanco : para la de Chinchón., á D. Juan Domingo Palomar : pa que concede S. M. napolitana á sus súbditos de las Dos Sicilias en lu ra la de Navalcarn…</t>
  </si>
  <si>
    <t>Sartorio, Pedro Molla</t>
  </si>
  <si>
    <t>Pedro Molla Sartorio</t>
  </si>
  <si>
    <t>…e. Alcira: D. Jaime Carpí , presbítero de Alginete; D. Pedro Fuster, abogado de Albalat dePardines, y D. Calixto Gómez, farmacéutico , . - SALUD PUBLICA. ^ de Alcira—En Cartagena: D. Pedro Molla Sartorio y D. Isidoro .NaParte del lazareto sucio de todo el dia 3. varrete. Bárceloneta, existencia anterior 45: entrados ó acometidos i: sali Sevilla 7 de Noviembre. dos ó' curados 6: convalecientes 31 : muertos 1: existentes 39. Han salido electores de partido én esta ciudad lo…</t>
  </si>
  <si>
    <t>Sarvarí, Szecheny de</t>
  </si>
  <si>
    <t>Szecheny de Sarvarí</t>
  </si>
  <si>
    <t>…frutas, de cuyas resultas les atacó una di á las armas otomanas. senteria que ha quitado la vida á algunos. Han regresado los dos buques de guerra que condujeron -----Dicen que el conde Szecheny de Sarvarí ha dejado una á los Dardanelos á Veli y Salib-Bajá, hijos de Alí-Bajá, manda de 50© florines al convento de los Redentoristas\ los cuales pasaron de allí á Kutahia, lugar de su destierro. parece, sin embargo que no se halla-en este convento casi ninguno de lo…</t>
  </si>
  <si>
    <t>Sasso</t>
  </si>
  <si>
    <t>…s rcvolucomiiej El barón de Kamdohr, enviado extraordinario y ministro plenipo de España y de Nápoles, confesó que el Gobierno de España habia da tenciario de S. M. Prusiana, y el caballero Sasso, consejero de la le do lugar á la revolución de su pais: pero que ño creía que el de Ñapó gación rusa , han pedido pasaporte bajo diferentes pretextos á nuestro les hubiese ocasionado la de sus provincias, v el noble lord veía siem ministro de Negocios extran…</t>
  </si>
  <si>
    <t>Satis, Martin</t>
  </si>
  <si>
    <t>Martin Satis</t>
  </si>
  <si>
    <t>…iencia territorial, y-jilez de primera instancia-de esta hecho presente al. Rey que por su constante adhesión al sistema cons M. H. villa, refrendada por el escribano de su número D. Martin Satis j titucional fue perseguido en la época pasada hasta el punto de tener tin y Vázquez, se cita, llama y emplaza 4 los que se consideren coh que expatriarse, con cuyo motivo fue dado de baja en su cuerpo ; y so derecho á los bienes que quedaron por fallecimient…</t>
  </si>
  <si>
    <t>Satriano</t>
  </si>
  <si>
    <t>…o pedazos de tierra incultos, en 21,156 rs. y 17 mrs. ral Carrascosa: se compone de tres divisiones á las órdenes de los ge Diez y seis casas , en 271,944 rs. nerales Filangieri y príncipe Satriano, y de los tenientes generales Am Ocho solares de casas , en 1605 rs. brosio y Arcovito" su fuerza consiste en 70 batallones de tropas de li Una huerta, su cabida 59 fanegas, 3 celemines, de primera, se nea y de guardias cívicas y 30 escuadrones de caballería,…</t>
  </si>
  <si>
    <t>Satúé, Ignacio</t>
  </si>
  <si>
    <t>Ignacio Satúé</t>
  </si>
  <si>
    <t>…e les señalase otra capital distinta de la designada en el proyectoA la comisión de Beneficencia se mandaron pasar las observaciones . T Madrid Lunes-i.° de Octubre. dirigidas por D. Ignacio Satúé , dependiente jubilado , acerca de este SS- MM. y AA. continúan sin novedad en su importante salud. ramo. Se dió cuenta del oficio del Sr. ministro de la Gobernación de la Península , con el cual remitía la representación de la villa de Ponferrada , pidiendo…</t>
  </si>
  <si>
    <t>Satué, Ramón</t>
  </si>
  <si>
    <t>Ramón Satué</t>
  </si>
  <si>
    <t>…á Cortes; del dictamen de la comisión especial El Rey, á consulta del consejo de Estado, se ha servido nombrar á de Hacienda sobre correos y loterías, y del presupuesto general de D. Ramón Satué para la plaza de magistrado en'propiedad de la au gastos para el presente año económico ; y se levantó la sesión. diencia territorial de Castilla la Nueva, que desempeñaba interina mente. Se hace presente qué el remate de las fincas aplicadas al Crédito pu Po…</t>
  </si>
  <si>
    <t>Saucko</t>
  </si>
  <si>
    <t>…os ¡nloituoios dv un larga mientos hechos en virtud de la orden ya citada ; y que aprobándose viage, sino también por las actuales circumtarc-as , no s -rdo una la proposición dei Sr. Saucko riendo que ya se les despojaba de la par consecuencia forzosa el que todos ellos pudiesen haber venido por ¡.a-</t>
  </si>
  <si>
    <t>Saumarez</t>
  </si>
  <si>
    <t>…raía algunas cartas cosidas, en la - éntretela de sus vestidos. Es á salir: siguen, al egército por el camino de Arezzo, y les acompaña tuvo-ademas algún tiempo en la escuadra del almirante Saumarez, é un. numero considerable de carros, los cuales en gran parte van carga hizo también varios viages- 4-Copenhague y á Alemania, donde-se dos de barcas y demas efectos necesarios para echar puentes con toda fingió Príncipe. Esperamos -la sentencia de este aven…</t>
  </si>
  <si>
    <t>Sauz, Nicolasa</t>
  </si>
  <si>
    <t>Nicolasa Sauz</t>
  </si>
  <si>
    <t>494 cion, el nombramiento del nuevo Gobierno, y la convocación de las pasado : otra de Doña Nicolasa Sauz para que se le perdonen 1800 rs. Cortes. El Congreso demostró toda la satisfacción que recibia con tan que quedó á deber á lá Hacienda pública su difunto padre, escribano 'fausta noticia. del pueblo de Auñon, por la misma escribanía: una exposición del El min…</t>
  </si>
  <si>
    <t>Sava</t>
  </si>
  <si>
    <t>…Fife-Housse 7 de Julio de 1821. cerca de g3 hombres. Al primer ataque se pasó á estos con sus'arnau » Lord.Liverpool en respuesta á la carta de la Reina de 5 del corriente tas el comandante Sava, seducido como lo fue Tepdoro por un agente ha recibido del Rey la orden de hacer saber á S. M. la Reina Carolina diplomático acostumbrado á esta clase de negocios; y los 400 hombres de Brunswick que es su Real voluntad que la Reina no asista á la ce* del bat…</t>
  </si>
  <si>
    <t>Savariego</t>
  </si>
  <si>
    <t>…eció no podian miento que se sigue en las causas criminales sustanciadas según los aprobarse; y que conformándose las Cortes con este parecer, podian trámites vigentes. admitir al Sr. Savariego, diputado suplente por dicha provincia, cuyos</t>
  </si>
  <si>
    <t>…mo amigos, como aprobarse; .y aque conformándose las; Cortes, coji.esta; jjareqer ,. ppdi,*a .‘.Bonaparte cacareaba,,que los franceses eran bien .recibidos, en ios pue- admitir al Sr. Savariego , diputado suplente por díclia prpyi^cla, ,cu _ filos de la Península : quiere que ya ¡no,se c.rea. en las palabras, facciosas yos poderes halló la! comisión en el mod.O, p/eyjínido .y,.cr.;^n' to de un gefe de"rebeldes, ranpérfido como ambicioso, como Bonapa…</t>
  </si>
  <si>
    <t>Saxonia-Cobourg, Leopoldo de</t>
  </si>
  <si>
    <t>Leopoldo de Saxonia-Cobourg</t>
  </si>
  <si>
    <t>…nte una proposición sobre rence y Sussex, y á la izquierda los duques de Cambridge y Glocester, que se mandase recibir una información acerca de un sugeto que ante como también el príncipe Leopoldo de Saxonia-Cobourg. S. M. habia ofendido al soberano Congreso. • ■ Antes de cubrirse segunda vez la mesa entró á caballo en la sala El Sr. Braamcamp dijo que se desechase la,proposición, porque era el campeón armado, magníficamente: dos escuderos llevaban su lanzay Ja misma que…</t>
  </si>
  <si>
    <t>Scbastiani</t>
  </si>
  <si>
    <t>…rancia nuevas revoluciones CAMARA be ros DiruTADOs.__Continúa la sesión del S. (vivísima aprobación ); y que nunca llegaria el caso de que se pudiese En seguida tomó la palabra el general Scbastiani, y después de ha acusar al Gobierno del Rey de haberse empeñado inconsideradamente ber felicitado á la Cámara , y aun al ministerio, de que se discutiesen en una guerra con las potencias europeas. en la tribuna los grandes intereses del Estado, contestando a…</t>
  </si>
  <si>
    <t>Schmidt</t>
  </si>
  <si>
    <t>…poder legislativo ó ,,En esta acción perdimos cerca de go hombres entre muertos y he de los representantes de la Nación , y las atribuciones del poder judi ridos. Murió en ella el capitán Schmidt, del batallón de cazadores cial ; que los que componían el primero estaban obligadas, segun el fuerou heridos el capitán Pfield , de ios húsares del Rev de Inglaterra, art. 117 de la Constitución, á mirar por el bien y prosperidad de la y el teniente Braum ,…</t>
  </si>
  <si>
    <t>Schneider</t>
  </si>
  <si>
    <t>…antó hacia Popoli, y la división Wied acampó cerca de Acalla. '• bastantes Tuerzas. El'mayor d’Aspee ,-que mandaba.la columna izquier ¿ Mientras se egecutaban estos movimientos el coronel Schneider da , hizo una piarcha. rápida, y tomó por el lado opuesto I3 formida- 1 avanzaba desde Leonesa á la Porta, y desde allí 4 -Monte-Reale. En -blé.angdstura' dé Antrodocco; batió "al éñemtgo que faflefendia, y le - esta marcha encontró los enemigos , los dispers…</t>
  </si>
  <si>
    <t>…eneral conde de Walmoden ; la de S. Jorge, de cuarta clase , al ma dante de la plaza, diciendo que tenian que hacer una petición de parte yor general conde de Geppert y al coronel barón Schneider, coman &gt; de los habitantes de Brunswick. Se les instó á que se explicasen, y pi dante del tercer batallón de cazadores; la de Sta. Ana , de segunda dieron que se permitiese á una diputación de los ciudadanos mas res clase, también de brillantes, al coronel Hr…</t>
  </si>
  <si>
    <t>Schrant</t>
  </si>
  <si>
    <t>…e filosofía,; cinco Se habla de una nota que b» pasado el Gobierno de Zurich al mi de cirugía , cuatro de. retórica.; 24 de gramática latina, tres de náutica» nistro de Austria el Sr. Schrant , y á la cual ha.contestado inmediata ,cuatro de órgano y otros ,instrumentos músicos. • mente S. E., dando al mismo tiempo las seguridades mas satisfactorias. Ademas de los 17 uíividuosqne habían,.quedado en el ano anterior ¡De'algún tiempo á esta parte se a…</t>
  </si>
  <si>
    <t>Schuhinan</t>
  </si>
  <si>
    <t>…ley sobre, el. modo y medios de recau presentar la Constitución, y déla que son individuos el ministro del In dar U suma necesaria para hacer frente á los gastos públicos. terior Sr. Schuhinan , el mayordomo mayor principe de Saga-Witt- ' El 16 se había señalado la hora de las once de la mañana para la genstein y el Sr. Ancillon, consejero de Estado, y autor de una obra sesión de la segunda Cámara de los Estados generales; pero á media muy conocida…</t>
  </si>
  <si>
    <t>Schw-artzY</t>
  </si>
  <si>
    <t>…ra rea izar tan benéficas ideas ha pedido el auxi de oficiales de guardias ,- sean -incorporados- en los1 regi lio de todos los hombres ilustrados del reino. mientos-de línea. A'l‘coronel Schw-artzY comandante del re gimiento,' se le’ formará-;consejo -;de 'guerra ,-por no haber AUSTRIA. sabido-mantener :ál soldado,en-Ma obediencia ,- y:"5e 'dará "úri¿ orden particulandésignando láscOmpañíasdé granaderos que Troppatt ii de Diciembre. inmediatamente- debe…</t>
  </si>
  <si>
    <t>Schwartz</t>
  </si>
  <si>
    <t>…se. han reunido también aqui por, coroneles, entre los cuales se halla el del regimiento de ahora para tratar de varios objetos peculiares de aquellos guardias Probraschenski. El coronel Schwartz ha sido re Estados. . emplazado por el general Bistram. El primer batallón del Augsburgo 2g de Diciembre. regimiento de Semenow , que es el único que ha de po Según anuncian las cartas de Troppau, los ministros nerse á disposición de un consejó de guerra, est…</t>
  </si>
  <si>
    <t>Scjo, Julián de</t>
  </si>
  <si>
    <t>Julián de Scjo</t>
  </si>
  <si>
    <t>…e tan indiferentes para una Nación que con su amado Rey al por la escribanía del número de D. Pascual Seco. frente camina impávida y niagestuosa por la senda de gloria, honor y El Sr. D. Julián de Scjo, magistrado honorario de la audiencia ter prosperidad que se abrieron ambos al adoptar con irrevocable decisión ritorial, juez de primera instancia de esta M. H. villa, en prnvidercia ei sistema constitucional que felizmente rige, pudieran alentar á ios refre…</t>
  </si>
  <si>
    <t>Scourdza</t>
  </si>
  <si>
    <t>…atreven á echar ahora en la diplomacia copias de una memoria sobre la situación de la Grecia, cara ú los turcos las atrocidades de que ellos mismos han dado ogvtr.* escrita por el Sr. Scourdza , quien al tiempo que se hallaba reunido el p!o! : Por ventura no sabemos que varios buques con bm-iera otomana, Congreso de Aquisgran publicó otra memoria sobre la situación de sorprendidos por ios isleos, han sido saqueados y quemados , y que Alemania, que…</t>
  </si>
  <si>
    <t>Screibef</t>
  </si>
  <si>
    <t>…, padre del westfalianos. Esta medida se debe á las reiteradas solicitudes hechas en lord Uxbridge, el cual dicen que es el oficial que se ha mostrado tan k Dieta germánica por el Sr. Screibef á nombre y con poder de los in fogoso en los últimos desórdenes. teresados. ' " El lord Uxbridge se habia dado ya á conocer en ios sucesos de IKGI ATE r RAi. Manchester: y en el último alboroto .disparó un pistoletazo con tan buena puntería, que hirió á uno d…</t>
  </si>
  <si>
    <t>Sctomsyor</t>
  </si>
  <si>
    <t>…diviso El Sr. Cortés: En el artículo que se discute se especifican tres accio ria entre fautor y auxiliador. nes: id* Acompañar al que comete el delito: z.“ Ayudarle después da El Sr. Sctomsyor fue de opinión que era demasiado severo impo cometido; y g.‘ aprovecharse de las consecuencias. Quisiera que me di ner pena a! hombre que no hacia mas que concertar con otros la perpe jeran los Sres. de la comisión si solo por acompañar a un delincuente! trac…</t>
  </si>
  <si>
    <t>Se'pasó</t>
  </si>
  <si>
    <t>…utado fuese elegido por soborno del poder egecutivo , fuese inme Játiva 9 de Noviembre. diatamente echado del Congreso. Han sido nombrados para electores de partido de esta ciudad Don Se'pasó á hacer la elección para el mes entrante , y salieron elegi Antonio Marau, vecino di la Ollería; D. Pedro Nolasco Morales , al dos, para presidente el Sr. Trigosó, para vice-presidente el Sr. Mar- calde constitucional de Játiva; el barón de Casanova , de Boca…</t>
  </si>
  <si>
    <t>Se, Bor</t>
  </si>
  <si>
    <t>Bor Se</t>
  </si>
  <si>
    <t>…o el orador, á nuestros hermanos de Ultramar á que vengan á reunirse á nuestro Congreso para la mayor felici Parts i.° de Febrero. dad de la monarquía ; pero no los obliguemos. El Sr. Bor Se acaba de imprimir en esta capital con destino á Gre ges Carneiro^ aunque convino con los demas en que era cia una introducción á la teoría y práctica de la música del mayor interes el estrechar los vínculos fraternales entre de iglesia , escrita en lengua gri…</t>
  </si>
  <si>
    <t>Se, Da-</t>
  </si>
  <si>
    <t>Da- Se</t>
  </si>
  <si>
    <t>…expresase en el acta : lo Real colegio militar. Mr. Hume hizo varias observaciones contra este, que quedó aprobada. , articulo, y propuso se redujese á 9771 libras esterlinas. El coronel Da- Se pasó á la discusión del proyecto de decreto sobre diezmos ecle vies dijo que había sido educado en aquel establecimiento , y que de siásticos , cuyo preámbulo decía asi: nada servia la educación que en ¿1 se daba á.los alumnos. En prueba: ,,Las Cortes &amp;c. En…</t>
  </si>
  <si>
    <t>Se, Domingo Sánchez</t>
  </si>
  <si>
    <t>Domingo Sánchez Se</t>
  </si>
  <si>
    <t>…, y dad de alguno de los individuos de las diputaciones provinciales, pue varias indicaciones hechas por algunos Sres. diputados. da mandar asista en su lugar el suplente; y la de D. Domingo Sánchez Se trató de ia imprenta nacional, y del privilegio que esta tenia ó García, vecino de Linares, sobre si ios que han sufrido alguna pena se arrogaba de -vender los caracteres tipográficos sin que nadie pudie cor-noris aflictiva antes de la publicación de la Const…</t>
  </si>
  <si>
    <t>Se, Josef Añáde</t>
  </si>
  <si>
    <t>Josef Añáde Se</t>
  </si>
  <si>
    <t>…sticia”;. Se mandó pasar á la comisión Se mandó pasar á la comisión especial v.de Hacienda un cuaderno de Legislación. . • . . presentado_por. el intendente honorario de provincia-D. Josef Añáde Se tuvo por proposición leída,poir-primera vez una del Sr. Sánchez lo Perez,.[qiiétráta de. Ia estadística, para todas i‘as provincias; las Cor Salvador, en que pedia que' ios pasaportes que. hubiesen dé expedir las tes lorecibiej-on.con agrado. , *.. L. . , , ;…</t>
  </si>
  <si>
    <t>Se, Juan Navar</t>
  </si>
  <si>
    <t>Juan Navar Se</t>
  </si>
  <si>
    <t>…de Cámara y otros empleados de es poruña barandilla abierta por los dos lados, y que pueda también te ramo. abrirse por en medio. A la misma un expediente instruido á instancia de D. Juan Navar Se leyó el art. 7.0, que decia: ro sobre el reintegro de los caidos que se le deben de su pensión de 7.0 Se dispondrán en el salón del modo mas conveniente gale 8 rs. diarios. rías á la altura proporcionada, con el orden de asientos, para que las A las comisione…</t>
  </si>
  <si>
    <t>Se, Juan Rodrí</t>
  </si>
  <si>
    <t>Juan Rodrí Se</t>
  </si>
  <si>
    <t>…macéuticos de Zaragoza, proponiendo algunas medidas para sacar á su profesión del abandono en que se halla. Sesión de Cortes del £. A la de Guerra se mandó pasar otra solicitud de D. Juan Rodrí Se trató de que la comisión encargada de extender-la exposición á guez, vecino de Cádiz, en que manifiesta los trabajos que ha sufrido por S. M. la presentase al Congreso, añadiendo en ella los últimos aconte ser adicto al sistema.1 que nos rige , por cuyos méri…</t>
  </si>
  <si>
    <t>Se, Leonltur-</t>
  </si>
  <si>
    <t>Leonltur- Se</t>
  </si>
  <si>
    <t>…opio de la división, y los gefes y oficiales llevarán consigo desalojar á los enemigos de posiciones tan ventajosas. sus armas. Tambieu remite el parte del comandante de escuadrón D. Leonltur- Se confirma en un todo. be, que lo era militar de la plaza de ia Guaira , en el cual, su fecha 5.a Se hace extensivo el beneficio del art. 4.0 á los paisanos que en 16 del mismo Mayo, le avisaba que por consecuencia forzosa de la pér clase de emigrados ó de otro…</t>
  </si>
  <si>
    <t>Se, Pascual</t>
  </si>
  <si>
    <t>Pascual Se</t>
  </si>
  <si>
    <t>…togado honorario, juez de primera instancia y de la Hacienda 2 por 100 en el primer año , y 1 por too en el segundo, conforme aL pública de la M. N. villa de Madrid, refrendado de D. Pascual Se reglamento de depósitos;” y habiéndose convenida la comisión, se co , escribano del número de ella, estoy subastando las fincas que se aprobó el artículo en los términos que se acababan de proponen. hallan denunciadas como pertenecientes á mostrencos , conoci…</t>
  </si>
  <si>
    <t>Se, Pedro</t>
  </si>
  <si>
    <t>Pedro Se</t>
  </si>
  <si>
    <t>…, provienen de suscripciones y contribuciones te de huerto unidos á la tierra, linda con las de Andrés anuales de sus mismos individuos. Muñoz, monjas de S. Antonio, herederos de D. Pedro Se han-formado sociedades auxiliaros en Inglaterra, Nu— Mediavila y camino de Moriteagudo, y brazal regador por rémbergj Basilea, Lubeck, Berlín , Konicsberg, Gonemburmedio, su cabida una tahuila, &gt; ochavas y 9 brazas, en go., Petersbargo, Calcuta, Boston &amp;c. La…</t>
  </si>
  <si>
    <t>Se, Pedro N.</t>
  </si>
  <si>
    <t>Pedro N. Se</t>
  </si>
  <si>
    <t>…ión se mandó pasar primera instancia de Gijon, remitida por conducto del Geí'e Político á la comisión espacial da Hacienda. de Asturias, vindicándose de la queja que dió contra él D. Pedro N. Se aprobí) ei dictamen da la comisión de Marina, reducido á qus de aquella vecindad. en las licencias que se han de dar en la armada nacional, se prefiera á A la Especial encargada del arreglo económico político de las pro los vecinos de los pueblos que ofrezcan…</t>
  </si>
  <si>
    <t>Se, Rome</t>
  </si>
  <si>
    <t>Rome Se</t>
  </si>
  <si>
    <t>…estando que en el decreto de las Cortes gen-rales y extra pués de una corta discusión se aprobó la indicación relerida. ordinarias no se debia de poner la adición que expresaba el Sr. Rome Se leyó la 8.', que también se aprobó después de una corta discu ro Alpuente. Este Sr. diputado la extendió en estos términos: a Se de sión , que decía asi: ,, Encárgase al Gobierno que en las propuestas para clare que baje, la palabra empleado público civil, de…</t>
  </si>
  <si>
    <t>Se, Romero Alpuen-</t>
  </si>
  <si>
    <t>Romero Alpuen- Se</t>
  </si>
  <si>
    <t>…ue quedó aprobado ayer, y decía: » Sin perjuicio de las Cantero. demás penas á que haya lugar con arreglo á los artículos anteriores.” No se admitió á discusión una indicación del Sr. Romero Alpuen- Se leyó) una indicación del Sr. Muñoz Torrero, que decia: » Que te, que decia: ,,Las Cortes nombren los visitadores convenientes, para pasen á la comisión de Legislación los artículos 31 y gz del decreto que sin embargo de los decretos que hablan de las causas f…</t>
  </si>
  <si>
    <t>Se, Salvador Campmauy</t>
  </si>
  <si>
    <t>Salvador Campmauy Se</t>
  </si>
  <si>
    <t>…el bergantin ingles Armonía se conducía otro enfermo al laza-, dos al anterior ministro de Marina suponiéndolo aun en el ministerio. reto; pero falleció al entrar en él. El médico D. Salvador Campmauy Se leyó el primero de fecha de 20 de Junio, en el cual participaba la designa tres como acometidos de enfermedades estacionarias ó comunes. junta al Gobierno que el bergantín Trece de Mayo conducía de Rio- En el puerto se han barrenado diferentes "buques: tienen…</t>
  </si>
  <si>
    <t>Se, Suzzo</t>
  </si>
  <si>
    <t>Suzzo Se</t>
  </si>
  <si>
    <t>…s nacionales , el en caso de una guerra. Se había dicho que la princesa de Ipsilanti que cual se mandó quedar sobre ¡a nina. ría organizar un cuerpo Cpero nada de esto se cree. El príncipe Suzzo Se pasó a la comisión de Beneficencia una exposición de la junta de continúa en esta ciudad; pero al anterior hospodar se le ha internado beneficencia de Granada acerca del deplorable estado de aquel hospital en el país. y sus dependencias , pidiendo se le asign…</t>
  </si>
  <si>
    <t>Se, Vicenfe Lo</t>
  </si>
  <si>
    <t>Vicenfe Lo Se</t>
  </si>
  <si>
    <t>…de 1821. J°?.',í(érech.os. de ciudadano, siendo sus padres;naturales y vecinos del reino, , ,..r . ■ - •. , , " ‘ - -'ANUNCIOS. El de. la propia .cpmísion sobre que 'se conceda á D. Vicenfe Lo Se abre una suserlpcio.tr voluntaria-, con el .fin de manifestar e! aprz renzo de Rueda, natural de Pozalder, prpyincia de. Valiadolid , la -Cm que. merecen Ias„acc¿mxs!S::d¡;t¡ngujdas, y para que reciban .un' tes ólspensadeún-año que.le.falta para salir de meno…</t>
  </si>
  <si>
    <t>Séabra</t>
  </si>
  <si>
    <t>…onstitución varias los suplicios y los verdugos &gt; y que no tienen reparo en deciros á voso corporaciones. tros que sois los defensores de la Francia, que la Francia no quiere ■ El Sr. Séabra presentó el proyecto de arreglo de cóngruas para los nada con vosotros , después de haber tomado tantas precauciones insi párrocos del reino, y se tuvo por primera lectura. diosas .para sofocar su voluntad. Yo debiera haber estado tanto mas dis Se pasó) á tra…</t>
  </si>
  <si>
    <t>Seabra</t>
  </si>
  <si>
    <t>…ca perdia eLderécho Mis pasiones brutales, y apagar sil'insaciable sed de sangre y de carni de ciudadano &amp;c. cería. Pero aun cuando quisiéramos suponer que tanto el Gobierno co El Sr. Seabra aprobó la doctrina del artículo; pero se opuso á que ano los turcos hubieran llegado á conocer su debilidad, no por eso que fuese un artículo de Constitución ; sinp una ley particular. . ... daría resucita la interesante cuestión, que es el grande objeto de l…</t>
  </si>
  <si>
    <t>…or la suerte de los actuales griegos, cuya situación nal verde y amarilla. Se admitió á discusión. llamaba entonces, lo mismo que en la actualidad, la atención de todos id— La del Sr. Seabra sobre que se declarasen ciudadanos los extranlos europeos! Todo en él es zelo y entusiasmólos grandes recuerdos de geros que tuviesen las circunstancias que mencionaba la indicación. Se la antigua patria dé la libertad, del heroismo y de las artes exaltan su…</t>
  </si>
  <si>
    <t>Searnichea, Antonio Vicente</t>
  </si>
  <si>
    <t>Antonio Vicente Searnichea</t>
  </si>
  <si>
    <t>…fecha de puerto el cahiquc portugués de la marina nacional el Piedade, cuyo ayer ti del corriente, llegaron felizmente SS. MM. á Sacedon á las comandante es el teniente de fragata D. Antonio Vicente Searnichea, siete y cuarto de la tarde del mismo dia , después de haber comido y quien me ha comunicado que anteayer zg, viniendo de Larache, estando descansado en Aranzueque , habiendo recibido, asi en aquél pueblo al sur de Huelva a unas 16 leguas, fue encontrado y re…</t>
  </si>
  <si>
    <t>Sebanes, Antonio</t>
  </si>
  <si>
    <t>Antonio Sebanes</t>
  </si>
  <si>
    <t>…blecimiento á la moder pulación llegada aquí se hallan los diputados comisionados el marques na s ría obra de un momento , según opinión de muchos rusos__ Ha de Valleumbroso, y el coronel D. Antonio Sebanes. Aseguran que bíanse recibido noticias en Paris de que los dos egércitos de los gene Lima se sostendrá por mucho tiempo, á pesar de la guerra tan desigual, rales Saeteen y Wittgenstein se habían puesto ya en movimiento, y que en que están empeñados por falta…</t>
  </si>
  <si>
    <t>Sebasliani</t>
  </si>
  <si>
    <t>…cerá cual se halla establecido por otro, no fue sin contrad.cioo de parte del lado izquierdo de la Ornara. las antiguas leyes y estatutos de este reino y por los tratados públi El general Sebasliani tomó la palabra para oponerse al provecto; y cos: 2.a que observaré y haré observar la religión católica apostólica en el discurso que pronunció con este motivo se notan los pa^ages si romana, que es la del Estado, sin prohibir sin embargo el egercicio guient…</t>
  </si>
  <si>
    <t>Sebastian</t>
  </si>
  <si>
    <t>34</t>
  </si>
  <si>
    <t>…remesa de algunos millares de hombres, que ha como gente pacífica, pero ilusa ; pues creen que algún día biendo expuesto su vida por la patria y por el trono, ha de volver el Rey D. Sebastian á poner las cosas en orden, y mereciendo descansar en tranquila paz en el seno de y no quieren someterse al despotismo militar que se egerce sus familias, ó gozar en su pais nativo el premio de su en e! país por los delegados del poder : se exagera su contu z…</t>
  </si>
  <si>
    <t>…n enviados á Valparaíso para ser juzgados según Perú. El 11 de dicho mes habia entrado en el Rio el cor las 1 eye5 de las naciones; á los que procedan del Rio de la .1 reo Infatué D. Sebastian, que salió de Lisboa en 27 de Plata les conceden tres meses; cinco á los del Brasil; &lt;eis Setiembre con correspondencia pava Madera, Pernambu los del Africa y. sus islas . y un año á los de los estableci co , Bahía y Rio; pero.solo paso por Madera ; y la cor…</t>
  </si>
  <si>
    <t>…doba, en que solicitaba se Je concediese la venta de 16 fanegas de tierow *-.«., ••.c p**.&lt; c— ,4.,-as» i«*oi.,.. «- ¿«ál___vt&gt;. j lAÍd ~&gt; au1, ..&gt; caUUtia,1,4 »»»j ..j •-&gt; «al El general Sebastian i hablé) en el mismo sentido que Mr. Manuel, del ayuntamiento constitucional de Estella, para que se le aprueban y dijo que puesto que contra el tenor de las leyes se permitia que se ciertas imposiciones, á fin de atender á los gastos municipales, y otra intr…</t>
  </si>
  <si>
    <t>…tas de su casa, que ascenderían á unos 80 millones de reis. A la señora dencia que no á todos acomodaban. Por último dijo que nadie le había Princesa Doña María Teresa y á su hijo D. Sebastian se les asignaba respondido al desafio que había hecho, y era que siempre que se le de un millón de reis mensual. A cada una de las S'ras. Infantas 4008 reís mostrara que habia un solo enemigo de ¡a religión y de la monarquía mensuales. A la Sra. Princesa Doña…</t>
  </si>
  <si>
    <t>…a capital del Se leyó también el decreto para ia pensión de ia Sra Princesa Do- ■ imperio ruso; mas claro, en la corte y residencia del Emperador Ale fia María Teresa y su hijo el Sr. D. Sebastian , cuyo decreto quedó jandro, hay ya hecha una suscripción muy, considerable en favor "de.,,aprobado.■ ... dé led'ittsurgentes griegos." El Sr. Borges Carneiro llamó la atención sobre la palabra señor , á El Constitucional de Paris publica noticias muy curiosa…</t>
  </si>
  <si>
    <t>…lados, é in Hác ¡a las once y tres cuartos de la mañana se embarcó el Rey con cendiadas las sinagogas y mezquitas. Los barcos de Anaíolia y de Mis- los Sres. Infantes 1). Miguel y D. Sebastian en una goleta que se habia solonghi no navegan ya con otra batidera que la de la cruz, y se cuen preparado para el efecto, llevando ¿ su lado á los diputados de Corte») tan en ¡os fondeaderos de la Morea unos 20 corsarios griegos, los cua á quienes aseguraba,…</t>
  </si>
  <si>
    <t>…spañoles de aparece haber sido D. Jacinto Cayetano Oteiza é Imó, deduzcan en su Pero audiencia dentro del referido término lo que á su derecho convenga: ideas liberales', y que el general Sebastian: en úna proclama hacia ver con apercibimiento de que les parará el perjuicio que hubiere lugar; que Bonaparte era liberal. A es ro no contestaremos; pero i o hará por dicha citación por edicto será triple, y dirigida á las justicias de la pro nosotros un pers…</t>
  </si>
  <si>
    <t>…fre ministros; barón Louis, ministro de Hacienda; Mr. Pasquier (_ el in cuentes los matrimonios entre protestantes y católicos. Ün convenio ce amovible), ministro de Estado , y el general Sebastian!, ministro da la lebrado entre la mayor parte de estos cantones reconoce la validez de se Guerra. Si esto es cierto , será preciso confesar que ha andado en ello mejantes matrimonios; pero como de algunos años á esta parte la corte alguna mano química que sab…</t>
  </si>
  <si>
    <t>…e eran muy cortas las atenciones que el comandante pesca. general debia tener en la misma, y porque esta provincia estaría mejor Las Cortes quedaron enteradas de una exposición de D. Sebastian de en este distrito que no en el de Vailadolid , como lo proponía la co Ochoa, diputado por la provincia de Toledo, en la que hacia presente misión. que por efecto de sus dolencias no había podido regresar á esta corte, El Sr. Sancho dijo que muy poco importa…</t>
  </si>
  <si>
    <t>Sebastiana</t>
  </si>
  <si>
    <t>…ró segunda lectura, y se mandó quedar sobre ia .mesa. de contabilidad. •Se leyó ei dictamen de la comisión de Gobierno interior de Cor A ia ordinaria de Hacienda una exposición de Doña Sebastiana de tes , relativo al acuerdo de las mismas de 18 de i corriente para que Ebro-, solicitando una pensión por los servicios que hizo su marido, propongan la asignación correspondiente á los diputados de la legislatu que fue arcabuceado por los franceses. ra inm…</t>
  </si>
  <si>
    <t>Sebastiani</t>
  </si>
  <si>
    <t>…á las últimas noticias de Laibach que el. dente para restablecer el orden; pero tampoco fue respetado. Al fin el príncipe de Hardemberg no salió hasta el 9 de este mes. Este minis general Sebastiani bajó de la tribuna, encogiéndose de hombros, y ha tro ha- recibido orden para.esperar al Rey de Prusia , que deoe salir de ciendo ademanes de escandalizarse. Pidió la palabra Mr. Manuel, y Ejerlin el día 15. subió á la tribuna en medio de grandes voces, que l…</t>
  </si>
  <si>
    <t>…sticia., _ . decreto que habia puesto la isla de Córcega fuera de la ley común. - A la de Diputaciones provinciales y Milicia nacional unidas una El ministro de Estado contestó al general Sebastiani, y entre otras solicitud del ayuntamiento de Jaén, para que se le permita enagenar bellezas dijo que alguna cosa existia pn Francia antes que la Carta; parte de las tierras de sus propios para atender á los gastos de la mi por egemplo, la sucesion hereditaria…</t>
  </si>
  <si>
    <t>Sebastíani</t>
  </si>
  <si>
    <t>…mo el ingles lo que cuesta un cañonazo. sugetos se advierte ser el primero el general Foy; también es del nú La Francia es como el campo de Agramante, en que las opiniones mero el general Sebastíani y otros de la oposición. je pueden contar casi por el número de individuos; y en gran parte es H 16 del pasado llegaron á Tolosa otras varias hermanas de la ca causa de esta confusión la conducta de la corte , que ha vacilado en su ridad con dirección á Barce…</t>
  </si>
  <si>
    <t>Seco, Pascual</t>
  </si>
  <si>
    <t>Pascual Seco</t>
  </si>
  <si>
    <t>…l8zi-” • • Por ei Sr. D. Ramón de Argos, ministro honorario de 1» VARIEDADES. audiencia territorial, y juez de primera instancia de esta ?»í. H. villa, y escribanía del número de D. Pascual Seco , se ha seguí» Egipto. F.l aspecto de las inmediaciones de Alejandría do causa contra Juan Serrano., de estado soltero, jornalero, sin ha variado considerablemente de algún tiempo á esta, parte; casa ni domicilio, natural de Huete, y de edad de 24 años; Por m…</t>
  </si>
  <si>
    <t>…imera instan fil. Osonilla , y con diciio camino, en 430o rs. cia de .esta M. H. .vilia, y escribanía del, número propia de A ' Otra idém’ juntó al misfno camino, de 7 yugadas y 1 D. Pascual Seco, se han mandado sacará pública subasta , por cuarta ; -linda, con .el propio camino y tierras del marques término de 30 días, la casa parador de Cádiz, calle de To Béf'"VadiÍ!o,'Ctf'2i8o. rs. - ' ledo", liúm. ó, manzana 99, que tiene de sitio 27,242 pie* ^Orr…</t>
  </si>
  <si>
    <t>…acción, gritan tes en g de Setiembre último. Quien quisiere hacer postura acuda ar.re do el primero libertad ! y el segundo cadenas ! . dicho señor por la.escribanía del número de D. Pascual Seco. Otro contraste nos presenta el general Church con el general Fri- El partido de médico y el de cirujano de Navalmoral de Plisa de mont, aunque de diversa clase. Inglaterra, cuna de la libertad , aborta un Toledo se hallan vacantes: al primero se le pagan de…</t>
  </si>
  <si>
    <t>…sos de Ñapóles, mo. Quien quisiere hacer postura acuda ante el expresado señor juez aunque tan indiferentes para una Nación que con su amado Rey al por la escribanía del número de D. Pascual Seco. frente camina impávida y niagestuosa por la senda de gloria, honor y El Sr. D. Julián de Scjo, magistrado honorario de la audiencia ter prosperidad que se abrieron ambos al adoptar con irrevocable decisión ritorial, juez de primera instancia de esta M. H. vi…</t>
  </si>
  <si>
    <t>…restado. Se hará ritorial, y juez de primera intancia de esta M. H. villa, por la escri también probablemente lá guerra á'las ihifelites' reliquias de la Carta banía del número de D. Pascual Seco; én inteligencia de que el últi francesa, y se dará por razón que la conducta inquieta y turbulenta* dé mo fetnate de ellas seha de 'celebrar conforme al reglamento de las aquel pueblo ( que desea ser libre á toda costa merece "á^tóda 'chita el Cortes de'3 de…</t>
  </si>
  <si>
    <t>…ue profesan el norario de la audiencia territorial, y juez de primera instancia de esta rito romano no han hallado aun entre los musulmanes enemigos mas M. H. villa, refrendada de D. Pascual Seco, escribano del número da desapiadados que sus propios hermanos, que solamente difieren de ellos ella y su juzgado , ha señalado para junta de acreedores á los bienes de por algún punto que otro dei dogma. la concursada testamentaría de D. Pedro Benito Mantill…</t>
  </si>
  <si>
    <t>…H. villa, y ministro honorario de la audiencia territorial, por Art. ai. » El Gobierno señalará según los artículos anteriores i su providencia de 19 del corriente, refrendada de D. Pascual Seco, es cada provincia los batallones de milicias que ha de formar, y el nú cribano del número de la misma y de su juzgado, ha señalado para jun mero d; compañías que ha de tener cada uno.” Aprobado. ta general de acreedores al concurso de D. Pascual de las Fuent…</t>
  </si>
  <si>
    <t>Secretario</t>
  </si>
  <si>
    <t>…ente que se Jes habría hallado instruidos en los y asimismo que volviese á ella. principios de la moral y del evangelio, debiendo en cierta manera re Se dió cuenta de un oScio.del Sr. Secretario del despacho de Ha caer esta censura sobre los obispos que habían considerado aptos á e-tos cienda, fecha 23 descorriente, en el que después de hacer presente el individuos para recibir las órdenes. Que los-misioneros no hacían otra actual estado dei tesoro p…</t>
  </si>
  <si>
    <t>…le ha hecho mucho provecho,” nacionales, tal vez contemporáneos, ó tal vez anteriores A Homero , que se conservan por tradición, y que hacen formar un excelente concepto El mismo Sr. Secretario comunica con igual fecha lo siguiente: de las antiguas costumbres de ios armenios. En los primeros siglos de v El Rey ha resuelto salir de aquí para restituirse á Madrid el próxi Ja era cristiana la Armenia ilustre' mucho á la Iglesia , y fue un ma mo viernes…</t>
  </si>
  <si>
    <t>Secretario.-I</t>
  </si>
  <si>
    <t>…illa de Villa-' presidente.'={'’raticisco Félniírld'éz4 Gaseo , dipiítádo secretario, es Pablo • nueva de la Serena permiso-para celebrar anualmente una feria en los' de la Liare,-diputado Secretario.-I :: ’ ------ tres primeros días del mes de Agosto; lo que se. avisa al público- para’» Por tatito mandamos á todos los tribunales; justicias, gefes-, góbér-’- su conocimiento. ...... . ... .. nadores 'y demás' áutoriciadés1'/aiV'civiles conio militares y ecles…</t>
  </si>
  <si>
    <t>Sedaño, Joaquín Fernandez</t>
  </si>
  <si>
    <t>Joaquín Fernandez Sedaño</t>
  </si>
  <si>
    <t>…e ia ley prescriba contra el de tancia en esta forma: para el partido de Alhama, en la provincia di lito iaícniáiio&amp;c.” La comisión ha mirado al delincuente como indivi Granada, á D. Joaquín Fernandez Sedaño: para el de Colmenar, en duo de la sociedad hasta el último momento de cometer su delito, cas la de Málaga, á D. Juan Manuel Moya, y para el de Villafranca de tigando el primer paso ó la tentativa con la mitad de la pena; esto es Panadés, en Cataluña, á D. Lu…</t>
  </si>
  <si>
    <t>Sede, Vicente Delgado y</t>
  </si>
  <si>
    <t>Vicente Delgado y Sede</t>
  </si>
  <si>
    <t>…rtad de imprenta, por injurioso, y calumniadora la persona de! se Necker publica el siguiente llamamiento á los jóvenes: » Aquellos que ñor tesorero. Comparecido este, asociado de D. Vicente Delgado y Sede se sientan animados de espíritu y valor para vengar la humanidad ul ño en igual concepto, expuso en su virtud lo que tuvo por conveniente, trajada en Grecia quedan invitados á estar prontos al toque de cam y en su consecuencia el Mateu volvió á manifestar que…</t>
  </si>
  <si>
    <t>Sediles, Blas</t>
  </si>
  <si>
    <t>Blas Sediles</t>
  </si>
  <si>
    <t>…,del monte Hacho, rante esta tocó la orquesta diferentes sinfonías. Concluida:'1* misa pre que no advierte enterramientos.en la línea, ni en‘todo lo que alcanza dicó el presbítero D. Blas Sediles, cura párroco. deJaMagdalena dé.esta á descubrir en las inmediaciones, de Tetuán. ; , ciudad, bien conocido por sus sentimientos-filantrópicos y liberales. En cuanto, á política no pueden tenerse noticias muy recientes y En su discurso .combatió con aquel. fu…</t>
  </si>
  <si>
    <t>…l reglamento. ayuntamiento, con asistencia de este y de un numeroso concurso. El dig Entre las modificaciones ó adiciones que se propusieron fue notable no párroco de la Magdalena D. Blas Sediles , bien acreditado por su zela de Mr. Bourdeau , que propuso que los periódicos no solamente de Jo patriótico, fue el director de tan grandioso acto , porque él es tam biesen suprimir la frase que hubiese dado motivo al llamamiento al bién el maestro de los oc…</t>
  </si>
  <si>
    <t>Según</t>
  </si>
  <si>
    <t>…S. M. El 29 asistirá á las corridas de Curragh. AUSTRIA. El .-J habrá en palacio un magnifico baile. , Viena y de Aporto. Hoy 14 estará cerrado *1 teatro Real por orden de S h. ti lord Según las últimas ocurrencias de Constant.'nopla estaba próxima la lugar- teniente.</t>
  </si>
  <si>
    <t>Segura, Josef María</t>
  </si>
  <si>
    <t>Josef María Segura</t>
  </si>
  <si>
    <t>…nfantería de Granada; D. Saturnino Rodríguez de Viernes, en 7500 rs. la Torre , cirujano del regimiento caballería de la Reina; Ocho marjales en dicho término y pago , en 6400 rs. D. Josef María Segura, cirujano del segundo escuadrón de Ocho marjales en ídem , idem , en 6400 rs. Artillería; D. Pedro Montehermoso, cirujano de egército Ocho marjales en dicho término , pago del Martes, en retirado ; D. Juan de Dios Miranda , idem ; D. Joset An 5600 rs. tonio C…</t>
  </si>
  <si>
    <t>Segura, Josef Maria de</t>
  </si>
  <si>
    <t>Josef Maria de Segura</t>
  </si>
  <si>
    <t>…compañía, Si la libertad de imprenta es, como hemos dicho otra vez; el pa- de Pescia , de Cádiz. "de ídem. ladium de las libertades públicas, el derecho de petición es otra de las D. Josef Maria de Segura, de Va- D. Antonio Bulbena , de Barceprerogativas mas preciosas y útiles de un pueblo libre en los Gobiernos ' lencia. lona. representativos. El militar vejado por sus gefes , el ciudadano oprimi D. Lorenzo Fernandez de Cenarbe, D. Francisco Puig y Gisbert ,d…</t>
  </si>
  <si>
    <t>Segura, Pedro Ernaiz de</t>
  </si>
  <si>
    <t>Pedro Ernaiz de Segura</t>
  </si>
  <si>
    <t>…que prevenia la del Bernús; para Nules D. Atanasio Pinos y Palos; para Murviedro Don nño de 1455 , citada por dicho Sr. diputado, concluyó fijándose en Mariano Márquez; para Onda D. Pedro Ernaiz de Segura ; para Segorve que. la disensión debía ser solamente por lo respectivo al artículo de D. Joaquin de la. Cárcel; para Liria Don Tomas Oltra; para Chelva que se trataba, añidiendo que el dictamen de la comisión contenía D. Antonio Toribio Cordon, y para Chiva D…</t>
  </si>
  <si>
    <t>Seis, Juan</t>
  </si>
  <si>
    <t>Juan Seis</t>
  </si>
  <si>
    <t>…ua y _ Siete marjales en dicho pueblo, pago del Ramal Alto,* media de Estepona debia desembarca1' un contrabando , y en 4200 rs. con la anuencia del alcalde primero constitucional D. Juan Seis marjales en dicho pueblo y pago, en 390c rs.</t>
  </si>
  <si>
    <t>Seitimo, Rogerio</t>
  </si>
  <si>
    <t>Rogerio Seitimo</t>
  </si>
  <si>
    <t>…exceso, y cuán distantes están de viduos el príncipe Trebia, el marques Ferreri, el genera! Nunziante, tener la misma opinión que S. M. ó la de aquellos que le aconsejan. el vice-almirante Rogerio Seitimo, el príncipe Tor'réb'runa , el prínci Pues si esto es as!, el Congreso debe correr un velo sobre el atentado de pe Pandelfina y el Sr. Gaspar Leone. anteayer, y dejar á las autoridades que obren. Varios decretos publicados en Ñapóles, en hombre de S. M. Fer É…</t>
  </si>
  <si>
    <t>Sejron, Martin</t>
  </si>
  <si>
    <t>Martin Sejron</t>
  </si>
  <si>
    <t>…S., de que tentará la moderación que tanto le distingue. yo el escribano doy fe. = Yela.= Donato Nuñez. Barcelona 1$ de Enero. VARIEDADES. El Sr. espitan del puerto de esta ciudad D. Martin Sejron ha recibido del de Mahon el oficio siguiente: Sobre el siglo xvt. «Ha fondeado en este puerto en la tarde de' hoy el Después de uña lucha reñidísima de mas de siete siglos, bergantín español nombrado Esperanza; y .su patrón An las banderas triunfadoras de Cas…</t>
  </si>
  <si>
    <t>Sel-</t>
  </si>
  <si>
    <t>…órdenes inmediatas. A virtud de esta nuestra resolución, en ” Según el tratado ajustado con el Gobierno ingles en 20 de Octu cargamos el gobierno de la Saboya al teniente general conde Sel- _ bre de 1818 el convenio relativo al comercio de los Estados-Unidos cor» niour d'Ándeceno; el de Genova al general conde de Des-Geneis, y la Gran Bretaña, firmado en 3 de Julio de 1815 , y cuyo término estaba el de los otros Estados de tierra-firme al tenien…</t>
  </si>
  <si>
    <t>Sema, La</t>
  </si>
  <si>
    <t>La Sema</t>
  </si>
  <si>
    <t>…o á los austríacos para que los custodien en vez es efecto de la partida de la escuadrilla de Cochrane, ó algún ar una de las fortalezas de Hungría. _ did de guerra para atraer al general La Sema á alguna emboscada &amp;c. F.l R'cv acabada abolir por dos decretos la conscripción y el alis Las cartas de Lima del 17 de Febrero dicen de un modo posi tamiento marítimo. tivo que el general Ricafort habia batido á S. Martin en dos diferentes Jloma j-de Junio. e…</t>
  </si>
  <si>
    <t>Seminario, Hospital del</t>
  </si>
  <si>
    <t>Hospital del Seminario</t>
  </si>
  <si>
    <t>…á estos, súbditos rebeldes. Y aun en esto ss ha ceñido ri Ó curados.... convalecientes 49: muertos t : existentes 67. gorosamente á los términos de; la ley , puesto que ha mandado general Hospital del Seminario, existencia anterior 116.: entrados ó aco mente á todos sus empleados que no persigan, ni castiguen mas que á metidos 36: salidos ó curados 10: convalecientes 29: muertos 32 : exis aquellos que están en .plena rebelión , y que al contrario tomen como tentes 2…</t>
  </si>
  <si>
    <t>Seminario, Mateo Hospital del</t>
  </si>
  <si>
    <t>Mateo Hospital del Seminario</t>
  </si>
  <si>
    <t>…45: entrados ó acometidos i: sali Sevilla 7 de Noviembre. dos ó' curados 6: convalecientes 31 : muertos 1: existentes 39. Han salido electores de partido én esta ciudad los Sres. D. Mateo Hospital del Seminario , existencia anterior 176: entrados ó acome Miguel Aillon, el coronel de artillería D. N. Casano y D: Josef del tidos 2s: salidos ó curados 11: convalecientes 24: muertos 18: exis Arco. tentes 1Ó9. Córdoba 7 de Noviembre. Idem de i» Vireina .... entrados ó ac…</t>
  </si>
  <si>
    <t>Seminario, Rafael Hospital del</t>
  </si>
  <si>
    <t>Rafael Hospital del Seminario</t>
  </si>
  <si>
    <t>…Manuel María Saez de Buruaga, cura párroco de Calera; Don dos ó cGrados .... convalecientes 42: muertos .... existentes 50. Patricio Martin del Tejar, vecino de Poyales del Hoyo; D. Rafael Hospital del Seminario, existencia anterior 189: entrados ó acome Perez, vecino de Talavera ; D. Antonio Acevedo , vecino del Puen tidos 21: salidos ó curados 3: convalecientes 37: muertos 31: existen te del Arzobispo; D. Domingo Tibuicio Rubio , vecino de la Perale tes 184. da de…</t>
  </si>
  <si>
    <t>Sempere</t>
  </si>
  <si>
    <t>…nes tan siniestras y tan sos que se publica el,cuarto, no hubiesen justificado suficiente el buen nom pechosas como el ultra-periodista con tanto descaro publica, insultan bre del Sr. Sempere, y lo acreedor que es á la gratitud pública por sus sa do con esta impostura 4 un Príncipe , cuya heróica conducta en su lle bias y profundas investigaciones en varios de los ramos que abraza la gada á Lisboa acaba de desmentir los temerarios anuncios é inicu…</t>
  </si>
  <si>
    <t>Sempere, Juan</t>
  </si>
  <si>
    <t>Juan Sempere</t>
  </si>
  <si>
    <t>…po y 91. Se halla en la librería de Razóla á 14 rs. en pasta. blos con el mayor dolor , por verlos expuestos á ia orfandad y entre Biblioteca española económico política: su autor D. Juan Sempere gados á los furores de una guerra asoiadora, de la cual salieron final y Guarinos, cuarto tomo. Se vende suelto ó con los anteriores en la mente vencedores á costa de valor, de sacrificios, de sangre, de tesón librería de Sancha. Bastaría citar al .autor de l…</t>
  </si>
  <si>
    <t>Sendras, Jaime</t>
  </si>
  <si>
    <t>Jaime Sendras</t>
  </si>
  <si>
    <t>ii 68 n La Cochinchina y el Tpnking han perdido también á su Empe capitán Jaime Sendras, ha dado señales de estar acometido de la en rador Gia-Long, que murió de hidropesía en Enero de 1810 á los 55 fermedad. sospechosa , motivo.por el cual se ha dispuesto.que.se conduz años de edad , dejando á los cristianos y á los misioneros llenos de ca al l…</t>
  </si>
  <si>
    <t>Señor</t>
  </si>
  <si>
    <t>…siguientes dictámenes de la comisión de División Todopoderoso sabrá conservarnos lo que -nos lia querido dar. Vivirá ; territorial: uno acerca de que ss desestime la solicitud del gobernador Señor , y crecerá para dicha vuestra y nuestra es: niño tan querido como comandante de Ceuta', en la parte relativa á la erección de una provin deseado; ese Real primogénito de todos.los tiernos vastagos de la san-, cia independiente con el nombre de Mauritania, re…</t>
  </si>
  <si>
    <t>Señor, Juan de</t>
  </si>
  <si>
    <t>Juan de Señor</t>
  </si>
  <si>
    <t>…ación de la cédula simple de testamentos, bajo secretario de Estado y del Despacho déla Gobernación de la Península.” la que resulta haber fallecido é instituido por su heredero á D. Juan de Señor. El ayuntamiento constitucional déla ciudad de Tarazona Porto, ex-monge del mismo convento, legitimando en la forma de de Aragón se acerca respetuosamente al trono constitucional de V. M., bida sus personas , á cuya corroboración se dará principio pasado dich…</t>
  </si>
  <si>
    <t>Senosain, Josef Antonio</t>
  </si>
  <si>
    <t>Josef Antonio Senosain</t>
  </si>
  <si>
    <t>…Aboin, coronel de Las Cortes generales , extraordinarias y constituyentes de la nación D. Josef Sanz. Avila. portuguesa, queriendo aclarar y determinar los principios que se esta D. Josef Antonio Senosain, de D. Tomas Jiménez de Cenarbe, blecieron en los artículos 8.°, g.° y to de las bases de la Constitución, Pamplona. de Pamplona. por conocer que aquella libertad es el apoyo mas seguro del sistema D. Josef Sañudo López, de San Vidarte&gt; primos, de id. constit…</t>
  </si>
  <si>
    <t>Sentóla</t>
  </si>
  <si>
    <t>…recio que hacían de él ; pero que no poUajn.rar con PARLAMENTO NACIONAL______SeSÍOlt del l6. indiferencia que estas potencias quisiesen ser el instrumento de la des Propone.el Sr. diputado Sentóla que se comenzase la guerra, invo trucción de nuestro sistema constitucional.; que Sel ai juramente que cando al Dios que las santas Escrituras llaman Dios de los egércitos;-y tenia hecho , y resuelto á no separarse de la nación, no se le ocul que en consecuen…</t>
  </si>
  <si>
    <t>Septien, Josef Luis</t>
  </si>
  <si>
    <t>Josef Luis Septien</t>
  </si>
  <si>
    <t>…ido electos diputados A Cortes por la provincia de Cataluña Recuerda este párrafo las serias disensiones entre el gran visir y el los Sres. D. Josef Grases, coronel de artillería; D. Josef Luis Septien, capitán bajá, deseando el primero la paz y ei segundo la guerra; las ór hacendado en Ilnrta ; D. Pedro Surrá y Rui!, comerciante; D. Ra denes expedidas á los bajaes del Asia para que levanten doble número món Adan , oficial de la secretaría de Hacienda; D. l…</t>
  </si>
  <si>
    <t>Sepúlveda</t>
  </si>
  <si>
    <t>…Antes de retirarse el Sr. Borges Carneiro hizo la proposición de que acostumbrados á posponer los hechos á las teorías, se ofenden de solo se diesen gracias por el Congreso al Sr. diputado Sepúlveda, comandan la ¡dea de medidas interinas y de leyes de circunstancia. Después de te de la fuerza armada de la capital por el buen orden con que se ha haber sentado el principio deque la libertad de los periódicos es nece bía conducido la tropa en los dias de la…</t>
  </si>
  <si>
    <t>Sequera, Antonio</t>
  </si>
  <si>
    <t>Antonio Sequera</t>
  </si>
  <si>
    <t>…ún inas les convenga. que, capitán del cuerpo nacional de zapadores-minadores-por.toneros, Art. 9.0 « En cualquiera de los casos de la venta y subasta , ó de natural de Montefrio; D. Antonio Sequera, capitán graduado de te quedarse á beneficio de los empleados, se avisará de la providencia al niente coronel de artillería, natural de Granada. Suplentes: D. Diego dueño de los géneros en e'1 término de 15 dias contados desde aquel Entrena, sargento mayor co…</t>
  </si>
  <si>
    <t>Ser, Tomas</t>
  </si>
  <si>
    <t>Tomas Ser</t>
  </si>
  <si>
    <t>…ciudadanos, solicitando ciertas declaraciones con respec los movimientos que han:motivado estas medidas de precaución, y el to al patronato Real y capellanías colativas; y otra de D. Tomas Ser haber enviado á Locarno un comisionado general. Acaso no se aclara rano, vecino de Murcia, pidiendo que en Obsequio de la libertad es rán estos hechos hasta la próxima Dieta, en la que serán objeto de un pañola se sirvan las Cortes mandar que se haga mención…</t>
  </si>
  <si>
    <t>Seria</t>
  </si>
  <si>
    <t>…nos perderá igualmente ¿ unos que Las comisiones de Constitución y de Poderes presentiron el de á otros. .... . creto de convocación de los diputados del Brasil , el cual leyó el señor Seria demasiado prolijo el referir todo lo demas que ocurrió duran Moura , y decía: Que son legítimos todos los Gobiernos de Ultramar te esta sesión, pues aunque continuó todavía por largo rato el debate, creados para-abrazar la santa causa de Portugal, y declarado…</t>
  </si>
  <si>
    <t>Serpa</t>
  </si>
  <si>
    <t>…se Cortes, al cual hubiesen de responder; y asi seria la Na juntará en el mes de Junio próximo. ción la que censuraba ios escritos, por medio de sus repre sentantes. mOLATERRA. El Sr. Serpa impugnó esta proposición diciendo que no solamente no concillaba las diversas opiniones, sino que LSndres 8 de Febrero. era una verdadera prohibición de la libertad de imprenta, El Rey fue recibido ayer noche en el teatro de Goven- de que tanto bien resultaba…</t>
  </si>
  <si>
    <t>…la circular no - había tenido mas ob rechos. tBanaes, servicios personales &amp;c. &amp;c., con las observaciones jeto que preparar las discusiones parlamentarias á favor del ministe del Sr. Serpa; y propuso-que se imprimiese para discutirlo. Con este rio; pero que no por eso'los' ministros dejaban de profesar en secretó motivo'pronunció un discurso el Sr. Borges Carneiro, manifestando los los'principios de los Soberanos-aliados. Para probar esta propo…</t>
  </si>
  <si>
    <t>…a euatro los sujeto* que compusiesen la Regencia, y que ¿l ministro fue bilidad en algunos magistrados que hubiesen intervenido en ella. se el quinto, rotó en las resohicipnes. El Sr. Serpa apoyó esta propo Se aprobó una indicación del Sr. conde de Toreno , relativa á qué sición , liiuJ.mdose en que, siempre-estaba por la mayor .economía, y se publicase mensualmente una. relación de las fincas que se venden, d-'-oeiulo .¡ue .un bastarían tres pe…</t>
  </si>
  <si>
    <t>…es competentes.” Después de varias opiniones sobre el destino que deberla darse á - En Paris no falta que hablar con la muerte del famoso Bo na parte, dichos empleados, propuso el Sr. Serpa que el proyecto del Sr. Alves y se refieren varias anécdotas curiosas; pero para divertirse y conocer el do Rio se remitiese á la Comisión competente para que propusiese el mundo es el mejor medio asistir á las sesiones de la Cámara de los Dimedio que fuese m…</t>
  </si>
  <si>
    <t>…a, autoridad glo bajo el régimen constitucional. competente, excepto en el caso de delito cometido en fragante.” ü Voto contra el proyecto de ley,” (Muchos y repetidos bravos á El Sr. Serpa manifestó las dificultades que liabia en que se observa la izquierda.) se este artículo en toda su extensión,'y que creía conveniente desechar Luego que acabó de hablar Mr. Benjamín Constant, pidió el cen el principio del artículo para evitar la generalidad q…</t>
  </si>
  <si>
    <t>…arques de este título fue mucho tiempo dió que se suspendiese la discusión de esta cuestión , y que se señalarla ministro de frauda. día para deliberar sobre ella. Inglaterra.. El Sr. Serpa pidió que se hiciese la segunda lectura de su adición al art. 7.° de la Constitución sobre que los individuos del tribunal espe Lóndres si de Julio. cial de libertad de imprenta fuesen perpetuos. Se hizo asi, y después se v Con motivo de la coronación ha sido…</t>
  </si>
  <si>
    <t>…te su voto era que no que lo mejor que se puede hacer es desecharla.” se debía hablar de esto en la Constitución. El orador recuerda aquí la memoria en forma de representación, E¡ Sr. Serpa demostró la necesidad que había de este párrafo, y pi dirigida á la Cámara de los Pares; para demostrar cuán perjudicial es dió que sobre este asunto se deliberase formalmente. esta modificación á las ciencias , á las arres y al comercio de libros. El Sr. Jav…</t>
  </si>
  <si>
    <t>…hallaba entonces en las aguas de Bru el matar los toros en la plaza ; pero nunca el picarlos y capearlos. jee na n : su asesino, llamado Hoffnas, estudiaba en la universidad da El Sr. Serpa dijo que la nación estaba acostumbrada á esta clase de Wurtzbourg. diversiones-., que no debía chocarse con la afición general; pues no » Después acá hemos sabido que no es mortal la herida que recibió. convenia atacar usos tan antiguos, y que asi seria mejor…</t>
  </si>
  <si>
    <t>Serr.illach</t>
  </si>
  <si>
    <t>…s circunstancias.” Se mandó pasar al Gobierno un proyecto de ordenanzas de colegios Se leyó por primera vez una proposición del Sr. Castrillo, relativa militares presentado por el Sr. Serr.illach. i que se permita,profesar á las que pretenden ser monjaspuesto que lo El Sr. López (D. Marcial) dijo que mucho tiempo hace presentó resuelto por las Cortes sobre el particular era una medida interina. una proposición acerca de una reforma general de sueldos:…</t>
  </si>
  <si>
    <t>Serra, Eduardo</t>
  </si>
  <si>
    <t>Eduardo Serra</t>
  </si>
  <si>
    <t>…erciante. D. Juan Rincón, abogado de dicha v,Ua. Matará D, Juan tos , á cuya lectura asistirá precisamente el juez fiscal con su diario ó Baró de Sola, ev.-alcalde constitucional. D. Eduardo Serra, id. id. extracto , en el cual hará por sí ó á solicitud de los defensores cuantas Figaeras D. Joaquin de Rosria, hacendado. D. Baudilio Pera. Sta. Co reformas y adiciones sustanciales fueren necesarias para que su conte lunia de Parnés D. F’rancisco Batile y…</t>
  </si>
  <si>
    <t>Serra, Josef</t>
  </si>
  <si>
    <t>Josef Serra</t>
  </si>
  <si>
    <t>…ioro en Lérida D. Ramón Hostalrich, en Lugo D. Josef Jesús Varela, en no sean arrendables ni productivas, deberán manifestar los comisiona Málaga D. Mariano Gutiérrez, en Mallorca D. Josef Serra, en Me dos y contadores en unión los medios y costo necesario para hacerlas norca D. Pedro María Santaló, en Mondoñedo D. Josef María Pardo producir. Montenegro, en Orense D. Josef Somoz3, en Orihuela D. Juan Rico, 13. Desde el presente año inclusive pagarán…</t>
  </si>
  <si>
    <t>Serradell, Manuel</t>
  </si>
  <si>
    <t>Manuel Serradell</t>
  </si>
  <si>
    <t>…remate, que se ha de verificar en aquella ciudad, primer ayudante de cirugía en ei hospital militar de Santa esta señalado el dia 12 del corriente mes de Marzo. Cruz de'Tencrife; D. Manuel Serradell, cirujano del regi Diez marjales de tierra, en Gavia grande, pago del miento infantería de Granada; D. Saturnino Rodríguez de Viernes, en 7500 rs. la Torre , cirujano del regimiento caballería de la Reina; Ocho marjales en dicho término y pago , en 6400 rs. D…</t>
  </si>
  <si>
    <t>SerraiLich</t>
  </si>
  <si>
    <t>…preferencia á Vigo. La comisión opinaba que se debía declarar no haber lugar á votar sobre la solicitud de dichas re PRESIDENCIA DHl SHSOR MARTINEZ DB IA ROSA. presentaciones. El Sr. SerraiLich manifestó que la cuestión giraba sobre si habiendo Sesión de! 24 de Noviembre. determinado ¡as Cortes que fuera Vico ¡a capital, y no Pontevedra , po Se leyó y aprobó el acta de la anterior. _ día ahora tratarse de nuevo este asunto, lo cual parecía que podia…</t>
  </si>
  <si>
    <t>Serraliach</t>
  </si>
  <si>
    <t>…erno un intendente que opere li Se leyó y se mandó.,-pasar á las comisiones de Guerra y Hacienda bremente en cada egército del mando del general en gefe. vaidas una indicación dél Sr. Serraliach, relativa áque los arbitrios que Art. 1-1. » A la inmediación del intendente de campaña se nom-r te pagan en Cádiz por las Obras de fortificación sigan -como fusta aquí, brarán los empleados dé Hacienda militar que corresponda, conside hasta que en la legisla…</t>
  </si>
  <si>
    <t>…Laguna, fecha 6 de Octubre de 18*4, dando par en algún caso particular, lo pueda proponer á las Cortes.” te de que habian derribado una mala lápida de la Constitución que ha ■ El Sr. Serraliach pidió que se discutiese su proposición sin inculcar bla en aquella ciudad, y continuó diciendo: » En el dia no hay. mas en ella otras cuestiones distintas. lápida en aquella población que una tabla colgada en las rejas de ¡a cár El Sr. Sancho dijo: La proposi…</t>
  </si>
  <si>
    <t>Serrallacb, Juan</t>
  </si>
  <si>
    <t>Juan Serrallacb</t>
  </si>
  <si>
    <t>…nglesa Hrrerion: D. Juan de Carmona , del cuerpo de ingenieros-, presentado por el se con 3 imiiloMes, de pesos, y recibiendo mas; y la: goleta americana ñor diputado por Cataluña D. Juan Serrallacb, sobre la formación de Zampar,. cargando para Cádiz., que saldrá á los tres días de la fecha ; y-, un canal e-i las inmediaciones de la ciudad de Huesear (provincia de la fragata americana Macedonia salió hoy con un millón de pesos, dan Granada). Las Cortes l…</t>
  </si>
  <si>
    <t>Serrallach</t>
  </si>
  <si>
    <t>…nstitutiva del egército un proyectoque trata de esta materia, formado por el coronel de ingenieros D. Ramón Folgüeras, y presentado por península.__Cádiz 16 de Marzo. el mismo Sr. diputado Serrallach. Las Cortes lo recibieron con agradoA Por extraordinario de Gibraltar se sabe la llegada ayer 14 á aquel A la misma comisión se mandó pasar un proyecto de navegación puerto: de la fragata americana Pantera, procedente de Lima y Paita en el rio Euro, formado p…</t>
  </si>
  <si>
    <t>…spender ó disolver las Cortes ó la Diputación permanente de bia aprobarse dicho artículo. . . I las mismas.” El Sr. Sancho manifestó que el artículo era de tanta importancia, . El Sr. Serrallach manifestó creia debían aumentarse ademas de estos que tal vez se pedia decir era la clare del adema : que se habia dicho cinco casos , en los cuales se reputaba por delito de traición el abuso que por este método no habría la subordinación y rigurosa discipli…</t>
  </si>
  <si>
    <t>…ervaciones- del- señor preopinante paia poner . esta cir que ha impuesto aquel ayuntamiento sobre cierta clase de géneros, c.on . cunstancia. devolución de lo que haya cobrado. El Sr. Serrallach apoyó el-dictamen del Sr. Ezpeleta, manifestando A la de Hacienda y Guerra unidas una exposición del inspector-, que no estando, acostumbrados los individuos.de que se trataba á esta general de milicias para que se aumente él sueldo á los oficiales , sal- . p…</t>
  </si>
  <si>
    <t>…obispo y elGefe político destinen los re ,,Añádase que no podrán escusarse.” Lo mismo se egecutó con otra ligiosos de los conventos que se suprimen; á los de la misma orden en del Sr. Serrallach al art. 4.0, concebida en estos términos: ,,No en la provincia, y en caso de no haberlos en ella , á los de la antigua pro tendiéndose el efecto de este bando para los reincidentes.” vincia de la orden , ó á los que estimen mas proporcionados , poniéndose Se…</t>
  </si>
  <si>
    <t>…la experiencia nos ha enseñado muy bien en estos ó-timos nente, y la otra mitad en la milicia provincial. tiempos haberse verificado varios hechos anunciados con mucha anticipa El Sr. Serrallach fue de opinión que el tiempo de 6 años que pro ción , y propagados á veces como absurdos en la apariencia. 1.a poíiiica y ponía la comisión se redujese i 4, y ademas hizo varias observacio la ambición conocen mil medios de llegar á sus fines: y nada extraño n…</t>
  </si>
  <si>
    <t>…que lo es por la de Caracas. ella, que fue la que dijo que el intendente de Soria había quitado dich? Se mandó pasar á la comisión especial de Hacienda una indicación cordon. del Sr. Serrallach , relativa á que la comisión de Hacienda, que entien Que creia igualmente ser muy justo exigir la responsabilidad al in de en las liquidaciones de cuentas del Crédito público , proponga un tendente de Vizcaya, porque sin estar aprobado el contrato por el Go m…</t>
  </si>
  <si>
    <t>…os tiempos la injusticia,con que hayan sido procesados.” bían vuelto! á la comisión. La comisión de Legislación presentó su dictamen acerca del oficio Se aprobó una indicación del Sr. Serrallach, que decía asi; ^Sien de S. M., expedido por el ministerio de la Gobernación de la Penín do de tanto ínteres en la milicia el establecimiento del cuerpo directi sula ,.y presentado en la Ultima sesión por el-Sr. ministro de la Guerra,1 vo de la guerra, como q…</t>
  </si>
  <si>
    <t>…, y en esta misma Se aprobó el acta de la sesión'extraordinaria anterior , y en seguida tribuna fueron proclamados como una verdad protectora por los defen se concedió permiso al Sr. Serrallach para salir fuera de Madrid á fin sores de ¡a Carta y del trono el dia '19 de Marzo de 1815, porque en de restablecer su salud. _ - - &lt; : tonces no se decía que la Carta era la contrarevolucion. ( El general Se mandó pasar á la comisión de Legislación una expo…</t>
  </si>
  <si>
    <t>…ciendo: » En el dia no hay. mas en ella otras cuestiones distintas. lápida en aquella población que una tabla colgada en las rejas de ¡a cár El Sr. Sancho dijo: La proposición del Sr. Serrallach confunde el cel , que se quita de noche: esta es la lápida que hay en S. Cristóbal, y art. 2° con el 3." El otro día se hizo proposición par2 determinar los i esta es razón para que sea capital de las islas! La capital de las Cana límites, y se dijo que eso e…</t>
  </si>
  <si>
    <t>…ar de fijar la capitalidad en aquel punto: de sus individuos , concillará los ánimos de algunos Sres. diputados. Este asunto está reducido á muy pocos hechos. : Dónde reside el El Sr. Serrallach dijo que le parecia muy conveniente se volviese gefe político y la diputación provincial actualmente! Esta es la cues á leer la representación del gefe político de las islas Canarias, y que lo tión. Residen en la isla de Tenerife y en Sta. Cruz del mismo nomb…</t>
  </si>
  <si>
    <t>…se hasta que lo exija el número de buques que tenga la Nación.” estos oficiales para ninguna secretaría del Despacho, lo cual no debía Lo mismo se verificó con una proposiciun del Sr. Serrallach al ser, y sí solo que se restringiese este nombramiento á ¡a del despacho de tít. 4." de dicho proyecto, la cual decía asi: » Para la posible analogía Marina. con la ley orgánica del egército fíjese en este título alguna base al al ■ El Sr. Sánchez Salvador f…</t>
  </si>
  <si>
    <t>…aquel , que no para la de que se trataba. - Se mandó) pasar á la referida comisión la siguiente proposición del E Sr. Sancho: Me parece que el Sr. preopinante no ha satisfecho al Sr. Serrallach; » Añádase un artículo adicional al proyecto de mone Sr. Traver. Las Cortes prohibieron en un mismo día la introducción de daren que se fije la ¿poca en que se impida la entrada de luises en uno y otro ramo: el Gobierno señaló) un término para que estos efec…</t>
  </si>
  <si>
    <t>Serrallachi</t>
  </si>
  <si>
    <t>…as proporcional con los demas del egército para los objetos que en él se previenen. Se suspendió la discusión de para llenar las plazas que cita este artículo.” este artículo. Del Sr. Serrallachi ~ Art. 107. &gt;3 La ¡unta económica de los cuerpos de milicias se com Al art. g.° : •&gt; Que se ponga la cláusula de inclusos cabos y sargen pondrá de los gefes y ayudantes, y será responsable de la distribución tos después de milicia activa." ... estará obligado…</t>
  </si>
  <si>
    <t>Serrano, Antonio</t>
  </si>
  <si>
    <t>Antonio Serrano</t>
  </si>
  <si>
    <t>…n de la comisión. ción, relativo á la queja dada contra el alcalde constitucional de Mur Adición del Sr. Carrasco, art. 12: »Que se suprima la palabra cia D- Miguel de Veígara por D. Antonio Serrano, vecino de aquella pueblo, á fin de que la base aprobada por las Cortes se entienda solo ciudad: la comisión opinaba que no habia motivo suficiente para de que es con respecto al repartimiento entre las provincias.” La comisión clarar la formación de causa. c…</t>
  </si>
  <si>
    <t>Serrano, Carlos</t>
  </si>
  <si>
    <t>Carlos Serrano</t>
  </si>
  <si>
    <t>…en. z= que había indicado el Sr. Rovira. ... D. Valero Javierre.zz D. Alejandro Lera.— D. Agustín de Gracia. = Art. 122. m Los oficiales de cargo de artillería de los buques serán D. Carlos Serrano, zz D. Pedro Garcés. z=D. Bernardo Rodrigo.=Don nombrados de entre aquellos del grado que pida el reglamento mas ap Mariano Siles. zz D. Miguel Juanton. — D. Josef Collados. = Sr. ba tos para desempeñar estos destinos; y en consideración á la importan rón de…</t>
  </si>
  <si>
    <t>Serrano, Gabriel</t>
  </si>
  <si>
    <t>Gabriel Serrano</t>
  </si>
  <si>
    <t>…iales del egército expedicionario. La de Infl icciones de Constitución presentó su dictamen acerca de Las Cortes quedaron enteladas, y mandaron repartir 200 egem- la queja que dió D. Gabriel Serrano , vecino de esta corte, contra el plares remitidos por el Sr. secretario del Despacho de la Guerra de la juez de primera instancia de la misma D. Angel Fernandez de lo» circular que se expidió en 4 del corriente, comunicando la resolución Ríos. Opinaba que no…</t>
  </si>
  <si>
    <t>Serrano, Gines María</t>
  </si>
  <si>
    <t>Gines María Serrano</t>
  </si>
  <si>
    <t>…s como industriales, de la Gran Bretaña, sus anti para la de Manresa á D. Ildefonso Gonzalo Moron: para la güedades, y los objetos principales con relación á su histo de Cervera á D. Gines María Serrano : para la de Berga á ria ; y está sembrada ademas de anécdotas biográficas inte D. Blas Damian de la Vega: para la de Urgel á D. Anto- ■- resantes. Miss Wakefield ha hecho después un viage con sus nio Porta y Fábregas: para la de Balaguejr á D. Ramón discípul…</t>
  </si>
  <si>
    <t>Serrano, Josef</t>
  </si>
  <si>
    <t>Josef Serrano</t>
  </si>
  <si>
    <t>…o esta. La comisión se habia abstenido de con Ha fallecido en la ciudad de la Havana sin otorgar testamento testar i la última parte del discurso de S. Ai., porque no se hallaba . D. Josef Serrano, natural de esta corte, hijo de Alfonso, natural del .inserta en la minuta que se le habia pasado firmada por los siete.secre- lugar de Algezares, y de Magdalena Juan, natural de la ciudad de tarios del Despacho; cuyo punto , después de haber hablado acer Ali…</t>
  </si>
  <si>
    <t>…carta pasto to el decreto de las Cortes de 1 2 de Abril de 181 2 ; y otra de D. Juan ral , edicto ó escrito oficial, según el artículo precedente, causare sedi Nepomuceno Sierra y D. Josef Serrano, alcaldes constitucionales que ción ó alboroto popular, sufrirá la pena de este crimen según la clase fueron en 1820 de la villa de Novelda, provincia de Valencia, contra que corresponda.” Se aprobó). el Gefe político D. Josef de Castellar. En el proyecto de…</t>
  </si>
  <si>
    <t>Serrano, Josef Antonio</t>
  </si>
  <si>
    <t>Josef Antonio Serrano</t>
  </si>
  <si>
    <t>…tá entre di D. Francisco Olavarrieta y á D. Eugenio de Larrnmbide.=En Extre cho monasterio, que tiene el núm. 1, y tiene de sitio 6417 pies cua madura á D. Evaristo de la Dehesa y D. Josef Antonio Serrano. drados superficiales, y tasada en la cantidad de 374,944 rs. Quien qui En la de Aragón á Don Josef Ramón Sirera. = En la de-Valencia á siere hacer postura y mejoras acuda dentro de dicho término ante S. S. D. Fernando josef de Toledo y Corral y D. Pedro de l…</t>
  </si>
  <si>
    <t>Serrano, Julián</t>
  </si>
  <si>
    <t>Julián Serrano</t>
  </si>
  <si>
    <t>…ndo varias relie-' A la de Infracciones de Constitución se mandaron pasar úna expo xiones sobre la.base en que estaba fundada esta ley,-y que su declara sición de D. Manuel Uria y.D. Julián Serrano, vecinos del' iugar de ción era permitida en. todos los Gobiernos libres , quedó aprobado di-' Esquivias de esta provincia , haciendo presente que deseando introducir cho artículo. (Véase la misma ¿aceta.)' en el mismo lugar una partida-de ganado solicitaron…</t>
  </si>
  <si>
    <t>Serrano, Manuel</t>
  </si>
  <si>
    <t>Manuel Serrano</t>
  </si>
  <si>
    <t>…omará por base el valor que hasta ahora hayan te tomándolo las Cortes en consideración se sirviesen dar las providencias nido los diezmos. que tuviesen por convenientes; y otra de D. Manuel Serrano , en nom El Sr. López (D. Marcial) dijo que el tomar por base el'valor qus bre de su hijo político D. Gabriel Gali, pidiendo el reintegro de cier hasta ahora han tenido los diezmos-, expondría á grandes equivocacio tas multas que se habían exigido al padre de…</t>
  </si>
  <si>
    <t>Serrano, Martin</t>
  </si>
  <si>
    <t>Martin Serrano</t>
  </si>
  <si>
    <t>…idencias que había dado á favor del duque de Medinaceli: so de su reinado intitulado: Auto para asegurar los poderes legales de la bre señoríos y privilegios esclusivos; y otra de D. Martin Serrano, -Reina'Stíbre todas las órdenes y súbditos de sus Estados', el juramento juez de primera instancia de-Valencia, manifestando que en la causa debía-entenderse solamente con respecto al reconocimiento de un po que está siguiendo contra el-general Elío, resulta…</t>
  </si>
  <si>
    <t>…da. lencia, consultando algunas dudas acerca de-la causa formada por el Art. 17. n Se recomienda al Gobierno que provea todos estos em juez de primera instancia de aquella capital D. Martin Serrano contra pleos en los empleados existentes y cesantes con sueldo, que tengan el genetaL Elío; y después de una corta discusión se mandó pasar al la aptitud y circunstancias que previenen los decretos de las Cortes.” Gobierno. El Sr. Traver dijo que le parecía d…</t>
  </si>
  <si>
    <t>…io de adquirir los demás datos y noticias Antonio Castelló, en Valladolid D. Fermín Urien de Salas, en Va que conceptúen oportunas, las pruebas y documentos que sean necesa lencia D. Martin Serrano, en Vich D. Antonio Valí, en Zamora rios par3 acreditar el valor anual de los diezmos de que se íes priva, D. Antonio Gómez de la Torre, y en Zaragoza D. Lucas Vequecia. á fin de egecutar la liquidación que demuestre lo que á cada uno cor responda á razón del…</t>
  </si>
  <si>
    <t>…ser Los electores nombrados en este partido para elegir diputados á llamado el diputado en circunstancias extraordinarias para desempeñar Cortes para la siguiente legislatura son D. Martin Serrano, D. Fran otras funciones, y por una petición del poder egecutivo.” cisco Ferrer , presbítero; D. Juan Bautista Alber y D. Tomas Almenír. Varios Sres. diputados hablaren en pro y. en contra de esta .adición; Orihuela 8 de Noviembre. y p'ór'último se decidió qu…</t>
  </si>
  <si>
    <t>…scontento contra el niente general de la armada nacional; D. Vicente Gisbert y Colomer, Gobierno. El divan parece que pretende conservar á los asiat.cos para propietario de Alcoy; D. Martin Serrano , abogado: D. Vicente Salvé, contener á los genízaros, sin embargo de que aquellos le son muy sospe regidor constitucional de Valencia; D. Lorenzo Villanueva, magistra chosos por su insubordinación, por el deseo que manifiestan de come do de la audiencia terr…</t>
  </si>
  <si>
    <t>Serrano, Pedro</t>
  </si>
  <si>
    <t>Pedro Serrano</t>
  </si>
  <si>
    <t>…este rón , D. Mariano Lagasca, el marques de Pontejos, D. Pedro Castelló, punto como otros vayan siempre mejorándose , y que en adelante cui D. Pedro Gossens, D. Pedro Peironceli, D. Pedro Serrano y D. Ra dará la autoridad competente de publicar bo solamente esta lista, sino món Trujillo.</t>
  </si>
  <si>
    <t>Serrano, Rafael</t>
  </si>
  <si>
    <t>Rafael Serrano</t>
  </si>
  <si>
    <t>…arte sin armas; y que no hay También se aprobó el parecer de la comisión de Hacienda acerca noticias del Emperador Muley-Soliman, y se ignora si permanece en de que se perdonase á D. Rafael Serrano , á D. Manuel García, veci Rabat. no de Villanueva del Cardillo , y á D. Domingo López , vecino deMadrid 2 de Abril. . Guadarrama, las cantidades que adeudaban á la Hacienda pública, en SS. MM. y AA. continúan sin novedad en su importante salud. atención á lo…</t>
  </si>
  <si>
    <t>Serrano, Ramón</t>
  </si>
  <si>
    <t>Ramón Serrano</t>
  </si>
  <si>
    <t>…ectamente á la felicidad de la na solicitudes de D. Mariano Nogues, D. Josef María Chaves, D. Angel ción de los héroes á que tengo la gloria de pertenecer. No quiero refe Valero y D. Ramón Serrano , en que pedían permuta de estudios; y la rir en esta, que es respuesta á la suya de 3 de Noviembre de 1820, comisión opinaba debia accederse á dichas solicitudes. ninguno de los acontecimientos ocurridos desde el 26 de Febrero hasta Se procedió á la discusió…</t>
  </si>
  <si>
    <t>Serrano, Tomas Juan</t>
  </si>
  <si>
    <t>Tomas Juan Serrano</t>
  </si>
  <si>
    <t>…sus sucesores á la herencia de los bienes, señalándoles el tiempo de Ei barón, tres anos. ¡Tendréis menos hambre después de haberle apaleado? Carta de D. Agustín Juan de Poveda á D. Tomas Juan Serrano, en la Ali-Agá. que se hacen observaciones físico-químicas sobre el aguardiente anisado, Yo me obligo á que sí dentro de un cuarto de hora no teneis aquí llamado vulgarmente leche de anís: se señala un método sencillo para de una excelente cena , me deis á mi…</t>
  </si>
  <si>
    <t>Serrar</t>
  </si>
  <si>
    <t>…iendo algún obstáculo para que en Ga- Guerra. . tal uña haya un cuerpo de catalanes, aquel puede hacerle, salir de ai! t. Ej Sr. Villa manifestó que no sabia en.qué se funda.¡j el.Sr. Serrar ¡Y quién es el juez de si con: ¡ene ó no variar las guarniciones) Desde llach para decir que el egército no se debía reemplazar con la ni licia luego es el mismo Gobierno, porque tiene estas rácuitades por la ..activa, porque esta no tiene la instrucción corr…</t>
  </si>
  <si>
    <t>Serraren, Ramón</t>
  </si>
  <si>
    <t>Ramón Serraren</t>
  </si>
  <si>
    <t>…egendre y Mechain. \ St‘ continuará. ) Francisco Viílaverde , del-comercio; en Toledo en la de D. Josef Ximéno; en Falencia en la de D. Camilo Mi guel, boticario; en Baza en la de D. Ramón Serraren _ ' - - anuncio. ■ Soria en ’n de D. Pedro Martínez de Aparicio; én Avila' Cartas sóbre los apuntes publicados por el Sr. D. Joaquin ló-en la dé D. Antonio Salcedo, boticario ; en Ciudad-Real renzo Villanueva. Véndense en la librería ‘de Tieso y de Pérez. ' M…</t>
  </si>
  <si>
    <t>Serraüach</t>
  </si>
  <si>
    <t>…es, que pop aquel era. parte esen reemplazo por este método, ó por el que tengan por mas .conveniente. cial el que los distritos fuesen guarnecidos siempre por los cuerpos álos El Sr. Serraüach: No hay necesidad de decir que las Cortes pueden cuales tuviesen que dar reemplazo ; por egemplo, en Valencia habia mandar ó determinar el modo de verificarse el reemplazo, porque esto tres cuerpos, y solo se necesitaban dos de guarnición , el Gobierno po ya…</t>
  </si>
  <si>
    <t>…ue no ha creído tener bastantes datos para fijar la capital. La taban de vos á los comandantes generaleí. ¡Viene á cuento este docu comisión cree que una adición que presentará el Sr. Serraüach, uno mento para tratar de fijar la capitalidad en aquel punto: de sus individuos , concillará los ánimos de algunos Sres. diputados. Este asunto está reducido á muy pocos hechos. : Dónde reside el El Sr. Serrallach dijo que le parecia muy conveniente se volvi…</t>
  </si>
  <si>
    <t>Sesé, Antonio Aliue y</t>
  </si>
  <si>
    <t>Antonio Aliue y Sesé</t>
  </si>
  <si>
    <t>…ne reparación del daño si se hubiera declarado haber lugar .(Se continuara.) ro mayor de S. M., y tesorero de sus Reales limosnas, de orden del Exento. Sr. patriarca de las Indias D. Antonio Aliue y Sesé, como li NOTICIAS DE ESPAÑA. mosnero mayor, en cumplimiento de su primera y mas saetada obliga ción , y llenar en cuanto las circunstancias lo permitan las benéficas in Madrid Miércoles 8 de Agosto. tenciones. y paternales deseos de S. M. en ei pago de las pe…</t>
  </si>
  <si>
    <t>Sese, Toribio Nuñez</t>
  </si>
  <si>
    <t>Toribio Nuñez Sese</t>
  </si>
  <si>
    <t>…stá encargada la administración biblioteca dos egempiares de las teorías sociales de Bsntham, presenta de justicia eran interinos , y que se debía encargar al Gobierno nom das por D. Toribio Nuñez Sese. brase inmediatamente jueces en propiedad á aquellos que son verdadera Se mandó pasar al Gobierno con urgencia para que informase mente amantes de la Constitución, y se quitasen sus destinos 4 los que una exposición de la diputación provincial de Cuenca , la…</t>
  </si>
  <si>
    <t>Sesé, Toribio Nuñez</t>
  </si>
  <si>
    <t>Toribio Nuñez Sesé</t>
  </si>
  <si>
    <t>…l cap.tal líquido que arrojen las liqui mez Catnaleño, en Pamplona D. Victoriano Esain, en Salamanca daciones de que se tratará, ínterin no se les indemnice con fincas equi el Dr. D. Toribio Nuñez Sesé, én Santander D. Josef María Hoz, en valentes; pero para egecutar el citado pago obtendrán antes orden ex Santiago D................ Barros, en Segorve L&gt;. Josef Cuevas, en Sego- presa de la junta. via D. Roque y D. Francisco Delgado, en Sevilla D. Juan Garcí…</t>
  </si>
  <si>
    <t>Sesión</t>
  </si>
  <si>
    <t>…radas las sesiones de la presente le- Árt. 6.a J3 Con estas certificaciones pagará el ayuntamiento los atra gislatura. sos por réditos del capital, conforme está mandado por punto general Sesión artimaña del sy. á los tenedores de estos créditos, según manifiesta el ayuntamiento en Leída y aprobada el acta de la anterior, se mandó que se agregaran su memoria.” Aprobado. á ella los votos particulares de los Sres. Moreno Guerra,Cavalsri, Gar Art. 7.0 3…</t>
  </si>
  <si>
    <t>Sesión, Juan Ignacio de Aiz-</t>
  </si>
  <si>
    <t>Juan Ignacio de Aiz- Sesión</t>
  </si>
  <si>
    <t>…levar ', la Contestación al discurso que habia S. Sebastián i.° ift Marzo. pronunciado en la apertura 3e las Cortes; y se levantó la sesión. Noticioso nuestro Gefe político de que D. Juan Ignacio de Aiz- Sesión del 6 de Marzo. 'quibel, teniente capitán retirado, que últimamente, residía en:Vitoria, " Leída y aprpbadá; el acta;del¡ dia anterior, se dió cuenta de una sohacia algunos v ¡ages misteriosos á Gaipítzéóa'cóh fines, al" parecer "si /lícitud hecha"por "los ÍT…</t>
  </si>
  <si>
    <t>Sesión, Maldona-</t>
  </si>
  <si>
    <t>Maldona- Sesión</t>
  </si>
  <si>
    <t>…iese un principio de sistema general y - CORTES., determinado para las elecciones, diciendo que de ellas -dependía el que se manifestase bien la voluntad de la nacioif, observó el Sr. Maldona- Sesión del dia 10 de Afárzo. do que siendo el neto que se había concedido-,al Rey solamente suspen Aprobada el, acta del .dia anterior, se d.'ó cuenta de un expediente</t>
  </si>
  <si>
    <t>Sesión, Manuel de Mier y Esca</t>
  </si>
  <si>
    <t>Manuel de Mier y Esca Sesión</t>
  </si>
  <si>
    <t>…ierno superior, acaba de comisionar en esta ciudad Lisboa 18 de Octubre. para la admisión de suscriptores y recaudo de acciones á los Sres. Don Manuel y Ramón de Llano y Chavarri, D. Manuel de Mier y Esca Sesión del sy. lante y D. Joseí Joaquín Martí (este último se halla ausente); mas sin • Se continuó la discusión del art. 74 del proyecto de Constitución; embargo los indicados Sres. Chavarri y Escalante no pueden desenten y habiéndose leido el párrafo que dice: » L…</t>
  </si>
  <si>
    <t>Sesmaisons, Humbert de</t>
  </si>
  <si>
    <t>Humbert de Sesmaisons</t>
  </si>
  <si>
    <t>…m. 161. (7 cuartos.) S-33 GACETA DE MADRID. SABADO 9 DE JUNIO DE 1821. NOTICIAS EXTRANGERAS. ni hacer que un abuso del poder sea una ley, ni que una ley sea un abuso.” TRANCIA. El conde Humbert de Sesmaisons subió después á la .tribuna, y lle no de un santo zelo empezó su discurso exclamando: Dios y el Rey, y París 26 de Maya. lo concluyó con las mismas palabras, las cuales fueron lo único bueno que tuvo su arenga , y se levantó la sesión. CAMARA DE LOS DIPUTADOS…</t>
  </si>
  <si>
    <t>Sesmiro, Manuel</t>
  </si>
  <si>
    <t>Manuel Sesmiro</t>
  </si>
  <si>
    <t>…eda en Sedió cuenta despiiesyde otro dictamen de la comisión de Infrac cuanto-á lá alternativa en que nos hallamos, ni en cuanto al único ciones, á consecuencia,de haberse quejado D. Manuel Sesmiro, vécino medio qué nos resta para preservar á mi reino del azote de la guerra. de Zamora, del juez de primera instancia de aquélla ciudad, por haber „Si sé sé adaptase la Constitución, sobre la cual insisten los Sobera recibido una declaración con juramento en…</t>
  </si>
  <si>
    <t>Setiembre, Ramona</t>
  </si>
  <si>
    <t>Ramona Setiembre</t>
  </si>
  <si>
    <t>…e Fernando vn , y se le mande pagar conforme á una Real orden pagarse ios réditos por tesorería, según el referido decreto de 11 de que obtuvo en 7 de Diciembre de 1819; y otra de Doña Ramona Setiembre de 1820 , opinaba que debía verificarse desde la fecha del re -Irazabal, viuda de un intendente, manifestando que en 1767 se conce- ferido decreto; por cuyo motivo, apoyando en un todo el voto particu • dió á su marido una pensión de 1 20 rs. ademas del sueld…</t>
  </si>
  <si>
    <t>Sevilla, Justo</t>
  </si>
  <si>
    <t>Justo Sevilla</t>
  </si>
  <si>
    <t>…era una ley tan sagrada ó Para la ciudad de Orí huela D. Juan Josef Cheri y Nuñez ; para Ca mas que las que se habian citado, y con arregio á éi los señores debian llosa de Segura D. Justo Sevilla; para Elche' D, Josef Ferrandiz Sán presentar sus títulos, para que los señoríos territoriales y solariegos se chez; paraNovelda D. Gregorio Marau y Cabaries; para Alicante Don considerasen como .propiedad particular : que habia leyes que declaraban Fermín. S…</t>
  </si>
  <si>
    <t>Sevillano, Pedro Nolasco</t>
  </si>
  <si>
    <t>Pedro Nolasco Sevillano</t>
  </si>
  <si>
    <t>…de la restauración del régimen constitucional. La Juan á D. Ramón Antonio Antuñano: pera el de Quinmilicia nacional paseó por las calles entre los mas sinceros tanar de la Orden á D. Pedro Nolasco Sevillano: para el aplausos de viva la Constuiui'n, viva nuestro Rey cons de Alcaráz á D. Juan Moreno de la Espada; y para el titucional. Se dirigieron luego á la plaza , y allí saludaron á de Peñas de S. Pedro á D. Roque de la Figuera. la lápida, haciendo tres descarg…</t>
  </si>
  <si>
    <t>Sevillano.zzD, Jicobo</t>
  </si>
  <si>
    <t>Jicobo Sevillano.zzD</t>
  </si>
  <si>
    <t>…en económico.” Después de haberlos, leido el D. Joaquín Anaut.zzD. Antonio Permisan.zzD. Eusebio Toruer. zz: Sr. secretario quedaron aprobados estos dos artículos, y retirados los D. Jicobo Sevillano.zzD. Gaspar del Sol.izzD. Joaquín Jimen. z= que había indicado el Sr. Rovira. ... D. Valero Javierre.zz D. Alejandro Lera.— D. Agustín de Gracia. = Art. 122. m Los oficiales de cargo de artillería de los buques serán D. Carlos Serrano, zz D. Pedro Garcés. z=D. Be…</t>
  </si>
  <si>
    <t>Seviñaén, Luis</t>
  </si>
  <si>
    <t>Luis Seviñaén</t>
  </si>
  <si>
    <t>…ca el art. ai del citado decretó' de 9 ’Félix Rodríguez-Escribano , remitido por el corregidor que fue de de Noviembre en la parte que se exige un capital doble ó de 66' y 2 Denia D. Luis Seviñaén 16 de Julio de 1816. Preso en 8 de Junio tercios al millar , respecto de los foros, enfiteusis y demas cargas p-rpe- de &lt;820 por haber quebrantado el arresto que sufria en esta ciudad tuas.y podrán hacerlo con el mismo capital que los gravados con cen por exc…</t>
  </si>
  <si>
    <t>Sexma, María Asunción</t>
  </si>
  <si>
    <t>María Asunción Sexma</t>
  </si>
  <si>
    <t>…ó los de la injusticia contra un pueblo que reclama lo que vecino de Bilbao. guez. todos han reclamado en diferentes épocas, y tarde ó temprano han D. Francisco Fernandez Suarez. Doña María Asunción Sexma. conseguido. D. Francisco Antonio Briagas. Dona María Mercedes Cevallos Los periódicos renuevan la noticia de hallarse preso en las Siete-Tor D.'Felipe Ronedo. y Noroña. res el embajador ruso, "k pesar de las; representaciones hechas al diván D. Fermín Carner…</t>
  </si>
  <si>
    <t>Sfondrati</t>
  </si>
  <si>
    <t>…o en Ñapóles, y se~ salvan,'infiere que la,religión-católica repugn j á la misericordia dé en el /¡amonte; pero acabamos de saber que. estos-dos Emperadóreí Dios. Tomé por guia al cardenal Sfondrati, la carta pastoral de monse han tomado la resolucipn.de. guardar una rigorosa .neutralidad, y por ñor duque de la Lucerna,'y la obra de monseñor Dovoistn, obispo* de consiguiente han enviado sus instrucciones á todas Jas. autoridades lo Nantes. A pesar de est…</t>
  </si>
  <si>
    <t>Sfúterheim</t>
  </si>
  <si>
    <t>…víveres en grande abun Se tomaron-Podas estas disposiciones con arreglo á las cstentosas dancia. '■ -V palabras del general Pepé, y áTos esfuerzos que parecía querer hacer, y - El general Sfúterheim se ha apoderado del fuerte de Colle y del pa que en efecto debía hacer. sa de.Coca di Cervo. Esta maniobra, que principió el 7 por la mañana , se concluyó en ¡a - El resultado de este boletin es el haber tomado á los napolitanos tarde del 10 con la ocupación…</t>
  </si>
  <si>
    <t>SherifF</t>
  </si>
  <si>
    <t>…manifiesta el Dr. Rodríguez que sobre haber precedido noso A su llegada á Valparaíso comunicó su descubrimiento tros a todos los extrangeros en la fundación y buen gobierno de al capitán SherifF, comandante del buque de S. M. la An los hospitales militares, igualamos á los franceses en la buena dró maca , que se hallaba allí casualmente. Este oficial co practica de curar las enfermedades de la guerra, y les excedemos noció inmediatamente lo important…</t>
  </si>
  <si>
    <t>Shireft</t>
  </si>
  <si>
    <t>…e pirata, al cual se halla reducido, y se lia embarcado para vol zoni ; y una fragata turca ha traido el sarcófago de alabastro que ei ver á Europa en la embarcación Amlrómaca, su capitán Shireft". Ha mismo encontró en un sepulcro egipclo.de Tcbas, biendo el noble almirante apresada dos buques ingleses en su crucero; se cree que su vuelta á Inglaterra podrá ocasionarle disgustos muy TXANCrA. serios. — El Comrier publica una carta de Paris con fecha de…</t>
  </si>
  <si>
    <t>Show-Choiv</t>
  </si>
  <si>
    <t>…ución del Em En Constantinopla ha causado una terrible inquietud, tanto entre, perador. (Diciembre de 1819.)” los griegos como entre los turcos, la llegada de un buque ruso. ,1 El magistrado Show-Choiv, acusado y convencido de cohecho, __El Observador austríaco publica un artículo de Constantinopla de ha sido desposeído de su empleo, y puesto á disposición del juzgado del 25 de Mayo, del cual extractaremos lo que ofrece mayor interes. gobernador de la provi…</t>
  </si>
  <si>
    <t>Síc, Ballesteros</t>
  </si>
  <si>
    <t>Ballesteros Síc</t>
  </si>
  <si>
    <t>…mod.O, p/eyjínido .y,.cr.;^n' to de un gefe de"rebeldes, ranpérfido como ambicioso, como Bonapart* do conforme á las leyes. Debe decir: que,Ja-qpmiw’on no.notóf anor .. decía del Sr. Ballesteros Síc. :: compadece..á.-los fieles y pacíficos habi- malidades en el nombramiento de Cortázar, sino qué habieindq visto v tenté*'- víctimas del delirio y..de la ignorancia, como Boriaparte com- que este fue electo por México y Guanajuato en concepto dp ser na ‘ pad…</t>
  </si>
  <si>
    <t>Sicardo, Antonio Elias y</t>
  </si>
  <si>
    <t>Antonio Elias y Sicardo</t>
  </si>
  <si>
    <t>…as de su policía interior, presentan, yor del regimiento de infantería del Infante D. Carlos, y el comisario un cuadro que seria digno de la pluma de un Tácito. efectivo de Guerra D. Antonio Elias y Sicardo, por la duda ^ue ocur Este artículo es ya bastante largo;.pero cuando se viene í la ima rió al primero de si debería ó no presentarse en la casa del sigundó á ginación una tierra tan rica de celebridad; cuando se renuevan en la fin de verificar la confrontaci…</t>
  </si>
  <si>
    <t>Sichar, Pablo</t>
  </si>
  <si>
    <t>Pablo Sichar</t>
  </si>
  <si>
    <t>…ido, los obispos en la secularización de los regulares, y quejándose particu facilitase los medios de sus respectivos pagos y completa cancelación larmente del de aquella diócesis D. Pablo Sichar. 1 en la plaza ó punto de España que mas conviniese á los prestamistas, Se mandó pasar al Gobierno una exposición de D. Tiburcio Ra- siendo á costa de ellos los gastos de conducción , y que se les permitiese “jos, religioso lego capuchino, secularizado, manif…</t>
  </si>
  <si>
    <t>Sicilia, Mariano</t>
  </si>
  <si>
    <t>Mariano Sicilia</t>
  </si>
  <si>
    <t>…el Sr. Al ves do Rio propuso que tor D. Francisco P.oldan, lectoral de la santa iglesia, y predicó la hubiese el domingo próximo para tratar de la Hacienda y papel- el licenciado D. Mariano Sicilia/dignidad de prior, y cura mayor moneda, siendo este último objeto tan importante, como íntimamente de su sagrario1: á los conocimientos de la verdad y á los rasgos de elo unido al Crédito público; pero el Sr. Castello Branco manifestó que cuencia desplegados…</t>
  </si>
  <si>
    <t>Sid</t>
  </si>
  <si>
    <t>…lmirantazgo ; pero no sabemos quien será el que Allí se le imponía Ja sentencia , que podían agravar los jueces si les suceda al lord Harrowby en la presidencia del consejo, ni al lord Sid parecia , conden índole al lormer.to. ( Exclamaciones á la derechi: al mouth en el ministerio de! Interior. presupuesto, ai presupuesto.) Todavía r.o »: lia olvidado la bárbara va __A ver hubo en la Cámara de los Comunes una discusión muy acalo riedad de supl…</t>
  </si>
  <si>
    <t>Sidmonth</t>
  </si>
  <si>
    <t>…"su desespera- rigida al presidente de la asamblea general de Escocia , y otra de la car CiGil ; ..sCu.oiVuiw *»£*■«-&gt; 'a*-'- r’-’-*■-.** ¿A.W..S. ^----- .iwWA.uiA ta escrita por lord Sidmonth ai coronel «jordou sodíc et arrezo uíi que iba á alimentarle. Nada ha bastado, pues como lo evidencian los eclesiástico Mr. Gillesple. ..... . documentos oficiales que obran en el expediente formado en la nego Esta propuesta, fue apoyada por lord Glcnorchi, s…</t>
  </si>
  <si>
    <t>Sidmouth</t>
  </si>
  <si>
    <t>…los ladrones, «Al mismo tiempo, y deseando S. M. dar una mueva que al fin no lograron robarle los pliegos. prueba del aprecio y consideración, que le merecen los que Informado el lord Sidmouth de este suceso, ha dado las hicieron suministros en la pasada guerra, se ha servido acor providencias mas eficaces para descubrir los culpados; y el dar, conformándose con el parecer del contador genera! de Gobierno ha publicado una proclama,.en que ofrece un…</t>
  </si>
  <si>
    <t>…n sabéis vosotros mismos de aquel cuerpo. El lord Melville tendria á su cargo el despacho de lo que si se exceptúa este recinto, en cualquiera otra parte es peligros» Interior. El lord Sidmouth se retirana, conservando sin embargo el hablar de elia; y acaso debe atribuirse á este motivo el no haberla destino de canciller del ducado de Lancaster, y Mr. Bragge-Bathurts se mentado siquiera en una gran solemnidad celebrada poco tiempo ha ria presidente…</t>
  </si>
  <si>
    <t>…s de paz roban aquel desdichado país, y A la carta que la Reina remitió (.víase la gaceta del 28 de Junio) que al primer rumor de guerra le -abandonan á discreción del primero al •vizconde Sidmouth se siguieron las siguientes contestaciones: que llega para refugiarse en las tierras del Austria, es regular que ha Whitehall 13 de Julio de 180.1. » Señora: he manifestado al Rey la yan esparcido por Cronstadt una multitud de noticias, inventadas á me carta…</t>
  </si>
  <si>
    <t>…os sin distinción , ya prrtenezcan a las mas en ción Real de V- AI-; y habiendo comunicado á la Reina el lord viz cumbradas clases de la nación, ya a las mas humildes; no podiendo conde Sidmouth , uno de los principales secretarios de Estado de V. M., llamarse legítimo ningún acto , sino en cuanto le sirva de base la jus la resolución dada contra la reclamación de S. -VI.: para conservar sus ticia , pues sin ella la ley es la máscara de la tiranía ,…</t>
  </si>
  <si>
    <t>…Inglatera el Egip tocasen las campanas de S. Pablo; pero no se egecutó por no haberla to y algunas islas griegas, ¡serian estas adquisiciones suficiente indem enviado de oficio el lord Sidmouth. nización para ella! ¡No se destruiría de un golpe el pequeño equilibrio Hoy á las cuatro deben reunirse los médicos. Se cree que abrirán y que aun exiate entre los Estados del continente, equilibrio que después embalsamarán el cuerpo de S. M. de haber sido a…</t>
  </si>
  <si>
    <t>…to de táctica naval. digno de la causa que defendemos , y del ilustre nombre que tenemos. Idem 6. “Animen nuestras acciones el mas intrépido brío, la mas estrecha unión Ayer llegó lord Sidmouth. La noticia de la indisposición de la y la mas ciega obediencia á los gefes. Reina ha causado una sensación extraordinaria, y se teme que el arribo ' » Y vosotros los que hasta ahora no esperabais mas que la ocasión de S. M. ¿'nuestra corte se retarde por alg…</t>
  </si>
  <si>
    <t>…lmgton , el marques de Chol- las entcrmidacu» o por otras causas. _ has disposiciones tomadas en la Italia austríaca y en el Fnul con móndele/, el muy i.uuOtab.e L.. Bathurst y el lord Sidmouth se halla tra los que intenten embarcarse para la Grecia se han puesto iguale ron presentes; pero el Utique de Yorek, á quien aguardaron, no asistió. mente en egccuc.on en el remo de Nápbles y en Sicilia. Se teme ademas A la salida del consejo se desp.chó un c…</t>
  </si>
  <si>
    <t>…algo inquieta. Se atribuye al des _Ayer dió el Rey audiencia á muchas personas, entre las cuales se contento que manifiestan los noruegos á resultas de no haberse accedido cuentan lord Sidmouth y el marques de Wellesley. Esta última circuns á su deseo de suprimir la nobleza. tancia ha hecho correr el rumor, que va antes se habia esparcido varias » La Cámara de Diputados franceses continuaba en sus sesiones. Ea veces, sobre nombramiento de un nuevo m…</t>
  </si>
  <si>
    <t>…estaba decidida la mudanza del ministerio en la forma si Las comisiones de Hacienda y Comercio en vista del expediente re guiente: el marques de YVellesley ministro del Interior, lord Sidmouth mitido por el Gobierno sobre la habilitación del puerto ael Ferrol, pre para el despacho de la Justicia, lord Westmorclard será chambelán, ponía los siguientes artículos, que después di varias observaciones he M. Canning primer lord del almirantazgo, lord Mel…</t>
  </si>
  <si>
    <t>…del G: . iinctATkastA..-. •„ Vencedor. ' XVS1A. • Idndres Sjf de Noviembre. Ayer á las dos hubo consejo de Gabinete en la secretaría de Estado Odesa 3 de Noviembre. convocado por lord Sidmouth , al que asistieron los lores Liverpool, - Según las éltimes cartas recibidas de Petersburgo , lord Strang- Harrowby , Westmorelandt, Londonderry y Melville , el lord Canci ford, que tiene grande influencia en el divan, ha pasado al conde de Nes-' ller , el c…</t>
  </si>
  <si>
    <t>…fácilmente probar el abuso; por consil tario principal; á Mr. Roberto Peel le destinaban para reemplazar al guíente para hacer útil este derecho creo absolutamente necesario*ue i» lord Sidmouth en el ministerio del Interior. Se decía que por una espe regularice y se establezca de un modo conveniente, para que asi todos cie de compromiso Mr. Canning, que participaba bastante de la aversión conozcan cuáles son sus derechos y cuáles son los límites. |…</t>
  </si>
  <si>
    <t>Sidrnouth</t>
  </si>
  <si>
    <t>…a muy diversa de la demo El ayuntamiento constitucional de la Coruña , deseando facilitar al cracia. . . . • pueblo uno de los mayores beneficios que puede apetecer, cual es la El lord Sidrnouth pronunció un discurso , cuyo objeto fue demostrar buena enseñanza de la infancia en las escuelas de primeras letras , pro que Ja iglesia católica era enemiga de la libertad; que especialmente la puso y consiguió de la diputación provincial la dotación de 12S)…</t>
  </si>
  <si>
    <t>Siemerling</t>
  </si>
  <si>
    <t>…pone a ¡as tropas de' San Martin y á la escuadra de lord Cochrane en una situación peiigrosa.Berlitt 24 de Julio. Uno de los comisionados del Gobierno español ha tenido con Nní El doctor Siemerling que ha curado a su esposa y á otras varias per Martin una conferencia, cuyo resultado se ignara. Dícesc que él comi sonas de. la tisis de la laringe, acaba de publicar su remedio en nues sionado se dirigía á Lima. . . . ... ; tras gacetas. Este consiste en ha…</t>
  </si>
  <si>
    <t>Sier, Cipriano</t>
  </si>
  <si>
    <t>Cipriano Sier</t>
  </si>
  <si>
    <t>…Cortes de 12 de Abril dé 1813 , y el yd del reglamento lativos al asunto, se ha servido S. M. resolver que subsistan en la ciu aprobado por S. M. en 5' de Mayo del año anterior, á D. Cipriano Sier dad de Búrgos el convento de franciscos observantes y el de dominicos, ra , portero del corralón de dicha aduana con 4400 rs. personales, y 18 reuniendo á este la comunidad del de Monlesclaios, según está man años dé servicio; y esta resulta, dotada' en 4000…</t>
  </si>
  <si>
    <t>SIerra</t>
  </si>
  <si>
    <t>…ficial , nó sólo co'ñ' objetó 'de 'indeñiñiz-.irle de sús trábalos y ftttizas, ella. .... . " l1 .' siño 'á fin de qué sírviese dé'estímulo á otros ’para imitar en igual caso V El Sr. SIerra.‘Pahibrpy manifestó que la comisión habiendo teñido su heroico egemplo dé beñeficeuci i: S. M.‘; cón presencia del noble por presentes las obseryaciónés qiie sé habían hecho, 'cuándo se jira jó dq' esté, te».desinterés, filamro'píaóy 'sereñi'dád con que éste…</t>
  </si>
  <si>
    <t>Sierra, Alonso</t>
  </si>
  <si>
    <t>Alonso Sierra</t>
  </si>
  <si>
    <t>…ella con toda aquella detención que requería el de Sevilla abcoronel vivo de infanteríí^D. Ramón Uizurrum y í-raso; asunto. V. „ del de taragoza al teniente coronel s|pernumerario D. Alonso Sierra; Eí Sr. Sancho dijo que si los Sres. diputados se'vhacian cargo de lo del de España ileoronel vivode-infantería D. Agustín González; del que se proponía en este mensage, conocerían que eráufl documento de de Mallorca alJcomandáSite del r^Miento de Granada D.…</t>
  </si>
  <si>
    <t>Sierra, Amonio</t>
  </si>
  <si>
    <t>Amonio Sierra</t>
  </si>
  <si>
    <t>…rtínez ,-admmisi radon qtfe lúe de ía misma, por no ha presentase un plan, que debía existir en una de las secreta: ín, del Des bar dejado bienes; y otra del coronel-de caballería D. Amonio Sierra, pacho , sobre esta reunión, que se había intentado yaco otra ocasión. para que se le admita á un hijo suvo en el seminario de Vertirá , en El Sr. Macedo propuso que no se incluyesen en ei plan lo, estable- atención á los muchos servicios que tiene hechos á l…</t>
  </si>
  <si>
    <t>Sierra, Francisco</t>
  </si>
  <si>
    <t>Francisco Sierra</t>
  </si>
  <si>
    <t>…nta del ayuntamiento constitucional de Galicia , en el expediente de testamentaría en que está entendiendo de la ciudad de Tarazona , en que manifiesta los sentimientos puramen de D. Francisco Sierra, se ha mandado citar á los herederos é interesa te constitucionales y patrióticos de la misma corporación y de los ha dos que puedan resultar en la referida herencia de dicho D. Francisco bitantes de aquella población. Sierra, abad que fue en el extinguido mo…</t>
  </si>
  <si>
    <t>Sierra, Juan Francisco</t>
  </si>
  <si>
    <t>Juan Francisco Sierra</t>
  </si>
  <si>
    <t>…e que se reciba esta reso Partido de Cuenca D. Cayetano Izquierdo. D. Josef Royo Cantos. lución , y sin suspender las diligencias de lectura y cotejo, que en el D. Andrés Villora. D. Juan Francisco Sierra. D. Diego Antonio Me término de 24 horas después de la notificación nombre cada uno un na. D. Nicolás Escolar y Noriega. defensor suplente , que deberá ser de los mismos que defienden á otros Partido de S. Clemente D. Josef del Campo Moragon. D. Josef Vi reos…</t>
  </si>
  <si>
    <t>Sierra, Manuel</t>
  </si>
  <si>
    <t>Manuel Sierra</t>
  </si>
  <si>
    <t>…vo.‘=: ciales.” Aprobado. D. Narciso Olivas. =D. Andrés Ester. ^D. Juan Anel.zzD. Blas- Añ Art. 108. » El Gobierno señalará el uniforme que deba'usar, em ónela. zzD. Ramón Marco.z=D. Manuel Sierra. =D. Serapio Marin.zzr pleándose en él solo géneyos nacionales.” Aprobado. D. Eugenio Lopez.zzD. Josef Percz.=D. Luis Zueco. = D.. Vicente El Sr. Rovira manifestó que la comisión, después de haber oido al Pastor. zzD. Valentín Jope. ~ D■ Ignacio Flesas. zz D.…</t>
  </si>
  <si>
    <t>Sigüenza, Clemente</t>
  </si>
  <si>
    <t>Clemente Sigüenza</t>
  </si>
  <si>
    <t>…acostumbrada arbi Suplentes. D. Patricio Martin del Tejar y Rives, ahogado y ha trariedad, y obren con moderación; y las exhortaciones dirigidas á los cendado de Poyales del Hoyo. D. Clemente Sigüenza, capitán de la griegos, inclinándolos á la sumisión, y ofreciéndoles amnistía plena. milicia activa, y hacendado de Talayera de la Reina. « Si á pesar de todo esto no se lograse el objeto, serian incalcula bles los maies que se originarían á este comercio, ex…</t>
  </si>
  <si>
    <t>Siles, Antonio</t>
  </si>
  <si>
    <t>Antonio Siles</t>
  </si>
  <si>
    <t>…discusión y votación. Firmará gistratura, vacantes en la audiencia territorial de Castilla la Nueva, á con el secretario los oficios que se dirijan á los secretarios de las Cortes D. Antonio Siles y á D. Antonio Ubach. y á los del Despacho. Rubricará con el secretario las actas én el, libro que las contenga. Hará guardar el orden y decoro que debe haber en ANUNCIOS. las sesiones. Convocará á las juntas extraordinarias. Art. 4.0 En los ca En el juzgado…</t>
  </si>
  <si>
    <t>Silleruelo, N. Gil de</t>
  </si>
  <si>
    <t>N. Gil de Silleruelo</t>
  </si>
  <si>
    <t>…no pelean mas que por Coria; D. Pedro Martin dé Bartolomé' ex-gefé políjieq interino de Seuna provincia que pertenece á su Soberano: 8.° Los mejores soldados que govia. Suplente. D. N. Gil de Silleruelo. tenia el Sultán-en'suégéícito son estosmisrftos griegos, armados hoy Por la provincia de Soria. R. Manuel Casildo González , propieta contra él Los soldados ¡turcos-tienen, armas'y.valor í-pérh áu'réúnion rio; D. Éélix María Manso, juez de primera instancia…</t>
  </si>
  <si>
    <t>Silmon, Antonio</t>
  </si>
  <si>
    <t>Antonio Silmon</t>
  </si>
  <si>
    <t>…un tráfico ilicito , contra el que pudo ha misión al capitán de marina D N. Lobo , contra el dictamen del se berse quejado el Rey de Marruecos, por haberse hecho con particula ñor D. Antonio Silmon, que mejor que nadie se bailaba informado res súbditos suyos, contra quienes hacían fuego los mismos moros al’ de los negocios de Marruecos , yeicual entregó últimamente al Gobier estar traficando; y parece regular evitar ocasiones de romper la buena no una m…</t>
  </si>
  <si>
    <t>Silva, Candido Josef Javier Dias da</t>
  </si>
  <si>
    <t>Candido Josef Javier Dias da Silva</t>
  </si>
  <si>
    <t>…ciones, al objeto de que tomen ber sido elegido diputado á Cortes, nombrando interinamente para es parte en un empréstito abierto, no como otros muchos para sostener te destino al Sr. Candido Josef Javier Dias da Silva. el lujo, la vanidad y los caprichos de una corte corrompida, sino para Se empezó á discutir la adición al artículo 74 del proyecto de Cons proporcionar un pedazo de pan regado con lágrimas á un sinnúmero titución hecha en la sesión anterior, y después de una…</t>
  </si>
  <si>
    <t>Silva, Ferreira da</t>
  </si>
  <si>
    <t>Ferreira da Silva</t>
  </si>
  <si>
    <t>cua'qutur especie que sea , por los departamentos del Arriege y de los El Sr. Ferreira da Silva dijo: Este soberano Congreso resolvió qut A:ios Pirineos.” se pusiese un gobernador militar en Fcrnambueo, y hasta ahora no me Comunicaciones con ios departamentos del JÍlto Garona y de los Bajos consta que ei poder egecutivo lo haya nombrado? los pueblos de…</t>
  </si>
  <si>
    <t>Silva, Manuel de</t>
  </si>
  <si>
    <t>Manuel de Silva</t>
  </si>
  <si>
    <t>…adura los ciudadanos D. Alvaro Gómez, gefe político de Toledo; el buen efecto que causó la visita del Rey , sobre las acertadas medidas D. Facundo Infantes, coronel de ingenieros; D. Manuel de Silva, y tomadas por el ministerio y la lealtad de los habitantes, vemos distri Ayanz, racionero de la catedral de Badajoz, D. Laureano Antonio Estos enteros en plena insurrección! Seda bien estraño que los ingleses camilla , hacendado D. Diego Antonio González, ju…</t>
  </si>
  <si>
    <t>Silvati, Josef</t>
  </si>
  <si>
    <t>Josef Silvati</t>
  </si>
  <si>
    <t>…suntos de Espa le dará el premio de mil ducados. Q cerca de 16D rs.). D. Lorenzo de ña añade el autor del artículo. Esto será tal vez una simple conje Conciüis, D. Miguel Morelli, D. Josef Silvati, I&gt;. Luis Minichini, tura; pero en todos casos probablemente se tratará de dar consejos, y D. Josef Cappuccio." Otra igual orden se ha publicado contra el gene de manifestar ardientes deseos. Mientras España conserve dentro de sus ral G- Pepe. fronteras la te…</t>
  </si>
  <si>
    <t>Silves</t>
  </si>
  <si>
    <t>Se leyó por primera'vez una proposición del Sr. Echevarría, relati El Sr. Silves manifestó que podía ocurrir la duda de que hubiese va al modo con qué pueda cubrir sus mas precisas obligaciones el ca algunos señoríos territoriales y solariegos que no fuesen incorporables bildo de Ja gran Canaria. á la Nación, y no se pudiese probar habers…</t>
  </si>
  <si>
    <t>…s que le caracterizan, pudiese proporcionar se admitió á discusión la referida adición. * aquellos Individuos alguna colocación razonable, siendo lo menos Se leyó la siguiente del Sr. Silves á los artículos 2.0, 3.0, 4.0, 5.0 gravosa que fuese posible al egército; no se ocultó al Gobierno que y 6° » Que después de las palabras títulos de adquisición se añada »í toda reforma era dolorosa, ni tampoco perdió de vista el mérito de ios otros documento…</t>
  </si>
  <si>
    <t>…, y tomó asiento el Sr. D. Josef María Quirós y M¡tulo, deciudad, y: á los otros tres el de villa. . Tlan, diputado por la provincia de Sonora y Sinaloa. : Se leyó una adición del Sr. Silves al art. z.°'de señoríos, que decía Se Je leyó el siguiente dictamen de la comisión de Fuerza armada. asi: Que á las palabras acreditar previamente con los títulos, de ad- -Art. i.° » Sin embargo de que en lo sucesivo se observara en toda ¡qiiisician” se añada…</t>
  </si>
  <si>
    <t>Silvestre</t>
  </si>
  <si>
    <t>…lez-Málága á D. Julián Ruiz nota. En la gaceta del domingo 13 del corriente , sesión de Cortes, Marín; para la de Nerja i D. Juan Sahagun Vicente j para la pri lía. 14, donde dice D. Silvestre léase D. Silvestre Ezcurrá, SUPLEMENTO</t>
  </si>
  <si>
    <t>…por tanto se ve en la precisión de pedir con toda la ur trangeros que residen aquí, y se abstuvo de iluminar su casa. Sin em gencia que merece dicha reclamación se sirva S. E. el Sr. Silvestre bargo la Regencia faltó de tal modo á su palabra, que no solamente Pinheiro Ferreira dar curso á este negocio sin pérdida de tiempo,/ fueron hechos pedazos todos los cristales de la casa, sino que ademas, evitar el que el infrascrito se vea en la precisión de…</t>
  </si>
  <si>
    <t>Siman</t>
  </si>
  <si>
    <t>…ha cruzado mucho tiempo delante de » En este mismo dia 16 cayó enfermo, y fue trasladado al lazareto, los Dardanelos , ya se sabe las ventajas que ha logrado contra la escua-, el teniente Siman, francés, comandante de la embarcación la Catheri- dra otomana: la segunda división estaba apostada cerca de las Cicladas, ne, procedente de l'Havre; pero que liabia tocado en Málaga. bloqueando á Salónica , pero después se ha reunido á la primera: la cere ,,…</t>
  </si>
  <si>
    <t>Simón</t>
  </si>
  <si>
    <t>…an los premios que hayan obtenido. Sres. Jane, Orbegoso y Castañares, D. Santiago de Unda, de Bilbao. A los alumnos de las clases de matemáticas que dirige la sociedad, de Bilbao. D. Simón de la Cuadra, id. que se presenten á ser examinados de aritmética, álgebra , geometría y trigonometría plana , se adjudicará la traducción de la geometría de ANUNCIOS. _____ legendre. A los que se examinen de secciones cónicas y cálculo diferencial é Se halla…</t>
  </si>
  <si>
    <t>…riñas en las calles de » El dia 10 fue trasladado desde Pomegue al lazareto un marinero aquella ciudad “v.us los asiáticos y los genízaros. Se quejan abierta de la tripulación del capitán Simón, cuyo buque era uno de los infi mente los primare: habérseles faltado á la palabra (del saqueo de los cionados. La indisposición de este individuo no manifestaba; ninguna cristianos ) , v p están resueltos á volverse al Asia , por mas que gravedad, y no ha te…</t>
  </si>
  <si>
    <t>Sin</t>
  </si>
  <si>
    <t>…parece se aumenta á .me Rey de Nápoles; y el primero le visita diariamente. dida del peligro que nos amenaza por la parte exterior. La llegada del ministro de Negocios extrangeros duque Sin embargo, no se puede disimularájue reina entre muchas de Gallo ha hecho aqui alguna sensación. No solo tomará gentes una vaga inquietud sobre lo venidero. Un secretarle» este ministro parte en las negociaciones, sino que conserva del Rey , que le acompañó á L…</t>
  </si>
  <si>
    <t>…s, y pre ñor D. Josef María Santocildes, teniente, general de los egércitos na servar á las otras de tan terrible azote. cionales, nombrado al intento por el Excmo. Sr. comandante general Sin perder de vista el alivio á que soft acreedores en su desgracia los .dei egército de esta provincia. 1 beneméritos habitantes de Barcelona y Barceloneta, y concillando sus 13. El mismo Sr. comandante general del cordon está-autorizado intereses con los de los…</t>
  </si>
  <si>
    <t>Siraveg</t>
  </si>
  <si>
    <t>…os por algunos estudiantes de la universi Aost hiciera evoluciones á su presencia; y en su consecuencia dad . y Fueron presos los culpados. Se tomaron en seguida ha manifestado al coronel Siraveg,na la satisfacción que le providencias para descubrir el origen de estos desórdenes* causó la precisión de los movimientos de esta tropa, y ha y dos noches estuvieron cerrados los cafés; habiéndose re Señalado también Una gratificación á los oficiales y solda…</t>
  </si>
  <si>
    <t>Sirera, Josef Ramón</t>
  </si>
  <si>
    <t>Josef Ramón Sirera</t>
  </si>
  <si>
    <t>…tiene de sitio 6417 pies cua madura á D. Evaristo de la Dehesa y D. Josef Antonio Serrano. drados superficiales, y tasada en la cantidad de 374,944 rs. Quien qui En la de Aragón á Don Josef Ramón Sirera. = En la de-Valencia á siere hacer postura y mejoras acuda dentro de dicho término ante S. S. D. Fernando josef de Toledo y Corral y D. Pedro de la Puerta-=En la y escribanía citada; en inteligencia de que se admitirán con sujeción de Cataluña á D. Francisco…</t>
  </si>
  <si>
    <t>Sirvent, Josef</t>
  </si>
  <si>
    <t>Josef Sirvent</t>
  </si>
  <si>
    <t>…an tener al crédito 'de 47,977 rs. y 32 mrs.., correspondiente.medicina de número, y del comercio. En Alicante en la de 'á Doña' Beatriz Freile, contra el estado del-marquesado de D. Josef Sirvent, del comercio. En Bilbao en la. de Don Fromista, y á los réditos vencidos y mandados pagar por la Juan Barrelli, de idem. En Calatayud en la .de D. Tomas sentencia, cuya cantidad, unida á la antecedente, asciende á Navarro, de idem. En Oviedo en.la de D.. Mar…</t>
  </si>
  <si>
    <t>…érmino de tres de Ultramar puedan obtenerlas cómodamente , ha dispuesto depositarlas meses á mas tardar, contados desde el de la introducción de las instan-, en Ai icante, casa de D. Josef Sirvent, calle mayor; en Sevilla, casa cías, en virtud de la relación, de. escribano y de las conclusiones del de D. Francisco Clancel , calle de Colcheros, y en Santander en la bos ministerio fiscal. No se admitirá apelación de ellas, y sí solo el recurso tica de D.…</t>
  </si>
  <si>
    <t>…ones; y entre tanto que se reemplazan, se ha i D. Martin de Pineda. llarán al precio de 60 rs. las antireumáticas, á 40 las antivenéreas y á .30 las locales en Alicante en casa de D. Josef Sirvent; en Sevilla en A consulta del consejo de Estado se ha servido S. M. nombrar pa ia de D. Francisco Claucel; en Audújar en ia de D. Josef Daniel, del ra los juzgados de primera instancia de la provincia de Jaén á los su- comercio de aquella ciudad; en Santander…</t>
  </si>
  <si>
    <t>Síücdo</t>
  </si>
  <si>
    <t>…, atacando prerogativas que la Constitución mente guardar esta parte del dictamen con la-quese había leído. consagra, y resistiendp órdenes que: la misma Constitución manda obe El Sr. Síücdo contestó que la comisión había reservado la parte Sel decer. Organos ilegítimos se erigen en intérpretes de la opinión y dictamen de que se trataba del mismo modo y con el mismo derecho voluntad de los-pueblos , y no reparan en usurpar sus funciones á to— que…</t>
  </si>
  <si>
    <t>Slrogonoff</t>
  </si>
  <si>
    <t>…arle el testamento, y tomar ór aprobado claramente la conducta inflexible, y aun rígida, que ha ob denes para el funeral. Dicen que S. S. contestó.que se darían órdenes servado el barón Slrogonoff cotí la Puerta. para que una escuadra trasportase el cuerpo , que según lo mandado en Poniéndonos á calcular con alguna probabilidad los resultados de el testamento debe enterrarse en Brunswiclt. (.os albaceas son el doc una guerra como la que va á estallar,…</t>
  </si>
  <si>
    <t>Smith</t>
  </si>
  <si>
    <t>…necesidad no solo de llevar á efecto bierno. Dentro de uno ó dos años se sabrá con certeza, pues anuncia el aquellas reglas con toda exactitud y rigor, sino la de hacerlas extensi Sr. Smith , queactualmentese halla en Malta, que desembarcará en Trívas en lo pasible á los eclesiásticos seculares que igualmente están suje *pol¡ el teniente iíecchei, encargado de hacer descubrimientos en lo in tos á Ja autoridad de V. y de sus respectivos prelados…</t>
  </si>
  <si>
    <t>Smith, Lionel</t>
  </si>
  <si>
    <t>Lionel Smith</t>
  </si>
  <si>
    <t>…l coste de las pensiones que sir William Kier dejó allí á Jas órdenes de un inozalvete. Man llamadas no gratuitas, es decir, que á los alumnos que pagaban por dará estas tropas el general Lionel Smith ser educados en aquel establecimiento se les exigiese mayor cantidad _En una carta de Constantinopla de 14 de Mayo se dice lo siguiente: que la que habían pagado hasta entonces. » Los ingleses creen disfrutar aquí de perfecta seguridad mientras El general Foy…</t>
  </si>
  <si>
    <t>Smith, Sidney</t>
  </si>
  <si>
    <t>Sidney Smith</t>
  </si>
  <si>
    <t>…cial de libertad de imprenta fuesen perpetuos. Se hizo asi, y después se v Con motivo de la coronación ha sido promovido á almirante el vice decidió que no se admitía á discusión. almirante Sidney Smith. Se pasó á tratar del til. i.° de la Constitución, que principia asi: Se han embarcado en Hamburgo ocho caballos árabes muy hermo ss De la nación portuguesa, de su territorio, religión, Gobierno y d¡sos, que según se dice regala el Rey de Prusia al Rey de Ing…</t>
  </si>
  <si>
    <t>Snbrié</t>
  </si>
  <si>
    <t>…e la Gobernación de Ultramar pasó á 8.J el Sr. Navarro (D. Felipe) por '77.: 9.° el Sr. Larriba por 85: la tribuna y principió la lectura de su memoria; la que á poco tiempo 10 el Sr. Snbrié por 67: r 1 el Sr. Govantes por 70: 12 el Sr. Va- se suspendió con motivo de tenerse que Jeér la contestación al discurso dillo por 72: 13 el Sr, Lorenzana por &lt;52: 14 el Sr. López (D. Mar de S. M. , y concluida esta se siguió leyendo la precitada memoria. ci…</t>
  </si>
  <si>
    <t>Snreda, Juan</t>
  </si>
  <si>
    <t>Juan Snreda</t>
  </si>
  <si>
    <t>…a de la Gaceta universal de Augjburgo, cu sef Mauri, y los dos restantes á la de la polacra las Almas, su capitán yo verdadero contenido es el siguiente: «Corren voces en Viena da D. Juan Snreda. be ha dado la orden para que estos buques salgan para que la Rusia pide á la Puerta: i.° la restauración de las iglesias grie el lazareto de Máhon, ó se sumerjan en el puerto. Los convalecientes gas: 2.0 la seguridad de los griegos inocentes y no implicados…</t>
  </si>
  <si>
    <t>Soarcs</t>
  </si>
  <si>
    <t>…rte de que exponía-los motivos que le Impedían asistir al juramento que' quedaba ya instalado. debía.prestar la Regencia. El Sr. Borges Carneiro hizo una .proposición sobre la El. Sr. Soarcs propuso que se nombrasen las comisiones, paga de las dietas á los señores diputados, que ¡uzeaba de eligiéndose primero una que, re encargase dé nombrar ¡os bía ser adelantada, en atención á que se consideraban como individuos-de; ios demas , debiendo ser tre…</t>
  </si>
  <si>
    <t>Soares</t>
  </si>
  <si>
    <t>…proclamado.” (Se continuará.) sesión siguiente se discutiese con detención en qué, térmi nos debia ponerse. FRANCIA. Se nombró en seguida la comí:ion preliminar, propuesta por el Señor Soares,' y la de redacción del diario de. Cortes; Parts 2,y de Enero. y se resolvió que se imprimiera el .reglamento interior de las La Cámara de los Pares adoptó el proyecto de ley re Cortes, y se repartieran egem ¡llares. lativo á los seis: dozavos provisionales;…</t>
  </si>
  <si>
    <t>…el proyecto de decreto pre el nombramiento. sentado en la sesión anterior por el Sr. Pereira do Carmo, Se trató después de algunos asuntos económicos; y ob y de la proposición del Sr. Soares sobre la legalidad de los servando que no era decoroso que se hablase, de esto en se acontecimientos del 24 de Agosto y 15 de Setiembre. sión pública, dijo el presidente que la de mañana empeza El Sr. Alves do Rio propuso se concediese una am ría por secreta…</t>
  </si>
  <si>
    <t>…la verdad, todo conocen la elocuencia de que se halla poseído este genio.de error Jebe desvanecerse á su presencia. la libertad , y ia impresión que causan en pechos e-pañoles El Sr. Soares dijo, que todas las cosas estaban sujetas los dulces nombres de Patria , de Constitución , y de- Rey á abusos, y que no por eso se prohibían, sino lo males que constitucional podrán solo’ formar una it|ea aproximada de podían resultar del abuso. Que en todos…</t>
  </si>
  <si>
    <t>Soáres</t>
  </si>
  <si>
    <t>…Gobierno austríaco. Concluyó, el noble lord pi las bases.sobre.el nombramiento de empleados civiles, eclesiásticos y' diendo que ia Cámara desechase la proposición. militares. El.Sr. Soáres habló" largamente sobre este artículo, siendo! Se levantó para apoyarla $ir Robeit Wiisóri, y dijo, entre otras de parecer qué-hubiese un consejo deEstado, estendiéndose, sobre sus; cosas que''en "él' continente'se creía que un agente militar ingles-fue atrib…</t>
  </si>
  <si>
    <t>…bían conservar hayan sido estimulados por un principio de virtud , por el amor a sus las mientras viviesen. semejantes, ni menos por una orden del cielo. Aquí hay sin duda otro El Sr. Soares manifestó en qué términos concedían las encomiendas motivo que nos quieren ocultar bajo un fárrago de misteriosas doctri los primeros Reyes de Portugal, y bajo qué títulos; que las daban por nas *, pero que, coíno otras muchas cosas, descubre temprano ó tarde…</t>
  </si>
  <si>
    <t>…a profesaba la misma opinión en 1769, pues la ber sido nombrado gobernador de la isla Tercera. Emperatriz escribe á Voltaire diciéndole : » Jassi lia sido tomada, y el 4. a La del Sr. Soares para que el ministro de Hacienda, de acuerdo visir se ha retirado en dispersión al otro lado del Danubio. Esta noti con algunos capitalistas, presentase un plan sobre el modo de estable cia, que he recibido por un correo esta mañana, hará callar á la Gace cer…</t>
  </si>
  <si>
    <t>Sobarcase</t>
  </si>
  <si>
    <t>…pon de los individuos que componían la diputación que había de cumpli dan, por el contador é interventor y los maestros mayores respectivos. mentar á S- M., nombrando en lugar del Sr. Sobarcase al Sr. Uga/te. Art. 239. ss Oportunamente se verificarán los recuentos de ios efec Se dió cuenta de lina exposición de la diputaron provincial de Cá tos del cargo del guardaaUnacen general, según las disposiciones del diz, en la que con motivo del.mensage de…</t>
  </si>
  <si>
    <t>Soberano</t>
  </si>
  <si>
    <t>…l señorío postumos honoríficos, recibirán un aumento en ellos para que cor del universo. ... . ; • . . .-7 • ■ respondan con la promoción concedida á sus hijas. ” Los deberes d^üh príncipe Soberano consisten en conocer el carác 5.0 » Los oficiales de cuarta clase en la córte) y de tercera clase en ter de los hombres,.y,.dar sosiego al pueblo: yo he discurrido largamen- las provincias, gozarán el privilegio de enviar un hijo al Kwo, Tozete.spbre.esta mat…</t>
  </si>
  <si>
    <t>…scheriff 'Waithman , que presidia el miento , á ser fieles á tu Real persona y á tú Gobierno. Damos gra entierro, llegó á tiempo para imponer silencio á estos gritos; pero cias al Señor Soberano del universo porque nos concede una paz ge al llegar á los pabellones de los oficiales dos de ellos se asomaron neral; le pedimos continúe dispensándonos este benefició, y que se ex á las ventanas, y el uno túvola avilantez de amenazar al pueblo tienda mas y…</t>
  </si>
  <si>
    <t>Sobre, Fernando Perez y</t>
  </si>
  <si>
    <t>Fernando Perez y Sobre</t>
  </si>
  <si>
    <t>…2656 rs. y 8 mrs. Otro trozó ae tierra riego moreral, en el partido de la VARIEDADES. Era alta, stí cabida 2 tahullas, una ochava y 20 brazas, lin da con las de D. Isidro Campos , D. Fernando Perez y Sobre la propagación de la Biblia. Doña Josefa Salinas, en 601 i rs. y 23 mrs. En el año de 1804 se formó en Londres una sociedad Otra porción de tierra con ün cuerpécito de casa, en el con el objeto de extender y propagar la Biblia por las cua mismo partido, linda…</t>
  </si>
  <si>
    <t>Sobrino, Vicente</t>
  </si>
  <si>
    <t>Vicente Sobrino</t>
  </si>
  <si>
    <t>…on Muchos modernos se habían ya valido con buen suceso Joaquín Vallarino y Alaminos, D. Juan Alcalá Galiano y del método que refiere- á tres coordinadas triangulares ;a Be.mudez , D. Vicente Sobrino de la Peña, D. Antonio posición de un punto cualquiera del espacio. Mr. Mouge Lobé y Rabina, D. Miguel Bonanza y Roca, D. Juan sacó de este principio el fundamento de una doctrina nue León; y Valdivieso, D. Tadeo Aguilera y Contreras , Don va y completa, indi…</t>
  </si>
  <si>
    <t>Sodupe, Fausto</t>
  </si>
  <si>
    <t>Fausto Sodupe</t>
  </si>
  <si>
    <t>…nte discurso. Tal impresión causó en el A consulta del consejo de Estado de 5 del corriente se inmenso auditorio, que al dar el comandante la voz: mili— ha servido S. M. nombrar á D. Fausto Sodupe para la dig danos , juráis fkc., todo el'pueblo prorumpió en un llanto nidad de deán de la Sta. iglesia catedral de Cuenca del Pe de alegría y de placer, considerando que sus hijos, parientes rú , ‘ qué se hallaba vacante por fallecimiento de D. Juan y amigos…</t>
  </si>
  <si>
    <t>Soiano, Josef</t>
  </si>
  <si>
    <t>Josef Soiano</t>
  </si>
  <si>
    <t>…recuerde de continuo á las sef de la Torre, D. Hilario Nogueras, D. Frar cisco Balct, D. Cipria autoridades dependientes de ese gobierno político de su cargo la urgente no Aragón, D. Josef Soiano, D. Josef María Salomón, D. Juan Mu necesidad y obligación en que se hallan de concurrir á impedir ios ma ñoz, D. Rafael Morete, D. Josef Saavedra, D. Josef Zafra , D. Fran les que ocasiona el contrabando; en la inteligencia de que cumpliendo cisco Manuel Gon…</t>
  </si>
  <si>
    <t>Soianot</t>
  </si>
  <si>
    <t>…os necesitaban mayores lo mismo debía mandarse pasar A la comisión ; y asi se acordó. sueldos según las capitales en que estuviesen , porque en los pueblos Se leyó una adición del Sr. Soianot , relativa á quí habiendo las grandes era en donde habla mas choque de opiniones, ys; exigían mas Cortes aprobado la división en pequeñas provincias , pira que asi dis desvelo de las autoridades; al paso que en ios pueblos pequeños nc ss frutasen .mejor di la…</t>
  </si>
  <si>
    <t>Soianoti</t>
  </si>
  <si>
    <t>…lculables bienes que recibirá por este medio. - . ■ , trata de decir á rostro firme al Congreso que no Ira sido suficiente una El br. secretario Ga de Linares leyó un discurso del Sr. Soianoti, fia declaración de la junta- preparatoria, é igualmente que no ha habido el que oponiéndose ai dictamen de ia coims:on, manifestaba que ¡para tiempo bastante para que lleguen los propietarios , siendo asi que ia co proceder con acierto en ésta operación era…</t>
  </si>
  <si>
    <t>Soidner</t>
  </si>
  <si>
    <t>…- cen grandes compras de granos, los cuales se extraen in say , y ha tomado el mando de la división acantonada en mediatamente ; y los diputados que impugnaron con vigor Milán..El general Soidner ha tomado el mando de la briga-: la proposición que hicieron al Parlamento algunos hombres; da de Mantua, y el general,Mengen ha ido á encargarse del pusilánimes para que se prohibiese ia extracción de granos, mando en gefe en I.odi. Este oficial superior, qu…</t>
  </si>
  <si>
    <t>Sojo</t>
  </si>
  <si>
    <t>…icción del lugar de Membrío , su cabi cional de 16 de Junio de 1820, sobre injurias, se ha dictado por di da de 2008 fanega; de tierra, con monte alto y bajo, de pasto y labor cho Sr. Sojo la sentencia siguiente: la mayor parte, en 501,66$ rs. „En la villa de Madrid á 22 de Febrero de i8ar el Sr. D. Julián de Sojo, juez togado de primera instancia, habiendo visto estos dijo: En la misma provincia de Extremadura, procedentes de la encomien que p…</t>
  </si>
  <si>
    <t>Sojo, D Julián de</t>
  </si>
  <si>
    <t>D Julián de Sojo</t>
  </si>
  <si>
    <t>…ta con cer dichas mejoras, á pagar -en créditos contra el Estado, acudirá al el mas negro colorido el deseo manifestado por los pueblos de ver res juzgado de primera instancia del Sr. D Julián de Sojo y escribanía tablecidos sus derechos. » Ellos, se dice , consideran el saludable impe de D. Martin Santin y Vázquez; en el concepto de que su último re rio de las leyes como un yugo que es necesario sacudir. Renuncian á los mate se ha de celebrar en una de la…</t>
  </si>
  <si>
    <t>Sojo, Jolian de</t>
  </si>
  <si>
    <t>Jolian de Sojo</t>
  </si>
  <si>
    <t>…pondientes á los años de_ 1808 Y ■escribanía de número de cargo de Dl Feliciano del Corral. 1809, y de otra de la tesorería principal de las mismas fa En virtud de providencia del Sr. D. Jolian de Sojo, ma bricas de S. Ildefonso, por comprenderse en ellas pagos de gistrado togado honorario de la audiencia de Castilla la Nueva, tiempo en qué estuvieron sujetas al Gobierno ilegítimo, y otros juez de primera instancia de esta corte, en cuyo juzgado se ha corre…</t>
  </si>
  <si>
    <t>Sojo, Julián</t>
  </si>
  <si>
    <t>Julián Sojo</t>
  </si>
  <si>
    <t>…rimera instancia de ia provincia de Madrid en esta forma: para las podrá nombrarlos por toda su vida; y en la 14:' y tg.a que haya un seis de la corte á D. Josef Mirtinez Mocoso , D. Julián Sojo , Don consejo provincial en cada pcovincia, elegido también por el Rey, y Angel Fernandez de los Rio,, D Juan Gómez y Díaz, D. JosefReel cual se reunirá en la cabeza de partido de la misma para pronunciar mirez Moreno y D. Valentín Recio: para la de Alcalá de…</t>
  </si>
  <si>
    <t>…n su grandeza y felicidad sobre otras basas mas justas y mas nobles. en segunda instancia. Providencia de visita: siga. (_St coutiuará.) ANUNCIOS. . VARIEDADES. Por el juzgado del Sr. D. Julián Sojo, ministro togado de la au Conocido el sistema que sigue constantemente la Gaceta Fran diencia territorial, juez de primera instancia de esta M. ti. villa, y.que cia , hermana del Courier de Lóndres y del Observador austríaco, conoce de los negocios contencios…</t>
  </si>
  <si>
    <t>Sojo, Julián da</t>
  </si>
  <si>
    <t>Julián da Sojo</t>
  </si>
  <si>
    <t>…ifestó elex- ANUNCIOS.' travío de la enseñanza general, y antevio lós progresos ¡li mitados de las ciencias. Melchor Cano iluminó con la an Por providencia de 24 del corriente del Sr. D. Julián da Sojo, magistrado honorario de la audiencia de Castilla la Nue torcha de una lógica acendrada , y amenizó con,su elegan va , juez de primera instancia en esta corte, refrendada del es cia castiza los arcanos mas recónditos de la teología; y por cribano actuario D.…</t>
  </si>
  <si>
    <t>Sojo, Julián de</t>
  </si>
  <si>
    <t>Julián de Sojo</t>
  </si>
  <si>
    <t>…de unas 10 floras. Mr. Schroeter se dedicó especialmente á darnos descrip ANUNCIOS. u 7, ciones detaüsdss de virios planetas, y á medir y deter-- En virtud de providencia del Sr, D. Julián de Sojo , mi minaré) tiempo de su rotación. La de Vér.us la halló por nistro togado honorario de lá audiencia territorial, y juez de la observación de una montaña, situada en la punta aus primera instancia en está M. H. villa/refrendada de D. Tomás tral de su inedia…</t>
  </si>
  <si>
    <t>…agudamente fecto se procederá'á deliberar lo que corresponda, parándoles Saavedra, siendo mozo quiso parecer viejo, poniéndose ca el perjuicio que haya lugar. Por providencia del Sr. D. Julián de Sojo, ministro hono nas postizas. ... Ni Pulgar, ni Zurita, ni Ocampo, ni Morales (aunque rario de la audiencia territorial de Castilla la Nueva, juez de tan apasionado al castellano ) supieron engalanar el lengua- primera instancia de esta M. H. villa, por la esc…</t>
  </si>
  <si>
    <t>…da tanto mas ventajo ANUNCIOS. ’sa para sus tenedores, cuanto que su decisión facilitará la marcha rápida de las operaciones-confiadas á las dependen ,En virtud de providencia del Sr. D. Julián de Sojo ,. juez cias de este establecimiento: los que no hubieren verificado togado.de -primera instancia, se cita llama-y emplaza á Felipe aun la presentación expresarán su voluntad cuando la ege- Esteban y Manuel' Tamayo, únicos que resultan de los endosos; curen e…</t>
  </si>
  <si>
    <t>…ejo, en 2100 rs. tíña casa en Granada en la Plaza larga, núm* 22 , man zana 130, en 12,300. ' ANUNCIOS. Otra casa en kidem, calle de Zaragoza, núm. 3, En virtud de providencia del Sr. D. Julián de Sojo, mi en 13 *800 rs. nistro togado honorario de la audiencia territorial, y juez deFincas que se rematan el dia a &lt;T, del y r opio monasterio primera instancia en esta M. H. villa, refrendada de D. To de S, Basilio. mas María Manriqueescribano de número, y á co…</t>
  </si>
  <si>
    <t>…cargo de D. Feliciano del Corral.,’ elemental en el dibujo , tina buena conducta, y que se so meta con docilidad al reglamento de la academia. Este es En virtud de providencia del Sr. D. Julián de Sojo, juez togado de primera instancia, refrendada del escribano cartula tablecimiento debe únicamente su existencia al zelo patrió rio D. Joaquín Sánchez, se cita, llama y emplaza á todos los tico de algunos individuos, y no tiene otros fondos que los acreedores…</t>
  </si>
  <si>
    <t>…rústica, 10."en pasta común, 24 fina, y 48 en dos yugadas; linda cóh terminó delRóyal, en-90 rs. tafilete. .Otra Ídem juntoa! camino ancho del Royal,.de cabi- Por providencia del Sr. D. Julián de Sojo, ministro togado ’dá'de 8 yugadas, de'buena, calidad; linda con tierras del honorario de la audiencia territorial, y juez de primera instan fil. Osonilla , y con diciio camino, en 430o rs. cia de .esta M. H. .vilia, y escribanía del, número propia de A ' Otra…</t>
  </si>
  <si>
    <t>…exa Otra, acesoria contigua, en 1415 rs. minado los antecedentes de una exposición presentada á las Cortes en el año próximo por D. Josef Joaquín de Mora, editor del periódico El Sr. D. Julián de Sojo, juez de primera instancia en esta villa, titulado el Constitucional, en la cual se quejaba del juez de primera ha señalado el domingo 4 del corriente á las nueve de su mañana en instancia de Madrid D. Josef Martínez de Moscoso, suponiéndole in una de las sal…</t>
  </si>
  <si>
    <t>…a también la Lechona, de 7 obradas, de tercera cali serto en la gaceta de hoy con el título de tribunales, dijo: ,,Por el juez dad , en 1400 rs. de primera instancia de esta corte D. Julián de Sojo se ha condenado Otra al Tesoro , de una obrada, de segunda-calidad , en goo rs. á un soldado retirado á cuatro años de servicio en ios ejércitos nacio Otra al Enjídro , de 5 obradas , de tercera calidad , en x 500 rs. nales ; y considerando yo ser esto antico…</t>
  </si>
  <si>
    <t>…as, y han,hecho sensible juez letrado interino de primera instancia de la villa de Yepes , cum y dolorosa su muerte á cuantos contaban con su generosa caridad, y plimentado por el Sr. D. Julián de Sojo, que lo es en esta corte, se aun á.los que solo tenian la hónra de conocerle. En prueba de la rec cita, llama.y emplaza á todos los acreedores á los bienes quedados por fa titud y noble entereza que formaban el fondo de su carácter, baste llecimiento de Marta…</t>
  </si>
  <si>
    <t>…a Europa culta. Respec la calle de S. Dámaso de esta corte, sin número, en la manzana 71, tó de la libertad prometida á la España, la pintura que la tal Gaceta por providencia del Sr. D. Julián de Sojo, juez letrado en primera presenta es el mas insultante conjunto de falsedades. Los gobernantes instancia de esta heroica viiia, su fecha 22 del corriente, se ha man españoles han prometido á su patria una verdadera libertad; y la Es dado fijar los edictos pre…</t>
  </si>
  <si>
    <t>…08 fanega; de tierra, con monte alto y bajo, de pasto y labor cho Sr. Sojo la sentencia siguiente: la mayor parte, en 501,66$ rs. „En la villa de Madrid á 22 de Febrero de i8ar el Sr. D. Julián de Sojo, juez togado de primera instancia, habiendo visto estos dijo: En la misma provincia de Extremadura, procedentes de la encomien que por no haberse presentado el manuscrito original del artículo inser da vacante, nominada Mayor de Alcántara, para cuyo remate, t…</t>
  </si>
  <si>
    <t>…el sistema constitu nojosa , Carrasco , Losada, Ramírez Cid, Torre Marin, Cosío, Mosco- cional , pendiente en el juzgado de primera instancia del cargo de so, Serraliach y Rovira. D. Julián de Sojo. Quedó aprobado el art. 2.0 del dictamen de la comisión sobre se La formada contra D. Juan PedroCuena, Manuel Amador, cono ñoríos por 85 votos contra 67. cido por el Moro, y otros consortes en número de73, por haber inten El Sr, presidente señaló la hora de l…</t>
  </si>
  <si>
    <t>…núme cito que quieran pasar en estas mismas clases al resguardo, sean prefe ro de D. Claudio Sanz. ridos respectivamente , mientras no se complete el número de regla Hallándose el Sr. D. Julián de Sojo , ministro togado de la audiencia mento á los tenientes, subtenientes y sargentos, que reuniendo las cir territorial, y juez de primera instancia de esta M. H. villa, entendiendo cunstancias prevenidas en el reglamento de i.° de Diciembre de 1820, en los auto…</t>
  </si>
  <si>
    <t>…NCIOS. ' / drilla de paisanos;-xgde; ellos perecieron , y los demas se pusieron en fugó-, sin que losturcosintentasen perseguirlos. Luego que Teodoro En' virtud de providencia del Sr. D. Julián de Sojo, ministró toga •upo lamarchade los turcosreunió sus tropas, guarneció la ciudad do honorario de la audiencia territorial de'Castilla la Nueva, juez le con aoo hombres , pidió.que le entregasen las armas, y decretó una le trado de primera instancia en esta'M.…</t>
  </si>
  <si>
    <t>…ionamos lo siguiente: » Las Cortes, después de haber observado to ANUNCIOS. das las formalidades prescritas por la Constitución, han decretado lo si • En virtud de providencia del Sr. D. Julián de Sojo, ministro togado , guiente: El decreto de las Cortes de 15 de Mayo último, por el que se honorario de la audiencia de Castilla la Nueva , y juez de primera ins fijaron reglas para la formación de causa ó relevación de ella á los fac tancia de esta M. H! villa…</t>
  </si>
  <si>
    <t>…n el, libro que las contenga. Hará guardar el orden y decoro que debe haber en ANUNCIOS. las sesiones. Convocará á las juntas extraordinarias. Art. 4.0 En los ca En el juzgado del Sr. D. Julián de Sojo , juez letrado de primera sos de enfermedad, ausencia ó á falta del presidente, ejercerá interina instancia y de la Hacienda pública, y escribanía de D. Florentino Ló mente sus funciones en la junta y fuera de ella con el título de vice pez Paro, se siguen au…</t>
  </si>
  <si>
    <t>…instancia del comisionado principal del Crédito público en esta dad de ferrado y medio de labor, huerta y campo, en la cortiña de la provincia , y en virtud de providencia del Sr D. Julián de Sojo, mi casa, en venta 500 rs., y en rema 2 ferrados de trigo.__Otra de 6 fer nistro togado honorario, y juez de primera instancia de esta M. H. rados, 20 cuartillos de labor, soto, castañero, huerta y holganza, en villa, se ha acordado la subasta de una casa , s…</t>
  </si>
  <si>
    <t>…de Dios, hayan sido legítimamente introducidos y pagados los correspondientes núms. 5 y 6 derechos: 3.a que se somete ¿ sufrir todas las visitas que las autorida En el juzgado del Sr. D. Julián de Sojo, ministro togado de la audien des de Hacienda dispongan hacer en sus almacenes, y á dar razón de cia territorial de Castilla la Nueva, y juez de primera instancia de esta cuanto se le exija para asegurarse de que no comete fraude alguno; y M. H. villa, y de L…</t>
  </si>
  <si>
    <t>…n su consecuencia las personas que quieran egecutar las referidas pu de libertad cuando destruía la representación nacional en St. ClouJ’ jas, ó algunas de ellas, acudirán ante el Sr. D. Julián de Sojo, juez de &lt; Han olvidado que en nombre de la república francesa Bonaparte es primera instancia de esta M. H. villa por la-escribanía de número de tableció el despotismo roas insolente que jamas experimentó la especie humana? «Han olvidado que Bonaparte procuró…</t>
  </si>
  <si>
    <t>…mayor la proporción de publi ,en el diario de 16 de Junio último á instancia de los síndicos nom car con mas extensión y exactitud las interesantes sesiones de esta nue brados, el Sr. D. Julián de Sojo , magistrado honorario de la audiencia va é inesperada época de las Cortes extraordinarias. La imprenta Nacior territorial de Castilla la Nueva, juez de primera instancia en esta nal continuará publicando los necesarios suplementos , que serán gratis M. H. vi…</t>
  </si>
  <si>
    <t>…s para que asi fuese seria preciso consideren interesadas comparezcan ante el señor juez de primera ins que ios hombres que lo componen saliesen desde luego del contingente tancia D. Julián de Sojo y escribanía de número da D. Claudio Sanz, general con que contribuye la nación, y se reemplazase indistintamente por sí ó por medio de procurador con poder suficiente , dentro del tér como los demas cuerpos del egército; lo que no se verifica; y antes al min…</t>
  </si>
  <si>
    <t>…Llanos, su consecuencia las personas que quieran egecutar las referidas pujas ó llamada la Hermana Grande , que tiene 8844 cepas., en venta 26,332 alguna de ellas acudirán ante el Sr. D. Julián de Sojo, juez de pri rs., y en renta 400—Otra en el mismo pago, llamada la Hermana mera instancia de esta M. H. villa, por la escribanía de número de Chica , de 4541 cepas, en venta 4341 rs., y en renta 143.__Otra al D. Claudio Sanz. Humilladero, lamada la Sacramenta…</t>
  </si>
  <si>
    <t>…la secretaría de la Diputación permanente , ó en la de las Cortes extraordinarias, para que presente su dictamen al Congreso según el mérito que ellas tengan.” Por el juzgado del Sr. D. Julián de Sojo se ha mandado publicar 1® Habiendo manifestado el Sr. YandioU que estas exposiciones esta que sigue : ■ ban en la comisión de Aranceles, retiraron la proposición sus autores. Articulo comunicado. —St. editor: „ Jamas con deliberación y co 1*1 Sr. Medrano leyó…</t>
  </si>
  <si>
    <t>…ante salud.” ro de resultados tan satisfactorios como prontos, El Rey ha expedido el decreto siguiente:. ANUNCIOS. L&gt;on Fernando vxi por la gracia de Dios y por la Constitución de D. Julián de Sojo, ministro togado honorario de la audiencia terri Ja Monarquía española, Rey de las Españas, á todos los que las presen torial de Castilla la Nueva , y juez de primera instancia en esta M. II. tes vieren y entendieren, sabed: Que las Cortes han decretado Jo si…</t>
  </si>
  <si>
    <t>…nos no deben temer la pérdida de la libertad civil , mien ANUNCIOS. tras no se desvien de las sendas constitucionales; porque estando todos Por el juzgado de primera instancia cel Sr. D. Julián de Sojo y es autorizados para denunciar al Soberano Congreso á los ministros del cribanía del número de esta M. 11. villa de D. Cristóbal de Vicuña se poder egecutivo y judicial, no pueden dudar de su desagravio , sin des vende en pública subasta un censo de i&amp;Q rs.…</t>
  </si>
  <si>
    <t>Sojo, O. Julián de</t>
  </si>
  <si>
    <t>O. Julián de Sojo</t>
  </si>
  <si>
    <t>…un tomo igual el comentarlo que hizo de ella el célebre conde Destutt■: ANUNCIOS. Traci, que ha traducido al castellano el Dr. D. Ramón de Salas, cate En virtud de providencia del Sr. O. Julián de Sojo, ministro to drático de leyes que fue de la universidad de Salamanca, y se dará á la gado honorario de la audiencia territorial de Castilla la Nueva, y juez mayor brevedad. Los Sres. que han suscrito al Montesquieu podrán de primera instancia en esta M H. vil…</t>
  </si>
  <si>
    <t>Sola, Jdséf da</t>
  </si>
  <si>
    <t>Jdséf da Sola</t>
  </si>
  <si>
    <t>…ifuzcoano. acerca de varios aiaques de apoplejía' que Ojá'rzún. ; .-- .-i • ¡H . . ... • t hábiá sufrido-S-'íAlí Grisfiatiísima-l yódelo qua tampoco se habla eñ es1 Mondragoiu Et' Sr. D. Jdséf da Sola, propietario y vocal-de la di- te'icorred. •••!■:•ai. a¡&gt;j. eep.V 1 íputácion proVítícíál; -ai;! ,’u-a ..rirr-j q , ...... i!; , í/.¡:u . ;..v :-i o ‘ Segura. ElSr. D. Josef Joaquín de GázteluzarJ, -própsetário y- co- CORTES'EXTRAORDINARIAS DEL AÑO DB A«at. t…</t>
  </si>
  <si>
    <t>Sola, Josef</t>
  </si>
  <si>
    <t>Josef Sola</t>
  </si>
  <si>
    <t>…. las encomiendas del Infante D. Antonio : otra de la junta nacional del Se aprobó una indicación del Sr. Romero Alpuente para que las Crédito público sobre la rebaja que solicita D. Josef Sola del importe Cortes preguntasen al Gobierno si habia algún prelado que se hubiese del arriendo de una encomienda en Calatayud: otra del Sr. ministro de opuesto á la ley de secularización de regulares, ó que hubiese repugna Hacienda, relativa á un establecimien…</t>
  </si>
  <si>
    <t>Sola, Mateo Cjul de</t>
  </si>
  <si>
    <t>Mateo Cjul de Sola</t>
  </si>
  <si>
    <t>…casa de los acreedores á la testamentaría del intendente honorario de egército, Gordon y Murfi para introducir 200S quintales de harina en la isla de y director que fue de rentas D. Mateo Cjul de Sola, han acordado de Cuba de los Estados-Unidos, y á la declaración de nulidad de las tran nuevo los síndicos representantes de los referidos acreedores que á los saciones hechas con este motivo: que el Gobierno proceda desde lue existentes en Madrid , que no se…</t>
  </si>
  <si>
    <t>Solaguren, Josef</t>
  </si>
  <si>
    <t>Josef Solaguren</t>
  </si>
  <si>
    <t>…iesen estas circunstancias, .conformándome con su pa reales. recer , he venido en -nombrar para secretario del Despacho de Estado á Otra casa, núm. 3, calle Caraballo, arrendada á D. Josef Solaguren D. Eusebio Bardají; para el de Gobernación de la Península á Don por 25 años en 1080 rs. cada uno, que -cumple en i.° de Octubre de Mateo Valdemoro; para el de Gobernación de Ultramar á D. Ramón j 840, en 58,634 rs. Feliú; para el de Gracia y Justicia á D. Vicente Cano Manuel^…</t>
  </si>
  <si>
    <t>Solaíiot</t>
  </si>
  <si>
    <t>…opina que se le debe autorizar para que lo ponga en planta. : El Sr. Franzini, después de pintar el horror del incendio,, y de ex El de la de Guerra, relativo á una indicación del Sr. Solaíiot! la poner que aunque se había manifestado por cuatro puntos distintossu Comisión opinaba que las Cortes podían servirse declarar que han oido mayor fuerza había sido en el departamento del comercio, donde'había con particular agrado los servicios hechos para…</t>
  </si>
  <si>
    <t>Solan, Josefa</t>
  </si>
  <si>
    <t>Josefa Solan</t>
  </si>
  <si>
    <t>…de Doña librería de Orea. Mariana Estéban, en segundo á los de Doña Francisca de Ciria Veleta, Reflexiones sobre, el mejor sistema de defensa nacional. Véndese en tercero á los de Doña Josefa Solan, y en falta- de estas treslíneas á en la librería de Sanz, á 10 cuartos. los parientes de los fundadores por ambas líneas, solicitando que.con El espíritu de las leyes por Mr. de Mbntesquíeu, ilustrado con no arreglo al decreto de las Cortes de 27 de Setiembr…</t>
  </si>
  <si>
    <t>Solana</t>
  </si>
  <si>
    <t>…fenecidos, y por consiguiente las egecutorias vicio á los actuales que no la tengan.” en mi concepto deben ser respetadas; yen esto deben ser iguales los Se aprobó una adición del Sr. Solana á las indicaciones de los se pueblos y los señores, pues lo contrario seria faltar al artículo expreso ñores Romero Alpuente y Gaseo, que decía asi: » Que en las indica de la Constitución. Se manda asimismo que se presenten ios títulos an ciones que se acabab…</t>
  </si>
  <si>
    <t>…chas que tenga que oponer á los testi capellán. Madrid 16 de Diciembre.=:iVlanuel , obispo de Sigiienza.” gos de cargo. Art. 5.° El procurador presentará dentro de las 24 hora* El Sr. Solana nos dice asimismo lo siguiente. No habiéndome siguientes al recibo de las instrucciones del reo la lista de los testigos Vmds. incluido entre ¡os 104 diputados que votaron á favor del dic de que intente valerse para su prueba; entendiéndose con él y su abo ta…</t>
  </si>
  <si>
    <t>Solanas, Gerónimo</t>
  </si>
  <si>
    <t>Gerónimo Solanas</t>
  </si>
  <si>
    <t>…e de detenido. Otra de D. Tomas María de Villar , escribano de la acostumbrados á juzgar por tu capricho y con'Ja arbitrariedad mas villa del Arenal, contra el alcalde de la misma D. Gerónimo Solanas y manifiesta; y que los reos de que se trataba debían ser sentenciados el abogado D. Pedro Rodríguez, vecino de Talavera , por haberle pri pronta y sumariamente, y que á este fin hacia la siguiente indicación, vado de empleo por ocho años, y haberle desterrad…</t>
  </si>
  <si>
    <t>Solano, Francisco</t>
  </si>
  <si>
    <t>Francisco Solano</t>
  </si>
  <si>
    <t>…leos, conservando re por el comandante del résguatdo militar D. Alonso Suarez, y también laciones no interrumpidas con la Puerta. Se les ve intrigar continua^ por el fiscal el Lie.D. Francisco Solano, la ley absolvió á ü. Inocen mente para suplantar á los que tienen algún empleo: los hijos intrigan cio de Aja, vecino y del comercio de la plaza de Santander, responsa contra su padre , y los hermanos- contra sus hermanos. Todos' han teñir ble de dicho impre…</t>
  </si>
  <si>
    <t>Solanor</t>
  </si>
  <si>
    <t>…s Cortes quedaban Se mandaron pasar á la comisión de División del territorio es enteradas, y que pasase este oficio con urgencia á la comisión de Le pañol varias observaciones dei Sr. Solanor sobre la imposibilidad de ha-: gislación.' Cer una división exacta, mientras no se tenga una carta geográfica , que El Sr. Vil lanueva leyó parte del dictamen de la comisión Eclesiás sea también exacta; y en su consecuencia le parecia oportuno que tica- ‘obre…</t>
  </si>
  <si>
    <t>Solanot</t>
  </si>
  <si>
    <t>…ha observado que á pesar de esta terminante resolucaces para fomentar la industria y riqueza pública.” cion, y de las providencias repetidas que ha dictado para su cumpli Otra del Sr. Solanot, en que recordando la que habia hecho en 1 &lt;5 miento, algunos individuos, desentendiéndose de la confianza que han de Julio del año pasado, relativa á que se declarase que se estaba en el merecido al Gobierno, procuran eludir por todos los medios posibles cas…</t>
  </si>
  <si>
    <t>Solánot</t>
  </si>
  <si>
    <t>…ra la comisión especial, oue entiende en ' ■■ yneoiasu probidad y su interés eii mi verdadero coiiílicto. losóp Sres. ex-diputados que firmaron la representación del ano de 14, el Sr. Solánot en lügar dei Sr. Traver. portücai. ‘ Se pasó á la comisión de Legislación un expediente promovido por D. Juan Aóim Pense!, maestro de fundición del departamento del Lisboa '£ de Marzo. Ferrol, en solicitud de carta de ciudadano. A la misma comisión una consul…</t>
  </si>
  <si>
    <t>…se de seculares, sujetándose al arreglo general de catedra contribución general. les. Después de manifestar el sistema Interior de aquel cabildo de canó Se leyó una indicación del Sr. Solanot, en que recordando la pro nigos reglares de S. Agustín, compuesto de cuatro dignidades regulares posición que sobre abolición de diezmos presentó á las Cortes en la le-' y ocho seculares, y el modo con que se proveen dichas conongías, re gislatura anterior, e…</t>
  </si>
  <si>
    <t>…como único objeto de de la misma; ciudad. ... su comisión. A. la misma .pasó otra queja de D Pedro Martínez Tavar, abogado, Se leyeron por segunda vez estas tres indicaciones del Sr. Solanot: vecino de Ijotana., en la provincia de Murcia, cqntra el alcalde consti 1 “Que se declare que la Nación se halla en el caso del art. 308 de la tucional del.mismo pueblo, por haber puesto preso á un mozo dei,mis Constitución. 2.a Que á consecuencia de lo disp…</t>
  </si>
  <si>
    <t>…va, y conformándose con ella, proponía á las Cortes Él Sr. Moreno Guerra leyó un proyecto de decreto sobre bagages, los dos artículos siguientes: y se tuvo por primera lectura: el Sr. Solanot presentó su voto particu 1.° Que se suspenda la provisión de capellanías y beneficios que no lar sobre este asunto , y se acordó se leyese en la inmediata sesión; con tengan aneja la cura de almas, y no fueron comprendidos en el de lo que el Sr. presidente le…</t>
  </si>
  <si>
    <t>…is El Sr. presidente nombró para la comisión de Agricultura, Indus ma , en que solicitaba continuase aquella ciudad siendo capital de pro tria y Artes en lugar del Sr. Yandiola al Sr. Solanot. vincia. .. - ... Se mandó continuar el proyecto sobre sociedades patrióticas, y se A la de Canales y Caminos una exposición del director de las leyó el árf. 4.0, qué decía asi: obras de la carretera de Asturias, remitida por el Sr. secretario de la 4.a „Cuan…</t>
  </si>
  <si>
    <t>…onstitucional sentimientos patrióticos; y de otra del ayuntamiento constitucional de S. Fernando , en solicitud de que se le perdonen 6&amp; rs. que adeuda de Borja (presentada por el Sr. Solanot), felicitando á las Cortes por al Crédito público; otra de D. Manuel Rublo para que se aumente el su segunda instalación. valor de la moneda; y otra de D. Manuel Sánchez, vecino de esta El Sr. Revira presentó una exposición del cuerpo de la armada de corte, m…</t>
  </si>
  <si>
    <t>…l que se supone generalmente. Verdad es que no siempre se ha de bus cuerpos.” car la prueba del valor actual de una nación en la historia de sus anti Lo mismo sucedió con otra del Sr. Solanot, que decía’: «Resuelvan guas hazañas; pero es preciso convenir también que raciocinaría mal las Cortes que el Gobierno forme para el reemplazo del siguiente año cualquiera que al ver un pueblo abatido por la servidumbre infiriese un censo de la población el m…</t>
  </si>
  <si>
    <t>…onal': la comisión, conformándose coa el parecer del Gobierno , opi En seguida se leyó el artículo como habia indicado este Sr. diputa naba debía aprobarse este dictamen. do; y el Sr. Solanot expuso que .por esta contribución se gravaba de El de Ja de Poderes , relativo á Jos presentados por D. Juan Bautista masiado la clase agrícola, porque ademas del diezmo que tSnia qué Valdés, diputado nombrado en Monterey en representación de las pagar se le…</t>
  </si>
  <si>
    <t>…acar mas patente, por la cual se concedía permiso para que pudiese egercer su que un título; pero deberá pagar el de mas alto derecho, según las in industria el que la tuviese. El Sr. Solanot pidió que se sustituyese á la dustrias en que se ocupe. , ■ paiabra .título la de patente. En seguida se aprobó este artículo con es Art. g.° r. Si un individuo ó sociedad tuviere en diferentes pueblos ta indicación, haciéndose ia misma en todos ios demas art…</t>
  </si>
  <si>
    <t>…an los comisionados, á niendo una regla general , á fin de evitarlas en lo sucesivo. quienes renovaron sus demostraciones de-amistad, y buena disposición " Se leyó uná adición del Sr. Solanot. á uno de los artículos del plan respecto del gobernador y vecindario de esta plaza. . _ ¡. de Hacienda . aprobados en la sesión anterior,_que se mandó pasar a la comisión especial de este ramo. Madrid Lunes 28 de Mayo. Se leyó y mandó pasar á la comisión de…</t>
  </si>
  <si>
    <t>…teriores, respetad ;1 lo menos nuestra independencia políti harinas extrangeras. ca, y nuestra independencia religiosa. Sed, si queréis y si podéis, los Se leyó una indicación del Sr. Solanot, en la que manifestaba los restauradores de la antigua aristocracia , ó los fundadores de una aristo heroicos sentimientos deque estaban animados los vecinos de Zaragoza, cracia nueva; pero sed franceses, no seáis ultramontanos, pues no lo !;&gt; admirable const…</t>
  </si>
  <si>
    <t>…eces, se declaró esta por tercera prosperidad de la patria. lectura ; y el Sr. presidente señaló para su discusión la sesión ordinaria El Sr. Quintana dijo: Como la exposición del Sr. Solanot se inser siguiente des.pues de haber hecho la elección de presidente, vice-presitará en el Diario de Cortes, no puedo dejar pasar sin contestación una dente y un secretario. especie que he notado en ella. Supone el Sr. Solanot que el levanta El Sr. presidente…</t>
  </si>
  <si>
    <t>…abor- dijo &amp;c.”—En la de ayer&gt; col. 3.a, sesión de Cortes, después- que el -recible por sus excesos, no dominando mas terreno que el que ocupa Sr. Quiroga apoyó la indicación del Sr. Solanot, relativa á los heroicos ba. Se sabia también que las fragatas Prueba y Venganza , fondeadas, sentimientos y méritos patrióticos de. los inmortales zaragozanos, dijo en Acapulco, habian llevado 300 hombresdí tropa; y Reguero, coman el Sr. López ¿D. Marcial) q…</t>
  </si>
  <si>
    <t>…de los Reyes Ianot, Traver y Cortazar para la comisión encargada de ex*m:nar la y el de las mayorías, ellos no pueden alterar la naturaleza de las cosas, proposición hecha por el Sr. Solanot. acerca de declarar benem.r.u Je</t>
  </si>
  <si>
    <t>…los atrasos del emprés Se mandó pasar á la comisión especial de Hacienda una consulta tito acordado. fiel Crédito público acerca del pago de varios créditos procedentes de su- El Sr. Solanot dijo que se oponia á Ja contribución sobra Jas tier ininistros, y entre ellos el dé D. Josef María Conde. ras , porque no podían pagarla los labradores en atención á estar ya re A la ordinaria con urgencia una exposición del intendente de Se cargados con el m…</t>
  </si>
  <si>
    <t>…podía aprobarse por las mismas razones, porque no se habia El Sr. Zorraquin apoyó el dictamen de la comisión , manifestando aprobado el de 32. Para probar (continuó) que el mismo Sr. Solanot que esta no había procedido solamente á la división de algunas provin está convencido de que es necesario que se haga la división en mayor cias, porque su encargo era-el de proponer, la. división de la Península; número de provincias, llamo la atención de las…</t>
  </si>
  <si>
    <t>…a por estar mas atrasada tiempo se suspendió , y se mandaron ¡nseitar en el acta dos votos par en esta parte que Almería , que por si sola tiene bastante motivo para ticulares del Sr. Solanot, contrarios el uno.á haberse aprobado la pro prosperar. Si todas estas ventajas tiene el puerto de Almería, ¡para qué posición del Sr. Sancho, y el otro á haberse aprobado que se constitu fin situar allí, la capital con grave perjuicio de los habitantes de lo…</t>
  </si>
  <si>
    <t>…observaciones á unas netas sumarí.imas sobre la aptitud y • pe), Romero (D. Josef), García (D. Justo), Romero Alpuente, Za servicios de cada uno.” pata, Solana y Vadillo: otro del Sr. Solanot: otro del Sr. Díaz Mo- DeRealorden lo comunico á V. para su mas pronto y puntual .rales; y otro del Sr. GuerrafD. Basilio); y se levantó la sesiona las tres. cumplimiento. Madrid 5 de Octubre de 1821. __Sabemos que en los paises extrangeros han producido un e…</t>
  </si>
  <si>
    <t>…rca de los límites de 'interinos, que por enfermedades de los actuales tengan que des la provincia de Zamora. empeñar sus funciones , no siendo justo que quedasen sin pagar ni Del Sr. Solanot acerca de los de Teruel. unos por estar enfermos, ni otros por trabajar interinamente. Dos de los Sres. Azaola y Navas acerca de las provincias de San Digo pues que á pesar de aumentarse estas dos partidas en los suel tander y Burgos. dos de los gefes polític…</t>
  </si>
  <si>
    <t>Solanotyam-el'gue</t>
  </si>
  <si>
    <t>…tenecientes á realengo, propios ó comunes sión al sistema constitucional! Se mandó pasar á lariefénda bafesííóríi ‘ que se van á repartir ó enagenar. ■ - - Se leyó un discurso del Sr. Solanotyam-el'gue reclamaba láÁíiscú■ El Sr. Tapia dijo que tenia hecha una proposición sobre lo mismo, Sion de varias proposiciones que habia hecho, y‘se habían ‘nfohdado1 y que le parecía que la que se acababa de oir podia ser primera lectura, pasar á las comisiones' respect…</t>
  </si>
  <si>
    <t>SoldeviHa, Cárlos</t>
  </si>
  <si>
    <t>Cárlos SoldeviHa</t>
  </si>
  <si>
    <t>…e para reco establecimiento se ha subrogado en lugar de los directores que relian mendar la importancia de esta obra, que ha sido apreciada por todos dicha compañía á los síndicos D. Cárlos SoldeviHa, D. Francisco Mon- los mejores economistas: un tomo en 8.a Se vende en las librerías de toya y D. Miguel de Azpitoz; Jo que se avisa al público para qu« Rodríguez y de Matute á xo rs, en rústica. . SUPLEMENTO -</t>
  </si>
  <si>
    <t>Soler, Andrés</t>
  </si>
  <si>
    <t>Andrés Soler</t>
  </si>
  <si>
    <t>…Antonio Abad ; y de Clérigos menores, tal y su partido á D. Josef Vilella, D. Josef Codina, D. Mareo Mi del Espíritu Santo. Se suprimen los de Dominicos de la Pasión, cuyos randa, D. Andrés Soler, D. Vicente Fernandez Villegas y D. Tomas religiosos se trasladarán al convento de la misma orden én Ocaña; y Liñan. los de Sto. Tomas y del Rosario, y sus individuos se trasladarán ai En Ultramar. Para una media ración de la santa iglesia metropoli de Atocha…</t>
  </si>
  <si>
    <t>Soler, Josef</t>
  </si>
  <si>
    <t>Josef Soler</t>
  </si>
  <si>
    <t>…legar desque el.tribunal especial de.Guerra- y: Majina . hubiese admitido una •Aizquibel desde ViHa^Rea! de^ AlaVa con, algunos .facciosos á Maru cuarta instancia en los autos del capitán D. Josef Soler,; .por lo que pe landa: que es una venta situada ál píe de.-la cuesta de Salinas. , dían hubiese lugar á la forritacion de eáiisa.á dicho tribunal.:.;: En su consecuencia el alcalde de Escoriaza, .el¡comandante de sil Á la de Hacienda.serpasó un. expediente,…</t>
  </si>
  <si>
    <t>Soler, Mariano</t>
  </si>
  <si>
    <t>Mariano Soler</t>
  </si>
  <si>
    <t>…la causa sobre su conducta militar. do partes oficiales del cónsul de la nación en Tánger. Se pasó ai Gobierno una solicitud dé Doña Francisca Miyar, viu Madrid Ig de Marzo. da de D. Mariano Soler . teniente del regimiento de infantería de VaSS. MM: y AA. continúan sin novedad en su importante salud. lencey, solicitando se proporcione educación á sus hijos en un colegio. Las Corles recibieron con agrado, y mandaron pasar á la comisión CORTES. de Agricu…</t>
  </si>
  <si>
    <t>Soler, Pablo</t>
  </si>
  <si>
    <t>Pablo Soler</t>
  </si>
  <si>
    <t>…... 2.242,006 ■ . 649.&gt;36 Tallam'edra, capitán D. Bartolomé Pares; fragata la Libertad, capitán Soria.............................................................................. D. Pablo Soler ; bergantín Alejandro, capitán D. Jacinto Rey ; que- Toledo............................................................................. 2.849,976 Valladolid....................................................................... 2.059,687 chemarin Ntra. Sra.…</t>
  </si>
  <si>
    <t>Solís, Antonio</t>
  </si>
  <si>
    <t>Antonio Solís</t>
  </si>
  <si>
    <t>…tienen los siguientes___Primer cuaderno D. An tonio Leiya, Ambrosio Morales, el P. Juan de Mariana , Freynocimientos prácticos del arte de construcción. Lope Félix de Vega Carpió, D. Antonio Solís y D. Nicolás i a. La enseñanza de la escuela durará tres años, divi Antonio. — 2.3 cuaderno. EL cardenal Gil AlbornozGon dida en tres clases, que comprenderán la mecánica racional zalo Fernandez de Córdoba, el gran duque de Alba, Arias de solidos y fluidos, la geometría d…</t>
  </si>
  <si>
    <t>Solis, Dionisio</t>
  </si>
  <si>
    <t>Dionisio Solis</t>
  </si>
  <si>
    <t>…en los siguientes años pudieran tener pre D. Benito Antón Pisador, el conde de Clavito, D. Diego Parada,. sente los vecinos los nombres de sus conciudadanos qué en los anteriores D. Dionisio Solis, D. Felipe Bauza, D. Jcsef Marti, D. Josef Nuñez merecieron la confianza pública; pero no nos ha sido posible reunir la Arenas , D. Juan Ailonca, D. Juan Lasaña , D. Manuel Flores Calde lista completa de todos los compromisarios. Esperamos que tanto este rón…</t>
  </si>
  <si>
    <t>Solís, Pedro</t>
  </si>
  <si>
    <t>Pedro Solís</t>
  </si>
  <si>
    <t>…ausos en Malta, Ñapóles y Mesina. Una hacienda de olivar secano, con casa y algibe , en Varias iglesias griegas de Levante han pedido traduc el puerto de Sacacho, linda con las de D. Pedro Solís, ver ciones en idioma griego moderno. Los bohemios, húngaros,</t>
  </si>
  <si>
    <t>Sollos, Antonio</t>
  </si>
  <si>
    <t>Antonio Sollos</t>
  </si>
  <si>
    <t>…nará las penas con que deben ser castigados, no El mismo Señor ministro remitió á las Cortes;la solicitud, de solamente el juez que ordenare la prisión arbitraria, sino también la D. Antonio Sollos, y D.- Joaquín Arguelles , que, piden se les com persona que la pidiere y los demas que la egecutaren. , , prenda en. la propuesta que tiene hecha la junta de Galicia para 7.0 « La propiedad es un derecho sagrado é inviolable que tiene to premiar á ios oficia…</t>
  </si>
  <si>
    <t>Som-</t>
  </si>
  <si>
    <t>…habían esparcido acerca de la colonia de Albany. Sus visión de Jas contribuciones sobre tierras, consumos y clero, propues habitantes , lejos de estar quejosos de su gobernador el capitán Som- ta por el Gobierno. Aprobado. merset, le han regalado un magnífico vaso de plata. Se aprobó la siguiente indicación del Sr. Torre Marín: Que el El Rey ha dado una función sin etiqueta en su palacio de Carlton, Gobierno señale la cantidad que haya de pagar ía…</t>
  </si>
  <si>
    <t>Somoz, Josef</t>
  </si>
  <si>
    <t>Josef Somoz</t>
  </si>
  <si>
    <t>…f Serra, en Me dos y contadores en unión los medios y costo necesario para hacerlas norca D. Pedro María Santaló, en Mondoñedo D. Josef María Pardo producir. Montenegro, en Orense D. Josef Somoz3, en Orihuela D. Juan Rico, 13. Desde el presente año inclusive pagarán los comisionados del presbítero, en Osma D. Angel Itero, en Oviedo L&gt;. Ramón Gil, establecimiento en las provincias á los partícipes legos de diezmos un Couder, en Plasencia D. Modesto Ga…</t>
  </si>
  <si>
    <t>Somoza, Domingo</t>
  </si>
  <si>
    <t>Domingo Somoza</t>
  </si>
  <si>
    <t>…alá Don narias , haciendo varias reflexiones sobre ia capitalidad de aquellas islas. Josef Antonio Rayón. A la comisión que entiende en la reforma de aranceles se mandó Oviedo Dr. D. Domingo Somoza, gobernador del obispado, canó pasar'un expediente instruido á instancia de un vecino de Alicante so nigo. D. Francisco Bernardo de Quirós y Benavides, comandante de bre que se prohíba la introducción de manufacturas de hierro del exla milicia nacional de cab…</t>
  </si>
  <si>
    <t>…bibliotecario de la universidad de Santiago; el coronel D. Ferjan/por corregirlo , cuya, circunstancia aumenta extraordinariamente sus nanrto .Saravia; D. Ramón Lamas y Menendez-, D. Domingo Somoza, r tuerzas. De ésta suerte tienen los griegos nueve ventajís capitales con- provisor» y gobernador del- obispado de Oviedo.. tra.cuatro, y deben triunfar. Para esto, es.preciso que dediquen todo su Faltan los nombres de otros dos diputados y.los de los suplen…</t>
  </si>
  <si>
    <t>Somoza, Joaquín</t>
  </si>
  <si>
    <t>Joaquín Somoza</t>
  </si>
  <si>
    <t>…ción y la muerte que tantas veces se cual recomienda especialmente el comandante de la división á los seño han experimentado en la Península, y. se repiten en el presente año; res D. Joaquín Somoza , D. Jaime Prito, D. Antonio Vázquez , D. Jo S. M. ha tenido á bien mandar que V. S. recuerde de continuo á las sef de la Torre, D. Hilario Nogueras, D. Frar cisco Balct, D. Cipria autoridades dependientes de ese gobierno político de su cargo la urgente no Ar…</t>
  </si>
  <si>
    <t>Somoza, Josef Gabriel</t>
  </si>
  <si>
    <t>Josef Gabriel Somoza</t>
  </si>
  <si>
    <t>…ndrés Rojo , comerciante to de los nuevos aranceles; y la otra relativa al arreglo de aduanas de é intendente honorario de provincia. Betanzos D. Juan García. Lugo aquellas islas. D. Josef Gabriel Somoza , propietario , y D. Nicolás de Prado, aba Se dió cuenta de una exposición que remitia á las -Cortes el Sr. mi te. Ferrol D. Juan Cardcmil, escribano. Paulo D. Pedro Martínez nistro de la Gobernación de la Península del colector general de eslosada, cura de S…</t>
  </si>
  <si>
    <t>Sor, Farnando</t>
  </si>
  <si>
    <t>Farnando Sor</t>
  </si>
  <si>
    <t>…o lugar á la formación de causa Colección de caprichos de música para guitarra, arreglados i la es siguiéndose después todos los trámites prevenidos en este decretó, para cuela de D. Farnando Sor: un pliego que saldrá á mediados de Julio, •1 caso en que el escrito se publique bajo el nombre dei diputado.1 y de do» en dos meses sé continuara dando otro. El autor procura ¿nir Art. 6° Declarado que ha lugar á la formación de causa , y habiéndo a sus pens…</t>
  </si>
  <si>
    <t>Sorarte, Heuduvigis</t>
  </si>
  <si>
    <t>Heuduvigis Sorarte</t>
  </si>
  <si>
    <t>…Ibaceta, Sr. Lahirigoyen , de Bayona. Otro al mas instruido en aritmética. de Bilbao. D. Manuel Villaroel, de Badajoz. Otro al que tenga mas conocimientos del catecismo político. Doña Heuduvigis Sorarte, de San D. Manuel Angel Vidarte, de Otros tres á las alumnas mas instruidas en gramática, aritmética y Sebastian. Pamplona. Constitución, de todas Jas amigas de la ciudad. D. Francisco Javier de Goya, de Sres. Manzarraga y Ugarte, de Bil Todos los maestros y…</t>
  </si>
  <si>
    <t>Sorda, Pedro</t>
  </si>
  <si>
    <t>Pedro Sorda</t>
  </si>
  <si>
    <t>…” tes retirados D. Juan Antonio Benitez, D. Francisco Benitez, D. Jo be leyó el art. 9. , que decía: « De las rentas de la mitra patriarca1, sef Giiarte y D. Jíián Josef Benitez : D. Pedro Sorda, ciudadano. Igual después de rebajadas la di-cuna y pensiones legítimas, se recaudará todo mente habían pedido sér empleados el segundo'gefe del benemérito ba Jo que exceda de la cantidad líquida de 10 millones de reis. De ¡as rentas tallón de la Princesa; el…</t>
  </si>
  <si>
    <t>Soreda, D- Bartolomé</t>
  </si>
  <si>
    <t>D- Bartolomé Soreda</t>
  </si>
  <si>
    <t>…do presente cuando se ha jado medio de cuantos ha podido valerse, y particularmente del cono hablado de los puertos francos, es menester no olvidarlo ahora; y asi cido talento del Sr. D- Bartolomé Soreda, quien le franqueó ver las yo pido que no se apruebe este articulo mientras no se haga un regla máquinas, y proporcionó cuantas luces le fueron oportunas para esta mento para lós trasbordos, que impida á los buques extrangeros abu blecer en esta corte un obra…</t>
  </si>
  <si>
    <t>Sorela</t>
  </si>
  <si>
    <t>…ía habia venido á bien habilitar al Sr. D. Juan An Opinión los enemigos de la patria, gel Caamaño para la secretaría del Despacho de Hacienda, por ahora, y durante la ausencia del Sr. Sorela. Madrid 4 de Marzo. El Sr. presidente dijo que el Sr. habilitado de los negocios de Es SS. MM. y AA. continúan sin novedad en su importante salud, tado se sirviera pasar á la tribuna para leer la memoria. Aquel lo verificó , y dijo que la memoria que tenia el…</t>
  </si>
  <si>
    <t>Sorela, Luis</t>
  </si>
  <si>
    <t>Luis Sorela</t>
  </si>
  <si>
    <t>…tivo tan claramente manifestada? Justicia al gefe de sección D. Manuel Encina, y él de la de Hacienda Por otra pártelos que han aconsejado al Rey ;á qué le han ex al oficial mayor D. Luis Sorela. ■ puesto? A que siigamos nosotros que las'personas que merecen la con Concluida la lectura dijó el Sr. presidente- que por la del artículo fianza de la Nación son las mismas que S. M. ha separado de su lados del reglamentó se veia la'óbligacion de concurrir…</t>
  </si>
  <si>
    <t>Soria</t>
  </si>
  <si>
    <t>…bergantín Segovia............................................................................. 2.242,006 ■ . 649.&gt;36 Tallam'edra, capitán D. Bartolomé Pares; fragata la Libertad, capitán Soria.............................................................................. D. Pablo Soler ; bergantín Alejandro, capitán D. Jacinto Rey ; que- Toledo............................................................................. 2.849,976 Valladolid.........…</t>
  </si>
  <si>
    <t>Soria, Francisco de Paula</t>
  </si>
  <si>
    <t>Francisco de Paula Soria</t>
  </si>
  <si>
    <t>…los géneros, siendo de su cuenta los pequeños gastos de la Vega, abogado de los .tribunales de la Nación , vecino de Grana que puedan ocurrir hasta su entrega al comprador. 6 da ; D. Francisco de Paula Soria , abogado de los tribunales de la Na Art. 8.“ » Cuándo el valor de los géneros no alcanza á cubrir ]a ción, vecino de Granada; D. Pedro Alvarez y Gutiérrez, presbítero, suma que se ha de abonar por los derechos de la Hacienda pública, se vecino, hacendado y l…</t>
  </si>
  <si>
    <t>Soria, Miguel</t>
  </si>
  <si>
    <t>Miguel Soria</t>
  </si>
  <si>
    <t>…s eran propietarios El Rey, á consulta del Consejo de Estado/se ha servido; nombrar directos , á los cuales ios había sujetado el Rey D. Jaime á partir ios á D. Domingo Dueñas-y á D. Miguel Soria para dos ¡plazas de magis-, frutos que. recogian con.su trabajo con los señores de que se trataba. irados vacantes en'el1 tribunal supremo de Justicia. El Sr. Calatrava;manifestó que los señores diputados debian ceñirse en esta discusión á hablar' solamente d…</t>
  </si>
  <si>
    <t>Soromayor, Alvarez</t>
  </si>
  <si>
    <t>Alvarez Soromayor</t>
  </si>
  <si>
    <t>…dito pú entre el abuso de la libertad de imprenta y el de la palabra , por blico por el Sr. Alvarez Guerra. que aun cuando no son iguales en su extensión, puede ser mayor el de El Sr. Alvarez Soromayor presentó una "felicitación que dirigía á la palabra en cuanto al efecto , porque esta por lo regular se pronuncia las Cortes el ayuntamiento constitucional de I.ucena. La recibieron con con energía, y rara vez se leen las palabras con la viveza que se pro agr…</t>
  </si>
  <si>
    <t>Sorron, Juan</t>
  </si>
  <si>
    <t>Juan Sorron</t>
  </si>
  <si>
    <t>…atinidad á cargo de D. Do A la derecha: sí, sí. mingo Gómez de la Peña. Los discípulos de las escuelas da primeras El orador: con los derechos que nos asegura. &lt; letras,á cargo de D. Juan Sorron ,-.D. Paulino Sah.ignn y D. Josef Ro A la derecha : sí, sí. go Embria, ganaron 31 premios de segunda- y tercera clase , y. ademas El orador: con las instituciones que anuncia y las leyes que son se distribuyeron entre los niños 250 premios en egempiares de la…</t>
  </si>
  <si>
    <t>Sosa</t>
  </si>
  <si>
    <t>…la hecho el señor licitándolas por su nueva instalación. preopinante eran agenas de este lugar ; que lo que se debía tratar era Se mandaron pasar al Gobierno tres indicaciones del Sr. Sosa para si las Cortes podían exigir la responsabilidad á los empleados públicos que se destine al puerto de Santiago, en el mar del Sur , para pueblo de de que hablaba la comisión ; lo cual era indudable. oepósito de primera clase en lugar del de S. Blas, en la…</t>
  </si>
  <si>
    <t>…A la comisión especial de Hacienda se mandó pasar la exposición haber lugar á votar. que dirigió al Gobierno la junta nacional del Crédito público, en la Se leyó la siguiente del Sr. Sosa al art. 60: » Que se añada Cam que manifiesta la necesidad y justicia de ampliar el art. 8.° del decreto peche.” Aprobada. de 9 de Noviembre de 1810. También se leyó la siguiente de los Sres. Navas, Govantes, Calde A la de Salud pública se mandó pasar una exp…</t>
  </si>
  <si>
    <t>Sosa, Francisco de</t>
  </si>
  <si>
    <t>Francisco de Sosa</t>
  </si>
  <si>
    <t>…EI gefe político del dis das por el Excmo Sr. duque que fue de Gandía, y del patronato fun trito Manuel de Sierra y Usen.;:: El coronel del provincial comandante dado por el limo. Sr. D. Francisco de Sosa, obispo que fus de Osmj, de las armas Josef Feijo. e=EI comandante de invalidos Cristóbal Este- se servirán presentarse al rector del hospital de Ja Latina en la calle de ve.=El sargento mayor del provincial Josef Varearse! Arias.reEl ayu Toledo, quien tiene…</t>
  </si>
  <si>
    <t>Sosa, Francisco'Gutiérrez de</t>
  </si>
  <si>
    <t>Francisco'Gutiérrez de Sosa</t>
  </si>
  <si>
    <t>…e las armas, acudirán.por los res :D. Francisco Melgares Sahafosa y D. .Cosme Láredo, pectivos capitanes generales de las provincias, quienes del mismo modo, ■ - Idem de Valencia. D. Francisco'Gutiérrez de Sosa. -y en igual tiempo expresado para los inspectores, las remitirán al referi s En la de Galicia. Para la plaza de regente á D. -Antonio MarÍ3 do ministerio ; en el concepto de que pasado el término prefijado no se -Cabañero; y para magistrados á D.. Joaquín ,'…</t>
  </si>
  <si>
    <t>Sosa, García</t>
  </si>
  <si>
    <t>García Sosa</t>
  </si>
  <si>
    <t>…nos: „ La llas instancias; y fue aprobado su dictamen. Nación no pagará sueldos ni gratificaciones bajo ningún titulo a los em Se leyeron por primera vez ciertas proposiciones del Sr. García Sosa pleados que en adelante sean separados de sus empleos, sino en los casos sobre, que se decrete la abolición de un derecho que se paga á Yucatán. y en los términos de que habla el artículo siguiente.” Se leyeron por segunda vez otras proposiciones del Sr. cond…</t>
  </si>
  <si>
    <t>…n los decretos expedidos acerca de los emplea Se leyó.la minuta de decreto relativo á la administración militar, y dos cesantes." Aprobado. quedó aprobado. Se leyó una adición del Sr. García Sosa y otros, que decía: «Pe La comisión de Diputaciones provinciales presentó su dictamen dimos á las Cortes que el articulo t.° del proyecto de decreto presen acerca del presupuesto de gastos del ayuntamiento constitucional de tado por la comisión especial de Ha…</t>
  </si>
  <si>
    <t>…turales (esto es cuando se habla dedos clérigos indios).”. oficio de 14 del corriente, se ha servido S. M. resolver que subsi-ian - Tampoco se admitió á discusión la siguiente del Sr. García Sosa: en la ciudad de Jaén el convento de dominicos, eí de franciscos obser » Habiendo muchos eclesiásticos y religiosos europeos y americanos en vantes y el de carmelitas descalzos, agregando á este la comunidad del la provincia de Yucatán, pido á las Cortes se d…</t>
  </si>
  <si>
    <t>Sosa, Luis de</t>
  </si>
  <si>
    <t>Luis de Sosa</t>
  </si>
  <si>
    <t>…i de las Españas, en la privación de los títulos y honores forme ha ofrecido ejecutarlo su zeloso comandante el coro coa que en el dia se halla condecorado, inutilizándote ade nel D. Luis de Sosa, accediendo gustosamente á que con-? mas los egemplares hasta ahora recogidos, y publicándose curran cualesquiera otros individuos del público; pues la en la gaceta del Gobierno y diario de esta capital, según lo extensión de dicho sitio proporciona la posibl…</t>
  </si>
  <si>
    <t>…n seguida ocuparon sus respectivos asientos el Sr. presi dente y secretario. Lson 13 de Octubre. Se dió cuenta de una exposición de la diputación provincial de En Agosto último el coronel D. Luis de Sosa, vecino de esta ciu Alava y ayuntamiento constitucional de Vitoria , solicitando que se dad , representó á su ayuntamiento constitucional acerca del descubri dejasen agregados á esta provincia los pueblos que componían Ja her miento de un copioso manantial ,…</t>
  </si>
  <si>
    <t>Sosa, Manuel García</t>
  </si>
  <si>
    <t>Manuel García Sosa</t>
  </si>
  <si>
    <t>…a trigal, término del Arrabal del puente de Cisiro , donde lla La comisión de Poderes manifestó haber examinado los del señor man Tordamilanos, de 2 fanegas y 10 palos, en 180 rs. D. Manuel García Sosa , diputado.por Yucatán. Otra en dicho sitio, trigal y centenal , de 2 fanegas, 13 celemines, El Sr. presidente suspendió para mañana la lectura de varias indi en 70 rs. caciones, relativas al dictamen que se habia aprobado; y levantó ¡a Otra trigal, donde lla…</t>
  </si>
  <si>
    <t>…onstaba de ioá); y que-el bergantin-.de gueyra -d.juiles debía darias. - . saiir.qi-.zó.de.'Enero del Janeiro con uug&gt; de Ips.tres.comisionados., que- Se aprobaron los poderes del Sr. D. Manuel García Sosa , que í* dáiidope en dicho puerto los dos restantes. comisión había examinado, sin perjuicio de que se refundan en papel ■ ¡ Madrid c ~ de Marzo* del sello segundo. 2 ......... - "~ S3,;MM. y AA. continúan sin novedad en six-„importante salud. • Se mandaron p…</t>
  </si>
  <si>
    <t>Sotama-, Alvares</t>
  </si>
  <si>
    <t>Alvares Sotama-</t>
  </si>
  <si>
    <t>…age á otro utensilios de campaña , opinó que no debia aprobarse el « De Real orden lo comunico á V. para su inteligencia y efectos artículo que se discutía. Habiendo contestado el Sr. Alvares Sotama- 'convenientes. Palacio 9 de Junio de 1-821.” yor á las observaciones del Sr. preopinante apoyando el art. i.°, que dó aprobado. El capitán general de Extremadura en 11 del actual participa al Se leyó el art. 2.0, y después de una breve discusión quedó aprobad…</t>
  </si>
  <si>
    <t>Soto, Ignacio Perez de</t>
  </si>
  <si>
    <t>Ignacio Perez de Soto</t>
  </si>
  <si>
    <t>…Ochaita y Pariza , de Córdoba. quía &amp;c. Hago saber á mis súbditos que las Cortes han decretado lo T&gt;. Hilario Jiménez , de Zaragoza. Santa Cruz é hijos , de Logroño. siguiente: ’ D. Ignacio Perez de Soto. D. Santos Aboin, coronel de Las Cortes generales , extraordinarias y constituyentes de la nación D. Josef Sanz. Avila. portuguesa, queriendo aclarar y determinar los principios que se esta D. Josef Antonio Senosain, de D. Tomas Jiménez de Cenarbe, blecieron…</t>
  </si>
  <si>
    <t>Soto, Josef Serrano</t>
  </si>
  <si>
    <t>Josef Serrano Soto</t>
  </si>
  <si>
    <t>…Daniel, del ra los juzgados de primera instancia de la provincia de Jaén á los su- comercio de aquella ciudad; en Santander en la de D. Antonio de ia getos siguientes: para Jaén á D. Josef Serrano Soto para Mirtos á Cuesta y Hontañon, boticario; en Pontevedra en la de D. Juan ArgiD. Francisco Martínez Rey ; para Alcalá la Real á D. Miguel Lerin bay ; en Oviedo en ia de D. Marcos Saraudeses; en León en la de Don Bracamente; para Andujajr á D. Francisco de Pa…</t>
  </si>
  <si>
    <t>Soto, Manuel</t>
  </si>
  <si>
    <t>Manuel Soto</t>
  </si>
  <si>
    <t>…ictamen cárcel de ia Villa de-fe*nmma:----- ********a-r^ « t ; .;;?cetca.de la solicitiuLde -Ios-vecinos-de ,un -lugar-dé la provincia de A la de Legislación pasó una solicitud de D. Manuel Soto, canó Granada, en la que exponen que se hallarán reducidos á la mayor nigo de Palencia, pidiendo se le recomiende al Gobierno para que le miseria si se venden unos terrenos ( que ya se han sacado á pública su confiera una/p'laka de iftáglstrado^en-al^úna dé'…</t>
  </si>
  <si>
    <t>Soto, Miguel del</t>
  </si>
  <si>
    <t>Miguel del Soto</t>
  </si>
  <si>
    <t>…ulso, aunque sea con de Minaya en la provincia de Cuenca, pidiendo se les agregue á la de repugnancia , por no exponerse á sus insultos. Asi es que vimos pocos Chinchilla; otra.de D. Miguel del Soto, apoderado de los pueblos de meses há una exposición de unas 300 firmas (nunca publicadas), y en la provincia de Patencia, pidiendo se desestime una solicitud pendien la que abundaban i as mas violentas declamaciones contra ciertas perso te para que se agregu…</t>
  </si>
  <si>
    <t>Sotomavor, Fernando AIvarez</t>
  </si>
  <si>
    <t>Fernando AIvarez Sotomavor</t>
  </si>
  <si>
    <t>…iones las diputaciones provinciales; y al riente , en que incluía el parte que desde Anguiozar le habia pasado Gobierno solo le toca acordar las medidas que tenga por convenientes D. Fernando AIvarez Sotomavor, comandante de la columna móvil, para el mejor éxito de dichas obras. De modo que la de que se trata per compuesta de dos compañías de voluntarios de Cataluña, en el cual de tenece exclusivamente á la diputación provincial de Sevilla, solamente cía: ,,Que á l…</t>
  </si>
  <si>
    <t>Sotomayor</t>
  </si>
  <si>
    <t>…la comisión so sordo á sus clamores, pues habian padecido infinito, habiendo sido de bre señoríos está suficientemente discutido.” pojados de sus mismos bienes por los grandes. El Sr. Sotomayor dijo que este asunto no estaba suficientemente Hacia varías observaciones sobre la naturaleza de las concesiones discutidos que muchos diputados tenían la palabra, y que la indicación hechas por los Príncipes en recompensa de los grandes servicios, y era cont…</t>
  </si>
  <si>
    <t>…. presidente manifestó que este artículo era puramente regla tas plazas no podian proveerse sin dinero. mentario , y no propio para bases orgánicas ; pero que sin embargo si la El Sr. Sotomayor dijo que lodo lo que se oponía á la arbitrariedad comisión queria , se pasaría á su votación. del que mandaba no era promover la arbitrariedad; que la comisión El Sr. Rovira dijo que se votase, y resultó desaprobado. proponía un premio-para los hijos de aquel…</t>
  </si>
  <si>
    <t>…bian pagar ni aun los perjuicios,que se siguen, á su clase por lo establecido en el art. 153 el 2 por 100. del decreto orgánico de la armada; y una exposición dé los individuos Él Sr. Sotomayor apoyó el dictamen de la comisión , manifestando, de la maestranza del -arsenal de Cartagena pidiendo se les -aumente su que ..aunque era muy loable el que se atendiese á los fabricantes nacio sueldo- ’ :/ . .- , e nales de esta dase de máquinas, sin embargo n…</t>
  </si>
  <si>
    <t>…bia referido, pedia qué se aboliese esta pena. ■ habían hecho, presentase á las.Cortes lo mas conveniente. HSr. 'Gareli manifestó que su oposición á este artículo había sido no El Sr. Sotomayor dijo que no era sanguinario, ni creia que lo fuese ningún Sr. diputado de la Nación española ; pero sin embargo recono solo porqu.e.debía ponerse esta base en el código civil, sino también porque consideraba que se daba demasiada latitud á esta responsabilida…</t>
  </si>
  <si>
    <t>Sotómayor, Alvarez</t>
  </si>
  <si>
    <t>Alvarez Sotómayor</t>
  </si>
  <si>
    <t>…exposición del presbí La misma comisión presentó su dictamen acerca de la indicación tero D. Asensio Nebot, repitiendo la solicitud que tenia hecha para que al artículo 3.°hizo el Sr. Alvarez Sotómayor, qué decia asi: « Ha que se le concediese una prebenda eclesiástica, ó alguna finca de las biendo causas formales de esta misma clase , como sbn las que interesan aplicadas al Crédito público para recompensa de sus notorios servicios. al Estado, á la Hacienda…</t>
  </si>
  <si>
    <t>Sotomayor, Alvarez</t>
  </si>
  <si>
    <t>Alvarez Sotomayor</t>
  </si>
  <si>
    <t>…bido proponer á la provin jo , menos tiempo y dispendio se acercan al gobierno superior de la cia de Palencia. provincia; que este puede ocuparse mas y mejor en cada una de sus El Sr. Alvarez Sotomayor impugnó el dictamen de la comisión, atribuciones en atender á los proyectos de fomento y prosperidad de manifestando que convenia en que la división en provincias pequeñas será cada una de ellas; y este es un argumento que no tiene réplica sin que muy útil: p…</t>
  </si>
  <si>
    <t>…iales separando gurar mas el acierto en esta resolución , suplica á ios Sres. diputados dichas provincias. tengan á bien proponer los limites que consideren justos para la di i El Sr. Alvarez Sotomayor apoyó el dictamen de la comisión , y visión de sus respectivas provincias; la comisión tiene por muy con manifestó que la unión que había en aquella provincia no era tanta co veniente el excitar el zeio d: los Sres. diputados acerca de este pun mo signilicaba…</t>
  </si>
  <si>
    <t>…--En id., Se suspendió esta discusión, y se mandó pasar á la comisión de Ha- 11 carros y medio de prado, en venta 632 rs__ En id., 2 carros y 2 «ienda la siguiente proposición del Sr. Alvarez Sotomayor: » Pido que octavos de prado , en venta 123 rs—En id,, un carro y 7 octavos la la adición propuesta por el Sr. Bahamonde para la introducción de hi brantíos , en venta 144 rs_En id., un carro y 7'octavos de prado, en laza extrangera sin derechos en Galicia se…</t>
  </si>
  <si>
    <t>…ptase la tan considerable? ; Se ha de dar esta regla en atención á los mas des proposición que queda referida. graciados? Pues entonces compárense con el Sr. Novoa, que hace un El Sr. Alvarez Sotomayor hizo presente que el artículo de la co año que es teniente. Cree el Sr. Sánchez Salvador qiie se agravia á esta misión se oponia á la Constitución, puesto que no establecía la igual clase de tenientes, y yo no lo creo asi, porque si se trata de una clase dad…</t>
  </si>
  <si>
    <t>…na memoria de la sociedad de Lucena , sobre el modo de socor tos pertenecientes á las Cortes, si fueren desechadas por estas , no se rer á los verdaderos pobres, presentada por el Sr. Alvarez Sotomayor. volverá á tratar de ellas en las sesiones de aquel año: lo mismo suce Se recibió con agrado, y se mandó hacer mención en el acta de una derá en todos los negocios que fueren determinados por las Cortes. exposición de la diputación provincial de Murcia , feli…</t>
  </si>
  <si>
    <t>…idad que comete un delito en un país extrangero ofende á ia sociedad espa que debe haber entre las naciones. ñola ó á alguno de les individuos que la componen! No: luego no hay El Sr. Alvarez Sotomayor: A las observaciones que ha hecho el proporción entre el delito y.la pena; y el legislador, siempre que impo Sr. Rodríguez de Ledesma no se ha satisfecho, y por lo mismo si los ne una pena, debe atender á las consecuencias que resulten en perjuicio Sres. de l…</t>
  </si>
  <si>
    <t>Sotomayor, Fernando Alvarez de</t>
  </si>
  <si>
    <t>Fernando Alvarez de Sotomayor</t>
  </si>
  <si>
    <t>…zas, que pueblos inmediatos, y particularmente 1a del capitán' del batallón pro decía así: » Siendo muy posible que cuando llegue á las Islas Canarias visional primero de Cataluña D. Fernando Alvarez de Sotomayor, y á el aviso del decretó sobre modificación de diezmos se hallen percibidos los oficiales y tropa del mismo, que derrotaron y destruyeron á los re íntegros de la mayor parte de los frutos, pedimos que se díga al mismo - beldes de la venta de Gomilaz la noche…</t>
  </si>
  <si>
    <t>Sotomayor, Joaquín Catany de</t>
  </si>
  <si>
    <t>Joaquín Catany de Sotomayor</t>
  </si>
  <si>
    <t>…extraviadas á consecuencia de las últimas guerras, ce saber á' todos los acreedores del deán de dicha santa igle se previene á todos los interesados, que hayan justificado en sia D. Joaquín Catany de Sotomayor, canónigo que murió en Málaga , se presenten á legitimar sus créditos dentro de dos me forma legal la indicada pérdida ó extravío, acudan á la se ses, contados desde esta publicación, á efecto de percibir lo que cretaría de la compañía desde el día 8 del corr…</t>
  </si>
  <si>
    <t>Sotoraayor</t>
  </si>
  <si>
    <t>…s gencia y efectos indicados. Madrid 25 de Marzo.de 1821.” te punto de vista, y que en tal caso no podía volver el dictamen ¿ la comisión. Circular del ministerio de ¡a Guerra. El Sr. Sotoraayor leyó un discurso, en el que apoyaba el parecer de esta, manifestando los motivos que creia haber tenido para exten El Sr. secretario del Despacho de la Gobernación de la Península derle , y haciendo varias reflexiones sobre los abusos cometidos por los con fe…</t>
  </si>
  <si>
    <t>Sotos, Bonifacio</t>
  </si>
  <si>
    <t>Bonifacio Sotos</t>
  </si>
  <si>
    <t>…l Archipiélago. Por la provincia de Murcia. D. Josef Rodríguez Paterna ; D. Juan __El príncipe Demetrio ípsilanti dejó el mando de la Motea , porque Alix; D. Amonio Perez de Meca; D. Bonifacio Sotos; D. Ramón sus tropas insubordinadas degollaron á varios prisioneros turcos , á quie Reille. Suplentes. D. Bartolomé Cei Castiiio; D. Josef Aguilur. nes había ofrecido su protección. Con este motivo se embarcó para Hidra, Por la provincia ¡le Cuenca. D. Diego…</t>
  </si>
  <si>
    <t>Souto-Mayor</t>
  </si>
  <si>
    <t>…Vellington , al lord canciller, ai lord Liverpool &amp;c. Silva Carvalho por 43 : el Sr. Márquez de Gástelo Meihor Luego que S. M. se sentó en el solio, fue el ugier, lla por 41; y el Sr. Souto-Mayor, el cual habiendo salido em mado de ia vara negra, á avisar á ia Cámara de los Comu patado con el Sr. Manuel Antonio da Fonseca, decidió la nes para que ptea-e á ¡a de los Lores, y al cabo de pocos suerte á favor de aquel. minutos se presentó el orador acompa…</t>
  </si>
  <si>
    <t>Sp</t>
  </si>
  <si>
    <t>…alia con el pretexto de que hay una ’&gt; A estas noticias que me ha comunicado mi corresponsal de S. Mau revolución que el que tendría la Italia para llevar la guerra á Rusia, ro el Sr. Sp. V. con fecha de 19 de Abril añadiré que se ha suscitado cuando algunas revoluciones mas ó menos sangrientas deslucen el pala últimamente una contestación de importancia entre el capitan-bey, co cio de S. Petersburgo. mandante del bloqueo de las costas de Alb…</t>
  </si>
  <si>
    <t>Sparre</t>
  </si>
  <si>
    <t>…falta muy vo castillo central, que dentro de un año podrá cubrir un cuerpo de poco para una guerra civil en lo interior de aquella capital. egército. S. M. manifestó igualmente al general Sparre y á los ingenie No se saben aqui todavía con certeza los términos formales en que ros, la gran satisfacción que le causaban es'as obras. En la tarde del 21 está concebido el ultimátum dirigido por la Rusia á la Puerta oto llegó el Rey á Axyvall para hacer noc…</t>
  </si>
  <si>
    <t>Spcnccr</t>
  </si>
  <si>
    <t>…s Gobier buques detenidos y de otros súbditos ingleses; los cuales habiendo sida nos de la Confederación germánica favorezcan de un modo activo los reclamados personalmente por el capitán Spcnccr y por sir T. Hardy, generosos esfuerzos de la opinión pública; . pero aunque algunos hom que lo hizo por medio de una carta, han sufrido Ja mortificación de bres distingu dos, que deseaban ponerse á la cabeza de las nuevas cruza- -:que «1 capitán O'Higgins no…</t>
  </si>
  <si>
    <t>Speucer</t>
  </si>
  <si>
    <t>…ticias de Chne , hab an de la tonta de Lima , considerándola únicamen querido acceder á esta condición, y que esta repulsa no contribuyó po te como posible , en atención i que el capitán Speucer no se hallaba en co á avriar á Mahamud , hombre de un carácter' irascible, y de una estado de de fe líder por mucho tiempo la plaza. Después de estos uitiedad en que la experiencia no ha podido aun calmar ¡a violencia de las m &gt;s documentos no se han recibido…</t>
  </si>
  <si>
    <t>Spiga, Teodoro</t>
  </si>
  <si>
    <t>Teodoro Spiga</t>
  </si>
  <si>
    <t>…por eso dejaron de cortarse Conttnuacion.de correos que van y vienen á todos los puntos del algunas cabezas. imperio ruso desde la llegada del embajador StrogonofF á Odessa. _ El Sr. Teodoro Spiga , bolones, ha conseguido licencia del Gobier El cónsul ruso en Valaquia ha dado aviso, por orden de su Gobierno, no para hacer el fila 1.” de Octubre próximo, si el tiempo lo permite, á t idos los súbditos de su nación que se hallan enBucharest que se apre un…</t>
  </si>
  <si>
    <t>Spina</t>
  </si>
  <si>
    <t>…TALIA. dia antes un r por 100, aunque esta baja se atribuía al es tado de la liquidación, y a la voz que corría de que el mi ' Roma 32 de Enero. nistro iba á descontar papel. ' El cardenal Spina, legado de Bolonia, recibió órdenes del Papa para pasar á.Laibach, á donde ¡ya debe haber llegado. . FRANCIA. Se cree que irá también el cardenal Gonsalvi, secretario -d« I Estado. Paris go de Enero. Una carta de Ñapóles dice lo siguiente: Se acaba de imprimi…</t>
  </si>
  <si>
    <t>…gociar...... Y aun se dice que esta idea ha empezado á za ; Mr. de Spiridon, cónsul general déla misma naGion en prevalecer en el Parlamento nacional, en donde hay mu Venecia ; el cardenal Spina, legado del Santo padre al Con chos diputados que unen á una dilatada experiencia una sa greso , y en fin el teniente nencral ruso conde de Woronzorv. biduría y una prudencia que hasta ahora no se han des mentido. Prueba de ello ha sido la discusión sobre el…</t>
  </si>
  <si>
    <t>…todo comparece ante su presencia. Por eso la pala ministro plenipotenciario cerca de la misma córte. bra del diputado, elevada en este momento á la misma soberanía qué Roma. » El cardenal Spina; legado de S; S. el Papá én Bolonia! su pensamiento, de que es-el órgano, no está sujeta como soberana mas Cerdefía. «El marques de Saint-Marsan, ministro de los Negocios que á las leyes eternas de la verdad, .de la justicia y de la razón. •xtrangeros; el con…</t>
  </si>
  <si>
    <t>Spinelli, Antonio</t>
  </si>
  <si>
    <t>Antonio Spinelli</t>
  </si>
  <si>
    <t>…anzas sobre los derechos y obligaciones de estos em Marques dé S. Eramó. El abate D. Domingo Sarno. pleados en los puertos extrangeros para el buen desempeño de su en £l‘ director D. Antonio Spinelli. El párroco D. Cayetano Giannat- cargo. Príncíp'é de Belvedere. tasió. En seguida hizo el orador varias reflexiones sobre lo ocurrrido en Príncipe_de.Supmq. . El sacerdote D. Loreto Abruzzese. la legislatura del año de 1820, en la que se trató ya de este asun…</t>
  </si>
  <si>
    <t>Sptomayor, Felpando Alvarez</t>
  </si>
  <si>
    <t>Felpando Alvarez Sptomayor</t>
  </si>
  <si>
    <t>…bienes. •. . I, ~ .....I,,. .tallón i;.-'-.de: voluntario* fie Cataluña, qué á las órdenes de su ■ dig-r‘r. Ef.de -la,misma. sobre qu9-.se apruebe la, emancipación de D. .Fran ,no comandante D. Felpando Alvarez Sptomayor, batieron con bi cisco R'oldan, natural de Marbella, hecha pofsu padre.;- ! r zarría, y deshicieron completamente la gavilla de facciosos que dirigía -.-r.-íjl de;.la,misma sóbreúque fío Se accedad Ia.h,tbil¡fac¡pnsolicitada .*! yscribanofJP.!;Trifon,Ortizrde…</t>
  </si>
  <si>
    <t>Sr</t>
  </si>
  <si>
    <t>…o que en cuanto a! diputado que se enviaba, y dé casa, sobre lo que se hablan dado va providencias; á lo que contestó el que hacia mención el oficio, sino podían considerarle como diputado Sr. Maldonado que tenia-entendido que el apedrearle las ventanas de su de la nación, creían las comiciones que-se le debia conceder el honor casa habia sido por ser la única de toda la ciudad que no estaba ilu de ser presentado al Congreso, como lo hab:an sido l…</t>
  </si>
  <si>
    <t>Sr, Castlereagh y</t>
  </si>
  <si>
    <t>Castlereagh y Sr</t>
  </si>
  <si>
    <t>…IAS DEL REINO. medio de semejantes manejos se aumentan igualmente las fir mas en las exposiciones reales y constitucionales. Barcelona 2_p de Enero. -----El conde de Liverpool, el lord Castlereagh y Sr. G. Esta ciudad disfruta ya desde el a no 1814 (gracias al Pagel llegaron el miércoles último al palacio de Brighton. zelo de la junta de gobierno del comercio de Cataluña ) de En este día daba el Rey un gran convite, al cual debía asis las Memorias de agricu…</t>
  </si>
  <si>
    <t>Sr, Cirios Él</t>
  </si>
  <si>
    <t>Cirios Él Sr</t>
  </si>
  <si>
    <t>…z. Las Cortes recibieron con agrado, y mandaron pasar á la comisión su discusión, se presentase con la brevedad posible. del Gobierno interior de Cortes una medalla presentada por D. Cirios Él Sr. Ramos Arispe pidió también explicaciones sobre dos pun Gimbernat, cuyas inscripciones son: En el anverso: Alianza ¡leí tro tos, interesantes: el primero si era cierto que el navio Asia, en que de no, y libertad, sillada con la lava ardiente del Vesubio. En j…</t>
  </si>
  <si>
    <t>Sr, El</t>
  </si>
  <si>
    <t>El Sr</t>
  </si>
  <si>
    <t>…cias en todas las administraciones princi Sesenta años há que no-se veia en Inglaterra un solo ca pales y agregadas de correos. nal de navegación, hasta que un rico particular (el duque El Sr. D. Josef Martínez Moscoso, ministro honorario de de Bridgewater) emprendió uno para conducir el carbón la audiencia territorial, y juez de primera instancia en esta M. H. de sus minas hasta cerca de Manchester, ciudad floreciente - villa, por auto de 5 del c…</t>
  </si>
  <si>
    <t>…que volviesen aque señalada á aquellos pueblos para completar el pago de la contribución. llos bienes á la Nación. ■ - - A la misma una instancia del ayuntamiento constitucional, cura El Sr. Calatrava impugnó el dictamen del Sr. Rey, manifestando párroco y vecinos de un pueblo de la provincia de León en solicitud que cuanto alegaba en su discurso no era bastante para que los señores de que se les dispense del pago de la contribución por el tiemp…</t>
  </si>
  <si>
    <t>47 2 cion de géneros extrangeros y venta de los decomisados. sus sentencias por un efecto de la arbitrariedad. A lade Hacienda y Ultramar unidas una exposición del ministro El Sr.. Florez Estrada presentó una representación, dirigida á las de Hacienda, .dando cuenta de haberse nombrado el superintendente Cortes por la milicia nacional local de caballería de la ciudad de Medina general para las provincias de Nueva-España , conforme á l…</t>
  </si>
  <si>
    <t>…1 El Sr. conde de- Toreno, después de haber leído el plan que queda tre las iglesias que pudiesen verificarlo. referido , dijo que no podía , menos de .manifestar i las Cortes que Don El Sr. presidente dijo que mañana se discutiría la ley orgánica del Joaquín Uriarte, con su acostumbrado zelo y laboriosidad , habia con egército, y que por la noche habría, sesión extraordinaria para el nom tribuido mucho á la formación de él. ¡ bramiento de direc…</t>
  </si>
  <si>
    <t>…Sr. presidente nombró para el examen de la memoria del .se gata Pronta, á fin de que determinase lo que hubiese lugar. ñor ministro de Gracia y Justicia en lugar cel Sr. Bodega al señor El Sr. González Allende dijo que el Sr. ministro habia cumplido Ayestaran. ' con dar las noticias que se le habían pedido; y que si-se quería proce Se leyó por primera vez una proposición del Sr. Alartinez de la der contra el comandante de la Pronta, ó de cualquier…</t>
  </si>
  <si>
    <t>…arece no puede apro tores parroquiales de partido, conforme á' las bases que se adoptan en la barse esta indicación. Constitución.” Y después se puede añadir lo que ha indicado el señor El Sr. Villa manifestó la necesidad que habla de comunicar oronro preopinante con respecto á la propiedad. esta resolución, ya fuese favorable ó no: que asimismo la América no El Sr. Sancho dijo: aun asi este artículo es contrario á la Cons deseaba la independencia…</t>
  </si>
  <si>
    <t>…ontribuciones un estado nominativo de los pueblos, y en ¿l in Circular del ministerio de la Gobernación de la Península. dicará el número de cuotas y su importe; los presentará al intendente El Sr. secretario del Despacho de Gracia y Justicia en oficio de de la provincia para que los vise, y en seguida dirigirá á cada deposi hoy me dice lo siguiente; tario de rentas una copia de lo que les perteneciere cobrar. » Habiéndose servido mandar las Cortes por…</t>
  </si>
  <si>
    <t>…de Mayo de 1821.” y 12 en pasta. De la autoridad Real según las leyes divinas reveladas, las leyes na ANUNCIOS. turales y la Carta constitucional: obra, escrita en francés por el señor El Sr. intendente de esta provincia ha aprobado el remate de cua de la Serve , abogado en Paris, y traducida al castellano por A. O. Z. tro casas, sitas en esta corte, que fueron del monasterio de premostra- Sóndela mayor importancia los principios contenidos en es…</t>
  </si>
  <si>
    <t>…tra todos los actos del Gobi erno actual de Francia , establecido en perjuicio de su legítimo ARTICULO DE OFICIO. Soberano. » Protestamos igualmente en nuestro nombre, y en el del príncipe El Sr. secretario del Despacho de Estado con fecha de ayer dice Carlos Francisco Napoleón, única cabeza de la nación francesa , contra lo que sigue: todas las resoluciones de las altas potencias reunidas en el Congreso, n No ocurre novedad particular en la importan…</t>
  </si>
  <si>
    <t>…población &amp;c., Antonio del Campo; y para el de Reinosa á D. Pedro Diez. á las cuales se hubiese contraído k comisión. En lá provincia de Santander: para el juzgado de la Capital á Don El Sr. Rovirá manifestó que la comisión habia tenido presehte , al Josef Gájalio y Cabañas: para el de Potes á D. Josef González Suarez: proponer la provincia de Alicante, los muchos motivos que se reunían para el de Puente Nansa á D. Cristóbal de Mier y Cos: para…</t>
  </si>
  <si>
    <t>…acienda Búrgos que siéndolo Valladolid, como lo propone la comisión de las. y Comercio sobre rectificación de aranceles. Cortes! Aqui viene bien la comparación que ha hecho el Sr. ministro El Sr. Medrano dijo que la secretaría recibió ayer un oficio después de la Guerra, relativa á la circulación de las órdenes; pero todo lo de levantada la sesión , en el que se participaba á las Cortes que SS. MM, que puede probar es que Pamplona no debe ser capital…</t>
  </si>
  <si>
    <t>Sr, Gisbert la Opinión del</t>
  </si>
  <si>
    <t>Gisbert la Opinión del Sr</t>
  </si>
  <si>
    <t>…o de la Guerra. riores de esto mismo, me parece que debe suprimirse el que se discute. A ia comisión especial de Hacienda se mandaron pasar el expedien Después de haber apoyado el Sr. Gisbert la Opinión del Sr. pre te entre la Hacienda pública y la casa de Beltran de Lis sobre cieñas opinante, manifestando que se sobrecargaría mucho á la Nación con esta obligaciones y pago de las mismas, remitido por el ministro del pro medida, cdntestó el Sr. Navas: la obje'cioa d…</t>
  </si>
  <si>
    <t>Sr, Ramón FeEl</t>
  </si>
  <si>
    <t>Ramón FeEl Sr</t>
  </si>
  <si>
    <t>…para hablar moros , mi secretario de Estado v del Despacho de ia Gobernación de le con relación á lo que en ella se expresaba. la Península, he venido en nombrar para suceder le á D. Ramón FeEl Sr. Moreno Guerra apoyó la indicación del Sr. Golfín, mani liu , qué lo es de la Gobernación de Ultramar, cuyo cargo continuará festando debían hacerse presentes á S. M. los males que existían en el desempeñando al’ mismo riempó interinamente. Tendreislo entendi…</t>
  </si>
  <si>
    <t>Sres</t>
  </si>
  <si>
    <t>…no, ó que se le señalen para su pago bienes nacionales. La comisión de Poderes presentó su dictamen acerca de los de los A la de Legislación y Marina unidas pasó una exposición de Don Sres. 1 eran, Apestarán y Fagoaga, diputados por la provincia de MéFrancisco Noriega , juez de primera instancia en-la-provincia de Gali xico , y el Sr. Cortazar por Guauajuato; en cuanto á los primeros opi cia, en que hace presente los perjuicios que se siguen en…</t>
  </si>
  <si>
    <t>Sres, Algunos</t>
  </si>
  <si>
    <t>Algunos Sres</t>
  </si>
  <si>
    <t>…solicitud al minis se discutiera el decreto sobre aguardientes; levantando la de este dia. tro del Interior. Sesión del 16. El general Foy subió á la tribuna, y dijo: Señores, el general Algunos Sres. diputados hicieron varias proposiciones. Marceau feneció joven de edad , y viejo de gloria en el campo de ba El Sr. Borges Garneiro presentó una solicitud de varios labrado talla cerca de Altenkirchen. Aunque habia hecho mucho por la Fran res, y habló sobre…</t>
  </si>
  <si>
    <t>Sres, Ana Clemencia Fernandez</t>
  </si>
  <si>
    <t>Ana Clemencia Fernandez Sres</t>
  </si>
  <si>
    <t>…PAÑA. Xa dirección de hidrografía., D. Josef Joaquin Martí, de BarD. Gabriel Odier y compañía, de celona. Madrid Domingo 18 de Noviembre. - Paris. D. Pablo Miralta , de Barcelona. Doña Ana Clemencia Fernandez Sres. Broin Compte y compañía, Si la libertad de imprenta es, como hemos dicho otra vez; el pa- de Pescia , de Cádiz. "de ídem. ladium de las libertades públicas, el derecho de petición es otra de las D. Josef Maria de Segura, de Va- D. Antonio Bulbena , de Barcep…</t>
  </si>
  <si>
    <t>Sres, Calatrava los</t>
  </si>
  <si>
    <t>Calatrava los Sres</t>
  </si>
  <si>
    <t>…blo de Sevilla es constitucio Fueron nombrados para la -comisión que debe informar sobre la nal y obediente á ias leyes: no es el que representa; son solomo ó .50 -proposición del Sr. Calatrava los Sres. López £D. Marcial), Rey , -Flo personas que invocan el nombre del pueblo , y solo estas deben ser res rea Estrada , Calderón y Subrié. ponsables. No hay pues necesidad de que las. Cortes exciten al Gobier fie leyó ia siguiente exposición del Sr. Martel : „ P…</t>
  </si>
  <si>
    <t>Srevá, Rafael</t>
  </si>
  <si>
    <t>Rafael Srevá</t>
  </si>
  <si>
    <t>…es , y procuren ceñirse á lo mas sustancial y útil. el Pó el egército austríaco. Las memorias que se remitan para concurrir á los premios se han de dirigir francas de porte al Dr. D. Rafael Srevá, articulo de oficio. primer secretario de la academia, y han de estar escritas en español ó en latín. Circular del ministerio de la Gobernación de la Pe Madrid 11 de Febrero. nínsula. SS. MM. y AA. continúan sin novedad en su. impor Enterado S. M. del expedie…</t>
  </si>
  <si>
    <t>Srewart</t>
  </si>
  <si>
    <t>…e de Se asegura ya como positivo que el día 29 presentará el resultas de una discusión en Troppau se nombrará un su marques de Pastoret á la Cámara de los Pares el informe cesor á lord Srewart, y que este no ha hecho mas que de acerca de la conspiración de 19 de Agosto. A pesar de la fender el honor de su Rey y de su patria. actividad que ha habido en el particular , se han pasado mas ---- Se cree en el dia que se hará alguna otra tentativa con de…</t>
  </si>
  <si>
    <t>Srnith</t>
  </si>
  <si>
    <t>…vide. 10 de Marzo y 9 de Abril, rrlativos al resultado de las operaciones de Las Cortes quedaron enteradas de una exposición.del ayuntamiento la expedición á las órdenes del mayor-general Srnith , enviada ul mar constitucional de Aina, dando gracias á las Cortes por la erección de Rojo contra los árabes de la tribu de Beni-Boo-Alí.Es sumamente sen Chinchilta en capital de provincia independiente. sible anunciar que este buen suceso no haya podido con…</t>
  </si>
  <si>
    <t>SS</t>
  </si>
  <si>
    <t>…ite decir lo mejor. Luego añade: «La asamblea de los Estados de Pest ha mostrado al Madrid Lunes i¡¡ de Octubre. guna resistencia á las propuestas de la corte. El barón Orozi y el conde SS. MM. y AA. continúan sin novedad en su importante salud. Festelitz han usado de un lenguagc bien poco agradable al Gobierno. Se exige á ia Hungría que suministre inmediatamente y sin dilación n’RF.CCION GENERAL DE LOTERIAS. 283 reclutas que debe desde 181 5.”…</t>
  </si>
  <si>
    <t>Ssforcada, Francisco</t>
  </si>
  <si>
    <t>Francisco Ssforcada</t>
  </si>
  <si>
    <t>…z La comisión retiró el artículo 125. D. Mariano Lison.zzD. Manuel lisoni =: D. Pedro Tomas.zzDon Art. 126. » A los oficiales de este cuerpo no se les dará ningún Manuel Diego, zz D. Francisco Ssforcada. zz Y yo el infrascrito secre destino que no sea respectivo á él mismo.” Aprobado. tario. Asi mas largamente resulta de la acta extendida en el libro de Art. 127. » Si algunos individuos de él se destinasen para escri resoluciones de la referida parroquia, qu…</t>
  </si>
  <si>
    <t>St</t>
  </si>
  <si>
    <t>…tario del Despacho fie sicil.iaha á sus Estados,.y.que lo misino harían el famosa conde Hacienda me dice lo que copio.: . , . . , ...1 de Blacas, embajador de Francia en Roma , el general St. Vincent, que ; El tesorero general de .la. Nación-tne. diqe con fecha. 27,de‘;Enero lo-es por Austria en: París ¡ el-conde de Truchess. por .parte de Frusta, último lo.que sigue: »Devuelvo á jV, Es.lxs.dos; adjuntas:Reales óry el conde de Aglié:ppr'a de Cerd…</t>
  </si>
  <si>
    <t>Sta</t>
  </si>
  <si>
    <t>…ra cortar la retirada á los restos de aquel egército, dado caso que pales artículos. Como esta verdad la demostraba con hechos, debió amar intentasen rehacerse en Alejandría. n El general Sta. Rosa, que mandaba la ciudadela de Turin, la ha gar en extremo á la mayoría, y asi el presidente interrumpió) al ora dor diciéndole que su discurso no tenia relación alguna con eL artículo entregado hoy á las dos de la tarde á nuestra guardia nacional, y ha m…</t>
  </si>
  <si>
    <t>…confirman el levantamiento de los grie gozaban de una independencia absoluta como Estado soberano. El ex- gos en la isla de Candía. K1 resultado parece ser que los candiotas han. ministro Sta. Rosa, piainontes , habia salido de la Suiza hacia Alema ofrecido 16'3 hombres armados á sus hermanos de la Morca , asegu nia , y no se sabia en qué punto de ella iba á fijarse. rándoles que ademas pueden contar con un número suficiente de si Italia. No puede…</t>
  </si>
  <si>
    <t>Sta, Juan</t>
  </si>
  <si>
    <t>Juan Sta</t>
  </si>
  <si>
    <t>…e aprobó. Aragón, D. Agustín Muñoz y D. Bartolomé Caballero: tenientes Don Se leyeron y aprobaron los arts. 7.0 y 8.°, que son como sigue-- Francisco Guerrero, D. Pascual Climent, D. Juan Sta. María y Don 7. » Se exceptúan de la anterior disposición las encomiendas, pensio Federico Vera: subtenientes D. Salvador Villagrá , D. Vicente Castro, nes y diezmos aplicados á la universidad de Cuimbra y á los estableci D- Francisco Lemes, D. Vicente Arias…</t>
  </si>
  <si>
    <t>Stá.'María, Josefa</t>
  </si>
  <si>
    <t>Josefa Stá.'María</t>
  </si>
  <si>
    <t>…de espada, legitimidades oficio del notario mayor D. Josef Antolin de Ibarrola , se sigue causa de canon, legitimidades de pergamino; y esto podía saberlo muy bien de divorcio por Doña Josefa Stá.'María contra su marido D.'Francis la gaceta de Francia, si no se hubiese olvidado de Bonaparte, el cual, co de Palacio; y por ignorarse el paradero de este se ha mandado, á á no ser por los españoles, hubiera tenido bien pronto su legitimidad instancia de la primer…</t>
  </si>
  <si>
    <t>Stanhope, Lincoln</t>
  </si>
  <si>
    <t>Lincoln Stanhope</t>
  </si>
  <si>
    <t>…albaneses- una orden del dia del gobernador, en la que se da parte de las venta Naupli di Romanía se halla también estrechado vigorosamente por los jas conseguidas por el teniente coronel Lincoln Stanhope en la provin cristianos de Argos. cia de Okamandel , el cual, puesto al frente de la columna de su man A este nombre ¡ qué gloriosas memorias no deberían representarse do , habia conseguido rendir el fuerte de Dwarka. La fortaleza fue to ú los griegos descend…</t>
  </si>
  <si>
    <t>Stanieüo</t>
  </si>
  <si>
    <t>…ultitud de Parece que la comisión de pesquisas experimenta grandes dificulta curiales, en donde todas las ideas razonables, todos los descubrimien des para conseguir su objeto. El general Stanieüo , individuo de la co tos útiles habían sido formalmente proscritos; y que aun en una causa misión, y conocido por su adhesión al Rey, ha intentado probaren un justa no podían resistir á un mandato expreso del Rey, sino suspen 'discurso que á ninguno de los pr…</t>
  </si>
  <si>
    <t>Ste-</t>
  </si>
  <si>
    <t>…e provincia en mente falso. Nada ha ocurrido que se le- parezca: ninguna los primeros dias: del próximo mes de Enero una relación queja sé ha dado av ía corte de Inglaterra contra lord Ste- por rentas y vamos , ó la correspondiente nota el que no Tvart éno ha cesado,..de" reinar la mejor inteligencia entre hubiere tenido ingresos sino por un solo ramo, de las can este y el ministro de Austria; y la noticia de. su retirada es tidades que hubieren…</t>
  </si>
  <si>
    <t>Steávart</t>
  </si>
  <si>
    <t>…sos, y que tai vez será et_ engrandecimiento minuirá una mirad de Jos empleados de correos dél ejército. tté estós TsV único resultado. .,. __Eli7 del corriente salió para Londres lord Steávart, embajador de __En una carta de B-flin de 26 de Junio se habla de una Inglaterra cerca dcTniestra corte. - " ' que se Ha descubierto en Pru^ia, y cuyo objeto se reduela á estable La Puerta otomana ha tenidó por conveniente mandar retirar á los cer en aquel re…</t>
  </si>
  <si>
    <t>Stella, Angel</t>
  </si>
  <si>
    <t>Angel Stella</t>
  </si>
  <si>
    <t>…rvado igualmente el ele D. Antonio Casas, de id. En Lucena en la de D- Juan. .derecho, por la sentencia de la chanoillería á los que le puedan Turrull , de id. En Andujar en la de D. Angel Stella, de. tener mejor que Doña Josefa Gabriela Valdearenas. id. En Palma de Mallorca en la de D. Juan Veirer, de El tribunal especial de Guerra y Marina ha mandado se ci id. En Cuenca en la de D. Valentín Mariana, librero. En te y emplace por medio de la . gaceta…</t>
  </si>
  <si>
    <t>Steward</t>
  </si>
  <si>
    <t>Núm. 137. (7 cuartos.) G A CET A D E' MADRID. VIERNES 10 DE AGOSTO DE 1811: NOTICIAS ZXT&amp;AN&amp;XRAS. la corte de Víena lord Steward , cuyo arribo, á Londres anunciaron loa periódicos-ingleses para.el 10 del corriente.Dicen que se detendrá algu SUECIA» nos dias en esta ciudad. ..Ai, ; El conde de Lleven , embajador de Rusia .en la corte de Londres, Stqckolmo la dé Julio. llegó» Petersburgo…</t>
  </si>
  <si>
    <t>Stewart</t>
  </si>
  <si>
    <t>…e nuestras fuerzas de mar en el Callao noche á ia quinta de lord Castlereagh , llamada de North- el 14 de Abril . en que llegaron las tres fraaatas conducien Gra-y, con pliegos de lord Stewart, embajador ingles en do el batallón de granaderos de reserva , compuesto de óc-o Viena, y de Mr. Gordon, que se ha hallado en las confe hombres, y al esc.adrnn de la Union de 160. S. M. se ha rencias de Troppau. S. S. despachó inmediatamente un cor enterado d…</t>
  </si>
  <si>
    <t>…mejor. ALEMANIA. Mr. Fitzroy, uno de los secretarios de la embajada británica cerca de la corte de Austria', pasó anoche por Hannóver io de Diciembre. esta ciudad con pliegos del lord Stewart, embajador en Las modificaciones y mejoras que contienen las propo Viena, que dicen ser de la mayor importancia, y conti siciones del Gobierno consisten, según se dice, en lo si nuó su viage en posta para Londres. guiente: i.°Ia abolición, ó al'menos la dimin…</t>
  </si>
  <si>
    <t>…do de la mayor satisfacción : las que recaen di «Nos sirve de mucha satisfacción oir que Mr. Canning rectamente sobre los contribuyentes debían llamar vuestra deberá reemplazar al lord Stewart en .Viena, pues dichp atención ante todas cosas, pues el desproporcionado repar personage ha tenido, ocasión en varias partes de la Europa timiento del impuesto territorial agrava mucho su peso, y de conocer los deseos de los pueblos respectó del modo dé V. M…</t>
  </si>
  <si>
    <t>…de bienes raíces fuesen ios únicos qué las propiedades inglesas que existen en aquel reino.” estuviesen exentos de ese espíritu de innovación y de discu Aunque el altercado entré lord Stewart y el principo sión que se temia introducir en los Congresos legislativos, de Metternich ha sido desmentido muchas veces, y no co-, y si el interes local, que suele dominar á los propietarios, mo quiera, sino oficialmente, según las apariencias; la cor no les…</t>
  </si>
  <si>
    <t>…fundándonos en buenos datos, que no Aügsburgo 31 de Diciembre. tienen aun noticia del destino que se les da. Escriben: de Viena con fecha del 2; que el embajador : AUSTRIA. ingles lord Stewart preparaba para el primer día del año un gran festín con magnífico baile, al que deberían aristir los dos' Viena 27 Diciembre. Emperadores y todos los ministros. Creemos sin embargo,que esto último no se pueda verificar , porque seguir otras De algunos dias á…</t>
  </si>
  <si>
    <t>…ccionar la terrible invención de vida , que debe dársele sin intermisión, es la opinión publi cohetes á la congreve. ca, para la cual son indispensables la libertad de hablar y El lord Stewart dió un grande baile el día 2 de este escribir, y los medios rápidos de difundirla. He aquí por</t>
  </si>
  <si>
    <t>…ales del edificio halló una viva re No han quedado ya en esta capital mas diplomáticos sistencia, y se vió acalrada de un diluvio de piedra^; pero que los ministros prusianos y el lord Stewart; pero pare á petar de eso rompió prontamente la puerta á las voces de ce que 'saldrán. luego los primeros. Se habla con variedad so viva el Rey. Algunos estudiantes fueron heridos en esta bre si lord Stewart irá ó no á Laibach. No se sabe fija ocasión, y algu…</t>
  </si>
  <si>
    <t>…y demás individuos ing eses re ha retrasado su salida para Laibach, en donde se le esta es sidentes en aquella capital han enviado sus efectos .t bordo perando. Se asegura que el lord Stewart, embajador de Inglater— de la escuadra, y que otros han saiido para Roma. Continuación de la sesión dél Parlamento ingles. -ta, ha entregado al príncipe de Metternich y al conde de Hubiera sido mucho mas decoroso para los ministros el Capo dTstria una nota im…</t>
  </si>
  <si>
    <t>…gocios del Rey conseguir que el nombre de S. M. se insertase de nuevo en de Nápoles en Laibach. la liturgia, lo cual hubiera hecho que se' decidiesen todos Todavía se ignora si el lord Stewart, embajador de In los que están convencidos de la injusticia con que se ha pro glaterra, saldrá para Laibach se habla de un nuevo diplo cedido contra la Reina, y se limitaba á una época en que mático que se espera de Londres, y entre tanto está sir los ministr…</t>
  </si>
  <si>
    <t>…cargado interino de pasará mucho tiempo sin que recibáis mejoras considerables, negocios de la corte de Londres; y se estaba esperando al y un aumento de fuerza én varios cuerpos. lord Stewart y al conde de Clanwillinm. La vuelta que ha dado la legión por los Abruzzos es la Por tas Dos Siciiias. F.i príncipe de Ruffo, embajador causa de que en Nápoles no haya progresado mucho, bien que del Rey de Ñapóles cerca de la corre de Viena; el marques dentr…</t>
  </si>
  <si>
    <t>…dei tiempo, os prometí que se os en En vista de las instrucciones que por un correo de ga tregarían los egemplares al cerrarse vuestras primeras sesio binete recibió de Londres el lord Stewart, salió inmediata nes. Quedan cumplidas vuestras órdenes y tni palabra. Os mente para Laibach, donde hay actualmente tres diplomá presento bajo la forma nacional el Código de vuestra liber ticos ingleses. tad , #1 objeto lftrgo -tiempo deseado por vuestros may…</t>
  </si>
  <si>
    <t>…s, y alterar ni un momento la tranquilidad que nuestras tropas hayan penetrado en el territorio napolitano. publica, sepa que el Gobierno seguirá sus pasos con la mayor vigilan El lord Stewart, embajador de Inglaterra, ha enviado desde La¡-- cia, y que será castigado con todo el rigor de las leyes. bach un correo á Ñapóles, por el cual aconseja al comandante de las. ,,Dado en el palacio Quirinal el 8 de Febrero de 1821. =: Firma fuerzas navales de…</t>
  </si>
  <si>
    <t>…mo préstamo, y no como subsidio, lo que era fácil probar tes aun al bien; por lo cual confesaré, si se quiere, que según el esta por medio de la correspondencia de lord Grenville, lord Stewart y do de cada orden social podria haber cierto grado de instrucción, el Mr. Gordon, y también por las palabras de Mr. Pitt, el cual habia Cual alcanzando á una porción de ciudadanos demasiado numerosa ,y®declarado en la Cámara que este era un empréstito hecho…</t>
  </si>
  <si>
    <t>Sto</t>
  </si>
  <si>
    <t>…iputados y suplentes, comunicándose al efecto orden al En la provincia ds Málaga, procedentes del suprimido convento de Gefe político de Cádiz para que se proceda á la elección de diputado Sto. Domingo de la ciudad de Ronda, para cuyo primer remate, y suplente; y que se egecute por las últimas juntas electorales de pro que se ha de verificar en la misma, está señalado el dia y del pre vincia siempre que exista el mayor número de electores de partid…</t>
  </si>
  <si>
    <t>Stokler</t>
  </si>
  <si>
    <t>…dad „ Participo á V. que estamos en la mayor consternación con mo de esta medida, manifestando los perjuicios que va se estaban sieu'entivo de las órdenes que se han recibido del .general Stokler, en virtud do de no haberla adoptado, y la urgencia de que se empezase ia venta, de las cuales se han puesto edictos en las calles para que todo el.que estableciéndose una tesorería para su producto. tenga papeles públicos de esa capital los vaya i entregar ,…</t>
  </si>
  <si>
    <t>Stolle, Antonio</t>
  </si>
  <si>
    <t>Antonio Stolle</t>
  </si>
  <si>
    <t>…na Caldera Freile, hija de la Doña Beatriz, en el En Burgos en la de D. Paulino Alegría, de id. En Santia convento que fue de Sta. Clara de esta corte; y á cuyo goce y go en la de D. Antonio Stolle, de id. En Barbastro en la obtención de dichos patronatos está reservado igualmente el ele D. Antonio Casas, de id. En Lucena en la de D- Juan. .derecho, por la sentencia de la chanoillería á los que le puedan Turrull , de id. En Andujar en la de D. Angel Ste…</t>
  </si>
  <si>
    <t>Storéy</t>
  </si>
  <si>
    <t>…e Bujukdere. Es evidente, que el ultimá solamente, tenia la espada; pero ro armas de fuego m municiones. Eltum de la Rusia no era un,paso'particular-y separado de parte de la cor» capitán Storéy estaba encargado de los, partes , y recibió muchos iádrite d&amp;St, Pctersbiirgori sino.que el Emperador, de, RusU. obraba en esto llazo-, pedradas y heridas-;. , de acuerdorcon el.de Austria, á .quién manifestó sus intenciones por me-, rxAxctA. dip.de dos corre…</t>
  </si>
  <si>
    <t>Stourdza</t>
  </si>
  <si>
    <t>…, y que Alemania, que hizo entonces grande sensación. Se habla con mucho sus tripulaciones han sido degolladas sin d-st ncion de edad m de »; so? elogio de este nuevo trabajo del Sr. Stourdza.” ¡Que un gran número de anc anos lurcos que voivisfi de :a M ’ca . v-nt.deudos, d¡ic..mos'o asi , por su devoción ó por solo ei ob;eto rf.- su tNOLATEIUCA. viaq-e, no han podida hadar prrion ante sus desamad idos en ::H jrr-i lie J-indrec 2 de Oí iuire. aqu:…</t>
  </si>
  <si>
    <t>Str-angfort</t>
  </si>
  <si>
    <t>…el príncipe de xVIetternich es el inclinar ai Gibmctc ingles £ do estrecho hasta el cabo meridional de la isla de Ourouso, á los 45o que procure templar el genio demasiado vivo de lord Str-angfort, qué 5 U de latitud norte. Ningún buque ext'rangero podrá aproximarse á mo es siempre á propósito para hacer que la Rusia disminuya sus pretcn aquellas costas á mas de roo millas italianas (45 leguas de 25 al grado) siones ,. y establecer una perfecta armonía…</t>
  </si>
  <si>
    <t>Strangford</t>
  </si>
  <si>
    <t>….. «Como tenemos desde el dia 15 un tiempo tan hermo Se está esperando aquí de un dia á otro al embajador de so, se aprovechan de él los Soberanos}’ los ministros, y parInglaterra lord Strangford , que viene abordo de la fragata sean por los sitios mas deliciosos de este pueblo. El Empe Cambrian. La Puerta ha enviado un mihmandar (maestro rador dé Rusia y el Rey de Nápoles suelen ir á pasear al de ceremonias) á cumplimentarle ; y la legación inglesa J…</t>
  </si>
  <si>
    <t>…ón y administración. También han procedido estas alguna vez cias de un suceso que no tiene egemplo. del Gobierno, como en la convocación de la última Dieta ha su El dia 18 tuvo el lord Strangford su primera audiencia del gran cedido, llamándose por el Rey á tomar parte en ella á dos pro visir, y el 22 del Gran Señor. E11 esta se le hicieron ciertas distincio pietarios de bienes nobles por cada círculo, no siéndolo estos personal nes que hasta ahora na…</t>
  </si>
  <si>
    <t>…el espacio diente, y ño tenia que dar cuenta sino á Dios de su conducta. intermedio. Es pues muy factible que emplee dos ó tres años eu su vía» El reis-effendi habia asegurado al lord Strangford que la Puerta ge. También ha escrito él mismo á sus amigos que desearía no conci procuraba evitar cuanto pudiese dar motivo á una guerra con la Ru biesen de antemano grandes esperanzas con motivo de su empresa. sia , poique conocía que no habiendo acabado con…</t>
  </si>
  <si>
    <t>…á fin __Según algunas cartas muy fidedignas de Constantinopla, ía Europa de poder despachar con libertad ios géneros de que están atesta deberá acaso la conservación de la paz al lord Strangford, embajador dos sus almacenes. Si esto no se les concediese, los negociantes que de la Gran Bretaña. El tono y Jas amenazas del barón de Strogonoff hicieron especulaciones fiados en las palabras del Gobierno ruso, se habian irritado en tales términos al Sultán…</t>
  </si>
  <si>
    <t>…o mas formal. Es continuamente están dando los primeros contra los súbditos austríacos. pTeciso convenir que si se verifica la guerra, las seguridades que de la » La influencia de lord Strangford va siendo cada vez mas grande contrario dió tan positivamente el marques dé Londonderri en el Par en Constantinopla. Ha recibido varias veces el distinguido honor de lamento comprometerían de un modo singular la alta reputación que comer con el Sultán, distin…</t>
  </si>
  <si>
    <t>…e les prescribe! ,e ignora si eíl mucho en pasar el i ruth. Gobierno los tratará con rigor, ¡si tal sucede, se aumentará mucho el » Asegúrase que toda. la habilidad y ..táctica de lord Strangford no número de ios rebeldes, y habrá mas gente que castigar, -v han sido bastantes para vencer la inllexibilidad dci Gran Señor , que hl estado de 1- Sicilia es todavía .peor'que el de ¡as provincias de 1* no quiere acceder á nuevas concesiones.” parte de ac.i…</t>
  </si>
  <si>
    <t>…tas, las cuales han Augiburgo 13 de Noviembre. vuelto á renovarse con mas frecuencia que nunca. Los griegos acusan á Se hnn recibido cartas de Constantinopia de 13 de Octubre, que lord Strangford , ministro de Inglaterra, de haberse contentado con de anuncian haber llegado nuevas tropas astáticas, y se cree qtie las llama la cir al divan, que le había dado parte de la orden sanguinaria que se iba Puerta á su socorro para oponerse á un ataque que están…</t>
  </si>
  <si>
    <t>…r entre París so de Noviembre. los primeros ministros de estas dos potencias,en Hannóver. -Así que Según cartas de Semlin parece que al mismo tiempo que los turcos M. de I.utzow y lord Strangford presentaran a la mayor brevedad al reúnen sus fuerzas en ¡as márgenes del Danubio ¡os griegos juntan las reis-etVendi una nota , prometiendo en nombre de las Cortes de Aus suyas en la Tesalia, la Macedonia y el Epirq, donde las cosas han tria y de la Gran-Brc…</t>
  </si>
  <si>
    <t>Strangfórd</t>
  </si>
  <si>
    <t>…le tenia destinan Labiado ya varias veCes*, d^larf da áal mismo tiempo que S. M. de- do en el consejo de Gabinete. Actualmente se halla con el duque de scab'j ardientemente que el lord Strangfórd emplease su grande influen Portland. El de Montrose se presenta nuevamente como candi dato*: para za en inclinar á la Puerta á aceptar lasrproposiciones de la Rusia. Sin , mayordomo mayor, fie dice que si- han tomado nuevas disposiciones so enibsrgo, aquí se…</t>
  </si>
  <si>
    <t>…nuncio de una binete ruso va cada día descorriendo mas el velo de sus planes ambi mudanza total en la política otomana. Se cree que esta mudanza haya ciosos. *;do promovida por el lord Strangford, quien habrá hecho ver á ia Francfort 6 de Diciembre. Puerta 13 peligrosa situación en que á juicio de algunos se halla. Otros la Dieta germánica, después de haber acordado las bases de la orga aseguran que la exoneración de aquel ministro no tiene retacón ai…</t>
  </si>
  <si>
    <t>Strañgford</t>
  </si>
  <si>
    <t>…nquistas importantes. En gura al ver lo mal recompensados que han sido sus importantes servicios. tre tanto han arrestado á muchos individuos de una y otra nación. Si &gt;» Luego que lord Strañgford supo la invasión de los persas, des se examina con imparcialidad la situación del imperio otomano , no pachó inmediatamente correos á Ispahan y á Teherán con al objeto do puede menos de vaticinarse una catástrofe extraordinaria, que acelerarán inspirar al sch…</t>
  </si>
  <si>
    <t>Strangfort</t>
  </si>
  <si>
    <t>…Turquía, cuando Esta notic 1, cuya confirmación sa espera, parece cierta en atención no fuese tan impolítica como Bonaparte lo fue cuando atacó á Ja Es a que el ministro británico lord Strangfort, que no solo subsiste en paña, y en fin cuarido á la ocupación misma de Constantinopla no s« Constantinopla, sino que aparenta tener grande indujo en el divan, siguiese la conqu.sta del resto de la Turquía. acaba de remitir á todos los cónsules de su nación ,…</t>
  </si>
  <si>
    <t>Strangftbrd</t>
  </si>
  <si>
    <t>…y dijo madas por el Gobierno dé &lt; onstantinopla ! El embajador de Inglaterra que faltaba expresar qué pena se Je habia de imponer al Rey en caso vive satisfecho. La influencia de lord Strangftbrd, nos dice el correspon que contraviniese á él, pues los artículos en que se le imponía por pena sal , es tan; ilimitada como ventajosa (probablemente para los ingleses); la abdicación de la corona no prevenían estos casos: por cuya razón ss -y por lo que resp…</t>
  </si>
  <si>
    <t>Stranglord</t>
  </si>
  <si>
    <t>…¡as opinio darán principio á las hostilidades si los rusos no se dan priesa á pasar nes están acordes en un punto, á saber, el de su independióos. Los el Prnth. Se asegura que el lord Stranglord, á pesar de su táctica , no griegos de mas edad y prudencia desean una m narquía ind pendiente lia podido conseguir nada del Gran Seííor. con una Constitución representativa bajo un pnn&lt;_ pe extrangero: ¡os Ser»liti 6 de Noviembre. jóvenes, y principalmente l…</t>
  </si>
  <si>
    <t>Strano</t>
  </si>
  <si>
    <t>…ijos de la patria á los de los que pereciesen en el campo de batalla, y. como tales manteniéndolos y educándolos á ITALIA. expe nsas de la nación; y fue aprobado este proyecto. El Sr. Strano leyó otro proyecto de ley, que también fue aproba Ñápales 23 de Febrero. do, relativo ú que siendo invadida la capital, el Parlamento, la te sorería &amp;c. debían trasladarse á otra ciudad en las inmediaciones del PARLAMENTO NACIONAL.—Sesión del 20. cuartel gene…</t>
  </si>
  <si>
    <t>Strassoldo</t>
  </si>
  <si>
    <t>…irigió otras cartas á los condes de Bellegarde y de Bubna; intentan hacer á sus enemigos. Los 69 hombres que el Gran Señor aca al presidente de la policía conde de Sealnitzk, y al conde Strassoldo, ba de enviar á Varna no han esperado á salir del Bogaz (canal de presidente del Gobierno de Milán. Constantinopla) para empezar sus rapiñas. En Beikos cometieron todo género de excesos contra los francos, y lo mismo sucedió en Bujucdere. IT Al XA. Un español…</t>
  </si>
  <si>
    <t>Stratti</t>
  </si>
  <si>
    <t>…mnidad digna de los proyectos de Ipsiianti. del memorable suceso que recuerda, ha dado su ilustre ayuntamiento Trie 1 te (Istria j 24 de Agosto.. las disposiciones siguientes : El Sr. Stratti, gefe de una casa antigua y principal griega de comer El Excmo. ayuntamiento ha acordado que el lunes 14 del actual , cio de esta plaza , que se sabe haberse encargado de los asuntos de sus aniversario de la instalación de las Cortes generales y extraordi com…</t>
  </si>
  <si>
    <t>Straugíort</t>
  </si>
  <si>
    <t>…sus principales circunstancias, teniendo buen cuida un signo para dar semejante orden. Se espera por- momen do de omitir todos los hechos capaces de descubrir las cau tos aqui al lord Straugíort, que viene como embajador de sas de este gran suceso. Inglaterra. ALEMANIA. ' ---- Se asegura que la peste ha cesado ya en Argel; que han sido desarmados todos los barcos corsarios, y que el Heidelberg i¡ de Diciembre. Dey vive con tranquilidad en su palacio.…</t>
  </si>
  <si>
    <t>Strogonoff</t>
  </si>
  <si>
    <t>…ulacho una familia griega, á la cual acababa de dar asilo f AVIESA. para libertarla de una muerte horrorosa, amenazaron violentar la puer ta del palacio. En estetrance se portó el Sr. Strogonoff con sumo de Isuremberg 28 de Mayo. coro y firmeza: acompañado por todas las personas agregadas á su Acabamos de recibir por conducto extraordinario la noticia de la embajada, se presentó en ei balcón del palacio, y declaró por medio de feliz llegada de S. M.…</t>
  </si>
  <si>
    <t>StrogonofF</t>
  </si>
  <si>
    <t>…ia tranquilidad pública; pero que no por eso dejaron de cortarse Conttnuacion.de correos que van y vienen á todos los puntos del algunas cabezas. imperio ruso desde la llegada del embajador StrogonofF á Odessa. _ El Sr. Teodoro Spiga , bolones, ha conseguido licencia del Gobier El cónsul ruso en Valaquia ha dado aviso, por orden de su Gobierno, no para hacer el fila 1.” de Octubre próximo, si el tiempo lo permite, á t idos los súbditos de su nación que se…</t>
  </si>
  <si>
    <t>StrogonotF</t>
  </si>
  <si>
    <t>…diendo á los ruegos de su familia, se ocultó; pero habiéndole llamado judicaba la Bélgica á la Holanda, la Noruega á la Suecia, la mitad de nuevamente el reis-effendi, le instó el barón StrogonotF á que saliese la Saxonia y las provincias dei Rhin á la Prusia , los Estados venecianos de su retiro, asegurándole que respondía de su vida. Danesi se presen al Austria , poderosa ya con la Lombardía ; y el Genovesado á la Cerdetó en la Puerta el dia 2 de May…</t>
  </si>
  <si>
    <t>Strogonotf</t>
  </si>
  <si>
    <t>…y otras muchas casas particulares. quero de la embajada rusa , que con absoluto desprecio de las reclama Al medio dii se echó un globo aerostático, en el cual se leiaa ciones del conde Strogonotf fue inhumanamente ajusticiado después de las palabras-de «globo de la coronación de J. tv R.” Subió en él una dura prisión. El Gobierno ruso se queja ademas de ios desaires y Mr. Green , y se elevó magestuosamente cerca del estanque de Greendesprecios que se…</t>
  </si>
  <si>
    <t>Stutterheim</t>
  </si>
  <si>
    <t>…cha......}. Seguramente un pue . Ayer tuvimos noticias del egército austríaco. Después del choque blo que se hallase en semejante situación seria mas digno de lástima del día 7.el general Stutterheim hizo un movimiento, y sin haber en que si estuviese sujeto á un poder absoluto. Obligado a alimentar y á contrado: un solo napolitano, atravesando las gargantas de Carsoli en engordar á una aristocracia codiciosa, no le quedaría mas medio de sal turen Tagliac…</t>
  </si>
  <si>
    <t>…S. restituirse á la Italia alta. La segunda división del egército del general Frimont será la que evacúe la Italia inferior, porque hace ya muchos RUSIA. meses que la división dal general Stutterheim se puso en marcha para el Pó, donde está acantonada. El egército de dicho general Frimont queda Odesa 14 de Noviembre. de este modo reducido eñ el dia á tres divisiones de infantería y un Corren por aquí algunas copias de la nota del conde de Nesselrode, cuer…</t>
  </si>
  <si>
    <t>Stutterhelm</t>
  </si>
  <si>
    <t>…ner por cierta- la conservación de la tranquilidad. Dicen guna ni en España ni en Turquía.” .. . también qúe á consecuencia de este convenio vuelve á la Lombardía la 'división del general Stutterhelm. FRANCIA. . ITALIA* Parts y de Mayo. Roma H£ de Abril. CAMARA de los diputados._Sesión del 8. Ha causado al Rey de Ñapóles- una gran-satisfacción la visita que En la sesión de este dia se leyeron varias peticiones, algunas de ellas le hizo ayer el Padre Santo…</t>
  </si>
  <si>
    <t>Su, Se</t>
  </si>
  <si>
    <t>Se Su</t>
  </si>
  <si>
    <t>…ional es el mar Mediterráneo. nisterio se hicieron en Andalucía de tamañas necesidades, los benemé Límite oriental. ritos profesores de Cartagena D. Josef Raneé , D. Josef Furió , D. Se Su límite oriental da principio en S. Juan de los Terreros: sigue al bastian Florit y D. Manuel Navas se presentaron gustosos á sacrificar E. del Campo de Pulpi á la sierra del Medió , cabeza de la Jara , tor la quietud de sus destinos en alivio de los epidemiad…</t>
  </si>
  <si>
    <t>Suarez, Alonso</t>
  </si>
  <si>
    <t>Alonso Suarez</t>
  </si>
  <si>
    <t>…rte » chas de contrabando en el dia 26 de Junio de 1821,” denunciado unas con otras, se han asegurado para sí estos empleos, conservando re por el comandante del résguatdo militar D. Alonso Suarez, y también laciones no interrumpidas con la Puerta. Se les ve intrigar continua^ por el fiscal el Lie.D. Francisco Solano, la ley absolvió á ü. Inocen mente para suplantar á los que tienen algún empleo: los hijos intrigan cio de Aja, vecino y del comercio de…</t>
  </si>
  <si>
    <t>Suarez, Francisco Fernandez</t>
  </si>
  <si>
    <t>Francisco Fernandez Suarez</t>
  </si>
  <si>
    <t>…aría de Loreto Rodrí ambición , ó los de la injusticia contra un pueblo que reclama lo que vecino de Bilbao. guez. todos han reclamado en diferentes épocas, y tarde ó temprano han D. Francisco Fernandez Suarez. Doña María Asunción Sexma. conseguido. D. Francisco Antonio Briagas. Dona María Mercedes Cevallos Los periódicos renuevan la noticia de hallarse preso en las Siete-Tor D.'Felipe Ronedo. y Noroña. res el embajador ruso, "k pesar de las; representaciones hecha…</t>
  </si>
  <si>
    <t>Suarez, Josef González</t>
  </si>
  <si>
    <t>Josef González Suarez</t>
  </si>
  <si>
    <t>…n. En lá provincia de Santander: para el juzgado de la Capital á Don El Sr. Rovirá manifestó que la comisión habia tenido presehte , al Josef Gájalio y Cabañas: para el de Potes á D. Josef González Suarez: proponer la provincia de Alicante, los muchos motivos que se reunían para el de Puente Nansa á D. Cristóbal de Mier y Cos: para el de Co en ella á favor dé esto mismo; tales eran la riqueza, población, y millas á D. Vicente de la Gándara-, para el de Torre l…</t>
  </si>
  <si>
    <t>Suarez, Manuel</t>
  </si>
  <si>
    <t>Manuel Suarez</t>
  </si>
  <si>
    <t>…justo, con el goce cor primera Instancia de Hinojosa de la Serena, vindicándose de la queja respondiente del monte pío, á cada uno de los ex-secretarios del Des dada contra él por D. Manuel Suarez; y otra de D. Juan Francisco pacho consejeros honorarios de Estado D. Evaristo Perez de Castro, Aguado y D. Esteban Cabañez, vindicándose de una queja dada contra D, Agustín Argfieiles, D. Ramón Gil de la Cuadra , D. Manuel Gar ellos por D. Tiburcio López. cí…</t>
  </si>
  <si>
    <t>Subercace</t>
  </si>
  <si>
    <t>…ya » Para la enseñanza de la música se establecerán escuelas en Madrid y quil y Manila.” Aprobado. Barcelona.” El art. 58 se redactará en estos términos: «Y nueve en Ultramar, Del Sr. Subercace y otros: El artículo 64 dirá asi: » En esta escuela á saber: México, Guadalajara , Goatemala, Havana, Manila, Lima, politécnica se enseñarán las materias siguientes: geometría descriptiva y Chile, Santiago y Buenos-Aires.” Aprobado. todas sus aplicaciones: le…</t>
  </si>
  <si>
    <t>Subrié</t>
  </si>
  <si>
    <t>…la podría verificarse con las demas que presentasen los ¿res. secretarios del segunda los Sres. Cañara!, Hinojosa , Lórenzaaa , Valcarcel y Govan-i Despacho. tes, y para fiscal el Sr. Subrié. ' El Sr. Romero Al puente, reclamó como lo mas urgente, y pidió Se dió cuenta de un oficio que se acababa de recibir del Gobierno, .que se leyera con preferencia,una proposición que, tenia hecha sobre to en el que se trasladaba á noticia de las Cortes, que h…</t>
  </si>
  <si>
    <t>…ué que-decia: ,¡0 sobre el que hubiesen'tomado parte en la:discusion.” decia:» Después de la palabra Constitución” d rfr/éy. - Se aprobaron las tres adiciones que siguen : una del Sr. Subrié al- , Se aprobó otra del mismo Sr. diputado al citado articulo , y era; art. 68 A ño ser que ocurra-algún caso extraordinario, en que á jui- que á la palabra artes se añadiese: » De canales, caminos y demas obras eio del Sr. presidente sea necesario tenerla.»…</t>
  </si>
  <si>
    <t>…o jamas sin culpa que conste. ;,Se leyó y aprobó el acta,de la sesión anterior. ■ :&gt; 5.0 « Exceptúame los casos determinados por la Constitución, y aun El Sr. presidente nombró al Sr. Subrié en lugar del Sr. Moscoso; en estos le dará el juez por escrito dentro de 24 horas el motivo de su para que enrienda en el examen de la memoria del Sr. ministro de prisión. Gracia y Justicia. 6° « La ley designará las penas con que deben ser castigados, no El…</t>
  </si>
  <si>
    <t>…previene en ■ dicho sirven todas las teorías del mundo» decreto.” ' , El Sr. Banqueri expuso algunas reflexiones contra el dictamen de Se leyeron en seguida el voto contrario del Sr. Subrié, y el de los la comisión , manifestando que esta debia haber propuesto el año pa Sres. Oliver y Calderón. sado que se pagaran los intereses del modo que hoy lo proponía. Que El Sr. Romero Alpuente dijo que le parecía no debían aprobarse no debia preferirse el…</t>
  </si>
  <si>
    <t>…urar y tomó asiensurabati el 18 de Noviembre que el ultimátum de aquel Gabiri.-le con tiene , entre otras cosas , la resolución decisiva de ocupar la Moldavia to en el Congreso el Sr. Subrié. Se pasó á las comisiones de Hicienda y Beneficencia una exposiy la Va'aquia, y tres plazas fuertes en la Morea por un tiempo inde ción de los fabricantes de jabón de Zaragoza, pidiendo se anule laterminado. Se sabia la obstinación de la Puerta en la negativa…</t>
  </si>
  <si>
    <t>…o, y demás autoridades y susu opinión sobre el punto de responsabilidad, que es el que las Cortes getos que han firmado la representación. le lian cometido. El voto particular del Sr. Subrié estaba reducido á que solo las pri Sobre la situación del pueblo de Sevilla, no obstante la idea que se meras autoridades de Sevilla eran responsables de la falta de cumpli presenta ya por las mismas observaciones que hace D. Ramón Luis Es miento de las órden…</t>
  </si>
  <si>
    <t>…lito, y que por tal le ha in El Sr. Florez Estrada dió nuevas explicaciones sobte este pasage, troducido la Diputación permanente de Cortes, digo que si se mira co remitiéndose al Sr. Subrié; y este último hizo presente que habiendo mo consecuencia de¡ primero no dubió venir al Congreso, puesto que dicho á los Sres. secretarios del Despacho manif.slasr n su opimon co esta calificó y juzgó el primero de que dió cuenta el Gobierno ; y si se mo pers…</t>
  </si>
  <si>
    <t>Suchtelen</t>
  </si>
  <si>
    <t>…e el tancia para los habitantes de este reino. tenienre general Lewaschew, se compone de los mayores Los estados particulares de los principados de Grubengenerales :Conde Guriew y barón Suchtelen, y de cuatro hagen y de Calenberg se. han reunido también aqui por, coroneles, entre los cuales se halla el del regimiento de ahora para tratar de varios objetos peculiares de aquellos guardias Probraschenski. El coronel Schwartz ha sido re Estados. . emplaza…</t>
  </si>
  <si>
    <t>Suel, M. B. García</t>
  </si>
  <si>
    <t>M. B. García Suel</t>
  </si>
  <si>
    <t>…ios antiguos hallados ei&gt; 52 rs. á la rústica y 64 en pasta. Los Elementos del derecho Pompeya y en el Hercu’ano. Esta colección presen.a la natural del Burlumaqui, traducidos por D. M. B. García Suel mayor variedad de formas y colores, y prueba que los to, á 13 rs. en rústica y 16 en pasta; y los derechos y deberes antiguos emplearon el vidrio en muchos de los usos á que del ciudadano porMabli, traducidos por D. M. li., á toréales nosotros le destinamos,…</t>
  </si>
  <si>
    <t>Sufjicld</t>
  </si>
  <si>
    <t>…comercie , por la escasez de dinero. La Rebeca, capitán Thompson , quedó libre, y economizando la extracción de numerario que por él y otros se efeey salió de Valparaíso-, pero el lord Sufjicld, capitán Brown, y la tú.i, á causa de no investigarse y aprovecharse los productos del sue'o Rd-zvard Bilis, capitán Heath, aun permanecían allí. español. La sociedad espera que cuantas personas deseen ó necesiten la El corsario insurgente que cruzaba en esta…</t>
  </si>
  <si>
    <t>Suncho</t>
  </si>
  <si>
    <t>…pedidos que se hubie CORTES EXTRAORDINARIAS DEL AÑO DE 1821. sen hecho siempre que se permitiese su introducción , porque nincuns de las razones que sobre esto había propuesto el Sr. Suncho probabin I» PBBSIBBNCIA DRl SEÑOR CI.EMJ1NCIN. contrario, pues podía suceder que lleg.ndo los cáñamos y linos al pre Sesión del 2 de Diciembre. cio señalado, se permitiese su introducción , y al cabo de 15 días se pro Leida el acta de la sesión anterior, se m…</t>
  </si>
  <si>
    <t>Sundo, María de Salas</t>
  </si>
  <si>
    <t>María de Salas Sundo</t>
  </si>
  <si>
    <t>…do la junta á IX Mariano A instancia de distintos interesados en el patronato que en la villa Gil, vecino y del comercio de aquella.ciudad, comisionado especial pa de Utrera fundó Doña María de Salas Sundo se ha decretado por el ra la venta de los alcoholes y plomos para los países extrangeros, el cual juez de primera instancia de aquella villa, la tasación y división de Jos tend, á también casa bajo su mismo nombre éu la ciudad de Almería por bienes de dicho e…</t>
  </si>
  <si>
    <t>Sureda</t>
  </si>
  <si>
    <t>…ue respecto extrangeras, particularmente ias que se fabricaban en el tallv-r racional de ias máquinas señaladas en el arancel, y sujetas al 20 por roo de en que estaba á cargo del Sr. Sureda , el cual demostré baevidenterntnt:; qúé trada, deben continuar como hasta aquí siendo libres las de nueva inven si estábamos atrasados en la maquinaria , no era por falta de conocimien ción ó no conocidas en España, y sujetando á un 10 por 100 aquellas, tos…</t>
  </si>
  <si>
    <t>Surga, Francisco Javier</t>
  </si>
  <si>
    <t>Francisco Javier Surga</t>
  </si>
  <si>
    <t>…perseguir cente García Villamandos; para Jerez de la Frontera á D. Leonardo .en juicio á un delator falso , no dejaba de ser una cosa agriará mas de Botella; para Medinasidonia á D. Francisco Javier Surga ; para Sanlúque no podia castigarse al comandante del resguardo mientras no hubi.-&gt; car á D. jacobo Vázquez García; para la ciudad de S- Fernando á Dos se un termómetro que graduase las sospechas qué eran fundadas y las Juan de Dios de Aguilar, y para Arcos d…</t>
  </si>
  <si>
    <t>Suzzo</t>
  </si>
  <si>
    <t>…hos de las mercancías de aqui con un cuerpo de arnautas, moldavos y griegos de 209 hom introducidas en aquellas aduanas, cuya autorización se apoyó en las bres y cinco cañones. El príncipe Suzzo continúa sus armamentos con la noticias que habia relativas á Ja introducción de géneros en las indicadas mayor actividad , y tiene mucho dinero. Se ha restablecido aqui la tran provincias , la cual hasta entonces habia sido enteramente franca. Es quilidad. E…</t>
  </si>
  <si>
    <t>…eta, Pescara y Civita del Tronto, fun Con fecha de 11 de Marzo dicen de Jassy lo que sigue; dándose en la suposición de que sus comandantes no quieren entregar Nuestro hospedar el príncipe Suzzo , hijo del hospodar Suzzo, muer las sino en virtud de órdenes del Rey, y tan solo á generales napoli to en Febrero del año pasado , sostiene la empresa del principé Ipsüantanos comisionados por éi. ti con el msyor zelo, y para cuyo fin ha hecho grandes-sacrif…</t>
  </si>
  <si>
    <t>…inmenso espacio que separa el quia, en atención á hallarse tranquilas estas dos provincias, a haber mar Negro del polo ártico, y que comprende 9$ milias fgD ie-zuas) abandonado el príncipe Suzzo el territorio otomano, y hallarse el prín de largo sobre 49 ('333 leguas) de ancho. :No nos alarmaremos al cipe Ipsilanti con solos 400 hombres refugiado en una plaza sitiada por ver este Inmenso poder, y al reflexionar sobre la tendencia de su polí los turco…</t>
  </si>
  <si>
    <t>…en Constantinopla ha hecho lo mis i: caídos 5.. -r. ■ ...... - • Día 18: existencia 31: curados ninguno: convalecientes 4: muertos mo con varios griegos: al hospodar de Moldavia, príncipe Suzzo, y á 4: caldos 5. otros varios magnates moldavos los retiene en sus dominios, protegién Dia 19: existencia 32: curados ninguno: convalecientes. 2 : muertos dolos decididamente, á pesar de las instancias de la Puerta á fin de que 3: caídas 3. se le entreguen:…</t>
  </si>
  <si>
    <t>Suzzo, Miguel</t>
  </si>
  <si>
    <t>Miguel Suzzo</t>
  </si>
  <si>
    <t>…en ciudad de Lisboa, cuna y silla antigua de la monarquía, con el fin de tre griegos y turcos, cooperar en ella con los representantes del pueblo á la grande obra ce ~EI “hospodar príncipe Miguel Suzzo salió de Jassy para Rusia. restaurar-la valerosa nación portuguesa, elevándola al eminente grado Doce boyardos, presididos por el metropolitano, forman entretanto el de esplendor á que llegó) en otro tiempo. gobierno provisional de la Moldavia, el cual se ha…</t>
  </si>
  <si>
    <t>…o que los persiguiesen en el caso que se hallasen todavía en su territo no debe ofender á su opinión. Se multa a D. Juan Josef de Ipiña, al rio siete días después de la salida del príncipe Miguel Suzzo. Se d.rigie calde constitucional de la ante-iglesia de Galdacano en 200 ducados ron también representaciones al bajá de Ibrail para impedir la entrada aplicados á penas de Cámara, ó en su defecto se le condena á un año de las tropas turcas en la Moldavia, en…</t>
  </si>
  <si>
    <t>Suzzoj</t>
  </si>
  <si>
    <t>…emos recibido, con otras car luego la Moldavia y la Valaquia, bajo la condición de que la Rusia le ta» particmaics , p-rmdicos últimamente llegados del Rio de la Plata entregue el príncipe Suzzoj ú.timo hospoJar de la Moldavia , y otros del 20 dscticho mes de-Agosto, los cuales, refiriéndose también á no aefes insurgentes. Nadie ignora que el Gabinete de Petersburgo no lia ticias de Chne , hab an de la tonta de Lima , considerándola únicamen querido a…</t>
  </si>
  <si>
    <t>Ta</t>
  </si>
  <si>
    <t>…los diputados en las causas de libertad de i¡jo de alumnos para dotar con ellos á todas las armas de oficiales bien imprenta, después de haber examinado la indicación que hizo el Sr. Ta ■ instruidos en los principios del arte de la guerra. pia relativa á este asunto (zéass la gaceta As 18 As Marzo"). Art. 96. «En el reglamento particular se fijará la edad y las de Se mandó imprimir dicho proyecto de decreto. más circunstancias que han de con…</t>
  </si>
  <si>
    <t>Ta-</t>
  </si>
  <si>
    <t>…do conceder los empleos de comandantes de ba co y discurso histórico de la antigüedad, adelantamientos, excelencias tallón de infantería de línea á los comandantes supernumerarios D. Ta- y demas circunstancias de todas las representaciones teatrales de Espa dvo Aldea, del segundo batallón del regimiento infantería del Rey: á ña , sacados de autores que de ellas han escrito , hecha de todos una E&gt;. Josrf Quijano, del primer batallón del de la…</t>
  </si>
  <si>
    <t>Tabernero, Gregorio García</t>
  </si>
  <si>
    <t>Gregorio García Tabernero</t>
  </si>
  <si>
    <t>…lo. 2.° propietario en Jadraque: D. Francisco Mateo Marchámalo, del tribu Preparar la reunión de las Cortes en conformidad de los arts. 59 y si nal supremo de Justicia. Suplente : D. Gregorio García Tabernero , abo guientes. g.° Convocar las extraordinarias en los casos prevenidos en el gado propietario de Guadalajara. art. 100. 4.0 Vigilar sobre la observancia de la Constitución pata dar cuenta á las Cortes futuras de las infracciones de Constitución que hu —En e…</t>
  </si>
  <si>
    <t>Tabind, Juan</t>
  </si>
  <si>
    <t>Juan Tabind</t>
  </si>
  <si>
    <t>…el amor de sus súbdi jabeque todo él cargamento, saquearon el equipage de un pasagero que tos , y no por el terror de sus bayonetas, no acaban-de persuadirse-, re traían , llamado D. Juan Tabind, la ropa de su tripulación compuesta de petimos de que estos felices Reyes no se escapan, antes bien se complacen siete marineros, y hasta lós víveres que tenían; se quedaron can la en disfrutar en el seno de sus numerosos hijos de aquella tranquilidad lancha…</t>
  </si>
  <si>
    <t>Taboada, Francisco</t>
  </si>
  <si>
    <t>Francisco Taboada</t>
  </si>
  <si>
    <t>…a que se adopte lo que proponen Jas comisiones de Hacienda y Co Tuy D. Juan Bautista Losada, abad de salcidos. Viga D. Manuel Bar men :io en esta parte. cena, alcalde i.' Cambados D. Francisco Taboada, teniente general, A la referida comisión se pasó una exposición de la diputación pro propietario. Pontevedra D. Fernando Saravia, coronel retirado de ar vincial de Sevilla, en la que también hace varias observaciones acerca tillería. Caldas D. N. Amor, propi…</t>
  </si>
  <si>
    <t>Tahona, Josef</t>
  </si>
  <si>
    <t>Josef Tahona</t>
  </si>
  <si>
    <t>…ones provinciales se pasó una exposición instrumentos astronómicos. del ayuntamiento constitucional de Covarrubias, solicitando que dicha Se dió) cuenta de un recurso del teniente coronel D. Josef Tahona villa sea cabeza de partido. y Ug.nte, en que hacia presente que atendiendo las Cortes á Jas razo A la de Legislación se pasó una representación de D. Agustín Ra nes que expuso en 21 de Junio del año pasado, se sirvieron conceder món Valdés, conde de S. Esteb…</t>
  </si>
  <si>
    <t>Tailíeranddejaré</t>
  </si>
  <si>
    <t>…sujetar á los de Anghara Q efectivamente venganza los precipita. se éstin haciendo muchos y acelerados aprestos militares), y S. A. se Los periódicos han publicado el dictamen dél príncipe Tailíeranddejaré ver en ese campo. No dudo que V. E. se servirá disponer que COntra ia censura; el nombre de este personage 110 podía menos de in desde esa .plaza se le hagan los honores militares, y que se presentará á comodar á les defensores de las tinieblas; y ei Aquíles…</t>
  </si>
  <si>
    <t>Taillerand</t>
  </si>
  <si>
    <t>…o de t8ai. = Zinon de Oíue. = Excrno. Sr. D. Fer podiendo por esta vez meterse á Quijote , se mete á tonto; y pretende el. nando de Butrón.” buen hombre probar que el discurso del príncipe Taillerand es una. so Cádiz i.° de Agosto. lemne ironía: los sensatos compadecen ai tai A quilos , y se ríen del Ha. entrado en este puerto, procedente de Lisboa, el laúd español modo como ha querido salir del paso. Otro rasgo de diferente categoría, i de 10 toneladas S…</t>
  </si>
  <si>
    <t>Talens, Bedro</t>
  </si>
  <si>
    <t>Bedro Talens</t>
  </si>
  <si>
    <t>…quín Roca; y con la de 6 del Logroño, en 2,200 rs. mismo Febrero á D. Eusebio Salcedo, D. Fernando Freire, Un corral existente en el término nombrado PeñalogroD. Antonio Garnica , D. Bedro Talens, D. Josef Varona, ño, con solo las cuatro paredes de piedra y su puerta vie D. Miguel Gardoqui, D. Antonio Butrón, D. MiguelPaa- ja , en 1,200 rs. din y D. Joaquín Rubalcava. Cinco heredades, compuestas de 29 fanegas , 11 celemi nes , en la misma jurisdicción…</t>
  </si>
  <si>
    <t>Tallare</t>
  </si>
  <si>
    <t>…cuidados, como es Tallare ( D. Pablo ), Valle y García Page. notorio, á procurarles el posible descanso y felicidad, tengo á bien Habiéndose hecho segundo escrutinio, y tenido el Sr. Tallare (D. Pa aprobar desde ahora.la Constitución que allí se hace, y recibirla en mi blo), 66 votos, el Sr. Valle 62 y el Sr. Garcia Page 21, no resultando reino del Brasil y en los demas dominios de mi cotona. Mis minis elección, porque la mitad mas uno del total…</t>
  </si>
  <si>
    <t>Tamargo, Juan</t>
  </si>
  <si>
    <t>Juan Tamargo</t>
  </si>
  <si>
    <t>…ara el obispado del Cuzco; el Sr D. josef estado 302 nogales en terreno inculto. Vaz-Peieira para e! de Carre , en el arzobispado di Braga; el barón di Doscientos rs.por tercero á D. Juan Tamargo, vecino del concejo d* Frauenbvrg par* el d&lt; Avgsbur.o Stc, &amp;c.</t>
  </si>
  <si>
    <t>Tamariz, Mariano</t>
  </si>
  <si>
    <t>Mariano Tamariz</t>
  </si>
  <si>
    <t>…de los nota. En la sesión del 10 del actual se mandó pasar á la comisión particulares, se vió á las faldas del Atlas un ensayo práctico de una so de Agricultura una exposición de D. Mariano Tamariz, recordando la la familia reunida por los intereses de una patria en las cuatro partes que dirigió al Congreso con fecha 6 de Agosto próximo pasado , redac del mundo.” Presidieron el festín el gobernador y el ayuntamiento con tando sus méritos patrióticos, y…</t>
  </si>
  <si>
    <t>También, Feli</t>
  </si>
  <si>
    <t>Feli También</t>
  </si>
  <si>
    <t>…ncia el pueblo de Castro earral D- Manuel Laureano Esp nel. Gitafe O. Juan ürionagoena. Urdíales y otros varios de la misma. Navalcarncro D. Francisco Romo Pavedano. Fuente el Saz D. Feli También se pasó á dicha comisión un oficio del gefe político de Ca pe Hiniesta. Valdemorillo E&gt;. Bernardo González Aiüon. Alcalá Don narias , haciendo varias reflexiones sobre ia capitalidad de aquellas islas. Josef Antonio Rayón. A la comisión que entiende en la ref…</t>
  </si>
  <si>
    <t>También, Francisco de Herrera y Dávi-</t>
  </si>
  <si>
    <t>Francisco de Herrera y Dávi- También</t>
  </si>
  <si>
    <t>…e los Sres. Gisbert y Godoy, vecino de un pueblo de la provincia de Extremadura, contra Ochoa, individuo de la comisión, se aprobó ei dictamen. el alcalde constitucional del mismo D. Francisco de Herrera y Dávi- También se aprobó otro de la comisión de Legislación , en que pro la, por haber infringido la Constitución. ponía se accediese 4 las solicitudes de D. Francisco Alonso Caballero,</t>
  </si>
  <si>
    <t>También, Juan Antonio Facón</t>
  </si>
  <si>
    <t>Juan Antonio Facón También</t>
  </si>
  <si>
    <t>I9° : para el de Valdeburon á D. JosefSres. Martínez de la Rosa, Calatrava,. Vadillo , Rey y Gareli... hagun á D. Juan Antonio Facón También se aprobó.otra indicación del Sr.Martínez déla Rosa, en Suarez Cuenllas : para el de Ponferrada a D. Rodrigo Alfonso Flore,.que ademas del objeto de la anterior pedia se ocupase la misma co para eí de la Bañeza á D. Juan Hevia Arguelles: para el de Omaña á mi…</t>
  </si>
  <si>
    <t>También, Sra-</t>
  </si>
  <si>
    <t>Sra- También</t>
  </si>
  <si>
    <t>…iembre. trata de llegar el 4 por la tarde, para recibir al Rey de En virtud de un decreto de 27 de Noviembre (9 de Ñapóles á su llegada. Diciembre) se ha dignado 5. M. exonerar al conde Sra- También el Emperador Alejandro piensa llegar el }. á riislao Potokí de su encargo de director de ¡a comisión de Laibach, algo antes que el Rey de Ñapóles. Los ministros a'tuntos eclesiásticos y de instrucción, y del importante car rusos Nesseirode, Capo d'Isrria, Poz…</t>
  </si>
  <si>
    <t>Tampoco, Fe</t>
  </si>
  <si>
    <t>Fe Tampoco</t>
  </si>
  <si>
    <t>…de la Cáma Leida y aprobada el acta de la sesión anterior, se mandó agregar á ra , recaen sobre el que las ha hecho. •lia los votos de los Sres. Gutiérrez Acuña, Zavala, Navarro (D. Fe Tampoco hablaré del menosprecio soberbio y algún tanto pedantes lipe) , Cortazar, Romero , Quintana, Camus Herrcra, Romero Alpuen- co con que el orgulloso orador nos ha advertido que no creamos que te, Moreno Guerra, López Constante, Zorraquin , Pierda, Quintana, con…</t>
  </si>
  <si>
    <t>Tapia</t>
  </si>
  <si>
    <t>…les de los diputados se nombra ó se les dé el curso correspondiente segun dicho articíilq." rá por las Cortes, dentro de los seis dias primeros de las sesiones, En seguida.dijo el Sr. Tapia: » Me parece que .falta yin artículo re un tribunal compuesto de dos salas; una para la; .primera ^instancia, y» lativo á los delitos que pueda cometer un diputado, por medio-de. la. otra para la segunda. Cada una de estas salas se compondrá del níimero impre…</t>
  </si>
  <si>
    <t>…izo el Sr. Gisbert la observación de que seria útil Sesión extraordinaria del 16 de Marzo. añadir „para quedarse en secreta,” porque si no podrían algunos fac Aprobada el acta, el Sr. Tapia hizo la siguiente indicación: ,,Que ciosos'entorpecer la marcha de los negocios una porción de tiempo con declaren las Cortes si de los delitos que cometan los diputados por abu solo alborotar en las galerías. F1 Sr. conde deToreno creyó juiciosa es so de la…</t>
  </si>
  <si>
    <t>…primera instancia de S. Fernando , por haber infrin artículos en que.se habla de la universidad central.” gido ios artículos 294 y 296 de la Constitución en la causa del alcal El Sr. Tapia manifestó deseaba que antes de continuar la discusión de constitucional D. Manuel de Echevarría, y solicita se le indemni pendiente desde ayer, se tomasen en consideración las. tres indicacio cen los daños que ha sufrido, y que pase dicha causa al tribunal su…</t>
  </si>
  <si>
    <t>…leados en la se país donde se vive con tanto peligro. .. , 4» , .. cretaría del gobierno político de León. _t_,Una carta de Para del 4 de Enero da los siguientes deralles sóbre El Sr. Tapia hizo presente que las felicitaciones son por lo corríun la revolución ocurrida en aquella parte del Brasil. ; . demasiado largas para insertarse literalmente en la gaceta, y que ade ,,M movimiento empezó en la plaza, delante del. palacio, poF.el mas derno;ofr…</t>
  </si>
  <si>
    <t>…haberse cumplido la Reai orden de 8 de Setiembre de 1815. cer un extracto bien y fielmente de las sesiones.” . A la comisión de Instrucción pública pasó una exposición de Dolí "El Sr. Tapia dijo: » Apoyo en un todo la indicación del Sr. Gar Guillermo Valdivieso, el marques de Selvaalegre y D. Manuel Mato;, cía Page, pues sé por los taquígrafos de la gaceta que apenas se oye á vecinos de Quito, sobre la necesidad de que subsista aquella-univer lo…</t>
  </si>
  <si>
    <t>…mites- señalados Sr. secretario de Gracia y Justicia, que se hallaban en aquella secreta por las leyes.” ria, y remitió á las Cortes para que se tuviesen presentes al tiempo de Ei Sr. Tapia dijo: discutir la división del territorio de España. „Tengo algunas dudas sobre este articulo, y quisiera que los se A la de Diputaciones provinciales y Legislación unidas una con ñores de la comisión se sirvieran aclararlas ó desvanecerlas. Dícese en sulta d…</t>
  </si>
  <si>
    <t>…isión de Instrucción pública , y oída esta la declarasen obra Los políticos que se dedican al exameh de los: acontecimientos desde elemental para la enseñanza de dicha ciencia. El Sr. Tapia pidió que pasase al Gobierno como se había hecho con ¡u origen, para deducir mejor lasrotieruencias que pueden resultar de otras obras; y después de una corta discusión se resolvió pasase á ¡a co ellos tienen en la actualidad la vista fija en las turbulencias…</t>
  </si>
  <si>
    <t>…n al sistema constitucional! Se mandó pasar á lariefénda bafesííóríi ‘ que se van á repartir ó enagenar. ■ - - Se leyó un discurso del Sr. Solanotyam-el'gue reclamaba láÁíiscú■ El Sr. Tapia dijo que tenia hecha una proposición sobre lo mismo, Sion de varias proposiciones que habia hecho, y‘se habían ‘nfohdado1 y que le parecía que la que se acababa de oir podia ser primera lectura, pasar á las comisiones' respectivas sobre 'señólíós é infraccion…</t>
  </si>
  <si>
    <t>…xposición dél te pública, de la pasada y la presente legislatura , sobre las proposiciones niente vicario general de la diócesis de Málaga, acompañando la de dos hechas por el Sr. diputado Tapia en la sesión pública de 19 de Marzo párrocos castrenses, en solicitud de que se les aumente su sueldo. último (véase la gaceta de so del mismo"); y se acordó que se quedase A la de Diputaciones provinciales las exposiciones del ayunta sobre la mesa este dicta…</t>
  </si>
  <si>
    <t>…an cumplido hasta ahora lo acordado por las Cortes. - ■ confirmadas'por el ordinario'. - Ei Sr: González Allende manifestó que se hablé pasado et oficio Se aprobó la siguiente del Sr. Tapia, y á petición del mismo señor correspondiente por la. secretaría de Cortes al Gobierno, el cuál había se mandó, pasar á la comisión Eclesiástica. : '. contestado lo que había en el particular, y que mañana se presentaría »&gt;Pido, á las Cortes que se entreguen…</t>
  </si>
  <si>
    <t>…bases que propusiere la comisión Eclesiástica. de que fuesen pagados dichos interesados por la tesorería. Art. 10. „íie. compondrá la junta del , prelado diocesano , »ó de. la El Sr. Tapia hizo la siguiente indicación, que después de una corta persona que nombrare para representarle , de-dos diputados, del cabildo, discusión entre este y otros-señores diputados se mandó pasar á la co y de 6 diputados de 1&lt;?,:furas párrocos.</t>
  </si>
  <si>
    <t>…Gobierno no traslade á ningún diputado que que las vacantes no hayan de llenarse por escala de rigurosa anti no'sea con igual destino, carácter, sueldo'y distinciones. güedad.” El Sr. Tapia dijo que. extrañaba no se comprendiera en estos ar Después de varias contestaciones entre los Sres. Sánchez Salvador, tículos á los señores diputados eclesiásticos , y que deseaba que alguno Zapata y Sancho , se declaró el articulo suficientemente discutido ;…</t>
  </si>
  <si>
    <t>…á respectivos partidos. lo que se i opusieron algunos señores diputados; y habiéndose vuelto á A las comisiones de Legislación y Marina unidas se mandó pasar leer á solicitud del Sr. Tapia, se aprobó en los mismos, términos que una consulta del Sr. ministro de la Gobernación de la Península lo proponía la comisión. acerca de las dudas ocurridas entre el capitán general del departamento de Se ieyó por tercera vez el proyecto de ley sobre Minería…</t>
  </si>
  <si>
    <t>…ORTES. después todos los trámites prevenidos en el decreto para el caso que sa publique el escrito bajo el nombre del diputado.” Quedó aprobado. PRESIDENCIA DHX. SESOR MOSCOSO. El Sr. Tapia dijo : la comisión hace presente á las Cortes que aun Sesión del 4. falta en el decreto un artículo relativo á los juicios de conciliación; Se leyó y aprobó el acta de la anterior, y se mandaron agregar á ella pero considerando que convendría se hiciese previ…</t>
  </si>
  <si>
    <t>…oponerse á entregar los frutos deven ga, en vez del año de estudio que se mencionaba; á lo que satisfizo el gados ; y aunque se quisiera suponer que e! arcediano es un hombre cri Sr. Tapia, diciendo que el año propuesto por la comisión se necesitaba minal , las Cortes no son un tribunal que tinga que conocer er. esto Por para los elementos de dicho idioma, pues para poseerlo medianamente lo mismo me parece que no se puede añadir una palabra s1…</t>
  </si>
  <si>
    <t>…ores y del reclamante ó su apoderado. deberá expresarse en la orden de su separación. Art. 228. « Los peritos examinarán las rentas sobre que hayan re Las -razones en que fundó el Sr. Tapia esta adición, fueron las si caído las cuotas de que se queja el reclamante, y las de las demás que guientes : señalare por comparación en la nómina de la contribución territorial. 1 ‘ « En el estado actual de la Nación es de presumir que conti Art. 229. «El c…</t>
  </si>
  <si>
    <t>…isiera pre A la de Comercio, Industria y Artes reunidas una memoria escri guntar si estas debían subsistir. ta por D. Juan Tejada,'vecino de Santander, sobre el pian que la mis El Sr. Tapia contestó que todas las escuelas de dibujo costeada* ma ha presentado á las Cortes.</t>
  </si>
  <si>
    <t>…ones exttangera,; pero no convendrá de nineun» ban , y otros que se les rebajase el precio de los arriendos &amp;c. mañera en que la propuesta de gefe se haga por los individuos de El Sr. Tapia hizo presente que en la secretaría ó en la comisión da porque siendo un tribunal, deberán ser propuestos sus individuos por el Hacienda debía existir una solicitud de D. Manuel Valbuena sobre consejo de Estado, asi como se verifica con todos los demas maVistr…</t>
  </si>
  <si>
    <t>…respeto debido á las au por los censores ó jueces examinadores la aptitud del opositor para en toridades constituidas, y causando males incalculables al tesoro público. señar. El Sr. Tapia dijo: Las razones en que se fundaron'asi la primera Madrid Domingo 10 cíe Mayo. junta á quien.se encargó la formación del plan, como la comisión de SS. MM. y AA. continúan sin novedad en su importante salud. las Cortes de los anos 13 y 14, están expresadas en…</t>
  </si>
  <si>
    <t>…graves inconvenientes era mejor nose hiciesen las oposiciones ba de su reconocimiento y del de la Nación al servicio que hicie en la capital del reino. Refiriendo la otra noche el Sr. Tapia las razo ron las tropas destinadas á destruir las hordas revolucionarias de Ala nes en que se apoyaba la comisión para que se celebrasen las oposicio va, y á (a mal aconsejada gavilla que el fanatismo de un cura indigno nes en la capital del reino, dijo era l…</t>
  </si>
  <si>
    <t>…r mucho á los catedráticos de las universidades que quisiesen acu prefijado en los reglamentos, podrá continuar en la.enseñanza con m dir á las oposiciones para otra cátedra. Y el Sr. Tapia contestó que sobresueldo igual al tercio de la jubilación, sin.que por esto pierda la esto era objeto de reglamento; y después de una larga discusión se facultad de disfrutar su jubilación por entero cuando la solicite.” aprobó el artículo en estos términos.…</t>
  </si>
  <si>
    <t>…supuesto de que se hiciesen los exámenes en los colegios de dicha Adiciones al sistema administrativo. facultad, y teniendo los cursos y los estudios teóricos y prácticos que Del Sr. Tapia al art. 13:» Que la disposición de dicho artículo no previene la ordenanza de farmacia. se entienda en cuanto á viudedades con las actuales viudas, ó las mu- Los Sres. García (D. Antonio) y Quintana se opusieron á la se geres de los actuales empleados, siempr…</t>
  </si>
  <si>
    <t>…trava: objeto algunas partidas de infantería y caballería portuguesa. v. Que pase á la comisión de Instrucción pública la indicación de los ANUNCIOS. diputados de Extremadura.” El Sr. Tapia dijo: yo estaba ocupado en otra comisión cuando se Habiendo fallecido D. Juan de Clavería en la ciudad de la Havatrató de este asunto, y no he podido saber si lo que piden estos señores na, isla de Cuba, el ano 1799, y tratado su hija y única heredera Do dipu…</t>
  </si>
  <si>
    <t>…s colativas, ni en otras causas eclesiásticas de la misma clase en ción de este artículo fuese nominal. que no cabe previa avenencia de los interesados. En esta última clase le El Sr. Tapia pidió que se llamase para votar á todos los diputa comprenden también las causas que interesan á la Hacienda pública , á dos que estaban fuera del salón, y el Sr. Vitorica que fuese por partes los pósitos ó propios de los pueblos, á los establecimientos públi…</t>
  </si>
  <si>
    <t>…la.'” Aprobada. Del Sr. Cabrero al art. 36-. » Que se añada á las universidades de SS. MM. y AA. continiian sin novedad en su importante salud. tercera enseñanza la de Huesca.” El Sr. Tapia dijo que esta adición no debía admitirse, porque lac CORTES. Cortes ya habían aprobado el número de universidades que deben subsistir. IRBSIUSNCtA UBI SESOR MOSCOS*. El Sr. Cabrero dijo que cuando ia comisión habia propuesta las universidades que debían subsi…</t>
  </si>
  <si>
    <t>Se leyó una lista Je expedientes informados favorablemente por las El Sr. Tapia; manifestó que las Cortes no debían detenerse en el exa comisiones de Guerra, Premios, ordinaria y especial de Hacienda, y se men de los establecimientos destinados á la enseñanza pública, los cua aprobaron los respectivos dictámenes. les podian ya considerar…</t>
  </si>
  <si>
    <t>…provincias (dijo), sino la turcas de Europa, resultaría que la orden de Malta y los hijos segundos Nación. de las casas reinantes necesitarían de todo el auxilio dé la Rusia para Sr. Tapia. Para defender la existencia política de la provincia de sostenerse contra sus súbditos los turcos, quienes se avendrían muy mal Avila sé hace preciso rebatir primero el argumento en que tanto se ha con la sumisión y obediencia á sus nuevos señores, y mucho m…</t>
  </si>
  <si>
    <t>…s introducen allí directamente. Pero asunto, habiendo algunos §res. diputados que querían hablar, se opuser de todo resulta que Jas grandes ventajas que la comisión puede propo el Sr. Tapia á que se verificase esto; y manifestando que este asunto era ner en este artículo son problemáticas, cuando se ve con certeza que de la mayor importancia, reclamó la observancia del reglamento , que amenaza á la industria de un modo muy positivo. dice que no…</t>
  </si>
  <si>
    <t>…IAS DEL AÑO DE 1821. jarse nías la pena, por cuanto entonces se protegería en cieno modo la impunidad de los delincuentes. PRESIDENCIA DEl SEÑOR CLEMENCIN. El Sr. Cano Manuel y el Sr. Tapia hicieren algunas observaciones acerca del artículo, y después de una corta discusión quedó aprobado, Sesión del 10 de Diciembre. Se aprobó el artículo 20 , que decía asi; - Art. 20. « Las mugeres, hijos, nietos ó biznietos que en cualquie Se leyó y aprobó el…</t>
  </si>
  <si>
    <t>…de caballerizo mayor, vacante por la promoción del duque habiéndola habido en el primer escrutinio por haber tenido el Sr. Zorde Montrose á la de gentilhombre. raquin 36 votos, el Sr. Tapia 40 y el Sr. San Miguel 10 del total _Corre una anécdota singular, de cuya certeza no salimos garantes, 103 , se procedió á segundo escrutinio entre estos tres Sres., y resultó y se teduce á lo siguiente: Se dice que Mr. Car.ning ha titubeado elegido el Sr. Ta…</t>
  </si>
  <si>
    <t>Tapia, Camilo</t>
  </si>
  <si>
    <t>Camilo Tapia</t>
  </si>
  <si>
    <t>…considerable, y se A la comisión de Hacienda y de visita del Crédito público se man presumía que fuese á favor de la Rusia. Volvía á hablarse con mucho do. pasar una exposición de D. Camilo Tapia sobre beneficio de va fundrmento de la próxima mudanza de ministros, y aun se anunciaba rias minas de la sierra de Gadoz. que iba á'publicarse de oficio el nombramientu de los nuevos, y que fie leyeron y mandaron quedar sobre la mesa las adiciones hechas esto…</t>
  </si>
  <si>
    <t>Tapia, Eugenio</t>
  </si>
  <si>
    <t>Eugenio Tapia</t>
  </si>
  <si>
    <t>…rovinciales corres nes la patria ha confiado sns destinos, no podía menos de manifestar pondientes á las cinco especies que se expresan en el artículo anterior sus sentimientos al Sr. D. Eugenio Tapia , diputado á Cortes por la pro en las provincias de Castilla; el equivalente y catastro en la corona da vincia de Avila. Ya en Miranda, luego que~se supo su llegada le esta Aragón, y los arrendamientos de las mismas especies en las Vascon ba esperando la mili…</t>
  </si>
  <si>
    <t>Tapia, Eugenio de</t>
  </si>
  <si>
    <t>Eugenio de Tapia</t>
  </si>
  <si>
    <t>…ados por la suerte para no oir ni conocer la verdad pura , la rará el perjuicio que haya lugar. justicia imparcial , ni los verdadeios intereses de los pueblos. De aquí Poesías de D. Eugenio de Tapia. Habiéndose despachado todos los es que todas sus bu:nas intenciones y deseos, toda la bondad de su ca egemplares de las poesías satíricas, que bajo el supuesto nombre del li rácter, todo su esmero por la felicidad de sus súbditos, no puede pro cenciado Machu…</t>
  </si>
  <si>
    <t>…ientes hasta el 284. ’ ra. Se hallará á 168 rs. en pasta en la librería de Martin , y en su des pacho de libros, calle ancha de Majaderitos, núm. 6 y 7. ■ TITULO XVIII- Poesías de D. Eugenio de Tapia , diputado en las actuales. Cortes. Contiene esta colección lo siguiente: varias composiciones morales y Observatorio y dirección hidrográfica. filosóficas: parte de un poema épico (intitulado Sevilla restaurada), que Art. 285.» El almirantazgo, tomando infor…</t>
  </si>
  <si>
    <t>…do el mas ardiente patriotismo y el Sr. D. Mariano Villa , diputado por la de Aragón, y para secreta bizarría en defender hasta derramar su -última gota de sangre el Código rio el Sr. D. Eugenio de Tapia, que k&gt; es por la de Avila. constitucional que hemos jurado. Todos los gefes y oficiales agregados Circular del ministerio dt la Guerra. á esta plaza, y demas que se hallan con destino á ella , con otros va &gt;.&gt; F1 brigadier D. Diego de Vega, coronel dei regim…</t>
  </si>
  <si>
    <t>Tapia, Ramón Blanco de</t>
  </si>
  <si>
    <t>Ramón Blanco de Tapia</t>
  </si>
  <si>
    <t>…en las de esta capital el cachemarin español nuestra Sra. del Carmen , alias el Veloz, su ca por cárcel segura por-sospechas de ladrones. Estado de esta. causa.'En pitán y piloto D. Ramón Blanco de Tapia, y se habia cargado en la sumario. Providenciatde visita: siga. ria,de Foz; provincia-de Galicia ,&lt; y jurisdicción de S. Cosme de Bar- Suma de reos ó/. , • reíros, tomando á jaita de aduana en aquel punto una certificación del . Providencias genera leí. alcal…</t>
  </si>
  <si>
    <t>Taquigrafía</t>
  </si>
  <si>
    <t>…rquía española sobre el pie mas liberal-.-.::: Espera mas obras de la academia en su despacho, calle de Valverde. S. M. que la misma generosa é ¡lustrada política......” Carta del conde Taquigrafía castellana, ó arte de escribir con tanta velocidad como de Liverpool , cuya copia pasó á la Regencia el Sr. D. Henrique We- se habla, y con la misma claridad que la escritura conuin, que se en 1 ¡asley. (Véase gaceta de la Regencia del viernes 17 de Agosto de…</t>
  </si>
  <si>
    <t>Tara, Pedro Manrique de</t>
  </si>
  <si>
    <t>Pedro Manrique de Tara</t>
  </si>
  <si>
    <t>…e se sepa que lo que pasó entre los limos. Sres. D. Gonzálo Fernandez de Córdoba, •s el Sr. González Azaola, actual diputado á Cortes. llamado Gran-Capitan , duque de Sessa &amp;c., y D. Pedro Manrique de Tara, duque de Níjera. Por el contexto de ella se ve que volviendo el ANUNCIOS. Gran-Capitan de la parce de Italia , donde tan victoriosamente habia militado como lugar-teniente general del Rey D. Fernando de Aragón, Hallándose pendientes en este juzgado de la com…</t>
  </si>
  <si>
    <t>Taraire</t>
  </si>
  <si>
    <t>…y la derecha se opusieron fuerte El Sr. Pereira Leite presentó un proyecto de un particular para que. mente. se coloque en todas las plazas una lápida para eterna memoria de la El general Taraire subió á la tribuna, y dijo asi: Constitución , cantándose un Te Deum. Señores, voy á ver si puedo demostraros que en nuestro Gobierno,' Se presentó en el Congreso la diputación de la isla de la Madera que se califica con el nombre de representativo , el estab…</t>
  </si>
  <si>
    <t>…a pública estaba al arbitrio de los que la distribuían, sin que la Cámara tuviese- CAMARA de ios diputados._Continúa la sesión del 20 de Marzo. ' ninguna garantía contra ellos. El general Taraire prosiguió diciendo: Bajo este aspecto estamos hoy 'peor, continuó, que en tiempo del Por medio de esta metamorfosis el Gobierno representativo de la Gobierno imperial, porque este con sus medios secretos sabia á lo me Francia se ha vuelto enteramente aristocr…</t>
  </si>
  <si>
    <t>…ría citó la definición camara de ios Dri'üTADOs___Conclusión de la sesión del so. que hacían de los derechos de la regia potestad, no solamente la na Apenas acabó de pronunciar el general Taraire las últimas palabras! ción inglesa, sino todos los publicistas y todos los miembros del Par de su discurso , cuando muchos' vocales del lado izquierdo pidieron la' lamento. » El Rey, dicen ¿y este es un principio sacramental), es la impresión ; pero los del d…</t>
  </si>
  <si>
    <t>Taranco, Manuel Ortizde</t>
  </si>
  <si>
    <t>Manuel Ortizde Taranco</t>
  </si>
  <si>
    <t>…trigo__ y tuvieron diferentes endosos, siendo los últimos respectivamente ^se Otra de un ferrado y 2 cuartillos, en la veiga de Cancela, en venta gún el orden de la numeración, de D. Manuel Ortizde Taranco á Don. 625 rs., y en renta 2 ferrados y medio de trigo__ Otras 2 heredades, Lázaro Sanz: de D. Apolinar Enderica á D. Simón María Rebolledo: que hacen 5 ferrados y 26 cuartillos de labor y prado, las que lleva en de D. Antonio Brusi á Dofi3 Eulalia Brusi, en…</t>
  </si>
  <si>
    <t>Tardy, Lorenzo</t>
  </si>
  <si>
    <t>Lorenzo Tardy</t>
  </si>
  <si>
    <t>…on orden de no abrirlos hasta tantes, mereció los elogios de todos los académicos Habiéndose reunido la misma academia en 14 del mismo mes, el el dia señalado. ALEMANIA. R. P. AI. D. Lorenzo Tardy , cx-provincial de ios PP. agustinos, con sultor del indica, probó en una sólida disertación que el argumento Hamburgo 18 de Julio. que algunos geólogos han querido tomar del tiempo que se requiere para Antes de empezar las hostilidades entre los turcos y gri…</t>
  </si>
  <si>
    <t>Targini</t>
  </si>
  <si>
    <t>…o de batalla. Solo uri volución bastaría la llegada del lord Beresford á Portugal. sentimiento era común á todos los portugueses.... y este Te or'ovó su amigo el tesorero mayor el Sr. Targini. con era e! de su profunda desgracia. Solo un deseo unía á los fiando en que para destruir la comenzada revolución influi buenos ciudadanos.... y este era el de un nuevo orden de ría mucho una obra que él había publicado contra las doc cosas, que salvase la n…</t>
  </si>
  <si>
    <t>Taristock</t>
  </si>
  <si>
    <t>…e este abintestato, que se hallan depositados discutió muy acaloradamente la propuesta que el dia ante en la tesorería general para entregar á los que acreditasen rior habla hecho lord Taristock, relativa á la censura que tener derecho ¿"esta.herencia con los demas bienes que pue én su juicio merecían los ministros por la conducta que Ha- dan resultar, acordó dicho extinguido consejo de Indias , en bian oi^ervado con respecto a la Rcirui\ pero íue de…</t>
  </si>
  <si>
    <t>Tarraga, Antonio Fernandez</t>
  </si>
  <si>
    <t>Antonio Fernandez Tarraga</t>
  </si>
  <si>
    <t>…y do secretario. == Estanislao de Peñafíe!, diputado secreta eligió por comandante al decidido patriota y benemérito rio. = Francisco Fernandez Gaseo, diputado secretario.” marino D. Antonio Fernandez Tarraga, que en breve tiem Lo que de Real orden comunico á V. E. para su inte po la ha instruido. Para hacer el juramento se formó, y ligencia, y que se sirva disponer su publicación en la gace precedida de una música militar, que tocaba el himno del ta del Gobierno.…</t>
  </si>
  <si>
    <t>Tarrius, Bernardo</t>
  </si>
  <si>
    <t>Bernardo Tarrius</t>
  </si>
  <si>
    <t>…ión. individuo de dicha junta á D- Josef Manuel Aranalde , el cual lo ha Si un ciudadano se presenta á pedir un certificado, ¡qué precauciones estado anteriormente por ausencia de D. Bernardo Tarrius. Quedó puede admitir esto! Yo creo que no se pueden tomar ningunas en esta aprobado el dictamen de la comisión. operación. Si esto quigre decir que se ponga una reseña en la guia , yo Se leyeron las variaciones que presentó la comisión de Guerra so creo que n…</t>
  </si>
  <si>
    <t>Tarrius, Bernardo Borjas y</t>
  </si>
  <si>
    <t>Bernardo Borjas y Tarrius</t>
  </si>
  <si>
    <t>…ciudad. - Se dió cuenta de un oficio del Sr. secretario del Despacho de Ha Gon este motivo hubo una larga y acalorada discusión, en la que cienda, en que apoyaba una solicitud de D. Bernardo Borjas y Tarrius, hablaron varios Sres. diputados en contra de este empréstito; y puesto director del Crédito público, en la que pretendía que se le concediera á votación, se acordó que las Cortes lo desaprobaban, y que se previ licencia por dos meses para restablecer su salu…</t>
  </si>
  <si>
    <t>Tausle, Marin</t>
  </si>
  <si>
    <t>Marin Tausle</t>
  </si>
  <si>
    <t>…titución.” La comisión ción en el hecho de contribuir con el ganado. Quedó aprobada. dice que esta indicación está contestada en la anterior del Sr. Rovira; Se leyó la adición del Sr. Marin Tausle al art. reducida á que debiéndose únicamente dejar al arbitrio del Gobierno el señalamiento valiendo las casas de Madrid, Barcelona y Cádiz mis que las de los de plazos para ¡os tabacos de que trara este artículo y el anterior. demas pueblos, se exija doble c…</t>
  </si>
  <si>
    <t>Tausre, Marín</t>
  </si>
  <si>
    <t>Marín Tausre</t>
  </si>
  <si>
    <t>…e) que nosotros he por haber dicho algunos Sres. diputados que no era oportuna. mos proclamado los primeros, £dónde están esos que se llaman órga Se leyó y aprobó la siguiente del Sr. Marín Tausre: » Pido á las nos de la Francia! Es cierto ( y lo confieso con gusto) que no han Cortes que el oficio que ha de pasarse al Gobierno en virtud de la in cooperado hostilmente á las agresiones de los satélites de Troppau y de dicación del Sr. Cepeda en Ja sesión…</t>
  </si>
  <si>
    <t>Tauste, Marín</t>
  </si>
  <si>
    <t>Marín Tauste</t>
  </si>
  <si>
    <t>…te, en el que se tratan de borrascosas las sesiones del Congre mum de trescientos.” ; . ; ; ' . ; , v T . so , esparciendo mil falsedades ; y-que-ño pudiéndolas oir con- indife El Sr. Marín Tauste hizo la siguiente indicación : » Que las multas rencia, presentaba una indicación al Congreso. T- referidas se destinen exclusivamente para el'fondo de la milicia na El. Sr. conde de Tórenó,'apoyando el parecer del Sr. Zapata , dijo que cional.” ■ • -i -v -:■…</t>
  </si>
  <si>
    <t>Tauste, Marin</t>
  </si>
  <si>
    <t>Marin Tauste</t>
  </si>
  <si>
    <t>…o en Lisboa á lo que es elección, se pasó á tercer escrutinio entre los Sres. Marin Tauste y mas conveniente en el Brasil; y habiendo llegado á mi conocimiento Gareli, quedando el Sr. Marin Tauste por 89 votos de 16/. que el mayor bien que puedo hacer á mis pueblos es aprobar desde aho En Ja de secretario quedaron en primer escrutinio los Sres. Vecino, ra esa misma Constitución: dirigiéndose solo mis cuidados, como es Tallare ( D. Pablo ), Valle y Garc…</t>
  </si>
  <si>
    <t>…ado, con tal que lo el alistamiento por pregón, y se franqueará á cuantos quietan enterar presente antes de ser filiado. se de él. En este último artículo se añadió á psticien de! Sr. Marín Tauste Y á petición del Sr. San Miguel se añadió: » en el supuesto de que las siguientes palabras: „en el cuerpo á que se suscribe.” pasado dicho término de tres dias no se admitirá redamación alguna.' ■ Asimismo se aprobaron los tres siguientes: Asimismo se aprobaron…</t>
  </si>
  <si>
    <t>…ldo de la santa iglesia cate Se mandó pasar á la comisión especial de Hacienda cou urgencia dral de la Gran Canaria, como administrador que es de las casas deci una indicación del Sr. Marín Tauste , relativa á qus las Cortes manden males , en la dura necesidad de egecutar á les deudores de esta clase</t>
  </si>
  <si>
    <t>…, y no por susalquileres; predios rústicos las paguen los propietarios , y no los colonos. á'lo qué contestó el Sr. Moscoso que la comisión hab a propuesto esté Se aprobó otra del Sr. Marín Tauste, relativa á que las Cortes man plan por no tener necesidad de una estadística, la cual seria indispensa den que la junta nacional del' Crédito público por conducto del Go ble en el caso de hacerlo cómo se indicaba. bierno infórme á las mismas, si los comision…</t>
  </si>
  <si>
    <t>…robó el'acta de la anterior.' ' : '■ Lá..comisión especial de Hacienda, habiendo examinado la indica las Cortes quedaron enteradas, y mandaron repartir los egemplares ción'qrie él Sr. Marín Tauste hizo en la sesión de 15 de Mayo último, de vanas circulares expedidas por el ministerio de Hacienda. ' i;elativa.ul nombramiento de una visita para que examinase el estado A Ja comisión dé Caminos y Canales se maridó pasar con urgencia dei Crédito público &amp;c.…</t>
  </si>
  <si>
    <t>…bado este artículo con la indicación re- Art. 253. Los, 'respectivos los apremios contra los cobradores y contribuyentes morosos} .herida. -’ Volvió la diputación de palacio, y el Sr. Marín Tauste dijo que ■fot firmarán, y seVáh Visadqs por los subdelegados para que puedan poS. M. había recibido á la diputación de las Cortes con. aquella bondad, ‘íiér'se en ejecución,' A Art. 254. . ,, los portadores de apremios examinarán á.si) ,llegada á .que'lé és c…</t>
  </si>
  <si>
    <t>…o de Falencia para que se le conceda utt misma . relativas á este asunto: Una del Sr. Cortés ai art. Otra del arbitrio de 16 maravedises en cada cuartillo de aguardiente para aten Sr. Marin Tauste al 2.0 Otra del Sr. Castañedo al g.° Otras de los se der á los gastos municipales: la comisión era de parecer que podía ñores conde de Montenegro , Vitorlca y Villanueva al -í.° Otras de los aprobarse: otra del ayuntamiento constitucional de Talavera de la Ra…</t>
  </si>
  <si>
    <t>…50 por 100 contado las dos terceras partes del valor, y otro el todo ó mas de la de pérdida en la plaza.” tasa á pagar en 10 años, ambos á metálico , se preferirá el último ba El Sr. Marin Tauste manifestó que en este artículo debian conside jo la responsabilidad expresada en el artículo a¿vterjpr. rarse iguales á las pensiones de los capellanes de capellanías colativas Art. 19. „ Las fincas existentes en las islas Canarias, á que no haya las de los h…</t>
  </si>
  <si>
    <t>…ntestó á algunas de las objeciones que se habían hecho Al Sr. Villele para el de Hacienda. al dictamen de la comisión. El 14 prestaron el competente juramenta en manos de S. M. El Sr. Marín Tauste opinó que se colocaba á Jaén en una clase que _Mr. Mouaier, director general de policía , ha hecho dimisión de su no le correspondía, pues aunque aquella ciudad era regularmente rica y empleo. abundante, no estaban los víveres tan baratos como en Ciudad Real…</t>
  </si>
  <si>
    <t>…os , con cuyo motivo po político en los propios términos que los oficiales segundos de las dían haberse prevenido todos los diputados que opinasen contra el mismas.” dictamen. Del Sr. Marín Tauste: » Siendo parte del proyecto de división del El Sr.-Gasco apoyó el parecer del Sr. presidente, y dijo que es territorio el establecimiento de un subgefe político ea ciertos partidos, tando ya señalado para esta discusión el citado artículo , y hab'i-ndo pido…</t>
  </si>
  <si>
    <t>Tavisrock</t>
  </si>
  <si>
    <t>…esión del fT. Después de algunas breves discusiones'sobre varios nego PORTUGAL» cios de Hacienda y de administración, volvió á proseguir la Cámara la discusión de la propuesta del lord Tavisrock pa- Lisboa Ta de Febrero. rá que se censúrasela conducta de los ministros, la cual Ayer 14 fondeó en el Tajo la goleta portuguesa la Go quedó pendiente en la sesión del 5, y hubiera acarreado londrina , procedente de la isla de la Madera, en 14 días Indudable…</t>
  </si>
  <si>
    <t>Tawast</t>
  </si>
  <si>
    <t>…r. W. El Rey ha nombrado enviado extraordinario y ministro plenipo Wjmn, Sir f. Nexvport'V Sir H. PorneU , y ¿ doctor Phillimore. tenciario cerca de lacorte.de España’ al teniente general Tawast, pri .•¡D- ■ ; Di*' .’.- ‘ ' itt .. - ■' mer gentilhombre de cámara, el cual estaba de ministró'en"la cor , ...... ..j.rH-AvcrA. te de Dinamarca, adonde va á sucederle el consejero de chaticillejía Hochschild , encargado de Negocios en la misma corte. S.UM ha…</t>
  </si>
  <si>
    <t>Tcjerina, Gerónimo</t>
  </si>
  <si>
    <t>Gerónimo Tcjerina</t>
  </si>
  <si>
    <t>…s enseñará, bajo ciertas para el partido, de León á D. Roque Gaspar Diego de Pinillos: para condiciones, la preparación de estos, las operaciones para guarnecerlos, el de Gordon á D. Gerónimo Tcjerina: para el de Villafranca á Don los times y demas que se practica en ¿lias. Y el Sr. Citerne mantiene Josef García Alfonso: para el de Astorga á D. Vicente Perez Sánchez: su depósito de cardas de su fábrica de Nonancourt, como iguihnér.tu pira el de Valderas á…</t>
  </si>
  <si>
    <t>Te, Manuel Eser.z de</t>
  </si>
  <si>
    <t>Manuel Eser.z de Te</t>
  </si>
  <si>
    <t>…allan eri expectación acerca'de' la conducta tiitérior Observaciones sobre la constitución de los cuerpos dé e éstos Soberanos en muchos punto! dé qué sé há -dicho1 coraceros, por D. Manuel Eser.z de Te¡ed?.* corone! del haberse tratado én Troppau; pero Si Ha dé atetidévíé ál Ca regimiento de la Reina, 2.0 de coraceros de línea. rácter peculiar de los tres Sóbérarios, háy motivos de creer que úna sana política, lá equidad y. la justicia serán las - SÍ ha sid…</t>
  </si>
  <si>
    <t>Te-</t>
  </si>
  <si>
    <t>…enor nota de infamia, habiendo examinado no tan so tivo.Yo dudo si es también contrario á la Constitución , porque por mas lamente esta solicitud, siuo también lo que manifestó el Sr. Te- que mande aquellos egércitos como geneial, siempre es un general Hey. ran, entonces presidente de-las Cortes , de que no convenia en esta so Por todas estas consideraciones, y otras muchas mas, me opongo á que licitud , porque su mayor gloria era dejar á sus…</t>
  </si>
  <si>
    <t>Tejada, Francisco Crespo de</t>
  </si>
  <si>
    <t>Francisco Crespo de Tejada</t>
  </si>
  <si>
    <t>…res, y con la-máyoí fres otra lista de nueve sugetos los Sites. D. Joaquín María Ferrer, D Ga cura continúa alucinando a los incautos, y siendo la befa de los hein'» briel Bulez y D. Francisco Crespo de Tejada: habiendo sido-tal la uni ■bres juiciosos. He aqui sus últimos anuncios. formidad de ideas y de sentimientos de todos los concurrentes , que en Gaceta de Francia del ij~dt Jnlio.__.Vierta-z.9-de Julio. lis diez votaciones que" se hicieron, en todas resultó ¿l…</t>
  </si>
  <si>
    <t>Tejada, Francisco Miguel Lombardo de</t>
  </si>
  <si>
    <t>Francisco Miguel Lombardo de Tejada</t>
  </si>
  <si>
    <t>…n la necesidad de una reforma, no solamente réte: para el de la Guardia á D. Ramón Aleson: para el de Amurrio manifiestan la cortedad de sus conocimientos , sino que nos revelan á D. Francisco Miguel Lombardo de Tejada. ademas el secreto de que se mantienen de abusos , y que tienen interes Provincia de Vizcaya. Para el de Bilbao á D. Juan Orduña y An en que continúen ; y he aquí precisamente los que un Gobierno vigi gel : para el de Durango á D. Francisco Javier de Elexpuru…</t>
  </si>
  <si>
    <t>Tejada, Josef Moreno de</t>
  </si>
  <si>
    <t>Josef Moreno de Tejada</t>
  </si>
  <si>
    <t>…migo que ocultó al fugitivo. » Las Cortes extraordinarias se han enterado del expediente instrui Ademas de esto, observando el art. 130, se ve que se exceptúa de do á instancia de D. Josef Moreno de Tejada , vecino de esta corte, que lo dispuesto en los artículos anteriores á los hermanos, padres, ami V. E. les dirigió en 2-} de Noviembre próximo, acerca de que se ad gos 3cc., respecto á dar noticia á Ja autoridad de cualquier delito que mita una partida de tri…</t>
  </si>
  <si>
    <t>Tejada, Juan</t>
  </si>
  <si>
    <t>Juan Tejada</t>
  </si>
  <si>
    <t>…ior. los socios y por otros fondos destinados al efecto ,y que quisiera pre A la de Comercio, Industria y Artes reunidas una memoria escri guntar si estas debían subsistir. ta por D. Juan Tejada,'vecino de Santander, sobre el pian que la mis El Sr. Tapia contestó que todas las escuelas de dibujo costeada* ma ha presentado á las Cortes.</t>
  </si>
  <si>
    <t>Tejas, Gregorio</t>
  </si>
  <si>
    <t>Gregorio Tejas</t>
  </si>
  <si>
    <t>…scrito recibimos varias cartas de las tarlas en el término de 30 dias, contados desde su publicación, en el provincias, en que nos advertían que semejante documento no era nue~vo. D. Gregorio Tejas desdé Cabrerizos, con fecha 2 de Setiembre de juzgado del precitado Sr. D. Juan Gómez y Díaz, y escriba: ía de Don Manuel López de Rivas, deduciendo cualquiera acción de que se crean 1820, nos decía: » En la gaceta del Gobierno de 30 de Agosto se pu asistidas…</t>
  </si>
  <si>
    <t>Tejedor, Manuel</t>
  </si>
  <si>
    <t>Manuel Tejedor</t>
  </si>
  <si>
    <t>…or juez , se hace saber al público que el dicho jarabe no se ven verdadero de la esclavitud de los pueblos, habla del informe código de de ya en la botica expresada, y sí en la de D. Manuel Tejedor , calle anarquía de Cádiz; y sin ese código anárquico Luis xvrri estaría en de la Abada, y en casa del propio autor,“calle de Alcalá, inmediato al Inglaterra, y los franceses bajo la férula ignominiosa de un corso, y gabinete de Historia natural , núm. 4, cua…</t>
  </si>
  <si>
    <t>Tejeiro, Vicente Navarro</t>
  </si>
  <si>
    <t>Vicente Navarro Tejeiro</t>
  </si>
  <si>
    <t>…e regidor constitucional de Valencia; D. Lorenzo Villanueva, magistra chosos por su insubordinación, por el deseo que manifiestan de come do de la audiencia territorial de Madrid; D. Vicente Navarro Tejeiro, ter escandalosos y funestos excesos en el saqueo y asesinato de los cris abogado; D. Bernardo Falcó, presbítero; D. Manuel Beltran de Lis, tianos, y por el descontento que han mostrado al partir para et Da capitán retirado; D. Jaime Gil, presbítero; D. Juan…</t>
  </si>
  <si>
    <t>Telles</t>
  </si>
  <si>
    <t>…o para restablecer su salud por el bien que resultaba al servicio público: algunos señores diputados apoyaron al PRESIDENCIA DEL SESoR 'GUTIERREZ~DB TERAN. Sr. presidente; pero el Sr. Telles llamó la atención del Congreso sobre Sesión del 1,° de Mayo. que hallándose enfermo el marques de Castello Menor, quedaría la Re Se leyó y aprobó el acta de la anterior. gencia reducida á solos tres individuos; y por último acordó el Congreso Las Cortes queda…</t>
  </si>
  <si>
    <t>Telles, Ribeiro</t>
  </si>
  <si>
    <t>Ribeiro Telles</t>
  </si>
  <si>
    <t>…so, y menos cuando las del Sr. Sarmentó no piedad suya, y se lo llevaron. habian sido aprobadas por el Congreso. Sentado el Rey á la mesa, se cubrió esta por primera vez con mu El Sr. Ribeiro Telles propuso que el Sr. Sarmentó presentase la cha ceremonia, trayéndose,los platos en medio de too personas, de las carta que habia recibido del encargado de Negocios de España , en la cuales tres eran oficiales, dé la Corona, é iban montados en caballos que habi…</t>
  </si>
  <si>
    <t>Telléz, Barnardmo' de</t>
  </si>
  <si>
    <t>Barnardmo' de Telléz</t>
  </si>
  <si>
    <t>…provincia habrá un comandante supéríot cibn cometidás^por ‘él juez dé 'grióieta' instancia de áqpéí partidootra de la guardia nacional nombrado:por Nos: también serán nombrados de D. Barnardmo' de Telléz;'atcáldé constitucional 'dé'la ’ villa dé Cupor Ños los gefes de los respectivos batallones. Los demas oficiales y llar, ‘ftrnvffiri4'íl(i irnini^n/1ru-A Ja travinr •*Áipvm^I iJtuYae ats 1&lt;ía subalternos serán nombrados por las compañías ¿ y elegidos entre ¿t…</t>
  </si>
  <si>
    <t>Tellez, Justo</t>
  </si>
  <si>
    <t>Justo Tellez</t>
  </si>
  <si>
    <t>…819: en libertad. Ultimo estado de la causa. Haber acu de Castilla la Nueva los autos de la testamentaría del teniente ge sado el fiscal la rebeldía á uno de los procesados. neral D. Justo Tellez, que falleció en esta plaza en 13 de Marzo de 20. Dos procesados por perjuicios de un procesamiento. Principió 2813, se ha mandado entre otras cosas se vuelva á anunciar al pública en 4 de Mayo de 1819: en libertad. Ultimo estado de esta causa. Ha esta testam…</t>
  </si>
  <si>
    <t>Tellez, Melchor</t>
  </si>
  <si>
    <t>Melchor Tellez</t>
  </si>
  <si>
    <t>…a el Gefe político de Zamora, por haber infringido la Constitución. número de tropas de mar y tierra que s; ha de decretar anualmente. A lá expresada comisión se pasó una queja de D. Melchor Tellez, | Ei Sr. Larriba dijo que no estaba conforme este artículo con lo que subteniente del regimiento de infantería de Toledo, que se halla de I prevenia la Constitución, según la cual los primeros asuntos que de guarnición en Pamplona, contra el coronel de su cu…</t>
  </si>
  <si>
    <t>Tello</t>
  </si>
  <si>
    <t>…correspondiente justificación en debida forma, y por medio Siendo ya las cuatro y media de la tarde, y no habiendo compa de apoderado, á la ciudad de la Havana y casa del referido D. Tello recido aun ¡os ex-ministros, levantó el Sr. presidente la sesión, seña Alantilla, en cuyo poder están los intereses pertenecientes á diche lando las siete de esta noche para celebrar otra extraordinaria. Serrano. MADRID EN LA IMPRENTA NACIONAL.</t>
  </si>
  <si>
    <t>Tello, Ambrosio Ruiz y</t>
  </si>
  <si>
    <t>Ambrosio Ruiz y Tello</t>
  </si>
  <si>
    <t>…pues manifestar á Fernando constitucional. A la hora señalada se hizo la bendición por aquellos compatricios suyos extraviados que aquella.empresa no podia el abad párroco el Dr. D. Ambrosio Ruiz y Tello, bien conocido por tener buen resultado, en atención á que serian siempre infructuosas su adhesión al sistema constitucional; en seguida dijo la misa con toda cuantas tentativas se hiciesen cor.ua el poderío y ia religión de los ma la solemnidad que permitier…</t>
  </si>
  <si>
    <t>Tello, Josef Espinosa</t>
  </si>
  <si>
    <t>Josef Espinosa Tello</t>
  </si>
  <si>
    <t>…de instrucción pública, Idea de la marina inglesa, escrita por el teniente general de la ar esi.n.tart atrasados alii como en todas partes; luego es claro que nece- mada nacional D. Josef Espinosa Tello. Véndese á 7 r$. en el despa mi ¡guio medicina, con la circunstancia de que estando tan atrasados cho de la imprenta Nacional, en el depósito de Marina, y en los de a.jm-Jios pu. bios como lodos los demas , son susceptibles de mayores partamentos de mannade C…</t>
  </si>
  <si>
    <t>Tellp</t>
  </si>
  <si>
    <t>…n t8oó ó 1807; después sirvió en la marina mercan ■: antecedia, dispuso el ur. presidente quedase reservado para tratarle en te hasta el año de 1809, en que entró de mayordomo deL Sr. D. Tellp sesión secreta. Mantilla, teniente de navio que fue, en cuya casa ha subsistido bas Por último, habiendo satisfecho el Sr. Martínez de la Rosa, indi- ta su fallecimiento intestado, sin haber dicho si tenia algunos pa . viduo de la misma comisión , á varias ob…</t>
  </si>
  <si>
    <t>Temas, Fernandez</t>
  </si>
  <si>
    <t>Fernandez Temas</t>
  </si>
  <si>
    <t>…den esta noticia los periódicos de Francfort, ha diese esta discusión para continuarla mas despacio en otra ocasión. biéndolo hecho los de Dusseldorf, y los de Aix-la-ChapelLe. El Sr. Fernandez Temas dijo que las corridas de toros eran una con »El magistrado de Bamberg se portó con la mayor prudencia, secuencia del arte de caballería que habian profesado sus antiguos Re oponiéndose á que continuaran fas reuniones que quería tener en esta yes , los cuales…</t>
  </si>
  <si>
    <t>Ten</t>
  </si>
  <si>
    <t>1707 pendenciajdel comandante general, y tendrá á sus inmediatas órdenes con los.presupuestos, los gefes de los ramos han de anotar en todas la* jos subalternos que se cónsul Ten necesarios .para el desempeño dé sus papeletas , documentos y libros que han.de tener cpn este objeto el cos encargos; quedando sin embargo á ios del cuerpo administrativo expe-, to de cada cosa ; y la misma anotación han ,de hacer el guardaalmacen, ditas las…</t>
  </si>
  <si>
    <t>Tena, Manuel de</t>
  </si>
  <si>
    <t>Manuel de Tena</t>
  </si>
  <si>
    <t>…27 de Abril no tuvo re ofr v. En la gaceta de ayer , col. 3.a, K7V. -55 , donde dice D. Ma paro en hab ar de un tribunal revolucionario én Esp ftá, ni de citar nuel de Meno, icase D. Manuel de Tena. _^_En la misma columna, lí con este motivo á los monstruos que dishonraron la Francia, Robespier- nea Ó7 , ‘donde dice D. Manuel Peña, léase £&gt;. Manuel de Tena. SUPLEMENTO</t>
  </si>
  <si>
    <t>Tenorio, Miguel</t>
  </si>
  <si>
    <t>Miguel Tenorio</t>
  </si>
  <si>
    <t>…ro de Guerra, dos colecciones de todos los números del periódico la Mi Alpuente por 76: 4/ el Sr. Gira Ido por 75: 5.’ el Sr. Caiatrava nerva, que hasta el dia tiene publicados el coronel D. Miguel Tenorio. por 72: 6. el Sr. Echevarriá por 85: 7.' el Sr. Manesc.ui por 81: En seguida el Sr. ministro de la Gobernación de Ultramar pasó á 8.J el Sr. Navarro (D. Felipe) por '77.: 9.° el Sr. Larriba por 85: la tribuna y principió la lectura de su memoria; la que á po…</t>
  </si>
  <si>
    <t>Tenreiro, Antonio</t>
  </si>
  <si>
    <t>Antonio Tenreiro</t>
  </si>
  <si>
    <t>…r batallón del de Valencia: do aquel por el socio secretario D. Manuel Parga , y esta por el socio á i a. Luis Perez de Rivera, de! segundo batallón del de Valencia: á consiliario^D. Antonio Tenreiro en sesión pública de x.° de Octubre: D. Leoncio Barcena, dei primer batallón del de Zaragoza: á E&gt;. Pas 'su precio 4 rs. cual Puertoias , del primer batallón del de España: á D. Josef Toma- Nuevo diario de Madrid. Se suscribe en su oficina, carrera de San s o…</t>
  </si>
  <si>
    <t>Teodoro</t>
  </si>
  <si>
    <t>…a Rusia ya se decía haber entra D. Justo Josef de Binqueri. Doña Tomasa Ravasa. do efectivamente sus tropas en el territorio turco; haberse apoderado de D. Josef Martínez Moscoso. D. Teodoro de la Calle. Galatz, y que el egército ruso llevaba orden-de no detenerse hasta Constantinopla. Hablábase de la evacuación deBucharest por los turcos; (1) Este sugeto y D. Juan Ferrer á las primeras noticias que tu de un encuentro de los puestos avanzados rus…</t>
  </si>
  <si>
    <t>…es de la Constitución en 7 de Abril de 1821 cuyo escudo de dis p-rroco, con bodega unida i la misma .-•cueva y paneras- dé lá'téróik tinción' concede S. M. igualmente al expresado capitán D. Teodoro decimal, en venta 69,367 rs'., y en renta "-2-4"7;rs. y'"!/' mrsé_f.títis» Fernandez, alférez Di Manuel Leal Vita, y cadete D Ramón Agnirri; tierra en la Eras de Arriba , término'de dicha villa,' su cabida 6 ;peley al mismo tiempo ha resuelto el Rey que forma…</t>
  </si>
  <si>
    <t>Tépé</t>
  </si>
  <si>
    <t>…lio, núm. 92 y 93, que está gravada c0:1 5 hallaba en Fondi-, el general Arcovito en S. Germano y Ceprani, y el censos, sus principales unidos 31,900 rs., en 407,430 rs. y ¡y mrs. general Tépé cerca de Acquí. El 20 un cuerpo de este general de 33 Otra casa en ídem de tres cuerpos, calle de S. Rafael, núm. 8, hombres y 9 cañones tomó posición en Rieti, después de adelantar su que está gravada con 2 censos, sus principales unidos 60,867 rs. y 22 vang…</t>
  </si>
  <si>
    <t>Teran</t>
  </si>
  <si>
    <t>…• señalasen1 podría élíseñalário que rio las hablan revocado; y que se ha cuencia de las preces de S. M.” bía hablado asimismo del repartimiento-de tierras hecho en la isla de El Sr. Teran dijo, que los retardos que experimentaban algunos - Mallorca por el ReyD. Jaim - el Conquistador, afirmando que.en esta regulares en su secularización, dimanaban en la mayor parte de los se y en el reino de Valencia: no había un palmo de tierra que no fuese1…</t>
  </si>
  <si>
    <t>…al nombramiento de presidente, vice-presidente y rio de la Constitución, recordaron á la Nación yá la Europa todo el un secretario, quedando de presidente en primer escrutinio el Sr. Teran amor á su patria, su adhesión al sistema constitucional, el valor y las por 74 votos de 118. virtudes que manifestaron con denuedo en la defensa heróica que hi En la de vice-presidente no hubo elección en primero ni segundo cieron de su pueblo. escrutinio; y…</t>
  </si>
  <si>
    <t>…recho conocido con el ca de las minas. - ; : :. . . nombre de Cops, que se paga únicamente en aquella ciudad. Se aprobó otra indicación del Sr. Calderón, relativa á que la comi El Sr. Teran pidió que pasase este expediente á la comisión con ur sión ordinaria de Hacienda presentase á lá mayor brevedad el informe gencia, pues veia con dolor qué la legislatura estaba para concluirse, y sobre el uso de papel sellado en las provincias Vascongadas y d…</t>
  </si>
  <si>
    <t>…su capital por solo el valor de t© rs., sufriendo erí término qfte se habia-'decretado por el Gobierno. . este casó una pérdida muy considerable; y asi me parece que el embar- El Sr. Teran dijo.: la exposición que han oido las Cortés no es del go se debe limitar á cierta cantidad que pueda cubrir cuando mas el extinguido' cuerpo de ■' guardias 'de la Persona' del Rey ¿ sino de úna «frwÚKw»» de la que importaría la patente. ■ ' r .p.a »•--- porc…</t>
  </si>
  <si>
    <t>…. Romero Alusaron : que en cuanto á la solicitud de quemar los procesos le parecia puente, y después de una corta discusión se mandó volver el dictamen muy acertada la opinión del Sr. Teran; y en orden á la devolución de á la comisión. multas, costas y dentas gastos considera la comisión que era muy justa, Continuó la discusión del plan de Hacienda. pero no para que se abone por el tesoro público, pues que muchas de Se leyeron y aprobaron los ar…</t>
  </si>
  <si>
    <t>…n cer alguna indicación, podrá pasar á la comisión. se insertase en el Diario de sus sesiones y en la, gaceta. En seguida se leyó una indicación del Sr. Ramonet, relativa á qu® El Sr. Teran dijo: » Como testigo de las virtudes del ^.0 batallón los contadores de la contaduría mayor de cuentas no pudiesen ser re de infantería de Zaragoza, que todavía permanece en la Isla, que movidos de sus destinos sin causa legítima para ello. Se mandó pasar * l…</t>
  </si>
  <si>
    <t>…to que se ha aprobado por las mismas ta en otra junta, qué se celebrará el dia siguiente, de Jo que juzgare Cortes. oportuno para la mas acertada resolución de las Cortes. - , :E1 Sr. Teran hizo presente que en el art. 159 del reglamento inte Art. 224. « Al tercer dia daspues de la primera junta preparatoria rior se decia que el presidente contestaría como corresponde al discurso se celebrará la última , en la que se nombrarán presidente y secre…</t>
  </si>
  <si>
    <t>Teran, Ana Lobo y</t>
  </si>
  <si>
    <t>Ana Lobo y Teran</t>
  </si>
  <si>
    <t>…al de S. Aguistin , en 31,784 rs. do de 1819 en 497,110 rs. , y tiene de cargas tres censos, im Censos activos• portantes sus capitales juntos 87,720 rs., dos faroles y carga real Doña Ana Lobo y Teran paga sobre, casas calle de la de aposento. También se venden dos censos uno de 88,174 rea Corredera por S. Juan Bautista , 4700 rs. les , y el otro de 50© , con réditos de 3 por 100 sobre varias Doña Josefa de Cala sobre casas calle del Sol por di fincas en e…</t>
  </si>
  <si>
    <t>Teran, Gutiérrez de</t>
  </si>
  <si>
    <t>Gutiérrez de Teran</t>
  </si>
  <si>
    <t>…n de las Cortes. Se procedió á elegir otro individuo por Ultramar para dicha dipu El de la de Salud pública, relativo á la-exposición del Sr. ministro tación, y resultó elegido el Sr. Gutiérrez de Teran por 130 votos, de la Gobernación de la Península, en la que manifestaba que atende 163. diendo-S. M. á que se necesitan 4go0 rs. para reparat los baños de la Para segundo individuo por la clase de diputados de Europa quedó provincia d&lt;' Cuenca, y que la Hacie…</t>
  </si>
  <si>
    <t>Teran, Ignacio Sazade</t>
  </si>
  <si>
    <t>Ignacio Sazade Teran</t>
  </si>
  <si>
    <t>…io Bernal: para el de Albarracin á ó Pedio Alzamora: para el Acuña, Calatrava , Lallave &lt;j D. Vicente), Oliver., Saenz y Gutiérrez de Teruel á D. Andrés Casáyus: para el de Mora á D. Ignacio Sazade Teran. tornil.- para el de Alcañiz á D. Josef Hacha: para el de Monta{ban á No lo aprobaron los Sres. Traver , Peñafiel, González Allende, D. Rafael Larraz: para el de Cantavieja á D. Pedro Lapuente: para el Cabrero, Lobato, Banquerí, Cabaleri ,'Gd de Linares, Cres…</t>
  </si>
  <si>
    <t>Teran, Josef María Gutiérrez de</t>
  </si>
  <si>
    <t>Josef María Gutiérrez de Teran</t>
  </si>
  <si>
    <t>…car sino el bien de la patria y el fo zález Vallejo,'obispo de Mallorca; diputado por' la provincia de Soria; mento del bien público en que Jas Cortes prolonguen sus fatigas? ¿Qué D. Josef María Gutiérrez de Teran, que lo es por k. de México; Don ventajas sino estas sacará un diputado del trabajo que tiene aqui? Cuan Josef María de Calatrava, por la de Extremadura; D. Demetrio 0-Daly,_ do ei bien de la Nación está por medio , ninguna fuerza tienen todas por la de Puert…</t>
  </si>
  <si>
    <t>…guna vez equivocado ó sorprendido he » Luego que llegó á noticia del Rey el fallecimiento del diputado á incurrido involuntariamente, reconvenido ó instruido de ¿lio, no he Corteé D. Josef María Gutiérrez de Teran , individuo que era de la Di retardado un motiitfnfo el ofrecerle y darle al agraviado la mas com—‘ putación permanente, cuyos buenos servicios en los gobiernos políticos pleta satisfacción. Hallándome pues á mi pesar en este caso , suplico í de Valencia y Ca…</t>
  </si>
  <si>
    <t>Teran, Josef María'Gutiérrez de</t>
  </si>
  <si>
    <t>Josef María'Gutiérrez de Teran</t>
  </si>
  <si>
    <t>…Diodoro de Sicilia, lib. l,°, Acuña.Francisco Martínez de la Rosa, diputado secvetario.= No fir cap. 33; Estraboh , cap. 17, y Josefoylib. 2.0, cap. 10. Ségun los tres ma el Sr.. D. Josef María'Gutiérrez de Teran , individuo de ia Dipu últimos autores estaba situada 1» ciudad ce Meroes en una isla-formada tación , por hallarse gravemente enfermo. =Sigue ia rúbrica del señor por e! Nilo , el Astapus y el Astaboras (el Bahr-el-abiad, el Abavvi secretario = Sr. diputado…</t>
  </si>
  <si>
    <t>TeraU, Gutiérrez de</t>
  </si>
  <si>
    <t>Gutiérrez de TeraU</t>
  </si>
  <si>
    <t>…n ehplande Hacienda que ningún empleado tendrá, franco el; correo.^ ras párrocos de que. fuesen elegidos diputados á Cortes ; y que si se'su- Las Cortes concedieron permiso al Sr. diputado Gutiérrez de TeraU -ponia un influjo en estos para salir elegidos diputados , el- mismo ten por tiempo de un mes para salir de Madrid cón objeto de restablecer drían para hacer que saliera’otro que fuese de su confianza, y que por •SU salud. ■ ■' : • ■ - ■ - . ! - .,.11: ^consi…</t>
  </si>
  <si>
    <t>Tereiniemplea</t>
  </si>
  <si>
    <t>…te Fernando Biasiello podrá ¡salir ./para Laybach;.¿y tengo: el tario , y que se supone ser de los Estados de Roma: dice éntre otras honor de añadir á V. E. ál.mismo tiempo que el Sr. Tereiniemplea cosas haber llegado al fin el deseado diade la felicidad de todos los ita do en esta I R. delegación provincial, irá juntó con él. .Repito á lianos. ,,Corred, hermanos, á circundar el estandarte constitucional, y V. E. las protestas de mi distinguido respetó…</t>
  </si>
  <si>
    <t>Teresa</t>
  </si>
  <si>
    <t>…as reglas qu« muerto en defensa de la justa causa de la nación, cupo en la naturalmente se deducen del art. 3rodé la Constitución, y suerte del primer extracto de la de este dia á Doña Teresa del i.° y 2.° del decreto de las Cortes de 23 de Mayo da Martina Lator, hija de D. Juan, capitán que fue de! regimien 1812; á saber: 1.a Que deben continuar los ayuntamientos to de infantería de Osuna, muerto en el campo del honor. en los pueblos en que antes…</t>
  </si>
  <si>
    <t>Teresa'Vidalita</t>
  </si>
  <si>
    <t>…us intereses y su confianza , el no hacer-las * reformas; •El Rey D. Jaime de Aragón tuvo un hijo ilegítimo con la Señoril: que exigen la justicia y la prosperidad del pueblo. , ‘ Doña Teresa'Vidalita". Por favorecer á" uno y h otro mandó- que la' -En las Cortes que el Rey D. Jaime celebró en EatceEar.a antbs de ciudad de Segorve lo reconociese pór"sil señor; antes no ■ pagaba mas la;conquista de Mallorca se determinó fuesen repartidos entre los ca que con…</t>
  </si>
  <si>
    <t>Teresa, María</t>
  </si>
  <si>
    <t>María Teresa</t>
  </si>
  <si>
    <t>…ciones de respeto y de depen- tas de su casa, que ascenderían á unos 80 millones de reis. A la señora dencia que no á todos acomodaban. Por último dijo que nadie le había Princesa Doña María Teresa y á su hijo D. Sebastian se les asignaba respondido al desafio que había hecho, y era que siempre que se le de un millón de reis mensual. A cada una de las S'ras. Infantas 4008 reís mostrara que habia un solo enemigo de ¡a religión y de la monarquía mensuales…</t>
  </si>
  <si>
    <t>Terrero, Muñoz</t>
  </si>
  <si>
    <t>Muñoz Terrero</t>
  </si>
  <si>
    <t>…o por las Cortes en 3 1 de Mar meza para separar á tres ó cuatro prelados de la clase de ios que se trata. zo último, y conforme á lo que resulte de esta diligencia, proceda el El Sr. Muñoz Terrero se opuso también á la aprobación de esta adi Gobierno á las providencias que haya lugar en sus facultades.” Des ción, manifestando que en el decreto de las Cortes gen-rales y extra pués de una corta discusión se aprobó la indicación relerida. ordinarias no se…</t>
  </si>
  <si>
    <t>Terres, Sebastian</t>
  </si>
  <si>
    <t>Sebastian Terres</t>
  </si>
  <si>
    <t>…D. Antonio Josef Ochoa ; para Mahon á D. Esteban Brío- 4200 rs. nes; para el de Ciudadela á D. Josef Banquells, y para Cinco marjales en dicho término, pago del Martes, en Ibiza á D. Sebastian Terres. 3000 rs. Siete marjales en dicho término, pago del Viernes , en En atención á los méritos y servicios de D. Cristóbal 3500 rs. Izquierdo de los Santos, juez interino de primera instancia Cuatro marjales en dicho término, pago del Martes, en de la villa de Ma…</t>
  </si>
  <si>
    <t>Terrones, Pedro Sainz</t>
  </si>
  <si>
    <t>Pedro Sainz Terrones</t>
  </si>
  <si>
    <t>…el conde de Raxis-Fiasan, griego. Juan Machron en clase de hombre bueno, y solicita juicio de concilia Sabíase en Paris que era extraordinario el entusiasmo de los alema ción con D. Pedro Sainz Terrones, tesorero de S. M., sobre denuncia nes en favor de los griegos. En Bonn ya habia mas de 200 estudiantes de un escrito titulado » El bendito sea Dios de palacio” , entre cuyas dispuestos para marchar á la Grecia por Marsella. El príncipe Emilio estrofas la últ…</t>
  </si>
  <si>
    <t>Testa</t>
  </si>
  <si>
    <t>…es; enseña esta sociedad que es lícito cado. = G. Card. pro-datario.=:E. Card. Consalvi = Visto por la cu en las sediciones excitadas despojar á los Reyes y demas imperantes, rian D. Testa. que injuriosa y continuamente se atreve á llamar tiranos. En el dia, mes y año precitados se Jijó y publicó la presente bula i Estos y otros semejantes son los principios y los preceptos de esta las puertas de las basílicas latetanmse , vaticana y líber ¡ana…</t>
  </si>
  <si>
    <t>Testa, Francisco</t>
  </si>
  <si>
    <t>Francisco Testa</t>
  </si>
  <si>
    <t>…ques Marcelino Ferreiri, el abogado Francisco Bocino, los ne das sus casas y taladas sus haciendas, ¿quién les socorrerá en sus necesi gociantes Nicolás Morteo y Antonio Basso, el cura Francisco Testa, dades; Si entran en la Valaquia , ¡ a cuantos peligros no se verán ex el capitán de marina Francisco layo , el propietario Rodmo &amp;c. puestos! La suerte que les espera no puede serles dudosa si los turcos __Una carta de Trieste del 11 da Setiembre .contiene l…</t>
  </si>
  <si>
    <t>Tfaver</t>
  </si>
  <si>
    <t>…Sr. Sancho continuó: Yo creo que los Sres. de la comisión de entrada en España, á fin de evitar los frecuentes fraudes que se come ben contestar á las reflexiones que ha lucho el Sr. Tfaver, esto es , qu4 ten introduciendo la seda torcida á la sondara de la seda en rama , de razón ha habido para no prorogar un término á la extracción de aleocuya clase pocas veces ó ninguna se hace importación alguna del extran don , y sí k las manufacturas de se…</t>
  </si>
  <si>
    <t>Thcímaz, Fernandes</t>
  </si>
  <si>
    <t>Fernandes Thcímaz</t>
  </si>
  <si>
    <t>…espec número considerable de voluntarios nacionales con cirios to á hallarle el general Rosa electo diputado en Cortes, el encendidos; y por último un duelo numerosísimo', compues Sr. Fernandes Thcímaz manifestó que el egército no estaba to de toda la oficialidad de ios cuerpos que allí residen ; dei sin cefe , y que eso correspondía al poder egecutívo; y ha ilustre ayuntamiento; de las dignidades eclesiásticas; de-ios biéndose quedado sin discutir este pun…</t>
  </si>
  <si>
    <t>Thomas, Fernandes</t>
  </si>
  <si>
    <t>Fernandes Thomas</t>
  </si>
  <si>
    <t>…ndrajaman Asach , que sacó preso Zeid de Habiendo girado la discusión sobre el destino del monasterio, dijo Tetuan la última vez que estuvo en ella, juró á este por Emperador," el Sr. Fernandes Thomas, que era necesario se borrase para, siempre la quien lo hizo suministro principal; pero que habiendo ganado dicha idea de que los bienes de los regulares no correspondían á la nación, victoria, y huídose á Gibraltar con todas las riquezas un hermano del .7 qu…</t>
  </si>
  <si>
    <t>Thomas, Fernandez</t>
  </si>
  <si>
    <t>Fernandez Thomas</t>
  </si>
  <si>
    <t>…eligión, Gobierno y d¡sos, que según se dice regala el Rey de Prusia al Rey de Inglaterra con ss nastía.” motivo de su coronación. Se han asegurado en 7200 libras esterlinas, y El Sr. Fernandez Thomas manifestó que la palabra dinastía no es de ahí debe inferirse cuál será su valor. taba bien colocada, pues parecí* decir Ja dinastía de la nación por El globo en que el jueves último hizo su ascenso Mr.Green en Hituguesa. de-Parc fue á parar sin la menor desg…</t>
  </si>
  <si>
    <t>…de que el egército turco del Epiro ha sida tados de energía y carácter que supiesen defender sus derechos. Completamente derrotado y disperso, y que toda aquella provincia está El Sr. Fernandez Thomas redujo la cuestión á dos puntos: i.° Que en insurrección. habian convenido todos los Sres. diputados que solo en una necesidad Parece que la escuadra argelina y algunos buques de Egipto, que ve absoluta podía enagenarse alguna parte del territorio portugués.…</t>
  </si>
  <si>
    <t>Thomás, Fernandez</t>
  </si>
  <si>
    <t>Fernandez Thomás</t>
  </si>
  <si>
    <t>…ortugueses llevasen, una escarapela ex si Tengoel honor &amp;c. niFirmado — el marques de Latour- Maubourg.” tranjera. Nuestio Rey ha concedido ¿ Mr. de Andezana el permiso de acep Él Sr. Fernandez Thomás aprobó también que se adoptase una nue- ' tar esta dignidad. va .escarapela ; pero limitándose su uso á los empleados públicos que INGLATERRA. recibían sueldu del erario; otros señores diputados apoyaron esta idea, y añadieron que siendo el Rey, como constitu…</t>
  </si>
  <si>
    <t>…tó qtieera indispensable el conservar una tes, vice-secretario. fuerza armada en las provincias de América, y dió las' razones en que Se fundaba. Madrid Martes 4 de Setiembre.. El Sr. Fernandez Thomas dijo que las ¡deas de algunos Sres. dipu ARTICULO DE OFICIÓ..: tados estaban fundadas en principios equivocados; que era preciso ha blar con claridad ; que los aQ hombres que se pedían eran para sostéá El Sr. secretaria del Despacho de Estado con fecha de aye…</t>
  </si>
  <si>
    <t>…bado sus mas ardientes partidarios, y que no pueden salir del mal paso en que se han Sesión de Cortes del 27metido sino promoviendo algún alboroto popular , que pueda asustar á EÍ Sr. Fernandez Thomas propuso que se mandase acuñar una nue las gentes tímidas, y causar una reacción á su favor. Si hubiese algún va moneda de plata del valor de Üoo reís y de un quilate, tal que no disturbio en las exequias de sus víctimas, se valdrían de este pretex pudiesen ap…</t>
  </si>
  <si>
    <t>…ste modo se declara griego contra todo viviente, cerse con el Príncipe Real apenas llegase i este reino. hasta contra los suyos. Con todo confi-.sa después paladinamente que se EL Sr. Fernandez Thomas presentó dos proposiciones, la una sobré halla perplejo: poique si bien no admite transacción alguna en mate que se pidiese al Gobierno que á la mayor brevedad remitiese la corres ras de legitimidad, reconoce sin embargo que en ciertos casos y cir pondencia d…</t>
  </si>
  <si>
    <t>…gército del bajá. No halló en todo el camino sino algu bó esta indicación del Sr. Al ves do Rio. nos monumentos egipcios aislados y de una época no muy antigua; Habiendo pedido el Sr. Fernandez Thomas que se hiciese lo mis mas habiendo llegado á Schagni, en cuyo parage acampó 'el bajá, des mo con otros, dijo el Sr. Castello Branco en un largo discurso, que la cubrió 35 pirámides dispuestas por gradas, y desde 50 hasta 120 pies medida que se acababa de adop…</t>
  </si>
  <si>
    <t>…de Rusia por un efecto de su generosidad habia recibido Príncipe Real á Portugal. á aquellos prófugos bajo su protección : ahora bien , enlre las potencias, Habiendo observado el Sr. Fernandez Thomas que dos ó tres Seño los tratados y estipulaciones que corresponden á uno ú otro Gobierno res diputados se habián quedado sentados, pidió que los que fuesen de son tina cosa,,y la generosidad personal es otra. Nadie ignora que un opinión contraria se levantase…</t>
  </si>
  <si>
    <t>…eto provisional en cada uno délos que pagándole la nación, justo era que la sirviese cuando lo necesitase. caminos que deban quedar abiertos en virtud del artículo antecedente. El Sr. Fernandez Thomas pidió que esta providencia fuese extensiva Las disposiciones que se han prescrito en el número a.° con res i todos los empleados públicos, pues el que no obedecía no era ciuda pecto á las personas que procedan da Cataluña 6 de otra cualquier pro dano , y el q…</t>
  </si>
  <si>
    <t>…parte se aprobó, y se taduría mayor, y las otras sa están formando; por manera que el Go desechó la segunda. bierno ha llenado sus deberes: ademas se ha comisionado á D. Ramón E1 Sr. Fernandez Thomas pidió que se indicase al Gobierno que so- Aldasoro para que practique estas liquidaciones. La comisión propone Licitarauna bula para que en lo sucesivo pudiese el pueblo portugués co que el ministerio haga una distinción de las deudas á las cuales se deba mer…</t>
  </si>
  <si>
    <t>…, que es el punto favorito. Varios Sres. diputados hablaron largamente en pro y en contra de De la Austria no puede decirse todavía si en caso de guerra tomará este artículo; y el Sr. Fernandez Thomas pidió que se suspendiese la una parte muy activa ; pero sí que va haciendo preparativos que lo in discusión, manifestando que el asunto era de la mayor trascendencia, dican; y por mas que procura ocultarlos, no dejarán los italianos de sa «asmo lo acreditaba…</t>
  </si>
  <si>
    <t>Thomas, Fernando</t>
  </si>
  <si>
    <t>Fernando Thomas</t>
  </si>
  <si>
    <t>…gún esta solici Jos diamantes mencionados eran del Rey ó de la nación, para incor-- tud, va á quedar reducida esta dirección á solo un individuo, y en esta porarlos en esta ; y el Sr. Fernando Thomas dijo que la buena fe pe caso los negocios van á padecer un retraso considerable, y es tanto mas dia que no se tocasen estas alhajas que S. M. habia dado para el banco. perjudicial cuanto que el sistema de Hacienda depende en gran parte da Él Sr. Franzini mani…</t>
  </si>
  <si>
    <t>Thomaz', Fernandes</t>
  </si>
  <si>
    <t>Fernandes Thomaz'</t>
  </si>
  <si>
    <t>…techo público universal.,.Se acordó por unanimidad que debía pro--- quier otro cuerpo. • • •: ss.cs.i testarse. Se mandaron pasar al Gobierno una exposición de varias viudas y EL Sr. Fernandes Thomaz', recordando la necesidad dé la ley sobre huérfanas del monte pío dé' corfégidofés y-alcaldes mayores, en.que la libertad de imprenta, propuso que se tuviesen.sesiones extraordina jriariiíestábin'qúe se hallan en el caso dé pedir limosna por nó pagárseles rias…</t>
  </si>
  <si>
    <t>Thomaz, Fernandes</t>
  </si>
  <si>
    <t>Fernandes Thomaz</t>
  </si>
  <si>
    <t>…os acusan de que queremos restablecer él an desechado el 9.', y se mandó que el jo volviese á la comisión. tiguo régimen con todos sus privilegios ¡ pero dicen que es una calum El Sr. Fernandes Thomaz hizo la proposición de que se escribiese á nia el acusarlos de que quieren restablecer los privilegios de la revolu S. M., remitiendo las bases de la Constitución , todos los decretos, dia ción. (Bravos á la derecha.) rios y demás, desde la fecha de la última…</t>
  </si>
  <si>
    <t>Thomaz, Fernandez</t>
  </si>
  <si>
    <t>Fernandez Thomaz</t>
  </si>
  <si>
    <t>…mucho menos á perturbar la discusión de los se de intervenir en favor de cualquiera de las partes le pare negocios. cía muy político, mientras no hubiese datos suficientes para El Sr. Fernandez Thomaz llamó la atención del Con formar un juicio recto Stc. ( Oe continuará.) greso h.ícia la urgencia de tratar del principal objeto para que babia sido convocado , añadiendo que podia ccurrir FRAXCIA. llegase el Rey ó el Principe Rjcal, y que era conveniente que…</t>
  </si>
  <si>
    <t>…a de este privilegio á favor con ella que el ministro de Hacienda fuese su presidente; del bello sexo, y si de estas circunstancias pueden deducir opinión que apoyó y rectificó el Sr. Fernandez Thomaz, se ideas oportunas para la curación de tan egecutiva do haciendo conocer cuán importante era tratar este asunto con lencia.” detención; por !o que se suspendió. Corno no se hayan presentado Memorias para llenar los Después se repartieron impresas las listas…</t>
  </si>
  <si>
    <t>…yecto de que se hallaba el país, y pidió licencia para leerla, pues ley sobre la libertad de imprenta. habia varias circunstancias que podían ilustrar ia discusión También leyó el Sr. Fernandez Thomaz la segunda Dar por las relaciones mercantiles entre Portugal y los domi te de su exposición sobre el estado del reino, relativa prin nios de Ultramar. cipalmente al tesoro público , Hacienda y providencias del En esta bien delineada exposición hizo Ver que la…</t>
  </si>
  <si>
    <t>…mas que de infantería y caba po al Congreso, y asi se resolvió , señalando los lunes para este objetó. llería , se hiciesen extensivos los mismos decretos para el arreglo y ré El Sr. Fernandez Thomaz manifestó que era muy urgente se gimen de la de artillería , ó se den otras leyes particulares al mismo ob ocupase la comisión de Legislación en la ley sobre libertad de im jeto; que se mandó pasar á la comisión de Milicias nacionales prenta , con preferencia…</t>
  </si>
  <si>
    <t>…una mano y quitar con la otra? ¡Qué;cosa:puede •presentase inmediatamente en el Congreso. &gt; _ : • - V . ljabér njas propia para,comprometer,1a buena fe, y por consiguiente el • Eí Sr. Fernandez Thomaz añadió que este-fida/go hibie rehusado prest mismo honor del Gobierno? . tar el juramenta á las bases, y que no lo había hecho hasta qué el Gc-J •&gt; Decís que la revolución está demasiado cerca de nosotros; que es bierno le había mandado salir-del país; y por…</t>
  </si>
  <si>
    <t>Thomaz, Fornandes</t>
  </si>
  <si>
    <t>Fornandes Thomaz</t>
  </si>
  <si>
    <t>…n eclesiástica el limo, cabildo de esta santa iglesia, bieti algunos asuntos que se le habian encargado. - Conocido en esta provincia por sus principios eminentemente católicos El Sr. Fornandes Thomaz dijo que convenía pasar á tratar de las y liberales. í.a néndijo y celebró' la misa con asistencia de todos bases de'la Constitución, como el objeto mas interesante. El Sr. Freí- los ri capitulares, del ayuntamiento constitucional, del clero se re indicó que…</t>
  </si>
  <si>
    <t>Thompson</t>
  </si>
  <si>
    <t>…descontento, no solo por haberse frustrado la intentona, sino también se sirvan de ella los españoles, fomentando asi este ramo de comercie , por la escasez de dinero. La Rebeca, capitán Thompson , quedó libre, y economizando la extracción de numerario que por él y otros se efeey salió de Valparaíso-, pero el lord Sufjicld, capitán Brown, y la tú.i, á causa de no investigarse y aprovecharse los productos del sue'o Rd-zvard Bilis, capitán Heath, aun pe…</t>
  </si>
  <si>
    <t>Thonias, Fernandez</t>
  </si>
  <si>
    <t>Fernandez Thonias</t>
  </si>
  <si>
    <t>…arado á favor de los griegos, comenzando jeto era bien conocido, como la manifestarla á su tiempo. por degollar á los pocos torcos que aun. había en Peschia. El Sr. Saeta apoyó al Sr. Fernandez Thonias, y dijo que cuando se c_ Dicen que será nombrado cardenal el conde de .Vlontesquieu. había tratado de prevaricaciones nunca se había personalizado, porque __Los periódicos ingleses han examinado las ventajas que ofrecerían al siempre había hablado en general;…</t>
  </si>
  <si>
    <t>Tilomas, Fernandes</t>
  </si>
  <si>
    <t>Fernandes Tilomas</t>
  </si>
  <si>
    <t>…star por las personas de mi Reai fami Después de leido el art. 4.”, se suspendió su discusión hasta otro dia lia, egército y pueblos de ¡os Estados de-Ultramar., aquel mismo ju El Sr. Fernandes Tilomas preguntó por la ley de libertad de im ramento de adhesión á la, voluntad de ia nación legítimamente mani prenta , cstrañandó que no se hubiese publicado después de tantos dias; festada por estas Cortes ,, á las cuales resolví que enviasen diputados á loque co…</t>
  </si>
  <si>
    <t>…iones, áque se Ies dió el Odesa 1.a de Octubre- curso correspondiente, quedando para segunda lectura la que hizo el Las tropas rusas (los guardias) acantonadas en las cercanías de Sr. Fernandes Tilomas , concebida en estos términos ; ” Propongo á es YVitepsk han recibido orden de avanzar hacia el mediodía. El Empe te augusto Congreso que el edificio de la cárcel de la extinguida inqui rador ha señalado una pensión de 10® rublos á la viuda del desgracia sici…</t>
  </si>
  <si>
    <t>Tilomas, Fernandez</t>
  </si>
  <si>
    <t>Fernandez Tilomas</t>
  </si>
  <si>
    <t>…guir cualquiera periódico que se publique sin haber sido censura á que se aprobara el párrafo en cuestión. do;)- de consiguiente todas las ofertas de tolerancia son en el hecho El Sr. Fernandez Tilomas sostuvo con energía que debía estable ilusorias. ;Y qué resultados tendría, señores, la publicación de una ley cerse el principio , de que el territorio portugués era indivisible e intan poco asequible y tan poco generosa, que solo se la hubiese adopta aqenab…</t>
  </si>
  <si>
    <t>…ron á los alcaldes, menos no podía perjudicar á los intereses del comercio, y pedia au á quienes conducían como en triunfo: por donde quiera iban entonan mentar los del erario. El Sr. Fernandez Tilomas y otros hablaion do canciones patrióticas, y prorumpiendo en incesantes vivas á la enérgicamente; y por último se decidió que no se resolviese este asun Constitución y al Rey constitucional. La gente al fin se esparció por to hasta oir el dictamen de las comi…</t>
  </si>
  <si>
    <t>…alidos ó curados 23; convalecientes io5: muertos 695 Lisboa s6 de Setiembre. existentes 460. Sesión de Cortes del si. De orden de la M. I. junta municipal de Sanidad.^Francisco E! Sr. Fernandez Tilomas dijo: No habiendo sido posible tomar Subirach, habilitado para su secretario. . . medidas generales con respecto á los empleados, asi civiles como mi Parte del lazareto sucio de todo el dia. t.° de Octubre. litares que han llegado de Rio- Janeiro; y no siendo…</t>
  </si>
  <si>
    <t>…o de las leyes que hubiesen y suscriptores á la casa de los Sres. Llano y Chavarri á hacer efectivas hecho. sus cuotas, y al mismo tiempo de inscribirse en dicho empréstito con El Sr. Fernandez Tilomas hizo algunas ligeras reflexiones i favor las acciones que les dicte su ardiente zelo patriótico. Barcelona 24 de del artículo; y el Sr.Vaz-Veiho las rebatió, fundándose en el disgusto Octubre de 1821. sM. y R. de Llano y Chavarri. = M. de Mier y de los mismos…</t>
  </si>
  <si>
    <t>Tizón, Manuel</t>
  </si>
  <si>
    <t>Manuel Tizón</t>
  </si>
  <si>
    <t>…trozo de tierra moreral, en eí partido de S. Mi cultos. guel, linda con las de Francisco García, camino de Mon- iluchos católicos de Francia, Suiza ¿ Italia han en teagudo, las de D. Manuel Tizón y D. Juan de la Cruz tablado correspondencia con la sociedad de Londres, y ia del Villar, su cabida de 5 tahullas, 2 ochavas y 13 brazas, traducción que se ha hecho de la Biblia en italiano ha me en 11,661 rs. y 23 mrs. recido grandes aplausos en Malta, Ñapóles y Mesin…</t>
  </si>
  <si>
    <t>Tnomas, Fernandez</t>
  </si>
  <si>
    <t>Fernandez Tnomas</t>
  </si>
  <si>
    <t>…e Los unos contra los otros, y especialmente los albaneses que se baten con dársele ningún otro encargo. los griegos, al paso que en la isla de Tiñe ios griegoi degüellan á los El Sr. Fernandez Tnomas dijo que no debia permitirse que un católicos. consejero pasase áser ministro, ni tampoco debia haberse hecho al Con • Parece que los servios, que ya habian tremolado el estandarte de la greso semejante pregunta, que ya se hacia por segunda vez: y que su ob c…</t>
  </si>
  <si>
    <t>To</t>
  </si>
  <si>
    <t>…r la terna que se debía presentar á S. M. para el terrumpido todo tráfico con Berbería; por lo cual se teme que los ju nombramiento del consejero de Estado, que faltaba; y dijo el Sr. To díos corran gran riesgo si prevalece en todo el imperio la dominación vas que S. M. podia escogerle de la lista que se le había presentado; de Zeid: que éste ha enviado desde luego á todas las tropas de Tetiían pero otros -res. diputados fueron de distinto pa…</t>
  </si>
  <si>
    <t>To, Fernandez</t>
  </si>
  <si>
    <t>Fernandez To</t>
  </si>
  <si>
    <t>…beta Dia llos dias, haciéndola extensiva al dia i.,J de Octubre. mante y 800 hombres de Cuba, la guarnición hizo una salida para dar En virtuJ de la proposición que había hecho el Sr. Fernandez To les batalla, y el enemigo huyó: los realistas destruyeron el campo de más en la sesión del lunes para que se tratase en esta de los artículos los disidentes. 172, 173 y 174 de! proyecto de Constitución, se empezó la discusión Los astrónomos anuncian la aparic…</t>
  </si>
  <si>
    <t>To, Manuel</t>
  </si>
  <si>
    <t>Manuel To</t>
  </si>
  <si>
    <t>…Villareal y Gopegui, natural que fue de la villa de Haro, fesar que los Reyes no hacen caso de la palabra que dieron en aquel en la Rioja, vecino de esta corte , hijo legítimo de D. Manuel To año, ni los ministros quieren cumplir lo que prometieron en dicha mas y de Dona Ursula López de Robredo, para que acudan á dedu época. Deberán reconocer su ignorancia ó su malicia; su deseo de adu cirle en el térniir.0 de 20 dias en el juzgado de primera inst…</t>
  </si>
  <si>
    <t>To-, Antonio</t>
  </si>
  <si>
    <t>Antonio To-</t>
  </si>
  <si>
    <t>…pio Aguas y-Muñera'de ción, y á la que ha dado el nombre de geometría des* Cantos, D. Juan Guerra y Golfantes , D. Tosef Cisnéros y criptiva. Lanuza , D. Bernardo Elfo y Ximenez-, D. Antonio To- La trigonometría es sin disputa una de las mas-útiles rija y Carrese, D. Joaquín Salvador y Udi, D. Diego Mi aplicaciones de la geometría elemental: es la base de la geor randa y Morales, D. Josef Labastida y Bustamante, y desia, de la geografía, dé la astronomí…</t>
  </si>
  <si>
    <t>Toca, Bernardo</t>
  </si>
  <si>
    <t>Bernardo Toca</t>
  </si>
  <si>
    <t>…ado los floridos vergeles de las faldas del C meaco; D. Manuel Macho Fernandez , !\ Casimiro Zaya«, D- Ga por manera que aquel dilatado imperio reúne ios piramos briel Fernandez , D. Bernardo Toca ,' D. Juan Fernandez, inas tristes coa las paises inas amenos, y los horrores del</t>
  </si>
  <si>
    <t>Todas</t>
  </si>
  <si>
    <t>…ulares de cada ayuntamiento, y asimismo los estatutos y CIENCIAS EXACTAS. reglamentos que «tos les hubiesen incluido;.en la inteli gencia de que siendo de suma urgencia el arreglo general Todas las partes de las matemáticos están íntimamente que se medita ,, deberán todos los referidos estados hallarse unidas entre sí, y se prestan, mutuos auxilios. Empezaremos en mi poder á los dos meses de recibida la presente Real por las 'primeras que fueron cul…</t>
  </si>
  <si>
    <t>Todos</t>
  </si>
  <si>
    <t>…incesa Entonces fue cuando d:jo que sus enemigos habian conspirado con de Baviera. tra ella por espacio de muchos años. A la salida del último correo se decía en Viena que el Gran Señor Todos los que rodeaban á S. M. quedaron asombrados de este bello habia desechado formalmente el ultimátum de la Rusia, y uue en su rasgo de su carácter, pues aunque su corazón se hallaba evidentemente consecuencia habla enviado orden á JusutF- baiá deque reconcentr…</t>
  </si>
  <si>
    <t>Toinaz, Fernandas</t>
  </si>
  <si>
    <t>Fernandas Toinaz</t>
  </si>
  <si>
    <t>…, esta capital á ningún pueblo cede en virtudes cívica-'. Prepa concluyó diciendo que era absolutamente necesaria. raos pues á cumplir con vuestras nuevas obligaciones: en ello El Sr. Fernandas Toinaz manifestó que el Congreso interesáis todos. Bien conoceréis que cuando la patria pone estaba acorde en la libertad de imprenta , y que solo h.tbia las armas en vuestras, manos, es porque fia en vosotros, y á variedad de opiniones en cuanto á la previa censura…</t>
  </si>
  <si>
    <t>Toledo, D Francisco Alvarez de</t>
  </si>
  <si>
    <t>D Francisco Alvarez de Toledo</t>
  </si>
  <si>
    <t>373</t>
  </si>
  <si>
    <t>…da y media , en 300. rs. .. El dia 12 de Febrero último lal-ec.ó en esta corte a los 57 anos Otra al ponton de S. Martineja, de 4 cuartas, de primera calidad, de su edad el Excmo. Sr. D Francisco Alvarez de Toledo , marques de Vi.lafranca y lo» Veiez, duque de Medina-sidoma, conde de Nie«le secano, en coo rs.</t>
  </si>
  <si>
    <t>Toledo, Francisco de Borja Alvarez de</t>
  </si>
  <si>
    <t>Francisco de Borja Alvarez de Toledo</t>
  </si>
  <si>
    <t>…disolverá hasta que vuelva la mrs. de vn. en vales Reales, de que está encargada la testamentaría del comisión expresada. Art. 29. Por regla general las Cortes no asistirán Excmo. Sr. D. Francisco de Borja Alvarez de Toledo , marques que fus á función alguna pública. ( Se continuará, ) de Villafranca, por depósito que hicieron los interesados en la testa mentaría común de los últimos duques de Alba; á cuyo efecto debe VARIEDADES. rán acudir á la contaduría del señor marques actu…</t>
  </si>
  <si>
    <t>Toledo, Salvador Sánchez de</t>
  </si>
  <si>
    <t>Salvador Sánchez de Toledo</t>
  </si>
  <si>
    <t>…imera de Villar del Campo , la venta de la. villa de Almenara , deduciendo instancia de aquel partido. de todo,esto que lo que* habian dado y vendido eran lugares , propie Otra de D. Salvador Sánchez de Toledo, vecino de Cadalso, que dades, hombres yrnugeres: que habia: i pueblos en España sujetos á jándose de infracción contra el alcalde de dicho pueblo D.- Zeferino señoríos, y que de los 573 que-componen*, la provincia de Valencia, Abad. -' los 500 son de señorío…</t>
  </si>
  <si>
    <t>Tolly, Barclay de</t>
  </si>
  <si>
    <t>Barclay de Tolly</t>
  </si>
  <si>
    <t>…M. se ha servido grandes divisiones está al mando del general Sacken, que ha reempla resolver igualmente que dicho gefe político y el gobernador eclesiástico zado al feid-mariscal príncipe Barclay de Tolly; la segunda está á ios señalen el término mas breve posible y perentorio para llevar á efecto órdenes del conde de Wittgenstein, que ha sucedido ai conde Benig- este arreglo, dando cuenta á S. M. luego que se halle completamente sen. El cuartel general dei pr…</t>
  </si>
  <si>
    <t>Tolstoy</t>
  </si>
  <si>
    <t>…ministro de Suecia y Noruega en ce res , y que solamente resulta positiva la egecucion de las órdenes rigo lebridad del restablecimiento del Príncipe Real. rosas de la Pueita. El conde Tolstoy, ayudante de campo del príncipe Wol-Jonsky, » Parece que estas órdenes deben habtr llegado á un mismo tiem que habia pasado desde Laybach á Constantinopla , acaba de llegar de po á todos los puntos del imperio. vuelta de su viage, y según se asegura, refiere…</t>
  </si>
  <si>
    <t>…....... 5- beneficio á pss. "VVituiviow ; su actual presidente es el príncipe Galizin, y vice-presi- Zaragoza............ ............................................. tí dente el conde Tolstoy, Su objeto es emplear desde luego todos los Bilbao................ ........................................................... i medios posibles para perfeccionar la agricultura en Rusia y todos los Santander........... .......................................…</t>
  </si>
  <si>
    <t>Tom-</t>
  </si>
  <si>
    <t>…12. Deben agregársele dentro de pocos dias un navio de personal del ministerio en la conservación de la censura. ¡Qué tiene él 86 y otro buque de 36. Manda esta escuadra el contra-almirante Tom- que temer por sí! ¡Que nos digan lo que estamos oyendo todos los bek-Zade-Al t-bey. días! ¡Que está sujeto á una dirección oculta; que le manda un parti Aun vivía Manuel Danesi-en 25 de Mayo, y ha sido trasladado á do, que le conduce en lugar de seguirle, y q…</t>
  </si>
  <si>
    <t>Tomás</t>
  </si>
  <si>
    <t>…halló por nistro togado honorario de lá audiencia territorial, y juez de la observación de una montaña, situada en la punta aus primera instancia en está M. H. villa/refrendada de D. Tomás tral de su inedia luna , cuya rotación es de 23 h. 21'.Por María Manrique, escribano de su número, y á consecuencia Otros medios semejantes na comprobado que Mercurio y de' despacho requisitorio librado por el juez- letrado"interinó Marte giran sobre su eje e…</t>
  </si>
  <si>
    <t>Tomas</t>
  </si>
  <si>
    <t>…del-marquesado de D. Josef Sirvent, del comercio. En Bilbao en la. de Don Fromista, y á los réditos vencidos y mandados pagar por la Juan Barrelli, de idem. En Calatayud en la .de D. Tomas sentencia, cuya cantidad, unida á la antecedente, asciende á Navarro, de idem. En Oviedo en.la de D.. Marcos Saran- y mrs., de que deberán deducirse 89,130 rea deses, boticario. En Córdoba en la de D. Josef Parroldo, les sobre qué se fuñdáron los dos patronat…</t>
  </si>
  <si>
    <t>…el diario de Cien Guacho, sin. novedad particular. : cias médicas de Paris, por ser injurioso á ja ilustración española, y Ha .entrado en este puerto el bergantín americano. Dick, capitán Tomas principalmente á la cirugía y medicina, presentada por el Sr. D. Juan Honfriti, de Lima y Rio Janeiro , con cacao, algodoniy ¡zarzaparrilla : del de Serrallach. pr.men.puerto salió el 20 de Noviembre, y ¿leí segundo el 2^ de.Ene-; A la comisión de Bellas Arte…</t>
  </si>
  <si>
    <t>…los individuos que pertenecen á da cántara de vino. - , dicho cuerpo, y no son de los que se hallan procesados ó acuartelado» A la de Legislación se mandó pasar una exposición de D. Tomas en S. Gerónimo , vayan inmediatamente con licencia indefinida á los Cantero sobre permutación de estudios. lugares de su naturaleza , facilitándoles para ello el auxilio necesario, A la de Guerra una exposición de la compañía de Reales Guardias y dando parte…</t>
  </si>
  <si>
    <t>…bre el expediento instruido por D. Matías García general Ambrosio y el mió ; el general Ambrosio fue libertado por una Rada , vecino de Torrubia, sobre Ja emancipación de-.su hijo D. Tomas, compañía de zapadores, y yo lo fui por unos 20 gendarmas, que hicie de edad de 3!! años, y abogado; que.la comisión era de,parecer debia ron fuepo sobre los soldados, los cuales se dispersaron por el campo. .Mandé "entonces á la caballería que cargase sobre…</t>
  </si>
  <si>
    <t>…rendreislo^ntendido para'su’cumplimiento, y dtspóndreis que se esperaba la resolución; de S. M. de.. querer ó nodesembarcar, publique v¡circule.sEn Palacio á12 de Julio'de 182i.=Á D. Tomás lo cual se participaría al punto ral -soberano Congreso; y asegurando ha Moreno y ;Daoiz. llarse tomadas .todas las providencias convenientes por el comandante ■ de armas de la provincia, Las Cortes quedaren enteradas. A.. AA .¡¡-¿.¡v- E! Rey hs.expedido el d…</t>
  </si>
  <si>
    <t>Tomas, Fernandez</t>
  </si>
  <si>
    <t>Fernandez Tomas</t>
  </si>
  <si>
    <t>…las cartas geográficas El Sr. Travassos propuso que se variasen las horas de como islas pertenecientes á la Europa. las sesiones , y se decidió que estas empezarían á las nueve El Sr. Fernandez Tomas dijo que corno secretario que de la mañana, y durarían cuatro horas, y mas si fuese ne habia sido de Negocios del reino en el anterior gobierno, cesario. le parecía conveniente hacer una exposición del estado en El Sr. Soares Franco presentó y leyó un proyect…</t>
  </si>
  <si>
    <t>…e la cual ignoran , según se ve, esta medida por el estado de convulsión en que se halla Rio-Janeiro. hasta las primeras bases: hablo del Hcterirmo í sociedad de los amigos.... El Sr. Fernandez Tomas dijo que convendría hacer una proclama á ;Hemos vuelto al siglo de Doir.iciano, en ei cual los convites entre los los pueblos de América, en 1a cual se describiesen los últimos sucesos amigos eran mirados como saturnales por los enemigos de los cristia de est…</t>
  </si>
  <si>
    <t>…edad, como á los - bado mandando se pasase. ministros el de su propia conservación. (_Se continuará.) El Sr. Borges Carneiro instó para que se presentase la proclama en cargada ál Sr. Fernandez Tomas para que con un gran número deegemPORTUGAL. plares de las bases de la Constitución se circulase á la mayor brevedad. El Congreso declaró que quedaba enterado, y providenciaría con la bre ultramar.__Fernatnbuco 10 de Mayo. vedad posible. Copia de la carta Real…</t>
  </si>
  <si>
    <t>…Estado. Todo lo que entonces formaba el voto reflexivo de su parecer sobre cada una de ellas en particular. los hombres ilustrados, eso es lo que yo llamo necesidades. La asam El Sr. Fernandez Tomas dijo que la junta del Gobierno supremo blea constituyente no fue mas que su intérprete cuando proclamó la li del reino nunca había puesto en egecucion las gracias concedidas en bertad de cultos, la igualdad ante la ley, ia libertad individual, el de Rio-Janei…</t>
  </si>
  <si>
    <t>…108. Juego se les haga el aumento ó descuento que les corresponda. Ciudad, existencia anterior 176 : entrados ó acometidos4s : salido» El Sr. Rebello expuso que la proposición del Sr. Fernandez Tomas ó curados 8 : convalecientes 27: muertos 19: existentes 194. hacia honor á su autor y á la humanidad; pero que habiendo venido Total de los tres puntos: existencia anterior 46a : entrados ó aco con licencia muchos empleados , era necesario que se hiciese dist…</t>
  </si>
  <si>
    <t>Tomas, Juana Bautista</t>
  </si>
  <si>
    <t>Juana Bautista Tomas</t>
  </si>
  <si>
    <t>…bernar. dotación ó gratificación, bien del fondo de propios, ó bien del mon El Sr. Castello Branco dijo que liabia oido cuanto se había dicho te pió beneficial; otra exposición de Doña Juana Bautista Tomas, ve sobre el santo Oficio ; y que no pudiendo hablar como testigo sino de cina de Valencia, en la que manifestando sus servicios á la patria, y los hechos de su tiempo, tenia que dar algunas ideas al Congreso para Bailarse en el dia privada de sentido y balda…</t>
  </si>
  <si>
    <t>Tomas, Nicasio</t>
  </si>
  <si>
    <t>Nicasio Tomas</t>
  </si>
  <si>
    <t>…de la subasta. elector de su partido, y D. Joséf María Gonztlez , cura de la Campana. Alt. &gt;1 F.l sobrante se distribuirá por partes iguales entre lo Por la provincia de Granada. D. Nicasio Tomas , natural de la vistas, administradores y contadores que concurrieron al reconocimien villa de Galera, vicario general de Madrid ; D. Domingo María Ruiz to y detención de los géneros, siendo de su cuenta los pequeños gastos de la Vega, abogado de los .tribuna…</t>
  </si>
  <si>
    <t>Tomasi</t>
  </si>
  <si>
    <t>…M. y AA. continúan sin novedad en su importante salud.'E to muy sabio contra los ilusos en punto de vacuna, imponiendo va rias penas. Había sido ajusticiado el asesino del prelado obispo Tomasi: Ayer se recibieron periódicos extrangeros, y ademas del extracto el 13 se creó por S. M. S. un tribunal de justicia marcial para juzzsrie: de noticias publicadas en el número anterior, insertamos Jas siguientes: el 17 se sentenció á pena capital, y ¿ las sei…</t>
  </si>
  <si>
    <t>Tomaz, Fernandas</t>
  </si>
  <si>
    <t>Fernandas Tomaz</t>
  </si>
  <si>
    <t>…de la Nación se efecto pasará «1 tesorero.” Se discutió este artículo por algún tiempo; reintegren á los interesados por la tesorería en la misma especie pero habiendo expuesto el Sr. Fernandas Tomaz que estaba decretado que que se admitieron, con la diferencia que los depósitos que hayan se discutiese, con preferencia á cualquiera otro asunto , la ley sobre la sido hechos en vales deben reintegrarse inmediatamente; pero en libertad de imprenta , y siendo…</t>
  </si>
  <si>
    <t>Tomaz, Fernandes</t>
  </si>
  <si>
    <t>Fernandes Tomaz</t>
  </si>
  <si>
    <t>…eres; y que al va el convento de Dominicos, en Sepúlveda y Cuellar los Congreso solamente le correspondía hacer ieyes. de S. Francisco, y en Villacasrin y Coca los de Descalzos Él Sr. Fernandes Tomaz convino en que ei objeto , con de S. Francisco, completándose el número de religiosos de siderado aisladamente, era de justicia; pero ¡que debía tra estos conventos con los del de Segovia, que se suprime. Y tarse con mas madurez, en consideración á la relació…</t>
  </si>
  <si>
    <t>…or Dun&amp;salik Aga. Pero ninguna de estas mudanzas causó tanta sorpresa como U repentina Sesión de Cortes del 27. é inesperada exoneración de janka Cullimachi, último dragomán de El Sr. Fernandes Tomaz recordó la necesidad de que se presentase la Puerta. El dia 8 por la noche se le hizo saber que habia silo exone el proyecto de ley sobre la libertad de imprenta; y el br. Soares Franco rado, y se le mandó salir inmediatamente desterrado á Xaissarija. Al apoy…</t>
  </si>
  <si>
    <t>Tomaz, Fernandez</t>
  </si>
  <si>
    <t>Fernandez Tomaz</t>
  </si>
  <si>
    <t>…as 3 de ¡a tarde; y levantó la sesión. nistía á los oficiales portugueses, que se habían ido con el egército francés, á fin de que pudiesen voLver al reino. NOTICIAS DEL REINO. El Sr. Fernandez Tomaz entregó por escrito muchas é interesantes proposiciones, cuyas principales ideas son las Puerto de Sta. María z8 de Enero. siguientes: . Sí hubiera un pueblo en España que necesitare de algún . Que los asuntos que han de discutirse en las Corres se estímulo p…</t>
  </si>
  <si>
    <t>…ciones matrimoniales. Bastará asegurar danos no podían ser presos sino cuando sus delitos mere esta renta durante. sus dos vidas reunidas, y.- entonces 13 ciesen pena corporal. El Sr. Fernandez Tomaz dijo que compra de la renta por una sola vida, que deberá espirar á en Portugal hnbia una ley para que nadie.fuese preso sin te la nyjerte de, uno .dé los dos esposos, no,costará sino una ner, antes formada causa ; que no debia . imaginarse que er» suma igual…</t>
  </si>
  <si>
    <t>…es, lo tiene acordado con el cuerpo de su de la discusión, pues de lo contrario protesto contra la protesta.” comercio en junta general celebrada en este dia, y aprobada por el El Sr. Fernandez Tomaz dijo que se oponía absolutamente á las pro Excmo. Sr. virey : anhela que lleguen los casos para la egecucion de los testas; que en el Congreso ni habia división, ni debía haberla, que la premios que en seguida se puntualizan en favor de los soldados del nació…</t>
  </si>
  <si>
    <t>…ó A la misma se pasó el expediente remitido por la diputación pro contra ella, igualmente que contra el veto. vincial de Cuenca, y formado por el ayuntamiento de Carrascosa del El Sr. Fernandez Tomaz juzgó que el veto absoluto era inadmisi Campo, á fin de que se le permita efectuar la venta de un terreno ble; y que siendo la. idea de las dos Cámaras una simple y rutinaria realengo para la reparación de la cárcel, fuentes públicas y casas de imitación de l…</t>
  </si>
  <si>
    <t>Tomaz, Fernaudes</t>
  </si>
  <si>
    <t>Fernaudes Tomaz</t>
  </si>
  <si>
    <t>…ejaba de ser contraria a la indepen contestó con otro igual el Sr. presidente; ..y tomando la palabra-el dencia de los, diputados, y. que por su parte preferiría una prisión á una Sr. Fernaudes Tomaz, pidió que en lo sucesivo no se diese el vergon mordaza ( adhesión a la izquierda). zoso título de capitanía 4 aquella provincia del-reino de Portugal ;-y-el Por último, concluyó su arenga con estas palabras: Sr. Alves do Rio propuso que se convidase á la dip…</t>
  </si>
  <si>
    <t>Tomkins</t>
  </si>
  <si>
    <t>…s ó relaciones con los tenia á su favor una mayoría decidida, y muchas veces la criados de S. M. que viven en aquellas habitaciones suben unanimidad de votos. La reelección de Mr. D. Tomkins por dicha escalera; la meseta donde se habia puesto el bar para vice- presidente se miraba como cosa cierta. ril de pólvora dista como unos 90 pies del gabinete donde Se está siempre en la persuasión de que los ministros acostumbra á estar el Rey; varias habi…</t>
  </si>
  <si>
    <t>Tor'réb'runa</t>
  </si>
  <si>
    <t>…n de viduos el príncipe Trebia, el marques Ferreri, el genera! Nunziante, tener la misma opinión que S. M. ó la de aquellos que le aconsejan. el vice-almirante Rogerio Seitimo, el príncipe Tor'réb'runa , el prínci Pues si esto es as!, el Congreso debe correr un velo sobre el atentado de pe Pandelfina y el Sr. Gaspar Leone. anteayer, y dejar á las autoridades que obren. Varios decretos publicados en Ñapóles, en hombre de S. M. Fer Él Sr.Vitorica manifestó qu…</t>
  </si>
  <si>
    <t>Toreho</t>
  </si>
  <si>
    <t>…originado aquella discusión para hacer ver Vi lós qué á la comisión de‘este 'ramo: • • 1 J;; . ~¡-;:y •* 'difunden malas doctrinas con respecto á los dignos eclesiásticos espa El Sr. Toreho pidió sé agregasé al Sr. 'Banqúeri á-la' comisión de ñoles], que cuando-estos cometen algún crimen son castigados; y que 'Hacienda para qué pudiera' ilustrar con*sus luces i: los Síes. diputados -abundando en las mismas ideas que el Sr. Cortés, creia debía' p…</t>
  </si>
  <si>
    <t>Toreno</t>
  </si>
  <si>
    <t>…o tules habían prestado*liirapara la tropa; después de dejar socorrido» c ai ou i igual á ios pobres do la cárcel y del hosp.tal , todo a expensa» del misino comandante Araos:. Hi^Sr. Toreno indicó que deseaban hablar algunos Sres, encaraaAsistieron al convite el ayuntamiento constitucional, cubil lo eclesiásti dos del Despacho, y en su consecuencia el de Gracia y Justicia ib co , milicia nacional do caballería con su comandante D.Miguel ivíor- q…</t>
  </si>
  <si>
    <t>Tóreno</t>
  </si>
  <si>
    <t>…quf aunque la instrucción para el ma comisión que hizo la propuesta anterior .siga con esté,ejqcárgp.,, gobierno econóin¡co-polxtico-de las provincias da á los Gefes políticos El Sr. Tóreno apoyó la proposición del Sr. preopinante, ............ C facultad de conocer gubernativamente sobre los dudas que ocurran Sr. Cañedo fue¡ de dictamen,que no era esencial se,,hici,era eí en Jas ^lecciones, no,por eso les concede la de suspender á los posesio-.…</t>
  </si>
  <si>
    <t>…n qtierme han hecho los- Soberanos y los res gan por conveniente.” pectivos ministros plenipotenciarios , anunciándome al mismo tiempo Después de algunas contestaciones, en que el Sr. Toreno pidió qué que nada podría hacerles desistir de esta determinación. no se tratasen con demasiada ligereza los asuntos del Crédito público, „Me es imposible, y aun creo que lo será también á todo poder se declaró proposición, y se tuvo esta por primera lectura.…</t>
  </si>
  <si>
    <t>…bierno de que en el banco de la Carolina meri ia cual debia de entender en algún modo en el Crédito público; dional se hallan depositados 6083 peso, y 40 centavos , por disposi El Sr. Toreno no era de opinión se formase una nueva comi ción y á la orden del juez del tribunal de Almirantazgo Th; Bee, pro sión como se pedía para entender en el Crédito público, y que creía cedentes de la venta del cargamento del bergantín español nombrado mas conveni…</t>
  </si>
  <si>
    <t>…Enero de nían en los medios de suplir aquella contribución , para lo cual se 1820, el segundo acerca del número que debía elegirse en 28 de Fe necesitaban 300 ó 350 millones; y el Sr. Toreno, individuo de la co brero del mismo ano, y la elección en jy de Abril siguiente, decia la misión de Hacienda, que está encargada muy especialmente del asunto comisión que, aunque tomaron el hábito en 18 de Mayo, como quiera de diezmos, hablarla de él cuando p…</t>
  </si>
  <si>
    <t>…no Guerra, que poco "íióniero de ¡ndiv-iduós-que la habían de componer, 110 Hubo lugar á la después retiró; » Para evitar tan odiosa discusión , pido que se permita indicación del Sr. Toreno. ' , ; al Sr. obispo de Tarazona salir de España para Roma ó para otra parte.” , . Se leyó por segunda vez ¿I dictamen de la comisión de Legislación -Después de apoyada por su autor esta proposición, se opuso á ella -sobre aumento de individuos en los ayuntan…</t>
  </si>
  <si>
    <t>…an tomar .en consideración las Cortes eran las infraciones de la mis-, puesto preso á consecuencia de la queja dada por el alcalde constitucio ma, observación que parecía justa al Sr. Toreno, individuo de la comi nal de la misma, á quien al pasar este por el cuartel le habian dicho sión , y propuso que se variase la expresión diciendo „ será uno de los Trágala. primeros objetos.” Asi se aprobó. Se pasaron á la misma comisión tres expedientes, en…</t>
  </si>
  <si>
    <t>…ón. - "; ' 1 : Se leyó el dictamen de la comisión Especial-encargada de dar cuen 1 Contrayéndose á la discusión del dia-continuó el mismo Sr. dipu ta del estado de la Nación; y el Sr. Toreno -indicó que en esta discu tado llamándo la atención dei Congreso sijbreque la, formación del mi sión se debía seguir la regla establecida por el reglamento.. : nisterio fuese (como creía que era el actual) de individuos constitu El Sr. Moreno Guerra dijo teni…</t>
  </si>
  <si>
    <t>…del mes de Abril en para que entendiese en una solicitud hecha por varios diputados de las aquella capital. Cortes anteriores y distintos ciudadanos, que fueron perseguidos en El Sr. Toreno manifestó eran muy oportunas las reflexiones del se 1814 por adictos al sistema constitucional, y como tales procesados y ñor ministro de Hacienda, y que por lo mismo esperaba que Las Cortes desterrados á distintas partes, solicitando se declaren nulos y aten…</t>
  </si>
  <si>
    <t>…conveniencia de ios prestamistas, al cual haya te para que se cumpla de buena fe lo que se ha prometido. necesidad de trasladar el dinero desde Madrid , y suponiendo que en el El Sr. Toreno: la comisión no dice que se paguen en pesos fuertes, camino lo robaran , ; seria de riesgo de ios prestamistas! parece que de sino que se verifique en monedas de oro ó plata, que es lo que previe bia ser de cuenta de la Nación, sin embargo de que la «bligac.o…</t>
  </si>
  <si>
    <t>…imientos, podrían hacer alguna indicación sobre todos los atentados de las del Norte. el asunto de que se trataba. Continuó diciendo qu; en España no hubiera importado nada que El Sr. Toreno dijo que aver.se habia nombrado una comisión, que los enemigos hubieran entrado en la capital , porque buen ejemplo se es la que d--bia entender en este asunto. habia dado á Napoleón en la época pasada; que aunque realmente no El Sr. Ramos Arispe presento una…</t>
  </si>
  <si>
    <t>…se señalarla dia todas las ventajas que i primera vista presentaba desaparecían en el mo para su discusión. mento de quedar autorizadas las sociedades para que á mayoría de vo El Sr. Toreno dijo que siendo un negocio de la mayor urgencia , exi- tos se sustituyese otro asunto al que estaba señalado. gia que se considerase por segunda lectura la que se habia hecho; y el El Sr. Muñoz indicó que se había puesto este artículo porque po Sr. Romero Alp…</t>
  </si>
  <si>
    <t>…sejos; al egecutlvq., Eos.- ingle to, sino pasado un mes después del anuncio en ! la gaceta .de Madrid.” ses, que son los maestros en esta parteónos están dandq¡tpdps..lps días El Sr. Toreno apoyó esta indicación, y después de una corta dis egemplos.de esto .mismo. Asi se-.verificó; cúando muchos ,yocajé?; pi cusión entre los Sres. Afxieta-, Tapia ,. Sanchoy Traver , se. mandó pa dieron al Parlamento ¡ingles: se ¡hiciera ¡al-Rey-una. respetuosa-i…</t>
  </si>
  <si>
    <t>…a comisión no entien mo he dicho para verificarla. de en los señoríos territoriales y solariegos por derechos de propiedad Declarado este asunto suficientemente discutido, dijo el Sr. Toreno, particular sino los dominios particulares y los puramente alodiales; y era de opinión que el Sr. Romero Alpuente reformase su indicación solo trata de los señoríos en el sentido propio en que lo entien bajo del segundo medio que había indicado el Sr. Calatra…</t>
  </si>
  <si>
    <t>…de quitar la vida á un preso, y habian causado la conmoción. que debia exigirse la observancia de la Constitncion: que asimismo pa En seguida se aprobó la siguiente Indicación del Sr. Toreno, que ra evitar cuanto fuese posible que se repitiera esta escena en las densas decía asi: „Que se nombre una comisión especial para que proponga provincias, habia mandado anoche el Gobierno á ellas correos extra á las Cortes, á la mayor brevedad , la contesta…</t>
  </si>
  <si>
    <t>…no chas tropas por el Sur de la Francia; y acostumbrado Alejandro, poco tiene por mas seguro volver atras. tiempo h í, á que nad.e se opusiese á su voluntad, mandó marchar á su El Sr. Toreno dijo que haria algunas" reflexiones sobre lo que habia egército, no creyendo que la Francia opusiera gran resistencia; mas pa expuesto el señor preopinante, aunque era muy difícil de conservarlo rece que el Gabinete de las Tullerías, bien sea por conocer los…</t>
  </si>
  <si>
    <t>…brevedad los medios que le parezcan mejor para cubrir el pre¿ de Diciembre de 1817 se amplió únicamente Fastaiin de Enero de 1818supuesto general. Después de haber manifestado el Sr. Toreno que la discusión prin la próroga concedida antes para la venta de algodones, previniéndose que cipal recaía sobre el primer art culo , y que el orden de esta no se de pasudo este término serian comisados cuantos se hallasen en poder de los tenedores: ;í que c…</t>
  </si>
  <si>
    <t>…Palarea y conde de misma marca. . , Toreno, quedó aprobado este artículo en los términos que habia indica Una medalla ó tarjeta con sus cuatro asas del Santísimo Sacramento, do el Sr. Toreno. este dorado, que sirve para los estandartes de la sacramental, con 1» El Sr. presidente dijo que mañana sedaría cuenta , después del des misma marca. pacho ordinario, de varias adiciones á la ley constitutiva del egército, Un cáliz de copa ancha y dorado por…</t>
  </si>
  <si>
    <t>…s que hubiese pasado revista, cerca de Coblentza, al segunda El Sr. Giraldo dijo: Me parece que debe aprobarse lo que ha indi cuerpo de egército, compuesto de 758 hombres. cado el Sr. Toreno, porque &lt; de qué servirá que el Congreso declare Las tropas rusas se hallaban en movimiento con destino á las fron que ha lugar á la formación de causa al tesorero general, si de la vi teras de Turquía. sita que se está girando en aquella oficina resulta lo c…</t>
  </si>
  <si>
    <t>…án recargadas de un número de expedientes tan considera límites que debía tener la provincia de Toledo. ble, que casi no pueden atender á todos ellos. En algunas provincias de •El Sr. Toreno presentó una proposición concebida en estos térmi tercera clase han tenido sus diputaciones en este año último hasta 2300 nos : » Que habiéndose admitido á discusión la proposición de varios expedientes que despachar. Ahora bien , si los siete individuos que…</t>
  </si>
  <si>
    <t>…misiones. Se declaró este asuato suficientemente discutido, y quedó aprobado. Art. 69. » El número de primeros tenientes será el preciso para la Se leyó una adición al art. 76 del Sr. Toreno, concebid 1 en estos dotación de los buques mayores y mando de los menores, socan ei re- términos: Después'de tas palabras á propuesta del almirantazgo, añá iiia.-nepto qus.se forme, y una mitad mas para suplir enfermedades, au dase sin que el. hi bierno se h…</t>
  </si>
  <si>
    <t>…er su resolución en cosa muy bien hecha el que esto se verificase; y asi míe parece muy: este punto, y mucho mas si á esto se añade la reflexión que ha hecho bien lo que indicó el Sr. Toreno en la sesión de ayer. Después de ha S. S. acerca de los efectos que puede producir la noticia anticipada de ber hecho varias reflexiones sobre este asunto, concluyó el orador ma e*t# dictamen. Bien conozco que estamos atrasados en materias de/Ha nifestando qu…</t>
  </si>
  <si>
    <t>…ce.;mas:de:rhtt-9 y que había presentado la-com:sion.(:eéáfr- Vv*j[z«críí» drl.,n dticorriente.) mecliO'qbe. nct viene al.Cohgreso y y et hóhibresque no rsacri&amp;caj stfe in^ El Sr. conde Toreno aprobó eL.-espíritu. del.artículo ; pera manifes tecesss-particülares al -bieh públieoiiio/tnfftieco ser¡diputsdoe; Axi ario so-» tó que debía hacerse una'variacion-pdr no tener la claridad correspon lo apoyo 1» proposicion fefcnda ; sinjO-^ue.jdigo que ik pá…</t>
  </si>
  <si>
    <t>…casas de moneda , ó en las co con semejante expresión. misiones que se señalan á este efecto, en el término prefijado , sean pa El Sr. Lobato replicó: Pienso del mismo modo que el Sr. Toreno. gados con los mismos medios luises resellados; y que estos cuando io Harto me desagrada que se haya dado tal denominación á esa moneda; esten mantengan el mismo valor nominal que hasta ahora lian tenido; y por eso he dicho esa moneda torénica , &lt;f como la ll…</t>
  </si>
  <si>
    <t>Sr. Toreno el que se haya dado semejante denominación ¡¡ esa moneda; cos de plata , de lo que resultaban agravados los que tenian moneda exy si he usado de ella ha sido para manifestar que no quiero que se ha trangera que no llegaba á esta cantidad , los cuales tendrían…</t>
  </si>
  <si>
    <t>…a. Los secretarios del Despacho pueden tener sus defectos; ga á las Cortes lo que convenga.” pero la obediencia no se da á la persona cuando está en un puesto tal, Proposición del Sr. Toreno: "Que se nombre una comisión para que por la Constitución y por ias leyes están todos obligados a obede que en la sesión de hoy presente á las Cortes la contestación que se de cer , sino al ministerio que egerce ó á ¡a dignidad de su empleo.' Yo ba dar al men…</t>
  </si>
  <si>
    <t>…tos con término de un año para que los que pre Ei Sr. presidente dijo gue habiéndose aprobado la proposición del tendieron tener derecho al mayorazgo de les Vilíalbas, cuyo último Sr. Toreno, habia ya nombrado la comisión que en esta misma sesión cierto poseedor por ahora aparece haber sido D. Jacinto Cayetano Heydebía presentar su dictamen, la cual podía retirarse á otro lugar mas za é ¡nio , deduzcan en esta audiencia dentro del expresado térmi…</t>
  </si>
  <si>
    <t>Toreno.apoyó</t>
  </si>
  <si>
    <t>…en; la misma ticia : Sostuvo como debía, los derechos que la ley le daba. que habia entendido anteriormente. El Gefe político piies se excedió de sus Facultades , porque impuro El Sr. Toreno.apoyó el dictamen del Sr. Sánchez Salvador , y dijo pena á unos ciudadanos sin delito, despojó de sus destinos a .los que no ser un nuevo establecimiento el de que se trataba: que el ahorro teniau la presunción de legitimidad de sus elecciones, y fulminó un que pod…</t>
  </si>
  <si>
    <t>Tormo, Josef</t>
  </si>
  <si>
    <t>Josef Tormo</t>
  </si>
  <si>
    <t>…los re- mera instancia de Toro coritra el :alcalde,,constitucional dé- Poza en quisiiqsr-.prevenidóji:eh el art. 3.0 será; condenado á una multa desde ' aquella provincia: otra de D. Josef Tormo y exento ¡que! fué del extin 5?!¿ú“ta;;5&lt;»oS) reís ; y no teniendó con que pagar, con prisión, desde guido cuerpo de-Reales-Guardias,de.‘la:Persona del Rey,, contra el tresi.meses hasta tres años.” . ; ; : ; alcalde xoristitucional de un pueblo, der la ¡provi…</t>
  </si>
  <si>
    <t>Torner, Josef</t>
  </si>
  <si>
    <t>Josef Torner</t>
  </si>
  <si>
    <t>…a impresión , y del mismo modo el segundo á la brevedad quial de la en que vive, ó en la de que es pastor; y en su vista se han posible. Se suscribe en Barcelona en la imprenta de D. Josef Torner; servido declarar, que los párrocos que vivan fuera del recinto de sus en Valencia en la tienda de D. Venancio Oliveres, y en Madrid en la parroqmas 110 pueden dar ni recibir votos en ias juntas electorales de de D. Josef Collado , á 16 rs. Las suscripciones…</t>
  </si>
  <si>
    <t>Torner, Josef Costa y</t>
  </si>
  <si>
    <t>Josef Costa y Torner</t>
  </si>
  <si>
    <t>…azones; prime se declare á su favor el grado de bachiller que le ha negado la univer ra, porque el capitulo p.° de la contrata que cita la comisión dice ter sidad de N.; y otra de D. Josef Costa y Torner, vecino de Barcelona, minantemente que se hará el pago á los asentistas en dinezo efectivo,solicitando dispensa de edad para pasarse de escribano de aquella au con exclusión de todo papel-moneda, ó en caso de verificarse en esta diencia. / especie se abonará…</t>
  </si>
  <si>
    <t>Toro, Eustasio Martínez de</t>
  </si>
  <si>
    <t>Eustasio Martínez de Toro</t>
  </si>
  <si>
    <t>…se ha servido nombrar aquellas por ser de trabajo mas violento sacarán mayor cantidad jueces letrados de primera instancia de los partidos siguientes: para el de agua. de Soria á D. Eustasio Martínez de Toro: para el de Berlanga á D. Jo. ANUNCIOS. sef Puerta-Benito: para el de Villoslada á D. Juan Antonio Ruiz Ca Por providencia del Sr. D. Joaquin de la Escalera , ministro ho raba n te : para el de Logroño á D. Francisco del Castillo: para el de Ca norario de la…</t>
  </si>
  <si>
    <t>Toro, Francisco Simoens</t>
  </si>
  <si>
    <t>Francisco Simoens Toro</t>
  </si>
  <si>
    <t>…a brigadier D. Ramón Correa, al pero como no formaba este número la mayoría absoluta, calde primero constitucional de Caracas D. Juan Rodríguez se repitió la votación, reducida al señor Francisco Simoens Toro, y D. Francisco González de Linares; y S. E. el pre Margiochi, que tuvo 20 votos , y al señor Manuel Fernan sidente de Colombia Simón Bolívar, como gefe de la repú dez Tomas, que salió electo vice-presidentc por 49. Siguió blica, de parre de ella á los señore…</t>
  </si>
  <si>
    <t>Toro, Juan Rodríguez</t>
  </si>
  <si>
    <t>Juan Rodríguez Toro</t>
  </si>
  <si>
    <t>…ia ha hecho todo lo posible por eximirse de ir al nuevo gadier D. Ramón Correa , alcalde primero constitucional de Congreso, conociendo muy bien que la Opinión de sus súb- Caracas D. Juan Rodríguez Toro y D. Francisco Gonzá ditoí y la de todos los alemanes está en favor de los na lez Linares; y el Excmo. Sr. presidente de la república de politanos; pero que tal vez se vería precisado á asistir por Colombia Simón Bolívar,como gefe de la república, de par evitar compromisos con lo…</t>
  </si>
  <si>
    <t>…á la mas posible brevedad. Deberán pues conservarse, siem D. Ramón Correa, alcalde primero constitucional de Ca pre los prisioneros dentro del territorio de Colombia, cual racas; D. Juan Rodríguez Toro y D. Francisco González quiera que sea su grado y dignidad, y por ningún motivo de Linares han acordado y convenido el precedente tratado ni pretexto se alejarán del país, llevándolos á sufrir males de regularizacion de la guerra entre España y Coioinbia, el mayores que la misma mue…</t>
  </si>
  <si>
    <t>Torquella, Joaquín</t>
  </si>
  <si>
    <t>Joaquín Torquella</t>
  </si>
  <si>
    <t>…eridos Ha entrado en este puerto el bergantín goleta-correo Sorpresa, su presentó seis indicaciones, relativas á que se excite el zelo del Gobier comandante el teniente de fragata D. Joaquín Torquella , con 8o3&gt; pe no para que manifieste al romano Pontífice el estado en que se hallan sos fuertes y la correspondencia de la Havana, en 45 días. Dice su ca varias iglesias de España , cuyos obispos han sido separados por abrigar pitán que la fragata Pronta habi…</t>
  </si>
  <si>
    <t>Torre, Jdiguel-dé la</t>
  </si>
  <si>
    <t>Jdiguel-dé la Torre</t>
  </si>
  <si>
    <t>…con derecho á la Manifiesto de la correspondencia que ha mediado entre Jós_genera- percepción de dicho legado, con arreglo á los llamamientos expresados, les conde de Cartagena y D. Jdiguel-dé la Torre , gefcs del, egército de , le deduzcan dentro dél. .término de 30 dias, contados! desde .la'publi CostaTFirme, con el de los disidentes ¿¿'Venezuela D. Simón Bolívar, cación de este , ante D. Manuel Gil BuriUo, secretario, con los docudesde el restablecimient…</t>
  </si>
  <si>
    <t>Torre, Juan</t>
  </si>
  <si>
    <t>Juan Torre</t>
  </si>
  <si>
    <t>…para la de Haza á D. Juan Víctor Navarro; para la de Hues remate de una casa, sita en el lugar de Fuenlabrada, y su calle que lla ear ál). Agustín Lozano; para la de Velez-Rubio á D. Juan Torre man del Barranco, perteneciente á Esteban Perez, tasada en la canti cilla; para la de Vera á D. Gregorio Fabrega; para la de Cantoria á dad de 5532 rs. vn. Quien quisiere comprarla acuda á dicha hora en el D, Luis López Rozas; para la de Purcherna, á D, Franc…</t>
  </si>
  <si>
    <t>Torre, La</t>
  </si>
  <si>
    <t>La Torre</t>
  </si>
  <si>
    <t>…la capital la vanguardia del egército austro-sardo, y haber ocupado la político de Toledo con el de Madrid en su caso destinen ios religiosos cindadela. Dos horas después llegó el general La Torre con el resto de de los conventos que quedan suprimidos , y no tienen agregación deter las tropas, y pensaba dirigirse contra Alejandría. Dicho general publi minada, á Ios¡de la misma orden de sus respectivas provincias; y en el co al instante una proclama. ca…</t>
  </si>
  <si>
    <t>Torrecilla, Antonio Dámaso</t>
  </si>
  <si>
    <t>Antonio Dámaso Torrecilla</t>
  </si>
  <si>
    <t>…la mismos establecimientos que concurren al teatro de anatomía, que está propuesta para las plazas de jueces de primera instancia de los partidos á cargo del catedrático por S. M. D. Antonio Dámaso Torrecilla y de la provincia de Falencia, que hati aprobado las Cortes , se admiten D. Juan de Azaola, cirujano de número de dichos hospitales, su demos memoriales en la secretaría del mismo consejo de los pretendientes que trador y maestro , ofreciendo todos los años c…</t>
  </si>
  <si>
    <t>Torrero, Muñoz</t>
  </si>
  <si>
    <t>Muñoz Torrero</t>
  </si>
  <si>
    <t>…sidente que debían pasarse á la comisión los poderes pre los individuos de la Diputación permanente, dio principio sentados, levantó la sesión, señalando para la segunda junta el Sr. Muñoz Torrero, presidente de esta, á la junta pre preparatoria el viérnes 23 dei corriente á las 11 "de su ma paratoria con el siguiente discurso: ñana. «Señores: En este día tan deseado de todos los buenos españoles, como temido de loá^ enemigos del orden y de kusíero 24.…</t>
  </si>
  <si>
    <t>…e á empleados rificara en París; pero que no se había tratado acerca del punto en que por el Gobierno. se deberían verificar los siguientes; y concluyó diciendo debía accederse El Sr. Muñoz Torrero dijo que á los obispos y arzobispos se les á lo que habia dicho el Sr. secretario de Hacienda, y no hacer una-in- habia considerado como autoridades, y por consiguiente en la clase de novacion de los derechos; porque como la cantidad que se hade dar los juece…</t>
  </si>
  <si>
    <t>…o de las Cantero. demás penas á que haya lugar con arreglo á los artículos anteriores.” No se admitió á discusión una indicación del Sr. Romero Alpuen- Se leyó) una indicación del Sr. Muñoz Torrero, que decia: » Que te, que decia: ,,Las Cortes nombren los visitadores convenientes, para pasen á la comisión de Legislación los artículos 31 y gz del decreto que sin embargo de los decretos que hablan de las causas fenecidas, se de jo de junio de 1813 , para…</t>
  </si>
  <si>
    <t>…aumentarle de pronto en caso necesa acerca de ellos hubo, sino que un encargado por la misma fue á con-, rio; y concluyó manifestando que la comisión deseaba que el reem sultar al Sr. Muñoz Torrero; y á S. S. le pareció que no era contrario plazo se verificase como mas conveniente fuera. ni se oponía á la Constitución. La comisión ha tomado todas las pre El Sr. Ezpeleta dijo que el asunto principal consistía en fijar por cauciones para no menoscabar la…</t>
  </si>
  <si>
    <t>…ércitos nacionales, por autor de un papel no pagar , se veían claramente los males que podrían resultar. titulado Centinela contra republicanos-, la comisión, después de un lar El Sr. Muñoz Torrero manifestó que la interpretación de la ley go y dct.nido análisis de toda ia referida causa, y de haber manifesta era un acto legislativo, y que asi como la potestad de hacer leyes resi do los motivos en que fundaba su dictamen, opinaba que las Cortes día én l…</t>
  </si>
  <si>
    <t>…cinas de la administración de la junta nacional del Crédito público'; y- el reino buscando el sustento'qué su país íes niega; y por tanto opinaba una exposición presentada por él Sr. Muñoz Torrero del cabildo y co qua-el quitar a1 los prados boyales la calidad de eómuries, era-tanto- ebu legiata de-Guadix, en ía que manifestaban los perjuicios que se Jes si-i rno privar á estos infelices del derecho de pasar por ellos. ' - y guen de la rebaja de diezmo…</t>
  </si>
  <si>
    <t>…zo Viñarte, que después falleció también, y resistién que informará si se ha de establecer ó no como se pide. dose á la entrega de dicha suma D. Cristóbal de Arozarena, albacea El Sr. Muñoz Torrero apoyó que. se pasara esta indicación á la co de Viñarte porque decia, que este le habia comunicado que dicho misión. Asi se verificó despues.de una ligera, discusiqn. D. Juan de Clavería le habia dicho que Jos referidos 5S pesos pertene Se leyó por segunda ve…</t>
  </si>
  <si>
    <t>…« A la palabra fiscales se añadirán las siguientes: nombra rado (al discutirse el art. 192) al clero de España independiente, como dos por el Gobierno.” • •lo habia manifestado el Sr. Muñoz Torrero cuando dijo en dichas El Sr. Ezpeleta hizo una indicación relativa á que él pago de sesiones: « El clero de España se halla en este caso, debe ser indepen correo dé oficio que se proponía para Jos empleados de las aduanas y diente, porque no recibe su subsist…</t>
  </si>
  <si>
    <t>…enemos. En otros pai- tre sí, los cuales se fueron discutiendo cada uno separadamente; pura s;s , donde tenían sus códigos tan defectuosos como los nuestros, para lo cual apelo al Sr. Muñoz Torrero y demas Sres. diputados que tu formarlos buenos no solamente pidieron informe á las universidades y vieron parte en acuella d.scusion. Con respecto á la ley orgánica de la demás establecimientos de esta clase , sino que después nombraron co milicia tampoco se…</t>
  </si>
  <si>
    <t>…ebió el ministerio ge de que anteriormente se hizo mérito, dió cuenta de haber desempe calmar las pasiones, unir los ánimo», y grangeatse ia opir.ion pública ñado su encargo; y el Sr. Muñoz Torrero como su presidente dijo: por una marcha franca y iibre de toda sospecha; mas por desgracia no Que S. M, habia recibido con agrado el mensage de las Cortes, el cual sucedió asi. habia templado en parte el-dolor que no podia menos de causarle el » La comisión n…</t>
  </si>
  <si>
    <t>…iene ó no datos oficiales de que esta per-, para remover arbitrariamente estas clases de empleados. ’ sona es la causa de estos desórdenes : si los tiene , ; por qué np los ha, K1 Sr. Muñoz Torrero contestó que la quinfa facultad que ia Cons-, traído al tribunal de Cortes? Y si no los tiene , ¡por qué ha dicho en tituc in s-, 'alabi al Rey era la de proveer todos los empleos civiles y público cosas que no debían decirse asi ? El reglamento dice que cuan…</t>
  </si>
  <si>
    <t>Torres</t>
  </si>
  <si>
    <t>…mitido á la oposición de estatutos corregidos y arreglados al sistema constitucional de la Mo curatos patrimoniales de aquel obispado á D. Marcos de Roseñada, narquía , y otra del Sr. Torres sobre que el Gobierno se ponga de acuer natural del de Santander. do con la Sta. Sede para la egecucion de las leyes dirigidas á modifi A la de Infracciones de Constitución se pasó una exposición de car la actual disciplina de la Iglesia. D. Manuel Ortiz de P…</t>
  </si>
  <si>
    <t>…n Las- noticias de Vienadel 24 dél pasado aniincían que se esperaba tes, .no puede permitir dicha traslación. pronto en .aquella-capital á SS. MM. ei Emperador y la Emperatriz, El Sr. Torres dijo que una de las causas que mas contribuían 3 la quienes habían renunciado por ahora á su viage á Milán, y que verifica ruina dé nuestro sistema constitucional era que el Congreso tratase de ' rían su vuelta 4 Vieriá .luego’ que partiese para Petersburgo e…</t>
  </si>
  <si>
    <t>…nstancia de Do cho dictamen para proceder á su discusión. ña Gertrudis Romero, para que se la conceda continuar en la tutela de Se mandó agregar á las actas él voto particular del Sr. Torres , con sus .-hijos", no obstante haber pasado! á segundas..fiupci;fs.. ..7 trario á la resolución de las Cortes sobre la medida décima que presen vY !•* ia'ijiTi'i nnn ü.íJ" cic¡fJL?» Junn &gt; j!*itüí2.1 á- Cjcncvn¿ to en su dictamen la cciulsioíi nomotada pata…</t>
  </si>
  <si>
    <t>…o entienden! ¡cómo no han de poner en un compromiso á las Cor blica habia sido turbada en Búrgos; y habiendo propuesto que se lla tes! ¡De qué nacen las objeciones que ha hecho el Sr. Torres? de que • ..;mase á los Sres. ministros para dar cuenta Se lo que habia sucedido , di no ha leído...... jo uno de los Sres. secretarios que el Sr. Romero Aipuente habia he El Sr. presidente llamó al orden al orador; pero este contestó que cho una indicación s…</t>
  </si>
  <si>
    <t>…despachar oyendo al consejo de Gefes políticos de Oviedo y Murcia , ayuntamientos constitucionales de Estado. Sta: Grnzi de-la Zarza y Carmona, y N. Pardo, por sí y en nombre de M Sr. Torres 'se óplisó1 aldictámen'délá cúmision , porque dijo lo 46 presos en las cárceles de Calatayud. hallaba fuera de las:atiibnciones de las-Córtese' : • Las Cortes oyeron.con agrado, y mandaron pasar á la biblioteca al ; - El Sr; Sancho manifestó que cuándo en: di…</t>
  </si>
  <si>
    <t>…habiendo tomado en consideración diferentes dudas de Trent'o, de que es .protector el Rey-de las, Españas. propuestas por los Gefes políticos de Guadalajara y de Murcia, y por El Sr. Torres manifestó veta en;el dictamen de la comisión Ecle- las. diputaciones provinciales de Valencia, y de Quadalájara * acerca de siástica. sobre la extracción ,de dinero á Roma, el zelp-'que a.nimaba á la milicia nacional local, se han servido resolver lo siguient…</t>
  </si>
  <si>
    <t>…NOTICIAS DE ESPAÑA. contrarío á la aprobación de los gastos del gobierno superior político de las provincias. Cádiz 21 de Diciembre. No se admitió i discusión una proposición deí Sr. Torres, relativa La Junta municipal del Puerto de Sta. María , en vista de no haber á que siendo imposible poner en egecucion el dictamen aprobado en la sido acometido de epidemia en tres dias individuo alguno, acordó el sesión de ayer por las Cortes acerca de los s…</t>
  </si>
  <si>
    <t>Torres, Agustín de</t>
  </si>
  <si>
    <t>Agustín de Torres</t>
  </si>
  <si>
    <t>…r á las que recurran, la pensión, designada en ei: arti diputado por Canarias: D. Demetrio O-"Dalí . por Puerto- culo 21 de la ley; dando al efecto la certificación oportuna Rico: D. Agustín de Torres, por Cataluña: D Mariano para el Crédito público en la forma misma que está preve Zorraquin, por Madrid: D. Anselmo-Antonio Hernández, nido, y se practica; con la cóngrua da ios religiosos, sin otra</t>
  </si>
  <si>
    <t>Torres, Domingo de</t>
  </si>
  <si>
    <t>Domingo de Torres</t>
  </si>
  <si>
    <t>…ntó el Sermo. Sr. Príncipe Real de; Reinoneral de recaudación , tesorero general de la Nación, por jubilación de Unido de Portugal, Brasil y Algarbes D. Pedro de Alcántara , donde D. Domingo de Torres. Asimismo se dió cuenta de otro del misino se hallaba reunida la Cámara de esta misma ciudad y actualmente corte Sr. secretario sobre el nombramiento que ha hecho S. M. de una comi del Rio-Janeiro , el mismo Sermo. Sr. Príncipe Real, después de sión compuesta…</t>
  </si>
  <si>
    <t>…o de Hacienda, del decreto de nombramiento de tesorero general de la ría. terminaron volviendo la espalda. En todo este tiempo estuve en nación en D. Antonio Martínez, en lugar de D. Domingo de Torres. gran manera contento de las tropas y de los batallones nacionales, cu A la comisión de Diputaciones provinciales se mandaron pasar una yo valor excedió en mucho mis esperanzas. Al cabo de aquellas siete exposición de la diputación provincial de Cataluña sobr…</t>
  </si>
  <si>
    <t>…ido interceptada la mala en que venían en nombarle tesorero general de la Nación, por jubilación del quelo.es, en las inmediaciones de Lerma, se suplica al que supiere el paradero D. Domingo de Torres. = Tendreislo entendido, y dispondréis io con de dichos vales ó 'os tuviere se sírva dar aviso ó .remitirlos á Fuenter veniente á su cumplimiento, en Está rubricado de la Real mano.=Pa- rabía á la expresada Doña María Manuela di Goicoechea , ó á Madrid lacio…</t>
  </si>
  <si>
    <t>Torres, Josef</t>
  </si>
  <si>
    <t>Josef Torres</t>
  </si>
  <si>
    <t>…periodistas de Madrid hablar de los Memoria sobre las aguas medicinales de los hervideros de Fuensan asuntos del cura Merino; dice que al general Eiio se le juzga por una ta : por D. Josef Torres, capitán de infantería, y médico director de los ley de 1821, pues no habia ley alguna preexistente; hace huir de Ma baños de dichos hervideros. Se hallará en ia librería de Tieso, y en el drid al Rey de España; aboga por el general de capuchinos; hace sa-, p…</t>
  </si>
  <si>
    <t>Torres, Madeira</t>
  </si>
  <si>
    <t>Madeira Torres</t>
  </si>
  <si>
    <t>…restricciones en este asunto, no fruto del placer mas puro y cumplido. Conteniólo en esta se debian juzgar ilegítimas. tropa de ci dadanos armados una de las mas hermosas y be EL Sr. Madeira Torres manifestó que el Congreso no néficas instituciones que nos ha dado eh-isrema de libertad y 'tenia precisión de sujetarse á la Constitución española , y orden , bajo el cual afortunadamente vivimos. Proieciora de que él, declarándose por la previa censura en c…</t>
  </si>
  <si>
    <t>…provinciales una exposición del Gefe niendo cuan necesaria era para el acierto la libertad de las opiniones. político de León, pidiendo se declare cómo deben ser presididas las El Sr. Madeira Torres habló en favor de una segunda Cámara, por funciones públicas. no parecerle suficiente ni aun el veto absoluto para el equilibrio de ios A" la misma se pasó una solicitud del ayuntamiento de la Coruña, poderes. dirigida por la diputación provincial de Galicia,…</t>
  </si>
  <si>
    <t>Torres, Madelra</t>
  </si>
  <si>
    <t>Madelra Torres</t>
  </si>
  <si>
    <t>…las Por providencia del Sr. D. Joaquín Josef Aguilar, juez Cortes en la discusión de los negocios ; pero nada se decidió. de primera instancia de la ciudad de Cádiz, ven virtud El Sr. Madelra Torres propuso un indulto para todos de la calificación hecha por los jurados del papel intilos presos de las cárceles del reino (que sean capaces de tulado •. El Alguacil alguacilado dD.\ Tirilla , se ha' él); v el Sr. Alves do Rio pidió que este indulto fuese ex c…</t>
  </si>
  <si>
    <t>Torres, Ramirez</t>
  </si>
  <si>
    <t>Ramirez Torres</t>
  </si>
  <si>
    <t>…al pago de intereses de amortización de su deu e-rez Acuña por 55 votos de 108, y la del segundo en primer escrutinio da , observando rigurosamente sus contratas vigentes. ‘ en el Sr. Ramirez Torres por 60 votos de 101. 3° Que supuesto quedan en aquellas provincias algunos pocos bie En seguida se procedió al sorteo prevenido por la Constitución, y nes de capellanías ó cofradías con que no ha contado el Crédito públi 'resultó electo para dicha plaza el Sr…</t>
  </si>
  <si>
    <t>Torres, Salvador Fernandez</t>
  </si>
  <si>
    <t>Salvador Fernandez Torres</t>
  </si>
  <si>
    <t>…den de S. Gerónimo, anun V¡a , D. Joaquín Lorenzo Mozo, D. Manuel Andrés y Einbite, Don ciadas en el suplemento de i.° del presente mes de Setiembre, bajo la Manuel Martin Berna!, D. Salvador Fernandez Torres, D. Antonio relación número 284 , debe verificarse en ia villa de Olmedo. EN LA IMPRENTA. NACIONAL.</t>
  </si>
  <si>
    <t>Torrglbo, Josef Antonio</t>
  </si>
  <si>
    <t>Josef Antonio Torrglbo</t>
  </si>
  <si>
    <t>…slabón primero de la esclavitud española. El Puerto-Rico á D. Francisco Javier Ayesa , c!tra;del par monstruo despótico que la sostenía, escudado únicamente con tido de Coamo, y.á D. Josef Antonio Torrglbo, que lo e! estéril recurso de una ciega y bárbara obediencia, se fa fue del Sagrario en la misma iglesia.. Asimismo se ha. ser tigó en vano en hacer brillar nuestros embotados aceros ondo S. M. nombrar juez de primera instancia de laciudad contra el poderoso…</t>
  </si>
  <si>
    <t>Toscano, Sánchez</t>
  </si>
  <si>
    <t>Sánchez Toscano</t>
  </si>
  <si>
    <t>…nstitucional de Chinchilla para qué sé le declare NOTICIAS DE ESPAÑA. cabeza de provincia.’ K1 Sr. presidente nombró para la comisión de Hacienda en lugar Afadrid yo de Marzo. del Sr. Sánchez Toscano al Sr. Ibangueli. &lt;,S. MM. y AA. continúan sin novedad en su importante salud. El Sr. Mora presentó una felicitación, qué por su medió se dirigía</t>
  </si>
  <si>
    <t>Toskides, Woronzow y</t>
  </si>
  <si>
    <t>Woronzow y Toskides</t>
  </si>
  <si>
    <t>…riguaciones sobre los carbonarios y otros reformadores de Italia. como también Ismail-bajá. Los albaneses musullmanes de la tribu de _De un momento á otro se aguardan en Paris al general Woronzow y Toskides acaban de sublevarse contra la Puerta. Mas de 48 de estos, al lord Castlereagh. La venida de estos dos person.ages se atribuye á la úl auxiliados de todos los gtiegos llamados riciotas, que habitan en las lla tima nota pasada por el Gabinete de S. Pecersburgo…</t>
  </si>
  <si>
    <t>Total</t>
  </si>
  <si>
    <t>…terior 331 : entrados ó acometidos 16: salidos Jfeuss-Plauen. ' ó curados 3 : convalecientes 32; muertos 29: existentes 313. a.” En la Transilvania y el Baninato á las órdenes del teniente Total de los tres puntos: existencia anterior 723 : entrados ó aco feld-matiscal Scheschek. metidos gó: salidos, ó curados 7: .convalecientes 62:. muertos 75: 3,0 -En la Croacia y Esclavo nia al mando del conde Guilay. existentes 507.</t>
  </si>
  <si>
    <t>Total, Apo-'</t>
  </si>
  <si>
    <t>Apo-' Total</t>
  </si>
  <si>
    <t>…ez de la Fuente, presbítero , vecino de Colmenar de Ore ó curados 11 : convalecientes 24: muertos 8: existentes 296. ja ; D. Pedro Mejía Raboso, vecino de Sta. Cruz de la Zarza *, D. Apo-' Total de los cuatro puntos: existencia anterior 337: entradosó aco linar Francisco Guijarro, vecino de Ocafia.. metidos 38: salidos ó curados 16 -. convalecientes 93: muertos 29: Madrid Viernes 9 de Noviembre. existentes 330. Resúmen del número de muertos en este d…</t>
  </si>
  <si>
    <t>Total, Josef Moreno</t>
  </si>
  <si>
    <t>Josef Moreno Total</t>
  </si>
  <si>
    <t>…bitantes de Segunda sección. Construcciones* reparaciones &amp;c. esta ciudad Ja extraordinaria satisfacción de ver pisar nuestro 55.747,600. suelo á los dignísimos diputados á Cortes D. Josef Moreno Total igual 162.261,750 francos. Guerra y D. Francisco Díaz Morales, quienes, después de Las cuentas de Hacienda presentadas al Parlamento ha recorrer la provincia que tuvo el acierto de elegirlos y esta de cen subir los gastos. Cádiz, continúan sus observaciones p…</t>
  </si>
  <si>
    <t>Tpsilanti, Alejandro</t>
  </si>
  <si>
    <t>Alejandro Tpsilanti</t>
  </si>
  <si>
    <t>…tes, la de los dictáme de la curte de Viena del 29 dél pasado publica lo siguiente: nes de sus comisiones, y la de las-memorias de los secretarios de Esta »&gt; El 6 del corriente el príncipe Alejandro Tpsilanti, hijo del anti do y del Despacho , podrán acudir ,en el término perentorio de ocho guo hospodar de Moldavia, general mayor al servicio de Rusia, pera días, contados desde el de la publicación, al señor diputado D. Miguel sin empleo un añu hd, se dirigió desde…</t>
  </si>
  <si>
    <t>Tqrtente.réEl, Juan Antonio</t>
  </si>
  <si>
    <t>Juan Antonio Tqrtente.réEl</t>
  </si>
  <si>
    <t>…e de Astúrias ■vi. =E1 subteniente de voluntarios de Barcelona Manuel Ibarra.=El te Bernardo'Córrés:':= Teniente de • Extremadura Josef leal. = Tenien niente coronel de egército y capitán Juan Antonio Tqrtente.réEl subu te; ,de Extremadura '■ Eedro Sánchez Sierra. = Bruno Alaiz, capitán niente Bernardo Arran., de voluntarios de Barcelona, ajustando al extin. -4e &lt;Extremadura.=Gapitan de Extremadura Joaquín María Miranda.=r guido Navarra. =E1 inayor comandante de -caball…</t>
  </si>
  <si>
    <t>Tra</t>
  </si>
  <si>
    <t>…cunstancias precisas, ;se han de considerar una obra escrita en italiano, intitulada: ,, La miglior possibile Consli- las egeeutorias que hayan recaido como juicios fenecidos 1 El Sr. Tra zione política per tute le genti sul calcólo di ragione ,” y dirigida por ver conocerá que seria abrir una brecha muy grande para echar abajo el prófugo romano Dr. D. Domingo Florilli; la cual fue presentada á lo que las Cortes han aprobado. Si se trata de qu…</t>
  </si>
  <si>
    <t>TRANCrA, Saturnino Sán</t>
  </si>
  <si>
    <t>Saturnino Sán TRANCrA</t>
  </si>
  <si>
    <t>…Estas medidas violentas no podrán prevalecer mucho tiempo eu hacer oposición á ellas, ó que se les conceda el sueldo íntegro. Europa. Se mandó pasar al Gobierno una exposición de D. Saturnino Sán TRANCrA. chez , pidiendo se le pague una cantidad que acredita del difunto bailío Fr. N. de Portugal, con parte de una encomienda que obtenía, y Parts 29 He Abril, está en el dia vacante. El periódico intitulado el Constitucional dice lo siguiente: » Se han Se mandar…</t>
  </si>
  <si>
    <t>Travásos</t>
  </si>
  <si>
    <t>…ces no ha preguntase á la Regencia qué dia había de salir eí correo para Riobría necesidad en la Cámara ni de código penal, ní de artículos suple Janeíro. torios al reglamento. El Sr. Travásos presentó un proyecto sobre estadística del reino de Air Glivier iba á subir á la tribuna, cuándo el centro y lá dere Portugal, y el Sr. Soares Franco leyó un proyecto de decreto para pro cha pidieron que se cerrase la discusión; y asi sé acordó. hibir lá intr…</t>
  </si>
  <si>
    <t>Travassos</t>
  </si>
  <si>
    <t>…ada que ver con el de elección de diputados de Ul y estaban mucho mas cerca de este reino que del otro con tramar. tinente , siendo consideradas hasta en las cartas geográficas El Sr. Travassos propuso que se variasen las horas de como islas pertenecientes á la Europa. las sesiones , y se decidió que estas empezarían á las nueve El Sr. Fernandez Tomas dijo que corno secretario que de la mañana, y durarían cuatro horas, y mas si fuese ne habia sido d…</t>
  </si>
  <si>
    <t>Traver</t>
  </si>
  <si>
    <t>…núm. 13 , ett ron elegidos, para presidente el Sr. Capo Manuel, por 74 votos; para vice-presidente el Sr. la Bodega, por 7; ; para 17,610 rs. secretarios el Sr. Couto, por 73, el Sr. Traver, por 74 en Otra casa calle Real, en la callejuela sin salida, núm. 8, segundo escrutinio; el Sr. Peña fiel por 78, lambien en se ert 36,682 rs. gundo escrutinio, y el Sr. Gaseo por 76 votos. Una huerta de cabida de 7 aranzadas, 12 $ estadales con Tomaron los…</t>
  </si>
  <si>
    <t>…oue entiende en ' ■■ yneoiasu probidad y su interés eii mi verdadero coiiílicto. losóp Sres. ex-diputados que firmaron la representación del ano de 14, el Sr. Solánot en lügar dei Sr. Traver. portücai. ‘ Se pasó á la comisión de Legislación un expediente promovido por D. Juan Aóim Pense!, maestro de fundición del departamento del Lisboa '£ de Marzo. Ferrol, en solicitud de carta de ciudadano. A la misma comisión una consulta del tribunal supremo…</t>
  </si>
  <si>
    <t>…tarse eir el dia siguiente. sesiones'de-Cortes se désigne con el nombre de palacio de las Cortes;” 31. Elpresidente.no tendrá voto dec;sí&gt;o, sino uno singular co y úna adición del Sr. Traver al *rt. 4. jipara que antes de lás. palabras mo cualquiera otro diputado. u gefes ;de palacio” -se añadiera'» secretarios del Despacho y.” 32. Podrá el presidente imponer silencio, y mandar guardar mo No se admitió ávdfScúsion otra adición del Sr. Ezpeleta al…</t>
  </si>
  <si>
    <t>…ación per que se devolviese al Gobierno para que en este y otros asuntos de manente. igual naturaleza procediese con arreglo á las órdenes y decretos vigen Habiendo manifestado el Sr. Traver que no le parecia presentada tes; á lo que accedieron las Cortes. con bastante exactitud la idea que envolvían las palabras ,, se tomará El Sr. presidente señaló para sesión extraordinaria á las 8*1 de esta en consideración por las Cortes, en sesión secreta,…</t>
  </si>
  <si>
    <t>…sistema-, y que verificándose ahora mas robos que antes, los para presentar la lista de los testigos. ' enemigos dé la Constitución los atributan á las nuevas instituciones , y El Sr. Traver dijo que era un deseo muy laudable el querer - abre los incautos-lo creían asi: que era bien; notorio que ios ladrones , con viar lás causas; pero no en términos que la abreviación fuese impracti motivo de los movimientos que habían causado las conspiraciones…</t>
  </si>
  <si>
    <t>…cio de 14 juez el término que sea necesario según la distancia.” de Febrero último se pasó al ministerio demicargopor el deV.E.; yen También se pasó á la comisión otra adición del Sr. Traver al ar su vista se ha servido S. M. resolver que subsistan en Mondragon el tículo 19 , que decia añádase; » y después que hubiese devuelto despa convento de franciscos, y los de igual instituto en Elgoibar y Aranzachados los autos.” zú; en Rentería el de capuc…</t>
  </si>
  <si>
    <t>…ablemente otras prue si la deuda de 80O rs. que contrajo en esta última campaña deberá pa bas para esto. garse por tesorería general ó por el Crédito público, opina que esta ex El Sr. Traver dijo: Ha habido muchos pleitos promovidos sobre in posición debe dirigirse al Gobierno, para que con arreglo á las leyes corporación y reversión de señoríos á la corona, los cuales han causa determine lo que sea mas conforme á ellas. Quedó aprobado el dicta d…</t>
  </si>
  <si>
    <t>…eben presentarse ante los jueces de primera instancia, y esto no habían visto ningún resulcado; por lo que pedia pasase á una comisión, es una ley de excepción , como dijo ayer el Sr. Traver, y lo seria en el y se acordó que fuese á la de Guerra. caso de que estos juicios se entablasen en las audiencias respectivas. A la comisión de División de territorio español se mandó pasar La comisión dice que estos juicios deben ser breves y meramente una s…</t>
  </si>
  <si>
    <t>…ita: la co En mi concepto debe aprobarse este artículo , sopeña de incurrir misión opinaba podía accederse á esta solicitud. en contradicción con los que ya han sido aprobados. El Sr. Traver dijo que todavía no se habia declarado si el conoci Ademas yo no alcanzo las razones que se dar. para impugnar el miento de las deudas ó créditos de propio, pertenecía á las Cortes, y que se presenten los tirulos ante los jueces de primera instancia-, pues ha…</t>
  </si>
  <si>
    <t>…ión llamada de sitos, y en cuanto á lo demas se declaró por primera lectura. los Reinos para que se les paguen los sueldos que les correspondan. Se aprobó la siguiente adición del Sr. Traver al mismo dictamen: . A la especial de Fuerza armada un oficio del Sr. ministro de la » Que los estados del importe de esta clase de deudas se impriman y pu Guerra, por el cual, en conformidad á lo dispuesto por las Cortes en bliquen.” el art. 2.u del decreto…</t>
  </si>
  <si>
    <t>…ero &amp;c.; es de aprobado este artículo, añadiendo á la palabra rentas la palabra líqui cir , que son verdaderas poblaciones, en las que los alquileres de sus ca das, á petición del Sr. Traver. sas pueden tener algún valor, aunque no sea grande, y no son casas que Art. i o. « Los bienes prediales que se conservan á los curas párro su llaman rústicas, las cuates están separadas unas de otras, y' no for cos, los del clero secular y regular existentes…</t>
  </si>
  <si>
    <t>…ntes con sueldo, que tengan el genetaL Elío; y después de una corta discusión se mandó pasar al la aptitud y circunstancias que previenen los decretos de las Cortes.” Gobierno. El Sr. Traver dijo que le parecía debia hablarse en imperativo cuan ' La misma resolución recayó en la representación del brigadier Don do se dice se recomienda &amp;c. Xuis María Adriani, coronel deL regimiento de infantería de León, El Sr. Sierra Pambley dijo: la comisión no…</t>
  </si>
  <si>
    <t>…á la exposición del inspector general de milicias acerca de yan de egercer alguna de estas profesiones.” los retiros á los oficiales de aquellos cuerpos &amp;c. &amp;c., para cuya dis El Sr. Traver manifestó que la segunda parte de este artículo no cusión se señaló el sábado próximo. guardaba armonía con los demas del pian que estaban aprobados por las Se aprobó una indicación del Sr. Calderón, relativa á que pasase á Cortes, pues en ellos se señalaban…</t>
  </si>
  <si>
    <t>…ón consideró justo, y era de parecer que se pusiese por gue es alterar las leyes vigentes que rigen.en la materia; pero juaga artículo adiciona! después del 11 lo que expresaba el Sr. Traver en su que este oficial es muy digno de que se le recompense; y en su con indicación , relativa á que los estados que remitan las provincias de I03 secuencia se declare que es acreedor á- la gratitud nacional, y que ex cupos de la contribución territorial se r…</t>
  </si>
  <si>
    <t>…, y el Gobierno contrató con ella el año 16, y la comi las diferencias que aun pueden quedar pendientes. sión conoce la arbitrariedad de esta contrata , lo perjudicial y lesiva El Sr. Traver pidió que se leyera el informe de la junta nacional que era para la Nación ; pero al fin esta se verificó , y yo creo que de del Crédito público,}' el Sr. García (D. Antonio) el acta de la se be cumplirse. Asi que , las Cortes deben determinar si se aprueba e…</t>
  </si>
  <si>
    <t>…rme á la lev; en votar sobre el dictamen de la comisión, y se mandó volver á ella. Cardó el de carmelitas descalzos: en María el de servitas; en Mora de Se leyó una indicación del Sr. Traver, que decía asi: » Que á los Ebro el de observantes recoletos; en Uldecona el de dominicos, desti jóvenes de lenguas que en cumplimiento de lo acordado en la legisla nándole ocho religiosos del de Tarragona de igual instituto, que se su tura pasada se les remo…</t>
  </si>
  <si>
    <t>…viesen los embajadores principales de España, residentes ea vas , con arreglo á la Constitución. París y Lóndres. 6. ' Habrá cuatro ministerios; á saber: Gobernación, Hacienda, El Sr. Traver dijo : Según las noticias oficiales que contiene la me Gracia y Justicia, y Guerra y Marina, pudiendo reunirse algunos de moria leída en la legislatura pasada, observo al tratarse de las relacio ellos según pareciere oportuno por medio de una ley. nes diplomá…</t>
  </si>
  <si>
    <t>….273,630 rs. y 5 mrs. , y de ahi general para el disfrute de sus sueldos. En cuanto á la reforma que arriba las sumas que se puedan , para poner la España Siquiera en el quiere el Sr. Traver que se haga con los ministros, debo manifestar rango de una potencia marítima de tercera dase. que yo soy muy amigo de reformas; pero en lo exterior es preciso an El Sr. Rovjra hizo presente que encontraba un vacío en el pre dar con mucho cuidado ; y ya dije…</t>
  </si>
  <si>
    <t>…re, serán inviolables, y contra ellas no se propondrán por ia Na expendidos cubra el valor de ¡a tasación.” ción en ningún tiempo demandas de lesión ñi otras ningunas dirigidas El Sr. Traver dijo: Puesto que el objeto principal es extinguir la á invalidarlas, ni tampoco tendrá lugar-lá acción de retracto ó incor deuda pública, me parece que estas rifas.se deberán verificar á crédito poración, tanteo, ni otra preferencia; y por.último, no estarán…</t>
  </si>
  <si>
    <t>S&gt;88 Se aprobó una indicación del Sr. Traver, relativa á que todos los Valencia, relativa á si un general en caso de estar desaforado puede set bienes correspondientes ai Crédito público, mientras no se vendan, ten juzgado por un juez de, primera instancia. La comisión opinaba que en gan que darse siemp…</t>
  </si>
  <si>
    <t>…materia.” algunos arbitrios para atender á sus gastos municipales. Aprobado. Se pasó al Gobierno co# recomendación una exposición de los ofi Se aprobó la siguiente indicación del Sr. Traver: 3, Que lo resuelto ciales del departamento de Cartagena, en la que piden se les pague el en el artículo 5.0 se entiende en todos los pueblos que se hallen en atraso que experimentan en el presente año económico. las mismas circunstancias.” Se mandó pasar al…</t>
  </si>
  <si>
    <t>…Se mandó pasar á la comisión ordinaria de Hacienda la siguiente las personas que gozasen las pensiones." indicación del Sr. Sánchez Salvador, que decía asi: » Que ningún cesan El Sr. Traver hizo presente 1a multitud de cesantes que el Go te pueda gozar mientras se halle en esta clase mas sueldo que el que le bierno habia empleado en diferentes comisiones, y que si se dejaba á corresponda, aunque temporalmente desempeñe alguna comisión; pero su a…</t>
  </si>
  <si>
    <t>…caso de enagenar estos bienes para reintegrar á los partíci el tiempo que deberían tenerla sus defensores.' pes legos, serán recompensados con la parte de diezmos de los mismos El Sr. Traver dijo que este asunto era urgentísimo , v no pídla pa legos igual ó proporcionada á lo que dichos bienes producían. sar a ninguna comisión, pues que ya no había tiempo de exponer su Art. 7.° » Si en alguna diócesis el medio diezmo y primicias no dictamen; por…</t>
  </si>
  <si>
    <t>…s. á la procedencia; y para io segundo es ntCcsar.o atender á las opeiz.ruSe suscitó una ligera discusión sobre si se debia discutir el dictamen en nes subalternas que ha dicho el Sr. Traver. Ha á.cho S. S. que no lia su totalidad, ó bien cada artículo de por sí; y después de haberse leído habato una rienda que se haya reconocido sin primero saber la cantidad ei art. 104 del reglamento interior de Cortes, se continuó ia discusión que era. To digo…</t>
  </si>
  <si>
    <t>…grado á los En seguida retiró la comisión este artículo. gefes políticos, porque su rango es mucho mas bajo , he sacado yo la Se mandó pasar á la comisión la siguiente adición del Sr. Traver: cuenta que corresponde á cada gefe de las provincias pequeñas la canti » Después de la palabra gefe político en el art. 14, añádanse las siguien dad de 209 reales. tes:^ demas autoridades respectivas.” Habiéndose declarado-el punto por suficientemente discut…</t>
  </si>
  <si>
    <t>…Se dió cuenta del dictamen de-la comisión de División del territo el dia en qué se-reciba y publique ;el presente decreto.” rio , en el que opinaba podía aprobarse la adición del Sr. Traver al ar El Sr. Nudillo opinó qué debía decirse que estos: aranceles empeza tículo 14 de su informe; añadiendo en su consecuencia después de la rán á regir désde el dia en- que se recibiese el presente decreto, estando palabra gefe político las de y demas autori…</t>
  </si>
  <si>
    <t>…rá 15 escudos de que se reputan emanadas del oficial que los comisionó al intento." Mellon al mes en Europa , é igual sueldo de plata en América.” Se leyó la siguiente adición del Sr. Traver al art. 11 de este p'.3n. ) El Sr. conde de Toreno dijo que desearía que en lugar de escudos «Después de tesorero añádase cantador?’ y se mandó pasar á ls de vellón se adoptase una moneda mas corriente, y no se usase de esta comisión. Las comisiones de Hacien…</t>
  </si>
  <si>
    <t>…pi se habían decidido por la prohibición absoluta de géneros, que en mu dió que volviese á la comisión. chos años no podrían darse con la finura y á los precios que se dan los El Sr. Traver dijo que no podía menos de apoyar la opinión qus extrangeros; y bajo este concepto £ continuó) ¡porque las comisio habian manifestado ios Sres. que le habian precedido, en cuanto se opo nes no han adoptado este medio , que tiene tanta relación con la fe nían…</t>
  </si>
  <si>
    <t>…a 1 23 rs__ En id., 4 carros de prado labrantíos, en venta 264 Península.” rs__En id., 9 carros de prado, en venta 495 rs__ En id. y sitia de los Lo mismo se verificó con otra del Sr. Traver , que decía asi. « Ha Vereros, un carro y 3 octavos labrantíos , en venta 75 rs----En id. , 2 biendo desaprobado las Cortes los artículos g.J y 6d’, relativos á intro carros y 2 octavos de prado , en venta 123'rs__En ¡d. y sitio del Ho ducción de hilazas, jar…</t>
  </si>
  <si>
    <t>…necesario proteger á los fabricantes de la Península, y asimis con el modelo últimamente propuesto por U comisión , que decía rese mo á la industria en general. llo jo reales.' El Sr. Traver; Los dos artículos que se presentan deben redu Se aprobaron los arts. ti, 13 y 14, que son los 11 , 11 y 13 de cirse á uno, omitiendo las razones que se indican. La necesidid urgen los contenidos en la gaceta de ti del corriente , con la sola diferencia te de…</t>
  </si>
  <si>
    <t>…e sangre, promover alborotos y asonadas, deponer las autorida serian deseadas dichas visitas por ellas. des , y no ocurrir á los medios legales para que sean castigadas las qus El Sr. Traver dijo que el deseo de viajar podia aumentar mucho es-, sean delincuentes, desobedecer al Gobierno cuando acomoda , en una pa tas visitas, y que por consiguiente era menester poner algún freno para labra, hacer todo lo posible para disolver el Estado ; en tal c…</t>
  </si>
  <si>
    <t>Tráver</t>
  </si>
  <si>
    <t>i814 . .... . ¿i S,r.,Gareli dijo: El discurso del Sr. Tráver se ha dirigido prime- . nes referidas y de la contrariedad en que estaban entre sí, hizo presen- ’ rauíenteá demostrar que no eran necesarias en este código las definicio te el orador que la mejor era la de la comisión, sobre la cual se habian nes que se cont…</t>
  </si>
  <si>
    <t>…o actualmente su aparición to por algunos "-res. diputados j y que no podía convenir en las opinio con las mayores demostraciones ríe «ratitud cuando la han visto, no so-: nes del Sr. Traver y otro Sr. diputado, que habían dicho el primero lamente, proteger á todos los franceses,. sino también'socorrer á todas que no debía existir en el código de que se trata la definición dei deli los infelices, precaver ademas algunos abuso* de la fuerza, anima…</t>
  </si>
  <si>
    <t>…e votó el artículo; resultando no quedar aprobado por 63 votos contra 55. me pudo contestar , principalmente en la cláusula de mala intención. Se leyó la siguiente proposición del Sr. Traver: Asi el inocente que se vea en el mismo caso que yo me vi podrá sacar » Que se supriman las definiciones de delito y culpa.” argumentos, que no podrán menos de servir de fundamento para su de El Sr. Traver dijo: Lo que indiqué el otro día acerca del articula…</t>
  </si>
  <si>
    <t>…ra la cancelación de es en él ¡as definiciones de delito y culpa , con cuyo motivo apoyó la pro tos billetes. Art. 8.° Los documentos que en virtud de las entregas de posición del Sr. Traver. los particulares se expidan por las comisiones serán interinos; expresa El Sr. Rey hizo algunas reflexiones para probar la necesidad y uti rán el número de monedas y su valor por tarifa según la cédula de i8t81 lidad de la definición. de la moneda presentada…</t>
  </si>
  <si>
    <t>…dificación de equidad, qué la-.comisión Jia dejar las cosas imperfectas. ; creído debe hacerse en favor de los extrangeros, en caso-de contraven A consecuencia de haber opuesto.el Sr. Traver algunas dificultades, ción, no dé leyes de principios de justicia reconocidos generalmente, relativas al modo con que estaba redactado este artículo, se mandó vol _sino de leyes particulares. Con respecto á las adiciones que el Sr. pre ver i la comisión. . •…</t>
  </si>
  <si>
    <t>…resultaba que por esta razón la pena debía adelante se proponían los casos que habia hecho presentes S. S- ir en aumento en cuanto al sobornado, y no en cuanto al "sobornador. El Sr. Traver dijo que el Sr. Calatrava no había satisfecho aun á la El Sr. Lagrava dijo que habia pedido la palabra para hablan con objeción del Sr. Casaseca , que era la misma que proponía el Ateneo tra la segunda parte , sobre la cual pensaba hacer observaciones que ya…</t>
  </si>
  <si>
    <t>Traver, Angela</t>
  </si>
  <si>
    <t>Angela Traver</t>
  </si>
  <si>
    <t>…,cuatro y-media de la tarde; y desde allí .que solicitaba. '. ’ ! volví á Casalanza para dirigir los movimientos de la división Ambro : El de la de Hacienda sobre la.exposición de Doña Angela Traver, sio. En el discurso de la noche recibí un oficio del teniente general F¡¡viuda.de un teniente coronel; solicitando que se dispensase en su favor jangicri, fecho en Torricella, portel cual me participaba que aquella «1 reglamento- del monte pió; ó se la conce…</t>
  </si>
  <si>
    <t>Traver, Juan</t>
  </si>
  <si>
    <t>Juan Traver</t>
  </si>
  <si>
    <t>…ensión se haya verificado por la fuer z3'armada. A la comisión de Inl'raccibites de Constitución una exposición de Art. 12. „En las causas de esta ley no habrá lugar á competencia D. Juan Traver, vecino de Murcia , quejándose de la infracción come alguna fuera de la que pudiese suscitarse entre las jurisdicciones ordi tida por el juez de primera instancia de la misma D. Francisco Borju naria y militar , según los límites que aquí se señalan. Las comp…</t>
  </si>
  <si>
    <t>…demas paises Se leyó el dictamen de la comisión de Infracciones de Constitución, que se comprenden en el territorio de su sección respectiva á contri relativo á la queja dada por D. Juan Traver contra el juez de primera buir á los gastos de la Península con destino á la marina con la suma instancia de Murcia D. francisco de Borja Sánchez, por haberle pues de 40 millones de reales anuales: se empezará á pagar dicha cantidad to preso con motivo de no…</t>
  </si>
  <si>
    <t>Travesedo, Francisco de</t>
  </si>
  <si>
    <t>Francisco de Travesedo</t>
  </si>
  <si>
    <t>…Utges y D. Tomas Perez. se notan en el hombre más vulgar. Parroquia de S. Gines, 8 electores. ¡Qué marcha tan augusta es la de un corto número de ciudadanos, Don Antonio Osteret, D. Francisco de Travesedo, D. Francisco depositarios ya de la confianza de sus convecinos , caminando al tem Antonio Pando, D. Francisco Izquierdo, D. Josef Brun, D. Matías plo á implorar del Altísimo que ilumine su entendimiento y separe de lavin, D. Ramón Adan y D. Ventura Rubio. él…</t>
  </si>
  <si>
    <t>Travet, María Josefa</t>
  </si>
  <si>
    <t>María Josefa Travet</t>
  </si>
  <si>
    <t>…e sumas ó valores de cosas muebles. Se leyó el dictamen de la comisión de Guerra acerca de la solicir ] El Sr. Cocoininas opuso algunas dificultades á la aprob :c"-ti Jo la tud de Doña María Josefa Travet, vitída del terilefilc corónelo. “Jóá- "tirita" que "'se insetta ; y habiendo pedido áigaocí Síes üípuV.dés ex-</t>
  </si>
  <si>
    <t>Trayér</t>
  </si>
  <si>
    <t>…osaya Berinudez; Lie. Don Se suspendió esta discusión , y se dió cuenta de 'haber nombrado el, Juan Ignacio, Godoy; D. Lucas Alaman, y D.. Josef María Hernández Sr. presidente al. Sr. Trayér para ja comisión de Legislación en .lugar, Chicos .Suplente, Sr. D. Ventura .Obregon, residente en España. del Sr* Vallé. Sé leyó él decreto dé, 14 de Abril de 1814 de las Cortes Por Sueva Galicia los Sres.©r,:p. Josef Miguel Ramírez, rac;one. generales y ext…</t>
  </si>
  <si>
    <t>Trebia</t>
  </si>
  <si>
    <t>…ga de las provincias , y se verá por el cardenalGravina, presidente del mismo, y del cual eran indi la Opinión pública sobre este mismo exceso, y cuán distantes están de viduos el príncipe Trebia, el marques Ferreri, el genera! Nunziante, tener la misma opinión que S. M. ó la de aquellos que le aconsejan. el vice-almirante Rogerio Seitimo, el príncipe Tor'réb'runa , el prínci Pues si esto es as!, el Congreso debe correr un velo sobre el atentado de pe…</t>
  </si>
  <si>
    <t>Trelles, Manuel López</t>
  </si>
  <si>
    <t>Manuel López Trelles</t>
  </si>
  <si>
    <t>…Con la recomendación de la Cuotidiana seria el de semilla y-notorio aumento en su producción. siglo muy bien recibido. Nos ha dicho también que en Smirna se ha Trescientos rs. i :D. Manuel López Trelles, del puerto de Cudilleamenazado con la horca á los que incurran en determinados delitos, ro, por haber beneficiado 85 quintales de congrio. en lo que ve ía Cuotidiana un medio á propósito para restablecer la Quinientos rs, á D. Manuel Bravo, del mismo puerto,…</t>
  </si>
  <si>
    <t>Treserra, Francisco</t>
  </si>
  <si>
    <t>Francisco Treserra</t>
  </si>
  <si>
    <t>…ento de nuevos ministros había* expedido en rugía y-médicos aprobados D- Francisco Juanich, D. Martin Altes y aquel día dos decretos. Exponía que su voluntad había sido siempre la D. Francisco Treserra se presentaron para ir á auxiliar en la Earcelode sostener el sistema constitucional de las Cortes cié Portugal, lo cual neta á D. Antonio Peliicer; y D.Tomas Ribera, profesor en cirugía, á tenia acreditado con las providencias que había dado antes del dia 5…</t>
  </si>
  <si>
    <t>Trespalacios, Francisco</t>
  </si>
  <si>
    <t>Francisco Trespalacios</t>
  </si>
  <si>
    <t>…egimien vera.del rio Pisuerga, de la misma provincia, el.de agustinos calzados, to de infantería de Logroño. reuñiéñdolos al de Ponferrada, del propio instituto, en la diócesis de Don Francisco Trespalacios, capitán retirado en Salamanca. Astorga; en Saldaña el de S. Francisco de Paula, y en Villada el de Manuel Melero, natural de Martos, en la provincia de Jaén, solda dominicos, los dos también de la provincia de Patencia, en cuyo ar do que fue de varios regimi…</t>
  </si>
  <si>
    <t>Trevasios</t>
  </si>
  <si>
    <t>…una razón de los males que habian causado para obligar á tante salud. los referidos enviados á que pagasen lo correspondiente. S, M. ha despachado hoy con el Sr. secretario del El Sr. Trevasios quiso que se extendiesen estas penas á Despacho de la Gobernación de la Península. los ministros de Estado de Rio-Janeiro, los cuales tenían engañado al Rey con sus sugesriones. ARTICULO X&gt;E OFICIO. " El Sr. Borges Carneiro añadió que eran bien manifiestas la…</t>
  </si>
  <si>
    <t>Tri</t>
  </si>
  <si>
    <t>…principios , envió con tiempo órde la esclavitud.” nes terminantes á las autoridades: civiles y militares de sus Estados El Sr. Borges Carneiro , contestando á los argumentos del Sr. Tri— para que mirasen como amigas: á. las tropas extrangeras regulares que' goso , hizo ver cuan infundado era el rezelo de que el poder legislativo pasasen por Jos dominios pontificios, ó se detuviesen en ellos, y para pudiese degenerar en tiranía; que esto solo…</t>
  </si>
  <si>
    <t>Trigo-</t>
  </si>
  <si>
    <t>…ente ex facultad de declarar la guerra y hacer la paz. purgo y ventilación, para que pasado el indicado tiempo puedan circu Las Cortes nombraron presidente para el mes entrante a! Sr. Trigo- lar libremente. so; vice-prssidenie al Sr.; Pinheiro Acevedo , y para secretarios á los 3-° Que para acreditar á Ja aduana la egecucion de las enunciadas Sres. Ribeiro Costa, Queiroga, Falgueirus. y .Freirá; con loque se le operaciones deberá presentarse cert…</t>
  </si>
  <si>
    <t>Trigoso</t>
  </si>
  <si>
    <t>…es para lograr una conciliación, no du los extranjeros el ejercicio particular de sus respectivos cultos.” dando en sacar de su Real patrimonio ¡os fondos destinados para la do El Sr. Trigoso dijo que pedia decirse, la religión es y será siempre tación de las nuevas sillas episcopales. El diario oficial de Roma con la católica &amp;e., y que debía hacerse una ley que señalase hasta qué tiene sobre este asunto la noticia siguiente-. punto íes era permi…</t>
  </si>
  <si>
    <t>…son de distinta religión.” Ya es tiempo de que todos los der egecutivo, excepto los ascensos de escala. hombres de todos los países y de todas las religiones se miren y traten El Sr. Trigoso pidió) que se ampliase la proposición para que en el como hermanos y amigos , pues que todos ellos son obra de las manos término de un año, después de concluida la legislatura, no pudiese nin del Autor de Ta naturaleza. Por todo lo dicho voto en favor del art…</t>
  </si>
  <si>
    <t>…eso del Príncipe Real á Europa. Varios Sres. diputados habla le pertenecen-, y se fugaron con él , se3n devueltos y entregados al ron largamente apoyando el regreso de S. A., y el Sr. Trigoso añadió Gobierno; pero el Sr. enviado ha declarado en una de sus notas, pre que se decretase al mismo tiempo que volviesen Jas tropas, y que se sentada anteriormente, y á la cual no ha tenido todavía contestación, extinguiesen los tribunales. Puesto á votación…</t>
  </si>
  <si>
    <t>I/tfi . conviniendo en ello las dos terceras partes de los 4&gt; putados.” tos: salidos 38: muertos 2: enfermos existentes 14. El Sr. Trigoso preguntó si era el Congreso ó el poder egecutiro el Nota. Según las últimas noticias, habiendo salido los mas de sus que debía emplear al diputado, y el Sr. Guerreiro sostuvo que no po habitantes á los campamentos , yquedando muy pocos en la villa, se día dud…</t>
  </si>
  <si>
    <t>Trigosó</t>
  </si>
  <si>
    <t>…o de esta ciudad Don Se'pasó á hacer la elección para el mes entrante , y salieron elegi Antonio Marau, vecino di la Ollería; D. Pedro Nolasco Morales , al dos, para presidente el Sr. Trigosó, para vice-presidente el Sr. Mar- calde constitucional de Játiva; el barón de Casanova , de Bocairenre, giochi , para secretarios los Sres. Queiroga, Riveiro Costa, Freire y y D. Baltasar Fusrer , de Enguera—En Alicante el Excmo: Sr. Don Feigueiras, y suplent…</t>
  </si>
  <si>
    <t>Triver</t>
  </si>
  <si>
    <t>Lo mismo se verifico con tres indicaciones del Sr. Triver át artícu timonios i las diferentes diputaciones que han ido á besar su Real lo 2.a, que decia la primera: „ No debe preceder el juicio de concilia mano. ción para hacer efectivo el pago de los derechos que adeude todo géne No faltan políticos que opinaban al…</t>
  </si>
  <si>
    <t>Troy</t>
  </si>
  <si>
    <t>…se decidió que pasaría á la Cámara de los Pares. necesitarían 47.3203 pesos fuertes para satisfacerlas todas por completo: .__Dicen las cartas de Dublin del lunes último que el R. doctor Troy, por tanto es muy probable que cada uno recibirá con poca diferencia la arzobispo titular de Dublin, y el clero católico romano de su diócesis, décima parte de lo que reclama. han declarado unánimemente en una junta celebrada con este objeto, El Rey de España…</t>
  </si>
  <si>
    <t>Trujillo, Ramón</t>
  </si>
  <si>
    <t>Ramón Trujillo</t>
  </si>
  <si>
    <t>…tos civiles, ju Por la provincia de la Mancha. D. Miguel Sánchez Casas, canó diciales y administrativos dei Crédito público , y de los que traten con nigo de S. Isidro de Madrid'. D. Ramón Trujillo, juez de hecho en i a .él en los negocios de su atribución. villa de Madrid ; D. Rafael Casim.ro Lodares , diputado provincial. Su 3. " Que el 4 por too se pague solamente de las ventas y fincas plente. D. Josef Nuñez de Arenas, capitán del cuerpo de artiller…</t>
  </si>
  <si>
    <t>Tudda, Líborio</t>
  </si>
  <si>
    <t>Líborio Tudda</t>
  </si>
  <si>
    <t>…ficó el primer remate de dos casas sita» ra la de Ayamonte á D. Pedro Tagle y Velarde: parí), la de Araceux en esta corte, una, calle de Cedaceros, núm. 8, manz. 2Ó7, y otra, ca á D. Líborio Tudda: para la de Cerro á D. Antonio Moreo é Jnza: lle de la Cruz, núm. 1, manz. 209, que pertenecieron- al extinguido para la d; Cazalla á D. Josef López y Requena: para la de Carinona monasterio de los Cartujos del Paular de Segovia, Usada la primera en á D. Blas…</t>
  </si>
  <si>
    <t>Tundióla</t>
  </si>
  <si>
    <t>…tados', con los cuales conservamos relaciones amistosas. ¡ Plu cantidades procedentes de suministros. „ guiera á Dios que nuestra conducta con los católicos estuviese tan libre EL Sr. Tundióla presentó dos egeniplares de un proyecto de correc de toda reconvención como la que los católicos han observado largos ción astronómica cristiana del calendario romano, formada y dirigida tiempos há con los protestantes! {Morning-Chronicle.') á las Cortes por…</t>
  </si>
  <si>
    <t>…n las operaciones que allí se prac Se aprobó una indicación de los Sres. Romero Alpuente y Priego, tican. relativa á que la pensión concedida á los monacales se debe considerar El Sr. Tundióla dijo: la comisión lejos de estar conforme con la úl como congrua para su secularización. tima forma que se ha dado á esta oficina, Lia cm ocído su imperfección; Se leyeron y aprobaron varios dictámenes de la comisión de Ha y si hubiera tenido tiempo, hubiera…</t>
  </si>
  <si>
    <t>Türin</t>
  </si>
  <si>
    <t>…Troppau para esta capital así que supo se habla incendiado su palacio. ITALIA. Esta mañana han ¡legado de Troppau el conde de Nesselrode, secretario de Estado; el teniente general conde Türin 2T de Diciembre. pozzo di Borgo, y los .condes de Czemitschef y Oza- El 4 del corriente fijó S. M. por un edicto. Real las con rowsky, generales, y ayudantes decampo de S. M. el Em tribuciones directas para el año de 1821 , las cuales seria perador de Rusia.…</t>
  </si>
  <si>
    <t>Turiti, Ma-</t>
  </si>
  <si>
    <t>Ma- Turiti</t>
  </si>
  <si>
    <t>…poco de-grana, azúcar y 73,37$ pesos fuertes- yonetas, y no por la ley y el recíproco ariior. El periódico que hay en la corbeta de guerra AretUca, comandante el teniente de navio D. Ma- Turiti con el título de Gaceta pianionteta ha tomado pof modelo al Buel Funes, del crucero en 30 días: el bergantín español General Riego, diario de lat Dos Siciliás que se publica eft Nápoles, el éüal tierie por capitán D. Jóse? Pérez Muñoz , de la Havana en 38 dia…</t>
  </si>
  <si>
    <t>Turm</t>
  </si>
  <si>
    <t>…eviene que no Congreso las órdenes necesarias para la egecucion de cuatro se venderán sueltos. —Los suscriptores á la galería teatral de asuntos propuestos originariamente por el, coronel Turm retratos , que se publica en Milán , pasarán á recoger las tablas 15 y 16, y á adelantar el importe de las 17 y t8, que se espe bull , siendo uno de ellos el cuadro que representa el inte ran por momentos. En el almacén de música de la calle del rior de la sa…</t>
  </si>
  <si>
    <t>Turmbull</t>
  </si>
  <si>
    <t>…le nales abrigan los pechos de las nuigeres pamplonesas , ; qué destina, igualmente que los otros tres cuadros en que el no podrá esperarse de toda una provincia, que se gloria de coronel Turmbull trabaja en Ja actualidad. Estos representan no haber sufrido jamas la esclavitud? Tiemblen pues los hechos no menos Interesantes, y en los que figuran también malvados que gritan Constitución sin amarla. el ilustre Washington y sus valientes camaradas, france…</t>
  </si>
  <si>
    <t>Turquía, Josef Lorenza la</t>
  </si>
  <si>
    <t>Josef Lorenza la Turquía</t>
  </si>
  <si>
    <t>…o Pola, hacendado. Partido de Salas D. Toribio de Mones, cura da ” A pesar de los sucesos de Smirna, y de la situación política de Muros; D. Josef López Longoria, promotor fiscal; D. Josef Lorenza la Turquía , se trabaja con la mayor, actividad en nuestras fábricas de Salas, coronel retirado. Partido de Navia D. Bartolomé Méndez de paños, y el comercio de esta ciudad no ha experimentado tantos atra Luarca, hacendado; D. Josef Rodríguez dé Castro, juez de primera…</t>
  </si>
  <si>
    <t>Turra, Josefa</t>
  </si>
  <si>
    <t>Josefa Turra</t>
  </si>
  <si>
    <t>…vivo é impetuoso, y la tercera parte de la po ro que á los del egército. blación’puede tomar las armas en defensa de su país, por hallarse desem A laida Hacienda una exposición de Doña Josefa Turra, viuda de barazada de aquellas ocupaciones que pudieran impedírselo, y esto es D. Dionisio de Avila, vecina de Cartagena , para que se manden li una ventaja incontestable. El napolitano peleará con valor por defender quidar-los: haberes que dejó de recibir en…</t>
  </si>
  <si>
    <t>Ubach, Antonio</t>
  </si>
  <si>
    <t>Antonio Ubach</t>
  </si>
  <si>
    <t>…Firmará gistratura, vacantes en la audiencia territorial de Castilla la Nueva, á con el secretario los oficios que se dirijan á los secretarios de las Cortes D. Antonio Siles y á D. Antonio Ubach. y á los del Despacho. Rubricará con el secretario las actas én el, libro que las contenga. Hará guardar el orden y decoro que debe haber en ANUNCIOS. las sesiones. Convocará á las juntas extraordinarias. Art. 4.0 En los ca En el juzgado del Sr. D. Julián de…</t>
  </si>
  <si>
    <t>Ubalde, Lucas</t>
  </si>
  <si>
    <t>Lucas Ubalde</t>
  </si>
  <si>
    <t>…er qué medidas se tomaron entonces &gt;1 dos los demás de su partida, ó caido prisioneros, contándose entre para suspender todas las tramas que después han aparecido, y curies «ellos D. Lucas Ubalde y un religioso francisco llamado Fr. Salvador se han empleado para contener los alborotos que ha habido en dis » Gregorio.” Las Cortes quedaron enteradas habiendo - oido con satis tintos pueblos; y no habiendo diputado que a! entrar en el Congreso facción la…</t>
  </si>
  <si>
    <t>Uc, Manuel</t>
  </si>
  <si>
    <t>Manuel Uc</t>
  </si>
  <si>
    <t>…anta, Moragues, Sil- Belchite á D. Tomas Bernardo Castillon: para el de Fraga á D Martin ves, Fondevila, Moreno, Couto, Amati , Castro, Cepeda, Navarro Cabrera: para el de Borja á D. Manuel Uc las lleras: para el de Tara( D. Felipe), Yuste , Desprat, Romero ( D. Josef), Moreno Guerra, zona á D. Juan Ortega: para el de Calatayud á D. Fabián Lorente; pa Díaz Morales , Fernandez , Pierola , Zavala, López Constant , Medra- ra el de Ateca á D. Agustín P…</t>
  </si>
  <si>
    <t>Udi, Joaquín Salvador y</t>
  </si>
  <si>
    <t>Joaquín Salvador y Udi</t>
  </si>
  <si>
    <t>…Juan Guerra y Golfantes , D. Tosef Cisnéros y criptiva. Lanuza , D. Bernardo Elfo y Ximenez-, D. Antonio To- La trigonometría es sin disputa una de las mas-útiles rija y Carrese, D. Joaquín Salvador y Udi, D. Diego Mi aplicaciones de la geometría elemental: es la base de la geor randa y Morales, D. Josef Labastida y Bustamante, y desia, de la geografía, dé la astronomía y de la navegación.D. Manuel Pascual y Bañúeias; ha tenido á bien promo El mas apreciable m…</t>
  </si>
  <si>
    <t>Uenlce</t>
  </si>
  <si>
    <t>…ción for ña contra los turcos, y á este efecto propone la ciudad de Oftémbach. zada, sin cuya medida hubiera sido imposible vacunar a tantos en tan poco tiempo. Un solo médico (el doctor Uenlce) vacunó hasta 20 per Inglaterra. sonas: ademas dirigió toda la operación , y cuidó en la ciudad de todos los enfermos de viruela. Este egemplo merece citarse para^ destruir el Lóndres 24 de Agosto. resto de las antiguas preocupaciones, tan difíciles de desarr…</t>
  </si>
  <si>
    <t>Üesfourneaux</t>
  </si>
  <si>
    <t>…s reflexiones. Habiendo hecho déspues ifría modificaeioft-Mr. GréníélFf la*comi- ...i..'2'^..».;Déj5í1a 'mif''hoh'bráb'l3S“'colegás él cuidado de ajustar el gasto sion concedió al general Üesfourneaux 3500 libras esterlinas en lugar enorme de la manutención de los expósitos, porque no quiero abusar de 5® por una mayoría de^i votos contra xa. . _ de la paciencia de la .Cámara.” , . — Escriben de Garitón-'que' ha habido'distürbibs- bastante^sé’ricís en’ El o…</t>
  </si>
  <si>
    <t>Uga</t>
  </si>
  <si>
    <t>…duos que componían la diputación que había de cumpli dan, por el contador é interventor y los maestros mayores respectivos. mentar á S- M., nombrando en lugar del Sr. Sobarcase al Sr. Uga/te. Art. 239. ss Oportunamente se verificarán los recuentos de ios efec Se dió cuenta de lina exposición de la diputaron provincial de Cá tos del cargo del guardaaUnacen general, según las disposiciones del diz, en la que con motivo del.mensage de S. Al. á la…</t>
  </si>
  <si>
    <t>Ugarte</t>
  </si>
  <si>
    <t>…siguió la discusión de división de territorio; y el Sr. secreta ■ o” .Según..el. Aforning-C/trunicle la Inglaterra ha influido para que la rio continuó la Lectura del discurso del Sr. Ugarte f D. Gabriel), en Rusia, no intervenga en los asuntos dejos griegos, temerosa de que es- el cual manifestaba que la Nación como estaba cargada de empleados, rta;. potencia prepondere demasiado, y se alce con el mando del Medi- -según lo. habia manifestado con…</t>
  </si>
  <si>
    <t>…s gobiernos políticos se miento de las diputaciones provinciales y diputación permanente. gún el presente plan no excederán en una exhorbitancia á los que hoy , Se ha dicho por el Sr. Ugarte que siendo esto una cosa de las mas causan; y yo por mi parte he meditado bastante sobre esta matvr¡a;, y trascendentales se podria aguardar á tener formado un buen plan de to cuando se trate de ella tendré el honor de presentar á las Cortes mi» pografía; ¡y…</t>
  </si>
  <si>
    <t>Ugarte, Joaquín María de</t>
  </si>
  <si>
    <t>Joaquín María de Ugarte</t>
  </si>
  <si>
    <t>…vió en ¡a; compañía, de mugeres nido á bien resolver^igualmente que se supriman en León el de domi de Gerona. nicos; en Castroverae el de franciscos, agregándose sus individuos al Don Joaquín María de Ugarte, caballero de la orden de Cárlos ni. de Villamañan y León, de igual orden; en Valderas el de carmelitas Don Josef López é Ingles, presbítero. calzados ; en Cisneros, provincia de Palencia, el de dominicos; en Cer- Don Melchor de Abalos, soldado distinguido qu…</t>
  </si>
  <si>
    <t>Ugarte.habia</t>
  </si>
  <si>
    <t>…ha público para su noticia. • cer varias reflexiones sobre que esta operación se debía haber hecho to ;................ANUNCIOS. pográficamente , y en seguida apoyó la idea que el Sr. Ugarte.habia es La libertad y la ley, ó Fundamentos sólidos de la felicidad social en tampado en su discurso; á saber: que por la numerosa división de pro losdela religión católica traducción del italiano , qué publica el ciu vincias se disminuirla la representación nacio…</t>
  </si>
  <si>
    <t>Uizurrum, Ramón</t>
  </si>
  <si>
    <t>Ramón Uizurrum</t>
  </si>
  <si>
    <t>…ue rona al teniente coronel superntimeráfto D. Joaquin Urreistiefa; del se pudiese votar en ella con toda aquella detención que requería el de Sevilla abcoronel vivo de infanteríí^D. Ramón Uizurrum y í-raso; asunto. V. „ del de taragoza al teniente coronel s|pernumerario D. Alonso Sierra; Eí Sr. Sancho dijo que si los Sres. diputados se'vhacian cargo de lo del de España ileoronel vivode-infantería D. Agustín González; del que se proponía en este mensage…</t>
  </si>
  <si>
    <t>Ulassapanlo</t>
  </si>
  <si>
    <t>…emigos el dominio de los Dar- Lúndres c¡1 de Octubre. dmielos. Por mas que se intente ocultar la situación política de ¡a Irlanda, El cónsul de Rusia en la residencia de Patrás el Sr. Ulassapanlo de no es posible conseguirlo! los desórdenes se acrecientan; los crímenes Itaca, que se halla hoy día refugiado en su país , ha recibido de parte se multiplican-, y van tomando tal giro los acontecimientos, que pare de su Gobierno testimonios satisfactorios p…</t>
  </si>
  <si>
    <t>Ulloa, Bernardo</t>
  </si>
  <si>
    <t>Bernardo Ulloa</t>
  </si>
  <si>
    <t>…e las Ermitas y otros populacho , que sin embargo se dispersó enteramente á muy pocos ins . muchos aficionados, en la que el Mtro. de la extinguida religión de tantes. S. Bernardo D. Bernardo Ulloa, vecino del mismo pueblo, dijo un __La escuadra Real se halla todavía en la bahía de Dunleari, cuyo discurso religioso-político , elegante, admirable y Heno de tanta unción nombre ha mudado S. M., llamándola bahía de Jorge ir. Lo mismo ha . é insinuante evide…</t>
  </si>
  <si>
    <t>Ulloa, Juan</t>
  </si>
  <si>
    <t>Juan Ulloa</t>
  </si>
  <si>
    <t>…arse al como sigue: Alba de Tormes D. Buenaventura Rodríguez, cura párroco grueso que tenían á su espalda. La noche puso fin á tan desigual com de S. Pedro de Alba. Barco d: Avila D. Juan Ulloa, cura párroco de bate, retirándose los salteadores; en cuya persecución siguieron todos la Horcajada. BéjarD. Josef Miranda, alcalde primero constituclona1. lo, milicianos de Antequera, reunidos ya, y otros 6 de Bobadilla Ciudad-Rodrigo D. Manuel Francisco Sá…</t>
  </si>
  <si>
    <t>Umitia-, Baltasar</t>
  </si>
  <si>
    <t>Baltasar Umitia-</t>
  </si>
  <si>
    <t>…DRÍD. En el hospital. Dia 17................. .......... 6......... ......... a...’... ......... 4........... *...... 5°— Parroquia de S. Andrés, 12 electores. D. Alfonso Urquiza, D. Baltasar Umitia-, D. Elias García, Don Dia 18................ ......... 4—•• ....... 1....... «..»»«« IO.... *• .... 47.... Dia 19................ ......... 6......... ....... 1....... ......... 0........... .... 48.... Francisco Jaquete, D. Francisco de Paula Martínez, D. Jo…</t>
  </si>
  <si>
    <t>Una, Josef</t>
  </si>
  <si>
    <t>Josef Una</t>
  </si>
  <si>
    <t>…tido, Cuarenta y tres fanegas de ídem , en Torremocha del con una porción de casa de 13 pairóos de fondo , linda con Campo , en 6188 rsparador común del Crédito público y otros de D. Josef Una casa sita en la citada ciudad de Sigüenía y calle de Alcaraz, acequia mayor y brazal regador, su cabida uní los Herreros , en 8364 rs. tahuila y 18 brazas, en 407j rs. y 26 mrs. Otra casa en la misma ciudad y Callejón de los Herre Otro trozo de tierra morera!…</t>
  </si>
  <si>
    <t>Uñar, Erancisco</t>
  </si>
  <si>
    <t>Erancisco Uñar</t>
  </si>
  <si>
    <t>…y á negarse absolutamente á Se continuó la votación de los secretarios del Despacho, tomar parte en los negocios de las demas naciones. No era y salieron electos: para Hacienda el Sr. Erancisco Uñar tiempo de entrar en mayores explicaciones ; pero podría te Coelho; para Guerra el Sr. Antonio Teixeira Rebelloj llegar tiempo en que manifestase su opinión sobre este par para Negocios extrangeros el Sr. Anselmo Josef Bfaam— ticular. carnp; y para Marina el S…</t>
  </si>
  <si>
    <t>Unda, Santiago de</t>
  </si>
  <si>
    <t>Santiago de Unda</t>
  </si>
  <si>
    <t>…ce la sociedad , debiendo antes examinarse en público del ramo á que per D. Ignacio Villaveachea. lona. tenezcan los premios que hayan obtenido. Sres. Jane, Orbegoso y Castañares, D. Santiago de Unda, de Bilbao. A los alumnos de las clases de matemáticas que dirige la sociedad, de Bilbao. D. Simón de la Cuadra, id. que se presenten á ser examinados de aritmética, álgebra , geometría y trigonometría plana , se adjudicará la traducción de la geometría de AN…</t>
  </si>
  <si>
    <t>Uniop, Tomas</t>
  </si>
  <si>
    <t>Tomas Uniop</t>
  </si>
  <si>
    <t>…el bergantín español patriota Lacy, Zamora......................................................................... 1.321,461 capitán D. Antonio Florit; bergantín ingles Armonía, capitán Tomas Uniop: salidos para el lazareto de Marsella la tartana francesa la Ma Provincias Vascongadas. ........................................... 3-°69)312 rta , capitán Celestino Aribert. Buques que se han sumergido con to Suma total.................... ... .. . .........…</t>
  </si>
  <si>
    <t>Uno</t>
  </si>
  <si>
    <t>…iere y la Fleur de Lis. Antes- de su salida había despachado este oficial general í la isla Berlín 11 de Setiembre. neutral de Cérigo lí corbeta l'Arriege , que llevaba á bordo ai cónsul Uno de nuestros profesores llamado Zeune, que *e interesa extraor ruso de Smirna, á toda su familia, su canciller, su primer dragomán y dinariamente en favor de los griegos, ha compuesto una especie de ca todos los archivos de la cancillería. tecismo con siete ar…</t>
  </si>
  <si>
    <t>Ura</t>
  </si>
  <si>
    <t>…imismo que debia haberse comprendido en porque seria muy embarazoso el usar en todos los casos de ¡as que hsbia esta provincia un partido que se había agregado á otra. indicado el Sr. Ura/a. El Sr. -Sancho manifestó que las diputaciones provinciales que de Se declaró suficientemente discutido éste artículo, y quedó apro ben atender al bien de los pueblos eran las que debían informar acerca bado. • -de los límites de las provincias; y que por l…</t>
  </si>
  <si>
    <t>Uraga</t>
  </si>
  <si>
    <t>…. M. de los asuntos de América, que han empeza lo aprueban , porque esta es como una especie de 'garantía que exigen ndo á tratarse en el Congreso.” para entrar en el contrato. El Sr. Uraga manifestó que siendo un asuntó de los mas arduos pqr Yo soy el mas enemigo de empréstitos; pero veo que las circuns .sus circunstancias.los sucesos de lá América, como el Congreso mis tancias lo exigen, y no ine arredro cuando examino, la hacienda de mo había…</t>
  </si>
  <si>
    <t>Üraga</t>
  </si>
  <si>
    <t>…tigué al extranjera que contra subversión contra la Constitución , estaba incluida lá adición de S. S. . venga. Fundado, en estos principios creo que el artículo debía redactar El Sr. Üraga, manifestó que no debta ponerse en este articulo, que se, se en estos términos poco mas ó menos:» Ningún extrangero podrí ale castigaría con la mitad de la pena á los extranjeros que cometiesen un. gar como excepción la ignorancia de la ley cuando haya sido v…</t>
  </si>
  <si>
    <t>…a por el correo general. Aprobada el acta de la sesión anterior, se mandó insertar en ella el No acusó este su recibo, pero Ja recibió á sa debido tiempo; puei voto particular del Sr. Uraga, contrario á la aprobación del párrafo 4.0 del oficio que en 6 de Noviembre dirigió al ministerio de la Guerra, del art. 17 del código penal. consta haberle dado á reconocer en la provincia en 5 del mismo mes. Se mandó pasar á la comisión de Hacienda una repr…</t>
  </si>
  <si>
    <t>…de la Reina, donde concluye el límite occidental. Se leyó el art. 104 (j víase la gaceta de sp del corriente ). El meridional empieza en este punto; y tomando por la cordillera El Sr. Uraga hizo varias observaciones acerca de la redacción de que divide las aguas al rio Palancia y al Millares, pasa por el N. de este artículo, y entre otras cosas manifestó que no debia usarse de las de Villanueva de la Reina entre Higueras y Gaibiel por el pico de…</t>
  </si>
  <si>
    <t>Urbina, Josef María</t>
  </si>
  <si>
    <t>Josef María Urbina</t>
  </si>
  <si>
    <t>…obre este artículo , y que volviera Peca! de caballería, por el capitán aj uduíile del rcgiuucmo de Pavía á la comisión; y esta era de dictamen debia suprimirse: el artículo decía D. Josef María Urbina, remitido por el inspector general de dicha asi: » Las mismas penas señaladas en los artículos 3.0, 4.’ y g.° se apli arma. carán en los casos respectivos cuando alguna persona de palabra ó por A la de Diputaciones provinciales y Hacienda una exposición del e…</t>
  </si>
  <si>
    <t>Urbtna, Pedro Ortir y</t>
  </si>
  <si>
    <t>Pedro Ortir y Urbtna</t>
  </si>
  <si>
    <t>…did,.P., .Amero Echarri:, D. Josef..Joaquín Ermo . D. Manuel Laredo, -te sj no '.ctlufiplo enteramente lodo lo que acabo de jurar delante/de la D. Pedro Navarro, D. Tomas Delgado, D. Pedro Ortir y Urbtna, .imágen de nuestro Señor Jesucristo. .. ».-Kt P, Pedro Gudal, P. Mariano Noucues y Secail, D. Julián Alegre,</t>
  </si>
  <si>
    <t>Uria, Manuel</t>
  </si>
  <si>
    <t>Manuel Uria</t>
  </si>
  <si>
    <t>…Sr. Gareli, haciendo varias relie-' A la de Infracciones de Constitución se mandaron pasar úna expo xiones sobre la.base en que estaba fundada esta ley,-y que su declara sición de D. Manuel Uria y.D. Julián Serrano, vecinos del' iugar de ción era permitida en. todos los Gobiernos libres , quedó aprobado di-' Esquivias de esta provincia , haciendo presente que deseando introducir cho artículo. (Véase la misma ¿aceta.)' en el mismo lugar una partida-de…</t>
  </si>
  <si>
    <t>Uria-, Fermín María de</t>
  </si>
  <si>
    <t>Fermín María de Uria-</t>
  </si>
  <si>
    <t>…o tenia talentoyiftitéiicciony Virtudes ; á lo que confestó el se Alvárez. *' ....¡‘ - .............\ . ñor :€asteil o Bñíncd.qus quizá el único motivo que le hubiese pro- Otra de D. Fermín María de Uria-, vecino de. esti,corte., ,manifes- &lt; poreionádo el nombtarniénto, fuesé'él dé'ser'jlSíójígo ; sobre Ió que le fando, algunas dudas quéTé. han ocúfridó,sobre .una’ prpposrcióri hecha, replicaron otros que esta circunstancia era 'insignificante cuando tenia en‘…</t>
  </si>
  <si>
    <t>Uriar-, Joscf</t>
  </si>
  <si>
    <t>Joscf Uriar-</t>
  </si>
  <si>
    <t>…os sobre el vino y aguardiente que entran en aquella ciudad. de aquel tribunal; en el cual el secretario mandaba á uno de los comi A la de Hacienda se mandó pasar una solicitud de D. Joscf Uriar- sarios del Sto. Oficio quemase inmediatamente todos los papeles perte te, para que con arreglo á la orden de las Cortes de 21 de Octubre úl necientes á aquel tribunal; que era notorio el espíritu de este mandato; timo * y en atención al empleo que obtenía en…</t>
  </si>
  <si>
    <t>Uriarte, Joaquín</t>
  </si>
  <si>
    <t>Joaquín Uriarte</t>
  </si>
  <si>
    <t>…Se aprobó el-dictamen de la comisión especial de Hacienda sobre ‘licencia á los militares para que se casasen : que ninguno seria mejor • que las Cortes recomendasen al Gobierno á D. Joaquín Uriarte, en ■juez en'la materia de si el que contraía "el matrimonio tenia con qué atención á lo mucho que había contribuido con sus observaciones al mantener esta obligación que su mismo¡padre; y que fijándose en el ar plan general de la Hacienda en España. tículo q…</t>
  </si>
  <si>
    <t>Uribarri, Juan Antonio de</t>
  </si>
  <si>
    <t>Juan Antonio de Uribarri</t>
  </si>
  <si>
    <t>…abitantes terino de primera instancia de !a villa de Bilbao, refrendada por e! es de' su vasto imperio; que por seroimientos generosos y principios libe cribano público del número D. Juan Antonio de Uribarri, se cita y rales parece destinado por la Providencia á mejorar la suerte de la especie humana, nopodia persuadirse que un hombre, que á la gloria llama i los que se crean con derecho á los bienes que han quedado por fallecimiento de D. Josef de Allende Salaza…</t>
  </si>
  <si>
    <t>Urquiza, Alfonso</t>
  </si>
  <si>
    <t>Alfonso Urquiza</t>
  </si>
  <si>
    <t>…ARROCIUIAI.ES DE JÍADRÍD. En el hospital. Dia 17................. .......... 6......... ......... a...’... ......... 4........... *...... 5°— Parroquia de S. Andrés, 12 electores. D. Alfonso Urquiza, D. Baltasar Umitia-, D. Elias García, Don Dia 18................ ......... 4—•• ....... 1....... «..»»«« IO.... *• .... 47.... Dia 19................ ......... 6......... ....... 1....... ......... 0........... .... 48.... Francisco Jaquete, D. Francisco de…</t>
  </si>
  <si>
    <t>Urrea, Manuel</t>
  </si>
  <si>
    <t>Manuel Urrea</t>
  </si>
  <si>
    <t>…, y debiendo rendir sus cuentas en es los 40 ciudadanos que.se refieren en aquella indicación y los coman ta semana, según las órdenes del ministro de Hacienda, parecía muy dantes D. Manuel Urrea y D. Pedro Casasola han merecido el aprecio probable que se hubiese prendido el fuego allí para salir de este em de la patria , y que se recomiende á todos al Gobierno para que les barazo. confiera en recompensa los destinos que estime convenientes. El Sr. Braamcainp dijo que el…</t>
  </si>
  <si>
    <t>Urreistiefa, Joaquin</t>
  </si>
  <si>
    <t>Joaquin Urreistiefa</t>
  </si>
  <si>
    <t>…ecía D. Pablo Casamayor, teniente coróngjLsupernumerario; del de la Co que seria muy conveniente que sé%prábas3 esja proposición,?pára que rona al teniente coronel superntimeráfto D. Joaquin Urreistiefa; del se pudiese votar en ella con toda aquella detención que requería el de Sevilla abcoronel vivo de infanteríí^D. Ramón Uizurrum y í-raso; asunto. V. „ del de taragoza al teniente coronel s|pernumerario D. Alonso Sierra; Eí Sr. Sancho dijo que si los Sres.…</t>
  </si>
  <si>
    <t>Urreravizcaya, Juan Ignacio de</t>
  </si>
  <si>
    <t>Juan Ignacio de Urreravizcaya</t>
  </si>
  <si>
    <t>…n; pañado del teniente la Fuente, del .subtenientede la compa y movido de él en aquel acto el digno párroco de Amez- ñía'de infantería fija de Almería D. 'Pedro Morera, y el qneta D. Juan Ignacio de Urreravizcaya, hizo á aquellos soldado de la misma Miguel Salinas. A poco, tiempef de ha cuerpos patrióticos una'explicación'muy animada de su es ber fondeado en Torrecarbonera se hicieron á la vela para tablecimiento y su objeto, de las véritajas y servicios que reconocer…</t>
  </si>
  <si>
    <t>Urreta, Pedro</t>
  </si>
  <si>
    <t>Pedro Urreta</t>
  </si>
  <si>
    <t>…íncipes cristianos, guiados por una política inte D. Pedro González Moro. Sres. Mazo y compañía , de Bilbao. resada y cruel, pasan meses y meses en negociaciones sufriendo tamaños D. Pedro Urreta y D. Isidoro Gar- D. Ildefonso de Castejon , de Bilinsultos hechos a la humanidad y á la religión cristiana ! LaTurquía , con cía de la Mata, de Sevilla. bao. fiada en parte en las disensiones diplomáticas y en los mútuos zelos de D. Andrés Ferrari, de Genova. D. Francisco García…</t>
  </si>
  <si>
    <t>Urritiene</t>
  </si>
  <si>
    <t>…er i-f fardos de géneros prohibidos de bastante valor, Con respecto á tos edificios y demás circunstancias que Sta. Cruz tres caballerías y una espada, que se cree sea dei difunto capitán Urritiene en su favor para poder ser capital, es evidente que son mayores zola; y los ministros del resguardo militar hicieron preso á. poca dis que Jas de la ciudad de las Palmas, tn efecto tiene una aduana, en cu tancia del encuentro á un hombre indiciado de cómplice…</t>
  </si>
  <si>
    <t>Ürruela</t>
  </si>
  <si>
    <t>…e provincia ningún motivo podrán las autoridades entorpecer esta disposición. de primera clase será de 249 rs., 20© el de,ios de segunda y i3© al Lo mismo se verificó con otra del Sr. Ürruela, relativa á que la sa de ios de tercera, y ademas lóO rs. todos para gastos de oficina y ofi lida de los correos de los puertos de Ultramar sea en un día fijo de cada ciales. Los registradores disfrutarán de un 3 por 100 del producto cal mes, para que «puedan…</t>
  </si>
  <si>
    <t>Urruela</t>
  </si>
  <si>
    <t>…ades que se halLu arrendadas, el co mismo aue queda dicho en cuanto á las fábricas. Aprobado. lono pague la cuarta parte de la contribución que le corresponde, á no Indicación del Sr. Urruela: &gt;1 Pido que ias partidas de tabico elabo ser que quiera rescindir el contrato. Quedó aprobada. rado y en hoja, viniendo de las provincias de Ultramar en eL término Adición del Sr. Ramírez Cid al art. 6.°, relativa á que las dehe de cuatro meses, y en buques…</t>
  </si>
  <si>
    <t>…Felipe 11, que prohíbe bre registros, en lugar del remo se pusiese Península í islas adyacentes el pasarse de farmacéutico hasta la edad de 25 años: la comisión en í propuesta del Sr. Urruela; y el articulo quedaría en estos términos: vista de todo lo expuesto no hallaba inconveniente en que se accediese »Se establece un registro público que-comprenderá la Península ¿ islas á esta solicitud en el modo y forma que lo solicitaban los interesados, ad…</t>
  </si>
  <si>
    <t>Urruela, Julián</t>
  </si>
  <si>
    <t>Julián Urruela</t>
  </si>
  <si>
    <t>…rcanos políticos, capaces de dar mo Las Cortes concedieron el permiso que solicitaba el Sf. diputado tivos .aserias, reflexiones y largas conjeturas. La Bavierá trata de una quin- D. Julián Urruela desde Cádiz para restablecer su salud , por cuyo mo tide 1 aS hombres. El Austria se ha apoderado políticamente del Piamon- tivo no podía ponerse en camino para venir al Congreso, acompañan te mediante un tratado (véase la gaceta de uy de Noviembre'), en que…</t>
  </si>
  <si>
    <t>Urruela, Santiago</t>
  </si>
  <si>
    <t>Santiago Urruela</t>
  </si>
  <si>
    <t>…del 6 de Agosto de 1818, Conformándose las Cortes con el dictamen de la comisión de Po en que estaban comprendidos varios caudales dei ramo de Subsidios. deres , aprobaron los del Sr. D. Santiago Urruela, diputado electo por. Se pasó á la misma comisión un oficio de la comisaría general de Goatemala. Cruzada, apoyando la solicitud de un receptor de bulas de la diócesis El Sr. presidente nombró para la comisión deL Código de-procedi de león, en que pedia la re…</t>
  </si>
  <si>
    <t>Urrutia, Josef</t>
  </si>
  <si>
    <t>Josef Urrutia</t>
  </si>
  <si>
    <t>…ado, ni temía estarlo, y que nada se le A la segunda de Legislación y especial de Hacienda una exposi daba de los de Tánger ni de todas las fuerzas de Solimán, de lo cual ción de' D. Josef Urrutia , manifestando algunas dudas ocurridas en érá" una prueba bien clara la tranquilidad , orden y'abundancia qué rei el'rematé dé filia de las fincas aplicadas at Crédito público', y' propo naba en Tetuan, como podían verlo si gustaban los comisionados, á niendo…</t>
  </si>
  <si>
    <t>Utges, Ramón</t>
  </si>
  <si>
    <t>Ramón Utges</t>
  </si>
  <si>
    <t>…dilectos de la Isusi, D. Juan de la Cruz González, D. Manuel Ovaldia , D. Manuel Virtud y de la sabiduría , descubriendo en ellos todos los defectos que Rodríguez, D. Pedro Agar , D. Ramón Utges y D. Tomas Perez. se notan en el hombre más vulgar. Parroquia de S. Gines, 8 electores. ¡Qué marcha tan augusta es la de un corto número de ciudadanos, Don Antonio Osteret, D. Francisco de Travesedo, D. Francisco depositarios ya de la confianza de sus convecinos , caminando a…</t>
  </si>
  <si>
    <t>Utrera</t>
  </si>
  <si>
    <t>…or Jos servicios pecuniarios y personales que ha he por varios vecinos de Molares contra el juez de primera instancia de cho á'la Nación, y se le recomiende al Gobierno; y otra de Doña Utrera por sus procedimientos en .ias..elecciones de ayuntamiento, opi .Grregona Barquero ,. vecina.de Molina, para que en atención á los sernaba no haber cometido dicho juez infracción de Constitución; 'vicios de su difunte; marido D. JuarTdeí Castillo se sirviesen…</t>
  </si>
  <si>
    <t>Utrera, Miguel An</t>
  </si>
  <si>
    <t>Miguel An Utrera</t>
  </si>
  <si>
    <t>…rid á D. Alejandro Dolarea; en Pamplona á D. Joaquín de ApezteEn el juzgado del alcalde segundo constitucional de la villa de guia, procurador de laaudienc:a de ella, yen Asiain á D. Miguel An Utrera y escribanía de número de D. Miguel María de Ojeda pende ex tonio de Astrain , abad de su iglesia parroquial, pues hay que partici pediente promovido por el señor conde de Montelivio, vecino de parles noticias que Ies interesan. Sevilla , interesado en el pat…</t>
  </si>
  <si>
    <t>Uxbridge</t>
  </si>
  <si>
    <t>…unto de los que adquirieron dominios ha asistido el Rey : le acompañaba el marques de Anglesea , padre del westfalianos. Esta medida se debe á las reiteradas solicitudes hechas en lord Uxbridge, el cual dicen que es el oficial que se ha mostrado tan k Dieta germánica por el Sr. Screibef á nombre y con poder de los in fogoso en los últimos desórdenes. teresados. ' " El lord Uxbridge se habia dado ya á conocer en ios sucesos de IKGI ATE r RAi. Manches…</t>
  </si>
  <si>
    <t>V'adiilo</t>
  </si>
  <si>
    <t>…as Cortes respecto a la introduc primera vista-, piro esto no puede ser asi, porque, como ci¡o nav bien ción de varios artículos del extrangero en la isla de Sto. Dominao. ayer el Sr. V'adiilo, cuanto mas graves sean ¡os delitos, tantos sr.its me Se leyó la siguiente proposición del Sr. lopez Constante: « Fido á dios se deben dar al delincuente para su defensa; y cuando en una na las Cortes que en virtud del art. 4.0 dei decreto da 19 de Noviembre…</t>
  </si>
  <si>
    <t>V, B.</t>
  </si>
  <si>
    <t>B. V</t>
  </si>
  <si>
    <t>…ados por sus Reyes Cirios vm, Luis xa y aquella mansión de crueldad sin remordimientos un D. Pablo OlaviFrancisco 1! j Aspirarían á la gloria, á las riquezas y al poder, ó de y un D. B. V., que se mató de desesperación pocos anos há. Allí, irian d meterse ermitaños! ¿Cuál era el objeto que se proponía el so en medio de aquel tenebroso laberinto, de donde estaba desterrada la berbio Luis xiv cuando hacia la guerra á toda la Europa, y disputaba p…</t>
  </si>
  <si>
    <t>V, Josef</t>
  </si>
  <si>
    <t>Josef V</t>
  </si>
  <si>
    <t>…uido consejo de Hacienda quedaron pendientes los au trodujo grande economía, y habia abolido ia segunda mesa de su corte. tos remitidos á él en virtud de apelación interpuesta por D. Josef V¡Visitaba las oficinas públicas, y mostraba gran severidad con los em llanueva Vigil, contador de rentas que fue del partido y villa de Marpleados que no cumplían exactamente con sus deberes. Habiéndole pre chena, de la providencia dada por el intendente de Se…</t>
  </si>
  <si>
    <t>V, Josef Calabuig y</t>
  </si>
  <si>
    <t>Josef Calabuig y V</t>
  </si>
  <si>
    <t>…ñíscola D.. Antonio Castellano. Cabrejanp; para Alcoy D. Josef presentación de los títulos , y haciendo lo misino acerca de lo que ha Villegas Cevallos; para Castellón de la Plana D. Josef Calabuig y V,ebía manifestado el Sr. San Miguel en la sesión anterior , con varias le Jlot; para Alcira D. Antonio Martínez Arroyo; para Alcora: D. Ramón yes sancionadas por los Reyes, en contrario de lo que prevenia la del Bernús; para Nules D. Atanasio Pinos y Palos; pa…</t>
  </si>
  <si>
    <t>V, Serrallach</t>
  </si>
  <si>
    <t>Serrallach V</t>
  </si>
  <si>
    <t>…d, reflexióñéñse-todos los gastos' que" oca La misma comisión, habiendo tomado en consideración la opi sionarán en comida , camás,'ropas , nodrizas; y otros empleadosdómésnión del Sr. Serrallach V fue de dictamen que las Cortes podian ser ticos; luego examínese lo que costará la casa de refugio, la escuela de virse-mandar que quedase prohibida la introdurcion de medios luises comadres , eL departamento de conservación , y los agentes para el orden Ó es…</t>
  </si>
  <si>
    <t>Va, Indalecio González del</t>
  </si>
  <si>
    <t>Indalecio González del Va</t>
  </si>
  <si>
    <t>…indicadas en Arquimedes y Frolotneo con una Fernandez de Heredia , D. Ramón Aguirre y Arevalo , Don numeración tan imperfecta, si se compara con la nuestra. Ramón Musitu y Wostér, D. Indalecio González del Va La geometría antigua ño admitía en sus demostraciones lle y Fernandez, D. Joaquín Nuñez y Fernandez , Don sino lo que podía egecutarse con la regla y el compás. MasAgustin de Sesma y Landa , D. Ignacio Ve! unza y Gadea, chsroni, todavía mas severo, quiso no hace…</t>
  </si>
  <si>
    <t>Va, Josgl</t>
  </si>
  <si>
    <t>Josgl Va</t>
  </si>
  <si>
    <t>…de Aguilar, juez primero de primera instancia de que á juicio de S. A. R., los últimos desastres ocurridos en el cgcrcito, Cádiz , por providencia de 6 de Abril, y refrendada por D. Josgl Va hacen imposible la traslación del Parlamento , el cuál tampoco podría lles y Medina , que sea puesto inmediatamente en libertad, sin qne este estar constitucional mente en egercicio sin el concurso del porte r egecu- procedimiento le cause perjuicio ni menosc…</t>
  </si>
  <si>
    <t>Va, Juan</t>
  </si>
  <si>
    <t>Juan Va</t>
  </si>
  <si>
    <t>…tiende vacante ó imposibilidad de este y del intendente; y opinó que debían en este asunto. hacerlas los contadores de provincia. A la de Infracciones de Constitución una queja de D. Juan Va El Sr. Palarea indicó que tratándose aquí de la formación de una liente , residente en I3 Havana, contra el gobernador de aquella plaza nueva ley , debia considerarse como primera lectura. D. Antonio Escudero, por haberle puesto preso en el castillo del Después de…</t>
  </si>
  <si>
    <t>Va, Manuel</t>
  </si>
  <si>
    <t>Manuel Va</t>
  </si>
  <si>
    <t>…, húm. 51, en 36,842 rs. dosado últimaniente-á D. Antonio Martinez; el segundo de 300 pesos, 123 Otra id., núm. 29,en 63,382 rs. señalado con el núm. 83,586 con el último endoso á D. Manuel Va124 Otra id,, núm. 1 , en 14,548 rs. lera; y-el tercero de 150 pesos, señalado con el núm. 271,680 , endo 125 Otra id. , núm. 2, en 1 2,207 rs. sado últimamente á D. Joaquín de la Paliza, condenándose á los te 126 Otra id;, núm. 5 , en 16,525 rs* nedores que f…</t>
  </si>
  <si>
    <t>Vá, Manuel</t>
  </si>
  <si>
    <t>Manuel Vá</t>
  </si>
  <si>
    <t>…corralón de dicha aduana con 4400 rs. personales, y 18 reuniendo á este la comunidad del de Monlesclaios, según está man años dé servicio; y esta resulta, dotada' en 4000 rs. , á D. Manuel Vá dado en el arreglo aprobado de la provincia de Patencia; en Sta. Ga- rela, portero que fue dé la junta de Gobierno de Galicia con 300 du deael de S. Francisco, agregándole los religiosos del de S. Esteban de cados de sueldo en atención á sus distinguidos serv…</t>
  </si>
  <si>
    <t>Va-</t>
  </si>
  <si>
    <t>…o (D. Felipe) por '77.: 9.° el Sr. Larriba por 85: la tribuna y principió la lectura de su memoria; la que á poco tiempo 10 el Sr. Snbrié por 67: r 1 el Sr. Govantes por 70: 12 el Sr. Va- se suspendió con motivo de tenerse que Jeér la contestación al discurso dillo por 72: 13 el Sr, Lorenzana por &lt;52: 14 el Sr. López (D. Mar de S. M. , y concluida esta se siguió leyendo la precitada memoria. cial) por 79: 15 el Sr. San-Miguel por Ó9: 16 el Sr.…</t>
  </si>
  <si>
    <t>…eculación, llegando el abuso basta anunciarse en los papeles públicos los sitios en donde se verifican fuese, nominal. ' . . Se leyó el dictamen de la mayoría de la com'sion, f el Sr. Va- los juegos, ejecutándose también clandestinamente el llamado rulet», dillo pidió se expresase quiénes eran las autoridades que menciona que causó la destrucción de tantas fortunas en tiempo del Gobierno in ba ademas de los Sres. Escovedo y Velasco. truso. La…</t>
  </si>
  <si>
    <t>Vaca, Manuel Muñoz</t>
  </si>
  <si>
    <t>Manuel Muñoz Vaca</t>
  </si>
  <si>
    <t>…la comisión no coriiente relativa á la exposición de los gefes nombrados defensores de ha tenido otras bases para la asignación de sueldos que la población, ó D. Epifanio Combay, D. Manuel Muñoz Vaca, comandante de es sea el número de diputados que le corresponda; bases que en mi con cuadrón, y D. Antonio Gallarza, capitán, todos del regimiento da cepto no son suficientes, porque hay razones muy fuertes para que el caballería del Príncipe, habia acollado…</t>
  </si>
  <si>
    <t>Vacaro, Antonio</t>
  </si>
  <si>
    <t>Antonio Vacaro</t>
  </si>
  <si>
    <t>…edor de él: tomad la parte que os cor El comandante del apostadero de marina del Callao, responde en todos los bienes que produce; pero evitad toda brigadier de la armada nacional D. Antonio Vacaro , en reconvención de parte de vuestros hermanos. La república oficios de 23 de Febrero -y 20 de Abril últimos, recibidos no quiere conquistas sangrientas, y solo aspira á la de los por ei correo marítimo, que llegó al puerto de Cádiz el dia corazones. Al que…</t>
  </si>
  <si>
    <t>Vacederá</t>
  </si>
  <si>
    <t>…erno para que le diese el curso correspondiente. jo familias de las comprendidas en la capitulación respectiva, se pro ,E1 de la segunda de Legislación en vísta de la solicitud de D. Vacederá al establecimiento formal de la población, jurando todos la lentin de Foronda, ex-cónsul general que fue de los Estados-Unidos, Constitución política de la Monarquía espadóla en manos de las per en la que manifestaba la persecución que habia padecido por la c…</t>
  </si>
  <si>
    <t>Vad</t>
  </si>
  <si>
    <t>…h cierpo idtl ’dtljtog éocKé, sirio, dé'diá' sigiiiendo después el artículo en la manera. que puesto que asi se llamado que está sujeto; á-ia aprehensión^ fíe aprobado. • . - : El Sr. Vad illqr expuso- que tan: inexacto- era decir- cnerpo del delito' ' El ’Sr. Saiícho propuso que después de la palabra /&lt;* ruó/ se añadiese como efectos -' dél delito ,' ppr la rniimá -razón- de -que lokslditos- son g acto continuó'. Sé aprobó. actos.' Ai'átt. 3.…</t>
  </si>
  <si>
    <t>Vaddio</t>
  </si>
  <si>
    <t>…una adición á este artículo diciendo que los trasportase cualquier género extrangero debia llevar guia. cuartos de los particulares q le habiten en él serán respetados , es muy El Sr. Vaddio manifestó los perjuicios que se seguirían á los traji diferente; pero por lo demas creo que debe aprobarse este artículo. nantes de obligarles á sacar guias-, y que no siendo precisa esta circuns Se declaró este asunto suficientemente discutido , y el Sr. Zap…</t>
  </si>
  <si>
    <t>Vadibo</t>
  </si>
  <si>
    <t>…espués de cometido. Yo creo que de delito, debía imponérseles ia misma pena , y suprimirse una de eiias. en efecto lo es, porque aunque el delito esté ya cometido , coopera por El Sr. Vadibo manifestó que aunque las palabras fautores y auxi su parte , ó á ocultarlo , ó á aprovecharse de las consecuencias de! deli liadores significasen dos cosas distintas , teman tanta relación entre sí, to ; y por esto mismo debe quedar el artículo en los término…</t>
  </si>
  <si>
    <t>Vadiilo</t>
  </si>
  <si>
    <t>…icultura. En el remande Valencia El Sf. presidente dijo que se continuase la discusión sobre señoríos. pagaii todos ios frutos de tres partes una al señor, y se obliga al honra El Sr. Vadiilo pronunció un largo; enérgico y elocuente discurso, do labrador, que con su sudor ha regado la tierra , á llevar á casa del fundado en sólidas razones, apopando él dictamen de la comisión. -*•;•* señor toda la cosecha para que escoja; este le dice: »» súbela a…</t>
  </si>
  <si>
    <t>…iva al repartimiento de baldíos. Habiendo manifestado el Art. 194. ss Todos los subalternos y depencientes de las Cortes es Sr. Moreno Guerra que una indicación que habia hecho el Sr. Vadiilo tarán bajo las órdenes de esta comisión en el egercicio de sus funciones sobre este asunto producirla mayores efectos , por lo cual opinaba de excepto la secretaría en las de su instituto. £1 presidente comunicará bía suspenderse este dictamen, se acordó asi.…</t>
  </si>
  <si>
    <t>Vadilio</t>
  </si>
  <si>
    <t>…so que no corresponden á la confianza del Congreso, creo que debe manifestando su dictamen. De Real orden io comunico á V- S. para aprobarse esta proposición. su cumplimiento.” Et Sr. Vadilio apoyó la proposición , manifestando que aunque es Y lo traslado á V. S. para su inteligencia y efectos consiguientes, taba persuadido de que los Sres. déla comisión no perdonarían medio sirviéndose V. S- -darme aviso del recibo. Madrid z.° de Diciembre ni fat…</t>
  </si>
  <si>
    <t>…éndose que ‘tenga todas las circunstancias .gtmo de estos casos deba haber mas que un juicio sumario coa arreglo . y formalidades correspondientes. al código de procedimientos. El Sr. Vadilio hizo varias reflexiones para apoyar el artícuto, y E1- Sr. Calatrava expuso que seria conveniente suspender por ahora • manifestó entre otras cosas que el condenado á trabajos perpetuos tenia la aprobación de este artículo; y asi se resolvió. . , en su mano e…</t>
  </si>
  <si>
    <t>VadilJo</t>
  </si>
  <si>
    <t>…que re Art. 119. « Estas casas no deberán estar precisamente en la capital, tractasen sus declaraciones. y el Gobierno podrá establecerlas en otros puntos de la provincia que El. Sr. VadilJo, después de haber contestado al argumento .de! señor ofrezcan mas ventajas y comodidades para la curación de ios locos. preopinante, dijo que ahora no se trataba de la pena que debía impo Art. izo. «En estas casas las mugeres tendrán un departamento nerse al…</t>
  </si>
  <si>
    <t>Vadilld</t>
  </si>
  <si>
    <t>…dido en cinco par Se mandó pasar á la comisión de Diputaciones provinciales con ur tes , de las cuales se excluyeron las dos primeras, y se aprobaron las gencia una indicación del Sr. Vadilld, relativa á que se autorice á las siguientes: 3.a » El tribunal conocerá en las apelaciones que se inter diputaciones provinciales para que por medio de un repartimiento ve pusieren con arreglo al art. 24.” 4.a »&gt; Propondrá á las Cortes con su cinal concurran…</t>
  </si>
  <si>
    <t>Vadillo</t>
  </si>
  <si>
    <t>…Julio hasta el presente. . hiciera por escrito, pasó á realizarlo. „He hallado á estas potencias irrevocablemente' determinadas á no En seguida se leyó la Indicación siguiente del Sr. Vadillo: » Que admitir el estado de cosas originado de estos acontecimientos, co se comunique inmediatamente la orden oportuna al Crédito público mo tampoco nada de’cuanto pueda en adelante resultar délos mis para que mande suspender la venta de las tierras perteneci…</t>
  </si>
  <si>
    <t>…islación , seis egemplares de un plan de gasrosmunicipales , for Las Cortes no permitieron que se retirase este digno diputado, y mado por un ayuntamiento , y dirigido por este al señor Vadillo para después de una ligera discusión se decretó que quedase extineuido el que lo presentase. tribunal de la Inquisición ; que las causas y papeles se colocasen en 1*' El Sr. Díaz Morales manifestó lo mucho que convenía hacer efec sala de manuscritos de la bib…</t>
  </si>
  <si>
    <t>…y para la aprobación de - . A la de Diputaciones provinciales una exposición del ayuntamiehla sentencia. to constitucional de la villa de los Angos, provincia de Navarra , soli El Sr. Vadillo apoyó el dictamen de la comisión; y para corro citando permiso para hacer un reparto, en atención á la escasez de sus borar lo que habia dicho el Sr. Romero Alpuente , manifestó haber fondos municipales. El presupuesto de gastos, remitido por la dipu- \ visto…</t>
  </si>
  <si>
    <t>…órivéñiáá la Nación era que el espíritu de esta de la violencia ó de las circunstancias. milicia fuese bueno, y tuviera en ella,un apoyo el actual sistema.. ARTICULO DE OFICIO. El Sr. Vadillo insistió en.que debia ¿clararse esta idea, porque aunque en el dia parecía de poco momento, en lo sucesivo podría dar ocasión í Por el ministerio de Gracia y Justicia se ha comunicado al de la grandes dificultades. El Sr. Romero Alpuente fue de la misma opini…</t>
  </si>
  <si>
    <t>…ión para que no se obstinasen por mas tiempo, de con agrado , y que pasase al Gobierno ; y asi se aprobó. la cual se leyó copia ; y concluía.diciendo que en el dia siguiente de El Sr. Vadillo entregó una representación del ayuntamiento consti bía intimarse la rendición , y caso de no ceder á ella se iba á atacar tucional de Sanlúcar de Barramedá , pidiendo se le librase de un dere inmediatamente. cho que se le exige , y se aclare la ley de 8, de N…</t>
  </si>
  <si>
    <t>…l el estanco por los cortísimos perjui después de las palabras elaborados las siguientes y por elaborar. cios que se siguen de esta operación, ; se querrá suplir esta renta con El Sr. Vadillo leyó un discurso, en el que impugnando el de la co el eravamen que se imponga á las demas clases del Estado, cuando misión , proponía algunas mejoras sobre e! tabaco y la sal, mani este producto no es de primera necesidad ? Yo creo que no debemos du festando…</t>
  </si>
  <si>
    <t>…ente accederá lo que de -esternsunto. Uespues de unacorta discusión se declaró1 no haber lugar sea dicho Sr. preopinante. -- :. ... &gt; -á: deliberar" acerca de dicha- Solicitud, -i Sr. Vadillo dijo: Yo ncvsé cómo&gt;cpnformándose loásañores de 'El--No sendmitieron á discusión dos indicaciones del Sr. Sánchez Sál- la comisión en que hay perjuicios en el estanco déla sal, nos le pro -vador, relativas ú-qué se previniese- al Gobierno no i proveyese , en…</t>
  </si>
  <si>
    <t>…os electores que los de diputados á Cortes, y en otra estación del bajando los empleados como correspondía. año drstinta; lo cual me parece que no se opone á la Constitución, puEl Sr. Vadillo dijo: me parece que el número de empleados que se diendo también ser elegidos por los ayuntamientos, ó enviar estos á ca pone es suficiente; pero no asien la sección de cuenta y razón, en don da cabeza de partido uno de sus individuos. de habrá mucho que trab…</t>
  </si>
  <si>
    <t>…es de gefes pleados , atendiendo á su carácter y decoro, se les dé el sueldo .que se políticos é intendentes, puesto que esta reunión no la habian aprobado propone. las Cortes. El Sr. Vadillo dijo: por el art. 13 se dice que las viudas y huérfa , El Sr. Sierra Pambley manifestó la necesidad que habia de estable nos de los empleados gozarán pensiones sin que sus padres ni maridos cer estas direcciones de provincia pata desempeñar Jas funciones enca…</t>
  </si>
  <si>
    <t>…mos de convertir los empleos en beneficios simples; v oue Se leyó el art. 303. (Véase la gaceta de ayer'). cuando se sepa que se ha introducido un contrabando, á los ernoieados El Sr. Vadillo dijo ;,ss expresó ayer que esta medida que se prppo- que deberían vigilar sobre el parage por donde pasó se les castigue lo ne para evitar el contrabando es un medio, por el cual, extinguiéndo mismo que á los soldados que abandonan su puesto. se este, se fome…</t>
  </si>
  <si>
    <t>…de su orden, que fueron suprimidos , con los que completará el nú este ramo, no lo habia podido conseguir. mero de 24 individuos; y que en Málaga subsista también el de la pro £1 Sr. Vadillo dijo: desearía saber si el presupuesto de gastos de pia religión, trasladando á él los 12 individuos, dei de Granada y Va marina, perteneciente á sueldos, armamento de buques &amp;.C., se ha pagado lencia, que igualmente se suprimieron. De orden de S. M. lo parti…</t>
  </si>
  <si>
    <t>Vadíllo</t>
  </si>
  <si>
    <t>…mos que en el expediente instructivo sobre preservación de los virtud de la del Sr. Corominas.” Aprobado. -bienes de la iglesia por indotacion del clero actual, de que habla el El Sr. Vadíllo propuso que en las obligaciones dadas á papel, cu art. 5.° adicional, se oiga per el comisionado del Crédito púbhco al yos derechos de registro hubiesen de satisfacerse en metálico según dis ayuntamiento constitucional, y remita su informe á &gt;1 superioridad.”…</t>
  </si>
  <si>
    <t>…ondos, Asimismo se leyó el1 dictamen déla comisión de Diputaciones y para auxiliar profesores indigentes y algunos que Viajan fuera, 50ÓO. provinciales acerca de la indicación de! Sr. Vadillo, relativa al modo Para fomentar la publicación dé obras útiles aoo9. Total 2.503,157 rsí de cubrir los gastos para el repartimiento destérrenos baldíos , que tam Fomento de agricultura , artes y comercio. bién se tuvo por segunda lectura. Dirección del foment…</t>
  </si>
  <si>
    <t>…ara la ca; correos, caminos, canales, y formación de la carta general de Es instrucción de la juventud. paña; aprobándose asimismo el voto particular del Sr. Azaola , re:ati-vo El Sr. Vadillo dijo que llamaba la atención de las Cortes hacia un a que el Gobierno cuidase de la distribución del presupuesto de cami asunto muy desagradable y de la mayor consecuencia, cual era la es nos, oyendo á la dirección del mismo ramo, para atender á las carre can…</t>
  </si>
  <si>
    <t>…formación ce dado á la ¡unta de reemplazos, y asimismo el estado del expediente, y ni para la liquidación. la procedencia de las diferentes cantidades que se hajjían tomado en El Sr. Vadillo dijo: Iba á manifestar lo mismo que ha dicho el se Francia. Que con respecto á estas habia dado el Gobierno en aquel ñor tecietario de Hacienda En esta discusión hay dos cosas q.;&lt;* no de tiempo comisión particular á I). Víctor Soret, y que este había presen…</t>
  </si>
  <si>
    <t>…extrange se volverán en contra suya si se aprueba este artículo, y por lo mismo ros sobre los nacionales. creo que se está en el caso de adoptar en esta parte el dictamen de la El Sr. Vadillo : Lo que el Sr. Banqueri ha manifestado está preci comisión de Aranceles. samente en contradicción con el espíritu del artículo. Dice S. S. que la El Sr. Murfi contestó al Sr. Yandiola; y habiéndose declarado el comisión por lo que establece en él, trataba de…</t>
  </si>
  <si>
    <t>…opinaban sus dignos compañeros, porque tra moneda los reales de vellón efectivos, y no nominales ni imaginarios.” tando las Cortes de dar por todos medios el impulso que necesi El Sr. Vadillo preguntó si con respecto á los buques extrangeros, ta la marina española, se le privaba con esto de un lucro que podia con con quienes hemos adoptado la reciprocidad , han de tratarse en Es tribuir mucho á su restablecimiento. Con este motivo recordó una re p…</t>
  </si>
  <si>
    <t>…tículo, alas que E! Rey se ha .servido admitir la renuncia que ha hecho el teniente contestó) el hr. Rovira. general marques "dé la Reunión del mando militar de la provincia de El Sr. Vadillo: Si las Cortes no aprobasen el que hubiese depósitos, Cádiz en atención al quebrantado eslado de su salud: y ha tenido á seria lo mismo que decir que el fomento nacional seria nulo, y si no bien conferírsele, juntamente con el gobierno de dicha plaza, al mari…</t>
  </si>
  <si>
    <t>…que se pudiesen sacar estas guias, para no subir las inco etnunclatt. modidades á que daría lugar la sospecha de que los géneros que se lle vaban eran extrangeros. V-UMESO 345. El Sr. Vadillo hizo varias reflexiones sobre este asunto , v fue de Opinión que los Sres. de la comisión debían suspender este articulo has En la provincia de Salamanca , procedentes del suprimido •nona t:' ;- Je ta que se presentase otro decreto, del cual parece que esta e…</t>
  </si>
  <si>
    <t>…núme blioteca 12 egemplares impresos de un discurso formado y remitido á ro de oficiales y militares de toda graduación franceses, alemanes, sui la secretaría de las mismas por el Sr. Vadillo, relativo á los mediosde zos y aun prusianos. Parece que entre estos últimos es muy ardiente y fomentar la indus ria española y reprimir el contrabando. general en todo el reino el entusiasmo á favor de la causa de Jos griegos. • D. Marcos Carvajal presentó á…</t>
  </si>
  <si>
    <t>…r. Gareli apoyó lo que habia expuesto el Sr. Moscoso, ma cual podian y debían comprenderse estos gastos. nifestando entre otras cosas que toda obra, cuya protección dependía ds El Sr. Vadillo dijo que este artículo era el mas interesante del plan varias corporaciones, generalmente hablando, no tenia ni la activi atendiendo á las actuales circunstancias, porque en Cádiz, que era el dad ni el fomento que aparecía á primera vista, lo cual se habia ve…</t>
  </si>
  <si>
    <t>…proceso, se entorpecerá notablemente la lectu creía que servirla para la mayor instrucción de los reos. ra, y el resultado será que se gastará mas tiempo que el que se inverti El Sr. Vadillo: Me parece que examinado el expediente, como rla en instruir como corresponde á estos reos, y nunca tendrán la yo lo he hecho, no hhy un medio mejor de conciliar la pronta admi instrucción que corresponde. Asi que, teniendo presentes todos los in nistración d…</t>
  </si>
  <si>
    <t>…men de la comisión. tes que presenta Santander no debia estar la capital en Pamplona, y Su capital Sevilla. sí en Búrgos. La comisión lia conocido esto mismo , y prueba de ello El Sr. Vadillo: La residencia de la capitanía general no ha sido es lo que dice en su dictamen ; á saber : » Sin embargo , en la nueva siempre Sevilla, sino que lo fue el Puerto de Sta María. Conside forma que se da al distrito militar, que abraza la parte occidental de ran…</t>
  </si>
  <si>
    <t>…las Cortes; una exposición de los trasportes, ó de cualquiera trato de género prohibido.” sargentos segundos del balallon ligero de Bailen , acerca de que se les Habiendo hecho el Sr. Vadillo algunas rcllexiones en contra del aumente su haber con proporción á los de igual clase de infantería de mismo , el Sr. conde de Toreno , después de una corta discusión, d'j° lima; y un oficio del Sr. secretario de la Guerra acerca de las dudas que seria muy c…</t>
  </si>
  <si>
    <t>…utiendo artículo por artículo; y en el que trata, sentase á su discusión. Se mandó pasar á la comisión. v. gr. , de la pena de muerte, podria hacer todas las reflexiones que tu El Sr. Vadillo dijo: Uno de los argumentos que ha hecho el Sr. Ló viese por convenientes. Tal vez con muchos artículos no me conforma pez ( D. Marcial ) contra este proyecto es que debia preceder á esta dis ré, y cuando se trate de ellos expondré las razones en que me fundo…</t>
  </si>
  <si>
    <t>…as inquietud que en la bre fue nombrado este general , y en 4 de Noviembre recibió el Go batalla de Tolosa. bierno por extraordinario noticia del comandante general interino de El Sr. Vadillo: No existiendo proposición sobre que recaiga la dis Cádiz, déla sensación que había causado esta elección allí, diciendo cusión,- tomo la palabra únicamente para rectificar algunos hechos im que habia sido recibida con desagrado, en razón de que se dudaba de…</t>
  </si>
  <si>
    <t>…uchos argumentos los que han sido juzgados sin que hayan te acción prohibida por la ley con ciertas penas. nido derito. Por mi parte puedo asegurar que en la persecución que su El Sr. Vadillo pidió que se preguntase si estaba el punto suficien frí en los años pasados encontré en esa definición, qué contiene la ley temente discutido; y habiendo resuelto las Cortes por la afirmativa, sí de partida, un argumento el mas irresistible para mí, y al que…</t>
  </si>
  <si>
    <t>…13 este oficio y otro recibido en este dia, dando igual noticia con respec de la manera que he indicado. to al de ayer, declararon las Cortes que lo habían oido con particular El Sr. Vadillo dijo que habia una necesidad indispensable de esta agrado. blecer en el código penal lo que era culpa y loque era delito, por El Sr. presidente dijo que mañana se discutiría el dictamen de la que de lo contrario sufrirían mucho algunos reos , porque tal vez l…</t>
  </si>
  <si>
    <t>…el orden en ningún caso se admitirá &amp;c. no tenia toda la claridad necesaria ; por público. „ , • . ■ , • i lo cual debería ponerse en otrós términos, haciéndose mérito, no solo El Sr. Vadillo manifestó que la comisión hacia ya la-excepcion de de la adición del Sr. Gil de’Linares, sino también de otra que dijese^ que no debían ser castigados con tanto rigor los extrangeros , en ra que estaban exceptuados los casos en que se atentase centra la relig…</t>
  </si>
  <si>
    <t>…n pais se de las, leyes de esta Nación, en este solo hecho incurriría en una extrangero, ó cometiese en él un delito relativo á la sociedad españo culpa, como ha dicho muy bien el Sr. Vadillo. Sin embargo de esto se la, convengo en qpe deberia ser juzgado por nuestras leyes; pero de les tiene la consideración de no aplicar las penas á los delitos que co otfo modo no creo que deba ser asi, y por io mismo opino que debe metan , sino como se fija en…</t>
  </si>
  <si>
    <t>…porque entonces seriamos adi vincia señale V. S. á los ayuntamientos de la misma el término conve vinos. niente para que bajo la multa que V. S. les imponga den concluidos los El Sr. Vadillo : La comisión al redactar este artículo lia conside expedientes de que se trata. Madrid 26 de Noviembre de 1811.” rado tres cosas: i.3 el mal que causa á la sociedad la egecucion de un Representación cjue la diputación provincial de Navarra dirige áS. M. deli…</t>
  </si>
  <si>
    <t>…s que debia imponerse mayor pena al que mandaba cometer un delito que to que la comisión io presentaba redactado en los términos que se al que lo aconsejaba ; á Jo que contestó el Sr. Vadillo que muchas ve debía. ces el consejo solía ser mas funesto que no el mandato, según las cir El Sr. San Miguel: No reproduciré las razones que según manifesté el cunstancias particulare* que podia haber; y que siendo casi impercepti otro dia había en mi concept…</t>
  </si>
  <si>
    <t>Vádillo</t>
  </si>
  <si>
    <t>…alguá auxilio* if noticias’ para que se conserven, precavan ó salven. nas excepciones.ep este.artículo,; X &lt;»»JjO§srécépMdorésy encubridores serán castigados con las dos ¡. ter El Sr. Vádillo: Uno de lós delitos,.mas enormes, y que son más ceras partes V&gt; ia mitad de la pena que la ley prescriba contra los auto-; trascendentales ala .sociedad-, es el;abrigar á los delincuentes; veamos tes 'del delito respectivo, eíx¿epto cuándo la misma ley dispon…</t>
  </si>
  <si>
    <t>VadiLlo</t>
  </si>
  <si>
    <t>…er la pará suspender la discusión? ¡ Es acaso un problema de política el que ■ instrucción que corresponde. hay que resolver? Extraño mucho que se pida esta suspensión , cuando El Sr. VadiLlo convino con los señores que apoyaron la proposi hace dos ó tres dias que muchos Sres. diputados dijeron que se reco- ción , manifestando que él tenia un ínteres, mayor tal vez que otros, en . mentíase á la comisión él pronto despacho de este negocio. Por otro…</t>
  </si>
  <si>
    <t>…na, porque solo servia para provocar á nuevos delitos; añadiendo que sabiduría é ilustración del Congreso. habia visto algunas veces lievar á presenciar la egecucion de alguna El Sr. Vadillo dijo que la comisión no habia entrado á examinar sentencia á algunos hombres que estaban comprendidos en la ir.Erna si la pena de muerte era ó no utd, porque estaba persuadida qu: esta causa, y lejos de aterrarlos ei triste esp.-ctículo que estaba en su vista…</t>
  </si>
  <si>
    <t>…o. = Diego Tudela , sargento segundo—Tiburcio Peral festaba en este artículo, por lo cual debia desaprobarse. ta, sargento segundo—Juan Josef Pellicer, sargenlo segundo.=Cárlos El Sr. Vadillo reprodujo las razones que había manifestado ante Aperte, sargento segundo.e=Mariano Albericio, cabo primero. = Josef riormente, y añadió que podía suceder también que muchas personas Aznar , cabo segundo.=Por la clase de milicianos de la quinta compa ño salie…</t>
  </si>
  <si>
    <t>…, y que siendo una pena grave debia aplicar corporal la de infamia.’' Aprobado. se á los delitos de esta clase. Se dió cuenta de haber nombrado el fr presidente para la diputa El Sr. Vadillo indicó que en el art. 30 se consideraba esta pena ción que ha de llevar el mensage á S. M á los Sres. Giraldo, Cortés, como corporal para todos los efectos civiles; y que por esta razón se Cepeda', NavarrcU, Lazar a , Alanzanilla, Loizaga , González Ai ende,…</t>
  </si>
  <si>
    <t>…á lo menos el párrafo 3." volviese á la comisión paraproporcionados á cada uno, según la posibilidad de la casa y el dicta que lo expresase mas terminantemente.men del médico. El Sr. Vadillo contestó que el Sr. preopinante podría expresar el Art. 123 «Habrá un director, á cuyo cargo estará la parte econó modo con que debería estar redactado el artículo, y que la comisión lomica de la casa , como también la gubernativa en. todo lo que no tu lomarí…</t>
  </si>
  <si>
    <t>…habrá precisión de dar unos sueldo* ro, ó el menos grave de todos. exorbitantes á un sinnúmero de empleados. » Para Ja calificación del grado atenderán los jueces de hecho i ia El Sr. Vadillo manifestó los perjuicios que se seguirian de dejar ce mayor ó menor gravedad, y al mayor ó menor número de las circuns santes á una porción de empleados, y m«s considerando que mucho* tancias que agraven ó disminuyan el delito, conforme i la disposición de el…</t>
  </si>
  <si>
    <t>…do tan parcial ó .mas que cualquier tribunal. No citaré ios actuales esto no haré mas que una observación sencilla; á saber: una nación, jurados de Francia, que, como dijo ayer el Sr. Vadillo , son mas bien que debe considerarse con la capacidad necesaria para, recibir un siste comisarios que jurados, siendo todos empleados del Gobierno: tampo ma absolutamente liberal, debe considerarse también con igual dispo co los de la época de la revolución f…</t>
  </si>
  <si>
    <t>Vadillo, Josef Manuel de</t>
  </si>
  <si>
    <t>Josef Manuel de Vadillo</t>
  </si>
  <si>
    <t>…s abusos. Discurso sobre los medios de fomentar la industria española , y con Extenderé esta máxima hasta sobre el zelo con que se emplean en tener ó reprimir el contrabando , por D. Josef Manuel de Vadillo , di sus operaciones algunos anatómicos deseosos de instruirse; los anfitea putado á Cortes por la provincia de Cádiz. En esta obrita, que se com tros anatómicos deben ser muy vigilados. Consideraciones tomadas de pone de 10 pliegos, se hallan Jas ideas mas s…</t>
  </si>
  <si>
    <t>Vadillo.dijo</t>
  </si>
  <si>
    <t>…dquindo á cos - úrio. s Fermín Gil ta del sudor de su rostro , es no solamente injusto „ sino cruelísimo. Por tanto mandamos áitodos los tribunales , justicias , géfes-, gobér- El Sr. Vadillo.dijo que no se perjudicaba á los deportados, , como nadores y dcnns autoridades, asi civiles como militares y ’eclesiasu'cas, habla dicho el .Sr. preopinante, privándoles de todos sus derechos civi ,de cualquiera clase y dignidad , que guarden y hagan guardar, cum…</t>
  </si>
  <si>
    <t>Vadillos, Diego</t>
  </si>
  <si>
    <t>Diego Vadillos</t>
  </si>
  <si>
    <t>…Península la Real orden siguiente-. en propiedad para dos plazas de ministros del tribunal supremo de Jus ,, Excmo. Sr.: En conformidad de lo que se previene en la ley de ticia á D. Diego Vadillos y á D. Andrés Oller ; y para fiscales á Don 25 de Octubre de 1820, y con presencia de lo que han manifestado el uan de ¡a Dehesa y á i'. Aíanuel Encina. M. R. cardenal arzobispo de Toledo y el Gefe político de la provin Asimismo ha tenido á bien nombrar para…</t>
  </si>
  <si>
    <t>Vairo</t>
  </si>
  <si>
    <t>…s no se dá el ex-ministro de Justicia, el-general Cofetla , el general Petrinelli,que priesa á tomar ést?, medidas , más tarde va no.será tiempo. ■fue gobernador de Ñapóles &gt; y el general Vairo.! • Es verdad que la Rusia y el Austria podran-disculparse , recordan . Todavía está aquí la; escifádriltá-francesa-, - v-muchós de los buques do al noble marques su Conducta éri Vieni , eñ Parj-s y eti Aix-la-Cha^ que componían la escuadra inglésaísejian dir…</t>
  </si>
  <si>
    <t>Val, Angel</t>
  </si>
  <si>
    <t>Angel Val</t>
  </si>
  <si>
    <t>…na nación mitírsela, uombrando para que desempeñe interinamente dicha secretaría extrangera. Con respecto á las precauciones que se dice que deberá to del Despacho de Hacienda , á D. Angel Val e¡o, oficial de la de la Go mar el Gobierno para dar estas guias, no son otra cosa que el averiguar bernación de ia Península, por las recomendables circunstancias que le si en efecto el individuo que la pide lleva aquellos géneros, y el evitar adornan.” que…</t>
  </si>
  <si>
    <t>Val-, Manuel</t>
  </si>
  <si>
    <t>Manuel Val-</t>
  </si>
  <si>
    <t>…sión del diccionario latino dé este nombre; que la derable de contadores como en el día tiene , ‘pues sólo debería tem-r los segunda parte del diccionario estaba ya impresa; y que D. Manuel Val- suficientes para que hubiese dos salas, en las cuales ios gefes pud.eran buena, estaba achacoso y era hombre de edad, y ademas habia padeci reconoCeó las operaciones de los'subalternos , porque interviniendo esta do mucho por la causa de la libertad, pues hab…</t>
  </si>
  <si>
    <t>Valbuena, Bernardo de</t>
  </si>
  <si>
    <t>Bernardo de Valbuena</t>
  </si>
  <si>
    <t>…autoridad documental, que no podrán Siglo de Oro en las selvas de Enfile , y la grandeza mexicana: obras contrarestar sino con efugios, sutilezas , comentarios é interpretacio de D. Bernardo de Valbuena , obispo que fue de Puerto-Rico: edi nes. Las citas que expondremos servirán unas contra los alucinados es ción , corregida por la academia española: lleva un retrato del autor. pañoles solamente , y otras contra cuanta casta de no-liberales vejeta Siendo muy…</t>
  </si>
  <si>
    <t>Valbuena, Manuel</t>
  </si>
  <si>
    <t>Manuel Valbuena</t>
  </si>
  <si>
    <t>…El Sr. Tapia hizo presente que en la secretaría ó en la comisión da porque siendo un tribunal, deberán ser propuestos sus individuos por el Hacienda debía existir una solicitud de D. Manuel Valbuena sobre consejo de Estado, asi como se verifica con todos los demas maVistradós. que se le Continuase la pensión de 69 rs. que el Rey le habia concedi Por otra parte no puede ponerse en un tribunal un número tan consi do para la impresión del diccionario latino…</t>
  </si>
  <si>
    <t>…insurgente lo desembarcó, asi como á los demas paA la ordinaria de Hacienda se mandaron pasar una exposición de sageros, en la coda de la gran Canaria, desde donde se volvió á em D. Manuel Valbuena acerca de que se le pague una pensión que riene barcar, y siguió su viage hasta esta capital; y encontrando Ja comisión consignada sobre los fondos de temporalidades , y otra del marques de comprobado todo lo referido con varios documentos, y asegurada por Ca…</t>
  </si>
  <si>
    <t>ValCalcel, Melchor Diaz</t>
  </si>
  <si>
    <t>Melchor Diaz ValCalcel</t>
  </si>
  <si>
    <t>…con poder bastante, á exponer lo que les convenga como interesados que son en los autos de testamentaría y con VARIEDADES. curso de acreedores formados por fallecimiento del Lie. Don Melchor Diaz ValCalcel, alcalde mayor que fue de la notada En el Observador austríaco se inserta la carta si villa, y que se les cite para una información propuesta en di guiente: chos auto&gt; por la viuda del mismo; prevenidos que de no ha «En Lilietz, aldea poco distante de Buchare…</t>
  </si>
  <si>
    <t>Valcarcel</t>
  </si>
  <si>
    <t>…s que producirá á la Nación el establecimiento ca de los límites de las provincias de Bilbao, S. Sebastian y Vitoria. de gefes políticas en ¡as provincias nuevamente formadas. Del Sr. Valcarcel acerca de la provincia de Villafranca. El Sr. Priego: ' on tan obvias las observaciones que han hecho los De los Sres. Carrasco y Marrel acerca de los de la de Salamanca. Sres. preopinantes contra este artículo, que me parece que no puede Del Sr. López acerca…</t>
  </si>
  <si>
    <t>Valcárcel, Antonio</t>
  </si>
  <si>
    <t>Antonio Valcárcel</t>
  </si>
  <si>
    <t>…idas en otro tiempo vincia de Sta. Fe; D. Martin deHinojosa, por la de Salamanca; Don á Mr. de Nieuwenhuicen por la módica suma tfc.79. Manuel Benito Lorenzana, por la de Galicia; D. Antonio Valcárcel, Dibujos y grabados. Los l ibreros Rodsvel y Martin , en I.óndrés, por la de León , y D. Angel Govantes , por la-de Burgos. 3.0 El señor publican por entregas las colecciones siguientes de vistas pintorescasD. Juan Manuel Subrié, diputado por la provincia de…</t>
  </si>
  <si>
    <t>…taría cuan disparatados fueron ron el ayuntamiento, las demas autoridades y todos los oficiales reti por la mayor parte sus decretos: explicó pues el contenido de muchos rados, el comandante D. Antonio Valcárcel exhortó á sus milicianos de ellos; y después de algunas observaciones, concluyó diciendo que según reglamento; y en seguida volvió el batallón con el mayor or respetando las Cortes las propiedades de los individuos de la Nación, no den y entusiasmo á la plaza…</t>
  </si>
  <si>
    <t>Valdearenas, Josefa Gabriela</t>
  </si>
  <si>
    <t>Josefa Gabriela Valdearenas</t>
  </si>
  <si>
    <t>…sas, de id. En Lucena en la de D- Juan. .derecho, por la sentencia de la chanoillería á los que le puedan Turrull , de id. En Andujar en la de D. Angel Stella, de. tener mejor que Doña Josefa Gabriela Valdearenas. id. En Palma de Mallorca en la de D. Juan Veirer, de El tribunal especial de Guerra y Marina ha mandado se ci id. En Cuenca en la de D. Valentín Mariana, librero. En te y emplace por medio de la . gaceta del-Gobierno á Doña Ma ría Campani, viuda de D. Ramón…</t>
  </si>
  <si>
    <t>Valdemoros, Mateo</t>
  </si>
  <si>
    <t>Mateo Valdemoros</t>
  </si>
  <si>
    <t>…Cortes quedaron enteradas. Despacho de Estado á D. Eusebio Bardají; para el de la Goberna Se leyeron por segunda vez las seis proposiciones presentadas por ción de la Península á D. Mateo Valdemoros; para el de la de Ul el Sr. Zorraquin en la sesión del dia 2 del corriente; á saber: que se tramar á D. Ramón Fellú ; para el. de Gracia y justicia á D. Vicente suspenda por ahora en Madrid el alistamiento general que previene eL Cano Manuel: para el de Hacie…</t>
  </si>
  <si>
    <t>…bahía de Ñapóles, con dirección , según unos, á Civitavechía, de la secretaría de la Guerra, en que participaba que habiendo hecho : y según otros á los mares de Sicilia, presente D. Mateo Valdemoros la imposibilidad en que se hallaba por la Cámara de los Paras de Francia habia terminado el informe, so estar enfermo.de encargarse del ministerio de la Gobernación de la bre la causa de Agosto, resultando 34 reos de los 75 individuos acu Península, habia ven…</t>
  </si>
  <si>
    <t>…cional, del Rey en castellano, según acordaron las-Cortes en la prestado el juramento prescrito por la' Constitución antes de tomar po pasada legislatura.” sesión de su ministerio D. Mateo Valdemoros, secretario del Despacho ■ Se leyeron por primera vez las siguientes proposiciones, una de los de la Gobernación de la Península. Las Cortes quedaron enteradas. Sres. Laíjave (D. Pablo), Michelena, Couto, Ramos Arispe, López Después de haberse nombrado al Sr.…</t>
  </si>
  <si>
    <t>…ene tales ideas? Si el consejo de Estado ha bricado de la Real mano.— En Palacio á 14 de Marzo de 1821. zx A concedido el pase á las bulas , no puedo menos de decir que ha dado un D. Mateo Valdemoros.” paso muy perjudicial. ANUNCIOS. El Sr. Romero Alpuente dijo que el dictamen de la comisión en Mercurio de España. Enero de 1821. Véndese á 4 rs. en el des realidad nada decía de lo que debian hacer las Cortes: que no había pacho de la imprenta Nacional. Se…</t>
  </si>
  <si>
    <t>Valdemóros, Mateo</t>
  </si>
  <si>
    <t>Mateo Valdemóros</t>
  </si>
  <si>
    <t>…án graduado de ingenieros, sobre aumento de sueldo á los depen ■Ramón Cabrera: para las correspondientes á naturales de ios dominios dientes de dicho cuerpo. de Europa áTíos Sress D. Mateo Valdemóros, conde de Taboada , Don - A la de Legislación otra del Gefe político de Galicia, sobre la ne Josef Vázquez Figueroa , D. Tomas González Carvajal y D. Manuel cesidad de abreviar Ios-trámites en las-causas criminales. Estrada: para las tres plazas correspondien…</t>
  </si>
  <si>
    <t>Valderas, Juan</t>
  </si>
  <si>
    <t>Juan Valderas</t>
  </si>
  <si>
    <t>…ir á impedir ios ma ñoz, D. Rafael Morete, D. Josef Saavedra, D. Josef Zafra , D. Fran les que ocasiona el contrabando; en la inteligencia de que cumpliendo cisco Manuel González, D. Juan Valderas, D. Pedro Gazapo , D Pe V. S. con esta resolución dará al Rey una nueva prueba de su zelo por dro Antonio Fernandez, D. Lino Castelo, D. Ramón Valguera, Don el servicio nacional.” Juan Faldón, D. Antonio María Maeso, D. Antonia García Liñan, De Real orden lo…</t>
  </si>
  <si>
    <t>Valderrábano, Alfonso</t>
  </si>
  <si>
    <t>Alfonso Valderrábano</t>
  </si>
  <si>
    <t>…también la siguiente Casa de Ja Vireina extramuros de la ciudad.- existencia anterior 5 : exposición: entrados 3: salidos ninguno: convalecientes ninguno: muertos 4: exis «Señor: D. Alfonso Valderrábano, coronel de infantería y tenien^ tentes 4. te coronel de la primera división de granaderos, y actual comandante Barceloneta, existencia anterior 19: entrados 6: salidos ninguno: de ella, á V. M. con el mayor respeto, como órgano principal de lá convalecientes…</t>
  </si>
  <si>
    <t>Valdés</t>
  </si>
  <si>
    <t>…ue habían manifes públicos de su patriotismo; que no les restaba mas que el honor, y tado este deseo. que si era preciso que lo sacrificasen por la patria, estaban prontos á ha El Sr. Valdés manifestó que como individuo particular nada podía cerlo; que en cuanto á Lo que habia expuesto el Sr. Romero Alpuente, contestar, y que como ministro nada tenia que decir , pues no. lo era, existían en la secretaría toaos los documentos justificativos que se…</t>
  </si>
  <si>
    <t>Valdes, Cayetano</t>
  </si>
  <si>
    <t>Cayetano Valdes</t>
  </si>
  <si>
    <t>…añez, vindicándose de una queja dada contra D, Agustín Argfieiles, D. Ramón Gil de la Cuadra , D. Manuel Gar ellos por D. Tiburcio López. cía Herreros, D. Josef Canga Argíielles , D. Cayetano Valdes y Don Se dió cuenta de una exposición de D. Luis Sánchez Prieto, vecino Juan Jabaí, en atención al estado en que se hallaban, á los distinguí-</t>
  </si>
  <si>
    <t>Valdés, Cayetano</t>
  </si>
  <si>
    <t>Cayetano Valdés</t>
  </si>
  <si>
    <t>…ros: estos amenazan con desórdenes médico de Lucena. Suplente. D. Juan María de Rojas, abogado. y trastornos, y ya han comenzado los incendios, que es uno d • ios me Por Valencia. D. Cayetano Valdés, ex-ministro de Guerra, y te dios que hay en Constantinopla de manifestar el descontento contra el niente general de la armada nacional; D. Vicente Gisbert y Colomer, Gobierno. El divan parece que pretende conservar á los asiat.cos para propietario de Alcoy;…</t>
  </si>
  <si>
    <t>…cias fronterizas, no solo se hallan Por la provincia de Sevilla. El teniente general de la armada na a en estado de batirse con egércitos numerosos, sino que en el interior cional D. Cayetano Valdés ; D. Juan Miguel Caamañó, director gene? de Rusia están ademas formando cuerpos de reserva para reunirse al ral del impuesto de registros: D. Juan Josef Sánchez, intendente de grueso del egército i la primera sefial. Solo escasea el dinero algún tan Cádiz; D.…</t>
  </si>
  <si>
    <t>Valdés, Dionisio</t>
  </si>
  <si>
    <t>Dionisio Valdés</t>
  </si>
  <si>
    <t>…aspecto mas Por la provincia de Madrid, los Sres D. Juan Antonio Castejon, risueño; pero se necesitará mucho tiempo antes que esta plaza se recu abogado del colegio de esta corte. D. Dionisio Valdés, hacendado pro pere de los fatales golpes que su comercio ha recibido. pietario en Illescas. D. Ramón Gil de la Cuadra. « La determinación que tome la Sublime Puerta, respecto de los Suplente. D. Joaquín Lumbreras, catedrático en Alcalá. créditos cuantiosos q…</t>
  </si>
  <si>
    <t>Valdés, Josef Llaves</t>
  </si>
  <si>
    <t>Josef Llaves Valdés</t>
  </si>
  <si>
    <t>…sición de la dirección gene capitán del mismo. D. Ramón Antonio Rodríguez, s'ocal de la dipu ral de aduanas, en la que hace varias observaciones sobre las dudas tación provincial. D. Josef Llaves Valdés , oficial retirado. ocurridas en la de Alicante acerca del aforo y despacho de hierro , y Galicia. Puente de Hume D. Juan Ignacio Pesquerías , escribano. opina que se adopte lo que proponen Jas comisiones de Hacienda y Co Tuy D. Juan Bautista Losada, abad de…</t>
  </si>
  <si>
    <t>Valdés, Juan Bautista</t>
  </si>
  <si>
    <t>Juan Bautista Valdés</t>
  </si>
  <si>
    <t>…pesar de que el clero iba 4 experimentar una A la comisión de Poderes se mandaron pasar los presentados por rebaja en sus rentas, se veían las Cortes en la necesidad de aprobarlo. D. Juan Bautista Valdés, diputado electo por la provincia del Nuevo El Sr. Cepero dijo: por el art. i.° que han aprobado Jas Cortes se Reino de Teon, y D. Francisco García por la de Vera-Paz. manda no pagar mas que la mitad de los diezmos, y esta se aplica ex A la comisión de Tegisl…</t>
  </si>
  <si>
    <t>Valdés, Juan Josef</t>
  </si>
  <si>
    <t>Juan Josef Valdés</t>
  </si>
  <si>
    <t>…Guipúzcoa sobre el arreglo y establecimiento de par de D- Francisco Ruiz Fernandez y; D. Antonio' Perez y la Rosa , te roquias. nientes del regimiento infantería de Tarragona , y-D. Juan Josef Valdés, A la comisión de División del territorio español una solicitud del vecino de la misma1 ciudad, contra el Gefe político; y otra de Doña ayuntamiento constitucional de Versara, sobre que se nombre á esta Gertrudis Espejo, vecina de Cartagena, contra el juez de…</t>
  </si>
  <si>
    <t>Valdés, Juan Melendez</t>
  </si>
  <si>
    <t>Juan Melendez Valdés</t>
  </si>
  <si>
    <t>…e lá publica mites que tuviesen,‘Be declaró esté puntó suficientemente discutido; y ción , al ayuntamiento constitucional de la misma, . ............... quedó aprobado. Poesías dé D. Juan Melendez Valdés: nueva edición hecha , de or í; : •&gt;Sú' capital Almería. den superior; por el manuscrito que dejó preparado el autor, y en la qué EL Sr. Vitórici se ópilso á-que se votasen las capitales hasta tanto además de lás ritúchas correcciones qúe hay en lás anteriore…</t>
  </si>
  <si>
    <t>Valdés, Pedro</t>
  </si>
  <si>
    <t>Pedro Valdés</t>
  </si>
  <si>
    <t>…o , y cuyo fin es recti metidas por el fiscal déla causa de ios sucesos.del 10 de Marzo de 1820; ficar las ¡deas erróneasrestablecer la concordia entre nuestros súbditos y otra de D. Pedro Valdés, juez de primera instancia de ja de Verade todas clases, inspirar la obediencia debida i las leyes,.y castigar í cruz, vindicándose de la queja dada contra él por D. Mariano Rotun fódós aquellos qué bajo cualquier pretexto promuevan ,él desorden y da y otros…</t>
  </si>
  <si>
    <t>Valdés, Ramón</t>
  </si>
  <si>
    <t>Ramón Valdés</t>
  </si>
  <si>
    <t>…bre las plazas de España, ayuntamiento constitucional francos de porte. siempre que sus firmas sean á satisfacción de la mencionada junta del Método de cuenta y razón ordenado por D. Ramón Valdés. Esta Crédito público, cuya conformidad ó inadmisión avisará el precitado obra es un curso completo de enseñanza del sistema de partida doble. comisionado Gil á los especuladores can la posible brevedad, para evi Los. principios de la cuenta y razón son unas…</t>
  </si>
  <si>
    <t>Valdésq'encargando'interiname, Cayetano</t>
  </si>
  <si>
    <t>Cayetano Valdésq'encargando'interiname</t>
  </si>
  <si>
    <t>…n ios consejeros de S. M. hacer món Gil de da Cuadra-;.D.Mrnuei García Herreros, D. Josef Canga aquella consulta confidencial, no deben las Cortes contestar á este ofi Arguelles y D. Cayetano Valdésq'encargando'interinamente , mientras cio sino conformándose con la Constitución. Ademas, seria compro nombraba quien las sirviera «impropiedad , -el despacho de la de Guer meterse el señalar personas, porque sí el Rey conviniese con la pro ra á D. Ignacio Balanzat-', inspector inte…</t>
  </si>
  <si>
    <t>Valdivieso, Gar Guillermo</t>
  </si>
  <si>
    <t>Gar Guillermo Valdivieso</t>
  </si>
  <si>
    <t>…815. cer un extracto bien y fielmente de las sesiones.” . A la comisión de Instrucción pública pasó una exposición de Dolí "El Sr. Tapia dijo: » Apoyo en un todo la indicación del Sr. Gar Guillermo Valdivieso, el marques de Selvaalegre y D. Manuel Mato;, cía Page, pues sé por los taquígrafos de la gaceta que apenas se oye á vecinos de Quito, sobre la necesidad de que subsista aquella-univer los Sres. diputados del lado opuesto á este en que me hallo : por con sida…</t>
  </si>
  <si>
    <t>Valen, Jóséf</t>
  </si>
  <si>
    <t>Jóséf Valen</t>
  </si>
  <si>
    <t>…ueza y demas circunstancias que le son pital á D. Antonio Basilio García del Arco: para el. de Paredes de peculiares. ’i : , . . Nava á D. Josef Cuenca Saez: para el de Baltanás á D. Jóséf Valen El Sri Banqueri man¡festó',qüe no podia - aprobar el que Alicante tín Rica: para el de Cárrión'á D. Julián Bringas : para el de Cer'vera fuese provincia ó nó lo fuese, mientras no viese que por las Cortes se de Pisuerga á D. Victoriano Escribano: para el de Saldaría á D. Lui…</t>
  </si>
  <si>
    <t>Valeñzue, Antonio Pimentel</t>
  </si>
  <si>
    <t>Antonio Pimentel Valeñzue</t>
  </si>
  <si>
    <t>…consi D. Juan Florencio Guzmnn ; para la de Loja a D. Franeisco de Pauguiente de que el rég'nnen de este grande establecimiento, llamado egér la. Silva:; p3ra la de . Archidona á D. Antonio Pimentel Valeñzue• la de cito, no se puede fiar á un hombre solo , y por está razón la comisión la; para la de Antequera á D. Martin.de'Pineda y Lara; para propone que se forme una corporación que dirija las funciones del-egér- Ronda á D. Cristóbal María Antón; pata-la de Casa…</t>
  </si>
  <si>
    <t>Valénzuíla, María Concepción</t>
  </si>
  <si>
    <t>María Concepción Valénzuíla</t>
  </si>
  <si>
    <t>…án hasta qtie se establezca él estado mayor, por el coronel y el co ha permanecido separado de su destino por las causas que refería ; y otra mandante general de l;i provincia. de Doña María Concepción Valénzuíla, para que se le continúe pagan Art. 4.0 » El art. 123 se pondrá en cgecucion desde luego, y to do una pensión que disfrutaba sobre una de las encomiendas que obte dos los cuerpos del egército arreglarán sus juicios á lo prívemelo en la nía el Infante D. Anton…</t>
  </si>
  <si>
    <t>Valeria</t>
  </si>
  <si>
    <t>…bir en Ja citada que se presenten á tlicho supremo tribunal de Justicia por capóal ya no habí alian del viage del Rey de Prusia á Lai su escribanía de cámara , que está á cargo de D. Valeria bach. Este Monarca estaba todavía en BerJin el 3 del cor Cortijo, con los documentos coa que intenten comprobar riente, y nada se disponía para su vi age. su derecho. VARIEDADES. ARTICULO DB OFICIO. Concluye el artículo de ayer. Circular de! ministerio de Crr…</t>
  </si>
  <si>
    <t>Valero, León</t>
  </si>
  <si>
    <t>León Valero</t>
  </si>
  <si>
    <t>…censura manifestar sus opiniones en cual .A la de Hacienda se pasó, un expediente instruido á instancia de quier materia; pero debiendo responder del abuso de esta libertad en los D. León Valero , vecino de un pueblo de la provincia de Cuenca, y. re casos y forma que determinare la ley. , mitido por el Sr. ministro de aquel ramo. . 9/ «Las Cortes harán-pronto esta ley, y nombrarán un tribunal A la misma comisión se pasó una exposición de la diputació…</t>
  </si>
  <si>
    <t>Valero, Manuel Andrés</t>
  </si>
  <si>
    <t>Manuel Andrés Valero</t>
  </si>
  <si>
    <t>…San La comisión ordinaria de Hacienda presentó su dictamen , opinan Isidro, habia nombrado para egercer este encargo a D. Jaime Lapuerta, do que debia accederse á la solicitud de D. Manuel Andrés Valero, sugeto de notorias circunstancias, de mucha aplicación y adhesión al maestro de primeras letras de la ciudad de Cuenca , relativa á que en sistema constitucional, con la circunstancia de arreglarse en.cuanto al atención á su avanzada edad de 82 años, de los…</t>
  </si>
  <si>
    <t>Valero, Mariano</t>
  </si>
  <si>
    <t>Mariano Valero</t>
  </si>
  <si>
    <t>…D. Domingo Fernandez Angulo, D. Fran cisco Orea, D. Josef Larreategui, D. Josef Perez Morales, D. Josef 7■ 5- 3- 34- Pío de Molina, D. Manuel García del Barrio, D. Marcos Cubilio, D. Mariano Valero, D. Nicolás de Puga, D. Pedro Matute, D. Ra Hay ademas cuatro sospechosos. fael Costa y D. Tomas Polo Catalina. Madrid l.° de Noviembre. Parroquia de S. Marcos, p electores. En el domingo próximo 4 de Noviembre se han de celebrar en toda D. Josef de Arca, D.…</t>
  </si>
  <si>
    <t>Valero-Roces.zz</t>
  </si>
  <si>
    <t>…ortan rón de Torrefiel. z=D. josef Paniagua. zz D. Josef Yarza. zzL). Fran cia y extensión de su cargo gozarán doble sueldo.” Aprobado. ' cisco Lafuente. zz: D. Antonio Esparza. z=D. Valero-Roces.zz D. Juan El Sr. secretario de Marina fue dé-parecer que debía ponerse en lu Ester, zz D. Jacobo Peré.zzD. Francisco Morelln. zzT&gt;. Josef Cortés.z: gar de las palabras los oficiales de cargo de artillería ias siguientes: los "D. Miguel Romeo.zzD. Benito Vicente.zzD. Francisc…</t>
  </si>
  <si>
    <t>Valguera, Ramón</t>
  </si>
  <si>
    <t>Ramón Valguera</t>
  </si>
  <si>
    <t>…iendo cisco Manuel González, D. Juan Valderas, D. Pedro Gazapo , D Pe V. S. con esta resolución dará al Rey una nueva prueba de su zelo por dro Antonio Fernandez, D. Lino Castelo, D. Ramón Valguera, Don el servicio nacional.” Juan Faldón, D. Antonio María Maeso, D. Antonia García Liñan, De Real orden lo comunico á V. S. para su cumplimiento. Ma D. Josef Porta! y D. Juan Bolet, oficiales de todas armas y graduacio drid 8 de Octubre de 1821. nes, cuyos he…</t>
  </si>
  <si>
    <t>Valí, Antonio</t>
  </si>
  <si>
    <t>Antonio Valí</t>
  </si>
  <si>
    <t>…tos y noticias Antonio Castelló, en Valladolid D. Fermín Urien de Salas, en Va que conceptúen oportunas, las pruebas y documentos que sean necesa lencia D. Martin Serrano, en Vich D. Antonio Valí, en Zamora rios par3 acreditar el valor anual de los diezmos de que se íes priva, D. Antonio Gómez de la Torre, y en Zaragoza D. Lucas Vequecia. á fin de egecutar la liquidación que demuestre lo que á cada uno cor responda á razón del 3 por 100, rebajadas ya…</t>
  </si>
  <si>
    <t>Valiadolid, Ramón</t>
  </si>
  <si>
    <t>Ramón Valiadolid</t>
  </si>
  <si>
    <t>…de ductivos de conspiración. Se halla esta causa en sumario, y se ha man casa de los molineros, en £24$ rs. dado ampliar la declaración indagatoria, y practicar ciertos careos. 67 D. Ramón Valiadolid y D. Manuel Mayoral, presos en 24 de £n la provincia de Toledo , procedentes de los monasterios suprimidos Febrero, y el Excmo. Sr. D. Gregorio Laguna en 4 de Abril, todos de gtrCaimas de Guisando, en S. Pedro de ia Mata y del Escorial en por correspondencias para destruir el si…</t>
  </si>
  <si>
    <t>Valiano, Antonio</t>
  </si>
  <si>
    <t>Antonio Valiano</t>
  </si>
  <si>
    <t>…vier Cabrera , obispo de Avila. Se vende en la librería de Sojo á 5 rs. y Torre, presidente. — Estanislao de Peñafiel, diputado secretario. — Diccionario de medicina y cirugía por D. Antonio Valiano: 7 Juan de Valle, diputado secretario.” Por tanto mandamos á todos los tomos en 4.0 rústica. Se vende i 1 20 rs. en la casa de la academia mé tribunales, justicias, gefes, gobernadores y demas autoridades , asi ci- dica-matritense, calle Ancha de S. Bernardo,…</t>
  </si>
  <si>
    <t>Valiejo, Angel</t>
  </si>
  <si>
    <t>Angel Valiejo</t>
  </si>
  <si>
    <t>…as personas ancianas ó valetudinarias, Rubricado de la Real mano.ruEn Palacio á 16 de Diciembre de 1821. y las que vivan de algún arte, profesión ú oficio doméstico.” Aprobado. =A D. Angel Valiejo. &gt;» El que quebrante el arresto sufrirá el tiempo que le falte, en una reclusión ; y si después de quebrantarlo cometiere otro delito , se le im Circular de la Contaduría general de Distribución. pondrá ademas el máximum de la pena que este mereciere, la cual…</t>
  </si>
  <si>
    <t>Valiente, Josef Musso y</t>
  </si>
  <si>
    <t>Josef Musso y Valiente</t>
  </si>
  <si>
    <t>…r este cuerpo en 15 de Marzo , se abrió la carta separada y distinguida con el mismo lema, carcel eublica de Barcelona._5i¿ alcaide Jacinto Mascara. resultando, que su autor es el Sr. D. Josef Musso y Valiente, vecino de Juan Colell y Lorenzo Rúan, procedentes del juez de primera ins la ciudad de’Lorca. No ha sido igual el placer de la academia en las obras tancia de Berga. Presos en ti de julio de 1819 por ladrones en cuadri de poesía que ha reconocido, y que le h…</t>
  </si>
  <si>
    <t>Valionesta, Josef</t>
  </si>
  <si>
    <t>Josef Valionesta</t>
  </si>
  <si>
    <t>…que su conte lunia de Parnés D. F’rancisco Batile y Sagur. Montblanch D. Pablo nido se ajuste exactamente á lo que resulte del proceso, á satisfacción Anguera y Riera. Granollers D. Josef Valionesta, abogado. La Bis- del mismo fiscal y de los defensores.- y en este trabajo invertirán a io bal D. Pedro Camps. Seo de Urgel D. Mateo Estany. Tremo D. An menos ocho horas cada dia, poniendo diligencias que lo acrediten , co tonio de Monner, hacendado de Itona.…</t>
  </si>
  <si>
    <t>ValJeGolfín, Mateo</t>
  </si>
  <si>
    <t>Mateo ValJeGolfín</t>
  </si>
  <si>
    <t>…aumen El Rey sé- iva servido expedir el decreto siguiente : tar en él palabra alguna; y que si se aprobaba la indicación del Señor • ó Habiendo'sido1 nombrado consejero de Estado, D. Mateo ValJeGolfín , se podria hacer por separado un mensage á S. M., para hablar moros , mi secretario de Estado v del Despacho de ia Gobernación de le con relación á lo que en ella se expresaba. la Península, he venido en nombrar para suceder le á D. Ramón FeEl Sr. Moreno Gue…</t>
  </si>
  <si>
    <t>Valladares, Josef</t>
  </si>
  <si>
    <t>Josef Valladares</t>
  </si>
  <si>
    <t>…se bendijera coa Francfort 4 de Setiembre. Ja pompa posible la bandera de su batallón, regalada por su comandan Se confirma por todas partes la noticia de los movimientos insur te D. Josef Valladares, capitán de infantería retirado, y juez interino reccionales que se habian manifestado en la Servia. El bajá de Widin, del mismo partido; para lo cual casi todos los vecinos ofrecieron vo ««cargado por la Puerta de zelar á los servios, se ha visto obligado, á…</t>
  </si>
  <si>
    <t>Vallano</t>
  </si>
  <si>
    <t>…emitir algu Las cocheras de la misma id. id., en 11,958 rs. y 16 mrs. nas observaciones para que se haga mención de ellas en el suplemento al Diccionario de medicina y cirugía del Sr. Vallano, las dirigirán, Segundo regimiento de Reales Guardias de infantería. francas de porte, lo mas pronto que les sea posible, á la librería de la Habiendo abonado Ja tesorería general á este Real cuerpo el im viuda de Barco López, donde está ya de venta el primer…</t>
  </si>
  <si>
    <t>Valle</t>
  </si>
  <si>
    <t>…idad señorial qué porque los ramos decimales han producido menos de lo que se contó, quedó) abolida.” .. no se sigue por esto que se les haya dado un valor insignificante, y lo El Sr. Valle: El art. 3.0 del proyecto sobre señoríos, que se trata de mismo se dice con respecto á los demas; añadiendo que en cuanto al discutir, no debe ser admitido por dos razones: id porque esta Inter papel sellado no puede saberse su resultado hasta el último del a…</t>
  </si>
  <si>
    <t>…ena que los griegos el Congreso hace esta declaración, desde luego por mi parte retiro los de Odessa, pueblo ruso, han dado al príncipe Ipsilanti, cabeza de la demas artículos. El Sr. Valle ha separado el art. 5.0 del decreto de 6 insurrección de las provincias griegas, tres millones de duros para que de Agosto del art. 6.3 de la misma ley , y ha hecho muy bien, porque pueda costear la guerra. El lector sabrá sacar las consecuencias que de este…</t>
  </si>
  <si>
    <t>…icidad, tengo á bien Habiéndose hecho segundo escrutinio, y tenido el Sr. Tallare (D. Pa aprobar desde ahora.la Constitución que allí se hace, y recibirla en mi blo), 66 votos, el Sr. Valle 62 y el Sr. Garcia Page 21, no resultando reino del Brasil y en los demas dominios de mi cotona. Mis minis elección, porque la mitad mas uno del total 147 no la reunia ningu tros y secretarios de Estado, á quienes Va dirigido este, lo harán asi no, se procedi…</t>
  </si>
  <si>
    <t>…uilidad de la memoria del Sr. secretario del despacho de Gracia y Justicia al pública, a fin dá que Hs Cortes, oyendo ó no á una comisión especial, Sr. Gil de Linares en lugar del Sr. Valle, y para otras que no pudieron determinasen lo que tuvieren por mas conveniei.te. entenderse , en lugar del mismo Sr. Valle y del Sr. Peñafiel á los señores El Sr. presidente dijo que continuase la discusión sobre la compa San Juan y Rey. ñía del Guadalquivir,…</t>
  </si>
  <si>
    <t>…Las Cortes recibieron con aprecio, y mandaron se pasasen a la bi que el Parlamento habla puesto á mi disposición para proveer, los ba-, blioteca dos egemplares presentados por el Sr. Valle de una obra del tallones' naciónalés de muchísimos objetos que les faltaban , sobré cuya * doctor D. Josef Diaz sobre-reforma de regulares, acompañarla de una verdad me remito al ministro de Hacienda. ' . ' exposición, en que manifestaba la necesidad de que e…</t>
  </si>
  <si>
    <t>…os arzobispados examen de la memoria del Sr. ministro de Gracia y Justicia, al Sr. Gó como el de Toledo con ocho sufragáneos, con • 2 como el de Santiago, mez Pedraza en lugar del Sr. Valle. y arzobispos que solo tienen dos, como el de Granada y Sevilla. Arzo La ordinaria de Hacienda presentó su dictamen acerca de lá indi bispado que tiene 24; pilas, como el de Sevilla, y arzobispado que tiene cación hfccha por el Sr. González Allende en la sesi…</t>
  </si>
  <si>
    <t>…ada »í toda reforma era dolorosa, ni tampoco perdió de vista el mérito de ios otros documentos fidedignos.” representantes, la recomendación de las Cortes, y el gravamen que su El Sr. Valle dijo que por lo mismo que habían dicho los señores fre el egército por los muchos supernumerarios , y que indispensable Oliver y Calatrava en la sesión del 26 de.Marzo último (que leyó) mente debe ir en aumento por la extinción de los cuerpos suizos; y debia…</t>
  </si>
  <si>
    <t>…itodos sus bienes y derechos, inclusos los adquiridos sobre el terreno en Malgrat y Mataró algunos dias. en cualquier estado que estos esten , la persona ó personas que en seme El Sr. Valle manifestó que habla examinado el expediente, y vela jantes casos son llamadas entre los españoles por las leyes comunes de justificada una infracción muy notoria por los documentos que produ Castilla para suceder abintestato, sucediendo también los tales here…</t>
  </si>
  <si>
    <t>…de las mitido una queja, y por su modo de obrar con respecto á los núme Españas, el poder gubernativo en ¡os territorios expresados en el ar ros 142.y 250 de su periódico. El Sr. secretario Valle dijo que dichos tículo t.° números no venian con la exposición, y en su consecuencia se mandó 5/ Esta delegación se depositará en personas distinguidas por sus tener’presente para cuando lleguen. - virtudes y cualidades, y que merezcan la plena confianza de S…</t>
  </si>
  <si>
    <t>…e'), en que se do una certificación del facultativo que le asiste. supone, que en Setiembre de 1 82 2 ba de haber un congreso en Florencia. Se dió cuenta de una exposición del Sr. diputado Valle, en la cus Hablase ya de resoluciones tomadas secretamente para terminar los nego •manifestaba que con motivo de las disposiciones tomadas á causa de !a cios de Turquía, y suponen que á la Inglaterra se dará la posesión de va peste de Barcelona no había podid…</t>
  </si>
  <si>
    <t>Valle, Ana del</t>
  </si>
  <si>
    <t>Ana del Valle</t>
  </si>
  <si>
    <t>…contraba la villa de Helliñ, sin. Se pasó á la misma comisión de Hacienda un expediente con la desatender á su principal deber de velar sobre la tranquilidad pública, solicitud de Doña Ana del Valle para que se la rehabilite en el goce pudo el Gefe político adoptar las medidas oportunas, y dar la comisión fíe la mitad del sueldo que le fue concedido á su difunto marido. á una persona extraña del vecindario; estando por consecuencia las Se pasó á la refer…</t>
  </si>
  <si>
    <t>Valle, Angel del</t>
  </si>
  <si>
    <t>Angel del Valle</t>
  </si>
  <si>
    <t>…y prado, las que lleva en de D. Antonio Brusi á Dofi3 Eulalia Brusi, en Barcelona : del Dón' arriendo Benito García, y radican en las veigas de Amieiro y Figuei- Martin de Ocio á D. Angel del Valle; y de D. Pedro Jordi, en Lé ras, en venta 1 165 rs., y en renta 2 ferrados y medio de trigo y 3 rida, á D. Francisco Boldú, en Barcelona: los citados sugétos y cua de cebada__ En 3 pedazos que lleva en arriendo Luis Sánchez, 5 fer lesquiera otras personas que…</t>
  </si>
  <si>
    <t>Valle, Antonio Modesto del</t>
  </si>
  <si>
    <t>Antonio Modesto del Valle</t>
  </si>
  <si>
    <t>…x lido electos para diputados los Sres. I&gt;. Juan Ugavan, D. Josef Zayas y trangeras para que pudiesen servir de modelo á los naci-sna'es j y lo T&gt;. Josef Benitez , y para suplente D. Antonio Modesto del Valle. grar con esto las mismas ventajas que han logrado otras naciones 3s‘ Las comisiones de Hacienda y Comercio, después de reconocida la Europa. - - ” ' • • consulta del Gobierno de 27 del presente mes, relativa á la introduc El Sr. Oliver dijo que no solamente…</t>
  </si>
  <si>
    <t>Valle, Antonio Remon Zarco del</t>
  </si>
  <si>
    <t>Antonio Remon Zarco del Valle</t>
  </si>
  <si>
    <t>…bre instruido; y nosotros no podemos menos de recomen El Rey se ha servido conferir el empleo de mariscal darla á los que tratan de conocer con precisión la historia, de campo al brigadier D. Antonio Remon Zarco del Valle, las manufacturas y las instituciones de la capital de Ingla sub-secretario del Despacho de la Guerra, nombrándole al terra.” mismo tiempo su ministro plenipotenciario en la corte de Miss Wakefield viaja también por Asia con sns lectores, Ñapóles. y Ies da á…</t>
  </si>
  <si>
    <t>Valle, Juan de</t>
  </si>
  <si>
    <t>Juan de Valle</t>
  </si>
  <si>
    <t>…to para více-prestdenre el Sr. D. Bartolomé. Marin Tauste , dimiratío por das ellas-reinaba la mayor tranquilidad, según los partes remitidos por la de Jaén-, y para secretario el Sr. D. Juan de Valle, qué lo es 00r los comandantes. Se especificar, algunas acciones que habían precedido Ja de Cataluña, y que pone á continuación su firma para que sea're en varios puntos contra las pequeñas reuniones que aun existían, y par conocida.” ticularmente la del-siti…</t>
  </si>
  <si>
    <t>…pletará el número de vocales, eligiéndolos del vecindario, ya sea del sión de Salud pública sobre los oficios pasados por los Sres. diputados estado eclesiástico , ya del secular. D. Juan de Valle y D. Josef Moreno Guerra acerca de los obst_cuios Art. 5.0 » Estas juntas se gobernarán por las rev’as que fija esta que experimentan por razón de la epidemia para presentarse a! Congreso: ley, y por el reglamento particular que para ellas formara el Gobierno. la comisión proponía se…</t>
  </si>
  <si>
    <t>Valle, Pedro</t>
  </si>
  <si>
    <t>Pedro Valle</t>
  </si>
  <si>
    <t>…rtad de los cristianos de Alasona ; el de Toscas, á quien se vió echar público. á sangre y fuego á los turcos de Greveno , ciudad entonces floreciente; Al mayorazgo fundado por «1 Sr. D. Pedro Valle de la Cerda , ca el de Karali, que reinaba en el Olimpo; el de Blachayas; el de Macri- ballero del orden de Santiago, del consejo que fue de S. M.', que hoy po Athanasi; y en fin el de un Macripulias, á quien comparaban con Leó see el Sr. marques de S. Gil, c…</t>
  </si>
  <si>
    <t>Valle, Pedro García del</t>
  </si>
  <si>
    <t>Pedro García del Valle</t>
  </si>
  <si>
    <t>…tonio Gu becilidad del ministerio. tiérrez Varona Ortiz; y para dos fiscalías de la misma ¿ D. Santiago Da osle modo se ha logrado que el ministerio por su imprevisión Amatriain y D. Pedro García del Valle. EN LA IMPRENTA NACIONAL.</t>
  </si>
  <si>
    <t>Valle, Remon Zarco del</t>
  </si>
  <si>
    <t>Remon Zarco del Valle</t>
  </si>
  <si>
    <t>…el coro se repitió como es de costumbre. Madrid Viernes 20 de Julio* NOTICIAS DE ESPAÑA. SS. AA. continúan sin novedad en su importante salud. Barcelona 10 de Julio. Anteayer 8 el Sr. Remon Zarco del Valle, mariscal de campo de La junta de gobierno del Banco nacional de S. Carlos, habiendo los egérciios nacionales, y gefe político interino de esta provincia, pa sido excitada por S. M. para interesarse en el empréstito nacional de so revista á nuestra brillante…</t>
  </si>
  <si>
    <t>Valle.al</t>
  </si>
  <si>
    <t>…onyeniénciai pública-que hay para que » titucion, Rey de las Españas.”. , . . . . , dicho puébjjp.'sca nombrado. cabe*a,de partido con.preferencia á otios. Se leyó una adición del Sr. Valle.al dictamen de-la comisión de Las Cortes recibieron con,,ags¡ido, y mandaron pasar á la com.sion Legislación, relativo al administrador-de la aduana d,e Barcelona, cuya de Beneficencia; un proyecto: presentado por el Sri: diputado. Ouiroga. primera parte habia s…</t>
  </si>
  <si>
    <t>Vallejo, Angel</t>
  </si>
  <si>
    <t>Angel Vallejo</t>
  </si>
  <si>
    <t>…cho de Hacienda ,1a dimisión de su destino, nombrando para que des el art. 5.0, habí tildóse solo de nacionales. Por lo mismo creo que no empeñase interinamente dicha secretaría á D. Angel Vallejo, oficial debe admitirse, porque es indudable que si se da mas seguridad al co de la de la Gobernación de ia Península. mercio por este medio, no tiene entonces toda la libertad que necesi Las Cortes quedaron enteradas de ia comunicación que las hacia el ta cu…</t>
  </si>
  <si>
    <t>…ado minucioso. EISr. La- cule. = Está rubricado de la Real mino. 3 En S. Lorenzo á 10 de No llave ha impugnado varios artículos de este dictamen; pero prescin viembre de 1811. = A D. Angel Vallejo. diendo de que es muy fácil ridiculizar cualquiera cosa, si supiese S. S., como lo saben demasiado los Sres. de la comisión, que en la mayor Ateneo español. El dia 19 de Noviembre á las 45 de la tarde se . parte dedas casas de expósitos del reino se deja á es…</t>
  </si>
  <si>
    <t>…balas de Segovia ,• en ca circuie.= Rubricado de la Real mano. = En San Lorenzo á 18 de beza de Alonso de Guadalajara: se suplica á la persona en cuyo poder Noviembre de 1821. = A Don Angel Vallejo. se hallen los entregue en la calle del Gato á la de la Cruz , casa sin nú mero .encima de la tienda de estampas, cuarto 3.0 Por resolución de S. M., á consulta del consejo de Estado, se ha Observaciones hechas* por la audiencia territorial de Castilla la ser…</t>
  </si>
  <si>
    <t>…dréis se imprima, publique y circule.=Rubtícado de la Real mano.= llama seriamente la atención de V. E. sobre dos cosas. La primera es En S. Lorenzo d 22 de Noviembre de *1821.—A D. Angel Vallejo.” sobre el abuso de firmar las exposiciones como delegados del pueblo, cuando la Constitución no reconoce mas representaciones populares Debiendo verificarse la renovación de todos los vales Reales, confor que las Corles, diputaciones provinciales y ayuntamie…</t>
  </si>
  <si>
    <t>…ma Cons cumplimiento ; y dispondréis se imprima, publique y circule- Está nir titución establece para el orden social; el desenfreno en fin dé las pasio bricado de la Real mano.=A D. Angel Vallejo. nes mas Vergonzosas nos ha conducido á un estado que seria fatal en ua pueblo menos cuerdo que el español. Animos inquietos ó ya alarmados El Gobierno ha recibido los documentos siguientes, sin fundamento por las especies que se circulan con doblada y dañina…</t>
  </si>
  <si>
    <t>…esos de Cádiz tenia por suficiente una simple decla Rubricado de la Real mano. = En Palacio á 7 de Diciembre de 1821. ración que de un modo solemne desaprobase aquellos hechos. =A D. Angel Vallejo. En cuanto á lo demas sin relación á la libertad de imprenta, ni co sa que se le parezca, creyó la comisión que no habia inconveniente en Oficio dirigido por el Sr. secretario de la Gobernación de la Penítf que las Cortes manifestasen á S. M. que estaban disp…</t>
  </si>
  <si>
    <t>…a el que se les debería conceder. le.—Rubricado de la Real mano. ~ En Palacio á 10 de Diciembre de ’ El Sr. López ( D. Marcial ) dijo que podia sustituirse la palabra or *821. = A D. Angel Vallejo. dinario á la de preciso: á lo cual se opuso el Sr. Calatrava por ser la primera palabra más Vaga que la segunda. ANUNCIOS. El Sr. Romero Alpuente apoyó el artículo diciendo que según lo que se prefijaba en el artículo, se concedía á los delincuentes el desca…</t>
  </si>
  <si>
    <t>…o. = En Palacio á *o de Diciembre di didas de contemplación y de conciliación no han surtido el efecto que se deseaba; y por lo mismo apruebo el dictamen de la comisión. 1821. = A D. Angel Vallejo. , El Sr. Romero Alpuente dijo que la ley de Partidas que habia ci Circular del mMsterio de la Gobernt,c’on "e Península. Coa fecha 4 de este mes me dice-el-Sr- secretario del Despecho de tado probaba bien que hay casos en que es preciso no prestar obedien ci…</t>
  </si>
  <si>
    <t>Vallejo, Antonio Fernandez</t>
  </si>
  <si>
    <t>Antonio Fernandez Vallejo</t>
  </si>
  <si>
    <t>…ado; por filtimo digo que sabiendo las de fisíologia aplicada á la moral. El ciudadano doctor en cirugía-médi Cortes que este dictamen es un reglamento general que exige varias ca D. Antonio Fernandez Vallejo, que es el encargado de- esta ense particularidades, no le consideran demasiado minucioso. ; ñanza , empezará el curso el jueves 2 2 del presente mes á ¡as 7 de la Se suspendió esta discusión. noche, leyendo una oración inaugural, en la que manifestará la nec…</t>
  </si>
  <si>
    <t>Vallejo, González</t>
  </si>
  <si>
    <t>González Vallejo</t>
  </si>
  <si>
    <t>…rendidos eñ ella, y que se En la primera votación salió elegido para primer individuo de di pasen al Gobierno los documentos que pide el Sr. secretario del Despa cha diputación el Sr. González Vallejo por 131 votos de 167. cho de la Guerra para dar cumplimiento á la resolución de las Cortes. Se procedió á elegir otro individuo por Ultramar para dicha dipu El de la de Salud pública, relativo á la-exposición del Sr. ministro tación, y resultó elegido el Sr.…</t>
  </si>
  <si>
    <t>Vallejo, Josef Mariano</t>
  </si>
  <si>
    <t>Josef Mariano Vallejo</t>
  </si>
  <si>
    <t>…as odiosos, mas indignos en María Aguirre, D. Jacobo Escario, D. Josef Fermín Gil, D. Josef el magistrado, el prelado, el sacerdote, el militar , el hacendado, que María Santiago, D. Josef Mariano Vallejo, D. Juan Angel Ortiz, por su educación, su carácter ó su rango en la sociedad debieran ser D. Juan Antonio Sánchez, D. Juan García Becerra,.D. Juan Vera, el egemplo de. sus conciudadanos, asi también la envidia , la venganza, D. Manuel Josef Quintana y D. Ped…</t>
  </si>
  <si>
    <t>Vallejos, Francisco</t>
  </si>
  <si>
    <t>Francisco Vallejos</t>
  </si>
  <si>
    <t>…dijo: Las Cortes nombraron en la legislatura guez Ojeda, D. Ramón Aponte , y los tenientes D. Manuel Iglesias, del año pacido una comisión para el objeto de proponer un plan de be D. Francisco Vallejos y D. Hilarión lleras, no pudo ni atacar ni nti— neficencia. La comisión empezó sus trabajos, y cuando los tenia algo •rarse. Acometido por fin por la izquierda, no pudo resistir, á pesar adelantados tuvo noticia de que el Gobierno por su parte había nom de los heroicos esf…</t>
  </si>
  <si>
    <t>Vallsederá, Diego</t>
  </si>
  <si>
    <t>Diego Vallsederá</t>
  </si>
  <si>
    <t>…una exposición de la milicia nacional de! pueblo de AJininerse de 1 2 jurados, y que la uaioti d; nueve decidiese: que el juez de •fis: lo mismo se resolvió con respecto á otra de D. Diego Vallsederá,</t>
  </si>
  <si>
    <t>Valor, Vicente</t>
  </si>
  <si>
    <t>Vicente Valor</t>
  </si>
  <si>
    <t>…rticular, y esto es combatir los rio constitucional,” y denunciado por el fiscal de censura; la ley ab mismos principios que tuvo presentes la comisión de Hacienda el año solvió á D. Vicente Valor, responsable de dicho impreso; en cuya pasado para hacer que se desestancara el tabaco. En este artículo no se virtud el señor juez mandó que se le pusiera inmediatamente en liber fija el precio de las patentes, y esto es de absoluta necesidad , y sin cu tad,…</t>
  </si>
  <si>
    <t>Valverde, Antonio</t>
  </si>
  <si>
    <t>Antonio Valverde</t>
  </si>
  <si>
    <t>…Juan Antonio Cres pendientes. po, id.: D. Luis Cea, id.: D. Francisco Ibañez, id.: D. Pedro BaldiSe continuó Ja discusión del art. 6° del proyecto sobre dotación vieso, ayudante: D. Antonio Valverde, id.: D. Rafael Correa, Ídem: del clero, que dice asi: » Las pensiones ó cargas impuestas sobre cual D. Eugenio Laude, sargento i.°, y D. Melchor Fernandez /sargento 2.a quier beneficio eclesiástico que no excedan de 200 millones reís pagarán 2. J Otra con el…</t>
  </si>
  <si>
    <t>Van-, Juan</t>
  </si>
  <si>
    <t>Juan Van-</t>
  </si>
  <si>
    <t>…pasado, pongo en noticia del público que por el ministe que pasados sin haberlo hecho por sí ó por procurador suficientemente rio de la Gobernación s? ha expedido cert.fisacion á D. Juan Van- autorizado, las providencias que se dictaren les pararán el perjuicio que Erven, holandés de nación, de ser introductor de los molinos llama haya lugar. dos de reacción. = Andrés de Moya I uzunaga. Memoria sobre las negociaciones entre España y los Estados-Un…</t>
  </si>
  <si>
    <t>Vanceller</t>
  </si>
  <si>
    <t>261 . -Habiendo salido el ministro, pidió el Sr. Vanceller que y Traver; y en lugar del Sr. Gaseo, que se hallaba ausente* se hiciese mención de esto en la exposición á S. M.; y asi al Sr. Clemencin. se acordó Se pasó oficio al Sr. secretario de Estado y del Despa se volvió á continuar la discusión sobre la libertad…</t>
  </si>
  <si>
    <t>…las iglesias, á pesar de haberlo hecho presente al Gefe político de les podrían inducirle á que abusase. - aquella provincia; por lo que pide se proceda contra los que resulten El Sr. Vanceller fue de parecer que hubiese un consejo de Estado, culpados. ó segunda Cámara compuesta de propietarios, que no pagasen menos A la de Legislación se pasó una exposición de la diputación pro de jo£) reís de diezmo; pero que el veto absoluso se debía desechar. vi…</t>
  </si>
  <si>
    <t>…d Jueves 7 de Junio. Lisboa 19 de Mayo___Sesión de Cortes del 18. SS. MM. y AA. continúan sin novedad en su importante salud. Después de haberse hecho varias proposiciones dijo el Sr. Vanceller que en la sesión anterior se habia pasado á la comisión de Artes un CORTES. oficio del Sr. ministro de Hacienda sobre la fábrica de Covillia (j que se había sacado á pública subasta según el dictamen de la comisión ), en PRESIDENCIA DEL SEÑOR MOSCOSO. el que…</t>
  </si>
  <si>
    <t>Vanhalem, Juan</t>
  </si>
  <si>
    <t>Juan Vanhalem</t>
  </si>
  <si>
    <t>…Política, un tratado titulado Dos palabras al públko por una vícti abandonar las espesuras de Chelug, donde estaba refugiado, sin que ma de.la inquisición , remitido por su autor D. Juan Vanhalem. hasta ahora haya habido acción ó encuentro entre ambos partidos. Las Cortes oyeron con aerado la felicitación que les hacían por su ■ Solimán permanece aun en Rabat, y ha enviado la paga á las tra reunión los individuos de la milicia nacional voluntaria de O…</t>
  </si>
  <si>
    <t>Vanhalen, Juan</t>
  </si>
  <si>
    <t>Juan Vanhalen</t>
  </si>
  <si>
    <t>…dando rebajadas de cuenta de los compradores las cargas que próximo. , tienen; y dicho señor ha designado 10 dias para la puja del cuarto; Verdades oportunas expuestas á S. M. por D. Juan Vanhalen. otros 10 para la del diezmo, y otros 10 para la del medio diezmo, con Este papel está escrito con verdad, energía y decoro: su lectura no po tados desde que salga este aviso en la gaceta. Quien quisiere hacer las drá menos de interesar al público; porque ade…</t>
  </si>
  <si>
    <t>Vanzeller</t>
  </si>
  <si>
    <t>…ue otros en su lugar cumpliesen con esta augusta cere demnizara primero del modo que establezcan las leyes.” monia. Se habia pensado en repartir al pueblo, como antiguamente se El Sr. Vanzeller preguntó si se habia aprobado el art. 5.0, y se de hacia, los residuos del banquete Real; pero se ha tenido por acertado claró que sí ; pero que se habia mandado redactar de nuevo. •• renunciar á esta idea, fácil es imaginarse los disturbios que podría ocaá S…</t>
  </si>
  <si>
    <t>Vara, Joaquín</t>
  </si>
  <si>
    <t>Joaquín Vara</t>
  </si>
  <si>
    <t>…s. villa del Campo 8 de Mayo de 1821 = Partida del regimiento de Va Después de haber nombrado el Sr. presidente los Sres. diputados que lencia, décimo ligero. = Por los oficiales, capitán Joaquín Vara del habian de componer la diputación , dijo que mañana continuaría la dis Rey. —Por los sargentos Agustin Cubero.zzPor los cabos Pedro Sosa zz cusión sobre el plan general de Hacienda, y levantó la sesión. Por los soldados Josef Benito Angel. zz Partida del r…</t>
  </si>
  <si>
    <t>Varcanel, Mahuel</t>
  </si>
  <si>
    <t>Mahuel Varcanel</t>
  </si>
  <si>
    <t>jgió nar.do; D. Bartolomé Romero García Eertial, secretario de la diputa por razón de utilidades, y á la Hacienda pública sus derechos sobre ti ción provincial. Suplentes-. D. Mahuel Varcanel, vecino deCazalla y mayor valor que resulte de la subasta. elector de su partido, y D. Joséf María Gonztlez , cura de la Campana. Alt. &gt;1 F.l sobrante se distribuirá por partes iguales entre lo Por la provincia de Granada. D. Nicasio Tomas , natural de la vis…</t>
  </si>
  <si>
    <t>Varela, Josef</t>
  </si>
  <si>
    <t>Josef Varela</t>
  </si>
  <si>
    <t>…r la mucha concurrencia , y de! buen vino. No se debe omitir que al in qué ese Sr. diputado no ve las lágrimas de los buenos que se han deci genioso y bien conocido abad dei Barco D. Josef Varela se ha debido dido por la madre patria? :Por qué no vé una porción de familias su la construcción de los globos, gigantes, y de la mayor parle de los midas en la miseria solo por ser consecuentes con la metrópoli 5 Si en preparativos de estas fiestas, que no s…</t>
  </si>
  <si>
    <t>Varela, Josef Jesús</t>
  </si>
  <si>
    <t>Josef Jesús Varela</t>
  </si>
  <si>
    <t>…junta. D. Sebastian Vicente .García, en león el marques de Monte-Virgen, 1:2. Si existiesen algunas fincas que por $u mal estado y deterioro en Lérida D. Ramón Hostalrich, en Lugo D. Josef Jesús Varela, en no sean arrendables ni productivas, deberán manifestar los comisiona Málaga D. Mariano Gutiérrez, en Mallorca D. Josef Serra, en Me dos y contadores en unión los medios y costo necesario para hacerlas norca D. Pedro María Santaló, en Mondoñedo D. Josef Ma…</t>
  </si>
  <si>
    <t>Vargas</t>
  </si>
  <si>
    <t>…ambién cupnta el ,Sr¡ Couto;deLaber. ,nombrado el, Sr.,presi en este caso serían responsables a la opinión pública; que debiendo re dente para las comisiones á que correspondía,el Sr. Vargas ,Pones á los servarse el derecho de exigir la responsabilidad de los mismos , no era Sres, Zorraquin, Solana, y :Diaz del. Moral;, para la-,deL.Sr/Traver aL compatible este con la enunciada propuesta; que cuando Jas Cortes Sr. Zavala; y para la comisijpn.del…</t>
  </si>
  <si>
    <t>Vargas, Francisco Hernanz de</t>
  </si>
  <si>
    <t>Francisco Hernanz de Vargas</t>
  </si>
  <si>
    <t>…n estos términos: habrá jueces de he nía de D. Tomas de Sancha y Prado á los interesados en la testamen cho , y en ios casos y forma que se determine por las leyes. taría del Lie. D. Francisco Hernanz de Vargas, abogado que fue del £1 Sr. presidente dijo que mañana se continuarían las discusiones de ilustre colegio de la misma, para que en el término de 30 dias, con los proyectos de límites de las provincias y del código penal; y se le- - tados desde la publicación…</t>
  </si>
  <si>
    <t>Vargas, Josef</t>
  </si>
  <si>
    <t>Josef Vargas</t>
  </si>
  <si>
    <t>…ariamente, y que á este fin hacia la siguiente indicación, vado de empleo por ocho años, y haberle desterrado a 20 leguas de que retiró después el autor. aquel distrito; y otra de D. Josef Vargas, vecino del pueblo de Paja „ Pido que la representación del comandante de armas de Búrgos, res , contra el alcalde constitucional de la misma villa, por haberle y la de los gefes militares de aquella ciudad, pase á la comisión que allanado su casa. ha extendi…</t>
  </si>
  <si>
    <t>Vargas, Juan Bautista</t>
  </si>
  <si>
    <t>Juan Bautista Vargas</t>
  </si>
  <si>
    <t>…na queja Sesión de Cortes del ¡14. que dió contra él D. Mariano Rodríguez. Después de haber dado cuenta de algunos expedientes y dictámenes A la Eclesiástica pasó una solicitud de.D. Juan Bautista Vargas, de las comisiones sé pasó á tratar sobre la abolición de la Inquisición; cura párroco de Escalona, para que en las oraciones del santo sacrificio y el Sr. Marjiochi, autor de la proposición, tomó la palabra, y pronun de la misa cuando se habla del Monarca se…</t>
  </si>
  <si>
    <t>Vargas, Juan Báutistade</t>
  </si>
  <si>
    <t>Juan Báutistade Vargas</t>
  </si>
  <si>
    <t>…presidente y dos secre litar, asistieron al samo sacrificio de la misa, y concluido.este, el cura tarios. En seguida se dará cuenta de l’os oScios que hubiere- remitido el párroco D. Juan Báutistade Vargas les pronunció..eL discurso man Gobierno; de las proposiciones que nuevamente hayan hecho ios di dado en la instrucción, con tan feliz efecto, que al recomendarles sus putados, y después se pasará á tratar del asunto que esté señalado. obligaciones, que iban,…</t>
  </si>
  <si>
    <t>Vargas, Tomas</t>
  </si>
  <si>
    <t>Tomas Vargas</t>
  </si>
  <si>
    <t>…esta idea, diciendo que no era la La comisión de Poderes presentó su dictamen acerca de los presen expresión propia: que de ella &lt;se podía hacer una siniestra interpreta tados por D. Tomas Vargas, diputado por fiTprovincia de S. Luis del ción en lo futuro, y que S. M. debía jurar sene ¡llámente, ¡pues que Potosí; y habiéndolos examinado detenidani&amp;nfe, opinaba debían apro no le pertenecia el derecho Üe aprobar ó sancionar un pacto formado barse; se ap…</t>
  </si>
  <si>
    <t>VARIEDADES</t>
  </si>
  <si>
    <t>…s, y producen anualmente 77ó rs. f Se continuará. ) Habiéndose extraviado, sin saber adonde, ni en qué tiempo el tí tulo primordial de egresión de la corona del oficio de tesorero general VARIEDADES. del derecho de la media anata de mercedes, que poseyó en propiedad D. Autonio Damiely Rivera, y hoy pertenece á sus herederos fá los Concluye el artículo sobre la Opinión pública. que únicamente interesa), se suplica al que tenga ó sepa donde exis Hemos dich…</t>
  </si>
  <si>
    <t>VARIEDADES, Cándido</t>
  </si>
  <si>
    <t>Cándido VARIEDADES</t>
  </si>
  <si>
    <t>…se reciban de la mano del mismo ■autos. D. Antonio de la Cuesta. . El templo de Gnido; ó sea del Amor : .escrito en francés por .Mr. de Montesquieu, y traducido al castellano por D. Cándido VARIEDADES. Amador. Este poemita en prosa, dividido .en siete cantos, és una de las composiciones mas agradables del célebre autor del Viages y descubrimientos. Espíritu de las leyes. En él se presenta el cuadro de los prime ros amores en un cor.azon candoroso, y se pin…</t>
  </si>
  <si>
    <t>Varona, Josef</t>
  </si>
  <si>
    <t>Josef Varona</t>
  </si>
  <si>
    <t>…la de 6 del Logroño, en 2,200 rs. mismo Febrero á D. Eusebio Salcedo, D. Fernando Freire, Un corral existente en el término nombrado PeñalogroD. Antonio Garnica , D. Bedro Talens, D. Josef Varona, ño, con solo las cuatro paredes de piedra y su puerta vie D. Miguel Gardoqui, D. Antonio Butrón, D. MiguelPaa- ja , en 1,200 rs. din y D. Joaquín Rubalcava. Cinco heredades, compuestas de 29 fanegas , 11 celemi nes , en la misma jurisdicción de Logroño, en 5…</t>
  </si>
  <si>
    <t>Vas</t>
  </si>
  <si>
    <t>…o el im- biese siempre allí alguna fuerza europea. p;rio ruso estuviese colonizado; cuando en la actualidad no puede sacar Otros Sres. diputados hablaron en distinto sentido, y el Sr. Vas el Emperador á lo mas sino 2508 hombres. Los nobles rusos que po concelos expuso que todas las personas que venían de Rio-Janeiro</t>
  </si>
  <si>
    <t>Vasconcellos</t>
  </si>
  <si>
    <t>…baba la inquietud que aun rei Líndres 5 de Julio, de 1S21. « ¡Qué tierra pisamos! ¡Cuál es el sis naba allí. ’ tema de nuestras ideas! ¡Nos habremos por ventura vuelto mahometa El Sr. Vasconcellos propuso que en el término de tres dias saliese nos! Muchas veces me he hecho estas preguntas á mí mismo al oir que una embarcación de guerra para el Brasil, á fin de llevar las noticias una multitud de falsos políticos y de cristianos espurios acriminan una d…</t>
  </si>
  <si>
    <t>…reso declaró que quedaba enterado, y providenciaría con la bre ultramar.__Fernatnbuco 10 de Mayo. vedad posible. Copia de la carta Real dirigida por S. M. al gobierno de Bahía: El Sr. Vasconcellos pidió que se deliberase acerca de la tropa que »» Presidente y miembros de la junta provisional del Gobierno de quería enviarse á América, pues se hallaban detenidos los trasporté* Bahia: Yo el Rey os envió salud._ ^.Habiéndose dirigido siempre mis que habían…</t>
  </si>
  <si>
    <t>…e incompa renatas con mucho número de instrumentos. tible con las obligaciones que imponía el estado de casado. La mayor parte de las familias que tienen individuos complicados El Sr. Vasconcellos dijo que la proposición era inadmisible, por ser en la revolución se proponen abandonar el Piamonte. La marquesa de opuesta al artículo de las bases que expresaba ser hábil para ios em Piré irá probablemente á Sant Petersburgo, y la familia San Marsano pleos…</t>
  </si>
  <si>
    <t>…en lo interior de las casas los parientes ó los clérigos. les hablan pasado, y darles el curso correspondiente. » Como los estudiantes pertenecen á toda clase de gentes, procu El Sr. Vasconcellos pidió que la com-sion de Constitución propu ran hacer desaparecer insensiblemente del seno de esta nación , tan inge siese á la mayor brevedad un pian que sirviese de norma á los goberna niosa y tan instruida en otro tiempo, su aversión hácia los europeos, y…</t>
  </si>
  <si>
    <t>…ubre. do un gobierno que tenia tantos enemigos, no debía haber tanto escrú pulo sobre la Libertad de los ciudadanos. SS. MM. y AA. han salido hoy después de las 11 de la mañana El Sr. Vasconcellos habló contra el artículo, fundándose en que los para el Real sitio de S- Lorenzo, en donde permanecerán algunos dias. diputados de las Cortes portuguesas habían jurado hacer una Constitu Extracto de las noticias de ¡os periódicos extranjeros. ción mas liberal…</t>
  </si>
  <si>
    <t>Vasconcelos</t>
  </si>
  <si>
    <t>…introducía por este medio en el país, y la se le devuelvan los derechos que ha pagado por una partida de cacao de intervención que tenían en ello algunos empleados. Guayaquil. El Sr. Vasconcelos hizo una proposición para que el Congreso aten A la de Infracciones de Constitución una representación de Don diese al atraso de sueldos en que se hallaba el cuerpo de Ja marina, y Juan Argiiello , vecino de Goatemala, quejándose del capitán general Jo iguala…</t>
  </si>
  <si>
    <t>…vencer aquellos redactores! Ellos escri Puesta á votación , se acordó que se pidiesen informes al Gobierno." ben en un pais coman á todas las naciones europeas, bajo un Gobier El Sr. Vasconcelos pidió que la comisión de Marina presentase no despótico, zeloso de su autoridad , cruel é implacable en sus resen su dictamen sobre ios oficiales promovidos en Rio Janeiro, proponien timientos , y los terribles egemplares de la ira de los Sultanes contra do q…</t>
  </si>
  <si>
    <t>…España lejanas del contagio: en este casó la bieren podido presentarse en el tiempo prescritoy se aprobó. cuarentena y purificaciones serán de 30 dias para la primera y 20 para El Sr. Vasconcelos hizo una indicación para que en caso de hallar la segunda. La cuarentena y las purificaciones prescritas por el segundo se bloqueada alguna provincia, los diputados que lo fuesen en aquella párrafo del artículo 3." para las mercancías y otros objetos indicado…</t>
  </si>
  <si>
    <t>…ec miento de sus'esposos ha constituido gobernadores de las provincias y los rectores de las universidades. en el mas amargo abandono y desolación; de tantos padres ya caducos, El Sr. Vasconcelos ofreció presentar una adición para que si el po que debían la prolongación de su triste vida al trabajo y amor de unos der egecutivo influyese‘con soborno ó por cualquier otro medio á la hijos arrebatados ya por la muerte; de tantos en fin laboriosos ciuda-,…</t>
  </si>
  <si>
    <t>Vascoucellos</t>
  </si>
  <si>
    <t>…o, de Alcan Esta remoción no le impedirá el poder ser reelegido en lo futuro.” tarilla, propietario; D. Alfonso Melgases, de Carabaza, propietario; y Se descebó la proposición del Sr. Vascoucellos sobre .que si algún D. Francisco de Alpera, idem. diputado fuese elegido por soborno del poder egecutivo , fuese inme Játiva 9 de Noviembre. diatamente echado del Congreso. Han sido nombrados para electores de partido de esta ciudad Don Se'pasó á hacer la ele…</t>
  </si>
  <si>
    <t>Vaseli</t>
  </si>
  <si>
    <t>…alaba, y Broughain, Wood, Hobhmise, Sir Roberto Wllson , el Dr. Holland, que no se llevaría el cadáver sino á la fuerza; que en la primera parada los tenientes Fiinn y Hownain, el conde Vaseli 3cc., llegaron sucesi seria regular que se presentase á egercer su derecho de albacea, que era vamente, y se les introdujo en el salón principal. muy superior al poder usurpado que estaban egerciendo entonces los A las 6 en punto se presentó un escuadrón de c…</t>
  </si>
  <si>
    <t>Vauzeller</t>
  </si>
  <si>
    <t>…o de ser considerado como ¿tumos en extremo. cualquiera otro ciudadano. Mr. Benjamín Cónstant pronunció un vehemente discurso para probar Se trató del art. 54-y último, y pidió el Sr. Vauzeller que se ana que no se debía interrumpir á Mr. Bignon, porque no se habia separado' díese el que los marineros fuesen considerados como soldados en cum de la cuestión. „No seria una acción digna de vosotros (dijo ) el in io á inválidos, haciendo algunas reflexi…</t>
  </si>
  <si>
    <t>Váz, Josef Antonio</t>
  </si>
  <si>
    <t>Josef Antonio Váz</t>
  </si>
  <si>
    <t>…icadas á él, se darán siempre á censo redimible, enemigos de! sistema. no otorgando la escritura de propiedad hasta que no hayan sido dedi Se concedió el permiso que solicitaban á D. Josef Antonio Váz cadas al tabaco, y se entenderá que éstan en arrendamiento; podiendo quez, juez electo de primera instancia de un partido de la provincia da la Hacienda pública repartirlas á otros, si pasado este tiempo no se hu Murcia; á O. Antonio Caballero, que lo es del…</t>
  </si>
  <si>
    <t>Váz, Josef-María</t>
  </si>
  <si>
    <t>Josef-María Váz</t>
  </si>
  <si>
    <t>…atedral de Vatladolid de Meehoacan á D. Domingo Garfias y Mo que manifiestan el M. R. arzobispo y Gefe político haber en los bar reno: y para otra de la de Puebla de los Angeles i D. Josef-María Váz rios inmediatos á la puerta de l-uencarial, se trasladará toda esta co quez Ruiz.</t>
  </si>
  <si>
    <t>Vaz-, Luis</t>
  </si>
  <si>
    <t>Luis Vaz-</t>
  </si>
  <si>
    <t>…Moscoso, mi Otra al cobertizo del colegio de Doncellas, núm. 1 , lin nistro togado, y juez letrado de primera instancia de esta M. H. da con otras de la capellanía que administra D. Luis Vaz- villa, refrendada por su escribano de número D. Jacinto Gaoquez y marques de Castromonte, en 3693 rs. na y Loeches , se ha señalado el domingo 18 de este mes, en su Otra casa á ¡a colación de S. Bartolomé, titulada cole posada y hora de Jas 10 de su mañana ,…</t>
  </si>
  <si>
    <t>Vaz-Veho</t>
  </si>
  <si>
    <t>…imientos de ió á la votación, y salieron electos: para presidente el Sr. Faria Car la Morca son siempre relativas á nuevos tormentos y á nuevos ator valho; para vice-presidente el Sr. Vaz-Veho , y para secretarios que mentados: las dos naciones enemigas se han propasado demasiado: el daron reelegidos los que lo eran ; á saber : los Sres. Ribeiro Costa , Quiodio y la venganza las precipitan en inauditas atrocidades; y parece roga, Felgueiras y Freir…</t>
  </si>
  <si>
    <t>Vaz-Velho</t>
  </si>
  <si>
    <t>…la guerra entre Rusia y Turtarios de las Cortes para el mes entrante, ’y salieron electos: para pre quía, -anunciaríamos una noticia que ignorábamos, y-tai vez publica sidente el Sr. Vaz-Velho: para y ice-presidente el Sr. Krigoso, y,para ríamos una verdad. Todas las probabilidades están en favor de la guerra; secretarios los Sres. Frejre, Queiroga, Felgueiras y Ribeixo Costa; con pero no se.puede asegurar que lahaya. El ministro ruso en Constantil…</t>
  </si>
  <si>
    <t>VazIVelho</t>
  </si>
  <si>
    <t>…viles y religiosas son 'tan- conocidas; nada, sin embarco' der egeGutivo con respecto al legislativo. ■ prueba mejor la existencia' de unas y ofrqs-que'Iá decisión cóñ que se ■ El Sr. VazIVelho manifestó con sólidas razones la propensión que pre&gt;tan los puebloS'á-conelúiis con. el corto , número de rnlsfebleV de tienen todos los"-hombres á elevarse; pintó-el impulso de las pasiones lincuentes, que porñ.eféetó de su-mftík índole ó de una Vít'séduccio…</t>
  </si>
  <si>
    <t>Vázquez</t>
  </si>
  <si>
    <t>…después los podrían distribuir los interesados entre sus descen campo D. Felipe de Arco Agüero, D. Miguel López Baños, D. De dientes. . , metrio O-Daly y D. Carlos Espinosa, y aL brigadier Vázquez, se les Después de haber hecho el Sr. Ezpeleta algunas observaciones sobre concediese una renta de 401) rs. en los mismos términos que á los an que estos bienes no debian pasar á sus sucesores, y solo disfrutarles tecedentes: que las Cortes los recomendasen á…</t>
  </si>
  <si>
    <t>…on el de los Sres. González Allende, Ro nota. En la gaceta de ayer , columna 9 , líneas 53 y 61, donde di mero Alpuente, Zapata y Manescau, contrarios á la aprobación del ar ce el brigadier Vázquez, léase el brigadier Latre. ticulo 3.', y se levantó la sesión. SUPLEMENTO</t>
  </si>
  <si>
    <t>Vázquez, Alfonso Fernandez</t>
  </si>
  <si>
    <t>Alfonso Fernandez Vázquez</t>
  </si>
  <si>
    <t>…es.de primera instancia de la provincia de ja Bilbao 6 de Enero. Mancha, en esta forma: para el partido de Consuegra á Se ha celebrado en esta villa el aniversario del dia, t.° de D. Alfonso Fernandez Vázquez -, para el de Almadén, á Enero, en memoria de! primer gritó que resonó en España D. Francisco González Vildies: para el de Alcázar de Sar» en favor de la restauración del régimen constitucional. La Juan á D. Ramón Antonio Antuñano: pera el de Quinmilicia naci…</t>
  </si>
  <si>
    <t>Vázquez, Alonso</t>
  </si>
  <si>
    <t>Alonso Vázquez</t>
  </si>
  <si>
    <t>…tra disposición ó principios de los cimiento de una universidad. establecidos por la Constitución , sin persuadir que no se debe observar, Se concedió) el permiso que solicitaba á D. Alonso Vázquez, juez será castigada con una multa de 10 á 500 duros, ó si no tuviese bienes electo de primera instancia de N., para que pueda prestar el juramento con una reciucion de un mes hasta dos años, al prudente arbitrio de en la audiencia de Castilla ia Nueva. los j…</t>
  </si>
  <si>
    <t>Vázquez, Antonio</t>
  </si>
  <si>
    <t>Antonio Vázquez</t>
  </si>
  <si>
    <t>…cual recomienda especialmente el comandante de la división á los seño han experimentado en la Península, y. se repiten en el presente año; res D. Joaquín Somoza , D. Jaime Prito, D. Antonio Vázquez , D. Jo S. M. ha tenido á bien mandar que V. S. recuerde de continuo á las sef de la Torre, D. Hilario Nogueras, D. Frar cisco Balct, D. Cipria autoridades dependientes de ese gobierno político de su cargo la urgente no Aragón, D. Josef Soiano, D. Josef María…</t>
  </si>
  <si>
    <t>Vázquez, Francisco- Pablo-</t>
  </si>
  <si>
    <t>Francisco- Pablo- Vázquez</t>
  </si>
  <si>
    <t>…ve que la Josef María Daza, diputado por Tiaxcala; el Sr. D. Juan Bautista Loa derecha .de.los austríacos ha sido batida completamente ; y que el ge bo , suplente por Oajaca ; el Sr. D. Francisco- Pablo- Vázquez, diputa neral Carrascosa se adelantó hasta Spoleto. Siendo esto cierto, la po do por Puebla; el Sr. Dr. D. Antonio Manuel Couto, diputado por sición de los austríacos, que pretendían internarse hasta Sul mona, como Veracruz ; el Sr. sargento mayor D. Ignacio…</t>
  </si>
  <si>
    <t>Vázquez, Gerardo</t>
  </si>
  <si>
    <t>Gerardo Vázquez</t>
  </si>
  <si>
    <t>…aron el Cádiz 2 de Marzo. año de 14 los 69 Sres. ex-diputados se pasó una solicitud del R. obis El Exento, ayuntamiento constitucional de esta ciudad, para hon po de Salamanca Fr. D. Gerardo Vázquez sobre que se sirvan aprobar rar dignamente la memoria de las víctimas inhumanamente sacrificadas las Cortes la asignación de io9 rs. que S. M. se ha servido concederle el 10 d* Marzo anterior, ha acordado que el día de su aniversario ten por vía de congrua, a…</t>
  </si>
  <si>
    <t>Vázquez, Josef</t>
  </si>
  <si>
    <t>Josef Vázquez</t>
  </si>
  <si>
    <t>…stir en hmas triste y penosa situación de su vida. Y última cumplido las condiciones de su concesión, en el caso de que estas cir mente que por las circunstancias que concurren en D. Josef Vázquez cunstancias no resulten enteramente de los mismos títulos” ; y me pa Suma Masía puede S. M. dispensarle sin ejemplar , si fuere de su Real rece que esta cláusula debe omitirse, porque por el título, después de agrado, el informe de la diputación provincial, y…</t>
  </si>
  <si>
    <t>Vázquez, Luis</t>
  </si>
  <si>
    <t>Luis Vázquez</t>
  </si>
  <si>
    <t>…Juan JViseí ba'd’ar. Santiago Aldama. . rar esta primera parte de la educación; y habiéndose realizado lós exáme Juan-Francisco Rodrigo." Santiago de A'ramburu. nes , gratificó á D. Luis Vázquez y !&gt;. Francisco Izquierdo con 40TS, -JüatvAintOniO Sántíbañezf 1 Santiago dé Vergánza y Zuá cada uno por ser los mas sobresalientes en sus clases , y con 60 á sus1 Juan Manuel Ranero deRozas. lueta. ' maestros, para que asi á los unos como á ios otros les sir…</t>
  </si>
  <si>
    <t>Vázquez, Martin Santin y</t>
  </si>
  <si>
    <t>Martin Santin y Vázquez</t>
  </si>
  <si>
    <t>…es , míos los hombres que formaste á tu semejanza ; y resulta en la causa pendiente en mi juzgado y escribanía del nú en virtud del poder legítimo que me compete como á Mo mero de D. Martin Santin y Vázquez, contra el referido sordo narca absoluto, cancelo tus leyes, porque no me acomodan, y otros consortes, por las heridas hechas á Bautista Lavernía y y establezco otras fabricadas á nii antojo , porque asi las. Josef Sarre la noche del 3 de Setiembre próximo pa…</t>
  </si>
  <si>
    <t>…on esta tro togado, y juez de primera instancia de esta M. H. villa, refrendada fecha lo traslado á dicho R. obispo y á los gobernadores del obispado por el escribano de su número D. Martin Santin y Vázquez, se ha de León, á cuya diócesis pertenece el convento de la villa de Potes, mandado sacará pública subasta por término de 30 dias dos casas en para su egecucion en la parte que les toca. Palacio 24de Abril de 18 21.” esta población ; la una en la calle de Ama…</t>
  </si>
  <si>
    <t>…todos los que las presen juzgado de primera instancia del Sr. D. Angel Fernandez de los Ríos, tes vieren y entendieren,- sabed: Que Jas Cortes han decretado lo si y escribanía de D. Martin Santin y Vázquez; en el concepto de que su guiente : » Las Cortes, habiendo examinado la propuesta de S. M. so último remate se ha de celebrar en una de las salas del ayuntamien bre que se fenezcan en el tribunal especial de Guerra y Marina, sin to, á las 11 del primer dia Ut…</t>
  </si>
  <si>
    <t>…nifestado por los pueblos de ver res juzgado de primera instancia del Sr. D Julián de Sojo y escribanía tablecidos sus derechos. » Ellos, se dice , consideran el saludable impe de D. Martin Santin y Vázquez; en el concepto de que su último re rio de las leyes como un yugo que es necesario sacudir. Renuncian á los mate se ha de celebrar en una de las salas del ayuntamiento , á las verdaderos sentimientos de amor á la patria, y sustituyendo á los debe 1 2 del prim…</t>
  </si>
  <si>
    <t>…y en él pa nistro'togado , y juez de primera instancia de esta M. H. villa, por la es sará adonde los anteriores; el colegio de trinitarios calzados, que se cribanía del número de D. Martin Santin y Vázquez; en el concepto de destinan ai convento de su orden de la misma ciudad; el convento de que su Último remate se ha de celebrar, con arreglo al decreto de las franciscos de Jesús de extramuros y el .colegio de su orden, cuyos indi Cortes de 3 de Setiembre próxi…</t>
  </si>
  <si>
    <t>…para todo género de pipas 7 Instancia de esta M. H. villa , que ha refrendado el escribano del nú tonelería. Tenemos noticia de que, dispuestos á iguales empresas, de mero de ella D. Martin Santin y Vázquez , se cita, llama y emplaza sean y se disponen á reclamar la prohibición otros varios beneméritos por término de 30 dias, contados desde la publicación del presente fabricantes y capitalistas de la provincia de Vizcaya y comarca vecina anuncio á los que se con…</t>
  </si>
  <si>
    <t>Vázquez, Martín Santin-y</t>
  </si>
  <si>
    <t>Martín Santin-y Vázquez</t>
  </si>
  <si>
    <t>…esen muerto cia territorial, y juez de primera instancia de esta’M. H. villa, por la en defensa dé la justa causa de la Nación , cupo en la suerte del pri escribanía del número de D. Martín Santin-y Vázquez; en el concep-1 mer extractóde'.ia de este dia ai Doña Leonarda María Casaviella, hija to de que su último remate se ha de celebrar, con arreglo al decreto d* de D. Ramón:, capitán que fue dei regimiento de infantería de Gua- las Cortes de-3 de .Setiembre pró…</t>
  </si>
  <si>
    <t>Vázquez, Míguel Lopez</t>
  </si>
  <si>
    <t>Míguel Lopez Vázquez</t>
  </si>
  <si>
    <t>…l présente instancia.éé.VIigúer Hots,- causidicc'.—Miguel' M'oy , comerciante^ésDel año,- confirmando lá expresada de 8 ¡de'Julío-dél'ántérior, limitando la" regimiento de León el teniente Míguel Lopez Vázquez—Ds id. -id.J prevención fiecha en lá mísnia al référido ayúntámiento á que en1 lo sú- ' Josef'Carrero.reDe id. el subtemi:n(i; Manuel -Suarez—De id: id. -Macesiyo proceda en sus acuerdos, representaciones ó quejas con la im iiano Tudó.p=De id. id. Juanf Bauti…</t>
  </si>
  <si>
    <t>Vázquez, N.</t>
  </si>
  <si>
    <t>N. Vázquez</t>
  </si>
  <si>
    <t>…e D- Josef Yagues y Soriano, vecino Se levantó la sesión á las seis y media de la tarde. de Abanilla, provincia de Murcia, contra el alcalde constitucional de dicha villa: otra de D. N. Vázquez , vecino de Sta. María de Cu— !. PORTUGAL.. diña , contra el alcalde constitucional de aquel lugar: otra de D. Ra món de Obes García, contador electo de la aduana de Mallorca, contra Lisboa gt de Marzo. el juez de primera instancia de Mahon; y otra exposición…</t>
  </si>
  <si>
    <t>Vázquez, Nicolás</t>
  </si>
  <si>
    <t>Nicolás Vázquez</t>
  </si>
  <si>
    <t>…a el eada. Ubeda D. Josef Eustaquio Madrid; D. Antonio Gallego Rodrí Levante, la India , las dos Américas y el continente; y su valor me guez. Baeza D. Antonio Lafuente y Oquendo; D. Nicolás Vázquez. dio ha sido de 6.7009 francos. Alcalá la Real D. Ildefonso Zejalvo. Martas D. Mateo López. An» Las fábricas de Limoux y de Chalabre, cuyo* productos han sido áujar D. Josef Garzón. también muy considerables , no tienen menos actividad que las de Car- Provinc…</t>
  </si>
  <si>
    <t>Ve, Ignacio</t>
  </si>
  <si>
    <t>Ignacio Ve</t>
  </si>
  <si>
    <t>…a antigua ño admitía en sus demostraciones lle y Fernandez, D. Joaquín Nuñez y Fernandez , Don sino lo que podía egecutarse con la regla y el compás. MasAgustin de Sesma y Landa , D. Ignacio Ve! unza y Gadea, chsroni, todavía mas severo, quiso no hacer uso de la re D. Francisco Alvarez Reyeró de Reyero, D. Antonio gla. Es de admirar el gran número de proporciones nuevas Vargas Ucles de Herrera , D. Jacobs Wals y Linch , Don y curiosas que ha sabido…</t>
  </si>
  <si>
    <t>Ve, Juan RuBio</t>
  </si>
  <si>
    <t>Juan RuBio Ve</t>
  </si>
  <si>
    <t>…sta fecha, á instruirle de un asunto que !e interesa, se suplica á la persona que acudan nuevamente á manifestar, bajo su firma, sí Ies que lo supiere se sirva avisarlo en casa de D. Juan RuBio Ve conviniere suscribirse en la deuda consolidada con interes, jarano , c alie de Silva,núm. 9, cuarto principal. MADRID EN LA IMPRENTA NACIONAL.</t>
  </si>
  <si>
    <t>Véalardi, Amadeo</t>
  </si>
  <si>
    <t>Amadeo Véalardi</t>
  </si>
  <si>
    <t>…ayor general,.inspector de infantería. = J. Clravegna, mayor general, Duque de Calabria-No hallando por su parre los plenipotenciarios nin comandante.de. la división de Turin.uuEl conde Amadeo Véalardi, co gún inconveniente en ésta medida, consintleron sin dificultad- ronel del regimiento de Guardias. = El conde deSambuy, coronel del Estos han sido, Sr. conde , los resultados de las .comunicaciones regimjento de dragones ¡de la Reina. ssEl- caballero Montho…</t>
  </si>
  <si>
    <t>Veamurguia, Stran- Josef</t>
  </si>
  <si>
    <t>Stran- Josef Veamurguia</t>
  </si>
  <si>
    <t>…prelados griegos. Los misioneros de la Sociedad lota , núm. 171. D.Luis Gargollo , calle del Calvario , núm. 134. Don Bíblica, á quienes los turcos han respetado por miramientos á lord Stran- Josef Veamurguia, calle Ancha, núm. igi. D. Miguel de Robles, ford, lian auxiliado en cuanto les ha sido posible á los ' eclesiásticos calle del Sacramento, núm. 223. D. Diego Gaitía, extramuros. Cá griegos. diz 16 de Octubre de 1821. = Jaureguí. Las últimas cartas de Rusia n…</t>
  </si>
  <si>
    <t>VecchioArt</t>
  </si>
  <si>
    <t>…getos siguientes: el marques de Andrecca para el ministerio de .meatos que ahora existen, sin añadir ningún empicado nuevo. -Hacienda; el caballero Giorgío para el de Justicia; el Sr. VecchioArt. 2.0 » Que se supriman todas Jas direcciones protectoras parti n¡ para el del Interior; el general Fardella para el- de Guerra, y para culares de canales y caminos nacionales, encargando la continuación de el de Marina al Sr. Luccapalli. .dichas obras á los i…</t>
  </si>
  <si>
    <t>Vecino</t>
  </si>
  <si>
    <t>…al las Cortes no asistirán á función allana magistrados de Ja capital, generales nacionales ó extrangeros, y exdi pública. putados del Congreso. Se aprobó la adición que sigue del Sr. Vecino a! art. ió: » Pu9.0 Sobre la mesa se pondrá un erucifijo, dos egemplares de la diendo exponer antes lo que tenga por conveniente.” Constitución, otros - dos • de este reglamento, ios códigos legales, la Quedaron asimismo aprobados ios artículos que continúan…</t>
  </si>
  <si>
    <t>…la Alberca egecucion de los que resulten confesos ó convictos."” ... los de carmelitas calzados, los de S. Francisco en Valverde ,Va!era de Se pasó á la .misma'-comisión otra del Sr. Vecino al art. 12 , conce Abajo , Moya , Villanueva de la Jara y la Roda ; en Uclés , el Cambrón bida en éstos términos.: ,,Tnterin se-decide la-competencia por el tribu y S. Clemente los de ¿carmelitas descalzos; en Castillo de Garciuuifioz nal supremo de Justicia…</t>
  </si>
  <si>
    <t>…comisión de Agricultura se mandó pasar una exposición de asunto, y que pasase á la comisión que entiende en estos negocios. la diputación provincial de Sevilla, presentada por el Sr. Vecino, so •Se resolvió presente en la discusión de señoríos la representa bre ei arreglo y división de terrenos baldíos. ción de la diputación provincial de Cataluña, juntamente con otras de El Sr. Romero Alpuente dijo que sin embargo de la orden de las varias pobl…</t>
  </si>
  <si>
    <t>…ades de-las de los certificados.extranjeros de cartas y demás papeles.” iglesias catedrales y colegiatas ,ría cual la retiró la cornision. No se admitió á discusian-la adición del Sr. Vecino al art. 3íI: Se aprobó una adición dél Sr. Palarea á los artículos de correos y «. Que Jos empleados,de la renta nacional de la dirección de-Correos loterías, relativa á qué en lo-sucesivo fuesen preferidos para las plazas y loterías serán por mitad dé una y…</t>
  </si>
  <si>
    <t>Vedólo</t>
  </si>
  <si>
    <t>…l "ir. González Azaola para que se añada á la provincia de Sevi granjeado la consideración, confianza y.aprecio de lodo» lo» habitantes lla la ciudad de Sanlúcar ce Barratgeda- ti Sr. Vedólo dijo que. esta</t>
  </si>
  <si>
    <t>Vega, Diego de</t>
  </si>
  <si>
    <t>Diego de Vega</t>
  </si>
  <si>
    <t>…tucional que hemos jurado. Todos los gefes y oficiales agregados Circular del ministerio dt la Guerra. á esta plaza, y demas que se hallan con destino á ella , con otros va &gt;.&gt; F1 brigadier D. Diego de Vega, coronel dei regimiento infante rios que se hallan con licencia , se me han presentado y ofrecido sus. ría de Cantabria , recurrió al Rey exponiendo que, atropellada su ino servicios. Los señores gefes y oficiales comandantes son el teniente co cencia por la…</t>
  </si>
  <si>
    <t>Vegas, Antonio</t>
  </si>
  <si>
    <t>Antonio Vegas</t>
  </si>
  <si>
    <t>…de la segunda mitad entre esta y el batallón á que la misma cor ba sumamente escasa, y los principales sucesos y acciones de guerra responda. ocurridos en esta última ¿poea , por D. Antonio Vegas: 6 tomos en 4.a i*. Lo mismo se practicará en todas sus partes con la milicia nacio Se hallará cu la imprenta de Dávila y en la librería de Sojó. SUPLEMENTO</t>
  </si>
  <si>
    <t>Veiasco, Clemente</t>
  </si>
  <si>
    <t>Clemente Veiasco</t>
  </si>
  <si>
    <t>…ente Las Cottcs recibieron coa agrado, y mandaron pasar á ¡a comisión promovido con motivo de haber impuesto el virey de Nueva-España, de Agricultura, un egemplar de la memociá ¿e D. Clemente Veiasco D. Francisco Venegas, una contribución de ’.o por 100 sobre las fin sobre el establecimiento del monte pío de labradores.</t>
  </si>
  <si>
    <t>Veiasco, Francisco Gutiérrez</t>
  </si>
  <si>
    <t>Francisco Gutiérrez Veiasco</t>
  </si>
  <si>
    <t>…so que con motivo de la queja dada por el contador principal de la pro nalmente en los períodos que esta le prevenga , la cual podrí exigirle vincia de Granada contra el de Motril D. Francisco Gutiérrez Veiasco fianza de buena conducta ; y sino la diere, confinarle en un pueblo ó de Alzamora por su apatía en la remisión de estados y demas noticias parte de él , donde pueda trabajar, y aun arrestarle por el tiempo que de aquella dependencia, rtie manifiesta la urgent…</t>
  </si>
  <si>
    <t>Veirer, Juan</t>
  </si>
  <si>
    <t>Juan Veirer</t>
  </si>
  <si>
    <t>…e la chanoillería á los que le puedan Turrull , de id. En Andujar en la de D. Angel Stella, de. tener mejor que Doña Josefa Gabriela Valdearenas. id. En Palma de Mallorca en la de D. Juan Veirer, de El tribunal especial de Guerra y Marina ha mandado se ci id. En Cuenca en la de D. Valentín Mariana, librero. En te y emplace por medio de la . gaceta del-Gobierno á Doña Ma ría Campani, viuda de D. Ramón Compani, vecino que fue Belmonie en la de D. Rufin…</t>
  </si>
  <si>
    <t>Vela, Juan Nepomuceno</t>
  </si>
  <si>
    <t>Juan Nepomuceno Vela</t>
  </si>
  <si>
    <t>…dese á 2 rs. en la librería de Hurtado. Mallorca á D. Manuel de Lizana: en la de Galicia á D. Ramón Ma Manifiesto que hace un ciudadano á sus compatriotas con motivo ría de Moya y D. Juan Nepomuceno Vela: en la de Sevilla á D. Jo de haber acordado S. M. que baya Cortes extraordinarias , y las obser sef de Mier y D. Pedro Simó López de Haro: en la de Astúrias á Don vaciones hechas por un amante de la Constitución y de las leyes sobre Francisco A yuso y Mena: e…</t>
  </si>
  <si>
    <t>Vela, Julián Díaz de</t>
  </si>
  <si>
    <t>Julián Díaz de Vela</t>
  </si>
  <si>
    <t>…n el expresado término y pago , en noors. : Dos marjales en id. id., en r600 rs. ANUNCIOS. Otros dos marjales en el mismo.término y pa?;o, en 1400 rs. En virtud de providencia del Sr. D. Julián Díaz de Vela, juez Cuatro marjales en id. id., en i3 rs. de primera instancia de esta heroica villa, refrendada del escribano Un la provincia de Valladolid, procedentes del extinguido monasterio de'número de ia misma D.- Tomás-María Manrique, se ha maridado de los Mártire…</t>
  </si>
  <si>
    <t>…San ANUNCIOS. tander , que en consecuencia de la ley de 25 de Octubre del año próxi mo pasado ha formado el Gefe político de dicha provincia , con pre En virtud de providencia del Sr. D. Julián Díaz de Vela, minis sencia de los datos é informe que le ha*suministrado el R. obispo de tro honorario de la audiencia territorial , y juez de primera" instancia la diócesis, y me remitió V. E. con su oficio de 5 de Marzo último, de esta M. H. villa , refrendada por el es…</t>
  </si>
  <si>
    <t>Veladiez, Josef María</t>
  </si>
  <si>
    <t>Josef María Veladiez</t>
  </si>
  <si>
    <t>…ro D. Jacinto Gaona y Loeches, su fecha 9 dél corriente, se ha sus brillante, y la mas grata y digna de un Monarca, es la que se funda en pendido la junta general de acreedores de D. Josef María Veladiez, la que ya se tiene por sucesión , cuando esta legitimidad de sucesión está señalada para el dia 13 del mismo, y vuelto á señalar para el do expresamente reconocida, voluntariamente consentida, públicamente mingo 10 de Junio próximo en casa de S. S. y hora de…</t>
  </si>
  <si>
    <t>Velarde, Josef</t>
  </si>
  <si>
    <t>Josef Velarde</t>
  </si>
  <si>
    <t>…sucedido; poniendo la mala calidad de los terrenos baldíos que existen en el dis pero al fin llegaron dos ó tres personas que silbaron á los oradores. Le trito de la residencia de D. Josef Velarde, padre del héroe L&gt;. Pedro vantóse la sesión; quedó señalada para el dia siguiente; pero hallaron Velarde, de que se le debe hacer entrega según la orden de las Cortes de cerrado el'Salón. La gente escribió en la puerta: escusad la charla. 15 de Marzo de 1814…</t>
  </si>
  <si>
    <t>Velarde, Leodegario</t>
  </si>
  <si>
    <t>Leodegario Velarde</t>
  </si>
  <si>
    <t>…, y millas á D. Vicente de la Gándara-, para el de Torre la Vega á Don últimamente por hallarse á un extremo del feiho de Valencia, sin que Josef Manuel Tagle: para el de Laredo á D. Leodegario Velarde: pa se la pudiese ágtegar á ninguna otra provincia ; mejorándola considera ra el dé Liérganes a D» Josef Piñal de la Vega; y para el de Ontaneda blemente con éste tránsito , puesto que la diputación provincial que se de Toranzo á D. Isidro Josué de Barreda. e…</t>
  </si>
  <si>
    <t>Velarde, Pedro Tagle y</t>
  </si>
  <si>
    <t>Pedro Tagle y Velarde</t>
  </si>
  <si>
    <t>…ancisco Belloc y ANUNCIOS. Navarro, á D. Josef Barragan y Carbailar y á D. Tomas Barona: pa En 17 del corriente se verificó el primer remate de dos casas sita» ra la de Ayamonte á D. Pedro Tagle y Velarde: parí), la de Araceux en esta corte, una, calle de Cedaceros, núm. 8, manz. 2Ó7, y otra, ca á D. Líborio Tudda: para la de Cerro á D. Antonio Moreo é Jnza: lle de la Cruz, núm. 1, manz. 209, que pertenecieron- al extinguido para la d; Cazalla á D. Josef López…</t>
  </si>
  <si>
    <t>Velasco, Ana Avila y</t>
  </si>
  <si>
    <t>Ana Avila y Velasco</t>
  </si>
  <si>
    <t>…r adquirir, y en seguida de la palabra adquirirlo se aña A la comisión especial de Hacienda se mandó pasar una solicitud , dió como todos ¡os demas españoles, y quedó aprobado. de Doña Ana Avila y Velasco, en que pide que en atención á los mé Se aprobó el 5.0 y &lt;5-° ritos de su marido se la señale una pensión para atender á su subsis Art. 5.° » Todo español , y ademas todo extrangero de cualquier tencia y á la de siete hijos menores. estado que sea aun antes d…</t>
  </si>
  <si>
    <t>Velasco, Antonio Martinez</t>
  </si>
  <si>
    <t>Antonio Martinez Velasco</t>
  </si>
  <si>
    <t>…ela. Presentamos aqui la lista de los electores que han de concurrir á las Parroquia de Santiago, un elector. elecciones del domingo; y si antes no lo hemos hecho , ha sido por ha D. Antonio Martinez Velasco. ber pensado en reunir la lista de los compromisarios, cuya publicación Parroquia de S. Sebastian, ij electores. creíamos importante para que en los siguientes años pudieran tener pre D. Benito Antón Pisador, el conde de Clavito, D. Diego Parada,. sente los v…</t>
  </si>
  <si>
    <t>Velasco, Bernarda</t>
  </si>
  <si>
    <t>Bernarda Velasco</t>
  </si>
  <si>
    <t>…obre el en defensa de la justa causa de la Nación , cupo en la suerte del pri estado del cumplimiento de las obligaciones de la tesorería general. mer extracto de la de este dia á Doña Bernarda Velasco, hija de Don (Vbase la gaceta del 28 de Abril.') ... Josef, teniente que fue del extinguido regimiento de Oviedo , muerto El Sr. conde de Toreno dijo: El objeto principal de la comisión es, en el campo del honor. que se haga una visita en la tesorería general…</t>
  </si>
  <si>
    <t>Velasco, Domingo Antonio</t>
  </si>
  <si>
    <t>Domingo Antonio Velasco</t>
  </si>
  <si>
    <t>…ues que S. M. po- se leyó el dictamen de la comisión Especial encargada de examinar d a según la Constitución suspender su sanción hasta la legislatura pró la causa formada contra D. Domingo Antonio Velasco, comisario de xima, ó no sancionarlo; y que habiendo consentido ya los puebios en Guerra honorario de los egércitos nacionales, por autor de un papel no pagar , se veían claramente los males que podrían resultar. titulado Centinela contra republicanos-, la co…</t>
  </si>
  <si>
    <t>Velasco, Domingo' Antonio</t>
  </si>
  <si>
    <t>Domingo' Antonio Velasco</t>
  </si>
  <si>
    <t>…cual quedará autorizado con solo habiendo examinado la causa que se formó al comisario de guerra ho declararlo el interesado delante del alcalde y secretario. La comi.ion norario D. Domingo' Antonio Velasco, como autor de un-papeltitulado érela que si habia de comparecer e! interesado ante el alcalde y se .Centinela contra reruidlranos, que le había sido-remitido por el Gobier cretario , para que fuese válido el nombramiento de procurador, era no , dudaba si á t…</t>
  </si>
  <si>
    <t>Velasco, Félix María Manso de</t>
  </si>
  <si>
    <t>Félix María Manso de Velasco</t>
  </si>
  <si>
    <t>…fija el contingente de su pueblo ó distrito. de Ebro á D. Domingo de San. Martin: para Sto. Domingo de la Cal El Sr. Bahamonde manifestó que parecia se oponía á la Constitu zada á D. Félix María Manso de Velasco: para Sedaño á D. Gabriel ción el que se enviase la orden de repartimiento á los alcaldes consti Gutiérrez; y para Villarcayo á D. Pablo Arispe. tucionales, puesto que á los ayuntamientos correspondía el conoci miento de esta orden. El Rey; á;consulta del con…</t>
  </si>
  <si>
    <t>Velasco, Jacinta</t>
  </si>
  <si>
    <t>Jacinta Velasco</t>
  </si>
  <si>
    <t>. ................ .........HKUTSIU. -día á Doña Jacinta Velasco, hija de D. Josaf, teniente que fue del exjí hgúídS, regixñiento dé Oviedo Vrmtfattprén'él címpo del honor.; ' ' Líhdret 27 de Octubre.. ■' ■ Ayer ¿las dos y media hubo un terror pánico en la bolsa. Estuvie ron los fondos al 785 á plazo;.45ajaron luego al 77.…</t>
  </si>
  <si>
    <t>Velasco, Manuel</t>
  </si>
  <si>
    <t>Manuel Velasco</t>
  </si>
  <si>
    <t>…justicia que tiene ca se han cortado por la vigilancia de las autoridades. El capitán general da nación para hacer reformas saludables en sus instituciones sociales. de Andalucía D. Manuel Velasco, tan amante de su Rey como de la Creemos, sí, que hay hombres, que dominados por las pasiones, se Constitución , y zeloso observador del orden público, comunicaba estas dejan arrastrar por el espíritu de partido. noticias al capitán general de la provincia de…</t>
  </si>
  <si>
    <t>Vélasco, Manuel</t>
  </si>
  <si>
    <t>Manuel Vélasco</t>
  </si>
  <si>
    <t>…olver—pretendió¡o convenienAlApenas llega a-Utrera el baron de;Ándil¡a cuando .el-comandante te ; pero cuando sé dirigia en su busca se le anuacíó por una diputageneral de Seviíía D. Manuel Vélasco le comunica en 15 de Noviem .cion de Sevilla, compuesta de un 'individuó de lá provincial; otro dél bre una orden, .para que se situé en Ecija ó en Osuna, que es, dice, ayuntamiento j / otro, dé la milicia local ,‘que le espéraba fnferi de lá cuanto ha podido…</t>
  </si>
  <si>
    <t>…smo pretenden desacreditar propias:autoridades se ha fundado únicamente en el disgusto por la re- - » las instituciones liberales, y persuadir que es incompatible la líbermocionde D. Manuel Velasco y D. Ramón Luis de Escovedo; jy dos » tad con el orden. * personas solas han valido mas que el decoro del Gobierno, mas que la « Las Cortes, Señor, por tanto no.pueden menos de manifestar á tranquilidad dé una provincia, mas,que el concepto de los españoles » V. M. y á la Nación del mod…</t>
  </si>
  <si>
    <t>…alificando los La contestación dada por las Cortes al mensage del Rey dió moti efectos de aquel acto, no puede menos de mirar como sujeta á respon vo á que el Gobierno mandase que D. Manuel Velasco y D. Ramón sabilidad la conducta de las autoridades , que habiendo podido impedit Lu is Escovedo cesasen respectivamente en las funciones de comandan estos desórdenes, no solo no lo hicieron , sino que fueron en cierto te general y gefe político de la ciudad de Sevilla…</t>
  </si>
  <si>
    <t>Velasco, Ramón Rodríguez de</t>
  </si>
  <si>
    <t>Ramón Rodríguez de Velasco</t>
  </si>
  <si>
    <t>…de tres meses de completos de doce meses.” prisión y en una multa da 1500 rs. vn.: en cuya consecuencia el señor hl Sr. Calatrava dijo que no habia otra objeción que la del tribu D. Ramón Rodríguez de Velasco, juez de primera instancia de Gra na! supremo de Justicia. nada, mandó se llevase á debido efecto. El Sr. Sánchez Salvador dijo que debía tenerse alguna consideración con los reos que hubiesen estado algún tiempo en calabozo, y abonar Habiéndose observado los…</t>
  </si>
  <si>
    <t>Velasco, Saturio Angel de</t>
  </si>
  <si>
    <t>Saturio Angel de Velasco</t>
  </si>
  <si>
    <t>…en cuyo tiempo era Emperador Adriano acreedor que se contemple con derecho.á los bienes que ha de después de la muerte de Trujano, acaecida en el año 117. jado á su fallecimiento D. Saturio Angel de Velasco, vecino Asi como este construyó el puerto, el aqüeducto, y la que fue de esta corte, para que en el término de 30 dias de co mo se publique en el diario y gaceta de esta capital, se presentenmagnífica villa Centócella, próxima á las termas llamadas á deducir…</t>
  </si>
  <si>
    <t>Velasco, Valentin</t>
  </si>
  <si>
    <t>Valentin Velasco</t>
  </si>
  <si>
    <t>…rización, Leída y aprobada el acta del dia anterior, el Sr. secretario Peñafiel que por seis meses le habia concedido la Santa Sede, á fin de que pu dió cuenta de una solicitud de D. Valentin Velasco, comandante de diesen secularizarse los regulares de aquellos países, sin necesidad de ve milicias nacionales de infantería de Vitoria, en que pide se le exima nir á la Península. de este cargo para servir en caballería. Las Cortes acordaron pasase á la El en…</t>
  </si>
  <si>
    <t>Velasen, Manuel de</t>
  </si>
  <si>
    <t>Manuel de Velasen</t>
  </si>
  <si>
    <t>…caba de indicar traslada la resolución de las Cortes. La época en que se recibieron no fue una rá aqui algunas de las expresiones que se contienen en la representa misma, pues que D. Manuel de Velasen dice en una representación ción de Sevilla. » Las Cortes, dice, habrán procedida sin duda en este que él los había recibido el 15 , y Escovedo manifiesta que con motivo negocio del modo mas justificado para mantener ilesas las libertades pú de hallarse fuera…</t>
  </si>
  <si>
    <t>Velasqp, Manuel de</t>
  </si>
  <si>
    <t>Manuel de Velasqp</t>
  </si>
  <si>
    <t>…bales, y tendrá representar, los sucesos de que tratamos habrían tenido otro carácter. obligación de noticiar á la autoridad local su habitación y modo de Pasemos a ia conducta de D. Manuel de Velasqp y D. Ramón vivir. Si quebrantare el coronamiento , sufrirá un arresto de uno ú ocho Luis Eacovedo como funcionarios públicos. Respecto del primero se meses ; y si durante el quebrantamiento cometiere otro delito , se le im observa que sin embargo de haher recibido las ó…</t>
  </si>
  <si>
    <t>Veleta, Francisca de Ciria</t>
  </si>
  <si>
    <t>Francisca de Ciria Veleta</t>
  </si>
  <si>
    <t>…abunda este folleto. Se hallatá á 6 rs. en rústica en la llamado en la fundación en primer lugar a los descendientes de Doña librería de Orea. Mariana Estéban, en segundo á los de Doña Francisca de Ciria Veleta, Reflexiones sobre, el mejor sistema de defensa nacional. Véndese en tercero á los de Doña Josefa Solan, y en falta- de estas treslíneas á en la librería de Sanz, á 10 cuartos. los parientes de los fundadores por ambas líneas, solicitando que.con El espíritu…</t>
  </si>
  <si>
    <t>Velez, Zacarías Romero</t>
  </si>
  <si>
    <t>Zacarías Romero Velez</t>
  </si>
  <si>
    <t>…duda alguna; mas si la hu Sánchez de la Iglesia; para Tordesiilas á D. Eugenio Hernández Borbiere, ó pidiere algún diputada que se cuenten los votos, aunque sea bon; paraRioteco á D. Zacarías Romero Velez; para Villalon á Don después de la publicación; acto continuo se contarán efectivamente Domingo Bacas P»oj-.: para la Puebla de Sanabria á D. Josef Maroto; del modo siguiente: dos diputados que hayan votado, uno por la afir para Gradefes á D. Quirico Antonio…</t>
  </si>
  <si>
    <t>Velho, Vaz</t>
  </si>
  <si>
    <t>Vaz Velho</t>
  </si>
  <si>
    <t>….... Cádiz, -ff He Marzo. -• • • El Sr. Castelld Branco', haciendo .varías reflexionestobre lo expues- - - Desdando la - sociedad écohómic^Már-toda la extenííótf rque es to por el Sr. Vaz Velho , probó que-las pasiones de los hombres les in compatible con éK estado-tfec sus‘fondós1 a-1¿ educación gratuita que clinaban siempre á desear la gloria y una buena reputación ; y qúe por' ya tiene establecida en su escuela de la calle-ríe laRosa!; y permi es…</t>
  </si>
  <si>
    <t>Vello, Vaz</t>
  </si>
  <si>
    <t>Vaz Vello</t>
  </si>
  <si>
    <t>…favor tarios para el mes próximo, y salieron electos, para presidente el señor del Sr. Burel, vecino de Cette, por.haber perfeccionado un aparato pa Moura, para vice-presidente el Sr. Vaz Vello, y para secretarios los ra la fermentación del vino, sin que se disminuya sú volumen, su alSrcs. Folgueiras, Ribeiro Costa, Freire y Queiroga; y para suplirles kool ni su aroma. Andrés de Moya Luzuriaga. ‘ los Sres. Faliao y Basilio Alberto; con lo' que se le…</t>
  </si>
  <si>
    <t>Veluzque, Rosa</t>
  </si>
  <si>
    <t>Rosa Veluzque</t>
  </si>
  <si>
    <t>…con derecho al crédito de 31,360 rs. vn., que por muerte de Don los Abruzos, punto céntrico de la defensa de los napolitanos, prueba Antonio Mendoza recayó en su viuda y heredera Doña Rosa Veluzque es su ánimo hacer la guerra metódicamente y con prudencia.” He quez, y por muerte de esta en Doña María Javiera del Barranco, y aqui al gran general destinado á poner cadenas á un pueblo libre (que después en los cinco hijos de esta, habidos en su matrimonio…</t>
  </si>
  <si>
    <t>Venegas</t>
  </si>
  <si>
    <t>…dicha tar los escollos , proporcionó la casualidad de que el nuevo electo hi ciudad con la exposición hedía por aquellas autoridades , manifestan ciese dimisión de su destino. El general Venegas liabia hecho su di do su resolución de no ser reemplazadas sino por personas que hubiesen misión, y el Rey enterado de los justos motivos que habia alegado, tu dado pruebas positivas de adhesión al sistema constitucional. El mismo vo á bien admitir su renunci…</t>
  </si>
  <si>
    <t>…ítico D. Manuel Látre se recibieron aquí noticias de lo ocur designios de los enemigos de nuestra gloria y dé .nuestra prosperidad.. rido en Cádiz, con motivo del nombramiento del general Venegas paPodríais nombrar tales diputados; petó &lt; habríais cumplido vuestros de rá comandante general de aquella' provincia, cuando.se observó qus beres í - aquel mal jpáso merecía la aprobación de ciertas gentes-, y que se iban, » No, ciudadanos , no habríais corre…</t>
  </si>
  <si>
    <t>Ventosa, Tomas</t>
  </si>
  <si>
    <t>Tomas Ventosa</t>
  </si>
  <si>
    <t>…en 26,335 rs. y por sus autores, cuyos nombres, de acuerdo de la misma, se anuncian al público para su satisfacción. 30 mrs. . . La huerta nombrada de Buiza, riego de Caz alto, en D. Tomas Ventosa, médico de los egércitos naciona Baza, camino de la fuente de S. Juan, pago de Pavón , con les, catedrático de medicina pensionado por S. M.; Don su casa, cerca , 7 fanegas de tierra y árboles frutales, en Josef Manuel de Capdevila, primer cirujano militar in…</t>
  </si>
  <si>
    <t>Ventura</t>
  </si>
  <si>
    <t>…de 'haber nombrado el, Juan Ignacio, Godoy; D. Lucas Alaman, y D.. Josef María Hernández Sr. presidente al. Sr. Trayér para ja comisión de Legislación en .lugar, Chicos .Suplente, Sr. D. Ventura .Obregon, residente en España. del Sr* Vallé. Sé leyó él decreto dé, 14 de Abril de 1814 de las Cortes Por Sueva Galicia los Sres.©r,:p. Josef Miguel Ramírez, rac;one. generales y extraordinarias , quedeciaasi: » Las Cortes, queriendo per-, ro de esta catedra…</t>
  </si>
  <si>
    <t>Vequecia, Lucas</t>
  </si>
  <si>
    <t>Lucas Vequecia</t>
  </si>
  <si>
    <t>…esa lencia D. Martin Serrano, en Vich D. Antonio Valí, en Zamora rios par3 acreditar el valor anual de los diezmos de que se íes priva, D. Antonio Gómez de la Torre, y en Zaragoza D. Lucas Vequecia. á fin de egecutar la liquidación que demuestre lo que á cada uno cor responda á razón del 3 por 100, rebajadas ya las cargas ciertas y even Instrucción provisional que han de observar los comisionados especia tuales, formando el capital con arreglo á la base…</t>
  </si>
  <si>
    <t>Ver, Josef</t>
  </si>
  <si>
    <t>Josef Ver</t>
  </si>
  <si>
    <t>…ones de avun• Sesión del dia 26 de Marzo. tamiento los deudores á los fondos públicos. Leida y aprobada el acta de la sesión anterior se d i ó cuenta de un A la misma una queja de D. Josef Ver rucia contra el juez de pri oficio del Sr. ministro de la Guerra, en que dice haber trasladado al mera instancia de Pamplona por haberle allanado su casa. director general de artillería la resolución de las Cortes, mandando sus El Sr. presidente dispuso se co…</t>
  </si>
  <si>
    <t>Vera, Ambrosio Domingo de</t>
  </si>
  <si>
    <t>Ambrosio Domingo de Vera</t>
  </si>
  <si>
    <t>…se aprovechasen aJgunoi-edtficios de los cional da aquella villa en el ano pasado, D. Domingo Bazar: otra de terios suprimidos para la enseñanza pública;y habiendo meditado la co D. Ambrosio Domingo de Vera y otros vecinos de Montilla de la Se misión sobre este asunto , opinaba que debía dejarse á ia disposición rena contra el alcalde constitucional de dicha villa: otra del ayunta del Gobierno para el establecimiento nacional de ciencias naturales, miento consti…</t>
  </si>
  <si>
    <t>Vera, Josef Rodríguez</t>
  </si>
  <si>
    <t>Josef Rodríguez Vera</t>
  </si>
  <si>
    <t>…o diariamente se ocupan con tantp .tesía de la Corona-y jo dél de Galicia , al inando del teniente coronel ¡telo y felicidad en esta obra, ¡ no serian los.hombres mas inconsecuen .D. Josef Rodríguez Vera, geíé principal del expresado cuerpo de la tes si dejasen perder la ocasión .que se les presenta! Corona , saliese de esta ciudad con dirección á Jimena, desde donde ha Yo no inferiré de estas reflexiones quedábamos aprobar lo que pro .regresado sin la menor…</t>
  </si>
  <si>
    <t>Vera, Juan</t>
  </si>
  <si>
    <t>Juan Vera</t>
  </si>
  <si>
    <t>…aría Santiago, D. Josef Mariano Vallejo, D. Juan Angel Ortiz, por su educación, su carácter ó su rango en la sociedad debieran ser D. Juan Antonio Sánchez, D. Juan García Becerra,.D. Juan Vera, el egemplo de. sus conciudadanos, asi también la envidia , la venganza, D. Manuel Josef Quintana y D. Pedro Solana. la parcialidad , la ambición, y todas las pasiones mezquinas que envile Parroquia de S. Miguel y S. Justo, j- electores. cen y desdoran al hom…</t>
  </si>
  <si>
    <t>Verdejo, Blas</t>
  </si>
  <si>
    <t>Blas Verdejo</t>
  </si>
  <si>
    <t>…ibir; S. M. se ha servido que él valor de 13910 rs. que se dio á la c-chera sita en resolver que el conocimiento de dicha solicitud correspon el callejón de las Vacas, arrendada á D. Blas Verdejo, de de al poder judicial, y que V. S. instruya á lo» pueblos de be ser solo de 3910 rs. Lo hacemos presente á V. E. á fin esa provincia de que esta clase de solicitudes pertenece á de que se sirva mandar anunciarlo en la gaceta dei Gobierno los tribunales-, a…</t>
  </si>
  <si>
    <t>Verdó</t>
  </si>
  <si>
    <t>…l Sr. presidente nombx&lt;&gt; al ShvCosío para la,comisión de Comer arrostrarán intrépidos toda la rabia de la añeja oligarquía septentrio cio en lugar del Sr. González Alteó,ié , y aL Sr. Verdó para la‘de di nal; y es bien seguro que no os atendréis á solo el aplauso!!!” putaciones provinciales y demas para que estaba nombrado dicho séñór diputado. .- ' ' . NOTICIAS DE ESPAÑA. Se leyó el proyecto de ley para prohibir el tráfico de negros en !a: cost…</t>
  </si>
  <si>
    <t>Verdú</t>
  </si>
  <si>
    <t>…concluyó diciendo que ias la naturaleza ha querido privilegiar á Albacete por una parte, y á Cortes no podían menos de aprobar el dictamen de la comisión. Chinchilla por otra. El Sr. Verdú dijo que la comisión al señalar por capital á Chin Las pruebas de la insalubridad de Albacete son muy públicas; en el chilla se apartó no solamente de lo que decia en el discurso preliminar año iíioo la salud pública de Albacete perdió mucho , y en Chinchilla…</t>
  </si>
  <si>
    <t>Vérdug</t>
  </si>
  <si>
    <t>…que se diga al Gobierno que suspenda ésta; providencia, hasta que las gera discusión se aiprobo el artículo. • - • Cortes determinen lo conveniente. Se leyó el artículo 16 , y'el Sr. Vérdug manifestó que «Salándose El Sr conde de Toreno manifestó qué todos los inconvenientes que en el artículo 11 , á que se refería el artículo que se discutía, cuatro ocurrían estaban salvados con que esta'noche hubiese sesión extraor plazos, no se sabia sí ios d…</t>
  </si>
  <si>
    <t>Verdugo</t>
  </si>
  <si>
    <t>…incia cuando están enfermos van á te en S. Cristóbal de la Laguna lo había habido, solo había sido en tiem mar las aguas de Navajas, sumamente buenas, y tiene ademas los me po del Sr. Verdugo, el cual no pudiendo atender al pasto espiritual de jores vinos, aceite, lana &amp;c.; de consiguiente tiene todos los elemen aquellas islas , se le había puesto un auxiliar, que había dado en residir tos esenciales para que sea una cabeza de part.do; lo que en u…</t>
  </si>
  <si>
    <t>Veremundo</t>
  </si>
  <si>
    <t>…o el'mese lia llegado á verificar su nombramiento, y no ha residido en S. Cris jor modo de verificar la votación sena fijándose un máximum y un mí tóbal mas que un auxiliar del R. obispo Veremundo. Dice también la nimum , sobre lo cual tenia presentadas unas proposiciones, las cuales comisión que tiene una catedral, y la tal catedral no es mas que una pedia que se leyesen. .. parroquia, que ahora se le ha dado este nombre; también dice la co.m¡- Se ley…</t>
  </si>
  <si>
    <t>Vergara, Francisco Antonio</t>
  </si>
  <si>
    <t>Francisco Antonio Vergara</t>
  </si>
  <si>
    <t>…bir y examinar las cuentas de los sugetos siguientes: para Guadalajara á D. Pedro Julián Aupetit: para arbitrios aplicados á los gastas públicos y comunes del territorio. Molina á D. Francisco Antonio Vergara: para Sigíienza á D. Juan Art. 55. m El estado del repartimiento hecho con la diputación •Roza Ridozes: para Atienza á D. Manuel Rodrigo: para Brihuega á ■de partido se reunirá inmediatamente por el subdelegado al intendente.” D. Josef Pío Mourelo: para Cifue…</t>
  </si>
  <si>
    <t>Vergara, Josef</t>
  </si>
  <si>
    <t>Josef Vergara</t>
  </si>
  <si>
    <t>…ía; D. Josef Faura, cirujano del re gimiento infantería de Jaén; D. Josef Alarcon, cirujano extinguido monasterio de la Cartuja, para cuyo pri del regimiento infantería de Málaga; D. Josef Vergara, mer remate, que se ha de verificar en aquella ciudad, primer ayudante de cirugía en ei hospital militar de Santa esta señalado el dia 12 del corriente mes de Marzo. Cruz de'Tencrife; D. Manuel Serradell, cirujano del regi Diez marjales de tierra, en Gavia gr…</t>
  </si>
  <si>
    <t>…ara echar un velo sobre noso * 4 ¡a comisión de Hacienda y visita del Crédito público se paso una tros, poniéndose ellos en absoluta libertad; como asimismo á quitar exposición de D. Josef Vergara, abad de Valdeorras, para que se le ca aquellos jueces encargados de la averiguación de sus tramas, y cuyo pitalice la asignación que disfruta , cuya exposición se remitía por el patriotismo nos daba las mayores esperanzas, y de cuyas luces y pro bidad no pod…</t>
  </si>
  <si>
    <t>Verri</t>
  </si>
  <si>
    <t>…n Geró- desma, ex-diputado de las primeras Cortes ordinarias, y diputado en nima, cuarto principal; y de acuerdo general de los acreedores á dicho las actuales. El nombre solo del conde Verri es bastante para reco establecimiento se ha subrogado en lugar de los directores que relian mendar la importancia de esta obra, que ha sido apreciada por todos dicha compañía á los síndicos D. Cárlos SoldeviHa, D. Francisco Mon- los mejores economistas: un to…</t>
  </si>
  <si>
    <t>Verri, Pedro</t>
  </si>
  <si>
    <t>Pedro Verri</t>
  </si>
  <si>
    <t>…ía política, dirigido á los minis tros de Ja Gobernación y de Ja Hacienda nacional, escrito en italia La oficina de la dirección de la compañía del gremio de paños , uno no por el conde Pedro Verri, miembro del instituto de Bolonia, y de los cinco mayores de esta corte , que existía en la calle de Barrio- traducido al español por el ciudadano D. Francisco Rodríguez de I.enuevo , se ha mudado á la casa núm. uj, de la de la Concepción Geró- desma, ex-dipu…</t>
  </si>
  <si>
    <t>Verrl</t>
  </si>
  <si>
    <t>…á los habitantes de Dublin por de la Gobernación y de la Hacienda nacional: obra escrita en italiano medio de circulares y carteles, suplicándoles en nombre del bien publi por el conde Verrl, y traducida al español por el ciudadano D. Fran co que no diesen ya limosna alguna por las calles, sino que enviasen cisco Rodriguez de Ledesma ,ex-diputado de las primeras Cortes ordi á la administración de la sociedad las cantidades que quisiesen emplear n…</t>
  </si>
  <si>
    <t>Vetereth, Adan</t>
  </si>
  <si>
    <t>Adan Vetereth</t>
  </si>
  <si>
    <t>…845.200,931 libras esterlinas Se aprobaron los siguientes dictámenes de comisión. ( cer«a de 16,661 millones de reales). El de la ordinaria de Hacienda, acerca de la solicitud de D. Adan Vetereth, residente en Sevilla, sobre que se le pagasen 634,234rs. que FORTUCAL. le tomó el Gobierno en tiempo de la invasión francesa: la comisión opinaba que debia pasar este expediente al Gobierno para que tomase Lisboa 3 di Junio. todas las providencias convenient…</t>
  </si>
  <si>
    <t>Vi</t>
  </si>
  <si>
    <t>…sío, Ban— privada por haberse trasladado á Cervera. queri y Marin Tauste, que decían asi: „ r.° En atención á lo expuesto A la de Infracciones de Constitución se pasó una queja de D. Vi por el Sr. secretario de Ultramar, pedimos que solo se ocupen las cente Flores, alcalde primevo constitucional del lugar de Herrería (en Cortes en que por el Estado se facilite en. todos los pueblos de la la provincia de Aragón) contra el ayuntamiento de Moli…</t>
  </si>
  <si>
    <t>…opuesto el Sr. Romero Alpuente, to , dijese que haya dado pruebas positivas de &amp;c., con cuya opinión Acto continuo la reprodujo el Sr. Romero Alpuente en estos tér— se conformó el Sr. Vi 1,1 anuí va. minos: «Se declare que en la palabra empleado público civil de que El Sr. Florez Estrada dijo que no podia ser extensiva ¿ ningún su haola el decreto de 11 de Noviembre de 18ti se entienden comprendi geto por notoriamente desafecto al sistema con…</t>
  </si>
  <si>
    <t>…tro podrá enseñac de Setiembre y ó de Octubre últimos. por el método que quiera; pero la comisión, para evitar los inconve El de la especial de Hacienda acerca de la exposición de D. Vi nientes, ha propuesto los artículos que se discuten; en la inteligencia cente Beltran de Lis, en la que pedia se cumpliesen las contratas'que de que de esta manera sencilla se concillaban todos los males que pu hizo con el Gobierno en el presente año económic…</t>
  </si>
  <si>
    <t>…Joaquín de la Escalera; para Algeciras á Pon nia sobradas sospechas, se le daba facultad para hacer esto;.y que á pe- eonardo Talens de la R'iva ; para el Puerto de Santa María á D. Vi -*ar de que se decía después que todos los ciudadanos podian perseguir cente García Villamandos; para Jerez de la Frontera á D. Leonardo .en juicio á un delator falso , no dejaba de ser una cosa agriará mas de Botella; para Medinasidonia á D. Francisco Javier…</t>
  </si>
  <si>
    <t>Vi, Josef</t>
  </si>
  <si>
    <t>Josef Vi</t>
  </si>
  <si>
    <t>…sta al público el monumento erigido en la parte ex para llevar á cabo su arriesgada empresa, ha sido sorprendido en su ha terior de la iglesia de S. Felipe á expensas de los Sres. D. Josef Vi bitación por doS comisarios de policía austríaca, los cuales se han apo cente Durana y D. Pedro de la Puente, alcaldes constitucionales que derado de su caja, que han sellado, y de su correspondencia con los grie fueron de esta ciudad el año anterior , en mem…</t>
  </si>
  <si>
    <t>…ción nombre cada uno un na. D. Nicolás Escolar y Noriega. defensor suplente , que deberá ser de los mismos que defienden á otros Partido de S. Clemente D. Josef del Campo Moragon. D. Josef Vi reos, ó de ios demas militares que residen en Cádiz; y para que no re llanueva. D, Santiago María Melgarejo. D. Diego Navarro. caiga el nombramiento en los que tengan á su cargo defensas incompa Partido de Huete D. Julián de- la Calle, D. Juan Manuel Pió Aria…</t>
  </si>
  <si>
    <t>Vi, Juan</t>
  </si>
  <si>
    <t>Juan Vi</t>
  </si>
  <si>
    <t>…ado se presenten con sus respectivos créditos los deberán contar seis años de cadetes. 6.‘ Que los individuos del antiguo que no lo hayan hecho antes, en la escribanía del núm. de D. Juan Vi resguardo sean considerados para su colocación en el nuevo con respec lla y Olíer, prevenidos que de no verificarlo en el término señalado, to á la graduación ó plaza efectiva que tuvieron en el egército. 7.4 Que ó en el de 30 días, contados desde la fecha de…</t>
  </si>
  <si>
    <t>Vi, Manuel</t>
  </si>
  <si>
    <t>Manuel Vi</t>
  </si>
  <si>
    <t>…a de Ribera, en 82,0 rs. forma que previene la ordenanza. Concluida aquella augusta Otra de 4 yuntas al mismo sitio, llamada la Redonda, ceremonia pronunció el comandante interino D. Manuel Vi . en 1600 rs. llar la arenga prevenida por las Cortes, depositándose'en Otra de 3 yuntas, dicho sitio, llamada de la Caneja, "seguida la bandera en 'las casas consistoriales. en 1700 rs. Madrid -2.2 de Enero. En la provincia de Córdoba , procedentes del Real…</t>
  </si>
  <si>
    <t>Vial, Joaquin Gutiérrez</t>
  </si>
  <si>
    <t>Joaquin Gutiérrez Vial</t>
  </si>
  <si>
    <t>…n el camino abierto en el derecho de petición D. Manuel Orense, de Bilbao. D. Francisco Lesur, de Barcelona. para exponer sus quejas á la autoridad suprema, que debe protegerlos y D. Joaquin Gutiérrez Vial, de D. Andrés Gautier, de Barcelona. defenderlos de todo agravio. Bilbao. . D. J. G. Einard , de Ginebra. Si en la libertad de imprenta vemos abusos escandalosos, también Los interesados en dicho empréstito acudirán desde el 19 del cor por desgracia para la b…</t>
  </si>
  <si>
    <t>Vianella</t>
  </si>
  <si>
    <t>…asen incorporables £ la Nación, polacras del Bajá de Egipto. Buques desmantelados: el bergantín aus os individuos que antes los poseían deben seguir cobrando sus prestacio tríaco, capitán Vianella; el bergantín sardo, su capitán Cevasso; la nes como hasta aquí ínterin se les indemniza de esta pérdida. polacra rusa, su capitán Bastanzi, y el bergantín ruso, su capitán Jor El Sr. Lasanta en su discurso dió una idea muy contraria de lo que ge Cambien. man…</t>
  </si>
  <si>
    <t>Vicen</t>
  </si>
  <si>
    <t>…ra la de Extremadura á D. Vicente Esteve: para la de parte lo posible para desembarazar el terreno de los estorbos que impi Aragón á D. Vicente Lago Robles : para la de Valencia á D. Vicen den qne la estatua del bien público , levantada por el Congreso , pue te Fuster: para la de Cataluña á D. Josef Víctor Oñaie, D. Felipe da ser vista en tod3 su pureza , sin que haya entre ella y el espectador Martin Igual y D. Francisco Rey. otro cuerpo inter…</t>
  </si>
  <si>
    <t>…Martínez Moscoso , y escribanía del número al curvo de cusión principal; pero'si variase la cuestión, podrá pedirse nuevamente D. Anselmo Ordoñez, por Doña Josefa Ramos, viuda de D. Vicen la palabra. Art. 107. Los diputados cuando hablen dirigirán la pala te Perramon , cirujano mayor que fue del hospital militar de Extrema bra al Congreso,- y en ningún caso á persona particular. Art. 108. Si dura ,se dió p.-dimerito, solicitando se la declaras…</t>
  </si>
  <si>
    <t>…a de esta corte, se empezará la enseñanza de este ra Siguen las operaciones practicadas hasta el 28 inclusive para el ex mo de la ciencia d¿ curar bajo la dirección particular del Sr. D. Vicen purgo de los buques del puerto. (Se contiuará.') te Martínez, primer médico de Cámara de ÜS. MM. y AA. RR. ¿ce. Leerá á las diez .de la mañana del expresado dia una oración facultativa Madrid Viernes y de Setiembre. en castellano el catedrático Jnterino de cl…</t>
  </si>
  <si>
    <t>VicenAsimismo</t>
  </si>
  <si>
    <t>…extinse dispense á D. Josef Nicolás Espinosa un año que le falta para reci ' cion de los-facciosos, L. " . Jbirse de abogado. . También mandaron pasar al Gobierno una solicitud de D. VicenAsimismo se aprobó el dictamen deja comisión de.Infracciones de , te Domínguez ,. vecino-,dc Larcelona, para que se le declare beneméConstitución, la que después de exainmárdetenidamente la queja dada l rito de la patria.«por Jos servicios pecuniarios y personales que…</t>
  </si>
  <si>
    <t>Vicente</t>
  </si>
  <si>
    <t>…igua á la anterior, situada en el patio de ministro togado, y juez de primera instancia en esta M. H. villa,la Soledad, inhabitable, en 7226 rs. refrendada del escribano de número D. Vicente de la Costa, Otra casa frente del hospital de la Misericordia , linda se cita, llama y emplaza ¿ Rosa Dominga Vicenta Sevilla y con otras de Manuel Alvíra Píernando, corral de la extin López, para que en el término de 12 días, contados desde esta guida inquis…</t>
  </si>
  <si>
    <t>…nínsula á D. Mateo Valdemoros; para el de la de Ul el Sr. Zorraquin en la sesión del dia 2 del corriente; á saber: que se tramar á D. Ramón Fellú ; para el. de Gracia y justicia á D. Vicente suspenda por ahora en Madrid el alistamiento general que previene eL Cano Manuel: para el de Hacienda á D- Antonio barata; para el de art. i.° del reglamento de milicias nacionales; que se suspenda el artí Guerra á D. Tomas Moreno, y para el de Marina á D. Fr…</t>
  </si>
  <si>
    <t>…mamien sigue con el estancó de los cinco arbitr os. to a) orden ^anuncia ,á Ja pgin.ipjn. utjj,nueva escándalo ; el orador pide A la de Diputaciones provinciales una exposición de D. Vicente que.so;J¿ permit^ justificarsei,yr..e.n;?ste acto.insiste en. su tema; enton de Sahero , vecino de esta corte, en que acompañaba un plan para la ad ces :sp Je castiga pqr. este,tercer, escándalo, no refutando sus malos prin ministración de propios. cipios,uo…</t>
  </si>
  <si>
    <t>…Daroca á D. Juan no, García Page , Solana , Zorraquin, Golfín , Cortazar, Gutiérrez Antonio Bernal: para el de Albarracin á ó Pedio Alzamora: para el Acuña, Calatrava , Lallave &lt;j D. Vicente), Oliver., Saenz y Gutiérrez de Teruel á D. Andrés Casáyus: para el de Mora á D. Ignacio Sazade Teran. tornil.- para el de Alcañiz á D. Josef Hacha: para el de Monta{ban á No lo aprobaron los Sres. Traver , Peñafiel, González Allende, D. Rafael Larraz: para e…</t>
  </si>
  <si>
    <t>614 el general Frimont y iodos los sectarios' de la esclavitud se contradicen provincia de Cataluña: y para teniente de la de Aragón D. Vicente en hechos y palabras : superfiuo era desarmar hasta de hierros con punta Camaño; y no habiéndose presentado estos interesados á recoger sus á'los napolitanos, si es cierto lo que han dicho los boletines austríacos credenciales , é ignorándose su paradero, se…</t>
  </si>
  <si>
    <t>…a el Gobierno que sean Herrera, Ochoa, García Page, Gutiérrez Acuña,. Zorraquin , Golfin, tratados con alguna.conmiseración los .que por ignorancia, y estupi Calatrava , Lallave ( D. Vicente) , Olivar, Rovita, Sánchez Resa, dez han sido arrastrados al. crimen por las pérfidas intrigas y sugestiones Xastarria y Cuesta. de los malvados, y.que el rigor de la ley se aplique en toda su fuer No lo.aprobaron Jos Sres. Penafiel .González Allende , Valle…</t>
  </si>
  <si>
    <t>…stitución política de la Mo po ó junta-directiva. ■ ' . narquía española, conforme á lo dispuesto en el decreto de amnistía,'y' A las de Guerra y Hacienda unidas una exposición de D. Vicente mande á nuestro ministro plenipotenciario en aquella corte que los auxi Martin, sargento primero de artillería, empleado en el departamento lie , asi corno á todos los demas españoles que se han refugiado á ella.” de Segovia, para que se le comprenda en el au…</t>
  </si>
  <si>
    <t>…tario vala , García Page , Zorraquin, Torre Marín , Cosío, Gutiérrez Acu que ascenderla á 1 r 1 millones , confinuó el Sr. Sierra Pambley dicien ña , Golfín, Calatrava, La Llave ( D. Vicente), Moscoso , Oiiver, do : si los legos han de quedar sujetos á las demas contr.buciones de su Serrallach , Roviru , Temes , Sánchez Resa, Ramírez , Ramos Arispe, dase, no pueden sufrir esta nueva que se les quiere imponer, ó de lo y él Sr. presidente. contrari…</t>
  </si>
  <si>
    <t>…nsura cuica muy bien , que mer extracto de la de este dia áDoña María de los Desamparados Mar nada digan sino lo que agrade á los señores censores ; pero ¿ pesar de tínez, hija de D. Vicente, coronel del regimiento de infantería de Es esta política parisiense, á veces se sabe mucho mas de lo que la censu paña, muerto en el campo del h ñor. ra quisiera por medio de la correspondencia particular; y no sen los periódicos ingleses los últimos á quien…</t>
  </si>
  <si>
    <t>…de ÜS. MM. y AA. RR. ¿ce. Leerá á las diez .de la mañana del expresado dia una oración facultativa Madrid Viernes y de Setiembre. en castellano el catedrático Jnterino de clínica D. Vicente ¡suriano, quien explicará dmante el curso las enfermedades crónicas, quedando ARTICULO DE OFICIO. las lecciones de agudas á cargo del profesor D. Antonio jríeimndez. El Sr. secretario del Despacho de Estado con fecha de ayer di es El que teniendo el grado de…</t>
  </si>
  <si>
    <t>…o del regimiento: el morral nuel, Gaseo, Mendez, Mora, Cavaleri, Lázaro, Sánchez Salvador, de lienzo del color de los pantalones. El capote para el soldado ligero Cepeda, Lallave (D. Vicente), Lallave (.D. Pablo), González será gris, mas oscuro que el de la infantería de línea ; pero los sargen Allende, Ramonet, López Constante, conde de Alcaráz , Villa , Gil tos llevarán levita también gris con la divisa del color del regimien de Linares y Palar…</t>
  </si>
  <si>
    <t>…, los muchos motivos que se reunían para el de Puente Nansa á D. Cristóbal de Mier y Cos: para el de Co en ella á favor dé esto mismo; tales eran la riqueza, población, y millas á D. Vicente de la Gándara-, para el de Torre la Vega á Don últimamente por hallarse á un extremo del feiho de Valencia, sin que Josef Manuel Tagle: para el de Laredo á D. Leodegario Velarde: pa se la pudiese ágtegar á ninguna otra provincia ; mejorándola considera ra el…</t>
  </si>
  <si>
    <t>…r Gomo acerca de la instancia del sargento primero graduado y segundo del íalves de evitarles todo perjuicio en su honor y reputación , quiere tam regimiento de infantería de León D. Vicente. Fajeras, caballero de se bién se entienda esta declaración. Asimismo reconoce y declara que sogunda clase de la expresada orden de S. Fernando, en la que hace pre lo'á impulsos del vivo resentimiento que le causaron las sospechas de sente que habiendo pasado…</t>
  </si>
  <si>
    <t>…aminamos éste artículo, encon límites que debía tener la provincia de Córdoba: otra de Jos Sres. La- traremos motivo para que las Cortes le reprueben. Las diputaciones pro líave ( D. Vicente), Manzanilla y Yuste, en la que se prefijaban los vinciales están recargadas de un número de expedientes tan considera límites que debía tener la provincia de Toledo. ble, que casi no pueden atender á todos ellos. En algunas provincias de •El Sr. Toreno prese…</t>
  </si>
  <si>
    <t>…es Vecino, García, del R¡o,Murguía, Castro, Medrano, Lasanta, T»ren los medios de conseguirlo. Por mi parte de buena gana accedería al re Marín, Golfín, Rey , Calatrava, Lallave £ D. Vicente}, Oliver, dictamen de la comisión á no tener motivos poderosos para oponerme; Serrallach , Rovira, Ramírez Torres, Bodega, Ayestarán, Amati, y no puedo comprender cómo se ha de juzgar de los resultados sin en Torrens. Arnedo y Cleniencin. trar en el examen de…</t>
  </si>
  <si>
    <t>…Basilio) , Lasanta, Zorraquin , Torre Marín , Ochoa Goltras las Cortes se están fatigando en la discusión de este negocio, los ver fin, Gutiérrez Acuña , Paul, Calatrava, Lallave (D. Vicente), 0I¡daderos enemigos del sistema están levantando la cabeza, amenazando ver , Serrallach, Rovira, Vadillo, Cosío, Ramírez (D. Miguel), Ló á la causa de la Nación, /atentando contra la libertad , que tan glorio pez (D. Patricio) , Ayestarán , Puchet y Zapata.…</t>
  </si>
  <si>
    <t>…2 8. Murfi, Cristo , Labodega, García, Govantes , Ramiréz , Castro, La- 6.® en 20 de Miyo....................... .......... 21. «anta , Medrano, Rey, Calatrava, Golfín, Lallave ( D. Vicente ), Oli- 7. ® en ,17 de Junio.................................. 28. ver, Serrallach, Rovira, Ramírez Torres, Amati y Sr. presidente. 8i* en 8 de Julio ..................................... 21. Los Sres. que no aprobaron el dictamen fueron los siguientes: Ro 9*…</t>
  </si>
  <si>
    <t>Vicente, Juan Sahagun</t>
  </si>
  <si>
    <t>Juan Sahagun Vicente</t>
  </si>
  <si>
    <t>…e publique este aviso. .Mateo Miguel A.illon, paa ía de Velez-Málága á D. Julián Ruiz nota. En la gaceta del domingo 13 del corriente , sesión de Cortes, Marín; para la de Nerja i D. Juan Sahagun Vicente j para la pri lía. 14, donde dice D. Silvestre léase D. Silvestre Ezcurrá, SUPLEMENTO</t>
  </si>
  <si>
    <t>Vicente, Manuel</t>
  </si>
  <si>
    <t>Manuel Vicente</t>
  </si>
  <si>
    <t>…Almería á D. Manuel Perez de los Ríos; para la de Gergar á Don Rivero, oficial de carpintero, se fugó del lado de su marido en el año Aligue! Antonio Company; para la de Fiñana á D. Manuel Vicente de 181 2, y en el de 13 pasó á Francia en compañía de un herrador dé Morent; para la de Ugijar á D. Josef Martínez Bustamante; paro la la guardia Real del intruso. Quien supiere su paradero se servirá avi de Dalias á D. Joaquín María Márquez; para la de Torbi…</t>
  </si>
  <si>
    <t>…dice D. Martin Cabrera, léase D. Jouf Matías Cabrera___En la blos europeos? En la lista de las naciones esclavas, ocupamos el segun del '15 de Mayo, col. 7.a, lin. 79, donde dice D. Manuel Vicente do lugar después de los griegos desventurados. Condenados al despre Morent, léase I). Manuel Vicente Moreno; y en la del 17 , col. i,‘, lí cio, á la esclavitud ; reputados como patrimonio del mas fuerte; mira nea 70 , donde dice mujitt, léase mufti.__En la de…</t>
  </si>
  <si>
    <t>Vicente, Sebastian</t>
  </si>
  <si>
    <t>Sebastian Vicente</t>
  </si>
  <si>
    <t>…ch, en Ibiza D. Ma lo estuvieren, cuyo arrendamiento no tendrá validación sinla compe riano Ramón de Arabi, en Jaca D. Gerónimo Roca-Tallada, en Jaén tente aprobación de la junta. D. Sebastian Vicente .García, en león el marques de Monte-Virgen, 1:2. Si existiesen algunas fincas que por $u mal estado y deterioro en Lérida D. Ramón Hostalrich, en Lugo D. Josef Jesús Varela, en no sean arrendables ni productivas, deberán manifestar los comisiona Málaga D. Ma…</t>
  </si>
  <si>
    <t>Vicente.z, Pablo</t>
  </si>
  <si>
    <t>Pablo Vicente.z</t>
  </si>
  <si>
    <t>…del Despacho. Cristóbal Oitiz.=D. Antonio Zabay. zzD. Juan Lacuey.zzD. Pedro Art. 123. ’&gt; Sustituirán a los ayudantes generales de artillería los Vitalie.zzD. Pedro Nobailasmer. = D. Pablo Vicente.z:D. Joaquín oficiales del parque, los cuales tendrán á sus órdenes el número de Laguna.zzD. Matías Cobo. = D. Mateo Romeo.zzD. Mariano Sise subalternos que sea necesario para el desempeño de sus funciones, que ra. — D. Mariano Bonaz.zzD. Diego Vicente.zzD. Lor…</t>
  </si>
  <si>
    <t>VicentéCahallaron</t>
  </si>
  <si>
    <t>…próximas Cortes, se nombren los jueces de hecho que han -Danubio fdirigiéndose' hácia Bucharest’y. Tergowischt. En Ubeschtin de calificar el escrito. Madrid 7 de Junio’de 1821.=cA D. VicentéCahallaron, 30 arnautas del cuerpo de Ipsilanti,, que hicieron pedazos , ex •no Manuel.” cepto tres. En él distrito, de Wlaslca quiso hacer resistencia una cua ' ANUNCIOS. ' / drilla de paisanos;-xgde; ellos perecieron , y los demas se pusieron en fugó-, sin que losturc…</t>
  </si>
  <si>
    <t>Victoria, Manuel</t>
  </si>
  <si>
    <t>Manuel Victoria</t>
  </si>
  <si>
    <t>…a, napolitana y portuguesa. Un inmenso gentío de Legislación y Hacienda unidas la solicitud de D. Angel Rubio y acompañaba esta marcha triunfal, que terminó en la plaza de la Cons D. Manuel Victoria, vecinos de Garróbillas de Alconetar, provincia titución, colocándose la milicia de caballería e infantería írente de la de Extremadura , en que se quejaban del juez de primera instancia del lápida, donde se repitieron los vivas con el mayor entusiasmo en me…</t>
  </si>
  <si>
    <t>Victoria, María Ana</t>
  </si>
  <si>
    <t>María Ana Victoria</t>
  </si>
  <si>
    <t>…stración de.justicia. Se aprobó. r el pago de réditos en qué consiste la dote de la Senna. Sra. Infanta El Sr. secretario del Despacho de la Girerra pasó á la tribuna á leer ■ : . Doña María Ana Victoria , á causa de, haber resuelto S. M. no deber' la memoria.p.ertenecienté á su ramo. pasar al Crédito público por ser una deuda extrangera. Concluida la lectura de la memoria del ministro de la Guerra, ob A la comisión de Marina y Comercio se pasó una.exposicion…</t>
  </si>
  <si>
    <t>Vicuña, Cristóbal de</t>
  </si>
  <si>
    <t>Cristóbal de Vicuña</t>
  </si>
  <si>
    <t>…encia territorial de Castilla la Nueva, juez de tan apasionado al castellano ) supieron engalanar el lengua- primera instancia de esta M. H. villa, por la escribanía del número de D. Cristóbal de Vicuña, se ha mandado anunciarge con metáforas brillantes y expresivas, ni menos acerta al público que la fábrica de cerbeza alemana, que estuvo en láron á dar á la composición el temple, el empuje y ia ter casa- inmediata d la Cibeles, que fue propia de D. Antonio…</t>
  </si>
  <si>
    <t>…bservador austríaco, conoce de los negocios contenciosos de la Hacienda pública, y escriba cualquiera se imaginará que su autor, al tiempo de tomar á su cargo la nía del número de D. Cristóbal de Vicuña, se vende en pública subasta redacción de aquel periódico, hizo profesión explícita de renunciar, á una casa declarada vacante, y aplicada al Crédito público por 110 tener todos los sentimientos que caracterizan al hombre honrado.' Se figura dueño conocido, s…</t>
  </si>
  <si>
    <t>…e manz. 185 ; y continuado el expediente en el juzgado del Sr. D. Ju petirá el recuento de ¡a manera siguiente: el presidente nombrará tres lián de Sojo y escribanía del número de D. Cristóbal de Vicuña , la diputados, uno entre los que han aprobado, otro entre los que han di declaró vacante, y perteneciente las dos terceras partes á la hacienda sentido , y el tercero de cualquiera de Jas dos clases. Este contara el nú nacional, y Ja 01ra ai denunciador. Est…</t>
  </si>
  <si>
    <t>…Por el juzgado de primera instancia cel Sr. D. Julián de Sojo y es autorizados para denunciar al Soberano Congreso á los ministros del cribanía del número de esta M. 11. villa de D. Cristóbal de Vicuña se poder egecutivo y judicial, no pueden dudar de su desagravio , sin des vende en pública subasta un censo de i&amp;Q rs. de capital , impuesto so confiar al mismo tiempo de la rectitud de los representantes de la Nabre una casa sita en esta corte, calle de la C…</t>
  </si>
  <si>
    <t>Vidal, Pedro</t>
  </si>
  <si>
    <t>Pedro Vidal</t>
  </si>
  <si>
    <t>…e se crea á propósito, y no se hallen com sef Fernandez Trebiño.^D. Manuel Gebrianl^D. Joaquín de Gracia. prendidos eu ias jubilaciones y reformas de que trata el título de ofi =z D. Pedro Vidal. = Di Andrés Roces. sD. Josef Benito' Chlvo.‘=: ciales.” Aprobado. D. Narciso Olivas. =D. Andrés Ester. ^D. Juan Anel.zzD. Blas- Añ Art. 108. » El Gobierno señalará el uniforme que deba'usar, em ónela. zzD. Ramón Marco.z=D. Manuel Sierra. =D. Serapio Marin.zz…</t>
  </si>
  <si>
    <t>Vidarte, Josef María</t>
  </si>
  <si>
    <t>Josef María Vidarte</t>
  </si>
  <si>
    <t>…oir los dictámenes D. Agustín Gómez de Zaragoza.. D. Joaquin Miguel de Zubiria. de las comisiones sobre varios expedientes, y darles el curso conve El ayuntamiento de Santander. ■ D. Josef María Vidarte, de Pam niente; asi se aprobó, y se levantó la sesión á las 12 del día. Aldana y Espalza , de Bilbao. plona. D. Alejandro Baile , de Lisboa. D. Josef Pantaleon de Aguirre, de NOTICIAS DE ESPAÑA. D. Andrés García del Hoyo, de Bilbao. Bilbao. D. Josef Ruet y la…</t>
  </si>
  <si>
    <t>Vidarte, Manuel Angel</t>
  </si>
  <si>
    <t>Manuel Angel Vidarte</t>
  </si>
  <si>
    <t>…ayona. Otro al mas instruido en aritmética. de Bilbao. D. Manuel Villaroel, de Badajoz. Otro al que tenga mas conocimientos del catecismo político. Doña Heuduvigis Sorarte, de San D. Manuel Angel Vidarte, de Otros tres á las alumnas mas instruidas en gramática, aritmética y Sebastian. Pamplona. Constitución, de todas Jas amigas de la ciudad. D. Francisco Javier de Goya, de Sres. Manzarraga y Ugarte, de Bil Todos los maestros y maestras de escuelas y amigas de…</t>
  </si>
  <si>
    <t>Vidaurre, Manuel de</t>
  </si>
  <si>
    <t>Manuel de Vidaurre</t>
  </si>
  <si>
    <t>…ndamentales de la sociedad humana, y habilitado del propietario D. Manoel López de Rivas, se que es laque mas trabajo le costó de todas sus producciones. cita , llama y emplaza al Sr. D. Manuel de Vidaurre, mi De Saint-Pierre teníamos ya en castellano el Pablo y Virginia, nistro decano que se titula ser de la audiencia nacional del la .Cabaña indiana y el Café de Surate ; y la grata acogida con Cuzco, para que en el perentorio y último término de 50 que entre n…</t>
  </si>
  <si>
    <t>Viedma, Andrés Fernandez de</t>
  </si>
  <si>
    <t>Andrés Fernandez de Viedma</t>
  </si>
  <si>
    <t>…en fin de Mayo del presente año corresponden á tos pleitos cuanto es el número de estas. Y en vísta de dicha exposición los fondos siguientes* • se han servido conceder al citado D. Andrés Fernandez de Viedma e! A propios y sisas.....;... ............................... 360,949 .21- £ permiso que solicita , cóñ la calidad de suplir la dificultad que presenta A la reserva para pago á los interesados efec ia prueba negativa de no tener sucesores legítimos por medio…</t>
  </si>
  <si>
    <t>VIERNES</t>
  </si>
  <si>
    <t>Kúm. p8. ... . . (/cuartos.) 47i G A C E T A D E M A D R I D. VIERNES 6 DE ABRIL DE 1821. NOTICIAS EXTRANGERAS. los que han pedido la censura de esta tribuna, los-qué han propuesto la ley-sobre"los ayuntamientos y Jas comunidades-religiosas: en fin los ■' • ' ITALIA. que quieren restablecer los mayorazgos y comprimir la industr…</t>
  </si>
  <si>
    <t>Núm: na. (7 cuartos.) £53 GACETA DE M A D R I D. VIERNES 20 DE ABRIL DE 1821. NOTICIAS-EXTRANGER AS. por medio de un tratado asegurar las personas y las propiedades. Yo estoy autorizado á manifestar que S. M. el Rey vendrá pronto á resi awstria. dir en medio de su pueblo; en la inteligencia de que los desgraciados…</t>
  </si>
  <si>
    <t>Núm. izó. &lt;7 cuartos.) ^37 mrm G A C E T A D E M A D R I D. VIERNES 4 DE MAYO DE 1821. NOTICIAS EXTRANGERAS, «Vuestros pueblos, Señor, desean muy sinceramente conservar con V. M. aquella noble y justa armonía de que se han gloriado hasta el AUSTRIA. ' día, y que considerarán siempre como un deber. Pero, Señor, que no se inter…</t>
  </si>
  <si>
    <t>Núm. 147. , . X7 cuaítos.) . . ..... . . _ . 7H' GACETA DE M A D R I D. VIERNES 25 DE MAVO DE 182 ti .... .. NOTICIAS EXTRANGERAS. puesta categórica. Pero en virtud de las noticias1 oficiales que se han re cibido posteriormente, me atrevo á declarar que las tropas rusas no sal AUSTRIA. - :i.j drán de los límites de sus fronteras; por lo…</t>
  </si>
  <si>
    <t>Núm. ió8. (_ 7 cuartos.) 9® 8 G A C E T A D E M AD RI D. VIERNES i5 DE JUNIO DE 1821. NOTICIAS EXTRANGERAS. prohibición expresa de hacer uso de él en las escuelas bajo penas ri gurosa». r RUSIA. PORTUGAX. Petersburgo 5 de Mayo. Lisboa 3 de Junio---- Sesión del go de Mayo. las tropas rusas están en movimiento en las provinc…</t>
  </si>
  <si>
    <t>Núm.. i/5* • . i/.P1 aít0&gt;&gt;,. 949 G A C ETA D E M A D R I D. VIERNES aa DE JUNIO DE i8ai. NOTICIAS EXTRANGERAS. por sí misma recordaba la divisa honor y patria (x.) Se puede decir también que este mismo egército1, compuesto desde luego de nuestros AUSTRIA. regimientos de 89, y de los batallones de voluntarios nacionales, y re…</t>
  </si>
  <si>
    <t>Núm. 255- ( 7 cuartos-) 134$ IcSBEss** GACETA D E M A D R 1 D. VIERNES 7 DE SETIEMBRE DE i8ai. NOTICIAS EXTRANGERAS. » Es seguro que ningún estadista de los quede go años á esta paite estudian las relaciones políticas y mercantiles de Europa podría dar un ÍUBCIA. consejo mas acertado á la Inglaterra, á la ¡Francia y á.Ia Austria…</t>
  </si>
  <si>
    <t>Núm. 169. ( 7 cuartos. ) t 411 GACETA D E M A D R I D. VIERNES at DE SETIEMBRE DE 1821. NOTICIAS EXTRANGERA5. de el puente donde empieza el Elba á ser navegable hasta su desem bocadura. Todo barquero tendrá derecho de ir con sus barcas hasta el GRECIA. mar , sin necesidad de tener que confiar sus cargamentos á otros bar…</t>
  </si>
  <si>
    <t>Núm. 3/2. C7 cuartos.) 1605 GACETA DE Al A D R I D. VIERNES a DE NOVIEMBRE DE 1821. NOTICIAS EXTRANGERAS, AIHMAJSIA. RUSIA. Francfort■ ic de Octubre. Laj accione» de Austria van bajando aquí desde que Jas cartas del Otiesa ap de Setiembre. Norte no presentan un carácter. pacífico. Se hacen circular noticias do las car…</t>
  </si>
  <si>
    <t>Ndm. 3SA ( 7 cutrto*. ) *P5r «%«$8 GACETA D E M A D R I D. VIERNES 14 DE DICIEMBRE DE i8ai... Madrid Jucas X^dt Dicitmbrt. dos señores que han pedido la palabra para hablar .en: favor del dicta men de la comisión , tiene esta nueve individuos que lo sostengan. w SS. MM. y A A. continúan sin novedad en su importante salud.” P…</t>
  </si>
  <si>
    <t>Viernes, Saturnino Rodríguez de</t>
  </si>
  <si>
    <t>Saturnino Rodríguez de Viernes</t>
  </si>
  <si>
    <t>…ado el dia 12 del corriente mes de Marzo. Cruz de'Tencrife; D. Manuel Serradell, cirujano del regi Diez marjales de tierra, en Gavia grande, pago del miento infantería de Granada; D. Saturnino Rodríguez de Viernes, en 7500 rs. la Torre , cirujano del regimiento caballería de la Reina; Ocho marjales en dicho término y pago , en 6400 rs. D. Josef María Segura, cirujano del segundo escuadrón de Ocho marjales en ídem , idem , en 6400 rs. Artillería; D. Pedro Montehermoso,…</t>
  </si>
  <si>
    <t>Vieulles</t>
  </si>
  <si>
    <t>…3 corbetas , un bergantín, un jabeque y una goleta. Los buques fitéuticos se despoje á los señores territoriales ínterin presentan los tí hechos pedazos eran un bergantín francés, capitán Vieulles, otro id. tulos. Si después de los juicios de incorporación quedan los señorío* francés, su capitán Saint Martin, quien pereció con su criado; una territoriales á favor de los llamados señores, los pueblos tienen que bombarda francesa, su capitán Robert; un b…</t>
  </si>
  <si>
    <t>Vigil, Vicente</t>
  </si>
  <si>
    <t>Vicente Vigil</t>
  </si>
  <si>
    <t>…e hallan un placer nando Suarez. Ei segundo de cabezas de 200 á D. Fraa-cisco Gutiérrez, tan particular, que no se sacia nunca la atrocidad de sus almas, 'En y el tercero de 100 á D. Vicente Vigil, todos tres de esta ciudad; yea esto se ve como confunde la Cuotidiana á los turcos con los liberales, atención á que D. Agustín Paez y D. Gregorio Gabriel Yanguas, as-i á pesar de que elogia á aquellos con tanta profusión como calumnia á pirantes ál primer p…</t>
  </si>
  <si>
    <t>Viii, Alonso</t>
  </si>
  <si>
    <t>Alonso Viii</t>
  </si>
  <si>
    <t>…ey dePrusia y el Emperador.-de las Rusias .han, invi • que pasó el convenio de la voluntaria entrega de la proyintado á S- M. el Rey á que se traslade á Laibach’para tener cia con D. Alonso Viii., Rey de Castilla y León , quien en aquella ciudad un nuevo Congreso, eligiéndole al mismo asistió en persona, y juró te observancia del célebre fuero tiempo por el único-mediador de su nación. Al hacer S. \í. guipuzcoano, que ha hedióla felicidad constante d…</t>
  </si>
  <si>
    <t>Viiladomar, Francisca de Borja</t>
  </si>
  <si>
    <t>Francisca de Borja Viiladomar</t>
  </si>
  <si>
    <t>…ia i5 de Junio, en que entró en ta causa de la Nación , cupo en suerte del primer extracto de la de este el puerto un buque ruso, y fue detenido por los turcos de la aduana. dia á Doña Francisca de Borja Viiladomar, comprendida en las de Jos Corrió entonces la voz de que este buque traía á bordo griegos y muni víctimas del Dos de Mayo. ciones de guerra; con Jo que se alborota el pueblo musulmán, y se es parce por las calles en partidas de 20 á 30, dando gritos, y asesin…</t>
  </si>
  <si>
    <t>Viilanueva</t>
  </si>
  <si>
    <t>…vinciales y Milicias nacionales unidas este establecimiento. * tina exposición del ayuntamiento constitucional de Málaga , solicitando No se admitió á discusión una indicación del Sr. Viilanueva, re permiso para hacer un repartimiento entre distintos puáblos que care lativa á que el Gobierno’nombrase una comisión de personas doctas, cen de propios, con el ~ objeto de costear el armamento de la milicia ilustradas y de su confianza, la cual.examinase á…</t>
  </si>
  <si>
    <t>Vil</t>
  </si>
  <si>
    <t>…la comisión de Le pañol varias observaciones dei Sr. Solanor sobre la imposibilidad de ha-: gislación.' Cer una división exacta, mientras no se tenga una carta geográfica , que El Sr. Vil lanueva leyó parte del dictamen de la comisión Eclesiás sea también exacta; y en su consecuencia le parecia oportuno que tica- ‘obre el nuevo plan de’ iglesias metropolitanas y catedrales de la mientras no se publique esta ; se dividieran provisionalmente las…</t>
  </si>
  <si>
    <t>Vil, Alonso</t>
  </si>
  <si>
    <t>Alonso Vil</t>
  </si>
  <si>
    <t>…se chez; paraNovelda D. Gregorio Marau y Cabaries; para Alicante Don considerasen como .propiedad particular : que habia leyes que declaraban Fermín. Sánchez y Ferriz; para Gijona D. Alonso Vil lasante; para Ca ser inagenables los.bienes de la Nación, y que la mayor parte de los llosa de Ensarna D. Vicente Cerda; para Denia D. Juan Gerónimo Gar que se habian enagenado no eran de los patrimonios de los Reyes, co- rido; para Onteniente D. Josef de los…</t>
  </si>
  <si>
    <t>Vil, Lorenzo</t>
  </si>
  <si>
    <t>Lorenzo Vil</t>
  </si>
  <si>
    <t>4»NTA «USEKIOX .X*.. SANIDAD. pósito hidrográfico. do. D. Lorenzo Vil la nueva, magistra D. Pedro Goosens, oficial de la se. Ultimos partes Til ¡huios del Puerto de Sta. María. do de ésta audiencia. cretaría de Guerra. D.Ramon Truxillo , médico. D. Evaristo S. Miguel, oficial del En la población. Invadidos de ., Muertos. Curado…</t>
  </si>
  <si>
    <t>Vila, Pablo</t>
  </si>
  <si>
    <t>Pablo Vila</t>
  </si>
  <si>
    <t>…debia estar sujeto á de primer ayudante interino del primer batallón el capitán de la 6d com pena alguna la resolución de delinquir , reproduciendo las reflexiones pañía del mismo D. Pablo Vila , á la que corresponde el soldado Luis que habia manifestado anteriormente. Mononi, á quien se ie ha instruido sumario, que se halla en disposi El Sr. Cortés: Extraño mucho que la comisión ponga una pena al ción da elevarse á proceso; y no podiendo dicho capi…</t>
  </si>
  <si>
    <t>Vilá, Vicente</t>
  </si>
  <si>
    <t>Vicente Vilá</t>
  </si>
  <si>
    <t>…gislativa con para observación y asistencia de los conducidos á él, se ofreció volun la atribución de sancionar las leyes y demás reformas, para cuya crea tariamente á ello el Dr. D. Vicente Vilá: asimismo los doctores en ci ción y para el nombramiento de nuevos ministros había* expedido en rugía y-médicos aprobados D- Francisco Juanich, D. Martin Altes y aquel día dos decretos. Exponía que su voluntad había sido siempre la D. Francisco Treserra se pr…</t>
  </si>
  <si>
    <t>Vildies, Francisco González</t>
  </si>
  <si>
    <t>Francisco González Vildies</t>
  </si>
  <si>
    <t>…suegra á Se ha celebrado en esta villa el aniversario del dia, t.° de D. Alfonso Fernandez Vázquez -, para el de Almadén, á Enero, en memoria de! primer gritó que resonó en España D. Francisco González Vildies: para el de Alcázar de Sar» en favor de la restauración del régimen constitucional. La Juan á D. Ramón Antonio Antuñano: pera el de Quinmilicia nacional paseó por las calles entre los mas sinceros tanar de la Orden á D. Pedro Nolasco Sevillano: para el aplaus…</t>
  </si>
  <si>
    <t>Vilella, Josef</t>
  </si>
  <si>
    <t>Josef Vilella</t>
  </si>
  <si>
    <t>…eja Vitoria: los de Esco En ia fro-vincia Je Valencia. Para las seis judicaturas de la capi lapios, de S. Fernando y de S. Antonio Abad ; y de Clérigos menores, tal y su partido á D. Josef Vilella, D. Josef Codina, D. Mareo Mi del Espíritu Santo. Se suprimen los de Dominicos de la Pasión, cuyos randa, D. Andrés Soler, D. Vicente Fernandez Villegas y D. Tomas religiosos se trasladarán al convento de la misma orden én Ocaña; y Liñan. los de Sto. Tomas y…</t>
  </si>
  <si>
    <t>Viliacampa</t>
  </si>
  <si>
    <t>…ción r nga empleo sin haberle antes formado consejo de guerra. No hay ningún siempre una seguridad. Asi que ia comisión en esto ha tenido miras egemplo de esto, como no sea con el Sr. Viliacampa , que por un de muy profundas, que las ha encontrado en lo escrito por muchos filó creto se le recogieron los despachos, porque era libera! Por lo mis sofos. mo creo que por ahora debe aprobarse este artícu'o. Aprobado. El Sr. Sancho: Lo que ha manifestado el…</t>
  </si>
  <si>
    <t>Viliamor, Francisco</t>
  </si>
  <si>
    <t>Francisco Viliamor</t>
  </si>
  <si>
    <t>…a les los enemigos de todo orden , fundados en la declamación de alguno de si debían consid.rarse en la clase de lienzos crudos, y como tales de los testigos en la causa seguida á D. Francisco Viliamor en la c udad de prohibida introducción , ó en la de coletas admitidas a comercio en de Zaragoza por ideas subversivas, en que se dice que este contaba con los aranceles aprobados por las Cortes. "Y como dichos tejidos por una aquel cuerpo para sus quiméricos…</t>
  </si>
  <si>
    <t>Vilíanova</t>
  </si>
  <si>
    <t>…anse relajado todos los tema constitucional proclamado en Portugal, sino que vínculos sociales: los intereses estaban en contradicción, también debia establecerse en el Brasil. El Sr. Vilíanova fue discordantes las opiniones, divididos los partidos, y las pa de diverso dictamen, y dijo que para calmar semejante re siones y vicios triunfaban en el campo de batalla. Solo uri volución bastaría la llegada del lord Beresford á Portugal. sentimiento era c…</t>
  </si>
  <si>
    <t>Vilianuei'a</t>
  </si>
  <si>
    <t>…és de haber ANUNCIOS. entrado el delincuente en refl xión roba á su contrario, ;quién duda que d.be haber la reparación de este daño? Asi que, yo creo que el ar Nuevos apuntes del diputado Vilianuei'a sobre las cartas del Sr. Al tículo debe aprobarse. calá Galiano: níun. 4° Se hallará con las anteriores en la librería da El Sr. García ( D. Antonio ) insistió en que era necesario se seña Hurtado. lase ei máximo ..supuesto que la ley señala los diversos grad…</t>
  </si>
  <si>
    <t>Vilianueva</t>
  </si>
  <si>
    <t>…ión , podia esta señalar el nú ayuntamiento constitucional de la Coruíia acerca de que no se mude mero de individuos que juzgase necesarios para el culto. de alli la audiencia. El Sr. Vilianueva dijo, que lo que acababa.de decir el Sr. Torres A la de Legislación una exposición de la junta de obras encarga era una prueba de Lo que servían los malos estudios, según los cuales da por S. M. de la egecucion de las de, esta corte, manifestando las todo se…</t>
  </si>
  <si>
    <t>…á y cederá maestros, siempre que sean aprobados por la dirección general de es en propiedad un terreno de i3 varas cuadradas, según el citado artícu tudios.” lo 9.0 " Aprobado. El Sr. Vilianueva pidió á su autor se sirviese añadir después de la El Sr: Paul presentó para después del art. 10 el siguiente adicional: palabra religión las de y ambos derechos, en lo que convino. » Cualquiera persona de ambos sexos de las comprendidas en las El Sr. García (…</t>
  </si>
  <si>
    <t>Villa</t>
  </si>
  <si>
    <t>…que el Sr. presidente nombrara unos cuantos señores diputado,, quí nos otros en la milicia nacional activa unidos con la comisión hiciesen todas aquellas modificaciones que me El Sr. Villa di;o que en el art. 30 se mandaba que entrasen en sen necesarias, pira que el proyecto quedara análogo á la población y sorteo para el reemplazo del egército permanente todos los individuos gobierno de las provincias de Ultramar. de 1a milicia nacional activa…</t>
  </si>
  <si>
    <t>…a ciudad. haya inconveniente , que son las mismas palabras de la Constitución; y A la de Diputaciones provinciales una solicitud del ayuntamiento para demostrarlo mejor suplicó al Sr. Villa leyese el art. que propuso constitucional de Orduña en Vi/cays para que se le concedan arbitrios el Sr. secretario de la Guerra.</t>
  </si>
  <si>
    <t>El Sr. Villa dijo que el Gobierno lo había redactado' en esta for pasar á la comisión, se establecía, por-regla general, que siempre el cfcérma: » La guarnición de cada distrito militarle compondrá liabiíual- cito debería ser reemplazado por la milicia activa, y ahora se…</t>
  </si>
  <si>
    <t>…ta en Jugar del Sr. Bodega; y para la comisión encargada del go fijo parala presentación de los títulos, el cual no habia tenido por bierno económico-político de las provincias al Sr. Villa en lugar del conveniente adoptarlo la comisión , porque consideraba que podía pa Sr. Loizaga. sar el término sin que los poseedores de los señoríos pudiesen presentar Las comisiones reunidas de Guerra y Marina presentaron una indi los títulos, creyendo mas op…</t>
  </si>
  <si>
    <t>…mo de cuajo á los segundos), y las pocas anomalías que en tar este asunto haciendo otra nueva impres on. ella se presentan , acompañadas de una amarillez por todo el cuerpo de F.l Sr. Villa dijo: Que las variaciones solo versaban sobre los go Ioj que asi mueren , hicieran creer también que provenía de la de biernos políticos de las nuevas provincias, por no poders» hacer i«</t>
  </si>
  <si>
    <t>…rreglo al art. i.°, Leído este, pidieron varios Sres. diputados la palabra para, hablar en seis partidos subalternos de provincia, en la forma siguiente: .en pro y en contra; y el Sr. Villa d¡jo:;La comisipn desearia presentar f.°. » En Zaragoza sil cabeza, compuesto de los partidas de primera i la deliberación de las Cortes un dictamen tan completo y exacto co instancia de los dos de Zaragoza, Fraga , la Aimuaia , Borja y Bei-h.tímo corresponde…</t>
  </si>
  <si>
    <t>…a palabra, y manifestó (^po dose con los principios que sentaba la comisión, y asimismo con lo» niéndose al dictamen de la comisión) que esta no había desempeñado que manifestó el Sr. Villa , relativos á la imperiosa necesidad de pre su encargo como correspondía: que aunque fueron llamados muchos se sentar cuanto antes el trabajo de que se trataba, también se considera ñores diputados á las sesiones de esta, y aunque tenia ya formado sn ba conve…</t>
  </si>
  <si>
    <t>…o de 97; pero según los datos que se han tomado son mas yor golpe que podemos dar á España. de un millón de habitantes los que hay allí, y por lo mismo debe dir Se ha dicho por el Sr. Villa, si no me engaño, que no tiene la co vidirse en cuatro provincias, que aumentadas á las 39 resultan 42. El misión inconveniente en reformar la cuarta clase de provincias; por con Sr. López (D. Marcial) ha dicho que desde Teruel i Da roca no hay siguiente en e…</t>
  </si>
  <si>
    <t>…o en la sesión modo en una parte que en otra. anterior , y los únicos que debían considerarse en esta cu.sliua. No se transige con tanta facilidad con las preocupaciones de los El Sr. Villa dijo: Todos los Sres. diputados que han impugnados pueblos, y una división que no esté hecha como corresponde, aunque el dictamen de la comisión no pueden menos de convenir en que es su sea provisional , será suficiente pata excitar los odios y las pasiones d…</t>
  </si>
  <si>
    <t>…a imprenta Nacional. Se suplica al que le haya encon cusión. • i trado. supuesto que de nada podrá servirle por estar ya acordada su En cuanto al ramo de la economía yo veo que el Sr. Villa ha satisfe retención por la junta nacional del Crédito público, se sirva entregar cho éstos reparos ;-im embargo creo que nene,ira de mayor desemrolvi- lo en la dirección de dicha imprenta. SUPLEMENTO</t>
  </si>
  <si>
    <t>…tu de provincialismo. En seguida hizo una proposición, tual me dice lo que sigue: . que no se Legó á leer. », Las solas dificultades que en el curto de los negocios de Hacienda El Sr. Villa dijo : La comisión no tiene inconveniente en adoptar el ofrece ia novedad de los impuestos exijen extraordinario zelo, pericia que se nombren las provincias con el nombre de su capital. y actividad para desvanecerlas con repet'cion de providencias y con Habié…</t>
  </si>
  <si>
    <t>…Aprobado. del territorio español se hace la división correspondiente. Yo estoy mal Provincia Se CalatayuS, con todas las provincias de cuarta ciase , y opino que no debe haber El Sr. Villa dijo - La comisión de las Cortes no ha alterado 3o ex ninguna , porque son contrarias á ia Constitución , como lo probaré evi puesto por la comisión del Gobierno con relación á Aragón, Las cua dentemente. tro provincias en que se debe dividir esta son las de…</t>
  </si>
  <si>
    <t>…incia de Caiatayud por -6 votos contra 32. ponder de modo que no se nos pueda decir que hemos ocasionado gasto Su capital Caiatayud. a cuno sin una necesidad absoluta. Ha dicho el Sr. Villa que en esta Aprobado. provincia no hay caminos trasversales ni carreteras; y yo debo ma- Se dió cuenta de un oficio del Sr. secretario del Despacho de la niiesur ai Congreso que sí los hay; tales son la carretera que va por Guerra, en que manifestaba que se h…</t>
  </si>
  <si>
    <t>…una equivocación S. S. putados que nos opusimos á que hubiese provincias de cuarta clase, y nacida dé que no ha recorrido la Alcarria como yo. Si la capital fue es lo qu.* dijo el Sr. Villa por lo respectivo á la ventaja que resultaba se Brihuega, la cual no tiene buenos caminos de comunicación, re á los pueblos de aproximarse á la capital ; y para probar con este mo sultaría que aun los pueblos mas inmediatos llegarían después á Bri tivo la uti…</t>
  </si>
  <si>
    <t>…para auxiliarle; asi se hizo: se iba á botar que debemos proporcionar los remedios á nuestn madre enferma. El al agua un nuevo bergantín tripolino; este daría ia vela á prme pios Sr. Villa demostró en un cálculo sumamente minucioso que resultaban de S: tiembre con otros siete buques hacia Rodas, v se le unir a-una grandes ventajas en favor de los pueblos en el sistema divisorio que pequeña fragata que estaba en Malta. La escuadrilla tripolina s…</t>
  </si>
  <si>
    <t>…que ha manifestado el Sr. González Allende acerca de la se yor, y su prosperidad iría en aumento.. paración de la provincia de Toro, porque es una cuestión enteramente Hablando el Sr. Villa del aumento de gastos por el actual sistema distinta. Sin embargo contestaré á algunas observaciones hechas por de división , dijo S. S. que solo ■ ascendía á 8oo3 rs. poco mas ó me S- S. La provincia de Toro existió hasta el año de 1804, y en aquel nos el au…</t>
  </si>
  <si>
    <t>…mérides astronómicas para el año de 1824, mitad y uno mas del número de votos para ser elector de partido. con un apéndice que contiene varias tablas para calcular Ja distancia El Sr. Villa dijo que la comision se habia arreglado á lo dispues horizontal entre dos lugares, y otro sobre el método de hallar la lati to por las Cortes ordinarias del año 10, con respecto á la elección de la tud cuando no se puede observar la altura meridiana del sol.…</t>
  </si>
  <si>
    <t>…ren á las Cortes sus observaciones, y á exenciones; pero cree que esto podrá hacerse por casos particulares.. que el Gobierno mismo las hiciese por su parte para establecer una El Sr. Villa, individuo de la comisión , dijo que habiendo medi nueva división , cuando esto era lo que se buscaba, y cuando no sola tado seriamente sobre este asunto, se determinabapresentar su voto mente las diputaciones provinciales y el Gobierno , sino cualquier ciu p…</t>
  </si>
  <si>
    <t>…ontra públicos, puesto que pendía de Ja voluntariedad de ¡os gefes políticos. bando y de la fiebre amarilla que puede introducirse con facilidad si Para estos empleado; suponía el Sr. Villa que se debía dar á cada gefe no se agrega á aquella provincia la embocadura del rio: después de una político /o3 rs.; pero cuando se trate de esto presentaré á las Cortes corta discusión se mandó pasar á la comisión , y lo mismo las que siguen. varias observa…</t>
  </si>
  <si>
    <t>…que se pueda sacar de ellos; á no ser que pertenezcan á ua tirccro í empleados no se puede poner á prueba. quien se hubieren robado ó sustraído sin culpa suya , en cuyo caso se El Sr. Villa leyó, para apoyar lo que habia expuesto el Sr. Rovira, le restituirán íntegra y puntualmente.” Aprobado. un estado por el que aparecía que á los que se asignaban ioo3rs. cobra rArt. 93. » En todo caso de imposición de multa que no se pueda ban solo 80S: los d…</t>
  </si>
  <si>
    <t>…no será excesivo, sino que puede ser que uo sea suficiente para Ja clase al pago da los empleados en las secretarías de los gefes políticos. de empleados que han d* ser estos. El Sr. Villa dijo que efectivamente en ios 465) rs. se incluían to Si las Cortes determinan que mediante la división del territorio es dos los gastos de secretaría, menos el de correo, porque este queda pañol aprobada por las mismas, la administración general tic las pro…</t>
  </si>
  <si>
    <t>…seria duplicar gastos. Por estas razones creo que no puede apro aprobación. barse el artículo que se discute. El Sr. Oliver, como individuo de las comisiones, dijo que creía no El Sr. Villa, ¿«pues de haber pedido que se leyera el decreto de 29 haber ninguna dificultad en ado&gt; tar dicha supresión. de i unió, relativo á los cesantes de las oficinas, demostró que ¡os que E¡ Sr. Banqueó preguntó si en esté asunto se habia oído al Gobier quedarían d…</t>
  </si>
  <si>
    <t>…til hombre de Cámara en lugar Para presidente resultó elegido el Sr. Rey por 71 votos de i»i. del marques de Herford , y el marques de Coninghatn mayordomo Para vice-presidente el Sr. Villa por 74 votos de no. mayor en lugar del marques de Choimodley. El duque de Dorset ad En seguida se procedió á la elección del primer secretario, y no mite la plaza de caballerizo mayor, vacante por la promoción del duque habiéndola habido en el primer escrutin…</t>
  </si>
  <si>
    <t>…margen izquier en nombre de estos generosos habitantes, las mas expresivas gracias í da hasta el mar. dichos señores facultativos de la comisión de Cartagena , por el zeio que El Sr. Villa dijo que el final del párrafo segundo del límite orien han manifestado en ofrecer sus dignos servicios en alivio de nuestros tal debía decir seguirá la cúspide de la sierra Je Baza en lugar d« desgraciados hermanos. seguirá la cúspide &amp;c. Quedaron aprobados i…</t>
  </si>
  <si>
    <t>Villa, Fermín Carnerero y</t>
  </si>
  <si>
    <t>Fermín Carnerero y Villa</t>
  </si>
  <si>
    <t>…Cevallos Los periódicos renuevan la noticia de hallarse preso en las Siete-Tor D.'Felipe Ronedo. y Noroña. res el embajador ruso, "k pesar de las; representaciones hechas al diván D. Fermín Carnerero y Villa. D. Martin Gutiérrez. por. los :dema$ ministros europeos contriseméjafite procedimiento. Corís- D. Hilario Aíendinueta (O, D. Aíarcelino Casado. tantinopla seguía en una fermentación funesta. De Toion avisaban ha conde.de Goyeneche, alcalde cons D. Mariano Ma…</t>
  </si>
  <si>
    <t>Villa, Francisco</t>
  </si>
  <si>
    <t>Francisco Villa</t>
  </si>
  <si>
    <t>…del presente fabricantes y capitalistas de la provincia de Vizcaya y comarca vecina anuncio á los que se consideren con derecho á los bienes pertenecien al pais vascongado. tes á D. Francisco Villa, vecino que fue de esta corte, y natural del Nunca hemos sido sistemáticos partidarios de providencias generales, pueblo de Benasque, obispado de Barbastro, que falleció abintestato en ni nos ha dominado el prurito de aficionarnos de extremos. En cuanto I 2 d…</t>
  </si>
  <si>
    <t>Villa, Joaquín</t>
  </si>
  <si>
    <t>Joaquín Villa</t>
  </si>
  <si>
    <t>…celebrado en el salón de sus sesiones, bajo la dirección la secretaría con Jo aprobado por las Cortes. Tan lejos estuvo de pen del catedrático D. Josef María Gutiérrez ; y otra de D. Joaquín Villa sarse en resolver que había de ir á la sanción Real, que habiéndose em no, catedrático de matemáticas de la universidad de Cervera, cotí la que pezado á tratar acerca de.ello se dijo que sa iba á hacer una indicación, remitía varios egemplares de una obra que…</t>
  </si>
  <si>
    <t>Villa, Mariano</t>
  </si>
  <si>
    <t>Mariano Villa</t>
  </si>
  <si>
    <t>…ndo asi podido reunir la tropa y mili quín Rey, diputado por la provincia de Cataluña; para vice-presidente cias , que unánimemente han acreditado el mas ardiente patriotismo y el Sr. D. Mariano Villa , diputado por la de Aragón, y para secreta bizarría en defender hasta derramar su -última gota de sangre el Código rio el Sr. D. Eugenio de Tapia, que k&gt; es por la de Avila. constitucional que hemos jurado. Todos los gefes y oficiales agregados Circular del…</t>
  </si>
  <si>
    <t>Villa-Real, Francisco de Paula</t>
  </si>
  <si>
    <t>Francisco de Paula Villa-Real</t>
  </si>
  <si>
    <t>…egría, del co da á D. Antonio Vicente Lobariñas; para Bezmar á D. Josef Santerías mercio, y en Avila en la de D. Antonio Salcedo, boticario; y los de-' y lerin; nara la Carolina á D. Francisco de Paula Villa-Real, y pa mas depositarios que gusten seguir en dicha venta de fumigaciones podrán ra Cazorla á D. Ignacio Velasco y Alzamora. dirigirse al referido doctor Gosalbes; y á fin de que Mr. Laboríe no pueda ser perjudicado en los paquetes que dice tiene comprados de a…</t>
  </si>
  <si>
    <t>Villaboa, Nicolás Gómez</t>
  </si>
  <si>
    <t>Nicolás Gómez Villaboa</t>
  </si>
  <si>
    <t>…o ha de ceder voluntariamente, G-rónimo Zemborain: en la de Astúrias á D. Fermín Fernandez de la Ja fuerza será necesaria para ejecutar los planes que haya en planta; y Cuesta y á D. Nicolás Gómez Villaboa: en la de Extremadura á Don la.guerra se tiene por inevitable. llamón Píanella de Fiballer : en la de Cataluña á D. Francisco Avuso "Parece que 40S) austríacos se dirigen á tomar posiciones entre 1 ries- y Mena y á D; Miguel de Castells; y para una de las pla…</t>
  </si>
  <si>
    <t>…ista de Lima, como copia.de una ga Han salido electos diputados á Cortes por Ja provincia de León lo* ceta extraordinaria de Santiago de Chile; y entre ellos sr baila un ofi 5res. D. Nicolás Gómez Villaboa, ministro de la audiencia territorial cio del generas fian Martin desde su cuartel general de Luda, fe de Asturias; D. Pedro Prado, Oran de la Sta. iglesia de Calahorra, y cha ip de Julio ,y en seguida una proclama del mismo 3 los hab-tanD. Antonio González R…</t>
  </si>
  <si>
    <t>Villacomisión, Jaime</t>
  </si>
  <si>
    <t>Jaime Villacomisión</t>
  </si>
  <si>
    <t>…que pueda merecer castigo, se tomará en consi ANUNCIOS. deración por las Cortes en sesión secreta, para lo cual se pasará á una Viage literario á las iglesias de España: su autor D. Jaime Villacomisión especial, y se oirá al diputado, que expondrá por escrito ó nueva, presbítero, individuo de la Academia de la historia: tomos 6.a y de palabra cuanto juzgue convenirle, y en seguida resolverán las Cor 7-q que tratan de la iglesia de Vique y su diócesi. Este v…</t>
  </si>
  <si>
    <t>Villaescusa, Francisco</t>
  </si>
  <si>
    <t>Francisco Villaescusa</t>
  </si>
  <si>
    <t>…nmutables bases su presente y futura zar, D. Carlos González Llanos , D. Casimiro Martin, D. Francisco felicidad! ¡Con qué placer no se persuade el ciudadano de que es im Calzada, D. Francisco Villaescusa, D. Gaspar Aguilera, Da Josef posible que se albergue en pechos tales cosa alguna despreciable y mun Castropol, D. Josef Segundo Mondejar, D; Manuel "García Herreros, dana , y qué profunda herida no se hará en su ánimo si se desvanece D. Manuel Guballer Muñoz…</t>
  </si>
  <si>
    <t>Villaescusa, Miguel Martínez</t>
  </si>
  <si>
    <t>Miguel Martínez Villaescusa</t>
  </si>
  <si>
    <t>…orden de la M. I. junta municipal de Sanidad. = Francisco Su- co Benayas , vecino de Noves; D. Josef Sánchez Berrio, vecino de Vibirach, habilitado para su secretario. llalueaga ; D. Miguel Martínez Villaescusa, cura párroco de Guadamur. Parte del lazareto sucio de todo el día l.° de Noviembre. Partido de Talavera de la Reina. Barceloneta, existencia anterior 50: entrados ó acometidos.... sali D. Manuel María Saez de Buruaga, cura párroco de Calera; Don dos ó cGrado…</t>
  </si>
  <si>
    <t>Villagrá, Salvador</t>
  </si>
  <si>
    <t>Salvador Villagrá</t>
  </si>
  <si>
    <t>…son como sigue-- Francisco Guerrero, D. Pascual Climent, D. Juan Sta. María y Don 7. » Se exceptúan de la anterior disposición las encomiendas, pensio Federico Vera: subtenientes D. Salvador Villagrá , D. Vicente Castro, nes y diezmos aplicados á la universidad de Cuimbra y á los estableci D- Francisco Lemes, D. Vicente Arias y D. Antonio Muiiuz. mientos de beneficencia é instrucción pública en general, los cuales con 3.1 En S. Fernando, ademas de los aux…</t>
  </si>
  <si>
    <t>Villalba, Ramón de</t>
  </si>
  <si>
    <t>Ramón de Villalba</t>
  </si>
  <si>
    <t>…capital causa un El Rey se ha servido exonerar del. empleo de capitán general de general disgusto; y son infundadas é innumerables las conjeturas que Castilla la Nueva al teniente general D. Ramón de Villalba ; y ha te se hacen sobre la salida del Príncipe de Salerno para Laybach. Todos nido á bien nombrar paraque le substituya al de igual clase conde de los napolitanos están en la persuasión de que la primera atención del Cartagena. Rey después de su llegada será…</t>
  </si>
  <si>
    <t>Villalobos, Elias</t>
  </si>
  <si>
    <t>Elias Villalobos</t>
  </si>
  <si>
    <t>…duos, no es la espe A la comisión que entiende en los asuntos relativos á casas de mo ranza de conservar las cosas actuales, sino el deseo y ¡a esperanza de neda una exposición de D. Elias Villalobos y de D. Joaquín Manri obtener y conservar cosas nuevas , nuevas presas, nuevos robas y nuevos que y Manrique, regidores comisionados por el ayuntamiento constitu saqueos. Esto era lo que existía en los amigos y compañeros de Catili cional de esta villa para e…</t>
  </si>
  <si>
    <t>Villalobos, Tomas</t>
  </si>
  <si>
    <t>Tomas Villalobos</t>
  </si>
  <si>
    <t>…de Extremadura alta, en que pedían se hiciese capital á Platriunfo de esta virtud. Las coronas cívicas y festones de laurel y oliva sencia en lugar de Cáceres: otra exposición de D. Tomas Villalobos, que adornan las columnas de Hércules,- sorú alusivas á los timbres que procurador síndico de la misma ciudad; y últimamente la de los ayun adquirió Cádiz en la época que este monumento perpetúa. = Inclusa la tamientos' de Valdeorrás, y otros de la provincia…</t>
  </si>
  <si>
    <t>Villalon, Pedro</t>
  </si>
  <si>
    <t>Pedro Villalon</t>
  </si>
  <si>
    <t>…das dirigidas al to de la provincia de Córdoba , para que se le permita comprar una casa mismo fin. Después de haber hablado sobre esto los Sres. Traver , V¿de la testamentaría de D. Pedro Villalon, en pago de la cantidad que dillo y Gaseo se mandó unir á un proyecto dé -ordenanzas- municipales le debe, para que pueda construir unas casas consistoriales y cárcel, que.ha presentado á las Corres el ayuntamiento de Cádiz, y pasarlo ú de que carece : el pla…</t>
  </si>
  <si>
    <t>Villalonga, Baltasar de</t>
  </si>
  <si>
    <t>Baltasar de Villalonga</t>
  </si>
  <si>
    <t>…nte general d’Auvray á las órdenes in Cuzco en D. Miguel Nieto , en atención á sus méritos, y por promo mediatas del príncipe Constantino , y que se compone de soldados sa ción de D. Baltasar de Villalonga , que la obtenía , á ia intendencia de cados de Jas provincias ruso-polacas. Este cuerpo ocupa toda la Lituania la misma provincia.y el gobierno de Minsk, y tiene su cuartel general en Wilna: segun do, la guardia imperial vieja y nueva, que ocupa á St. Peters…</t>
  </si>
  <si>
    <t>Villanueva</t>
  </si>
  <si>
    <t>…dictamen de la. misma comisión1, que era A la comisión de Milicias nacionales se mandó pasar una indica el de' no haber lugar á la formación de causad Joaquín Hernández,, ción del Sr. Villanueva, que decía: ,, Excite el Gobierno el- zelci de sargento de milicias nacionales/, solicitada por. D. Josef Garrido, ve- las diputaciones provinciales para que oyendo á los ayuntamientos, pro-; c.no de .Cartagena. ,, . 1 , \ ■. ' ponga en un término perentorio…</t>
  </si>
  <si>
    <t>…uerza el objeto de su petición antes que el correo nes de Guerra y Hacienda reunidas, una obra escrita por el teniente ge volviese. neral D. Salvador Perellós, y presentada por él Sr. Villanueva, con.el ' PORTUGAL. título de Discursos soh-e la necesidad de premiar á los hijos de los mi litares. Lisboa 18 di Marzo. A la comisión de Diputaciones provinciales pasó una exposición de los vecinos del barrio de S. Antonio de la. villa deCarrion de los Con ■…</t>
  </si>
  <si>
    <t>…ctualidad no ilegaban á 12. to para hacer un repartimiento de la mitad del producto' líquido de di La misma comisión presentó su dictamen acerca de la indicación cho impuesto. del Sr. Villanueva, y conformándose con ella, proponía á las Cortes Él Sr. Moreno Guerra leyó un proyecto de decreto sobre bagages, los dos artículos siguientes: y se tuvo por primera lectura: el Sr. Solanot presentó su voto particu 1.° Que se suspenda la provisión de capellaní…</t>
  </si>
  <si>
    <t>…nez , D. Josef Manuel de Aranalde yD.Jo- tiró este la referida representación. sef Señan y Velazquez. El Sr. presidente dijo que señalaría dia. Se leyó la siguiente indicación del Sr. Villanueva: » Propóngase i A la comisión de Legislación se pasaron, una exposición de Don" las Cortes por la comisión que tengan á bien nombrar una medida vi Javier Andrade, vecino de Sevilla , solicitando dispensa de edad para gorosa , capaz de cortar radicalmente los…</t>
  </si>
  <si>
    <t>…Chauvelin. Queréis sin duda ponernos antojeras, como á los ca sario , y reunir á un cuerpo.la fuerza de otros. ballos para impedir que no veamos nada ú derecha ni a izquierda. El Sr. Villanueva reclamó que se leyese la indicación que había Después de una larga agitación se aprovechó Mr. Sebastiani de ur» hecho pocos dias antes , y de la cual se dio cuenta al Congreso ¿en oca instante de silencio para volver á tomar el hilo de su discurso. sión que n…</t>
  </si>
  <si>
    <t>. El Sr. Villanueva dijo que fio podía realizarse lo que'decía el señor rí Se leyó el art.' 15, que decía asi: » E! egército permanente formará preopinante, porque las Cortes sucesivas ya. cuidarían de que no llegase en tiempo de paz tantas divisiones cuantas sean las comandanci…</t>
  </si>
  <si>
    <t>…a comisión de Milicias nacionalér,'encar Se leyeron dos indicaciones, launa de un Sr. diputado,'y la otra gada de examinar varías proposiciones 1 relativas su organización , y del Sr. Villanueva y'otros señores,-para que se escribiese en el salón de cuyos artículos eran, del tenor siguiente’: • : 1 ' Cortes, ademas,dé los nombres de Padilla-, Maldonado-y Bravo, el de ; Art: i.° » En todos-jos pueblos en que"existan voluntarios de mílí-' D- Juan de La…</t>
  </si>
  <si>
    <t>…, cuyo nombre no dieron á las palabras quedan desde ahora de la ley de 6 de Agosto fue quiere que se publique. el de tiempo futuro, esto es, quedarán desde ahora, añadiendo las El Sr. Villanueva dijo que sin embargo que la comisión Fclesiis- condiciones, bajo las cuales debían ser considerados dichos señoríos pa tica había concluido su,dictamen, y que iba á presentarlo á la mayor ra que subsistiesen; sobre lo cual apelo al diario y actas de las misma…</t>
  </si>
  <si>
    <t>…en el art. 357 jeto de arreglar un concordato con ia santa Sede; y que con efecto lia de la Constitución. vencido todos los obstáculos que hasta ahora se habian opuesto á ello. El Sr. Villanueva preguntó sí las provincias serian responsables de Según el cálculo que ya se ha hecho en Londres, donde todo se las bajas que resultasen por deserción cuando el reemplazo se hiciese calcula, el manto y vestidos para la coronación de S. M. Jorge iv eos-; por s…</t>
  </si>
  <si>
    <t>…teniendo facultades para ello; puesto que muchas de sus cuentas están liquidadas por el Crédito público. que el Gobierno le dijo no debía llevarse á efecto dicho contrato hasta El Sr. Villanueva dijo que seria de suma utilidad el que en la co que tuviese la Real aprobación1, siendo ademas prueba de ser culpable misión Eclesiástica se reuniesen algunos de los diputados eclesiásticos dicho intendente el haber mandado el de Santander que no se permitier…</t>
  </si>
  <si>
    <t>…:; y después de una corta dis Se leyó y mandó pasar á la comisión especial de Hacienda una in cusión se declaró no haber lugar á votar, y que pasase á dicha ¿omisión; dicación del Sr. Villanueva, relativa á que se presenten resueltas á las El Sr. presidente dijo que siguiese la discusión acerca del dictamen Cortes por la comisión que tuvieren á bien nombrar todas las .dudas de la comisión de Guerra sobre el reemplazo del egército en. el presente acer…</t>
  </si>
  <si>
    <t>…ones provinciales se mandó pasar una ex res de aquel tribunal, por lo que pedia se aprobase la indicación. posición .de la diputación provincial de Murcia, adjunta con otra del El Sr. Villanueva dijo que tenia en su poder un oficio, cuya fecha ayuntamiento constitucional de Cartagena , para que se le aprueben cier era del 17 de Marzo del año pasado,ocho días después de la extinción tos impuestos sobre el vino y aguardiente que entran en aquella ciuda…</t>
  </si>
  <si>
    <t>…del plan general los moradores de aquel pueblo habian obligado á 80 familias á emigrar de Hacienda. de él, y á trasladarse á Villanueva de S. Carlos; y que de resultas de esta El Sr. Villanueva expuso que teniendo el proyecto de decreto sobre emigración había quedado aquel pueblo reducido á 40 vecinos , los fíni diezmos'bastante relación con la organización del clero, y mediante á cos que existían en el dia; lo que ponía en consideración de las Cort…</t>
  </si>
  <si>
    <t>…o una ganancia la última evidencia los monstruosos é'ile'gáles procedimientos de los años regular; por consiguiente mi opinión es.que vuelva este artículo á la *4 y *5 , de que el Sr. Villanueva no hizo .sino dar algunas ligeras comisión, ó que.se redacte en estos términos : „No podrá, de nin .muestras en sus apuntes. Esta obra es una exquisita colección de me guna manera la Hacienda pública vender el tabaco de ninguna cla morias históricas y polític…</t>
  </si>
  <si>
    <t>…guientes, se demuestran hasta para,sesión extraordinaria, y se levantó la de este dia. la última evidencia los monstruosos é ilegales procedimientos de los años 14 y 15, de que el Sr. Villanueva no hizo sino dar algunas ligeras ARTICULO DE OFICIO. muestras en sus apuntes. Esta obra es una exquisita colección de me morias históricas y políticas, que al paso que descubren el origen de Circular del minkterio de la Guerra, las leyes fundamentales de Espa…</t>
  </si>
  <si>
    <t>…pensiones que disfrutaban. pasar á la comisión. Se mandaron pasar á la comisión Eclesiástica unas indicaciones del Se verificó la primera lectura , y se mandó imprimir el dictamen Sr. Villanueva, relativas á que en atención á que varios pueblos hacen de ia comisión acerca de la nueva división del territorio español. gastos exorbitantes, autorizados por costumbres envejecidas, y con el Asimismo se levó y se mandó imprimir ei dictamen de la comisión no…</t>
  </si>
  <si>
    <t>…sma orden, que se suprimen; en Viar Los sugetos que tuviesen los primeros cuadernos de los Apuntes y en Ollería los de capuchinos; en Alcoy el de franciscos recoletos y el del Sr. diputado Villanueva sobre el arresto de los vocales de Cor de agustinos calzados, reuniendo á este le comunidad del de Játiva de tes, y quisieron recoge-’ los icsiantes hasta ¿i octavo y último, podran igual instituto, que se suprime; pero con tal de que complete el núme acudir…</t>
  </si>
  <si>
    <t>…n. 6 , cuarto permanencia de un licor inocente puede hacerle absorver en pocas ho principal. ras un veneno activo. Lo que debe haceros mirar con suma delicadeza Nuevos apuntes del diputado Villanueva sobre las cartas del señor estas materias, es el peligro de acalorar las imaginaciones con temores Alcalá Galiano. Publicados los apuntes sobre el arresto de los vocales. infundados, ó de entorpecer con ociosas precauciones un comercio ne de Cortes, imprimió…</t>
  </si>
  <si>
    <t>…s artículos én los que se artículo, •• - • • -■ proponen ias penas que se han de aplicar á las tentativas. ... El-Sr.'Lallave (D. Pablo) manifestó que ño creía este artículo ge Él-Sr. Villanueva: He pedido la palabra para manifestar que la pa neral , en razón de que.no se habían aprobado las definiciones de deli labra tentativa está muy, bien puesta en .este, artículoque no es del to y culpa, y que después cuando se trátate de los delitos en'particul…</t>
  </si>
  <si>
    <t>…extraordinarias han examinado ia consulta que de orden del Gobierno presente mes de Diciembre. les dirigió V. E. en 8 de Noviembre próximo acerca de ia prohibi Nuevos apuntes del diputado Villanueva sobre las cartas del señor ción de tornillos llamadas golosos ó de rosca de madera, que no se ex Alcalá Galiano, núm. 5. Se hallará con las anteriores en la librería di presan en los aranceles vigentes, y se presentó una partida de ellos en Hurtado. la aduana…</t>
  </si>
  <si>
    <t>…conside ANUNCIOS. , ración per haber defendido con tanto tesón aquel punto, ayudada de la restante tropa del mismo, que desde su cuartel del frente y varios ofi Nuevos apuntes del diputado Villanueva sobre las cartas del Sr. Al ciales que habitan en los pabellones hao hecho un contiguo fuego á ios ■ calá Gal ¡ano: cuaderno 6°, en el cual, ademas de los documentos im facciosos. F.n este intermedio empezó un fuerte tiroteo por toda la ciu portantes que se p…</t>
  </si>
  <si>
    <t>Villanueva, Lorenzo</t>
  </si>
  <si>
    <t>Lorenzo Villanueva</t>
  </si>
  <si>
    <t>…y todas las pasiones mezquinas que envile Parroquia de S. Miguel y S. Justo, j- electores. cen y desdoran al hombre en sociedad, aparecen mas disformes en lo» D. Josef Cano Sainz, D. Lorenzo Villanueva y D. Román Corona. que tienen á su cargo representar á sus conciudadanos. Cuanto mas au Parroquia de S. Millan, xy electores. gustas y mas sagradas son las funciones de.este cargo, cuanto mayores D. Andrés Moya Luzuriaga, D. Antonio Ruiz Rostriaga, Den virtudes se reconocen ne…</t>
  </si>
  <si>
    <t>…ara propietario de Alcoy; D. Martin Serrano , abogado: D. Vicente Salvé, contener á los genízaros, sin embargo de que aquellos le son muy sospe regidor constitucional de Valencia; D. Lorenzo Villanueva, magistra chosos por su insubordinación, por el deseo que manifiestan de come do de la audiencia territorial de Madrid; D. Vicente Navarro Tejeiro, ter escandalosos y funestos excesos en el saqueo y asesinato de los cris abogado; D. Bernardo Falcó, presbítero…</t>
  </si>
  <si>
    <t>Villar, Tomas María de</t>
  </si>
  <si>
    <t>Tomas María de Villar</t>
  </si>
  <si>
    <t>…bservan en to da por haber infringido la Constitución, llevándole á la cárcel en cla das partes, y se observarán mientras no se remuevan aquellos ministros se de detenido. Otra de D. Tomas María de Villar , escribano de la acostumbrados á juzgar por tu capricho y con'Ja arbitrariedad mas villa del Arenal, contra el alcalde de la misma D. Gerónimo Solanas y manifiesta; y que los reos de que se trataba debían ser sentenciados el abogado D. Pedro Rodríguez, vecin…</t>
  </si>
  <si>
    <t>Villareal, Josef Chabarino y</t>
  </si>
  <si>
    <t>Josef Chabarino y Villareal</t>
  </si>
  <si>
    <t>…de las tazmías: que asimismo món García Jiménez, se ha mandado citar y emplazar 4 D. Josef cuiden ¡as juntas de recaudar dicha parte del subsidio, y los comenda Chabarino, hijo de D. Josef Chabarino y Villareal, cuya residencia se dores de ponerla á disposición de las juntas antes de cumplirse los pla ignora, para que en el término de 10 dias, que por último se señalan, zos señaladas; y no verificándolo, pasarán estas á los intendentes notas contados desde el siguie…</t>
  </si>
  <si>
    <t>Villarino, Juan Antonio</t>
  </si>
  <si>
    <t>Juan Antonio Villarino</t>
  </si>
  <si>
    <t>…Tomas Polo Catalina. Madrid l.° de Noviembre. Parroquia de S. Marcos, p electores. En el domingo próximo 4 de Noviembre se han de celebrar en toda D. Josef de Arca, D. Josef Huel, D. Juan Antonio Villarino,' la Península las elecciones de los electores de partido por los de las D. Luis Negro, D. Pedro Delgado, D. Rafael Saravia y D. Ramón parroquias, nombrados en el primer domingo de Octubre. Este se Calatrava. gundo trámite del método de elecciones, aunque men…</t>
  </si>
  <si>
    <t>Villáriuéva</t>
  </si>
  <si>
    <t>…adquisición de los bienes mas privi a sus casas,' y desde ellas hacer con mas facilidad las diligencias. legiados, cuales eran los de los hereges condenados por tales, pues preEl Sr. Villáriuéva dijo: » Qiie en ■ cuanto, á lo que últimamente ■ venia que el que hubiese poseído por 30 años éstos bienes , aun cuan manifestaba el Sr. preopinante debia exponer que cotí.lo que iba á pro do no presentase ni pudiese presentar título alguno , no pudiese ser d…</t>
  </si>
  <si>
    <t>Villaroel, Manuel</t>
  </si>
  <si>
    <t>Manuel Villaroel</t>
  </si>
  <si>
    <t>…de-todas las mendi, de S. Sebastian. Pamplona. escuelas de esta ciudad. D. Domingo Hilario de Ibaceta, Sr. Lahirigoyen , de Bayona. Otro al mas instruido en aritmética. de Bilbao. D. Manuel Villaroel, de Badajoz. Otro al que tenga mas conocimientos del catecismo político. Doña Heuduvigis Sorarte, de San D. Manuel Angel Vidarte, de Otros tres á las alumnas mas instruidas en gramática, aritmética y Sebastian. Pamplona. Constitución, de todas Jas amigas de l…</t>
  </si>
  <si>
    <t>Villata</t>
  </si>
  <si>
    <t>…, y moden; y el teniente general Mohr hizo marchar la división del pr.'nmalamente, la diplomacia -del norte y el general Frímont; solo que -cipé Wied. A las diez ’dé&gt; la mañana el general Villata bajó de las ni aun son para ello. Frimont se vale, sí, de frases á la Bonaparte, -montar.as.aL paso de Corno-; llevando consigo algunos oficiales, y un pues para inspirar odio contra los napolitanos hace que estos Saqueen centenar de soldados que había hecho…</t>
  </si>
  <si>
    <t>Villativo, Aíanuel Ramón da</t>
  </si>
  <si>
    <t>Aíanuel Ramón da Villativo</t>
  </si>
  <si>
    <t>…ciano de la Torre. Páris hasta el 22................... ” D. Bernardo Bonáv'a. D Manuel Villano. La atención de la Europa está fija; sobre la Turquía, y no sin mo Conde de Guaqui. D. Aíanuel Ramón da Villativo; puestos acontecirhiehtos pueden ser tales, qiietodo el continente D. Diego Fiérralas.' chica. sufra nuevas desdichas,,y qué la huniímídad resienta los efectos de la D. Domingo Hilario Ibaceta, Doña María de Loreto Rodrí ambición , ó los de la injusticia cont…</t>
  </si>
  <si>
    <t>Villaurrutia, Jacobo</t>
  </si>
  <si>
    <t>Jacobo Villaurrutia</t>
  </si>
  <si>
    <t>…tantes, y medios convenientes para su de inacio Alpuente y D. Miguel Antonio Rodrigo: en la de Cataluña á finitiva pacificación, con una noticia de los trámites que la precedieron D. Jacobo Villaurrutia y D. Antonio González Rodríguez: en ia de y motivaron. Véndese á 2 rs. en la librería de Hurtado. Mallorca á D. Manuel de Lizana: en la de Galicia á D. Ramón Ma Manifiesto que hace un ciudadano á sus compatriotas con motivo ría de Moya y D. Juan Nepomuceno Vela: en la de Sevilla á D. Jo de…</t>
  </si>
  <si>
    <t>Villaveachea, Ignacio</t>
  </si>
  <si>
    <t>Ignacio Villaveachea</t>
  </si>
  <si>
    <t>…el primer dú de la junta general píiblica de Sres. Gómez , hermanos, de Cádiz. D. Narciso Plandolit, de Barce la sociedad , debiendo antes examinarse en público del ramo á que per D. Ignacio Villaveachea. lona. tenezcan los premios que hayan obtenido. Sres. Jane, Orbegoso y Castañares, D. Santiago de Unda, de Bilbao. A los alumnos de las clases de matemáticas que dirige la sociedad, de Bilbao. D. Simón de la Cuadra, id. que se presenten á ser examinados de ar…</t>
  </si>
  <si>
    <t>Villavicencio, Fernando Nuñez de</t>
  </si>
  <si>
    <t>Fernando Nuñez de Villavicencio</t>
  </si>
  <si>
    <t>…boria, de un dia largo de dal y bienes del patronato fundado en la referida ciudad de Jerez de bueyes, en venta 120 rs. , y en renta un copin.__Una tierra en térmi la Frontera por D. Fernando Nuñez de Villavicencio, que administra nos , al Cepedal, de un dia de id. , en venta 55 rs. , y en renta medio ba el extinguido monasterio de la Cartuja de la propia, para que den copin__ Otra en el Pascon , llamada de este nombre, cabida de un dia tro de ellos acudan á deducirle p…</t>
  </si>
  <si>
    <t>Villavieja, Gregorio Sainz de</t>
  </si>
  <si>
    <t>Gregorio Sainz de Villavieja</t>
  </si>
  <si>
    <t>…......... ........ 2....... ....... 2....... ....... O...» ...... 2(5... D. Clemente Noguera, D. Evaristo S. Miguel, D. Felipe de 1 a i6. 6. 2. 91. Calle, D. Gabriel Josef García, D. Gregorio Sainz de Villavieja,. L&gt;, Josef Espinosa, D. Josef Ruiz de Porras, el marques de Espinardo Lebrija. Parroquia de S. Lorenzo, 20, electores. Del 13 al ao... ....... 63..... •• 3*...... ...... 46... D. Aníbnio González, D, Antonio de la Iglesia, D. Antonio Mercar, D. Antonio Sala,…</t>
  </si>
  <si>
    <t>Villavieja, Gregorio Sanz de</t>
  </si>
  <si>
    <t>Gregorio Sanz de Villavieja</t>
  </si>
  <si>
    <t>…a Sublime Puerta, respecto de los Suplente. D. Joaquín Lumbreras, catedrático en Alcalá. créditos cuantiosos que tienen los europeos', contra los griegos que han Por la de Toledo. D. Gregorio Sanz de Villavieja, cura de la par emigrado , aunque existen aquí sus propiedades, decidirá de la mayor ó roquia de S. Josef de Madrid. D Ramón Luis Escovedo, gefe político menor pérdida de estas factorías. Entretanto se ve que el Gobierno de de Sevilla. D. Francisco Benito, ca…</t>
  </si>
  <si>
    <t>Villegas, Francisco Quevedo y</t>
  </si>
  <si>
    <t>Francisco Quevedo y Villegas</t>
  </si>
  <si>
    <t>…en tres clases, que comprenderán la mecánica racional zalo Fernandez de Córdoba, el gran duque de Alba, Arias de solidos y fluidos, la geometría descriptiva con sus.apli Montano, D. Francisco Quevedo y Villegas y D. Juan de caciones , la mecánica aplicada, y las nociones fundamen- Ferreras---- 3.-“ cuaderno. Hernán Cortés , Garcilaso de la Vega, tsics de tísica, química y mineralogía., con la arquitectura D. Alonso de Ercilla, D. Pedro Calderón d‘ la Barca; Aligueí civil y el…</t>
  </si>
  <si>
    <t>Villegas, Vicente Fernandez</t>
  </si>
  <si>
    <t>Vicente Fernandez Villegas</t>
  </si>
  <si>
    <t>…de Clérigos menores, tal y su partido á D. Josef Vilella, D. Josef Codina, D. Mareo Mi del Espíritu Santo. Se suprimen los de Dominicos de la Pasión, cuyos randa, D. Andrés Soler, D. Vicente Fernandez Villegas y D. Tomas religiosos se trasladarán al convento de la misma orden én Ocaña; y Liñan. los de Sto. Tomas y del Rosario, y sus individuos se trasladarán ai En Ultramar. Para una media ración de la santa iglesia metropoli de Atocha; de Franciscos descalzos de S. Bcrnardino…</t>
  </si>
  <si>
    <t>Villele</t>
  </si>
  <si>
    <t>…gundos fuesen nombrados por el Gobierno, y que hubiese al Al marques Clermont-Tonerre para el de Marina. guna escala; y contestó á algunas de las objeciones que se habían hecho Al Sr. Villele para el de Hacienda. al dictamen de la comisión. El 14 prestaron el competente juramenta en manos de S. M. El Sr. Marín Tauste opinó que se colocaba á Jaén en una clase que _Mr. Mouaier, director general de policía , ha hecho dimisión de su no le correspondía…</t>
  </si>
  <si>
    <t>Villora, Andrés</t>
  </si>
  <si>
    <t>Andrés Villora</t>
  </si>
  <si>
    <t>…reos inmediatamente que se reciba esta reso Partido de Cuenca D. Cayetano Izquierdo. D. Josef Royo Cantos. lución , y sin suspender las diligencias de lectura y cotejo, que en el D. Andrés Villora. D. Juan Francisco Sierra. D. Diego Antonio Me término de 24 horas después de la notificación nombre cada uno un na. D. Nicolás Escolar y Noriega. defensor suplente , que deberá ser de los mismos que defienden á otros Partido de S. Clemente D. Josef del Campo…</t>
  </si>
  <si>
    <t>Viñarte, Lorenzo</t>
  </si>
  <si>
    <t>Lorenzo Viñarte</t>
  </si>
  <si>
    <t>…de haber una de estas universi de 53 pesos que dicho difunto D. Juan de Clavería tenia dados á guar dades ; y si es de tercera puede pasar esta propuesta á la comisión , la dar á D. Lorenzo Viñarte, que después falleció también, y resistién que informará si se ha de establecer ó no como se pide. dose á la entrega de dicha suma D. Cristóbal de Arozarena, albacea El Sr. Muñoz Torrero apoyó que. se pasara esta indicación á la co de Viñarte porque decia, qu…</t>
  </si>
  <si>
    <t>…te. ( Se continuará ') hijo y apoderado D. Pedro Dalhaste y Clavéría, de recoger la cantidad de 53 pesos que dicho difunto D. Juan de Clavéría tenía dados á guar VARIEDADES. dar á D. Lorenzo Viñarte , que después falleció también, y resistién dose á la entrega dé dicha suma D. Cristóbal de Arozarena, aib.icea Continua el articulo áe ayer. de Viñarte , porque decia que este le había comunicado que dicho » Sus contrarios imaginan que el atractivo de la lib…</t>
  </si>
  <si>
    <t>…adoptarse alguna coger ¡a cantidad de $9 pesos que dicho difunto D. Juan de Claveria medida, tal como la que proponía ia comisión, porque asi lo exigía la tenia dados á guardar á D. Lorenzo Viñarte, que desj| íes falleció tam salud del Estado; pero que deseábase hiciese alguna variación en cuan bién , y resistiéndose á la entrega de dicha suma D. Cristóbal de Aroto se procedía por denuncia y de oficio; y que ademas en lugar de de zarena, albacea de Viña…</t>
  </si>
  <si>
    <t>…que los de infantería de línea y ligera. 53 P-sos que dicho difunto D. Juan de Clavería tenia dados á guardar á Art. 8.° » El cuerpo que por una acción distinguida en el caso que D. Lorenzo Viñarte que después falleció también ; y resistiéndose á la menciona el art. 29 del decreto de la creación de la orden de S. Fer entrega de dicha suma D. Cristóbal de Arozarena, albacea de Viñarte, nando hubiese merecido ó mereciere en adelante la distinción que allí…</t>
  </si>
  <si>
    <t>Viñau, Josef</t>
  </si>
  <si>
    <t>Josef Viñau</t>
  </si>
  <si>
    <t>…296: entrados ó acometidos 11: sali de electores de partido, que son el conde dePrado Castellano, D. Josef dos ó curados 7: convalecientes 18 muertos 8: existentes 292. Noriega y D. Josef Viñau, abogado. El Sr. Noriega, rector del cole Total de los cuatro puntos; existencia anterior 517: entrados ó aco gio de la Asunción, es bien conocido , no solamente en Córdoba , sino metidos 34: salidos ó curados 24: convalecientes 73: muertos 27: por gran númer…</t>
  </si>
  <si>
    <t>Vincent</t>
  </si>
  <si>
    <t>…la El conde Pozzo di Borgo salió el 27 de Abril para Laybach , poco política el ver por una parte la opulencia y por otra la escasez. Ade después de haber llegado un correo , y el barón Vincent le siguió a! mas, si el soldado está obligado á completar el sacrificio momentáneo dia inmediato. El conde de Fiquelmont, por parte del Aust.ia, y Mr. que debe á su patria con una tolal abnegación de su existencia moral y de Oubril por la de Rusia, Ies sucede…</t>
  </si>
  <si>
    <t>Vinent</t>
  </si>
  <si>
    <t>…que bombarda francesa, su capitán Robert; un bergantín español, su capi seguir pagando como hasta aquí, y 1© mismo les sucede si los señoríos tán Femericas; una polacra española, capitán Vinent; un bergantín quedan a favor de la Nación; por consiguiente á los pueblos no les ruso, su capitán Agustín Vitali; otro id. ruso, su capitán Constantino resulta ventaja alguna; y aun digo mas, que aun en el caso de que des- Orlando; otro id. ruso, su capitán B…</t>
  </si>
  <si>
    <t>Vinuesa, Matías</t>
  </si>
  <si>
    <t>Matías Vinuesa</t>
  </si>
  <si>
    <t>…los curas de la iglesia mayor , y otro de igual cantidad á los de la de Quiroga. Sta. Marina y S. Pedro de Sanlúcar 1á Mayor: sobre el 14 y 15 uno de Contestación que á nombre de D. Matías Vinuesa, capellán de ho 14 rs. y 24 mrs. al convento de Sta: Paula: sobre el 25 otro de 35 nor de S. M., arcediano de Tarazona, y cura que fue de Tamajon, da rs. y io mrs. á la parroquial de S. Román: sobre el 32 uno de 38 rea á la acusación fiscal, promovida contra…</t>
  </si>
  <si>
    <t>…as, y practicándose su arbolado, encinar y jara, y su ribera de fresno: una alameda conti otras diligencias. gua á dicho monte y fresnal , de cabida 2 cargas: un prado de pasto id D. Matías Vinuesa, capellán de honor de S. M.; D. Norberto tieso., llamado la Ribera, de cabida de 272 cargas da terreno, de pri Llorenci, impresor, y D. Juan Angel García , id., presos en 28 de mera calidad; y una casa con su oratorio y habitación para el guarda: Enero por ab…</t>
  </si>
  <si>
    <t>Vinuesa, Pedro</t>
  </si>
  <si>
    <t>Pedro Vinuesa</t>
  </si>
  <si>
    <t>…; y sus sobrinos D. Vitoriano González, natural de la misma vi todos los estados de este Reino-Unido la Constitución que se hiciera lla, soltero , estudiante de moral, de 21 años; D. Pedro Vinuesa , na y aprobara por las Cortes-actualmente convocadas en esa ciudad. Toda tural de' dicha villa , soltero, estudiante de teología , de edad de t8 la familia Real, el pueblo y la tropa de esta corte juraron del modo años , presos en la cárcel de Corte; y D. So…</t>
  </si>
  <si>
    <t>Vinuesa-, Matias</t>
  </si>
  <si>
    <t>Matias Vinuesa-</t>
  </si>
  <si>
    <t>…o supo, mamente se habia pagado el oficio de que habia sido violentada la que mandar "poner la tropa sobre las armas; que sin embargo el Con puerta del calabozo donde estaba preso D. Matias Vinuesa-, por Una por greso para mayor satisfacción podría nombrar una comisión que exa ción de gente, habiéndole dado en seguida la muerte. Que á conti minara la conducta del poder egecutivo en estas ocasiones. nuación se pasó por el ministerio de Gracia y Justicia a…</t>
  </si>
  <si>
    <t>Vireina, Fran</t>
  </si>
  <si>
    <t>Fran Vireina</t>
  </si>
  <si>
    <t>…ciudad de toda dolencia 62: en el hos Partido de Toledo. pital General 5: en el Militar 1: en el del Seminario 29: en el de la D. Mateo Razóla, cura párroco de Navalmoral de Pusa; D. Fran Vireina .... en la Barceloneta .... Total 97. cisco Blas Garoz, vecino de Yébenes de Toledo; D. Casimiro Francis De orden de la M. I. junta municipal de Sanidad. = Francisco Su- co Benayas , vecino de Noves; D. Josef Sánchez Berrio, vecino de Vibirach, habilitado par…</t>
  </si>
  <si>
    <t>Virorica</t>
  </si>
  <si>
    <t>…el 15 de los de la gaceta da it del cor de industria; por estas razones op'nú que no debia aumentarse el ava riente. lúo en los términos que habia indicado el Sr. preopinante. Hí Sr. Virorica dijo que el artículo debía expresarse en otros térmi Después de haber hecho el Sr. Murfi varias reflexiones en apoyo del nos", y‘ dec;r: o Se autoriza al Gob ernó , primero para resolver, oyendo dictamen de la comisión , se declaró) este asunto suficientement…</t>
  </si>
  <si>
    <t>Virtud, Manuel</t>
  </si>
  <si>
    <t>Manuel Virtud</t>
  </si>
  <si>
    <t>…z, D. Francisco de Paula Fernandez, D. Juan Antonio darse del-prestigio que los hizo mirar como los hijos predilectos de la Isusi, D. Juan de la Cruz González, D. Manuel Ovaldia , D. Manuel Virtud y de la sabiduría , descubriendo en ellos todos los defectos que Rodríguez, D. Pedro Agar , D. Ramón Utges y D. Tomas Perez. se notan en el hombre más vulgar. Parroquia de S. Gines, 8 electores. ¡Qué marcha tan augusta es la de un corto número de ciudadanos,…</t>
  </si>
  <si>
    <t>Visconti</t>
  </si>
  <si>
    <t>…en habra seguramente un dato mas para conocer si ha de seguirse la opi práctica las medidas y precauciones mandadas observar para tales caso» nión de Mr. Burckhardt, ó bien la del Sr. Visconti. Era este de pare en la instrucción de Agosto de 817, á fin de evitar la propagación del cer que estos cielos rasos zodiacales debieron hacerse en aquel espacio contagio á ias poblaciones que tienen la suerte de hallarse exentas de de tiempo en que el año sac…</t>
  </si>
  <si>
    <t>Viseen</t>
  </si>
  <si>
    <t>…nos y Canales en el — Sabemos que el Rey.de Ñapóles se embarcó el dia 13; año de 1811. y que acompañan á S. M. en su viage hasta tSpersonas, entre ellas la Duquesa de Floridia, el príncipe Viseen ti , el i*0 La aritmética de los números enteros.,, quebrados* marques Ruñó, mayordomo mayor de palacio, el prínci fracciones decimales , y dé los números llamados complexos pe Bouti, capitán dé la guardia, el príncipe de Buttera, ó denominados, dando á conoc…</t>
  </si>
  <si>
    <t>Vitali, Agustín</t>
  </si>
  <si>
    <t>Agustín Vitali</t>
  </si>
  <si>
    <t>…y 1© mismo les sucede si los señoríos tán Femericas; una polacra española, capitán Vinent; un bergantín quedan a favor de la Nación; por consiguiente á los pueblos no les ruso, su capitán Agustín Vitali; otro id. ruso, su capitán Constantino resulta ventaja alguna; y aun digo mas, que aun en el caso de que des- Orlando; otro id. ruso, su capitán Biaggio Cappiello, y dos grandes Íiues de examinados los títulos se declarasen incorporables £ la Nación, polacras…</t>
  </si>
  <si>
    <t>Vitdrica'aquella</t>
  </si>
  <si>
    <t>…ena á que están condenados. Por'to' dieran cuenta de ellas; - : -dó Ib que (concluyó diciendo) debia mandarse cümplir láíey expresada. 'El Sr. presidente manifestó debiá'Kác'ér él Sr. Vitdrica'aquella in- - ’ Él Sr. presiden’te dijo que en el hecho de remitir el Gobierno aquel "dicacion por escrito, y que si no lo verificabay la hariS'él: V""‘- expediente .había dado' nna prueba del respeto con que 'mira á la Na Acto continuo se mandó ■ pasar á la comisión…</t>
  </si>
  <si>
    <t>Vitori-</t>
  </si>
  <si>
    <t>…terreno de i3 varas cuadradas según se designa en el ar tículo anterior. Aprobado ” los demas establecimientos públicos.” No hubo lugar a votar sobre la siguiente indicacio.n del Sr. Vitori- La misma comisión presentó los dos siguientes artículos para des ca. » Por ahora se nombrarán solamente tres directores, tino de cada pués del y.° ramo de los tres que se expresan en este decreto.” Art. 8.° » En toda nueva población habrá un ayuntamiento para su…</t>
  </si>
  <si>
    <t>Vitoria, Garlos de</t>
  </si>
  <si>
    <t>Garlos de Vitoria</t>
  </si>
  <si>
    <t>…delito su - Por. Real orden de 17 de Mayo del año anterior tuvo á bien S. M. friesen una misma pena; que á S. S. le parecía una cosa extraordinaria mandar se procediese contra el coronel D. Garlos de Vitoria , goberna el que , je considerase s un hombre niucrío civilmente, y esto era tan dor militar del castillo daJas Peñas de S. Pedro, los oficiales D.Oírlos ordinario que desde que habiéy leyes y desde qué había penas se conocía Benveouti, alférez del primer reg…</t>
  </si>
  <si>
    <t>Vítorica</t>
  </si>
  <si>
    <t>…no sé hallaban, según habian ARTICULO DE OFICIO. manifestado, «a disposición de contestar á ninguna de las preguntas que se les hiciesen.' Circular del ministerio de Hacienda. El Sr. Vítorica, creyendo que cualquiera paso poco meditado que «Por los estados de los productos de las aduanas de algunas se diera en la terrible crisis en que se hallaba-la Nación podría causar provincias en el mes de Enero último ha visto el Rey que ademas de funestas co…</t>
  </si>
  <si>
    <t>…ó , y dijo que la memoria que tenia el honor de presentar á las ' CORTES, Cortes era la misma que habia compuesto el Sr. D. Evaristo Pcrez de Castra, Serien del dia 4 de Marzo. El Sr. Vítorica tomó la palabra, y dijo que para nada debía de leída y aprobada el acta del dia 3 , dijo el Sr. Zapata sí se sabiac nombrarse al Sr. Pcrez de Castro; que á las Cortes no interesaba saber de oficio quién era el encargado del ministerio de Hacienda; y que has J…</t>
  </si>
  <si>
    <t>Vitorica</t>
  </si>
  <si>
    <t>…de la mañana, se añadirá si hubiere el número suficiente de diputados Las Cortes recibieron con agrado, y mandaron pasar á la comisión No hubo lugar á votar sobre la que sigue del Sr. Vitorica; ,,Para de Beneficencia, un tratado intitulado: Modo de sostener y cuidar los que la Nación sepa diariamente con exactitud lo que se trata y resuel niños expósitos y desamparados sin notable recargo en los fondos de la ve en las Cortes, luego que se apruebe e…</t>
  </si>
  <si>
    <t>Vitóríca</t>
  </si>
  <si>
    <t>…es alcanzan hasta el 6 inclusive; las de mos meses en un parage tan frió y tan incómodo como Burgos.'.' Alemania hasta el &lt;5 , y las de Ñapóles por la vía de París hasta el 20. El Sr. Vitóríca hizo presente que con haber aprobado en el dia de Parecía probable que á la época en que nos hallamos se pudiesen ayer la indicación del Sr. García se habia abierto un campo muy vasto ya comunicar'noticias interesantes acerca de la injusta agresión que va á á…</t>
  </si>
  <si>
    <t>…e hubiese instrumentos deben siempre ser análogos á la obra proyectada. hecho, no se podía exigir la responsabilidad, ni tomarlas providencias ARTICULO DE OFICIO. convenientes. El Sr. Vitorica dijo que las Cortes debian manifestar al Gobierno El Rey se ha servido dirigirme el decreto siguiente: Jo mismo que se habia acordado en sesión secreta cuando habían trata „Para que podáis despachar con mas facilidad el gran cúmulo de do este asunto; porque a…</t>
  </si>
  <si>
    <t>…Sr. preopinante con res Rebeldes llamaba Bonaparte á los españoles: rebeldes llaman los de pecto á ellos. Laybach á los napolitanos. Aquel era un monstruo de iniquidad... pero El Sr. Vitorica manifestó no creia que los señores que habian im ¡hasta dónde podria llegarse con un exacto paralelo entre la conducta pugnado el dictamen de la comisión habian querido atacar directamen del mas infame de los usurpadores y la de los hipócritas que parecen te,…</t>
  </si>
  <si>
    <t>…e las ha hecho el comisario de Guerra D. Gabriel Caraballo. Cortes, y en este caso se hallan las ,del~Sr. Creux. Las Cortes oyeron con agrado la felicitación que por su segunda El Sr. Vitorica dijo que creiaque las bulas de los Sres. obispos eran instalación les ha sido dirigida por la diputación provincial de Sevilla, las que el Gobierno ó el Rey podía: despachar oyendo al consejo de Gefes políticos de Oviedo y Murcia , ayuntamientos constituciona…</t>
  </si>
  <si>
    <t>…es y á la misma El Sr. Gareli manifestó que creyendo la comisión que se podía Constitución haya lugar.” añadir á este artículo un caso particular que podría suceder, deteniendo El Sr. Vitorica apoyó dicha adición; pero manifestando que debe á los Sres. diputados para que se reunieran en Cortes, hacia la siguien ría expresarse en estos término*: » Sin perjuicio á las demas penas á te adición: n La autoridad que directa ó indirectamente impidiere que…</t>
  </si>
  <si>
    <t>…tamiento de Granada, relativa á lo mismo, presentada Algeciras ¡ de Abril. á las Cortes por el Sr. Torre Marín. El ayuntamiento constitucional de S. Roque habiendo recibido una El Sr. Vítorica presentó1 otra del ayuntamiento constitucional de circular del Sr. Gefe político del partido para que solemnizase con toda Santander, en que manifestaba algunas exenciones que gozan las pro pompa el día grande en que fue sancionado en Cádiz el sagrado Có vinc…</t>
  </si>
  <si>
    <t>…n estos dos últimos se complete el número de los 24 religiosos se por mitad.” ' : . . . que previene la ley: también subsistirán en Iniesta, Requena y Bel Sé leyó otra adición del Sr. Vitorica al artículo 8.°, concebida en mente los de S. Francisco ; en Priego y Buendia los de menores obser estos términos: ,, Pido que la comisión declare quién ha de nombrar1 vantes; eii Villanueva de la Jara el de carmelitas descalzos, y en Fíuete el el consejo cua…</t>
  </si>
  <si>
    <t>…da á las órdenes de su comandante; -que según le de y remitida á ellas en el término preciso de un mes.” cía el Gefe-político de Guipúzcoa, estaria ya el capitán general en Sal El Sr. Vitorica dijo que pata evitar el que. se derramase sangre vatierra, y que el teniente coronel D. Joaquín Libar-rea con un desta inocente no le parecían muy al caso las proposiciones referidas, pues camento de caballería acuchilló á los facciosos por espacio de tres ho…</t>
  </si>
  <si>
    <t>…otoriamente desafecto al siste rácter de ley, y debia .considerarse como primera lectura. ma constitucional.” El Sr. Quiroga dijo que retiraba sú indicación siempre que las Cor El Sr. Vitorica propuso que en lugar de decir notoriamente desafec tes hiciesen la declaración que habia propuesto el Sr. Romero Alpuente, to , dijese que haya dado pruebas positivas de &amp;c., con cuya opinión Acto continuo la reprodujo el Sr. Romero Alpuente en estos tér— se…</t>
  </si>
  <si>
    <t>…gunda reunión en la presente legislatura; y otra de la comercio , y los pocos caudales que poseen los naturales, cualquiera que diputación provincial de Mallorca ( que presentó el Sr. Vitorica), dan sea la causa de ello. do gracias á las Cortes por algunas providencias que han tomado, y fe El Sr. Ochoa dijo que las observaciones que habla hecho el señor licitándolas por su nueva instalación. preopinante eran agenas de este lugar ; que lo que se deb…</t>
  </si>
  <si>
    <t>…lase le El Sr. Tapia pidió que se llamase para votar á todos los diputa comprenden también las causas que interesan á la Hacienda pública , á dos que estaban fuera del salón, y el Sr. Vitorica que fuese por partes los pósitos ó propios de los pueblos, á los establecimientos públicos, á la votación de este artículo ; lo cual se acoráo por las Cortes. Jos menores, á los privados de la administración de sus bienes y á las En seguida se procedió á la v…</t>
  </si>
  <si>
    <t>…sta discu fundir sospechas acerca de la neutralidad prometida. sión; y el Sr. González Allende también la apoyó. En Viena se habia esparcido á últimos de Mayo la voz de que uno Él Sr. Vitorica apoyó la primera parte de la indicación del Sr. G¡— de los secretarios de la legación rusa en Constantinopla habia tenido raido, y después de una ligera discusión quedó aprobada dicha indi que_ocultarse, porque los genízaros hablan allanado su casa, le habían…</t>
  </si>
  <si>
    <t>…ijo haber pa favorecía extraordinariamente á todos los impulsos y conatos de la li decido el Sr. Calderón. bertad , pues en las provincias pequeñas se formaba mejor el espíritu El Sr. Vitorica dijo: Nadie puede dudar de las ventajas que logran público, se conocen mejor los unos á los otros , y cada uno sus verda las provincias pequeñas ; que cuanto mas pequeñas sean, tanto mejor go deros intereses: cuando se trataba de negocios comunes era mas la i…</t>
  </si>
  <si>
    <t>…as de las provincias que los Este pueblo ofrece las ventajas de un puerto de mar, ventajas que han nombrado.” no manifestaré por ser generalmente conocidas; y no se diga que en Ei Sr. Vitorica dijo que seria mejor que las observaciones de los se esto no tienen ínteres sino los habitantes de los puertos. Idealmente ñores diputados que pide ia comisión pudiesen extenderse acerca de Jo tiene toda la provincia, tanto por lo que respecta á la introducci…</t>
  </si>
  <si>
    <t>…r re Con fecha de 31 da Agosto de este año se comunicó al secretario compensa ; pero esto no es de este lugar. del tribunal especial de Guerra y Marina la Real orden siguiente: Él Sr. Vitorica dijo: Esta división supondría distinciones que no ” Enterado el Rey de la acordada de ese tribunal especial de Guer d.bsn existir entre las provincias, siendo suficiente para el efecto hacer ra y Marina, que con fecha de 29 de este mes me comunica V. S., en u…</t>
  </si>
  <si>
    <t>…as de propios y arbitrios, y cuantos empleados dependan de tiempo y forma qué tenga por mas conveniente.” ellas, y que se desempeñen sus atribuciones por el oficial contador de El Sr. Vitorica manifestó que no debía aprobarse este artículo, las diputaciones provinciales: la tercera, á que el Gobierno provea todas; porque si se dejaba al arbitrio del Gobierno el ponerlo en egecucion, Jas plazas de estas secretarías en los empleados cesantes que teng…</t>
  </si>
  <si>
    <t>…ó la pendiente acerca del ar tos, y en su discurso ha manifestado como principal objeción contra tículo 3 6. ci artículo que se aumentará el contrabando ; pero comparemos ia in El Sr. Vitorica: No hay mas que dos medios, que son ó abandonar fluencia que puede tener este contrabando con las ventajas que ia comi el comerció exclusivo á los extrangeros, ó permitir depósitos en los sión cree que se seguirán á la Nación de que se apruebe este artículo.…</t>
  </si>
  <si>
    <t>…posición del ayuntamiento constitucional de Tuy, solicitando que empleos que dependen del ramo de marina. de esta ciudad capital de provincia: otra del ayuntamiento constitucio El Sr. Vitorica dijo que no debía precisarse al Gobierno á que se nal de Espinosa del Camino y otros pueblos de sus inmediaciones, so valiese de ningún sugeto, porque el ministro debía cuidar de tener los licitando que se les agregue á la provincia de Bvirgos: otra de D. Jos…</t>
  </si>
  <si>
    <t>…e salga á distinta depen - Art. 105. n Si el almirantazgo creyese necesario llamar al servicio dencia.” por circunstancias particulares á ios pilotines del comercio, se conside El Sr. Vitorica manifestó que este artículo queria decir que el Go rarán estos, mientras permanezcan en la armada, como últimas guar bierno no podía escoger para oficiales de la secretaría del Despacho á dias marinas, supliendo por consecuencia las faltas que pueda haber en…</t>
  </si>
  <si>
    <t>…spondan con AA. continuaban sin novedad en su importante salud , y que en la el Gobierno, y este con las Cortes. mañana de aquel mismo dia había muerto en aquel Real sitio el ExEl Sr. Vitorica dijo que la parte de este artículo, que decia: Re centísimo Sr. Duque de Cádiz , sobrino del Rey. solver todas las dudas que se ofrezcan sobre ia amonedación, daba una I as Cortes oyeron con satisfacción el estado dí salud de SS. MM. especie de autoridad para…</t>
  </si>
  <si>
    <t>…tivos puertos los buques que la compo bían de imponer á ios delitos que debiesen castigarse de este modo. nían dco- Email bajá saiió el 20 de Setiembre con parte de la escuadra El Sr. Vitorica manifestó que debería nombrarse una comisión es turca da Corló para Gominitza. Se habla también ( aunque sin datos pecial qne tuviese por .objeto precintar á las Cortes el proyecto do las ciertos) de haber ¡iegado á nuestrá Tada los príncipes Demetrio Ipsi- c…</t>
  </si>
  <si>
    <t>Vitoríca</t>
  </si>
  <si>
    <t>…argos que - JSlfor: Zorraquin manifestó.que ó debería suprimirse este artículo , ó teman en el dia. . i : expresarse- en éi que estos gobiernos los desempeñarían interinamente’ El Sr. Vitoríca manifestó que podía suceder que tan. comandante los. tenientes de r^y y sugentos mayores. tuviese que dar órdenes á un gobernador de mayor graduación que ¿4 Habiéndose confoimado los Sres. de la comisión, se mandó volver solo por juntar estos dos destinos-; y…</t>
  </si>
  <si>
    <t>…» de la provincia d . su nombre, y la &gt; tra de un pueblo del partido de que se exceptuasen los mísoneres. ÍAlcaráz, dando gracias por haber elegido á Chinchilla por capital da fii Sr. Vitorica dijo que en el art. 8-° de otro decreto propuesto ¡provincia. por las mismas comisiones sobre la rectificación de ias bases orgánicas Se dió cuenta de una exposición de la junta nacional del Crédit# de •ranceies se habia aprobado que no debía ser rcgistiado n…</t>
  </si>
  <si>
    <t>…ción , porque es un obstáculo ; esto es ciente la siguiente: » Delito es la voluntaria trasgresion de la ley.” tan cierto como que el Sr. Calatrava ha tenido que hacer un comen El Sr. Vitorica expuso las circunstancias que debian concurrir en el tario de elia ; luego estas palabras sabiendas con mala intención , y to delito, como v. gr. quebrantamiento de ley, mala intención &amp;c.; sin das las que es menester meditar para saber lo que quieren decir,…</t>
  </si>
  <si>
    <t>…tuye en concepto de la convsion una verdadera tentativa. El Sr. pre te en mi concepto es ociosa.' ■ , opinante no hubiera puesto esta objeción si hubiera tenido presentes lo# til Sr. Vitorica; La tentativa es el designio de hacer uña cosa, y art. 7/ y 8-°, que es donde se trata de imponer las penas á ias tentati por lo mismo jamas el designio se castiga. El acto que manifiesta el de vas, y vería que no había lugar en este artículo para castigar él…</t>
  </si>
  <si>
    <t>…tos cuando son traslada al Gobierno el que con fecha del 10 ie ha dirigido el goberna como he manifestado. dor do la plaza de Málaga , incluyéndole copia del parte que le ha da El Sr. Vítorica: Ninguna providencia podrá tomar la autoridad con do el comandante del destacamento de dragones del Rey que hay cu respecto á un pensamiento mientras este no se pruebe; por consiguien dicha plaza D. Josef Aicazar, el cual dice: » Que á ias 10 de la ma te resu…</t>
  </si>
  <si>
    <t>…otros la perpe jeran los Sres. de la comisión si solo por acompañar a un delincuente! tración de un delito. se comete un delito, ó si se necesita ademas de acompañarle ayudarle El Sr. Vitorica hizo presente que no se podia usar de benignidad también. Voy á referir un caso que sucedió á mi presencia. Fueron seis respecto de un hombre que habia concertado la egecucion de un deli ú ocho hombres armados á escalar una cárcel, y antes de llegar á ella to…</t>
  </si>
  <si>
    <t>Vitoricá, El Sr-</t>
  </si>
  <si>
    <t>El Sr- Vitoricá</t>
  </si>
  <si>
    <t>…a Serna, y sobre todo qué sé y Medrano. • . ’ -envíen fuerzas navales; pira todo lo cual voy á hacer úna indicación.” Sé mandó íinir á los antecedentes Id siguiente indicación del señor El Sr- Vitoricá -dijo que el encargado de la secretaria de Estado San Juan-.',í No habiéndose llevado á efecto el decreto de 1.3 de Mar sli3b;a dado ya cuenta-dé lo que pidió el Sr, preopinante. r : zo de 1814 para que sé establezcan depósitos de inutilizados en el &lt;: El Sr.…</t>
  </si>
  <si>
    <t>Vitoríca’</t>
  </si>
  <si>
    <t>…d de deponer las autoridades , ei Gobierno lo haría asi. consultas que se le habían hecho: que se habían tomado varias provi En seguida contm ,ó ¡a discusión sobre señoríos , y el Sr. Vitoríca’ dencias, que hasta ahora habían producido buen efecto; y que aunque’ expuso algunas dudas, relativas á loque se expresaba en el art. q.% no se atrevía á aseeiirar que en lo sucesivo los producirían, no había siendo uní de ellas el que -hallándose muchos señor…</t>
  </si>
  <si>
    <t>Vitórici</t>
  </si>
  <si>
    <t>…ó aprobado. Poesías dé D. Juan Melendez Valdés: nueva edición hecha , de or í; : •&gt;Sú' capital Almería. den superior; por el manuscrito que dejó preparado el autor, y en la qué EL Sr. Vitórici se ópilso á-que se votasen las capitales hasta tanto además de lás ritúchas correcciones qúe hay en lás anteriores, se publican que estuviesen determinados los límites de las provincias. por lá vez primera casi otras tantas mas composiciones que las que com E…</t>
  </si>
  <si>
    <t>Vitoricr</t>
  </si>
  <si>
    <t>…del reglamentó sotros, exclamar: „¡ojalá que todos esos individuos venerasen tauto la que se había leído. Constitución , y fuesen tan adictos á ella , y tan dignos como los que El Sr. Vitoricr. conceptuando inconexo el contenido del oficio, y acaban de ser separados! porque á lo menos nunca han vendido i su lo que proponía el Sr. Calatrava, ¡opinó qué debía resolverse sobre lo patria ni á su Rey." primero, dejando para después lo segundo; á lo que…</t>
  </si>
  <si>
    <t>Vitorlca</t>
  </si>
  <si>
    <t>…quedó aprobado oooforme pro diese, de qué desertores era de los que se trataba, esto es, si del egér-, ponía la comisión. . cito permanente ó milicia. Se leyó el artículo 13; y el Sr. Vitorlca di jo debía quitarse la cláu El Sr. Sánchez Salvador dijo que se entendía ya con la palabra de sula ó'circunstancia á lo mas; á lo que contestó él Sr. Romero, Alsertores que eran dei egército o milicia provincial, porque la local no puente que era indispensab…</t>
  </si>
  <si>
    <t>Vitotica</t>
  </si>
  <si>
    <t>…metan , sino como se fija en el artículo; y aunque las observaciones del volver este artículo á Ja comisión. Sr. San Miguel son muy justas , sin embargo , considerando este ar El Sr. Vitotica hizo varias reflexiones para apoyar el artículo, y tículo mas por los sentimientos del corazón que por otra cosa ,y por lo manifestó que en él no se trataba de determinar los casos en que un es que exige la humanidad, mas bien que por lo que exige la rigorosa…</t>
  </si>
  <si>
    <t>ViUamores, Carlos</t>
  </si>
  <si>
    <t>Carlos ViUamores</t>
  </si>
  <si>
    <t>…o respectivo á los intereses vencidos hasta fin de 1820; capitán D. Gárdnet, de Baltimore en lo días. Conduce al pero si se egecuta después de este dia, se recibirán ademas piloto D. Carlos ViUamores, el que da la noticia que en los réditos que hubiese devengado el documento desde el dicho puerto se estaba habilitando un!corcário con 16 piezas mismo i.,J efe Enero de 18 21 hasta la fecha de la entrega, de canon y una carroñada á proa, que iba á cruzar sob…</t>
  </si>
  <si>
    <t>ViUanova, Tomas</t>
  </si>
  <si>
    <t>Tomas ViUanova</t>
  </si>
  <si>
    <t>…X si desde el mas ínfimo empleado hasta el ministerio se siguiese esta á 135 rs. en pergamino y 176 en pasta. progresión, ¿qué desórdenes , qué confusión no se originarían! Veamos D. Tomas ViUanova, profesor de zoología, comenzará sus leccio lo qu* se hace en la culta Inglaterra, madre y fundadora de la libertad nes en el gabinete de historia NaturaL el dia 3 de Noviembre á las 12 europea, á quien fuera sobrada presunción querer dar lecciones en esta de…</t>
  </si>
  <si>
    <t>Vivacqua</t>
  </si>
  <si>
    <t>…DE i8ai. NOTICIAS EXTRANGEMS. Salerno, pues no dudaba que se hubiesen averiguado hechos muy importantes, y que mereciesen la atención del Go ESTADOS-UNIDOS DE AMERICA. bierno. El Sr. Vivacqua, orador de la comisión encargada de 'Nue-oa-Yorck 8 de Diciembre. la organización de la guardia nacional, propuso algunos ar El informe anual de la secretaría de Hacienda fue remiti tículos á favor de los oficíales que estaban en servicio acti do ayer á las d…</t>
  </si>
  <si>
    <t>Vivaqna</t>
  </si>
  <si>
    <t>…el descargo gene habla extendido un proyecto de ley para castigar á los que ral de la comisión central de Maguncia, y entre tanto se cometiesen el delito de que se trataba ; y el Sr. Vivaqna trata en ella con preferencia de los resultados de las pes hizo presente que había ya uno que determinaba los casos quisas que se han hecho sobre los manejos secretos de los en que se podían perder los derechos de ciudauano. ¡demagogos. El presidente y el Sr.…</t>
  </si>
  <si>
    <t>Viver, Pablo</t>
  </si>
  <si>
    <t>Pablo Viver</t>
  </si>
  <si>
    <t>…ndudable, sobre to Con fecha del i j , desde Alcalá de Los-Gazuléf, da parre al señoí do si predican y gritan con su.-acostumbrada mansedumbre el cura capitán general el teniente 'coronel D. Pablo Viver. de que el capitán, Merino y consortes;) ■ ■ de la segunda compañía de España, situada en Paterna, habiendo salido Idem t6. i • en la tarde del 11 con dicha Compañía y toda-la milicia local del pueTesúmende las noticias de Turquía-desdi l.° hasta 34 de Maye.'…</t>
  </si>
  <si>
    <t>Vivero</t>
  </si>
  <si>
    <t>…pilan de granaderas de'reserva,. natural, de Potosí ,'y loro, capitán de ■ A la comisión de Hacienda se mandó pasar una exposición del ayun la goleta Alcance. Hállanse;en Lima e.l gobernador Vivero, García deL tamiento constitucional de la villa de Velez-Málaga (provincia di Barrio, comandante de dicho batallón, con otros oficiales y comercian Granada) , en que pedia que las Cortes removieran los obstáculos que tes hasta el níimero d« 13 de aquella plaz…</t>
  </si>
  <si>
    <t>Vives</t>
  </si>
  <si>
    <t>…sin efecto. Se obstinan en sostener el regla de dentro y fuera del Congreso cuando por una de las no mento de 17iti con algunas modificaciones de poca monta; tas dirigidas por el general Vives a! secretario de Estado, y ya no se trata de que sean públicas las sesiones, ni aun y presentadas al Congreso, se descubrió que el poder ege- de que se impriman. cutivo acababa de proponer al Gabinete infles el reconocer INGLATERR^. de común acuerdó la indepe…</t>
  </si>
  <si>
    <t>Vives, Francisco</t>
  </si>
  <si>
    <t>Francisco Vives</t>
  </si>
  <si>
    <t>…ón proponía para el referido reemplazo, como asimismo A la comisión de Hacienda se mandaron pasar una exposición de adoptar el sistema de Federico n, fundándose en lo mismo que se D. Francisco Vives y D. Juan Arjonilla, pidiendo se les perdonasen apoyaban I09 que le proponían, esto es, en la diferencia del carácter ciertas cantidades que adeudan á distintas encomiendas; otra de D. Ig de los individuos de las provincias, y en lo que exponía la junta con nacio Diaz, vecino de…</t>
  </si>
  <si>
    <t>Vives, Francisco Dionisio</t>
  </si>
  <si>
    <t>Francisco Dionisio Vives</t>
  </si>
  <si>
    <t>…icó en el día de ayer con acuerdo y consentimiento del tibies con sus principios cómo católicos romanos. senado. Las ratificaciones se cangearon el mismo dia en VVashington por el general D. Francisco Dionisio Vives, enviado extraordinario y TRANCIA. ministro plenipotenciario de S- M. Católica, y por John Quiricy Adams, secretario de Estado de los'Estados-Unidos; é inmediatamente des Faris 8 de Abril. pués se pasó al senado y á la Cámara de los Diputados el siguiente men…</t>
  </si>
  <si>
    <t>Vlarovjch</t>
  </si>
  <si>
    <t>…neias con una es mandante de la escuadra de que los griegos habían detenido ai b :gan cuadra de ty navios de gu.-rra compuesta en parte de navios de línea, tin mercante el Düetto, capitán Vlarovjch, en su travesía desde Zinte y en paóe de L acata, V de bergant-n s, con varios trasportes que con á Ratris, cargado de víveres y de dinero perteneciente á vanos súbdi ducían 1 oü hombres de tropas de des.mbarco: como esta escuadra cor tos austríacos, y aun se…</t>
  </si>
  <si>
    <t>Vnorica</t>
  </si>
  <si>
    <t>…pasar otra exposición de lo» los ciudadanos que esten dentro de una pasuda; y qu por io que hab 3; oficiales de varios cuerpos del egercito de Galicia , reclamando contra dicho el Sr. Vnorica ent ndia que no deba registrarse el equipase de la Real orden dada por el ministerio de Guerra , en que se prohíbe el ningún pasagero sin la previa información sumarla de que se trataba poder representar en cuerp.o, y pidiendo se tomase en consideración al en…</t>
  </si>
  <si>
    <t>Volta, Josef</t>
  </si>
  <si>
    <t>Josef Volta</t>
  </si>
  <si>
    <t>…el Gobierno portugués, y de cio de Cádiz se cita y emplaza á los acreedores-al concurso de Don los dignos súbditos portugueses, envidia quizá de cierta clase de france Bartolomé y D. Josef Volta, hijos, y Masnata, y'A los de la casa que ses, que avergonzados (si es que pueden avergonzarse) de su furiosa y tituló Masnata y Tejerá , y á los que se consideren con derecho á dichos execrable revolución , quisieran que las demas naciones no diesen en las c…</t>
  </si>
  <si>
    <t>…a diputación provincial de To deruse con derecho á los bienes del concurso de la compañía de D-,Bar ledo. En el término de 1 5 dias, contados desde esta publicación, diri tolomé y D. Josef Volta, hijos y Masnata, y á los de otra intitulada girán los pretendientes á la diputación los memoriales con las relaciones Masnata y Tejera, para que en el perentorio término de un año, con de méritos que tengan y estimen oportunos, anunciando asimismo, pa tado d…</t>
  </si>
  <si>
    <t>VValpole</t>
  </si>
  <si>
    <t>…hablaba asi de vos convenios con el banco acerca del pago de los dividendos; ia na los griegos mucho tiempo antes que se preveyesen en Francia los acon turaleza de la embajada de lord VValpole á Constantinopla , son en tecimientos de que en el dia son teatro las islas del Archipiélago. este instante otros tantos motivos de discusión y de inquietud. (British- » Cuando la nueva Roma (dice) sucumbió á los ataques de los bár Presi.) baros , se veia soj…</t>
  </si>
  <si>
    <t>Waipole</t>
  </si>
  <si>
    <t>…a que los empresarios no pu dad , en su lugar. Otro hace llegar -él, 25 de Julio á Viena al mediador diesen reunir los fondos suficientes para realizarlas, ó que hubiese tai tgles lord Waipole : un párrafo de Áugsburgo de J.° de Agosto ci •le's obstáculos qne no se pudiesen vencer sin el auxilio del Gobierno, tando noticias de Viena que habian llegado aquel dia, dice ló siguiente’. contarán con que este tomará en ellas la parte que pueda, y proporc…</t>
  </si>
  <si>
    <t>Waithman</t>
  </si>
  <si>
    <t>…imiento de guardias, le alguacil mayor encargado de conservar lá tranquilidad púuüca en el tomó las riendas de su caballo mientras Mr. Waithman le hacia va condado, sin embargo el Sr. Waithman tomó todas las disposiciones rias observaciones sobre la imprudencia de dejar salir á los soldados en necesarias, y circuló una notaásus subalternosqdel condado, encargán semejante ocasión: un soldado estaba empeñado en obligar á Mr. Waith doles que reuniesen…</t>
  </si>
  <si>
    <t>Walmoden</t>
  </si>
  <si>
    <t>…es extendiendo después sus puestos hasta Ascoli, desde donde comunicará, de nuestros representantes y los sacrificios de nuestros conciudadanos, aunque de lejos, con el cuerpo del general Walmoden , que está en el entusiasmo no conocía límites. El monólogo del general Porlier, re Spoleto citado por uno de los ayudantes &lt;iel citado cuerpo, puso término á la El cuartel general austriaco está todavía en esta capital. función de teatro, arrancando lágrimas…</t>
  </si>
  <si>
    <t>…orden y'buena dirección. A las 12 del dia se empeñó el combata daba; nuestros cazadores atacaron con denuedo ; el enemigo no opuso con un fuego violento, y el ataque fue serio: el general Walmoden resistencia, y un gefé fue-herido y hecho prisionero. ■hizo marchar su reserva para sostener al general Gepper,- y mandó ata El enemigo en vez de hacer su retirada sobre Borghetto, defendien car con fuerzas muy inferiores á las columnas laterales , que fueron…</t>
  </si>
  <si>
    <t>…no encontrare en aquella ciudad al general Pepé, subirá hacia derecha}; pues ni aún siquiera podría invocar el auxilio de la potestad el norte hasta Popoli. Durante esta marcha el conde Walmoden debe Real, porque esta seria impotente. La aristocracia la tendría envuelta haber llegado á Aquila. Aunque de resultas del movimiento del gene- en las fórmulas (legales en apariencia} del Gobierno representativo, y tal Stutterheim ha quedado Roma al descubier…</t>
  </si>
  <si>
    <t>…l fue portes el 29 de Mayo, llevando á bordo 1500 hombres de la guardia go la tropa, al que contestaron los citados facciosos: inmediatamente R'.al y 4500 austríacos, al mando del conde Walmoden , los cuales dispuso dicho comandante vadeasen el rio, y dándoles el alcance, co vana imponer la ley en aquella isla, sin que haya potencia .alguna cieron á uno de dichos malvados (que se halla en la cárcel de esta), que tome parte en las resoluciones del nue…</t>
  </si>
  <si>
    <t>Walpole</t>
  </si>
  <si>
    <t>…ieron el sepulcro eh que se hundió el día 10 de Agosta diato armamento de una escuadra. Estos rumores no son fundados en aquel desgraciado Monarca. nuestro concepto. Es cierto que lord Walpole está encargado de pedir á Llama vmd. sanguinarios los decretos de las Cortes. ¡Sin duda son la corte de Viena qué una su mediación á la de las otras potencias. mas humanos los decretos de Fernando de Ñapóles y de Manuel de Sa. Los fondos consolidados han baja…</t>
  </si>
  <si>
    <t>…te; la Vamitlart 25o; el Jano 500; la ruina de la Puerta otomana, no se presente como mediadora. El v¡a- -filia 800; el Cumbcriand 1200; e\ Príncipe-Regente 1400; el Kembler ge de lord Walpole á Petersburgo (algunos periódicos han dicho que ¡00; el Sarraiin x 20. Estos barcos eran los que habian hecho mejor pes iba á Viena), y la presencia del conde de Lleven en esta capital, tie ca.” La civilización progresaba algún tanto en Sidney'. F.1 reverendo…</t>
  </si>
  <si>
    <t>…tra les. Allí fue donde se habló por primera vez de esta materia del mis mar , de manera que la España no puede ya pensar sino en tomar las mo modo que en Inglaterra en tiempo del ministro Walpole , de que medidas mas ventajosas á toda la Nación; ha creído la comisión que habla el célebre Smith, y dice que la facción de contrabandistas fue debían adoptarse las medidas que propone, por ser las mas compatibles la que se conjuró contra aquella medida , y…</t>
  </si>
  <si>
    <t>Wanger, Ignacio Pedro</t>
  </si>
  <si>
    <t>Ignacio Pedro Wanger</t>
  </si>
  <si>
    <t>…do de propagarse, y. método curativo de los tifos; la'Península se han expedido certificados de introducción á pero señaladamente de la especie llamada icterodes: por Don favor de D. Ignacio Pedro Wanger para fabricar manteca y' Manuel Hurgado di Mendoza, doctor en medicina y en cirugíaqueso de'Flandes, y-de D. Josef Joaquín Clararosa para médica , individuo de varias academias médicas nacionales, y elaborar-el febrífugo conocido con el nombre de agua de de m…</t>
  </si>
  <si>
    <t>Warren</t>
  </si>
  <si>
    <t>…onocían do acreditarlas previamente én la escribanía del número de Don en Europa se habían sacado de los cuadros de Mr. Turm Francisco Alcázar. bull, que representan la muerte del general Warren en el Los suscriptores á la biblioteca de música moderna para las asalto de Quebec , y la del general Montgomery en la ba clases de canto, piano-forte, violin ó flauta, que se publica talla de Bunker’s Hill; pero parece que las-agitaciones polí en Milán , acu…</t>
  </si>
  <si>
    <t>Warren, Jorge</t>
  </si>
  <si>
    <t>Jorge Warren</t>
  </si>
  <si>
    <t>…comisión Eclesiástica opinaba del mis ella el dia ide Mayo. mo modo. La comisión especial de Hacienda presentó el plan general de este El de la de Hacienda sobre la exposición de D. Jorge Warren, ramo, dividido-en dos grandes secciones; á saber: sistema de contribu cónsul de los Estados-Unidos en Málaga,. en solicitud de que se le ción y administrativo, no pudiendo tener efecto el uno sin el otro. permitiese, segun el privilegio qué tenia, introducir…</t>
  </si>
  <si>
    <t>Warteb</t>
  </si>
  <si>
    <t>…al artículo por el niotivq segundo'término que sé prefijase , se les'hiciese volver bajo partida dé que hemos dicho, no por eso negó el principió de la toberanía nacióxegistro. EI Sr. Warteb no ha señalado término en su proposición-, y nal, antes bien lo amplificó en estos términos (id. tom. vru , pág. 290), por lo mismo pido que se señale para que- pasado este vengan bajo par » Señor ; se ha sentado ya el principio de/qué la soberanía reside ese…</t>
  </si>
  <si>
    <t>Washington</t>
  </si>
  <si>
    <t>…Ei^iay^déÉÑíij, dencia-el venerable Timoteo Matlack, de edad de 90. años: Es e! Acarnania está en marcha para Janina á petición dlQt^üjjL mismo que escribió el primer despacho del general Washington, y Escriben de Jas orillas del Duna lo siguiente: £ . é , defendió siempre en el Gabinete y en el egército ios principios de la » En nuestras provincias resuenan los gritos del dolor y’ae la ven libertad. ■ / ganza. El egército , animado de una santa ira , es…</t>
  </si>
  <si>
    <t>Waters</t>
  </si>
  <si>
    <t>…ba de ser asesinado el mayor Coliis, que residía cerca de Trailey. Tam contribución de 1 zS&gt; ducados, y viéndose en la imposibilidad de pagar bién aseguraban que ha sido muerto el capitán Waters , y hab an de los, representaron contra esta medida; pero el resultado de su petición otros varios homicidios , como también de haber sido incendia.:a una fue el poner presos á los principies israelitas, y llevarlos á Jassí. iglesia. El lord teniente y el con…</t>
  </si>
  <si>
    <t>Wcllinglon</t>
  </si>
  <si>
    <t>…l Rey de Inglaterra con asistencia de SS. MM. y AA.: en &lt;1 Esta sesión se ocupó toda en oír los dictámenes de las comisiones baile eran los trages ála irlandesa y á la escocesa El lord Wcllinglon sobre varios asuntos y expedientes que se les habian pasado. y el marques de Londonderry asistieron á la función. Idem del 26. Inglaterra. Noticias de América buenas y malas. Muchas cruel El Sr. Felpueiras leyó una proposición para que el día x.° de Octu dade…</t>
  </si>
  <si>
    <t>We-, Henrique</t>
  </si>
  <si>
    <t>Henrique We-</t>
  </si>
  <si>
    <t>…e la misma generosa é ¡lustrada política......” Carta del conde Taquigrafía castellana, ó arte de escribir con tanta velocidad como de Liverpool , cuya copia pasó á la Regencia el Sr. D. Henrique We- se habla, y con la misma claridad que la escritura conuin, que se en 1 ¡asley. (Véase gaceta de la Regencia del viernes 17 de Agosto de seña de orden y á expensas del Gobierno, compnesra por D. Francis 181c', núm 57, pag. 544). co (Te Paula Martí, catedrático…</t>
  </si>
  <si>
    <t>Weber</t>
  </si>
  <si>
    <t>…o, que fue reservado in pecUre en 1791, y declarado en escrito del Sr. List, debían ser por precisión altamente desaprobados. 1794, el cual es el mas antiguo de los cardenales. El Sr. Weber demostró que-semejantes principios nos conducirían á la anarquía. El Sr. Lang calificó la exposición de jacobina, añadiendo que pOSTUGAI. seria el pais mas desgraciado el reino de Wurtemberg, si. se admitiesen tales exposiciones: y en efecto fue desechada por…</t>
  </si>
  <si>
    <t>Wedei</t>
  </si>
  <si>
    <t>…or el coronel Gustavson para que se le conceda carta de ciudadano en aquel reino, fue comunicado á aquel Congreso Lóndrcs 2£ de Abril. en la sesión pública de 31 del pasado por el conde Wedei, consejero El périódico Düblin Evening- Post en su número del sábado Íiítinid* de Estado.- Después de leído el mensage se mandó pasar á una comi-, después de anunciar que el bilí de Mr: Pluñkett había sido desechado sion de cinco individuos, los cuales habién…</t>
  </si>
  <si>
    <t>Weiss</t>
  </si>
  <si>
    <t>…6 rs. cada tabla de 4 retratos; como asimismo la escuela de canto del célebre Bor nifacio Assioli, la escuela de violin del p-ofesor Rolla, y los ANUNCIOS. elementos de flauta del profesor Weiss, que acaban de llegar de Por providencia del Sr. D. Angel Fernandez de los Ríos, Milán, con un abundante surtido de música vocal é instrumen ministro togado honorario de la audiencia territorial de Castilla tal , que se dará á precios muy equitativos. la Nuev…</t>
  </si>
  <si>
    <t>Wellingto.n, Londonderry</t>
  </si>
  <si>
    <t>Londonderry Wellingto.n</t>
  </si>
  <si>
    <t>…ño en Londres. El 27 díó el Rey un convite á los principales personages, les y portugueses; las reflexiones que algunos de ellos hacen de la ma embajadores extranjeros, ministros, lord Londonderry Wellingto.n, nera mas insultante y extraña; el modo como desfiguran los hechos y habiendo asistido también SS. A A. RR. los Duques deYorck, de acontecimientos de España; la siniestra intención que muestran en sus Clarence y de Cambridge. El embajador austríaco príncipe d…</t>
  </si>
  <si>
    <t>Wellington</t>
  </si>
  <si>
    <t>…irnie, quien antes había hecho prestar juramento á los testigos. 34de-Agoste. Para.impedir [cualquiera especie de confabulación entre estos se les ha Se esperaba en'esta ciudad al duque Wellington, quien debía recono-. cia salir, por una-puerta al paso que iban , concluyendo el reconoci ce% eieuadoale la-sfartifieaeiones de Maguncia; pero no ha hecho mas miento. . - • quq upa corjtadetencion.en esta última plaza. Entró á la tarde ;y ha Varios de los te…</t>
  </si>
  <si>
    <t>…egitimidad como por relaciones verbales, hablan ya del resultado que se dice ha. impide que se les socorra. Llaman la atención de los cristianos en fa tenido la última estancia de lord Wellington en París. Según dichas vor suyo, y los cristianos desoyen sus voces, ocupándose dias, sema noticias, de que no salimos garantes, se han sentado las bases para un tra nas y meses en atender antes á intereses particulares que i los de ia hu tado de alianza ofen…</t>
  </si>
  <si>
    <t>…a se halla Cádiz , lugar de la ac Francfort r y de Setiembre. ción, significado en las columnas de Hercules, y en su base el impe Se asegura en nuestras tertulias diplomáticas que lord Wellington rio francés por una águila abatida, con corona férrea, y amparando la ha salido de París poco satisfecho del resultado de su misión. tiranía y ■*! despotismo, designados en las cabezas iconológicas que o_i¡- __S¡ se ha de dar crédito á las cartas del comercio…</t>
  </si>
  <si>
    <t>…rítimas del reino, propondrá el Gobierno pa autoridad de cartas particulares. ra que pase á las Cortes para su efamsn y aprobación las tarifas de los i, El objeto de Ja'misión del lord Wellington á París se presenta derechos que hayan de exigir los cónsules y vice-cónsules de España' ya b jo un aspecto poco agradable para el Gabinete ingles; parece que en puertos extrangeros sobre los buques y efectos del tráfico nacional, el-ministro Mr. Pasquiír res…</t>
  </si>
  <si>
    <t>Wellmgton</t>
  </si>
  <si>
    <t>…e S. M. se hallaba. También publican estos noticias tayorab!** Por último se acordó que este asunto quedase pendiente para discu sobre la situación de Lima, vía próxima salida del lord Wellmgton a tirse en otra ocasión. inspeccionar ¡as fortalezas de los Países-Bajos. El Rey de Inglaterra ha Se pasó á tratar de los artículos ai y 32 , y giró la discusión sobre bia salido para Irlanda.</t>
  </si>
  <si>
    <t>Westmorclard</t>
  </si>
  <si>
    <t>…re guiente: el marques de YVellesley ministro del Interior, lord Sidmouth mitido por el Gobierno sobre la habilitación del puerto ael Ferrol, pre para el despacho de la Justicia, lord Westmorclard será chambelán, ponía los siguientes artículos, que después di varias observaciones he M. Canning primer lord del almirantazgo, lord Melville gobernador chas por el Sr. üliver fueron aprobados, y estaban concebidos en esto* general de la India, el marques de…</t>
  </si>
  <si>
    <t>Whiting, Guillermo</t>
  </si>
  <si>
    <t>Guillermo Whiting</t>
  </si>
  <si>
    <t>…mez de Oliveira y D. Josef de Mello Freire. siten sisar de una porción considerable de agua. ■En. virtud de una orden de ia misma fecha debian aprontarse a la Ha llegado á Sevilla D. Guillermo Whiting, maquinista de mayor brevedad, y;con dos meses de víveres y demas pertrechos, la Londres, á colocar en la Isla Menor un aparato ó bomba hidráulica de corbeta Lealtad y el bergantín Tajo, para que saliesen a perseguir los vapor de nueva invención para sacar ag…</t>
  </si>
  <si>
    <t>Whitingy, Carlos</t>
  </si>
  <si>
    <t>Carlos Whitingy</t>
  </si>
  <si>
    <t>…sea en idioma español , francés ó ingles; las que podr.m ser dirigidas á fuerzas terrestres y navales, comercio, agricultura, usos, costumbres &amp;c. su nombre á la casa de los Sres. D. Carlos Whitingy compañía, ¿A co de aquella parte del mundo. EN LA IMPRENTA NACIONAL.</t>
  </si>
  <si>
    <t>Wilson</t>
  </si>
  <si>
    <t>…oosicion-, hace dejación de su empleo, ó el Gobierno le despide; prue hora á las lecciones de mineralogía al cargo del profesor D. Donato ba reciente de esto es lo sucedido con el general Wilson, despedido por García , quien las continuará todos los lunes, miércoles y viernes que el Gobierno, al parecer por haberse declarado demasiado abiertamente no sean festivos. en favor de los partidarios de la Reina. Conversación familiar entre Fr. Fidel y su pa…</t>
  </si>
  <si>
    <t>Wímpffen</t>
  </si>
  <si>
    <t>…ste Congreso continúa discutiéndolos asuntos de mayor importancia, co El general en gefe barón de Frimont ha conferido al mo si estuviésemos en plena paz, y esta actitud afirma la general Wímpffen el mando de una división del egército, confianza , y da al espíritu público uña dirección favorable. cuyo cuartel general se ha establecido provisionalmente en «Las buenas resultas que se esperan del viage de S. M» Padua. han tenido .el mayor influjo en los n…</t>
  </si>
  <si>
    <t>Wirmbs, Bartolomé</t>
  </si>
  <si>
    <t>Bartolomé Wirmbs</t>
  </si>
  <si>
    <t>…a civil , tiempo medio en el meridiano de prolongado, con nueve láminas de música , grabadas por el profesor las tablas, la longitud verdadera de! sol era de 164 44/ 9 ,1, y la de D. Bartolomé Wirmbs. Se hallará á la rústica á 16 rs. en la librería la Juna lóp1 5' 4',59, y su latitud 48' 33",&amp;7 boreaL. Con estos ele- de Sancha , y en las provincias en las principales librerías. EN LA IMPRENTA NACIONAL.</t>
  </si>
  <si>
    <t>Wittgen'tsin</t>
  </si>
  <si>
    <t>…erte que este país se halla en parte abandonado á las Augsburgo 14 de Agosto. correrías de los arnautas y de los albaneses, yen partea las tropas Ha llegado á Kischenon el general conde Wittgen'tsin: hay actual turcas, cuyo número se aumenta diariamente. Los desórdenes que se mente en Besarabia cinco divisiones rusas, (Ll erza-total se reguia ven con frecuencia, aun en los egércitos disciplinados, cuando no se en 6o9 hombres. Se esperan ademas cuatro div…</t>
  </si>
  <si>
    <t>Wittgens-</t>
  </si>
  <si>
    <t>…odolia, en donde se reúne un numeroso cuerpo de tropas parte del oficio para enterarse mejor y habiéndose verificado asi , dije; en las inmediaciones de Kaminieck. El egército del general Wittgens- que estando prohibido en un cuerpo legislativo el que ningún diputa tein se ha dirigido hácia el mediodía de la Besarabia. do hablase en nombre del Rey de modo que pudiese inlluir en ci mis __En una época en que la Europa fija toda su atención en los aconte m…</t>
  </si>
  <si>
    <t>Wittgenstein</t>
  </si>
  <si>
    <t>…estra falsedad me obligan í hombres las fuerzas rusas de las fronteras, y anuncia ademas la llegada abandonaros. De aqui en adelante ro habrá ya vínculo que nos una; ■á Odessa del general Wittgenstein : que el precio del trigo había su pero no por eso dejaré de tener el mas profundo sentimiento de habes bido mucho por la salida que tenia para Constantinopla, y que se creia sido vuestro gefe. Habéis hollado vuestros juramentos: habéis sido que no empezarían…</t>
  </si>
  <si>
    <t>…rpos que van viniendo de la Lítúhhia, tuyo, comandante en gefe no jante á la de la unión, americana:,. y aseguran haberse suspendido su pu se ha nombradq aun. Todo el egército del general Wittgenstein se reblicación solo por. respetosa una-grande potencia, en la que se tienen" une en la Besarabia. particulares esperanzas. Se ha establecido últimamente una imprenta en Los movimientos de las- tropas austríacas van siendo mas activos Calamata, ciudad de la Ru…</t>
  </si>
  <si>
    <t>…tencia. __j_a obra del Sr. Goerres intitulada La Europay la revolución, que marcha y acantonarse en las provincias vecinas de la Besarabia , toman do las posiciones que ocupaba el general Wittgenstein en este verano. se habia prohibido en Austria , acaba de prohibirse también en los Es Los egércitos rusos aguardaban nuevas órdenes en sus diferentes posi tados prusianos, y se ha mandado á todos los libreros de berlm, Magciones; y en caso de arreglarse las c…</t>
  </si>
  <si>
    <t>Wittgenstem</t>
  </si>
  <si>
    <t>…igión consti egército .ruso á Italia; pero otras aseguran.que el egército de la misma tuida, no porque yo pretenda hacer política á la iglesia , sino pere nación, á las órdenes dd:general Wittgenstem,-está destinado para ir que quiero que el Estado Sea religioso. Aunque soy muy adicto á la i ocupar las fronteras de Turquía, y que. el .egército austríaco de la iglesia anglicana, creo que eri este punto debo hacer abstracción de sus GaJlitzia tiene el misad…</t>
  </si>
  <si>
    <t>Wlodeck</t>
  </si>
  <si>
    <t>…los go rador, se despachó-ayer un correo extraordinario á Petersburgo, el cual biernos de Wün^'y de Minsk!. lleva pliegos de la mayor importancia para nuestro ministro el barón Ei general Wlodeck, ayudante general de S. M., y general de ca de Lebzelteru. No se duda que sean relativos á los.asuntos de Turquía ballería del cuerpo de Lithuania, se halla con sus tropas en Nieseviez y á la marcha de las tropas rusas hacia el territorio otomano. y en Siuck.…</t>
  </si>
  <si>
    <t>Wlttgensrein</t>
  </si>
  <si>
    <t>…en á los guardias ru por los electores de las parroquias de esta corte. sas para que avancen ; que el Emperador recorrerla los tres egércitos que tiene contra los turcos, y que el conde Wlttgensrein, que es el quo D. Juan Antomo Castejon, abo- D. Andrés Moya Luzuriaga, gefe debe dirigirse costeando el mar Negro sobre Constantinopla, se acerca gado. de la dirección del fomento ge- mas A las fronteras turcas. D. JosefPio Molina , hacendado.. neral del rein…</t>
  </si>
  <si>
    <t>Wol-Jonsky</t>
  </si>
  <si>
    <t>…es , y que solamente resulta positiva la egecucion de las órdenes rigo lebridad del restablecimiento del Príncipe Real. rosas de la Pueita. El conde Tolstoy, ayudante de campo del príncipe Wol-Jonsky, » Parece que estas órdenes deben habtr llegado á un mismo tiem que habia pasado desde Laybach á Constantinopla , acaba de llegar de po á todos los puntos del imperio. vuelta de su viage, y según se asegura, refiere las horribles crueldades ■&gt; En Nlssa, ciuda…</t>
  </si>
  <si>
    <t>Wolkonsk</t>
  </si>
  <si>
    <t>…a. Para sentencia. Providencia de visita: siga. los oficiales jovenes, trabaja bajo los auspicios del ayudante general Juan Josef Rodríguez y josef Cuevas, remitidos por ei susodi príncipe Wolkonsk, y publica un diario militar. cho juez D. Francisco Belloc en 9 de Julio de 1820 por robos. Estado en moskow. 7.0 La sociedad de los Naturalistas , cuyo director ac de esta cu:-a. Para sentencia. Providencia de visita: s:ga. tual es el célebre profesor Gottli…</t>
  </si>
  <si>
    <t>Wolkonskoi</t>
  </si>
  <si>
    <t>…menso gentío, y en medio de las mas El Emperador Alejandro salió de aqui esta mañana vivas aclamaciones. S. M. se ha hospedado en el palacio deL acompañado de su edecán general el príncipe Wolkonskoi. gobernador : el Emperador Alejandro no llegará hasta maña La Archiduquesa Glememina, esposa de! Príncipe de Saler- na ; y al día siguiente se espera al Rey de Ñapóles que se ha no, que debió haber acompañado á su padre á Laibach, no detenido por las muchas n…</t>
  </si>
  <si>
    <t>Wolkonsky</t>
  </si>
  <si>
    <t>…en Ñapóles, en Tu- tual , y secretario de estado y del despacho de Negocios extrangeros de rin y en Alejandría. Ademas, ¡qué apoyo ha prestado á las protestas Rusia, y al general príncipe Wolkonsky, gefe del estado mayor gene del Papa contra la ocupación de Ancona? Ninguna; asi es que estos Es ral del egército. Y ha conferido la cruz de comendador á Mr. de Outados romanos , igualmente que la Lombardía, el Piamonte y el reino bril, consejero.de Estado de…</t>
  </si>
  <si>
    <t>Woronzoff, Miguel</t>
  </si>
  <si>
    <t>Miguel Woronzoff</t>
  </si>
  <si>
    <t>…en la parte asiática del la tercera división de su cuerpo de egército. Esta división, que está í Bosforo, donde se han reunido en gran número para defender las pro las órdenes del conde Miguel Woronzoff, que actualmente se halla en vincias europeas. El fanatismo y el odio nacional contra los rusos son Inglaterra , la mandará en lo sucesivo el teniente general Rah. los principales móviles de esta masa, apero que han de hacer contra un » Según noticias posteri…</t>
  </si>
  <si>
    <t>Wútsgenstein</t>
  </si>
  <si>
    <t>…a. contra la Puerta en caso de guerra. Aseguran que tendía bajo sus ór El precio de los víveres es tan excesivo en las islas Jónica» como el- denes "tres egércitós; «saber: el del general Wútsgenstein, llamado egér descontento dé sus -habitantes; y todo género de tráfico está parado. Se' cito del mediodía: el del general YermotofF, y el formado con los aguarda ver de-un momento, á otro una declaración de los griegos seme-1 cuerpos que van viniendo de la Lí…</t>
  </si>
  <si>
    <t>X, Matin Tana</t>
  </si>
  <si>
    <t>Matin Tana X</t>
  </si>
  <si>
    <t>…á haberse-presentado los Sres; Valle y Coraminas: sh lá Regencia-del reino que durante:su ausencia ;y cautiverio le represen• Se declaró esteasunto suficientemente discutido ,y el Sr. Matin Tana X» i legítimamente elegida por slsts'r.Cortci generales-.y extraordinarias se te pidió que se' añadiese despues de'la palabra ausentes las siguientes: ¿un IsfConstituiion* sanoioíiada-por las Cortes y jurada parla Nación.”. sin licencia de las Cortes. En seguid…</t>
  </si>
  <si>
    <t>Ximenez-, Bernardo Elfo y</t>
  </si>
  <si>
    <t>Bernardo Elfo y Ximenez-</t>
  </si>
  <si>
    <t>…f Iribarron y Ortuño, D. Serapio Aguas y-Muñera'de ción, y á la que ha dado el nombre de geometría des* Cantos, D. Juan Guerra y Golfantes , D. Tosef Cisnéros y criptiva. Lanuza , D. Bernardo Elfo y Ximenez-, D. Antonio To- La trigonometría es sin disputa una de las mas-útiles rija y Carrese, D. Joaquín Salvador y Udi, D. Diego Mi aplicaciones de la geometría elemental: es la base de la geor randa y Morales, D. Josef Labastida y Bustamante, y desia, de la geograf…</t>
  </si>
  <si>
    <t>Ximéno, Josef</t>
  </si>
  <si>
    <t>Josef Ximéno</t>
  </si>
  <si>
    <t>…franceses EL Antonio Arjóna; boticario ; en Segovia en Ja de Don- fueron Cassini , Legendre y Mechain. \ St‘ continuará. ) Francisco Viílaverde , del-comercio; en Toledo en la de D. Josef Ximéno; en Falencia en la de D. Camilo Mi guel, boticario; en Baza en la de D. Ramón Serraren _ ' - - anuncio. ■ Soria en ’n de D. Pedro Martínez de Aparicio; én Avila' Cartas sóbre los apuntes publicados por el Sr. D. Joaquin ló-en la dé D. Antonio Salcedo, boticar…</t>
  </si>
  <si>
    <t>XUKBKO</t>
  </si>
  <si>
    <t>…son bastante conocidos ios anuncian. establecimientos de beneficencia, y que se trata bastante de ellos en par ticular en el proyecto.. En cuanto á la proposición del Sr. López ( Don XUKBKO 339. Marcial) conozco que su Señoría la ha hecho con muy buen z.-io; pero yo me rein-to en este particular al plan de instrucción pública, en el cual En la provincia de Bsírgos, procedentes de monasterios extinguidos, cutampoco se trató de los recursos antas…</t>
  </si>
  <si>
    <t>Ya, Agustín</t>
  </si>
  <si>
    <t>Agustín Ya</t>
  </si>
  <si>
    <t>…ones de Historia natural explicadas en el colegió nacional de y ai mismo tiempo que abriguen al infante reciennacido serán .como farmacia de S. Victoriano de Barcelona: por el Dr. D. Agustín Ya fie;! una hermosa cortina , que solo se descorrerá para el arnante afortunado. y Girona , catedrático de dicha asignatura en el mismo colegio &amp;c. Es ¡Sal de la nada criatura encantadora! Ve á reinar en el corazón dé ta obrita, que acaba de salir á luz, reúne…</t>
  </si>
  <si>
    <t>Ya, Luis</t>
  </si>
  <si>
    <t>Luis Ya</t>
  </si>
  <si>
    <t>…. Martin Sánchez; Se recibió con agrado, y se mandó pasar á la comisión de Cami por la una se ve lo que sufre el pueblo de Valdeorras por el conde de nos y Canales, una memoria de D. Luis Ya miagar raga y lagar te, veci Ribadavia , señor que se dice de aquella villa , y por la otra loque su no de Bilbao, relativa ¿ unir el mar Mediterráneo con el Océano por fre Moron de la Frontera por el duque de Osuna tambas las presento al medio de un canal, y…</t>
  </si>
  <si>
    <t>Yágiie, Manuel Sánchez</t>
  </si>
  <si>
    <t>Manuel Sánchez Yágiie</t>
  </si>
  <si>
    <t>…e k Gofe político de Soria sobre arrendamiento ú ocupación de una casa. aprobación de cuantos sabios la han visto, que admiran en ella■ mu Se dió cuenta de otro expediente, en que D. Manuel Sánchez Yágiie, cha doctrina en corto volúmen, y mucha novedad &amp;c. &amp;c. Se ha boticario dé -la-xrüa de Atienzay provincia de Guadalajara , por sí y á vuelto á poner al fin de esta cuarta edición (que se había suprimido) nombre dé cuatro hijos menores acusaba de infractor de…</t>
  </si>
  <si>
    <t>Yalcarcel, Marcos</t>
  </si>
  <si>
    <t>Marcos Yalcarcel</t>
  </si>
  <si>
    <t>…definitiva por el juez tercero D. Luis Ortiz de Zúñiga, que-la continua mientos útiles por medio de periódicos; y algunos de ellos se publi ba. Providencia de visita: siga. . . ' D. Marcos Yalcarcel, remitido por el juez tercero D. Luis Ortiz can bajo su inspección. de ZúÚica en 10 de Agosto de 1820, habiéndose presentado volunta I.os mejores diarios , ó á lo menos los mas buscados son: i.° El riamente en la cárcel por haber hablado contra el sistema con…</t>
  </si>
  <si>
    <t>Yaldemoros, Mateo</t>
  </si>
  <si>
    <t>Mateo Yaldemoros</t>
  </si>
  <si>
    <t>…iertos escritores lo que pla le. == Está rubricado de la Real mano. = En Palacio á 28 de Marzo ce á ciertas personas, y á otros (que respecto de Ñapóles se guardarán de 1821. 2= A D. Mateo Yaldemoros. SUPLEMENTO</t>
  </si>
  <si>
    <t>Yandi'ola</t>
  </si>
  <si>
    <t>…dó quedar sobre la mesa’ el dictamen de la comisión de diatamente despuesde haberle recibido. . .. . j-.Guerra ¡‘relátivó-á* la consulta hecha al Gobiernosobre si los oficiales El Sr. Yandi'ola , después dé' haber manifestado los motivos que tuvo dé la inilfcia-nactottal activa pueden ser elegidos para los empleos-mu la comisión pará poner el artículo en los términos que se habia leído, nicipales. La-comisión ehténdia; que pueden ser elegidos en cie…</t>
  </si>
  <si>
    <t>Yandibla</t>
  </si>
  <si>
    <t>…voto particular del Sr. Moscoso, discusión se le dijese el curso que se les habia dado; á lo que contestó contrario á la resolución de. las Cortés sobre la aprobación del dicta el Sr. Yandibla que se habian pasado á la comisión, y que esta las ha men del Sr. Zubia. bia tenido presentes. _ Se continuó la lectura del código penal. El Sr. Gaseo dijo: mi Opinión ha sido que se suspendiese esta dis Se leyó la minuta de decreto sobre los juicios de conci…</t>
  </si>
  <si>
    <t>Yandíbla</t>
  </si>
  <si>
    <t>…ohjeto de cumplimentar á SÍ M. las visitas de fábricas que crean oportunas.” por la festividad del dia. El Sr-Vadillo manifestó que por este artículo se proponía una visi r :.:Et Sr. Yandíbla dijo :.Si las sal i ñas niarítimas estuvieran, fen abso ta" inquisitorial,: resultando que estos fabricantes salían mas perjudica-" luta libertad como desea él Sr. Azaola*; la renta que se propone por este dos.que ningunos otros, Yo quisiera , continuó, que s…</t>
  </si>
  <si>
    <t>Yandioi</t>
  </si>
  <si>
    <t>…no el fi El Sr. presidente dijo que se continuase Ja discusión relativa á la jar el día en que ya’no puedan circular-estas monedas. circulación de la' moneda extrangera.. :. -• El Sr. Yandioi*-dijo que el Sr. Fiorez Estrada habia convenido^ El Sr. Olrver dijo que .habia oidóxonmuoho sentimiento que como la mayor1 parte de los Sres. diputadas, en la necesidad de que-se el empréstito decretado en.el año 20 lo.fue en la inteligencia que po drían entr…</t>
  </si>
  <si>
    <t>Yandioia</t>
  </si>
  <si>
    <t>…Se mandó pasar al Gobierno ur.a exposición del ayuntamiento de hicieron, y la consulta del consejo de Estado. Viilainayor de Santiago; en la provincia de Toledo, en que manifes El Sr. Yandioia leyó dos proyectos de decreto, el uno relativo á taba el excesivo cupo que en 1817 se mandó repartir entre los veci la sal y al tabaco , y el otro sobre el derecho de registro , conocido an nos de aquella villa para el pago de contribución directa, por la cua…</t>
  </si>
  <si>
    <t>…misiones de Comercio y Hacienda sobre prohibir la introducción de do q ue no debía aprobarse el articulo. cáñamos , lonas y lonetas mientras no lleguen ¡os de la Península á un El Sr. Yandioia dijo que las comisiones habian procurado qué nd precio determinado. se atacase la propiedad, haciéndola compatible con Íes leyes que se han Art. 2 .» Asimismo se prohíbela introducción de lonas, lonetas establecido, y que lo habían dejado al arbitrio del Gobi…</t>
  </si>
  <si>
    <t>Yandioja</t>
  </si>
  <si>
    <t>…xtrangeros cuyas noticias alcanzan: las que por lo mismo no debia aprobarse este artículo; á lo que contestó de París hasta el 30; las de Lóndres hasta el 15,'y las de Alemania el Sr. Yandioja que la imposición de lo reales se habia calculado por hasta el 14. 1 lo que hasta ahora habia pagado el tabaco, la cual no podía ser gra Por las de Paris se sabe que las noticias de Petersburgo alcanzaban vosa en razón dé no ser exorbitapte ; y que con respec…</t>
  </si>
  <si>
    <t>Yandiol</t>
  </si>
  <si>
    <t>…tienen,y de ios que disfrutaban sus respectivos desti su creación , y de los sugetos que emplee en ellas. nos : otra para que al tiempo de remitir los presupuestos acompañe el El Sr. Yandiol3 manifestó que el Gobierno habia indicado en dos Gobierno una nota exacta y circunstanciada de todo lo que hubieren ocasiones lo que deseaba el Sr. preopinante: asi sucedió cuando se leyó adelantado estas comisiones en sus trabajos respectivos, y de los que l…</t>
  </si>
  <si>
    <t>Yandiola</t>
  </si>
  <si>
    <t>…declaración judicial, que no estaba en esperarse á que vinieran los díontados de aquellas provincias. las ¿atribuciones del poder egecutivo: aun en este caso la suspensión del El Sr. Yandiola apoyó la indicación del Sr. presidente,,que se dió ayuntamiento 110 fue legítima', pues el expediente r*&gt; arrojaba ningún por suficientemente .deliberada,, y. se admitió á discusión, documento de la justicia con que se verificó. El Gefe político , solo, por E…</t>
  </si>
  <si>
    <t>Yandiolá</t>
  </si>
  <si>
    <t>….; obispo de- Tarazona aparecía • su-adhesión al sistema constitucional; Las Cortes looyeróricoii apreció. criminal por no haber'recóhocidó al cuerpo legislativo, y como tal de El'Sr. Yandiolá presentó una exposición de los' comisionados dél bía ser-juzgado poii-iós'jüéces-competentés'; ): que por lo que debía él de -comerció de Bilbao , residentes en está corte; que solicitaban lar egeciri*- no poderlo ser sino por el Pontífice, debía entenderse e…</t>
  </si>
  <si>
    <t>…ovincial de la mis El Sr. presidente nombró para la comisión de Agricultura, Indus ma , en que solicitaba continuase aquella ciudad siendo capital de pro tria y Artes en lugar del Sr. Yandiola al Sr. Solanot. vincia. .. - ... Se mandó continuar el proyecto sobre sociedades patrióticas, y se A la de Canales y Caminos una exposición del director de las leyó el árf. 4.0, qué decía asi: obras de la carretera de Asturias, remitida por el Sr. secretario…</t>
  </si>
  <si>
    <t>…En la gaceta del miércoles n del corriente, sesión de Cortes calcular sobre ¡os sucesos prósperos ó adversos que pudiera tener en del 10, se omitió hacer mérito de la petición del Sr. Yandiola, el cual, ellas la causa de la libertad: que con la misma impavidez é imper al darse cuenta en el despacho de los estados remitidos por el tesorero turbabilidad seguirán esta gloriosa marcha, cualquiera que sea el resul general, pidió la lectura del resumen g…</t>
  </si>
  <si>
    <t>…vuelva al Gobierno, para que en vir habia puesto en ja mesa la dicha representación por un Sr. diputado. tud de las noticias que tenga ó adquiera de las existencias de géneros El Sr. Yandiola manifestó que este expediente tenia dos partes; la anteriores al 1. “ de Enero último en las provincias Vascongadas y de una que versaba sobre negocios del ajuste y contrato de las provin Navarra, apruebe ó desapruebe el contrato principiado con el co-.-jrcio…</t>
  </si>
  <si>
    <t>…de la exposición del intendente de Valiadolid, cree que está en eche mano de los empleados, cesantes. , • contradicción con los estados presentados por el tesorero general, por £¡ Sr. Yandiola deshizo algunas equivocaciones que dijo haber pa cuyo resumen se ve que importando los presupuestos hasta fin de Fe decido el Sr.. preopinante. brero 468.534,849 rs. y ai. mrs., se han pagado 471.759,005 rs. y El Sr. Moreno Guerra: en la legislatura pasada se…</t>
  </si>
  <si>
    <t>…eces, y quedando solo la de egecutoYes; á petición del br. conde de aquella diócesis para su egecucion en cuanto Je pertenece.- Palacio de Toreno,Se aprobaron dos indicaciones del Sr. Yandiola;. una relativa a que 2 de Mayo de 1821.” VARIEDADES. el Gobierno informe a las Cortes sobre las dudas, modificaciones y re formas que en su concepto convenga hacer en el decreto de 13 de Acabóse el sufrimiento , decían los portugueses al principio de una Seti…</t>
  </si>
  <si>
    <t>…me parece que bierno , para que este con su dictamen lo pase á las Cortes . cuanto juz será imposible pagarlo. gue justo para la reducción ó abolición de las citadas pensiones. El-Sr. Yandiola , contrayéndose á lo que habia manifestado el Señor Art. 13. » El fondo pió beneficia! continuará por ahora , mediante conde de Toreno de que no debia permitirse que el pago de esta con la necesidad de atender á los objetos á que se halla destinado, hasta tri…</t>
  </si>
  <si>
    <t>…señalarse el primer día de Julio para verificarse di rifica en el discurso del trimestre ya pagado. cho pago. Art. 14. ,,No estarán sujetos al derecho: r.° Los funcionarios pú El Sr. Yandiola manifestó que la comisión había puesto esta cir blicos á sueldo de la Nación por solo lo concerniente al ejercicio de sus cunstancia para que tuviesen tiempo los que pagasen la contribución funciones y sueldos que por ello disfrutan: 2.' Los labradores, culti…</t>
  </si>
  <si>
    <t>…oriales Después de haber hablado el Sr. Sancho bajo el mismo concepto francos de porte al alcalde constitucional de dicha, villa, presidente de que el Sr. Romero Alpuente, dijo el Sr. Yandiola que la razón que ha una- junta encargada de proveer dicho magisterio, para el dia 15 de Ju bía tenido la comisión para proponer esta cláusula era por guardar ana nio de este año; adviniendo que tendrá opcion el agraciado á la plaza logía con el art. 13 , en e…</t>
  </si>
  <si>
    <t>…las re- renta considérable-al erario píiblipo.Esto na.seha demostrado todavía; jlátiyas á los cadetes mandados ascender’, hasta' que las -Cortes’"tomasen y aunque he oído decir al Sr. Yandiola que esta renta podrá ascender á tina resolución sobre-elparticular, y se verificase lo mismo respecto a go ó 40 millones., "yo -prégunto á-S. S. qué cilculo:ha:forrnado la co -ia.htig:»dadeCatibinejosK.eales, pura que no entrasen éh el 'servicio misión que dé…</t>
  </si>
  <si>
    <t>…sidad de aumentar los empleados públicos se cobra, pues cuando se debe hacer una diferencia en esta parte. un escribano vaya á hacer una escritura cobrará no solo sus derechos, El Sr. Yandiola dijo: Es preciso tener presente que en la Hacienda sino los del registro. En Francia tenian para exigir estas contribucio pública se cobran una porción de pensiones considerables. Ademas es nes un sistema fiscal, el cual á pesar de su odiosidad se hizo soport…</t>
  </si>
  <si>
    <t>…o debia aprobarse el ar particular, sino que costeaban la de otros muchos. tículo como lo proponía la comisión. El Sr. Sierra Pambley dijo: los empleados han tenido hasta ahora El Sr. Yandiola manifestó que los empleados eran los que padecían franca ¡a correspondencia , pagmüuiá de los fondos de ia tesorería , que mas vicisitudes, como lo demostraban las ocurrencias del año 8 y del se ponían á su disposición para estos gastos, y generalmente los ab…</t>
  </si>
  <si>
    <t>…stigue y aun necesario que es el que se acuerde la pefmanencia en aquella ciu al que tuviere la culpa. . . dad del convento de clérigos menores, titulado del Espíritu Santo , á El Sr. Yandiola manifestó que deberían pasar a la comisión Jos es fin de que al menos se conserve ia memoria de un instituto que ha ciado tados que habia presentado el Sr. secretario, porque si se exigía que fue honor a la religión y al estado; .pues las cuatro casas que exi…</t>
  </si>
  <si>
    <t>Se leyó tí 7.0 , quedecia: diola, reducidos á que debían pagarse en créditos con ínteres. » De ella se dividirá la parte correspondiente ri los curas párrocos, El Sr. Yandiola apoyó su voto particular, y después de una bre ju'flgufld de los cuales puede tener menos de 600 ducados, á excepción ve discusión se aprobó el dictamen. de tos de algunas diócesis, en que por sus particulares circunstancias Se leyó en seguida el dictamen de…</t>
  </si>
  <si>
    <t>…das con poder bastante Martinez continúe en egercicio por todo el tiempo en que su compañe á legitimar y clasificar en forma sus respectivos créditos ; apercibidos ro el expresado Sr. Yandiola se halle inhabilitado como.tal diputado á que de no hacerlo les parará el perjuicio que haya lugar en derecho. Cortes para llenar personalmente sus funciones. De orden de las Cortes ■ Oración de Pemóstenes en defensa suya acerca de la corona, ó bien lo comuni…</t>
  </si>
  <si>
    <t>…burgo dice lo siguiente: •* Se habla mucho de población; número de almas que quedaban sin representación &amp;c. un plan de repartimiento, en virtud.del cual ha de hacerse de una . El Sr. Yandiola dijo: Una de las principales bases de la ley funda ciudad del Bosforo, un puerto libre é independiente, abierto á todas mental es ja división del territorio, pues sin esta son vanas todas las las naciones del .mundo..” demas. No me detendré en hacer cálculos…</t>
  </si>
  <si>
    <t>…d de extender su pob'acíon, hay tin barrio que dicen que hay en el pueblo. que llaman d- S. A.nt-»n , que está en ia misma fu:da de la montaña; En la sesión de ayer indicó algo el Sr. Yandiola acerca de las in alli hay una buena calle,que puede extenderse bastante ; no tiene pobla dagaciones que se hicieron en el reinado de D. Felipe it para empe ción ni en este ni en los demas puntos como puede tenería: Chinchilla zar los trabajos estadísticos de…</t>
  </si>
  <si>
    <t>…ta entre todos los acreedores, dando preferencia á los que la merez can en justicia, según las manifestaciones hechas por la junta del Cré Lisboa aS de Setiembre. dito público.” H Sr. Yandiola dijo: Este asunto es sumamente interesante á una por Sesión de Cortes del 27. ción de familias que tienen varios créditos procedentes de caudales que Se empezó la discusión de la proposición del Sr. Fransini, para que entregaron á esta junta, y que Jos reclam…</t>
  </si>
  <si>
    <t>…nos veremos abrumados de representaciones de las pro Producía di Tolosa. Aprobado. vincias. Su capital Tolosa. El Sr. Quintana hizo presente que la diputación provincial de Ca El Sr. Yandiola: El Congreso recordará que cuando hablé en la taluña había formado un proyecto acerca de la división de aquellas otra discusión sobre este mismo asunto dije que Guipúzcoa en nada se provincias, que se presentaría muy en breve al Congreso. parecía á las otras…</t>
  </si>
  <si>
    <t>…ción su autor por ahora, y si quería hacerla, que fuese cilo.” Aprobado. por medio de la Diputación permanente. Art. 90. » Los demas individuos de milicias no disfrutarán haber El Sr. Yandiola: Me parece que á pesar de cuanto se ha expuesto ninguno cuando no esten sobre las armas.” Aprobado. acerca de la revolución de América no es este ei caso de tratar de ella. Art. 91. « Los individuos de milicias prisioneros, inutilizados ó 2.a proposición que…</t>
  </si>
  <si>
    <t>…lgún modo á ¡ios mismos comerciantes, y para evitar la arbitrariedad, de los que es los buques nacionales. taban encargados de justipreciar los géneros; y para dar mas amplitud El Sr. Yandiola: Con respecto á la primera objeción debo mani a la ¡dea propuesta trató de que tuvieran también los individuos de las festar que esta deshecha con lo que se expresa en el mismo articulo, que aduanas el derecho de poder poner precio á los géneros; y aunque ter…</t>
  </si>
  <si>
    <t>…a fianza á los que id., en lá eria de Cadallobo, en venta 3oo rs., y en renta 6 copines.sacasen los géneros. —Una tierra, en Hüergalo, de un dia id., en venta 300 rs., y en ren Eí Sr. Yandiola dijo: Es cierto que la uniformidad de leyes es un ta 3 copines—Otra en el Cepedal, de medio dia de id. corto, eti yériobjeto e»enc.ai para el legislador; pero 10 es también el que estas sean mo ta 1 10 rs., y en renta un copin__Una tierra , llamada de Barcón,…</t>
  </si>
  <si>
    <t>…pa géneros por ló interior con guias , y las Cortes lo désaprobaron ; por decido los Sres. preopinantes. ' consiguiente la comisión no podía reproducir ahora una cosa que hace El Sr. Yandiola dijo: El deseo del acierto en una materia tan es pocos meses fue desechada. Pero de todos modos la comisión no ha pinosa, el dictamen de la ¡unta de Aranceles, la opinión del Gobier tratado de perjudicar al comercio nacional, puesto que aun en esa li no, y la…</t>
  </si>
  <si>
    <t>…ta .preciosa obrai El Sr. Banqueri hizo algunas,¿observaciones contra este artículo , á cuánto.tiraba él á acomodar y conciliar el orden,y disciplina de ellos, las que contestó el Sr. Yandiola,.añadiendo que no eran propias de este con el uso de las armas modernas , y aun de lá artillería, que ya alean-, artículo.,, sino del siguiente, .... . zó y supcj..aprovechar muy bien esté ilustre caudillo. En la gaceta de El Sr. Gallegos dijo que convendría…</t>
  </si>
  <si>
    <t>Yandíola</t>
  </si>
  <si>
    <t>…zación de las Cortes en .ios despachos de aduanas, se figurarán-en primera providencia se confisca el buque. el mismo documento en que esten los derechos de la Nación, y el cor El Sr. Yandíola dijo: Parece, que el Sr. preopinante quiere tachar ■brador particular de las diversas administraciones despachará dentro de á las comisiones de inconsecuentes; pero yo creo que cuando las comi- la aduana en el .parags mas inmediato á la tesorería.” ...... .si…</t>
  </si>
  <si>
    <t>tój 1 E! Sr. Gaseo : Las Cortes, al aprobar las nuevas basas que se proao- mismas razones que ha manifestado si Sr. Yandíola, y siendo positivo r;n para i.» reforma de ataaceles, principalmente este artfc&amp;lo, .'no que los depósitos que se proponen no aumentarán el contrabando, sino v.ieiiea proponerse otro objeto que el ¡omento de nuestra itidustria. Las que se aumentará nuestra ma…</t>
  </si>
  <si>
    <t>…e aprobada por las Cortes. El Sr. Quintana preguntó cuándo se estable Estado, Ja junta de aranceles y casi todas las corporaciones que han ha cerían ios resguardos marítimos; y el Sr. Yandiola le contestó, que la blado de este asunto han manifestado que deben ponerse tales depó comisión se estaba ocupando en esto. En seguida se aprobó el artículo. sitos , y el público de Cataluña se k¿1 manifestado á favor de esta t Art. 3/. » En los puertos de dep…</t>
  </si>
  <si>
    <t>…no los conozco, se que son hombres muy honfalsa , no soíamenté en la ley, sino en el peso; que circula. rados. Pensaba que cuando S. S. ha dicho que está dirección no era utií, El Sr. Yandiola dijo que la comisión habia hecho las variaciones •e raldria de algún argumento muy fuerte. La comisión ha tenido ra que podían hacerse en el régimen de las casas de moneda análogas á zones poderosas para presentar á las Cortes éste dictamen tal como las nueva…</t>
  </si>
  <si>
    <t>…cantidad que él entregase; pero por desgracia no se tar unido este proyecto y otros de igual naturaleza. halla la Nación en este caso. Teme el Sr. preopinante que este papel se El Sr. Yandiola dijó: El Sr. secretario del Despacho de Hacienda confunda con el que actualmente hay; pero existe una gran diferencia, acaba de tratar de dos cuestiones diversas: en la primera ha manifestado y es'que en aquel se le pone por garante la tesorería general, cuan…</t>
  </si>
  <si>
    <t>…e moneda si- hecho de esta aquella autoridad superior de una nación, y si esto no ■so conio pasta. v :«e hace, la Nación renuncia aúna de sus principales prerogativas. La .1. , El Sr. Yandiola dijo que las ideas de la comision eran las mismas moneda tiene dos valores, uno. natural y otro representativo, El pri que había manifestado el Ür. Alatnan, y que como á individuo de ella mero es el de la pasta ó primera materia, que varía según la mejor ó le…</t>
  </si>
  <si>
    <t>…como quiera que los medios luises no tenian un muchos inconvenientes al crédito del tal comerciante. • valor igual , resultaría que si todos seguían con el mismo valor que has El Sr. Yandiola expuso que la comisión habia tenido presentes las di ta aquí, llevarían consigo el descrédito de la Nación , por haber rese ficultades que se habían expuesto; y conformándose con varios informes, llado una moneda taíl desigual ; y por esta razón no se debia a…</t>
  </si>
  <si>
    <t>…el uso qus se haría de estas fa * mayor parte de la Península. Nosotros estamos contentísimos también cultades. con los nombramientos que en general se han hecho, y no dudamos El Sr. Yandiola dijo que seria destruir en gran parte el objeto del que los diputados para las próximas Cortes serán decididos amantes y establecimiento de esta junta si no se aprobase esta parte del artículo; sostenedores de la Constitución; pero sin exaltación ni tibieza.…</t>
  </si>
  <si>
    <t>…; que el dictamen lenia tres partes: i.J que no se haga tsnia por inejecutable esta parte-del dictamen. . s novedad en punto á la introducción de ciertas y determinadas máqui ■ El Sr. Yandiola pidió que volviese este dictamen á las comisiones;nas señaladas en el arancel , porque eran bastante comunes en España, y asi se acordó , menos en la parte que trataba dé- las máquinas -dete y nada era mas justo que favorecer á los españoles que las fabricaba…</t>
  </si>
  <si>
    <t>…e los buques destinados al resguardo, porque conside tuviese por mas conveniente, y bajo su responsabilidad. raba que aunque estos oficiales fuesen muy buenos para la marina mi El Sr. Yandiola manifestó que no podían absolutamente entrar con litar, no eran á propósito para el resguardo maritimo, del mismo rno- trabandistas en estas contratas, puesto que por el art. 4.0 se adjudicaba do que no lo es el egército para el resguardo, terrestre. En segui…</t>
  </si>
  <si>
    <t>…mitiese introducir, se podria tomar en consideración lo que habia ma el año pasado. nifestado el Sr. Alaman. El Sr. Sancho : El Sr. preopinante funda lo que ha manifestado, re El Sr. Yandiola expuso que no podia darse á los individuos del re lativo á que no producen nada ¡as aduanas, en lo quj dijo el Gobierno gistro un partido ni ínteres semejante al que se les daba por la Hacien el año pasado; pero yo quisiera que siempre que se sentara.un princ…</t>
  </si>
  <si>
    <t>…Hacienda un proyecto de-decreto relati - Leidos los artículos de máquinas del arancel general manifestó el vo á los presupuestos de los años anteriores, que parece debe revisarse Sr. Yandiola que los instrumentos de física debían ser objeto de un nue antes de tratar del de este año. ........ vo dictamen. El Sr. Lustarria opinó que siendo los instrumentos de que se trata CORTES EXTRAORDINARIAS DEE AÑO DE 1821, ba interesantes para la instrucción pú…</t>
  </si>
  <si>
    <t>…ue el reglamen tado. Dichas órdenes, instrucciones- y reglamentos, como asimismo to señalaba al presidente. cualquier despachó relativo al egercicio de aquel poder, se darán en EI Sr. Yandiola, individuo de la comisión, manifestó que esta pre nombre del Rey. 'Aprobado.’ sentaría en breve tiempo su d ictamen relativo á dichas adiciones. Art. 105. Ademas de esta atribución general le corresponden al Se aprobaron los árts. i.°, 3.0, 7.°, 19,20, 32 y 3…</t>
  </si>
  <si>
    <t>YandioU</t>
  </si>
  <si>
    <t>…ordinarias, para que presente su dictamen al Congreso según el mérito que ellas tengan.” Por el juzgado del Sr. D. Julián de Sojo se ha mandado publicar 1® Habiendo manifestado el Sr. YandioU que estas exposiciones esta que sigue : ■ ban en la comisión de Aranceles, retiraron la proposición sus autores. Articulo comunicado. —St. editor: „ Jamas con deliberación y co 1*1 Sr. Medrano leyó el siguiente oficio del Sr. secretario de la Go nocimiento at…</t>
  </si>
  <si>
    <t>Yandtola</t>
  </si>
  <si>
    <t>…cií- ma cantidad de'sal que entonces vendiéndose á seis; porque és claró que . lacion. , . .. -...i . se aumenta la venta cuando se baja el valor. La fabricación dé la sal no . El Sr. Yandtola dijo que la sal .había sufrido: varias alteraciones; que •puede dejarse en absoluta libertad por las razones que hé dicho, y que .había, habido épocas qn.que había: llegado á sér una de las rentas prin repito; á saber: que en este casó seria indispensable imp…</t>
  </si>
  <si>
    <t>…la expresada diputación a desempeñar su encargo ; y luego que mente decididos á sostener á todo trance el régimen que la Nación ha lo hubo verificado r^resó al Congreso, donde el Sr. Yandtola, presi adoptado, por desgracia no faltan, entre estos, algunos que arrebata dente de la misma , dijo que S. M. había recibido con singular satis dos por sus pasiones yerran los medios de conseguir tan laudables fines. facción á la diputación, y la habia manif…</t>
  </si>
  <si>
    <t>Yañez, Agustín</t>
  </si>
  <si>
    <t>Agustín Yañez</t>
  </si>
  <si>
    <t>…itidos. El Sr. Janer presentó dos egemplares de una obra elemental de his A 1 a comisión de Guerra se mandó pasar el informe, remitido por toria natural, dedicada á las Cortes por D. Agustín Yañez, catedráti el Sr. secretario de este Despacho, que le fue pedido en 9 de Setiem co del colegio nacional de farmacia de Barcelona. Los recibieron con bre último, acerca de la revocación de la Real orden de 18 de Marzo agrado, y mandaron se hiciese mención en e…</t>
  </si>
  <si>
    <t>…lcaide const'tucional de Barcelona; D. Ramón Lisboa zS di Octubre. Salvato,, id. de Tortosa; D. Josef Elias., abogado; D: Francisco Serra Sesión del 26. y Fra'nch, del comercio, y D. Agustín Yañez, catedrático de Farmacia. Se empezó la discusión del proyecto de Constitución por la adición ^ Valencia 8 de Noviembre. que liizo al urt. 82 el Sr. Guerreiro, la cual decía asi: » Solo podrá ser Los electores nombrados en este partido para elegir diputados á…</t>
  </si>
  <si>
    <t>Yanguir, Juan</t>
  </si>
  <si>
    <t>Juan Yanguir</t>
  </si>
  <si>
    <t>…opinaba que seria conveniente que el actual.tesorero ge .sobre este particular por el ministro de Rusia, no se ha podido conse neral continuase por todo él tiempo que su compañero D. Juan Yanguir la revocación de esra orden. La contestación al ministro fue? que el diolá se hallase" inhabilitado para egercer sus funciones. Aprobado. ierran Señor era dueño absoluto en sus Estados, y.que habiendo'sido ex La comisión' especial de Hacienda, despiies-de hab…</t>
  </si>
  <si>
    <t>Yarro, Josef</t>
  </si>
  <si>
    <t>Josef Yarro</t>
  </si>
  <si>
    <t>…ataj y se levantó la de este dia. ,C. derse: aprobado. , ; - ,, . . ¡i La ordinaria de Hacienda presentó su dictamen acerca de la solici " i‘1' Madrid Miércoles ¿a de Maye. tud de D. Josef Yarro, contador cesante de rentas de Santander, y ac .. SS..MM. y AA. continúan sin novedad en su importante salud. tual secretario del ayuntamiento constitucional de aquella capital, ea que pedia se le concediese el gocé. del sueldo, que le corresponde como - En c…</t>
  </si>
  <si>
    <t>Yarza, Gilde</t>
  </si>
  <si>
    <t>Gilde Yarza</t>
  </si>
  <si>
    <t>…Desde luego en el proyecto del Gobierno, en el tallón. r= Miguel Abarca, soldado del primer batallón, i.* compaúía.zz de beneficencia y en el de sanidad se establece una dirección general Gilde Yarza, sargento 2.“ de la 4.a compañía del 5." batallón.zz Pablo en Madrid; pero si bien convienen en esto, no sucede asi con la clase Buesa, sargento 2.0 del tercer batallón. z= Mariano Campos , cabo 2.a de de personas que han de componer estas direcciones, porque…</t>
  </si>
  <si>
    <t>Yarza, Josef</t>
  </si>
  <si>
    <t>Josef Yarza</t>
  </si>
  <si>
    <t>…p Mariano Siles. zz D. Miguel Juanton. — D. Josef Collados. = Sr. ba tos para desempeñar estos destinos; y en consideración á la importan rón de Torrefiel. z=D. josef Paniagua. zz D. Josef Yarza. zzL). Fran cia y extensión de su cargo gozarán doble sueldo.” Aprobado. ' cisco Lafuente. zz: D. Antonio Esparza. z=D. Valero-Roces.zz D. Juan El Sr. secretario de Marina fue dé-parecer que debía ponerse en lu Ester, zz D. Jacobo Peré.zzD. Francisco Morelln.…</t>
  </si>
  <si>
    <t>Yeia, Julián Diaz de</t>
  </si>
  <si>
    <t>Julián Diaz de Yeia</t>
  </si>
  <si>
    <t>…ta dei Go Nada se ha dicho que pueda dar La menor verosimilitud bierno. ¿ esta noticia. TRIBUNALES. Sentencia. En la villa de Madrid á 30 de Enero de NOTICIAS DEL REINO. 1821 : el Sr. D. Julián Diaz de Yeia, ministro togado y juez en primera instancia de !a misma: Habiendo visto la León 22 de Enero• causa seguida contra el Foxino- y limo, padre y ministro genera! de capuchinos Fr. Francisco de Solchaga sobre ha Este ayuntamiento constitucional, penetrado de las…</t>
  </si>
  <si>
    <t>Yeia, Julián Díaz de</t>
  </si>
  <si>
    <t>Julián Díaz de Yeia</t>
  </si>
  <si>
    <t>…de Cádiz á te , celebrada en 27 del próximo Mayo á la presencia del señor juez fines del presente mes el bergantin Voluntario , correo de la armada na de primera instancia en ella D. Julián Díaz de Yeia, por ante el es cional , con la correspondencia para Ultramar, deberá esta ponerse en el cribano de provincia y cartulario de su juzgado D. Manuel López de oficio del correo eeneral de está corte con la anticipación necesaria para Ribas , se acordó unánimemen…</t>
  </si>
  <si>
    <t>YeimoíolVcon</t>
  </si>
  <si>
    <t>…oncebido en estos términos: al mando de Sack.cn acampado á i»s orillas dei Dniéper ; su cuartel ge Art. 130. «,S¡ los interesados no conviniesen en esté partido, no neral Kiew. El general YeimoíolVcon el suyo se haiiaen marcha mara se admitirán la» personas correspondientes á aquellas Gnnil as , corppá acantonarse en las inmediaciones de la besarabia. El egercito ce. Norte, raciones ó naciones.en los establecimientos públicos det pueblo crique mandado por…</t>
  </si>
  <si>
    <t>Yela, Julián Diaz de</t>
  </si>
  <si>
    <t>Julián Diaz de Yela</t>
  </si>
  <si>
    <t>…n con los ángeles del paraíso. Los nuevos convertidos pre . Sentencia. En la villa de Madrid á 9 de Enero de 18 2t fieren las conferencias de estas damas inspiradas al culto pú el Sr. D. Julián Diaz de Yela, ministro togado, y juez le blico de los templos p pero la mayor parte acuden al palacio trado en primera instancia de la misma, habiendo visto la del 'Conde de... qae también se tiene por inspirado , y cuyas causa formada contra D. Antonio Fernandez de Castr…</t>
  </si>
  <si>
    <t>Yela, Julián Díaz de</t>
  </si>
  <si>
    <t>Julián Díaz de Yela</t>
  </si>
  <si>
    <t>…Monarcas del conrinente en su independencia, recuperando la dignidad de sus tro ANUNCIOS. nos, qué habian perdido. La Constitución española inspiró á la nación Por providencia del Sr. D. Julián Díaz de Yela, ministro hono él valor , la energía y la constancia necesarias para triunfar ; y por con rario de la audiencia territorial de Castilla la Nueva, juez de, primera siguiente á los Gabinetes extrangeros la esperanza de salir de la tutela instancia en esta capit…</t>
  </si>
  <si>
    <t>…pedería, señaladas con el núm. 5 ¿ colación de S. Nicolás de Barí, en ANUNCIOS. I/7&gt;44[ «. ' . Unas casas de la misma procedencia-; señaladas con el num: 2 , siPor providencia del Sr. D. Julián Diaz de Yela, ministro hono -tas-en. ia calle del; medio del alcázar, colación de la Sta. iglesia ¿ate rario de la audiencia territorial de.Castilla. la Nueva , juez de primera tad ral, en- 18,159 rs. . Otra» casas da la misma procedencia ¿ calle del mucho Trigo * nú inst…</t>
  </si>
  <si>
    <t>…r, y particularmente en su constancia. las Cortes.” - ... - ’,r-' ARTICULO DE OFICIO. : ANUNCIOS.'. ; ' ’M.s; Circular del ministerio de la. Guerra. . En virtud de providencia del Sr. D. Julián Diaz de Yela,.ministró 0on Francisco Colombo, coronel supernumerario de infantería, ha honorario dé la audiencia territorial, y-jilez de primera instancia-de esta hecho presente al. Rey que por su constante adhesión al sistema cons M. H. villa, refrendada por el escribano…</t>
  </si>
  <si>
    <t>…convento al de Fuen qué empiezan ¿correr desde que se anuncie en el diario, lo que ha santa , que queda, como se ha dicho. S. M. se ha servido resolver ipiial- mandado publicar el Sr. D. Julián Diaz de Yela, juez de primera ins mente que se supriman en la ciudad de Valladolid el cciic'gip &lt;ie domi tancia , y ha señalado para el último remate el dia 8 de Mayo próximo nicos, reuniéndose sus individuos al convento que en ella queda de su ¿ las 11 en las casas consi…</t>
  </si>
  <si>
    <t>…s de trangero en uno ú otro caso, ó de llevarlos á las provincias de Ultra correos. mar dentro del término de tres meses , contados desde el dia de la En virtud de providencia del Sr. D. Julián Díaz de Yela, macisventa ó rifa, y con la de quedar sujetos á la ley del comiso, vencién trado togado honorario, juez de primera instancia de esta corte, auto dose dicho plazo sin haberse verificado la exportación. rizada del escribano cartulario D. Juan de la Peña Martín…</t>
  </si>
  <si>
    <t>…tución como de una obra inmortal, que hará siempre el honor de la ANUNCIOS. Tención, y atraerá sobre sus autores las bendiciones de tocias las gentes En virtud de providencia del Sr. D. Julián Díaz de Yela, magistrado y naciones cultas , dice que le impulsaron « á ponerla en egecucion para togado honorario , juez ds primera instancia en esta capital , autorizada desahogar en parte su amor patriótico.” Añade que á pesar del enemi del escribano cartulario de su j…</t>
  </si>
  <si>
    <t>…' probabilidad á los hechos. Sin em créditos contra el Estado, acudirá al juzgado de primera instancia del bargo , siempre será bueno esperar la confirmación , y en Cádiz se sabrá Sr. D. Julián Díaz de Yela, y escribanía de D. Martín Santin y ya en el dia, pues al hablarse de este punto no se habia entregado aun Vázquez; en el concepto de que su último remate se ha de celebrar Ja correspondencia que trae Ja goleta Galga, procedente de la lluvana en una de las sa…</t>
  </si>
  <si>
    <t>…no po tados desde que salga este aviso en la gaceta. Quien quisiere hacer las drá menos de interesar al público; porque ademas dé manifestarse en expresadas mejoras acuda ante e! Sr. D. Julián Díaz de Yela, juez de él la constante adhesión de Vanhalen á la causa de la patria , sus per primera instancia en esta capital, por la escribanía del número que eger- secuciones durante los seis años últimos del despotismo, su tesón, ge ce D. Juan Raya. nerosidad y noblez…</t>
  </si>
  <si>
    <t>…asimiro Javier- Garbayo y D. Pedro Corral. virtuoso , sea quien fuere, para que os podáis gozar en la prosperidad y Parroquia de S. Salvador, un elector. gloria de nuestra patria! D. Julián Díaz de Yela. Presentamos aqui la lista de los electores que han de concurrir á las Parroquia de Santiago, un elector. elecciones del domingo; y si antes no lo hemos hecho , ha sido por ha D. Antonio Martinez Velasco. ber pensado en reunir la lista de los compromisarios,…</t>
  </si>
  <si>
    <t>Yela, Julián Diaz.de</t>
  </si>
  <si>
    <t>Julián Diaz.de Yela</t>
  </si>
  <si>
    <t>…reunirán mo. Quien quisiere hacer dichas mejoras, á pagar en créditos contra al de su orden de Reus; el de agustinos calzados, agregándolos al de el Estado, acudirá al juzgado del Sr. D. Julián Diaz.de Yela, minis su instituto;de Barcelona , y elde capuchinos, que pasarán al de su reli tro honorario de la audiencia territorial, y juez de primera instancia gión de Olot; en Petalada el de 'dominicos , destinándolos al de Ge de esta M. H. villa, por la escribanía d…</t>
  </si>
  <si>
    <t>Yela, Julián Diqz de</t>
  </si>
  <si>
    <t>Julián Diqz de Yela</t>
  </si>
  <si>
    <t>…án tomarse cuando tengan su marina junta con .Tomas Antonio Portocarrero, vecino de esta corte , se ha señalado por la de los idriotas, que.es la mas poderosa del Archipiélago. el Sr. D. Julián Diqz de Yela, magistrado togado ’i /-msrafioy-juez-de primera instancia eri ella, para la celebracion.de- una junta general el - ARTICULO DE OFICIO. domingo 20 del présente mes de Mayo , á las 9 en punto de la mañana en su posada, que la tiene en la calle de las Platerias…</t>
  </si>
  <si>
    <t>Yermaloff</t>
  </si>
  <si>
    <t>…tri Viena 18 de Abril. . bunal militar. Se asegura que la columna principal del egército ruso, mandada 4-° ” El mismo tribunal está encargado de egecutar el Real de en gefe por el general Yermaloff, y cuyo destino es á Italia, llegará á creto de 28 de Marzo contra toda asociación secreta, y especial Hungría el 23 de este mes. Viene por Trentschin, Tyrnin r Presbur- mente contra la sociedad llamada de los Carbonarios. go, Egemburgo, Guns y Kermend, en la…</t>
  </si>
  <si>
    <t>Yermoloff</t>
  </si>
  <si>
    <t>…proporcio » La guerra entre, la Puerta y la Rusia parece cada dia mas inevitable. nará la protección y ayuda que este en sus facultades, sin perjudicar en El egército que manda el general Yermoloff debe haber llegado en este nada al ínteres de los particulares ni á las ventajas de sus contratos. Se instante á las fronteras de la Moldavia. El del Sur á las órdenes del ge tendrá presente para esto que se han de entender por obras provinciales neral Wittgé…</t>
  </si>
  <si>
    <t>…por servido las protestas pacíficas de una y de otra parce mas que paia ga muy considerable que sea la fuerza numérica de este egército , el cálcu nar tiempo:-Habia ya días que el general Yermoloff, comandante lo y ia experiencia nos autorizan á pensar y á decir que de todas las en gefe dei.egército ruso.que va contra la Turquía, hacia preparativos grandes monarquías de la cristiandad , la Rusia es justamente la que tie en su gobierno del Cáucaso para d…</t>
  </si>
  <si>
    <t>…s embajadores las. cartas, en nes; y su cuartel general debía trasladarse á Kiova. El egército mandalas cuales pretendió haber hallado la prueba de la conducta criminal^ do por el general Yermoloff, que ocupaba á Ukrania, debe ponerse endel patriarca «riego , y de consiguiente ios motives de su sentencia. __j_a obra del Sr. Goerres intitulada La Europay la revolución, que marcha y acantonarse en las provincias vecinas de la Besarabia , toman do las posi…</t>
  </si>
  <si>
    <t>Yermolofty</t>
  </si>
  <si>
    <t>…a ¡a reconven en las fronteras de Turquía , es de.......................................... 92,000 ción qué se nos hace con motivo de'la sangre derramada; con todo El egército del general Yermolofty que se creia desti «Eremos con franqueza que no reservamos toda nuestra compasión ex nado para el Piamonte, y que á instancia, según dicen, clusivamente para el populacho. Podemos tenerla en efecto á otros su- del Emperador de Austria se quedó en las frontera…</t>
  </si>
  <si>
    <t>Yermolow</t>
  </si>
  <si>
    <t>…sos de los de Pamplona, Tudela , Estecido por sus aserciones aventuradas; y añade: „Es muy increíble que lia y Sangüesa de la misma orden, que se suprimen ; subsistirán también el general Yermolow pueda mandar un egército en "Wolhinia , respec .en Tudela el de franciscos, y en Vaitierra el de capuchinos en aten to í que es gobernador general de la Georgia, de la Mingrelia y de la ción á lo útil que es, completándose su número con los del de Tudela Guri…</t>
  </si>
  <si>
    <t>YermotofF</t>
  </si>
  <si>
    <t>…mo el- denes "tres egércitós; «saber: el del general Wútsgenstein, llamado egér descontento dé sus -habitantes; y todo género de tráfico está parado. Se' cito del mediodía: el del general YermotofF, y el formado con los aguarda ver de-un momento, á otro una declaración de los griegos seme-1 cuerpos que van viniendo de la Lítúhhia, tuyo, comandante en gefe no jante á la de la unión, americana:,. y aseguran haberse suspendido su pu se ha nombradq aun. Tod…</t>
  </si>
  <si>
    <t>Yeta, Julián Díaz de</t>
  </si>
  <si>
    <t>Julián Díaz de Yeta</t>
  </si>
  <si>
    <t>…uque de Calabria, quien para eL dia 15 debe ANUNCIOS. ría volver con'el Rey á la capital. El Gobierno romano imita enteramente al de Ñapóles, como súb En virtud de providencia del Sr. D. Julián Díaz de Yeta, ministro dito de la santa alianza. Es grande el rigor en aquella capital, centro togado, y juez de primera instancia de est3 M. H.’ villa, refrendada del de la religión cristiana, madre de la dulzura y de la mansedumbre. Se escribano del número de la misma L…</t>
  </si>
  <si>
    <t>Yonrmant, Santiago</t>
  </si>
  <si>
    <t>Santiago Yonrmant</t>
  </si>
  <si>
    <t>…Interesados medades. en ella. Asimismo, y teniéndose presente lo dispuesto en el ar ANUNCIOS. tículo n del mencionado decreto, se invita á los tenedores Ignorándose el paradero de D. Santiago Yonrmant, de nación de créditos de la deuda con ínteres de Ubre disposición, francés., que se hallaba establecido en Barcelona, y deseándose, que los hubieren presentado á liquidar hasta esta fecha, á instruirle de un asunto que !e interesa, se suplica á la persona qu…</t>
  </si>
  <si>
    <t>Yraoia, Nicolás de</t>
  </si>
  <si>
    <t>Nicolás de Yraoia</t>
  </si>
  <si>
    <t>…ma, y pasó á Italia, y en el año de 1815 residía en Bolonia: tiene guerreros que por su invencible valor , por su disciplina militar y poc que comunicarle noticias de importancia D. Nicolás de Yraoia, del co su ardiente zeio religioso infundían espanto á la semibárbara Europa mercio de Cádiz. en los siglos xiv, xv y xvi. Cuestión importante: ¡Los diputados de nuestras Cortes son invio Un orgullo tan bárbaro como vano, acompañado de todos los vi lables res…</t>
  </si>
  <si>
    <t>Yu.te</t>
  </si>
  <si>
    <t>…té á dad disfrutando sueldo, y estos empleados deben saber su obbgacion, ó cargo de las mismas diputaciones. deben ser ineptos. En el primer, caso se les debe obligar a los ge- El Sr. Yu.te dijo que el art. 335 de la Constitución decía que es fes políticos á que echen mano de estos cesantes, y en el segundo no taba á cargo de las diputaciones provinciales: » Velar sobre la buena deben disfrutar sueldos. Ademas estos hombres son una carga , que n…</t>
  </si>
  <si>
    <t>Yuncióla</t>
  </si>
  <si>
    <t>…200 egem- aprobó esta adición , sustituyendo las palabras desde hoy en vez de el urplares de Ja circular expedida por el ministerio de la Gobernación de Javo dia propuesto por el Sr. Yuncióla. la Península en 15 del corriente, y otros zoo de la expedida por el Entró á jurar y tomó asiento en el Congreso un Sr. dfp-itado. de Gracia y Justicia, relativa al decreta de las Cortes de 17,del cor , Continúa la discutían sobre el plan de Hacienda pública.…</t>
  </si>
  <si>
    <t>Yupaugui, Manuel Inca</t>
  </si>
  <si>
    <t>Manuel Inca Yupaugui</t>
  </si>
  <si>
    <t>…. preopinante al Y el de la misma comisión, relativo á la solicitud de Doña Ramo art. 2.0 según explicaba S. S., no debia admitirse á discusión; y que podía na Ilazabal, viuda del intendente D. Manuel Inca Yupaugui, sobre contestarse á la de las leyes de distinción , y á lo demas que habia referi que se le conceda á su hijo D. Andrés Corsino la asignación de i 28 do , que en aquel artículo se exigía la presentación de títulos, del mis reates anuales, concedida á su padr…</t>
  </si>
  <si>
    <t>Yuste</t>
  </si>
  <si>
    <t>…al del Crédito imposibilitados, y será nulo ei efecto de.la resolución sobre el art. 8.° público.” Aprobado. Hace poco tiempo cuando se aprobó el presupuesto de la casa Real se El Sr. Yuste dijo: Me parece que no están comprendidos en este quitó por resolución de las Cortes y á propuesta mía la palabra sin in artículo aquellos cotos redondos que pertenecían ¿ los monasterios , pe terés con respecto á los créditos con que se habían de pagar á S.-…</t>
  </si>
  <si>
    <t>YValpole</t>
  </si>
  <si>
    <t>…ión de las Cortes, y ha efecto de los recelos bastante fundados acerca de una guerra continental. biéndose puesto á votación, se decidió por 49 votos contra 41 que se El viage del lord YValpole daba motivo á muchas conjeturas; y el mi Suprimiese la indicada idea. nisterio ingles se hallaba ocupadísimo, infiriéndose de esto que se tra El Sr Magaiaes pidió que s.- expresasen en el acta los nombres de tan negocios de l.á mavor importancia. los Sres. di…</t>
  </si>
  <si>
    <t>…para hacer respetar su neutralidad. Otros, quizá cort turcóiTEn el caso que lis contribuciones fuesen bastante considerables, inas probabilidad, aseguran que á pesar del viage del lord YValpole á se podría'formar al mismo tiempo ún fondo de beneficencia para las Viena, nuestra corte no separará sus intereses de los de la Rusia y Pru familias griegas que perdiesen en la lucha sus bienes' ó su apoyo. Yo sia, y que los Gabinetes de Prusia y Austria pre…</t>
  </si>
  <si>
    <t>YVarburlon</t>
  </si>
  <si>
    <t>…turcos continuaban los robos y los ataques contra las haciendas y las vidas di y á los griegos. Ipsilanti, ú quien estes horrores llenaron de indigna los habitantes pacíficos. El coronel YVarburlon ha traído informes sobre ción , se encaminó inmediatamente á Hidra con 2 5 oficiales, y se ig la naturaleza de las turbulencias y sobre los medios de restablecerla tran nora si ha vuelto. quilidad pública. » Habla en la ciudadela mas de 300 griegos ,,á los cu…</t>
  </si>
  <si>
    <t>YVellington</t>
  </si>
  <si>
    <t>…ubo lugar á votar sobre la in mo á hacer un viage á Viena con el fin de tener una conferencia con dicación del Sr,.Romero Alpuente. el Emperador Alejandro. Corrían voces de que el lord YVellington lle Se leyó una indicación del Sr. Golfín, que decía asi: ,,Que la co garía muy en breve al continente, encargado de una comisión impor misión amplíe el proyecto de contestación aprobado, manifestando á tante' cerca del Gobierno de ios Países-Bajos , y que vi…</t>
  </si>
  <si>
    <t>Z, Antonio Ortiz de</t>
  </si>
  <si>
    <t>Antonio Ortiz de Z</t>
  </si>
  <si>
    <t>…a Rea! orden siguiente: dos está en prcática en Francia y cu los Estados-Unidos de la América » Excmo. Sr..- Ei Rey se ha servido aprobar la distribución que en Septentrional: por D. Antonio Ortiz de Z.írate y Herrera. El admira papel de 1 2 de este mes hace Vi E. de las provincias que han de com ble sistema de Jurados que tanto bien produce en los países extrangeprender cada una de ias visitas de aduanas y resguardos, mandadas es ros en que está en práctica…</t>
  </si>
  <si>
    <t>Za</t>
  </si>
  <si>
    <t>…te aiticulo suficientemente discutido, y el se que se presente alguna de estas notas se pondrá de manifiesto al públi ñor Toreno manifestó que con respecto á lo que habia dicho el Sr. Za co los tres dias primeros de despacha, y cualquiera persona podrá pata podría hacer una adición para que se pasase á la comisión, y lo comprar el género por el precio señalado en la declaratoria con aum-n- mismo la tercera parte del artículo, que es á la que…</t>
  </si>
  <si>
    <t>Zabalburu, Juan Francisco de</t>
  </si>
  <si>
    <t>Juan Francisco de Zabalburu</t>
  </si>
  <si>
    <t>…sarán al de Ube lante. da, de su orden; yelde mercenarios calzados, que se reunirán al de Madrid, de la misma religión, conforme está acordado en el arreglo - Habiendo visto elSr. D. Juan Francisco de Zabalburu, juez de pri de los de esta provincia; y en Quesada el de dominicos, que se destinan mera instancia interino del partido de la villa de Bilbao, el expediente al de Jaén del propio instituto, S. M. ha tenido á bien mandar que.los formado sobre la publicación y…</t>
  </si>
  <si>
    <t>…tado : » Españoles, decia, el Emperador de todas las Rusias Ale jandro , aquel Príncipe que en pocos años se hi hecho célebre en las en tres correos continuos. Por providencia del Sr. D. Juan Francisco de Zabalburu, juez in artes de la .paz; que reina sobre los corazones de todos los habitantes terino de primera instancia de !a villa de Bilbao, refrendada por e! es de' su vasto imperio; que por seroimientos generosos y principios libe cribano público del número D. Juan…</t>
  </si>
  <si>
    <t>Zabaleta, Miguel</t>
  </si>
  <si>
    <t>Miguel Zabaleta</t>
  </si>
  <si>
    <t>…términos: « Lo D. J. C. Bernales, de Londres. D. Mariano H.rnandez Noeuee. dispuesto en el artículo anterior solo tendrá efecto en tiempo de paz. En D. Jenas Hayerman, de Bilbao. D. Miguel Zabaleta. tiempo de guerra interior ó exterior, después que las Cortes hubieren D. Josef Sigler Bustamante, de D. Pedro Elias. declarado por los votos de dos terceras partes de sus diputados estar ¡a ValladoLd. D. Pedro Ricardo. patria en peligro, podrán suspender la…</t>
  </si>
  <si>
    <t>Zabay, Antonio</t>
  </si>
  <si>
    <t>Antonio Zabay</t>
  </si>
  <si>
    <t>…n Sa- Olivar quedó aprobado en los términos que había indicado el -Sr. se sera. = D. Bartolomé Ruiz. zzD. Ramón Bale.zzD. Josef Baile.zzDon cretario del Despacho. Cristóbal Oitiz.=D. Antonio Zabay. zzD. Juan Lacuey.zzD. Pedro Art. 123. ’&gt; Sustituirán a los ayudantes generales de artillería los Vitalie.zzD. Pedro Nobailasmer. = D. Pablo Vicente.z:D. Joaquín oficiales del parque, los cuales tendrán á sus órdenes el número de Laguna.zzD. Matías Cobo. = D.…</t>
  </si>
  <si>
    <t>Zafra, Josef</t>
  </si>
  <si>
    <t>Josef Zafra</t>
  </si>
  <si>
    <t>…ente no Aragón, D. Josef Soiano, D. Josef María Salomón, D. Juan Mu necesidad y obligación en que se hallan de concurrir á impedir ios ma ñoz, D. Rafael Morete, D. Josef Saavedra, D. Josef Zafra , D. Fran les que ocasiona el contrabando; en la inteligencia de que cumpliendo cisco Manuel González, D. Juan Valderas, D. Pedro Gazapo , D Pe V. S. con esta resolución dará al Rey una nueva prueba de su zelo por dro Antonio Fernandez, D. Lino Castelo, D. Ra…</t>
  </si>
  <si>
    <t>Zaldruendo, Pedro Ramón y</t>
  </si>
  <si>
    <t>Pedro Ramón y Zaldruendo</t>
  </si>
  <si>
    <t>…r las pisadas de los Manuel Díaz , vecino de Sta. María de Berrocal. Montentayor Don caballos hasta el término de Benamejí, en que perdieron el rastro, Agustín Morgado. Picdrahita D. Pedro Ramón y Zaldruendo , juez s’iéndose obligada á restituirse á Antequera. El fruto de esta acción ha de primera instancia de aquel partido. Salamanca D. Juan Bello, ve sido el haber herido á algunos ladrones y haberles cogido cuatro caba cino de la capital , ganadero. Salvatierra…</t>
  </si>
  <si>
    <t>Zalon, Mateo Cortés y</t>
  </si>
  <si>
    <t>Mateo Cortés y Zalon</t>
  </si>
  <si>
    <t>…de que con esta fecha lo trasla cional , pendiente en el juzgado de primera instancia de Zaragoza do á los gobernadores del obispado de León para su egecucion en cuan del cargo de D. Mateo Cortés y Zalon en i.° de Mayo. to Ies toca. Palacio 30 de Abril de 1821.” La formada contra Aíanuel Salólas como falso acusador de la exce lentísima señora marquesa de Lazan y otros sobre que en su casa se ce Por el ministerio de Gracia y Justicia se ha comunicado al de la…</t>
  </si>
  <si>
    <t>Zambrero, Pedro García</t>
  </si>
  <si>
    <t>Pedro García Zambrero</t>
  </si>
  <si>
    <t>…icilias la para los de la ciudad de Granada a D. Joséf Martínez Lorenzo, á Don inalterable firmeza de aquellos decididos é imperturbables defensores de Ramón Rodríguez Velasco y á D. Pedro García Zambrero. su patria , de la libertad de sus conciudadanos, y de su Rey constitu cional. No , no es posible que deje de ser libre la nación que les ha dado Debiendo salir del puerto de Cádiz á mediados del mes de Mayo, el ser: no echa raices el despotismo en la tierra…</t>
  </si>
  <si>
    <t>Zamora, Andrés</t>
  </si>
  <si>
    <t>Andrés Zamora</t>
  </si>
  <si>
    <t>…ez, sobre casas calle de la Correde dos y de la inglesa. Consta la obra de dos volúmenes en S.3, ra 2696 rs 2§ mrs. • que se están imprimiendo. Todos los suscriptores que lo hayan D. Andrés Zamora sobre casas calle Larga 341 rs. 6 mrs. sido á la obra de Constant, á pesar de su número,y cuantos Ja hwyan tomado, tendrán derecho exclusivamente á recibir el to VARIEDADES. mo primero al tiempo de su publicación, pagando por cada uno de los dos la cuarta par…</t>
  </si>
  <si>
    <t>Zamora, Antonio</t>
  </si>
  <si>
    <t>Antonio Zamora</t>
  </si>
  <si>
    <t>…algo tarde respecto de este peligro, y que para Hace algunos años que el capitán y maestre de un buque mercante oponerse al engrandecimiento de este impelió colosal hubiera sides, D. Antonio Zamora dejo en calidad de depósito en poder de la Seño menester acudir mas pronto. La Rusia, defendida por su clima, su po ra condesa deTovar, vecina que fue de Caracas, unas joyas que nadie blación y sus desiertos, por las luces de su Gobierno, y aun por la ig desp…</t>
  </si>
  <si>
    <t>Zamora, Josef Agustín Va-En</t>
  </si>
  <si>
    <t>Josef Agustín Va-En Zamora</t>
  </si>
  <si>
    <t>…sefa Clauseíles, del por medio de procurador con poder bastante , d usar de su derecomercio. En Gandía en la de D. Alejo Clavier , de: idem. cho en ios autos que sigue en el mismo D. Josef Agustín Va-En Zamora en la de D. Mateo Hernández de Medina, de llester, vecino y dél comercio de Vinaróz, con D. Joaquin Meid. En Valencia en la de D. Bernardino Pesseto ; y en San seguer , de la propia vecindad , sobre pago del importe de 79 bar tander en la de D. Antonio de JaC…</t>
  </si>
  <si>
    <t>Zamora, Lorenzo</t>
  </si>
  <si>
    <t>Lorenzo Zamora</t>
  </si>
  <si>
    <t>…adorno" de las ha en rústica y 13 en pasta. bitaciones, instrumentos ae química &amp;c. Los vasos cine El Defensor de la patria. Manifiesto que hace á la nación y a sus representantes D. Lorenzo Zamora, administrador de la ricios, de los cuales .muchos están encerrados en otros vasos Hacienda nacional en la villa de Cazalla de la Sierra y su parti de piorno, son en gran número, y dignos de observación. do, reducido á las ocurrencias acaecidas con motivo del…</t>
  </si>
  <si>
    <t>…conformé'á ella la medida que se proponía. Lorenzo Zamora, denunciado por D. Francisco Fuertes, la ley absol Después de haber concluido el Sr. Calatrava, se declaró el punto vía á D. Lorenzo Zamora, responsable de&lt;dicho impreso; y en-su con suficientemente discutido; y no habiéndose accedido á que la vota secuencia mandaba se alzase la caución que tenia otorgada, el referi ción fuese nominal, quedó aprobada la indicación en todas sus partes do, y la sus…</t>
  </si>
  <si>
    <t>Zangronis, Juan Jósef</t>
  </si>
  <si>
    <t>Juan Jósef Zangronis</t>
  </si>
  <si>
    <t>…one V. lima, en su se que le extraviaron en Soinosierra, habia una carta de recomendación y gunda instrucción, que se observen los artículos siguientes:: j.° To letras giradas por D. Juan Jósef Zangronis, del comercio de Burdeos, á dos los religiosos de conventos que se supriman por no tener el núme cargo de personas residentes en esta corte , cuyos nombres no ha podido ro prevenido por la ley se incorporarán al convento á que se agreguen, traer á la memoria.…</t>
  </si>
  <si>
    <t>Zapador, Manuel</t>
  </si>
  <si>
    <t>Manuel Zapador</t>
  </si>
  <si>
    <t>…como muy importante, sobre todo des los términos que hasta ahora ha existido ; y otra de D- temando A.de que se h3n recibido varias cartas de Rio-Janeiro de 1. del mes ul varez y D. Manuel Zapador , secretario e; primero del gobierno políti timo, que anuncian que el puerto de Lima se ha abierto a los buques co de Santander, v el segundo del Je Avila , haciendo vanas observa de todas las naciones, que pueden comerciar allí libremente. ción, s sobre la d…</t>
  </si>
  <si>
    <t>Zapara</t>
  </si>
  <si>
    <t>…dos que es regular; pero yo debo manifestar que el espíritu de la Cons var á los pueblos á la felicidad y prosperidad , que es el objeto de un titución no es el que ha supuesto el Sr. Zapara , pues esta en'su artícu Gobierno constitucional. lo 332 dice: ,,Cuando el gefe superior de la provincia no pudiere pre Como no tenemos tablas comparativas de localidad, población, sidir la diputación , la presidirá el intendente , y en su defecto el vocal re…</t>
  </si>
  <si>
    <t>…que se debe" aprobar el dictamen de la co varán al efecto una cuenta exacta de su impofte mensual. En seguida se suspendió esta discusión ,y se leyó el dictamen de la misión. , El Sr. Zapara manifestó , que habiendo Jas Cortes determinado esta comisión especial nombrada para informar á las Cortes acerca de im pedir el curso de la moneda francesa, la cual después de haber exami ley con ia mayor madurez y detenimiento, no se podía hacer altera ción…</t>
  </si>
  <si>
    <t>Zapata</t>
  </si>
  <si>
    <t>…del des- de personas, y añadiendo se dijese que esto no correspondía í las Cortes. ,,pacho. Bien sé que esta es prerogativa mía; pero también conozco En el mismo sentido habló el Sr. Zapata , conceptuando inmatura ,, qué ál egercicio de ella rio'se opone, que las Cortes me indiquen, y cualquiera resolución de las Cortes sobre el oficio que acababa de leer „auri me designen, las personas que mas merecen la confianza pública, se , y exhortando á l…</t>
  </si>
  <si>
    <t>…ompuesto el Sr. D. Evaristo Pcrez de Castra, Serien del dia 4 de Marzo. El Sr. Vítorica tomó la palabra, y dijo que para nada debía de leída y aprobada el acta del dia 3 , dijo el Sr. Zapata sí se sabiac nombrarse al Sr. Pcrez de Castro; que á las Cortes no interesaba saber de oficio quién era el encargado del ministerio de Hacienda; y que has Ja persona que la habia compuesto, y,que el que ocupaba la tribuna ta tanto que no se verificara esto ,…</t>
  </si>
  <si>
    <t>…usticia, en que manifestaba haber seña han seguido en todos los asuntos de gravedad, cual.es el presente. lado S. M. la hora de la una y media del dia 19 para que la diputación El Sr. Zapata apoyó las indicaciones del Sr. Tapia, manifestando 'de Cortes fuese á cumplimentarle por la solemnidad del dia. Las Car- ademas que antes de dotar el número, de universidades se deba atender tes quedaron enteradas. á la primera enseñanza, esto es , á leer y e…</t>
  </si>
  <si>
    <t>…elativa al establecimiento de so pasase al arzobispado de-Tarragona. ciedades patrióticas; y el Sr. Presidente señaló el día 28 para su dis Se leyó en seguida una, indicación d.el Sr. Zapata, qué decía:» Pido ensión. qúé este expedienté se remita al Gobierno para que en su vista deter La comisión especial nombrada para examinar la exposición que hi mine con todo el lleno de conocimientos’que desea para-él acierto;” cieron los Sres! diputados de C…</t>
  </si>
  <si>
    <t>…mportante-objeto.” No se 1 no puedan sereiégidos pOr ninguna de las partes paca el seguimiento del ' - - . -• .■ . .. ■ í.-.-- - admitió á discusión.- . 1 . proceso.”' ' - . í- El Sr. Zapata d;jo que no podía menos de manifestar al Congreso Tampoco se admitió otra del Sr. Cepera, que decía:-» Pido á las el modo con que se atacabá' su opinión en un periódico de Paris de 19 Cortes que el mínimum de las multas sea de cuatro reales , y; el máxi del c…</t>
  </si>
  <si>
    <t>…z de la Rosa manifestó te berse leído el art. 371 de ¡a Constitución y úna parte del dictamen á pe nia que hacer algunas reflexiones sobre este artículo: dijo que para’ tición del Sr. Zapata, se aprobó en los mismos temimos que lo pre contener los abusos que podrían originarse de la calificación de los ex sentaba la comisión. cesos que se cometiesen en las sociedades patrióticas era sumamente Se leyó el art. 2.0, y el Sr. Cañedo dijo le parecía q…</t>
  </si>
  <si>
    <t>501 El Sr. Zapata dijo, qué le parecía inadmisible este artículo, porque en el caso de considerar como tercera la que se habia hecho del indi se atacaba á la libertad de los ciudadanos; que esta manera de censurar cado proyecto, pudiendo el Sr. presidente señalar dia para su d…</t>
  </si>
  <si>
    <t>…, Las Cortes, en vista de la dudi consultada al Rey en 24 de Ene creía no debia aprobarse esta indicación. ro último por la extinguida Cámara de Guerra acerca de si los vireina El Sr. Zapata dijo que no debia despreciarse la indicación que se tos, capitanías generales y gobiernos de las provincias de Ultramar han discutia , pues su espíritu se dirigía á que aun cuando fuesen públicas de servirse por tiempo determinado ó indefinido ; y hallando ar…</t>
  </si>
  <si>
    <t>…enido la referida or hizo en la legislatura anterior; cuya indicación quedó aprobada, des den : quedó aprobada. pués de haber manifestado los motivos que tenia su autor para so El Sr. Zapata presentó una indicación para que á la mayor breve meterla á la ilustración del Congreso. dad se diese cuenta del dictamen de una comisión que se presentó en A la Eclesiástica se mandó pasar una exposición de D. Josef Cor la legislatura anterior sobre existenc…</t>
  </si>
  <si>
    <t>…ruso. Los regimientos de la guardia Real debian salir de conducta, y no estar procesados criminalmente.” Petersburgo para Witepsk, y las tropas del interior ocuparían los acan El Sr. Zapata manifestó debían añadirse dos circunstancias, una tonamientos de las que fuesen adelantando. que no se admitiesen casados á servir voluntariamente, y que no se ad mitiesen á los que hubiesen servido en el egército; porque en el primer ARTICULO DE OFICIO. caso…</t>
  </si>
  <si>
    <t>…r, el Príncipe Real D. Pedro de Alcántara. después de una ligera discusión se procedió a la discusión dcJart. 1. Y luego, el Príncipe Real, en. nombre suyo juró en. la forma si El Sr. Zapata leyó un discurso, en el que manifestaba los procedi guiente : ...nuestra santa religión, mientos de la compañía de Guadalquivir; añadiendo que el dictamen Juro en mi nombre veneración y respeto a ‘de la comisión estaba fundado en lo que habia expuesto el come…</t>
  </si>
  <si>
    <t>…as el que -hallándose muchos señoríos territoriales y razón para creer que no dejasen de tener buen éxito. solariegos , no en poder de los que primeramente los obtuvieron ni de El Sr. Zapata dijo: yo creo .que no cumpliría con mi deber si tur sus sucesores, sino en el de los que los habian adquirido por medio manifestara-las fatales cOnseeuéncias que pueden producir e-ros desór de compra , los cuales se hallaban en actual posesión de ellos; si de…</t>
  </si>
  <si>
    <t>…r preséntelos otra anterior; y alegando nuevas razones para que las Cortes declaren resultados que preveía. que el ayuntamiento constitucional de aquella villa ha infringido la El Sr. Zapata dijo que el medio que proponía la comisión para cu Constitución y ias leyes por no haberles permitido introducir en ella brir las cargas que se referian no Ib parecía asequible; y que sentado'el tina partida de ganado; y otra de D. Juan Martin, á nombre de D.…</t>
  </si>
  <si>
    <t>….” En seguida quedó aprobado dicho artículo. El Sr. Romero Al puente dijo : yo tengo las mismas dificultades que Art. g.J «De las rentas pertenecientes á los predios urbanos se el Sr. Zapata, y creo que de ninguna manera se han satisfecho. No hay rebajará una tercera parte por gastos de su conservación y administra motivo para exceptuar á los pueblos cuyo número de casas no llegue ción y huecos de inquilinatos, y la contribución solo recaerá por…</t>
  </si>
  <si>
    <t>…a hecho ayer, re dos como artistas, y no traficando ni vendiendo mas que los pro-, lativa á la ganadería. • ductos y obras artísticas de sus mismas manos. 5." Los médicos, ci-, Kt Sr. Zapata dijo: en la clase séptima se exceptúa una clase de réjanos, sangradores y boticarios empleados en los egércitqs y arma vendedores, que en mi concepto debe estar sujeta á esia contribución, da, ú hospitales militares, por con-1 aerarse empleados públicos á qun…</t>
  </si>
  <si>
    <t>…us qUe oyendo al Gobierno,.infórmase mañana lo que tuviera por conve pendiéndose lo que dice con respecto á los ganaderos. ■‘‘i niente.-- : '■ ’&gt; ¡ ■■ ■ Sé leyó el art. i 5 , y el Sr. Zapata dijó: en mi concepto envuelve -- Algunos señores -diputados manifestaron hallaban el inconveniente una injusticia este artículo ¿ porque puede suceder que-á un comerciante de que se.dilataba demasiado esté asüntoV y entre tanto sé’-pasaba el se le embargue to…</t>
  </si>
  <si>
    <t>…ado al Crédito público, debia abonársele el la armada, para que se Je reponga en el goce de sus honores y sueldo, descuento del papel-moneda. ó se le oiga en consejo de guerra. El Sr. Zapata manifestó que cuando mas deberla satisfacerse á este A las de Guerra y Hacienda una exposición de D. Luis Corselino, interesado un mes y algunos dias, esto es, Julio y partí de Agosto, sargento i.3 del segundo de Guardias, en la que pedia se le declarase que…</t>
  </si>
  <si>
    <t>…dito público que están encargadas de dichos edificios, las personas que obtengan patentes especiales del Gobierno.” a cuyo fin se oficiará á la junta de aquel establecimiento.” El Sr. Zapata dijo: No puedo convenir con lo que ha manifestado De Real orden lo traslado á V. para su inteligencia y efectos in el Sr. Sierra Pambley; dice que aun dedicándose algunas personas al dicados. Madrid 20 de Mayo de 1821. tráfico de tabaco ,no se vendería de tan…</t>
  </si>
  <si>
    <t>…i rm*. utilidad este tráfico, y teniendo tan- íntima relación con-él el- es cie al común de consumidores.” tanco-de lasal; me parece que no debe aprobarse este.artículo; con-lo El Sr. Zapata .manifestó que en el caso de que á lós fabricantes Ies -cualdaremos tinaprueba de adhesión ‘á las provincias que tanto” han sobrase sal de su consumo , se les debería tomar al mismo precio que - adelantado en esta-industria. i : i u s;-.v : : “ la compraron.…</t>
  </si>
  <si>
    <t>…pro Serraliacli , Corominas, Janer y Robira acerca de los contraregistros. poner lo mismo que propuso anteriormente, ó de pona la re uta de lo Se leyó la siguiente indicación del Sr. Zapata, relativa á que las terías bajo una sola dirección, porque á mnguu.. de I , cu uro ,e p eobservaciones acerca de la modificación de que puede ser susceptible de agregar. Si Jas Cortes resuelven que hava una dirección mas, á saber, el decreto de 7 de Agosto de…</t>
  </si>
  <si>
    <t>…prevenido por la ley. Asimismo he hecho presente á S. M. que, según dicación del Sr. Gutiérrez Acuña. el resultado que ofrece el arreglo general de todos los de la Península é E! Sr. Zapata preguntó si se podría saber por el ministerio de la islas adyacentes, ha quedado solamente una casa dedicha religión en Ma Guerra lo que se habia pagado á los regimientos desde i.° de Junio del drid , á la que se mandaron reunir para completar el número compe…</t>
  </si>
  <si>
    <t>…ente discutido este artículo , y quedó aprobado. carrera, para los cuales serán-atendidos por el Gobierno.” La comisión suspendió el tít. 8.° que trata de las pensiones, y en - El Sr. Zapata hizo presente que en su concepto el artículo estaba su consecuencia se continuó el tít. 9.0, relativo á la dirección general mal .redactado , porque con la .cláusula ano ser que elijan obtener desti de estudios. nos propios de su carrera se daba á entender qu…</t>
  </si>
  <si>
    <t>…endo precedido la aprobación del empleo de co individuos, se verifique la recompensa que propone la comisión. ronel, que según dice la viuda fue concedido á su marido por el ge El Sr. Zapata fue de opinión de que esta recompensa se hiciera cor» neral Porlier , no debe alterarse la regla e .oh'ecida, á no ser que las una especie de pensión, no solo vitalicia, sino que pasase á sus des Cortes tengan á bien acordar otra eos,. cendientes, debiéndose…</t>
  </si>
  <si>
    <t>…y el anterior. demas pueblos, se exija doble contribución á estas. Habiendo sido des Aprobado. echado el artículo á que se refiere esta adición , la comisión proponía Adición del Sr. Zapata al artículo 1; sobre sal: „ Que el exceso por base que el repartimiento de la contribución sobre casas sea un solo se satisfará de las fanegas que ni hayan consumido, ni presenten tanto por ciento sobré su renta líquida, cuya proporción se aumentará existente…</t>
  </si>
  <si>
    <t>…jillo , Patencia, Valladoiid, Vitoria y Zaragoza; las que se hallan conveniente. entenderán directamente con la dirección, y á la misma remitirán sus Después de haberse opuesto el Sr. Zapata á que se diese’ i ios porte estados mensuales de cuentas generales. ras? el sueido referido, se aprobó este artículo se .«aneo á esto» indi Art. 31 4. » Quedan en clase de administraciones subalternas de viduos el de q9 rs. En seguida se aprobó el artículo 3…</t>
  </si>
  <si>
    <t>…ría fin déficit de 190 millones, áuh-cuándo'sé hubiesen cobrado todas 'se continuó !c discusión pendiere. ■ lab contribuciones, y qué las ctue quedan por cobrar. aunque algunas El Sr. Zapata apoyó el dictamen de la comisión, manifestando que •■■son realizables; parte de!él)ás es irhposib e hacer efectivo su pago, seera indispensable aprobar el presupuesto que propenia el Gobierno pa : gun él estado que la administración pública ha tenido' hasta e…</t>
  </si>
  <si>
    <t>…ro modo no se adelan E! Sr. Banqueri manifestó que habia una orden del Rey D. Car tará lo que se debe. los ni, por la que se señalaba á los capitanes generales el sueldo de óoQ El Sr. Zapata dijo: Yo quisiera que los señores de la comisión reales cuando estuviesen de cuartel. En seguida fue demostrando las me dijeran si han examinado la inversión de los gastos que se ocasio razones en que se fundaba la comisión para no aprobar mas que 320 nan en…</t>
  </si>
  <si>
    <t>…r del cristianismo y de la sagrada causa Se declaró este asunto suficientemente'discutido; y habiendo pedi de la humanidad; y asi se opina que las potencias europeas obrarán do el Sr. Zapata que se votara por partes el diclamen de la comisión, : con todo vigor y energíh.” manifestaron algunos Sres. diputados que no se podía aprobar, por par- Según el Observador austríaco los turcos se apoderaron de Pairas, _tes mas que la contribución impuesta so…</t>
  </si>
  <si>
    <t>…asunto de mas interes y gravedad. fantas, y toda (a comitiva de costumbre. Las salvas de artillería, las músicas,Jas cont nuas aclamaciones, las tropas tendidas en la carrera, El Sr. Zapata dijo: No creo que convendría mucho al bien de la y el escogido y numeroso concurso todo ha contribuido á hacer mas patria ni al decoro mismo del Congreso el que las Cortes se ocupasen en los últimos momentos de su legislatura en nombrar un director para el su…</t>
  </si>
  <si>
    <t>…desechase el dictamen de la co partido y de otros muchoj particulares , convidados lodos al intento, misión. comieron con la mayor unión, alegría y Maternidad entré mil brindis El Sr. Zapata, individuo de la comisión, contestó al Sr, préopi» con el famoso tinto de este valle , entre m:i vivas, versos , abrazos , al nante, haciendo ver que el deGreto da 12 de Marzo, en el que se pres gazara , y aquella dulce complacencia que inspira solo la confia…</t>
  </si>
  <si>
    <t>…mía de gastos pecuniarios, punto capital en que se han En seguida entró a jurar y tomó asiento eí.Sr. GoIGn. extendido tanto varios Sres. diputados, no se presenta á la primera El Sr. Zapata dijo: Lo que propone la comisión de División, no es ojeada ; pero disminuyéndose aquellos como se puede con un método justo, ni político ni económico. No es lo primero , porque perjudica á sencillo y fácil , desaparece enteramente Ja objeción. El egemplo lo s…</t>
  </si>
  <si>
    <t>…tes. Por mi parte digo; (prosiguió) que desde que juré Moguer. ; . - . . ¡ la Constitución, de la Monarquía en Cádiz no conocí ni mas fueros de El Sr. Sánchez Salvador caniestó al Sr. Zapata apoyando: de nue Vizcaya ni mas divisa que la Constitución; por ella he padecido, y, vo el dictamen de la comisión; y .después de haberle declarado el. aun puede decirse que he contribuido con mi sangre á su restauración,- pumo por suficientemente, discutido…</t>
  </si>
  <si>
    <t>…obierno pue de manera que no queden frustradas estas disposiciones. da atender1 á los objetos que expresa.” El Sr. Zórraquin pidió se leyesen varios artículos del decreto de 14 El Sr. Zapata manifestó que podría decirse inmediatamente en lugar de Mayo de 18 ¡1. de á la mayor brevedad-, porqué no era de creer qué en circunstancias El Sr. ministro de la Guerra dijo que por el poco tiempo que des ■tan críticas careciese el ministerio de las noticias…</t>
  </si>
  <si>
    <t>…esto es lo ber entrado el Sr. ministro de Hacienda, y se continuó laque se habia que ha dicho. dejado pendiente. La comisión no puede entrar en otros pormenores ; pero basta lo El Sr. Zapata dijo: Antes de impugnar el dictamen de la comisión dicho para conocer que la comisión no ha carecido de datos para dar debo advertir que del expediente resulta la falta de observancia de una la preferencia á Chinchilla , y no por haber titubeado dejó de conoc…</t>
  </si>
  <si>
    <t>…unto. Si vuelve á la comisión , y pide informe á mas personas, que en ausencia de este la presidia el regente. creo que vendremos á parar á que no podrá decir con certeza donde El Sr. Zapata dijo: Debo contestar á ciertas observaciones que se deba lijarse. Por otra parte si se pide informe á aquella diputación pro han hecho antes de que diga mi parecer con respecto á este asun vincial, pueden no darle arreglado á justicia , sino con parcialidad.…</t>
  </si>
  <si>
    <t>…irán la cuestión que ha indicado el Sr. preopinante cuando guna. ■ se trate de ella. Dice el art. 3 26:» Se compondrá esta diputación del presidente, Después de haberse opuesto el Sr. Zapata á la aprobación, de este ar del intendente y de siete individuos elegidos en la forma que se dirá, tículo, manifestando que en las autoridades populares debía haber más sin perjuicio de que las Cortes en lo sucesivo varíen este número como lo individuos que i…</t>
  </si>
  <si>
    <t>…te opinóque algunas provincias de ia» que ia ajuste á ella la división de los juzgados de primera instancia- Comisión habla señalado can el nombre de primera clase para ios gas El Sr. Zapata propuso que se omitiese Ja palabra Jefimtivamente. tos del Gobierno político podrían reducir é í la de cuarta, y al con El Sr. Clemencin dijo que la comisión no tendrá ningún Inconve trario algunas de las provincias de segunda , tercera ó cuarta á supe niente…</t>
  </si>
  <si>
    <t>…sfactorio á todos, que semejante conducta contestación del virey al oficio que le dirigió con este motivo. da nuevo' realce á los-nobles sentimientos de todos los habitantes de El Sr. Zapata dijo que este asunto era de mucha gravedad, y que el; esta ciudad. Aplausos repetidos , vivas ála Constitución y al Rey cons no haber podido continuar el viage este Sr. diputado por falta; de me-i titucional., músicas-,.novillos., cohetes .“canciones , teatro…</t>
  </si>
  <si>
    <t>…e poner sobre las armas á todas las de Valencia, tro años-la de seis a ñus, y á la de 36 años la de jo a ños. pues hubiera bastado con un pequeño número. Los pueblos quieren me El Sr. Zapata hizo varias reflexiones sobre este artículo , y op'nó jor q^e el egército permanente se disminuya, aunque se aumente la mi que deberían entrar solo ios mozos de la edad de 18 hasta 34 años, licia activa, pues los que constituyen esta les ayudan á trabajar, no…</t>
  </si>
  <si>
    <t>…o dicen ro el que están sobré las armas!” muchos, con iós matrimonios, sino con la riqueza que haya en el pais. El Sr. conde de Montenegro hizo la observación de que se podrian El Sr. Zapata convino en que seria muy bueno que no se excep excluir de esté artículo los saígeñtós de milicias , y aun los cabos. tuasen los individuos que se casasen teniendo la edad que requería la ley, El Sr. Sánchez Salvador manifestó que no había una grande proba por…</t>
  </si>
  <si>
    <t>…dar un fuerte impulso á la organización de la milicia, licias que se van á crear, sino es por este medio. creo que no se logrará el objeto, en razón de que muchos oficiales han Et Sr. Zapata expuso: En primer lugar no sé cómo puede obligar pedido su licencia indefinida , y otros están retirados en sus casas con se á un militar después de haber servido, y marchado á su casa con el la mitad del sueldo; y no ganando estos mas que una parte muy pe co…</t>
  </si>
  <si>
    <t>…ones . El Sr. ministro de la Guerra dijo que en cuanto á la segunda par hasta que asciendan á gefes.” te del artículo , esto es , que los sargent &gt;s pnm.-ros alternaran con los El Sr. Zapata dijo que hasta ahora todos los oficiales del egército cadetes paira obtener las plazas de oficiales , se le ofrecía hacer una ob habían disfrutado de un grado mas al pasar á Ja milicia, y ahora a los servación, y es que en los reg.miento* de nueva creación po…</t>
  </si>
  <si>
    <t>…se reunirá la milicia activa con la local cuan do convenga para perfeccionar la instrucción de entrambas.” En la provincia de Oviedo, procedentes del extinguido monasterio d; iel Sr. Zapata opinó que no debía aprobarse este artículo, porque la S. Benito de Cornellana, cuyo primer remate se ha de celebrar en ¡a milicia local estaba enteramente separada de la activa, y á disposición . -villa de (drado. del gefe político, y por consiguiente la inst…</t>
  </si>
  <si>
    <t>…con ar C A 1*1 TU 10 VIII. reglo á lo dispuesto en los artículos 4." y 5.a de la ley de 9 dé Julio úl timo.” De la administración económica de ¡os cuerpos de la milicia activa. El Sr. Zapata dijo que convenia expresar mejor la palabra antes si Art. joi. »&gt; Los gastos que ocasionen los haberes y entretenimien conviniese. to de los cuerpos de la milicia activa formarán parte del presupuesto El Sr. ministro de la Guerra dijo que el ministerio está o…</t>
  </si>
  <si>
    <t>…que ha citado el Sr. Banqueri. Con respecto á la segun de Ja naturaleza que ha indicado el Sr. Banqueri. da, la comisión la ha tenido presente, y animada de los mismos deseos ' Ei Sr. Zapata dijo: Tengo que: proponer, varias dudas que me han que el Sr. preopinante, ha propuesto esta cláusula, porque no solo no ocurrido con respecto á este artículo, i." ¿Tan luego.como se presente produciría el fomento de la marina la preferencia que desea S. S.,…</t>
  </si>
  <si>
    <t>…ncipios , porque conoce que el fomento de la patria es blecer este 2 por 100 para lo que quedaba indicado. una obligación suya, y también que esto conviene á sus-propios intere El Sr. Zapata insistió en que se seguía mayor perjuicio á los comer ses. No sé pues por qué el Sr. Banqueri se ha opuesto á un artículo que ciantes españoles que llevasen géneros á Ultramar que no á los extran la comisión no ha podido presentar de otro modo. Cuando se trat…</t>
  </si>
  <si>
    <t>…do con el de las naciones vecinas.-En Francia desde Colbert, consi nientes que determinará el Gobierno.” , . derándose tas aduanas como un medio de prosperidad é industria,suce El Sr. Zapata dijo: Me parece que este artículo está en contradic dió lo mismo, ésto es, que se aumentó esta, y en tiempo de la revo¿ ción con el 5.J aprobado por las Cortes. Por este se dice que podrán lucion, á pesar de que se trató de relajar todos los vínculos antiguos…</t>
  </si>
  <si>
    <t>…mitió la entrada de las monedas francesas. debería pasar 4 una-comisión. ; ' ,■ - ....... . - -i, - .-7 Inmediatamente se empezaron a .notar, los inconvenientes que esta .......Ei Sr. Zapata; Todo diputado está tbligadóá ja asisiehéiá á íis se medida causó , con motivo de haberse .introducido sumas de considera-^ siones^ á-.no tener.,una. causa justa para faltar; ia cual-debe hacer cíon. Asi pues se revocó este permiso el año de 1709 , y se mandó…</t>
  </si>
  <si>
    <t>…ada particular el exceso del valor legítimo de la mone comisión no tenia inconveniente en rebajar el mínimum. da hasta el nominal en billetes, por cuyo medio resultaba completa El Sr. Zapata apoyó la opinión del Sr. Sancho. mente recompensado. El Sr. López (D. Marcial) dijo que la comisión convenía en quese El Sr. Florez Estrada: Yo creo que hay otro medio mejor que el que estableciese por mínimum la cantidad do 6 marcos; y después de una se prop…</t>
  </si>
  <si>
    <t>…ose en este concepto la nueva de algodón y seda con las extrangeras, veremos que Ja prohibición de tarifa.” las manufacturas de algodón es mas vejatoria respecto del consumidor Ei Sr. Zapata; La comisión ha alegado solamente la razón de lot que las de seda; y lo es, porque cuesta menos una manufactura de al {laudes que se hacen á nombre de esa introducción; pero yo creo que godón extranjera que una de Cataluña. .Yo 90 me opongo á que. se pro*</t>
  </si>
  <si>
    <t>…a estado en posesión hasta aquí , y por ce que las Cortes deben aprobar que se fije alli en la actualidad. que es bajo rodos aspectos una de las plazas mas importantes de la mo El Sr. Zapata hizo presente que Sevilla se hallaba en el centro to narquía.” De los individuos de la comisión tres fueron de dictamen pográfico del distrito , y que ademas confinando la parte de Huelva contrario al de la mayoría que opinó por la ciudad de Pamplona. Ade con…</t>
  </si>
  <si>
    <t>…e de Tales disfruten un sueldo igual ó muy poco inferior al que les veces en los pueblos donde se egecute.” corresponda en servicio activo: 2.°Que los mismos intendentes me den El Sr. Zapata : Por este artículo se dice que los empleados del res parte de los empleados cesantes que hayan destinado á las referidas guardo no pueden por sí solos registrar un mesón ; pero falta saber si contadurías , del estado en que estas se hallen , con razón circun…</t>
  </si>
  <si>
    <t>…r lo demas creo que debe aprobarse este artículo. nantes de obligarles á sacar guias-, y que no siendo precisa esta circuns Se declaró este asunto suficientemente discutido , y el Sr. Zapata tancia ni una consecuencia del sistema prohibitivo, consideraba que eis preguntó si se habia de permitir registrar también ¡a morada de los mejor dejarlo como proponía la comisión, esto es, á La voluntad de iot mesoneros; á lo cuaí respondió el br. presidente…</t>
  </si>
  <si>
    <t>…de toda ley debe haber un conocimiento de conveniencia públi nares lo cual habia ya manifestado la comisión. ca. Si las corporaciones, tribunales y demas individuos pauiculares El Sr. Zapata dijo : Entre todo lo que se ha hablado contra el pro han cooperado, y han hecho observaciones acerca de las bases funda yecto que se discute se han hecho muy pocas objeciones, puesto qu: mentales ;no han de poder los Sres. diputados dar su parecer acerca de y…</t>
  </si>
  <si>
    <t>…Grecia , y volviendo por el Egipto, mensage de S. M., y de consiguiente era inútil pedir la autorización. la Berbería y la España. Las catorce ediciones que esta obra ha tenido El Sr. Zapata opinó que la proposición del Sr. Sancho era muy va en poco tiempo en su original prueban la grande aceptación que ha me ga , y debía ser mas terminante. recido á la Europa ilustrada; y en efecto forma la mas nueva , comple El Sr. Sandio dijo que su proposició…</t>
  </si>
  <si>
    <t>…onvenientes, á fin de qiie'comunique los testigos y fuese lo mas corta posible , como v. gr. lá deí robo. demás medios de defensa de que pretenda valerse; y si desde la entrega El Sr. Zapata dijo que le parecía no debia haber ningún inconvenieade los autos al procurador hasta el correo.próximo mediasen menos de - terep aprobar la palabra conjuración en el sentido que la proponía la 24 horas, se entenderá el-encargo para él correo'siguiente: " ' "…</t>
  </si>
  <si>
    <t>…l ¡primer grade ¿ el 'se sobre él.- :' ' - --' gundo es la preparación piara cometer el delito , la tentativa es'el tercer El Sr- ,Calatrava manifestó que la idea expresada por el Sr. Zapata grado., y cofiato, que es mas que tentativa/es ebcuarto grado. Designio era la misma que la de la comisión, esto es, que era tentativa el'desig- es la-voluntad de robar una-casa: la preparación es haber tomadóla me nio manifestado por algún acto exterior: que…</t>
  </si>
  <si>
    <t>…oticia y efecto* de las elecciones de la Havana y el decreto de las Cortes no era su correspondientes. Madrid 2 de Diciembre dé 1821.” ficiente para que llegase á su noticia. &gt; El Sr. Zapata dijo que la comisión no habia podido menos de pre Habiendo resultado vacante el empleo de auditor de guerra del ejér sentar su dictamen en los términos que se habia leído, fundándose cito de Yucatán, por haberse separado del de teniente letrado de aque en la…</t>
  </si>
  <si>
    <t>…ad los resultados que traerla el autorizar á que se lea para formar idea completa dei puülo que trstamos. « los funcionarios públicos ¡i que en semejantes pretextos buscasen la El Sr. Zapata: Como de la comisión, poco Ó nada puede añadirse «disculpa de su error, las Cotíes reprobarán siempre‘una doctrina , á 4 lo que se dice en el dictamen que se ha leído. La comisión cree qué » cuva sombra podría justificarse la mayor criminalidad á la par de ua…</t>
  </si>
  <si>
    <t>…ción, cuando en presencia det intendente , contador y administrador de la aduana , ha mi concepto debe agravarse mas la pena. ciendo de secretario un oficial de la contaduría. El .Sr. Zapata: La comisión, consiguiente á sus principios filantrópi Art. 6.° «Del importe en venta de los géneros se pagará al pro cos, ha reformado este artículo ; pero no veo que en él esten marcadas pietario el valor que señaló en sus declaraciones, y un 10 por 100 mas…</t>
  </si>
  <si>
    <t>…co á los Sres. de la comisión que en vez de un ladrón tiene el mismo estímulo que el de un inocente para recep decir en el artículo mal presente se dijese mal inminente. tarle. El Sr. Zapata ha manifestado que los dos meses que propone la Los Sres de la comisión se conformaron con la sustitución de esta comisión que debe por lo menos hacer que existe la amistad es muy palabra, y después de una ligera discusión entre los Sres. Cabarcas, poco tiemp…</t>
  </si>
  <si>
    <t>…ro acaso se va á decidir pero yo no puedo convenir con él. • un punto de que pende la suerte de la Nación. Si se tratara de la responsabilidad de los ministro*, yo seria el pri Ei Sr. Zapata manifestó que aunque la comisión hubiera tratado de mero que la pidiera , ó al menos el primer diputado que celebraría que proponer á las Cortes que se exigiese la responsabilidad á los ministros, se exigiera, y creo contra ei dictamen que se discute, que est…</t>
  </si>
  <si>
    <t>…de que se pusiese la república , no es extraño que las prerogativas del trono y las libertades patrias. haya crecido esta desconfianza, cuando esta voz de república fue la que El Sr. Zapata:-Solo trato de deshacer algunas equivocaciones del contribuyó para que tn la otra ¿poca se destruyese la Constitución, Sr. preopinante. Es i-comprensible que pueda dejarse de conocer que Es verdad que las circunstancias del día son tnuy distintas; pero si hay…</t>
  </si>
  <si>
    <t>…gundo.=Manuel Ainaga, cabo priméro.=Maiuplicio, y de consiguiente siempre se logrará el objeto que se desea. riano Vallejo, cabo segundo—Por la clase de milicianos de la cuarta El Sr. Zapata se opuso al artículo; y manifestó que asi como no se- compañía Sixto Ibañíz—Santos Rodríguez—Mariano de Echevarría, ria justo que i un reo que tuviese pena de muerte, si este se moría an capitan.=Flias Alcalá , teniente primero.=Nolasco Sebastian , segundo. t…</t>
  </si>
  <si>
    <t>…as de los locos serán separadas cion de la sentencia, que por lo mismo hubiera recaído sobre el acusado. en cuanto fuere posible, según el diferente carácter y período de la en El Sr. Zapata, después de haber manifestado algunos inconvenientes fermedad. que se seguían á la administración de justicia por lo mismo que había Art. i2i. «El encierro continuo, la aspereza en el trato , los gol dicho el Sr. Romero Alpuente, dijo que este artículo era de…</t>
  </si>
  <si>
    <t>…e 10 hombres muertos, unos 50 prisioneros, y haber cogi proposición, porque no hay nada que se Ja pueda tachar. do como 40 fusiles; pudiendo asegurar á'V. E. que el grupo mayor El Sr. Zapata : Según la opinión que acaba de manifestar el señor que se veia marchar reunido no llegaba á too hombres, sin que por preopinante, me parece que debe aumentarse alguna palabra á la pro nuestra parte haya habido desgracia. No puedo menos de elogiar la posición…</t>
  </si>
  <si>
    <t>Zapata, Francisca López</t>
  </si>
  <si>
    <t>Francisca López Zapata</t>
  </si>
  <si>
    <t>…ué pachorra discutían muchos venerables eciepatronos del pió legado ó fidei-comiso, fundado para parientes" por siásticosla conversión de los demonios en sapos, las ceremonias del Doña Francisca López Zapata, viuda de D. Josef Cerdah , ciudadano Aquelarre, con otros dijes y preciosidades dignas de aquellos claros va que fue de Ja ciudad de Zaragoza; D. Francisco Aguifré y Pinedo, rones. Nuestro apreciable Moratin, disfrazado bajo el nombre del ba vecino de Ben ab…</t>
  </si>
  <si>
    <t>Zapata-</t>
  </si>
  <si>
    <t>…tas desig haya un acto que prepare ¡a egecucion del delito. ; nio , conato, y tentativa. Designio es un acto del entendimiento pro El Sr, Yadillo, contestando á la observación del Sr. Zapata-, ma yecto ó plan de una co&gt;a: conato es el estímulo de la voiuntad gene nifestó que la idea dei la Comisión era la misma que la de S. S. , esto ralmente iliteníó; y tentativa la aplicación de algunos hechos. Con es, que ia tentativa de.un deiito es el designi…</t>
  </si>
  <si>
    <t>Zapata-manifestó</t>
  </si>
  <si>
    <t>…no de los diez dias siguientes á los plazos seña nueve para tratar dé la expos\-ion referida.’ lados.” ■ - - , En su consecuencia se acordó por las Cortes que esta noche se die EI Sr. Zapata-manifestó que no se fijaba Ia cantidad-que se habia se cuenta de la referida exposición en sesión extraordinaria pública, á de embargar para que la Hacienda pública quedase asegurada , y: po-: la que se citaría al Sr. secretario de la Guerra;-y se levantó la sesión día…</t>
  </si>
  <si>
    <t>Zapater, Juan Bautista</t>
  </si>
  <si>
    <t>Juan Bautista Zapater</t>
  </si>
  <si>
    <t>…omandantes,de da? milicias de ^También se pasó..á lárreferida cpmision un, expediente:en,que so la misma villa y sus inmediaciones. . . : , ■■‘-i: ; licitan- D- Tomas Ferrando t.y.D. Juan Bautista Zapater el abono de los Dados estás 'pasos, y comunicada con.la rposible anticipación al sueldos que: habían devengado durante, la suspensión en que habían es Gafe'político de Álava fén la incertidumbre deLsl la tenia ó.-no).la tado. de,sus'.déstihOs;o. noticia del .…</t>
  </si>
  <si>
    <t>Záphta</t>
  </si>
  <si>
    <t>…los juicios de conciliación. pañol rio1 daría ningúnerédito a las sesiones séeretas qué citaba dicho X Dada por suficieriteméñté discutida la adición del Sr. Cortés, quediario.'El Sr. Záphta retiró su proposición.- - ' dó aprobada El Sr. presidente dijo-que habiendo'tenido-rel honór de ser convidar "Nb-se’adriritió á-discúsióri la siguiente indicación del Sr. Puigdo en el día d_- ayer al banquete que diéron las clasís de cabos del egér- blanch, c…</t>
  </si>
  <si>
    <t>Zaragoza, Agustín Gómez de</t>
  </si>
  <si>
    <t>Agustín Gómez de Zaragoza</t>
  </si>
  <si>
    <t>…que hubiese el dia siguiente unasesionex- Continúa la lista de los suscr iptores al empréstito nacional. traordinarut desde las 5 hasta las 8 de la tarde , para oir los dictámenes D. Agustín Gómez de Zaragoza.. D. Joaquin Miguel de Zubiria. de las comisiones sobre varios expedientes, y darles el curso conve El ayuntamiento de Santander. ■ D. Josef María Vidarte, de Pam niente; asi se aprobó, y se levantó la sesión á las 12 del día. Aldana y Espalza , de Bilbao. pl…</t>
  </si>
  <si>
    <t>Zaragoza, Manuel</t>
  </si>
  <si>
    <t>Manuel Zaragoza</t>
  </si>
  <si>
    <t>…oncepto de. el cápitán ’segundo ayudante Antonio Melera. De id. id. el teniente que con esta fecha lo hago.-á todas las autaridadesmüitares. para:, que i» Jósef Pujals.‘=De id. el-teniente Manuel Zaragoza.=De id. -el- subteverifiquen en ia orden generaldel egército con arreglo;q ordenanza, co niente Juan Capinírrld. teniente Mt.nuei Perelió. ^ .'A ' * mo igualmente al gobernador de esta plaza;para el mismo electo. Ma zcDomingó Vives , oficial vista de ia aduan…</t>
  </si>
  <si>
    <t>Zarza, Luis Sánchez</t>
  </si>
  <si>
    <t>Luis Sánchez Zarza</t>
  </si>
  <si>
    <t>…emo Grande á D. Francisco Javier:de.la Coba; paro la de Coin á D. Car verse con tanta facilidadsiendo sus deliberaciones mas exactas y acer los Tomas Banetti, y para la de Ulora á D. Luis Sánchez Zarza. tadas que las de un solo, individuo ; por, consiguiente me parece de mu ...... Di'rccciim general de Hacienda pública. cha utilidad el que selleveá efecto lo que propone la comisión en este ,, Debiendo proveerse la plaza de contador de la aduana, del -Puer t…</t>
  </si>
  <si>
    <t>Zavala</t>
  </si>
  <si>
    <t>…la responsabilidad de los mismos , no era Sres, Zorraquin, Solana, y :Diaz del. Moral;, para la-,deL.Sr/Traver aL compatible este con la enunciada propuesta; que cuando Jas Cortes Sr. Zavala; y para la comisijpn.del Diario de.Cortes á Ips.Sres.'Gintldebían enterarse de las operaciones de los ministros, entonces precisa do, Moscoso , Marte!, Arrieta y Quintana- . V :. mente habían sido separados; por lo que creía que algunos enemigos En seguida se…</t>
  </si>
  <si>
    <t>…devuelto despa convento de franciscos, y los de igual instituto en Elgoibar y Aranzachados los autos.” zú; en Rentería el de capuchinos; en Tolosa y Sasiola los de francis Una del Sr. Zavala al 4°, que decia: » Fijándose en el bando el cos observantes; en Lazcanoel de carmelitas-descalzos ; en Zarauz el de preciso término en que se deberá obligar á todos los habitantes del franciscos recoletos, y en S. Sebastian el de franciscos observantes; y di…</t>
  </si>
  <si>
    <t>…dose la discusión del dictamen de las comisiones de Ha camino. cienda y Premios, relativo á los que deben señalarse á los caudillos dil Se leyó por primera vez una proposición del Sr. Zavala, relativa á egército de S. Fernando, se leyó el art. i.°, que decía: una aclaración del art. 3.0 del decreto de las Cortes de 29 de Mayo de » Se señala á cada uno de los mariscales de campo D. Antonio i8i2; sobre establecimiento de las diputaciones provincial…</t>
  </si>
  <si>
    <t>Zavala, Agustina</t>
  </si>
  <si>
    <t>Agustina Zavala</t>
  </si>
  <si>
    <t>…artículos 46 y 309 de la Constitución; por provincial de Alava, para la revalidación de la pensión consignada á lo que en su concepto habia lugar á la formación de causa contra el Doña Agustina Zavala. . . Gefe político de Murcia. , - ,v A la de infracciones de Constitución se pasó una instancia del apo . El Sr. Moreno Guerra consideró' este.asunto corrí® uno de. los mas derado del ayuntamiento de Bilbao , enque solicitaba se le diesen (pa graves que podia…</t>
  </si>
  <si>
    <t>Zavala, Fernando de</t>
  </si>
  <si>
    <t>Fernando de Zavala</t>
  </si>
  <si>
    <t>…a causa formada de oficio y seguida en el tribunal del Sr. juez la mayor sensación las resoluciones adoptadas por los Emperadores de de primera instancia interino de Bilbao contra D. Fernando de Zavala, Austria y de Rusia acerca de los disturbios acaecidos en aquellos dos vecino de la villa de Munguia, y otros por haber conspirado contra el principados. Apenas se supieron el 10 en Jassy, cuando los boyardos, sistema constitucional; con vista de ella, y de o…</t>
  </si>
  <si>
    <t>Zavala, Lorenzo</t>
  </si>
  <si>
    <t>Lorenzo Zavala</t>
  </si>
  <si>
    <t>…uplente por Cataluña ; D. Mariano Zorraquín , diputado NOTICIAS DEL REINO. suplente por Madrid;-D. Joaquín Manían y D. Pablo LaMadrid 20 de Febrero. llave, diputados por Veracruz; D. Lorenzo Zavala y Don , SS. MM. y AA. continúan sin novedad en su impor Juan López Constan te , diputados por Yucatán, y D. Juan tante salud. Bernardo O-Gavan , diputado por la Havana. S. M. ha despachado hoy con el Sr. secretario del Des Se procedió en seguida á la elección de lo…</t>
  </si>
  <si>
    <t>…SreS. diputados que debía haber libertad de por Guadalajara: D. Pablo de la Llave y D. Joaquín Maimprenta, pero previa la censura, porque si no, podía perju niau, por Veracrtiz : D. Lorenzo Zavala y D. Josef López dicar á la moral evangélica, poniendo por egemplo (as ter Constante, por Yucatán ; acordando que el de este último ribles consecuencias del fanatismo en los acontecimientos se presentase en papel del sello correspondiente. de! siglo xvr. Otros Sres. diputados…</t>
  </si>
  <si>
    <t>…sión no ha señalado la capital, fundada en observaciones sobre aranceles. una exposición del gefe político de aquellas islas, en la que temeroso Se dió cuenta de una exposición de D. Lorenzo Zavala, diputado de los resultados á causa de los partidos y rivalidades entre algunos ca por Yucatán, en la que exponía que cuando se preparaba para regresar narios, parece se inclina á que quede interinamente aquella provincia á Madrid, á fin de continuar en el de…</t>
  </si>
  <si>
    <t>Zavas, Josef</t>
  </si>
  <si>
    <t>Josef Zavas</t>
  </si>
  <si>
    <t>…gurosa neutralidad en •Se mandaron pasar á la comisión de Poderes los de los Sres. Don todo lo concerniente á los negocios de Turquía. No se sabe si esto in Juan Bernardo O-Gaban, D. Josef Zavas y D. Jcsef Benitez , diputa dica temor por parte del Austria , en caso de rompérsela guerra contra dos electos por la provincia de la Havana. Ja Turquía, ó si solamente se reduce á acallar el voto general de los Se mandó pasar á la comisión de División territorial una exposi al…</t>
  </si>
  <si>
    <t>Zayas, Josef</t>
  </si>
  <si>
    <t>Josef Zayas</t>
  </si>
  <si>
    <t>…ta electoral de dicha provincia, manifestando haber sa comisión, antes al contrarío declarar libre la entrada de máquinas ex lido electos para diputados los Sres. I&gt;. Juan Ugavan, D. Josef Zayas y trangeras para que pudiesen servir de modelo á los naci-sna'es j y lo T&gt;. Josef Benitez , y para suplente D. Antonio Modesto del Valle. grar con esto las mismas ventajas que han logrado otras naciones 3s‘ Las comisiones de Hacienda y Comercio, después de re…</t>
  </si>
  <si>
    <t>…ue el decreto de la* . La comisión de Poderes, después de haber examinado los délos Sres. Cortes ordinarias últimas deeia: no pueden ser elegidos diputados d Cor D. Juan O-Gavan , D. Josef Zayas y D. Josef Benitez, electos diputa tes por ia provincia en donde ejercen su jurisdicción lus arzobispos, obis dos á Coites por la isla de Cuba , y asimismo el acta de la junta elec pos , previsores &amp;c. , cuya palabra no pueden era un futuro, y decir no toral; y teniendo present…</t>
  </si>
  <si>
    <t>Zeid</t>
  </si>
  <si>
    <t>…ahora no se de su pascua, que lo fue el 7 del corriente, y que la noticia llegó á ha verificado la sublevación en favor de la independencia; y se dice Tetuan el 13 con oficios del príncipe Zeid; y las cabezas de los decapi que los habitantes de las montañas de Creta, de los cuales aun no se tados, las cuales se han colocado por mitad en las puertas de entrada y había oído hablar, han obligado á los turcos á encerrarse en los salida de Tetuan, con lo…</t>
  </si>
  <si>
    <t>Zejalvo, Ildefonso</t>
  </si>
  <si>
    <t>Ildefonso Zejalvo</t>
  </si>
  <si>
    <t>…rí Levante, la India , las dos Américas y el continente; y su valor me guez. Baeza D. Antonio Lafuente y Oquendo; D. Nicolás Vázquez. dio ha sido de 6.7009 francos. Alcalá la Real D. Ildefonso Zejalvo. Martas D. Mateo López. An» Las fábricas de Limoux y de Chalabre, cuyo* productos han sido áujar D. Josef Garzón. también muy considerables , no tienen menos actividad que las de Car- Provincia de Zamora. Zamora D. Josef García Fierro, canóniga casona; y no e…</t>
  </si>
  <si>
    <t>Zenowitsch</t>
  </si>
  <si>
    <t>…declaradas redimibles. Ya parece hay otro aspirante al imperio de Oriente. Muchos ha. Art. 18. ” Hi Estado ño podrá disponer de las propiedades párticn* brán conocido en Paris al coronel Zenowitsch, que implicado en el lares sino mediante una indemnización arreglada por las-leyes. asunto del Ifatn tricolore, fue condenadoá la deportación, cuya pena se Art. 19 . » Todo ciudadano, á menos que no lo esceptúeú .las le dignó conmutar la clemencia de Luis xvm…</t>
  </si>
  <si>
    <t>Zeune</t>
  </si>
  <si>
    <t>…es gefe de la numerosa familia de los choumourlidas, que posee muchos de aquellos bárbaros. distritos de la isla en calidad de feudos,. previno á los bajaes de Can Sin embargo, el profesor Zeune, director del instituto Real de los día que iba á atacar y á castigar á los rebeldes. Choumourli-Agá hizo ciegos, 'piensa y escribe de otro modo. que se levantaran en masa todos los habitantes de sus feudos, tanto El nu ;vo capitán Fabeck, que se dedicó por m…</t>
  </si>
  <si>
    <t>Zorra-, Antonio</t>
  </si>
  <si>
    <t>Antonio Zorra-</t>
  </si>
  <si>
    <t>…n. vo á la aprobación de la consignación de 2©5) rs., que la diputación Las Co'tes quedaron enteradas de un oficio dol Sr. secretario de Es provincial de Valencia habia hecho á su secretario D. Antonio Zorra- tado, en que participaba que ei cónsul- de S. M. en Burdeos avisaba quin. Se mandó pasar á la comisión de este ramo. que acababan de llegar á aquel puerto en un buque francés, procedente Las Cortes quedaron enteradas de haber prevenido el Sr. secretario de la…</t>
  </si>
  <si>
    <t>Zorraqttin</t>
  </si>
  <si>
    <t>…os abusos que puedan cometerse en ma , que tienen intereses encontrados. las mismas. En seguida, considerado el art. 2.0 por suficientemente discutido, Después de haber hablado el Sr. Zorraqttin , manifestando el objeto se pasó) á votar , y quedó aprobado. de la comisión al ex tendel su dictamen, se dió el p oyecto por sufi £1 Sr. Cañedo rectificó algunas ideas que habia manifestado en su cientemente discutido en su totalidad. discurso. Se leyó el ar…</t>
  </si>
  <si>
    <t>Zorraquin</t>
  </si>
  <si>
    <t>…í jueces de hecho .que disponed art. 43: de. la ley de libertad de .imprenta S. M. en esta materia. ' haber lugar i la formación de causa, y,tenido el juicio , observándose en El Sr. Zorraquin, después de haberse conformado en todo con. I» él todos los trámites prescrítps por, dicha lev,,- los ,i 2 jueces de hecho, Opinión de los demás Sres. diputados, hizo ver al Congreso la res- calificaron el impreso con Ja fórmula de absiultp ; y á su consecuen…</t>
  </si>
  <si>
    <t>…las órdenes hubiese hecho la menor indicación sobre el particu su impresión. lar, hubieran prestado el juramento. Habiendo pedido el Sr. Quíroga que Ja comisión encargada parz El Sr. Zorraquin extrañó que en ios periódicos la Miscelánea y examinar el discurso de S- M. presentase los trabajos que había hecho, Constitucional se hubiesen puesto equivocadas algunas noticias. . . . dijo el Sr. conde de Toreno que esta necesitaba ver la minuta del mis El…</t>
  </si>
  <si>
    <t>…do á D. Eusebio Bardají; para el de la Goberna Se leyeron por segunda vez las seis proposiciones presentadas por ción de la Península á D. Mateo Valdemoros; para el de la de Ul el Sr. Zorraquin en la sesión del dia 2 del corriente; á saber: que se tramar á D. Ramón Fellú ; para el. de Gracia y justicia á D. Vicente suspenda por ahora en Madrid el alistamiento general que previene eL Cano Manuel: para el de Hacienda á D- Antonio barata; para el de ar…</t>
  </si>
  <si>
    <t>…arancon^ residióte en la villa de Sta, Cruz de Múdela, proca dejos poderes legislativo y egecutivo. ......... También'se aprobó, el. dictamen, de la:misma .comisión , reducido, El Sr. Zorraquin hizo la indicación que sigue: „P¡do que se recuer á que hay lugar á la .formación’,de causa contra.el-.álsalje constitucio-- de á quien corresponda la primera parte.de ia orden de las.Cortes de y nal de. ía villa de Se gura.Cprovincia ,de León) -Di-francisco…</t>
  </si>
  <si>
    <t>…ibunal, bien á sobre esto mientras el Congreso no Je exima de ser juzgado por su tri una comisión que indique el medio de efectuarlo. bunal , y el delito no debe quedar impune. El Sr. Zorraquin dijo, que á los 69 ex-diputados que firmaron la El Sr. Calatrava pidió) que se levera el decreto de 26 de Octubre, representación de 1814 se les dió en que escoger, siendo un extremo de 1820, lo que se verificó); v en seguida dijo: No encuentro mas de la ley…</t>
  </si>
  <si>
    <t>…idas ¿ que la suspensión dil alistamiento forzoso para la mili Otra á la parte de arriba de las canales del molino de la Clavera, cia nacional local, pedido para esta corte por el Sr. Zorraquin , sea ex de 3 cuartas, de primera calidad, de riego,- en 500 rs. tensivo por ahora á los demas pueblos del Teino adonde haya milicia Otra á la parte de abajo del mismo molino, de 4 cuartas, de pri voluntaria, con otros particulares relativos á la misma milici…</t>
  </si>
  <si>
    <t>…'Rey, Príncipe de Asturias, regente ó regencia ¡asistan a Cortes,” s . , i ;¡, , .... ,. las Cortés,- en los de galas mayores, según se expresará en .este regla-, Ni esta otra del Sr. Zorraquin: «Pido que todas.las rcpresentacio-, mentó; y del mismo usarán para ir en diputaciónal palacio de S. M. nes que no deben venir á las Cortes, ó se-devueLvun,. á Ips interesados, 54. Para juzgar las causas criminales de los diputados se nombra ó se les dé el cu…</t>
  </si>
  <si>
    <t>Zorraqüin</t>
  </si>
  <si>
    <t>…a del Sr. ministró'de la Guerra pa cluyó diciendo era necesariann poco mas de explicación-en el artículo. ra que se libre al regimiento de caballería de Almansa :lo que se le ; El Sr. Zorraqüin dijo que la comisión encontró muy arreglado el había asignado para la hechura de vestuario; y otra del Suministró dé proyectó; pero que’si atendiendo á las dudas que se proponían, consi Hacienda, incluyendo un resumen del pago de cargas del Estado en deraban…</t>
  </si>
  <si>
    <t>…ón para que redactándolo nos sobre el poder absoluto eu la malhadada Ita'.rt, y la tranquilidad de de este modo se salvaran todas las dificultades. que hablaban era respectiva. El Sr. Zorraquin llamó la atención del Congreso acerca de la me Tiempo há que se nos habia hablado de rumores sobre descontento moria de la junta de infantería; y fue de opinión que el reemplazo se en las provincias turcas, y siempre se habia otdo esto con mucha md-ie» deberí…</t>
  </si>
  <si>
    <t>…res casas sitas en los señores secretarios del Despacho podían retirarse. esta corte; una, calle de Alcalá, núm. 2, manz. 267, que tiene de Se dió cuenta de haber sido nombrado el Sr. Zorraquin en lugar sitio 6962 i pies superficiales, tasada en 298,618 rs.: otra en la de del Sr. Ramonet para la comisión que se ha de reunir á la de la Fuer Cedaceros, núm. 8 , manz. 267, tiene de sitio 3933 pies y un octavo za militar, para hacer extensible la ley co…</t>
  </si>
  <si>
    <t>…obla sujetándose después á las reglas establecidas en la materia.” Aprobado. ciones , incorporada con los matrimonios que por capitulación deben Se aprobó la siguiente adición del Sr. Zorraquin al artículo 2 0 del fundarlas, si se casare dentro de ios seis primeros años de establecida ia dictamen de la comisión de Instrucción pública: « Exceptúense de estas respectiva población , obtendrá en propiedad luego que verifique su ma disposiciones los cate…</t>
  </si>
  <si>
    <t>…sión, de lo que AI contrario sucede con la fiebre amarilla (sobre la cual’Vscribieron pasó á hacer indicación. jy.uy buenas cosas los doctores Lind y Rhusk); pues su localidad, El Sr. Zorraquin , individuo de ia comisión , contestó al Sr. preopi propia de los Estados-Unidos, donde lleva de hecho los naturales sin nante , diciendo que la comisión solamente habia variado en lo tobante tocar á los forasteros (contrario al vómito , que sin tocar a los p…</t>
  </si>
  <si>
    <t>…cias , en que indicaba el Sr. preopinante debía dividirse la.Penín debe proponer lo que sea mas conveniente: sula, no podía aprobarse por las mismas razones, porque no se habia El Sr. Zorraquin apoyó el dictamen de la comisión , manifestando aprobado el de 32. Para probar (continuó) que el mismo Sr. Solanot que esta no había procedido solamente á la división de algunas provin está convencido de que es necesario que se haga la división en mayor cias,…</t>
  </si>
  <si>
    <t>…Clemente, diputado por Valencia, haciendo presente que se. hallaba que en mi concepto es muy suficiente. ' enfermo en aquella provincia:, por lo que pedia licencia á las Cortes El Sr. Zorraquin contestó á los reparos puestos por el "Sr. preopi para continuar en ella hasta su restablecimiento; y asi se acordó. nante, diciendo que todo el número de empleados que su señoría creía Quedaron enteradas las Cortes de lo que manifestaba el Sr. dipu necesario…</t>
  </si>
  <si>
    <t>Zórraquin</t>
  </si>
  <si>
    <t>…us órdenes, los sueldos de 8 ó io§&gt; hombres de milicias para que el Gobierno pue de manera que no queden frustradas estas disposiciones. da atender1 á los objetos que expresa.” El Sr. Zórraquin pidió se leyesen varios artículos del decreto de 14 El Sr. Zapata manifestó que podría decirse inmediatamente en lugar de Mayo de 18 ¡1. de á la mayor brevedad-, porqué no era de creer qué en circunstancias El Sr. ministro de la Guerra dijo que por el poco ti…</t>
  </si>
  <si>
    <t>…Cruz á la la noticia mas triste que pudiera darse á aquellos isleños £ nuestros co ciudad de las Paitaras. mitentes) es la de haberse aprobado el dictamen de la comisión. Si se El Sr. Zorraquin leyó algunos documentos que había tenido presen consultase pueblo por pueblo, todos estarían por la negativa ; en fin si tes Ja comisión al exponer su dictamen. se aprobase el dictamen sufrirían los canarios los inconvenientes de El Sr. Cabezas expuso varias…</t>
  </si>
  <si>
    <t>…erencia con los oficiales que se retiren por su interes jese cuáles eran los que podían ascender á gefes. particular, y los que se retiren por achaques , caso que las Cortes se El Sr. Zorraquin dijo que en el concepto de que los oficiales deque sirvan aprobarlo. hablaba el artículo, eran efectivos si habia plaza efectiva , y si no la ha El Sr. Sancho expuso: El artículo solo habla de los oficíales que bia , agregados, no encontraba ninguna ventaja e…</t>
  </si>
  <si>
    <t>Zorraquín</t>
  </si>
  <si>
    <t>…ientes de der) de que haya necesidad, ó sea conveniente mudar el comandante de rey- ó sargentos mayores.” un distrito, y no el gobernador de, aquella plaza. Ademas el comandáos El Sr. Zorraquín se opuso á éste artículo, y manifestó que no debe te de una provincia tiene que salir muy á menudo de ia plaza, y en es ría decirse sino que se rebajase ia dotación del gobern *dur respectiva te caso tiene que abandonarla como gobernador-, cosa seguramente mu…</t>
  </si>
  <si>
    <t>…ce que Mr. Car.ning ha titubeado elegido el Sr. Tapia por 61 votos del total 112; habiendo tenido 40 bastante tiempo antes de rehusar el gobierno de la India, y que duran votos el Sr. Zorraquin y n el Sr. San Miguel. te este estado de incertidumbre, el Rey, que de ningún modo esperaba Después de haber ocupado sus asientos los Sres. presidente y secre esto, escribió una carta autógrafa al marques de Hastings, diciendo- tario se aprobaron los tres dic…</t>
  </si>
  <si>
    <t>Zorraquin, Josef da</t>
  </si>
  <si>
    <t>Josef da Zorraquin</t>
  </si>
  <si>
    <t>…presi para dos plazas de magistrados vacantes en el tribunal supremo de dente de la junta el primero de sus individuos en el orden de nombra Justicia á D. Miguel López Andrea y á D. Josef da Zorraquin. miento , según lo previene la misma ley. Art. 3.0 El presidente resu Asimismo ha tenido á bien nombrar S. M. para dos plazas de ma mirá y propondrá las cuestiones para su discusión y votación. Firmará gistratura, vacantes en la audiencia territorial de Casti…</t>
  </si>
  <si>
    <t>Zorraquín, Mariano</t>
  </si>
  <si>
    <t>Mariano Zorraquín</t>
  </si>
  <si>
    <t>…por la putado suplente por Guadalajara; D. josef Cabeza y Mora, eficaz cooperación de V. A. R.” diputado suplente por Canarias ; D. AgustinTorres, diputado suplente por Cataluña ; D. Mariano Zorraquín , diputado NOTICIAS DEL REINO. suplente por Madrid;-D. Joaquín Manían y D. Pablo LaMadrid 20 de Febrero. llave, diputados por Veracruz; D. Lorenzo Zavala y Don , SS. MM. y AA. continúan sin novedad en su impor Juan López Constan te , diputados por Yucatán, y…</t>
  </si>
  <si>
    <t>Zorraquir</t>
  </si>
  <si>
    <t>…Se leyó el dictamen de las comisiones de Hacienda y Comercio, habían aprobado , era en calidad de interino. sobre ia exposición del apoderado de la viuda de Barcena, vecina de El Sr. Zorraquir. dijo que el origen de esta discusión era la solici esta Corte, manifestando hallarse detenida en la aduana de Alicante tud que volvía á hacer Pontevedra para que se la nombras; espita, de una partida de clavillos de carpintero procedentes de León de Francia.…</t>
  </si>
  <si>
    <t>Zorraqutn</t>
  </si>
  <si>
    <t>…Diaz de establecer la diferencia entre los jueces de hecho y de derecho, con Canseeo. arreglo al artículo 3°7 de la Constitución. Se leyeron por primera vez seis proposiciones del Sr. Zorraqutn; En el diario de 14 de este mes se dió el aviso siguiente: « Confor en las que atendidos los inconvenientes que acaso produciría- en Ma me á lo resuelto en decretos de las Cortes, se ha hecho el arreglo de drid el alistamiento general para la milicia nacional…</t>
  </si>
  <si>
    <t>Zoursa</t>
  </si>
  <si>
    <t>…stamos buenos. Sábete que ayer sábado entramos con cer ver la razón de las Cortes en este particular, se diese al público un el auxilio divino en el castillo unos 40 suliotas y el capitán Zoursa manifiesto general del estado de la Nación. D/cirsa; habia dentro 30 turcos con Murtobey; tenemos ya las llaves El Sr. Sánchez Salvador dijo , que deseaba saber si en este artículo de las puertas y establecida la guardia. Ahora, si Dios nos asiste , pue estab…</t>
  </si>
  <si>
    <t>Zu</t>
  </si>
  <si>
    <t>…cer que no se hiciese novedad en lo que las Cortes ó la casualidad , espera se consigan muchas ventajas en el mando de una habían .determinado con respecto á la propuesta del Sr.: diputado Zu provincia. Por otra parte, considerando estas reclamaciones que haa bia, y en su consecuencia que se archivase este -expedienté. -Y-se apro^- hecho algunos comandantes generales , y á que las clases de que se com bó el dictamen de la comisión. ponen disfrutan…</t>
  </si>
  <si>
    <t>Zuasnavar, Josef María</t>
  </si>
  <si>
    <t>Josef María Zuasnavar</t>
  </si>
  <si>
    <t>…ad 3 de mecánica analítica y celeste. . • qué puede 'reportar la contribución de patentes ;- para lo cual remitió ún 1 de óptica. .“■ &gt; plaíríádniinistrativo , y una exposición de D. Josef María Zuasnavar, a de astronomía. magistrado de1 la audiencia de Navarra, á la que acompañaba ejem 7 de zoología. - ' &gt; plares'deúna memoria impresa á fin de evitar-el contrabando. Las t de anatomía comparada. Cortes‘lo-recibieron con agrado. ........... : 1 de fisiología co…</t>
  </si>
  <si>
    <t>Zubia</t>
  </si>
  <si>
    <t>…estando que en 1767 se conce- ferido decreto; por cuyo motivo, apoyando en un todo el voto particu • dió á su marido una pensión de 1 20 rs. ademas del sueldo que obtenía, lar del Sr. Zubia, conoluyó diciendo que no debía aprobarse el dicta y le podía corresponder en lo sucesivo; y por varias razones que expo- men de la comisión. . nía, pedia se hiciese extensiva igual gracia á su hijo D. Andrés. El Sr. Moscoso dijo que su opinión era muy contra…</t>
  </si>
  <si>
    <t>…habia dado; á lo que contestó contrario á la resolución de. las Cortés sobre la aprobación del dicta el Sr. Yandibla que se habian pasado á la comisión, y que esta las ha men del Sr. Zubia. bia tenido presentes. _ Se continuó la lectura del código penal. El Sr. Gaseo dijo: mi Opinión ha sido que se suspendiese esta dis Se leyó la minuta de decreto sobre los juicios de conciliación; y cusión, á lo menos por ocho dias, para que los señores diputa…</t>
  </si>
  <si>
    <t>…riqueza y población de la Península. créditos con Interes. El Sr. conde de Toreno dijo: La comisión ha creído haber llena El Sr. presidente manifestó que había una indicación -del Sr. Zubia, do los deseos del Sr. preopinante en el art. 22, con respecto, á los que podía evitar la discusión si se aprobaba. Con este motivo se leyó, cotos redondos de los monasterios que cultivaban colonos de estos, y decia ási: Para evitar los entorpecimientos que p…</t>
  </si>
  <si>
    <t>…territorio.: provincias Vascongadas se hallan en un estado inverso del de los demas Provincia de Guipúzcoa. habitantes de la PenísulU y de los demas pueblos de esta Nación. Ss El Sr. Zubia leyó un discurso , en al que expuso que la convenkncia’ han ponderado los beneficios y bienes á que han renunciado por for-' pública y la justicia exigUnque las-tres provincias Vascongadas se re-i mar parte de esta gran1 familia , y se han querido hacer algun…</t>
  </si>
  <si>
    <t>Zubiria, Joaquin Miguel de</t>
  </si>
  <si>
    <t>Joaquin Miguel de Zubiria</t>
  </si>
  <si>
    <t>…asesionex- Continúa la lista de los suscr iptores al empréstito nacional. traordinarut desde las 5 hasta las 8 de la tarde , para oir los dictámenes D. Agustín Gómez de Zaragoza.. D. Joaquin Miguel de Zubiria. de las comisiones sobre varios expedientes, y darles el curso conve El ayuntamiento de Santander. ■ D. Josef María Vidarte, de Pam niente; asi se aprobó, y se levantó la sesión á las 12 del día. Aldana y Espalza , de Bilbao. plona. D. Alejandro Baile , de Li…</t>
  </si>
  <si>
    <t>Zuc-</t>
  </si>
  <si>
    <t>…desembocadura del Garellano, y-esto el 22 por t 33 Si un periodista ingles se.atreve á-atacar á la Cámara,bien sea co la tarde; i pesar de la suspensión dé armas, se le.envió' al capitán Zuc- lectivamente ó bien en alguno de sus individuos , al día siguiente , al ; cari para intimarle que si con arreglo á aquella orden no evacuaba la dar principio la sesión,, un vocal denuncia el artículo, no diré crimi ; fortaleza, se'le trataría como rebelde. ;…</t>
  </si>
  <si>
    <t>Zueco, Luis</t>
  </si>
  <si>
    <t>Luis Zueco</t>
  </si>
  <si>
    <t>…uniforme que deba'usar, em ónela. zzD. Ramón Marco.z=D. Manuel Sierra. =D. Serapio Marin.zzr pleándose en él solo géneyos nacionales.” Aprobado. D. Eugenio Lopez.zzD. Josef Percz.=D. Luis Zueco. = D.. Vicente El Sr. Rovira manifestó que la comisión, después de haber oido al Pastor. zzD. Valentín Jope. ~ D■ Ignacio Flesas. zz D. Ramón Cana- gunas observaciones hechas por diferentes oficiales del cuerpo de mari les. = D. Joaquín Pérez. zzD. loo Oliyer…</t>
  </si>
  <si>
    <t>ZuFuga, Luis Ortiz de</t>
  </si>
  <si>
    <t>Luis Ortiz de ZuFuga</t>
  </si>
  <si>
    <t>…ras de este género, que la Rusia tiene en los reos pasase á su juez. ,. gran número; pero que no se ocupan exclusivamente en las cienciasJuan de Soto, remitido por el juez tercero D. Luis Ortiz de ZuFuga y literatura: tampoco se trata de las universidades, de las academias, en jo de Octubre de 1820 por la herida grave causada á Manuel Do de los liceos , gimnasios, escuelas é instituciones para los sordo-mudos, mínguez &gt; de que falleció. Hstado de esta causa.…</t>
  </si>
  <si>
    <t>Zulpaga, Ignacio de</t>
  </si>
  <si>
    <t>Ignacio de Zulpaga</t>
  </si>
  <si>
    <t>…alado que voy, taros con seis sellos de fierro 40 rs., entendiéndose en Pamplona para lío tile dejaría nada que desear , atnigo Ali, si no apalearais tanto á esos ■los pedidos con D. Ignacio de Zulpaga__ Se advierte que tanto en la infelices moldavos, ó si ya que los castigáis no lo hicieseis sino en el fabricación del aguardiente hecho con las nuevas máquinas de vapor, caso de que no os quisiesen obedecer. invención de la misma sociedad de Azcorbe y compañ…</t>
  </si>
  <si>
    <t>Zumstein</t>
  </si>
  <si>
    <t>…dó que se prefijase el núme tenecientes á. los tres reinos, que había cogido en las cumbres ro de ellos según el dictamen de la■comisión, .5.'saber: un mas altas del Monterosa, el Sr. Zumstein , en su -último ministro de Estado, un ministro de la Guerra, un.ministro viage á la cima de esta alta montaña, émula del Monte- de Gracia, Justicia y Culto, un, ministro de Hacienda y un ministro de Marina, de Comercio y Gobernación. blanco. Por ultimo, volv…</t>
  </si>
  <si>
    <t>Zúñiga</t>
  </si>
  <si>
    <t>…a de solvió al P. M. Fr. Francisco García Esquivel, responsable de dicho lá Serena los conventos de franciscos observantes; en Badajoz el de impreso; y en su consecuencia mandó el Sr. Zúñiga, juez de primera franciscos descalzos, agregándole los 12 religiosos del de Llerena y del instancia de Sevilla , quedase libre ia venta de los egemplares detenidos, de Sta. Margarita de Jerez de los Caballeros del mismo instituto, que se sin que este procedim…</t>
  </si>
  <si>
    <t>Zúñiga, Luis Ortiz de</t>
  </si>
  <si>
    <t>Luis Ortiz de Zúñiga</t>
  </si>
  <si>
    <t>…etarios dos los trámites prescritos en la ley de la libertad de imprenta,, en del Despacho son responsables de su conducta durante su cargo , de providencia dp 13 del corriente el Sr. D. Luis Ortiz de Zúñiga, juea donde dedujo como consecuencia natural que aun cuando hubiesen de de primera instancia , dijo que habiendo calificado los 12 jueces de he jado de seilo , debian responder á las Cortes de todo el tiempo que ha cho con la fórmula de absuelto el impreso nú…</t>
  </si>
  <si>
    <t>…llos mismos. ¡Qué es lo que estos mise aplicado á dicho escrito la fórmula de absuelto, en cuya vista el señor rables han prometido al pueblo: ¡Y qué es lo que le han dado? Le han D. Luis Ortiz de Zúñiga , juez de primera instancia de la ciudad de prometido la libertad, y toda la España gime bajo el cetro de hierro de Sevilla, en providencia de 6 de Marzo de este año ha declarado que la cien tiranos.... Tales son los resultados benéficos da las numerosas pro…</t>
  </si>
  <si>
    <t>…ción públi tución Estado de esta causa. Probado estar demente, y puesta sentencia ca, ,el Gobierno procura también en algún modo propagar los conoci definitiva por el juez tercero D. Luis Ortiz de Zúñiga, que-la continua mientos útiles por medio de periódicos; y algunos de ellos se publi ba. Providencia de visita: siga. . . ' D. Marcos Yalcarcel, remitido por el juez tercero D. Luis Ortiz can bajo su inspección. de ZúÚica en 10 de Agosto de 1820, habiéndose p…</t>
  </si>
  <si>
    <t>…olación desentendemos de la justicia y zo Zamora, responsable de ellos , y en su consecuencia mandó el Se de la gratitud, y manifestarla, ya que no podemos de otra manera , ex ñor D. Luis Ortiz de Zúñiga , juer de primera instancia de Sevilla, se poniendo á V. E.'para que se sirva, hacerlo á S. M. las personas a alzase la fianza y la suspensión de la venta de los egemplares detenidos, quienes debemos nuestra existencia y los restos de nuestros bienes que sin…</t>
  </si>
  <si>
    <t>Zúñiga, LuisOrtiz de</t>
  </si>
  <si>
    <t>LuisOrtiz de Zúñiga</t>
  </si>
  <si>
    <t>…cada una de genal á D. Martin Al varezSotomayor: p3ra la deMarchena i D. Manuel farol y sereno , á.pagar en créditos contra el Estado, y con sujeción al Moraño: para la de Moran í D. LuisOrtiz de Zúñiga: para la de Osuna reglamento aprobado por las Cortes en 3 de Setiembre último; los que á D. Joaquín Antonio Hernández: para la de Sanlúcar la Mayor á han sido aprobados por el señor intendente de esta provincia, y lia se D. Josef Domingo Casaux: para la de Tr…</t>
  </si>
  <si>
    <t>Zurbano, Leonardo Gómez</t>
  </si>
  <si>
    <t>Leonardo Gómez Zurbano</t>
  </si>
  <si>
    <t>…aturaleza muy diversa. Sto. Domingo, provincia de Toledo, quejándose de infracción de • Los títulos*Leúdales en que se daban los señoríos eran en un per Constitución, hecha por el alcalde D. Leonardo Gómez Zurbano,que gamino, y no-se.iirmtaban a terrenos baldíos, ni á terrenos incultos, puso preso á un vecino de aquella villa, á motivo de no haber que sino que se extend.an á terrenos cultivados, .4 propiedades conocidas, rido pagar los-excesivos derechos que se le habi…</t>
  </si>
  <si>
    <t>Zúui-, JLuisürliz de</t>
  </si>
  <si>
    <t>JLuisürliz de Zúui-</t>
  </si>
  <si>
    <t>…un diario Manuel Pulido, María Gertrudis Jiménez, su muger, y María del intitulado el ALensagero de Petersburgo; pero los negocios políticos Cirmen Campos , remitidos por el mismo juez D. JLuisürliz de Zúui- de aquellos tiempos no permitieron continuase. Desde entonces ca ga en iíi de Febrero de i8ití á instancia de Francisco Leriel sobre la si nada se ha sabido de sus tareas; pero se presume que tomará un nue ocultación de un baui de alhajas, de valor de ó¿) dur…</t>
  </si>
  <si>
    <t>Fuentes oficiales y criterio de elaboración · 1821</t>
  </si>
  <si>
    <t>373 archivos · 1679 páginas · enlaces al facsímil oficial</t>
  </si>
  <si>
    <t>Archivo</t>
  </si>
  <si>
    <t>Páginas PDF</t>
  </si>
  <si>
    <t>Registros del índice</t>
  </si>
  <si>
    <t>Facsímil completo</t>
  </si>
  <si>
    <t>GGB-1821-1.pdf</t>
  </si>
  <si>
    <t>GGB-1821-2.pdf</t>
  </si>
  <si>
    <t>GGB-1821-3.pdf</t>
  </si>
  <si>
    <t>GGB-1821-4.pdf</t>
  </si>
  <si>
    <t>GGB-1821-5.pdf</t>
  </si>
  <si>
    <t>GGB-1821-6.pdf</t>
  </si>
  <si>
    <t>GGB-1821-7.pdf</t>
  </si>
  <si>
    <t>GGB-1821-8.pdf</t>
  </si>
  <si>
    <t>GGB-1821-9.pdf</t>
  </si>
  <si>
    <t>GGB-1821-10.pdf</t>
  </si>
  <si>
    <t>GGB-1821-11.pdf</t>
  </si>
  <si>
    <t>GGB-1821-12.pdf</t>
  </si>
  <si>
    <t>GGB-1821-13.pdf</t>
  </si>
  <si>
    <t>GGB-1821-14.pdf</t>
  </si>
  <si>
    <t>GGB-1821-15.pdf</t>
  </si>
  <si>
    <t>GGB-1821-16.pdf</t>
  </si>
  <si>
    <t>GGB-1821-17.pdf</t>
  </si>
  <si>
    <t>GGB-1821-18.pdf</t>
  </si>
  <si>
    <t>GGB-1821-19.pdf</t>
  </si>
  <si>
    <t>GGB-1821-20.pdf</t>
  </si>
  <si>
    <t>GGB-1821-21.pdf</t>
  </si>
  <si>
    <t>GGB-1821-22.pdf</t>
  </si>
  <si>
    <t>GGB-1821-23.pdf</t>
  </si>
  <si>
    <t>GGB-1821-24.pdf</t>
  </si>
  <si>
    <t>GGB-1821-25.pdf</t>
  </si>
  <si>
    <t>GGB-1821-26.pdf</t>
  </si>
  <si>
    <t>GGB-1821-27.pdf</t>
  </si>
  <si>
    <t>GGB-1821-28.pdf</t>
  </si>
  <si>
    <t>GGB-1821-29.pdf</t>
  </si>
  <si>
    <t>GGB-1821-30.pdf</t>
  </si>
  <si>
    <t>GGB-1821-31.pdf</t>
  </si>
  <si>
    <t>GGB-1821-32.pdf</t>
  </si>
  <si>
    <t>GGB-1821-33.pdf</t>
  </si>
  <si>
    <t>GGB-1821-34.pdf</t>
  </si>
  <si>
    <t>GGB-1821-35.pdf</t>
  </si>
  <si>
    <t>GGB-1821-36.pdf</t>
  </si>
  <si>
    <t>GGB-1821-37.pdf</t>
  </si>
  <si>
    <t>GGB-1821-38.pdf</t>
  </si>
  <si>
    <t>GGB-1821-39.pdf</t>
  </si>
  <si>
    <t>GGB-1821-40.pdf</t>
  </si>
  <si>
    <t>GGB-1821-41.pdf</t>
  </si>
  <si>
    <t>GGB-1821-42.pdf</t>
  </si>
  <si>
    <t>GGB-1821-43.pdf</t>
  </si>
  <si>
    <t>GGB-1821-44.pdf</t>
  </si>
  <si>
    <t>GGB-1821-45.pdf</t>
  </si>
  <si>
    <t>GGB-1821-46.pdf</t>
  </si>
  <si>
    <t>GGB-1821-47.pdf</t>
  </si>
  <si>
    <t>GGB-1821-48.pdf</t>
  </si>
  <si>
    <t>GGB-1821-49.pdf</t>
  </si>
  <si>
    <t>GGB-1821-50.pdf</t>
  </si>
  <si>
    <t>GGB-1821-51.pdf</t>
  </si>
  <si>
    <t>GGB-1821-52.pdf</t>
  </si>
  <si>
    <t>GGB-1821-53.pdf</t>
  </si>
  <si>
    <t>GGB-1821-54.pdf</t>
  </si>
  <si>
    <t>GGB-1821-55.pdf</t>
  </si>
  <si>
    <t>GGB-1821-56.pdf</t>
  </si>
  <si>
    <t>GGB-1821-57.pdf</t>
  </si>
  <si>
    <t>GGB-1821-58.pdf</t>
  </si>
  <si>
    <t>GGB-1821-59.pdf</t>
  </si>
  <si>
    <t>GGB-1821-60.pdf</t>
  </si>
  <si>
    <t>GGB-1821-61.pdf</t>
  </si>
  <si>
    <t>GGB-1821-62.pdf</t>
  </si>
  <si>
    <t>GGB-1821-63.pdf</t>
  </si>
  <si>
    <t>GGB-1821-64.pdf</t>
  </si>
  <si>
    <t>GGB-1821-65.pdf</t>
  </si>
  <si>
    <t>GGB-1821-66.pdf</t>
  </si>
  <si>
    <t>GGB-1821-67.pdf</t>
  </si>
  <si>
    <t>GGB-1821-68.pdf</t>
  </si>
  <si>
    <t>GGB-1821-69.pdf</t>
  </si>
  <si>
    <t>GGB-1821-70.pdf</t>
  </si>
  <si>
    <t>GMD-1821-71.pdf</t>
  </si>
  <si>
    <t>GMD-1821-72.pdf</t>
  </si>
  <si>
    <t>GMD-1821-73.pdf</t>
  </si>
  <si>
    <t>GMD-1821-74.pdf</t>
  </si>
  <si>
    <t>GMD-1821-75.pdf</t>
  </si>
  <si>
    <t>GMD-1821-76.pdf</t>
  </si>
  <si>
    <t>GMD-1821-77.pdf</t>
  </si>
  <si>
    <t>GMD-1821-78.pdf</t>
  </si>
  <si>
    <t>GMD-1821-79.pdf</t>
  </si>
  <si>
    <t>GMD-1821-80.pdf</t>
  </si>
  <si>
    <t>GMD-1821-81.pdf</t>
  </si>
  <si>
    <t>Gaceta de Madrid n.º 82 (extraordinaria)</t>
  </si>
  <si>
    <t>GMD-1821-82E.pdf</t>
  </si>
  <si>
    <t>GMD-1821-83.pdf</t>
  </si>
  <si>
    <t>GMD-1821-84.pdf</t>
  </si>
  <si>
    <t>GMD-1821-85.pdf</t>
  </si>
  <si>
    <t>GMD-1821-86.pdf</t>
  </si>
  <si>
    <t>GMD-1821-87.pdf</t>
  </si>
  <si>
    <t>GMD-1821-88.pdf</t>
  </si>
  <si>
    <t>GMD-1821-89E.pdf</t>
  </si>
  <si>
    <t>GMD-1821-90.pdf</t>
  </si>
  <si>
    <t>GMD-1821-91.pdf</t>
  </si>
  <si>
    <t>GMD-1821-92.pdf</t>
  </si>
  <si>
    <t>GMD-1821-93.pdf</t>
  </si>
  <si>
    <t>GMD-1821-94.pdf</t>
  </si>
  <si>
    <t>GMD-1821-95.pdf</t>
  </si>
  <si>
    <t>GMD-1821-96.pdf</t>
  </si>
  <si>
    <t>GMD-1821-97.pdf</t>
  </si>
  <si>
    <t>GMD-1821-98.pdf</t>
  </si>
  <si>
    <t>GMD-1821-99.pdf</t>
  </si>
  <si>
    <t>GMD-1821-100.pdf</t>
  </si>
  <si>
    <t>GMD-1821-101.pdf</t>
  </si>
  <si>
    <t>GMD-1821-102.pdf</t>
  </si>
  <si>
    <t>GMD-1821-103.pdf</t>
  </si>
  <si>
    <t>GMD-1821-104.pdf</t>
  </si>
  <si>
    <t>GMD-1821-105.pdf</t>
  </si>
  <si>
    <t>GMD-1821-106.pdf</t>
  </si>
  <si>
    <t>GMD-1821-107.pdf</t>
  </si>
  <si>
    <t>GMD-1821-108.pdf</t>
  </si>
  <si>
    <t>GMD-1821-109.pdf</t>
  </si>
  <si>
    <t>GMD-1821-110.pdf</t>
  </si>
  <si>
    <t>GMD-1821-111.pdf</t>
  </si>
  <si>
    <t>GMD-1821-112.pdf</t>
  </si>
  <si>
    <t>GMD-1821-113.pdf</t>
  </si>
  <si>
    <t>GMD-1821-114.pdf</t>
  </si>
  <si>
    <t>GMD-1821-115.pdf</t>
  </si>
  <si>
    <t>GMD-1821-116.pdf</t>
  </si>
  <si>
    <t>GMD-1821-117.pdf</t>
  </si>
  <si>
    <t>GMD-1821-118.pdf</t>
  </si>
  <si>
    <t>GMD-1821-119.pdf</t>
  </si>
  <si>
    <t>GMD-1821-120.pdf</t>
  </si>
  <si>
    <t>GMD-1821-121.pdf</t>
  </si>
  <si>
    <t>GMD-1821-122.pdf</t>
  </si>
  <si>
    <t>GMD-1821-123.pdf</t>
  </si>
  <si>
    <t>GMD-1821-124.pdf</t>
  </si>
  <si>
    <t>GMD-1821-125.pdf</t>
  </si>
  <si>
    <t>GMD-1821-126.pdf</t>
  </si>
  <si>
    <t>GMD-1821-127.pdf</t>
  </si>
  <si>
    <t>GMD-1821-128.pdf</t>
  </si>
  <si>
    <t>GMD-1821-129.pdf</t>
  </si>
  <si>
    <t>GMD-1821-130.pdf</t>
  </si>
  <si>
    <t>GMD-1821-131.pdf</t>
  </si>
  <si>
    <t>GMD-1821-132.pdf</t>
  </si>
  <si>
    <t>GMD-1821-133.pdf</t>
  </si>
  <si>
    <t>GMD-1821-134.pdf</t>
  </si>
  <si>
    <t>GMD-1821-135.pdf</t>
  </si>
  <si>
    <t>GMD-1821-136.pdf</t>
  </si>
  <si>
    <t>GMD-1821-137.pdf</t>
  </si>
  <si>
    <t>GMD-1821-138.pdf</t>
  </si>
  <si>
    <t>GMD-1821-139.pdf</t>
  </si>
  <si>
    <t>GMD-1821-140.pdf</t>
  </si>
  <si>
    <t>GMD-1821-141.pdf</t>
  </si>
  <si>
    <t>GMD-1821-142.pdf</t>
  </si>
  <si>
    <t>GMD-1821-143.pdf</t>
  </si>
  <si>
    <t>GMD-1821-144.pdf</t>
  </si>
  <si>
    <t>GMD-1821-145.pdf</t>
  </si>
  <si>
    <t>GMD-1821-146.pdf</t>
  </si>
  <si>
    <t>GMD-1821-147.pdf</t>
  </si>
  <si>
    <t>GMD-1821-148.pdf</t>
  </si>
  <si>
    <t>GMD-1821-149.pdf</t>
  </si>
  <si>
    <t>GMD-1821-150.pdf</t>
  </si>
  <si>
    <t>GMD-1821-151.pdf</t>
  </si>
  <si>
    <t>GMD-1821-152.pdf</t>
  </si>
  <si>
    <t>GMD-1821-153.pdf</t>
  </si>
  <si>
    <t>GMD-1821-154.pdf</t>
  </si>
  <si>
    <t>GMD-1821-155.pdf</t>
  </si>
  <si>
    <t>GMD-1821-156.pdf</t>
  </si>
  <si>
    <t>GMD-1821-157.pdf</t>
  </si>
  <si>
    <t>GMD-1821-158.pdf</t>
  </si>
  <si>
    <t>GMD-1821-159.pdf</t>
  </si>
  <si>
    <t>GMD-1821-160.pdf</t>
  </si>
  <si>
    <t>GMD-1821-161.pdf</t>
  </si>
  <si>
    <t>GMD-1821-162.pdf</t>
  </si>
  <si>
    <t>GMD-1821-163.pdf</t>
  </si>
  <si>
    <t>GMD-1821-164.pdf</t>
  </si>
  <si>
    <t>GMD-1821-165.pdf</t>
  </si>
  <si>
    <t>GMD-1821-166.pdf</t>
  </si>
  <si>
    <t>GMD-1821-167.pdf</t>
  </si>
  <si>
    <t>GMD-1821-168.pdf</t>
  </si>
  <si>
    <t>GMD-1821-169.pdf</t>
  </si>
  <si>
    <t>GMD-1821-170.pdf</t>
  </si>
  <si>
    <t>GMD-1821-171.pdf</t>
  </si>
  <si>
    <t>GMD-1821-172.pdf</t>
  </si>
  <si>
    <t>GMD-1821-173.pdf</t>
  </si>
  <si>
    <t>GMD-1821-174.pdf</t>
  </si>
  <si>
    <t>GMD-1821-175.pdf</t>
  </si>
  <si>
    <t>GMD-1821-176.pdf</t>
  </si>
  <si>
    <t>GMD-1821-177.pdf</t>
  </si>
  <si>
    <t>GMD-1821-178.pdf</t>
  </si>
  <si>
    <t>GMD-1821-179.pdf</t>
  </si>
  <si>
    <t>GMD-1821-180.pdf</t>
  </si>
  <si>
    <t>GMD-1821-181.pdf</t>
  </si>
  <si>
    <t>GMD-1821-182.pdf</t>
  </si>
  <si>
    <t>GMD-1821-183.pdf</t>
  </si>
  <si>
    <t>Gaceta de Madrid n.º 184 (extraordinaria)</t>
  </si>
  <si>
    <t>GMD-1821-184E.pdf</t>
  </si>
  <si>
    <t>GMD-1821-185.pdf</t>
  </si>
  <si>
    <t>GMD-1821-186.pdf</t>
  </si>
  <si>
    <t>GMD-1821-187.pdf</t>
  </si>
  <si>
    <t>GMD-1821-188.pdf</t>
  </si>
  <si>
    <t>GMD-1821-189.pdf</t>
  </si>
  <si>
    <t>GMD-1821-190.pdf</t>
  </si>
  <si>
    <t>GMD-1821-191.pdf</t>
  </si>
  <si>
    <t>Gaceta de Madrid n.º 192 (extraordinaria)</t>
  </si>
  <si>
    <t>GMD-1821-192E.pdf</t>
  </si>
  <si>
    <t>GMD-1821-193.pdf</t>
  </si>
  <si>
    <t>GMD-1821-194.pdf</t>
  </si>
  <si>
    <t>GMD-1821-195.pdf</t>
  </si>
  <si>
    <t>GMD-1821-196.pdf</t>
  </si>
  <si>
    <t>GMD-1821-197.pdf</t>
  </si>
  <si>
    <t>GMD-1821-198.pdf</t>
  </si>
  <si>
    <t>GMD-1821-199.pdf</t>
  </si>
  <si>
    <t>GMD-1821-200.pdf</t>
  </si>
  <si>
    <t>GMD-1821-201.pdf</t>
  </si>
  <si>
    <t>GMD-1821-202.pdf</t>
  </si>
  <si>
    <t>GMD-1821-203.pdf</t>
  </si>
  <si>
    <t>GMD-1821-204.pdf</t>
  </si>
  <si>
    <t>GMD-1821-205.pdf</t>
  </si>
  <si>
    <t>GMD-1821-206.pdf</t>
  </si>
  <si>
    <t>GMD-1821-207.pdf</t>
  </si>
  <si>
    <t>GMD-1821-208.pdf</t>
  </si>
  <si>
    <t>GMD-1821-209.pdf</t>
  </si>
  <si>
    <t>GMD-1821-210.pdf</t>
  </si>
  <si>
    <t>GMD-1821-211.pdf</t>
  </si>
  <si>
    <t>GMD-1821-212.pdf</t>
  </si>
  <si>
    <t>GMD-1821-213.pdf</t>
  </si>
  <si>
    <t>GMD-1821-214.pdf</t>
  </si>
  <si>
    <t>GMD-1821-215.pdf</t>
  </si>
  <si>
    <t>GMD-1821-216.pdf</t>
  </si>
  <si>
    <t>GMD-1821-217.pdf</t>
  </si>
  <si>
    <t>GMD-1821-218.pdf</t>
  </si>
  <si>
    <t>GMD-1821-219.pdf</t>
  </si>
  <si>
    <t>GMD-1821-220.pdf</t>
  </si>
  <si>
    <t>GMD-1821-221.pdf</t>
  </si>
  <si>
    <t>GMD-1821-222.pdf</t>
  </si>
  <si>
    <t>GMD-1821-223.pdf</t>
  </si>
  <si>
    <t>GMD-1821-224.pdf</t>
  </si>
  <si>
    <t>GMD-1821-225.pdf</t>
  </si>
  <si>
    <t>GMD-1821-226E.pdf</t>
  </si>
  <si>
    <t>GMD-1821-227.pdf</t>
  </si>
  <si>
    <t>GMD-1821-228.pdf</t>
  </si>
  <si>
    <t>GMD-1821-229.pdf</t>
  </si>
  <si>
    <t>GMD-1821-230.pdf</t>
  </si>
  <si>
    <t>GMD-1821-231.pdf</t>
  </si>
  <si>
    <t>GMD-1821-232.pdf</t>
  </si>
  <si>
    <t>GMD-1821-233.pdf</t>
  </si>
  <si>
    <t>GMD-1821-234.pdf</t>
  </si>
  <si>
    <t>GMD-1821-235.pdf</t>
  </si>
  <si>
    <t>GMD-1821-236.pdf</t>
  </si>
  <si>
    <t>GMD-1821-237.pdf</t>
  </si>
  <si>
    <t>GMD-1821-238.pdf</t>
  </si>
  <si>
    <t>GMD-1821-239.pdf</t>
  </si>
  <si>
    <t>GMD-1821-240.pdf</t>
  </si>
  <si>
    <t>GMD-1821-241.pdf</t>
  </si>
  <si>
    <t>GMD-1821-242.pdf</t>
  </si>
  <si>
    <t>GMD-1821-243.pdf</t>
  </si>
  <si>
    <t>GMD-1821-244.pdf</t>
  </si>
  <si>
    <t>GMD-1821-245.pdf</t>
  </si>
  <si>
    <t>GMD-1821-246.pdf</t>
  </si>
  <si>
    <t>GMD-1821-247.pdf</t>
  </si>
  <si>
    <t>GMD-1821-248.pdf</t>
  </si>
  <si>
    <t>GMD-1821-249.pdf</t>
  </si>
  <si>
    <t>GMD-1821-250.pdf</t>
  </si>
  <si>
    <t>GMD-1821-251.pdf</t>
  </si>
  <si>
    <t>GMD-1821-252.pdf</t>
  </si>
  <si>
    <t>GMD-1821-253.pdf</t>
  </si>
  <si>
    <t>GMD-1821-254.pdf</t>
  </si>
  <si>
    <t>GMD-1821-255.pdf</t>
  </si>
  <si>
    <t>GMD-1821-256.pdf</t>
  </si>
  <si>
    <t>GMD-1821-257.pdf</t>
  </si>
  <si>
    <t>GMD-1821-258.pdf</t>
  </si>
  <si>
    <t>GMD-1821-259.pdf</t>
  </si>
  <si>
    <t>GMD-1821-260.pdf</t>
  </si>
  <si>
    <t>GMD-1821-261.pdf</t>
  </si>
  <si>
    <t>GMD-1821-262.pdf</t>
  </si>
  <si>
    <t>GMD-1821-263.pdf</t>
  </si>
  <si>
    <t>GMD-1821-264.pdf</t>
  </si>
  <si>
    <t>GMD-1821-265.pdf</t>
  </si>
  <si>
    <t>GMD-1821-266.pdf</t>
  </si>
  <si>
    <t>GMD-1821-267.pdf</t>
  </si>
  <si>
    <t>GMD-1821-268.pdf</t>
  </si>
  <si>
    <t>GMD-1821-269.pdf</t>
  </si>
  <si>
    <t>GMD-1821-270.pdf</t>
  </si>
  <si>
    <t>GMD-1821-271.pdf</t>
  </si>
  <si>
    <t>GMD-1821-272.pdf</t>
  </si>
  <si>
    <t>GMD-1821-273.pdf</t>
  </si>
  <si>
    <t>GMD-1821-274.pdf</t>
  </si>
  <si>
    <t>GMD-1821-275.pdf</t>
  </si>
  <si>
    <t>GMD-1821-276.pdf</t>
  </si>
  <si>
    <t>Gaceta de Madrid n.º 277 (extraordinaria)</t>
  </si>
  <si>
    <t>GMD-1821-277E.pdf</t>
  </si>
  <si>
    <t>GMD-1821-278.pdf</t>
  </si>
  <si>
    <t>GMD-1821-279.pdf</t>
  </si>
  <si>
    <t>GMD-1821-280.pdf</t>
  </si>
  <si>
    <t>GMD-1821-281.pdf</t>
  </si>
  <si>
    <t>GMD-1821-282.pdf</t>
  </si>
  <si>
    <t>GMD-1821-283.pdf</t>
  </si>
  <si>
    <t>GMD-1821-284.pdf</t>
  </si>
  <si>
    <t>GMD-1821-285.pdf</t>
  </si>
  <si>
    <t>GMD-1821-286.pdf</t>
  </si>
  <si>
    <t>GMD-1821-287.pdf</t>
  </si>
  <si>
    <t>GMD-1821-288.pdf</t>
  </si>
  <si>
    <t>GMD-1821-289.pdf</t>
  </si>
  <si>
    <t>GMD-1821-290.pdf</t>
  </si>
  <si>
    <t>GMD-1821-291.pdf</t>
  </si>
  <si>
    <t>GMD-1821-292.pdf</t>
  </si>
  <si>
    <t>GMD-1821-293.pdf</t>
  </si>
  <si>
    <t>GMD-1821-294.pdf</t>
  </si>
  <si>
    <t>GMD-1821-295.pdf</t>
  </si>
  <si>
    <t>GMD-1821-296.pdf</t>
  </si>
  <si>
    <t>GMD-1821-297.pdf</t>
  </si>
  <si>
    <t>GMD-1821-298.pdf</t>
  </si>
  <si>
    <t>GMD-1821-299.pdf</t>
  </si>
  <si>
    <t>GMD-1821-300.pdf</t>
  </si>
  <si>
    <t>GMD-1821-301.pdf</t>
  </si>
  <si>
    <t>GMD-1821-302.pdf</t>
  </si>
  <si>
    <t>GMD-1821-303.pdf</t>
  </si>
  <si>
    <t>GMD-1821-304.pdf</t>
  </si>
  <si>
    <t>GMD-1821-305.pdf</t>
  </si>
  <si>
    <t>GMD-1821-306.pdf</t>
  </si>
  <si>
    <t>GMD-1821-307.pdf</t>
  </si>
  <si>
    <t>GMD-1821-308.pdf</t>
  </si>
  <si>
    <t>GMD-1821-309.pdf</t>
  </si>
  <si>
    <t>GMD-1821-310.pdf</t>
  </si>
  <si>
    <t>GMD-1821-311.pdf</t>
  </si>
  <si>
    <t>GMD-1821-312.pdf</t>
  </si>
  <si>
    <t>GMD-1821-314E.pdf</t>
  </si>
  <si>
    <t>GMD-1821-315.pdf</t>
  </si>
  <si>
    <t>GMD-1821-316.pdf</t>
  </si>
  <si>
    <t>GMD-1821-317.pdf</t>
  </si>
  <si>
    <t>GMD-1821-318.pdf</t>
  </si>
  <si>
    <t>GMD-1821-319.pdf</t>
  </si>
  <si>
    <t>GMD-1821-320.pdf</t>
  </si>
  <si>
    <t>GMD-1821-321.pdf</t>
  </si>
  <si>
    <t>GMD-1821-322.pdf</t>
  </si>
  <si>
    <t>GMD-1821-323.pdf</t>
  </si>
  <si>
    <t>GMD-1821-324.pdf</t>
  </si>
  <si>
    <t>GMD-1821-325.pdf</t>
  </si>
  <si>
    <t>GMD-1821-326.pdf</t>
  </si>
  <si>
    <t>GMD-1821-327.pdf</t>
  </si>
  <si>
    <t>GMD-1821-328.pdf</t>
  </si>
  <si>
    <t>GMD-1821-329.pdf</t>
  </si>
  <si>
    <t>GMD-1821-330.pdf</t>
  </si>
  <si>
    <t>GMD-1821-331.pdf</t>
  </si>
  <si>
    <t>GMD-1821-332.pdf</t>
  </si>
  <si>
    <t>GMD-1821-333.pdf</t>
  </si>
  <si>
    <t>GMD-1821-334.pdf</t>
  </si>
  <si>
    <t>GMD-1821-335.pdf</t>
  </si>
  <si>
    <t>GMD-1821-336.pdf</t>
  </si>
  <si>
    <t>GMD-1821-337.pdf</t>
  </si>
  <si>
    <t>Gaceta de Madrid n.º 338 (extraordinaria)</t>
  </si>
  <si>
    <t>GMD-1821-338E.pdf</t>
  </si>
  <si>
    <t>GMD-1821-339.pdf</t>
  </si>
  <si>
    <t>GMD-1821-340.pdf</t>
  </si>
  <si>
    <t>GMD-1821-341.pdf</t>
  </si>
  <si>
    <t>GMD-1821-342.pdf</t>
  </si>
  <si>
    <t>GMD-1821-343.pdf</t>
  </si>
  <si>
    <t>GMD-1821-344.pdf</t>
  </si>
  <si>
    <t>GMD-1821-345.pdf</t>
  </si>
  <si>
    <t>GMD-1821-346.pdf</t>
  </si>
  <si>
    <t>GMD-1821-347.pdf</t>
  </si>
  <si>
    <t>GMD-1821-348.pdf</t>
  </si>
  <si>
    <t>GMD-1821-349.pdf</t>
  </si>
  <si>
    <t>GMD-1821-350.pdf</t>
  </si>
  <si>
    <t>GMD-1821-351.pdf</t>
  </si>
  <si>
    <t>GMD-1821-352.pdf</t>
  </si>
  <si>
    <t>GMD-1821-353.pdf</t>
  </si>
  <si>
    <t>GMD-1821-354.pdf</t>
  </si>
  <si>
    <t>Gaceta de Madrid n.º 355 (extraordinaria)</t>
  </si>
  <si>
    <t>GMD-1821-355E.pdf</t>
  </si>
  <si>
    <t>GMD-1821-356.pdf</t>
  </si>
  <si>
    <t>GMD-1821-357.pdf</t>
  </si>
  <si>
    <t>GMD-1821-358.pdf</t>
  </si>
  <si>
    <t>GMD-1821-359.pdf</t>
  </si>
  <si>
    <t>GMD-1821-360.pdf</t>
  </si>
  <si>
    <t>GMD-1821-361.pdf</t>
  </si>
  <si>
    <t>GMD-1821-362.pdf</t>
  </si>
  <si>
    <t>GMD-1821-363.pdf</t>
  </si>
  <si>
    <t>GMD-1821-364.pdf</t>
  </si>
  <si>
    <t>GMD-1821-365.pdf</t>
  </si>
  <si>
    <t>GMD-1821-366.pdf</t>
  </si>
  <si>
    <t>GMD-1821-367.pdf</t>
  </si>
  <si>
    <t>GMD-1821-368.pdf</t>
  </si>
  <si>
    <t>GMD-1821-369.pdf</t>
  </si>
  <si>
    <t>GMD-1821-370.pdf</t>
  </si>
  <si>
    <t>GMD-1821-371.pdf</t>
  </si>
  <si>
    <t>GMD-1821-372.pdf</t>
  </si>
  <si>
    <t>GMD-1821-373.pdf</t>
  </si>
  <si>
    <t>GMD-1821-374.pdf</t>
  </si>
  <si>
    <t>Criterios, alcance y limitaciones</t>
  </si>
  <si>
    <t>Cobertura</t>
  </si>
  <si>
    <t>Se incluyen los 373 archivos localizados en la hemeroteca oficial entre el 1 de enero y el 31 de diciembre de 1821, incluidas 9 ediciones extraordinarias.</t>
  </si>
  <si>
    <t>Cabeceras</t>
  </si>
  <si>
    <t>Gaceta de Madrid (303 archivos); Gaceta del Gobierno (70 archivos).</t>
  </si>
  <si>
    <t>Numeración</t>
  </si>
  <si>
    <t>La numeración y las 9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</si>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</sst>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20">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0" fillId="0" borderId="0" xfId="0" applyNumberFormat="1"/>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1" displayName="IndiceOnomasticoAnual1821" ref="A6:K11546" totalsRowShown="0">
  <autoFilter ref="A6:K11546"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1" displayName="FuentesGacetaAnual1821" ref="A4:F377" totalsRowShown="0">
  <autoFilter ref="A4:F377"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115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9" t="s">
        <v>0</v>
      </c>
      <c r="B1" s="9"/>
      <c r="C1" s="9"/>
      <c r="D1" s="9"/>
      <c r="E1" s="9"/>
      <c r="F1" s="9"/>
      <c r="G1" s="9"/>
      <c r="H1" s="9"/>
      <c r="I1" s="9"/>
      <c r="J1" s="9"/>
      <c r="K1" s="9"/>
    </row>
    <row r="2" spans="1:11" ht="21.95" customHeight="1">
      <c r="A2" s="10" t="s">
        <v>1</v>
      </c>
      <c r="B2" s="10"/>
      <c r="C2" s="10"/>
      <c r="D2" s="10"/>
      <c r="E2" s="10"/>
      <c r="F2" s="10"/>
      <c r="G2" s="10"/>
      <c r="H2" s="10"/>
      <c r="I2" s="10"/>
      <c r="J2" s="10"/>
      <c r="K2" s="10"/>
    </row>
    <row r="3" spans="1:11" ht="33.950000000000003" customHeight="1">
      <c r="A3" s="11" t="s">
        <v>2</v>
      </c>
      <c r="B3" s="11"/>
      <c r="C3" s="11"/>
      <c r="D3" s="11"/>
      <c r="E3" s="11"/>
      <c r="F3" s="11"/>
      <c r="G3" s="11"/>
      <c r="H3" s="11"/>
      <c r="I3" s="11"/>
      <c r="J3" s="11"/>
      <c r="K3" s="11"/>
    </row>
    <row r="4" spans="1:11" ht="21.95" customHeight="1">
      <c r="A4" s="12" t="s">
        <v>3</v>
      </c>
      <c r="B4" s="12"/>
      <c r="C4" s="12"/>
      <c r="D4" s="12"/>
      <c r="E4" s="12"/>
      <c r="F4" s="12"/>
      <c r="G4" s="12"/>
      <c r="H4" s="12"/>
      <c r="I4" s="12"/>
      <c r="J4" s="12"/>
      <c r="K4" s="12"/>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-28573</v>
      </c>
      <c r="F7" s="3" t="s">
        <v>19</v>
      </c>
      <c r="G7" s="3" t="s">
        <v>20</v>
      </c>
      <c r="H7" s="2" t="s">
        <v>21</v>
      </c>
      <c r="I7" s="2" t="s">
        <v>22</v>
      </c>
      <c r="J7" s="3" t="str">
        <f>HYPERLINK("https://www.boe.es/gazeta/dias/1821/10/07/pdfs/GMD-1821-286.pdf#page=3","Abrir facsímil")</f>
        <v>Abrir facsímil</v>
      </c>
      <c r="K7" s="3" t="s">
        <v>23</v>
      </c>
    </row>
    <row r="8" spans="1:11" ht="42" customHeight="1">
      <c r="A8" s="2" t="s">
        <v>24</v>
      </c>
      <c r="B8" s="2" t="s">
        <v>25</v>
      </c>
      <c r="C8" s="2" t="s">
        <v>26</v>
      </c>
      <c r="D8" s="2" t="s">
        <v>27</v>
      </c>
      <c r="E8" s="5">
        <v>-28552</v>
      </c>
      <c r="F8" s="3" t="s">
        <v>28</v>
      </c>
      <c r="G8" s="3" t="s">
        <v>29</v>
      </c>
      <c r="H8" s="2" t="s">
        <v>30</v>
      </c>
      <c r="I8" s="2" t="s">
        <v>31</v>
      </c>
      <c r="J8" s="3" t="str">
        <f>HYPERLINK("https://www.boe.es/gazeta/dias/1821/10/28/pdfs/GMD-1821-307.pdf#page=6","Abrir facsímil")</f>
        <v>Abrir facsímil</v>
      </c>
      <c r="K8" s="3" t="s">
        <v>32</v>
      </c>
    </row>
    <row r="9" spans="1:11" ht="42" customHeight="1">
      <c r="A9" s="2" t="s">
        <v>33</v>
      </c>
      <c r="B9" s="2" t="s">
        <v>34</v>
      </c>
      <c r="C9" s="2" t="s">
        <v>35</v>
      </c>
      <c r="D9" s="2" t="s">
        <v>27</v>
      </c>
      <c r="E9" s="5">
        <v>-28789</v>
      </c>
      <c r="F9" s="3" t="s">
        <v>36</v>
      </c>
      <c r="G9" s="3" t="s">
        <v>20</v>
      </c>
      <c r="H9" s="2" t="s">
        <v>21</v>
      </c>
      <c r="I9" s="2" t="s">
        <v>37</v>
      </c>
      <c r="J9" s="3" t="str">
        <f>HYPERLINK("https://www.boe.es/gazeta/dias/1821/03/05/pdfs/GGB-1821-64.pdf#page=3","Abrir facsímil")</f>
        <v>Abrir facsímil</v>
      </c>
      <c r="K9" s="3" t="s">
        <v>23</v>
      </c>
    </row>
    <row r="10" spans="1:11" ht="42" customHeight="1">
      <c r="A10" s="2" t="s">
        <v>38</v>
      </c>
      <c r="B10" s="2" t="s">
        <v>39</v>
      </c>
      <c r="C10" s="2" t="s">
        <v>40</v>
      </c>
      <c r="D10" s="2" t="s">
        <v>41</v>
      </c>
      <c r="E10" s="5">
        <v>-28508</v>
      </c>
      <c r="F10" s="3" t="s">
        <v>42</v>
      </c>
      <c r="G10" s="3" t="s">
        <v>43</v>
      </c>
      <c r="H10" s="2" t="s">
        <v>30</v>
      </c>
      <c r="I10" s="2" t="s">
        <v>44</v>
      </c>
      <c r="J10" s="3" t="str">
        <f>HYPERLINK("https://www.boe.es/gazeta/dias/1821/12/11/pdfs/GMD-1821-353.pdf#page=1","Abrir facsímil")</f>
        <v>Abrir facsímil</v>
      </c>
      <c r="K10" s="3" t="s">
        <v>32</v>
      </c>
    </row>
    <row r="11" spans="1:11" ht="42" customHeight="1">
      <c r="A11" s="2" t="s">
        <v>45</v>
      </c>
      <c r="B11" s="2" t="s">
        <v>46</v>
      </c>
      <c r="C11" s="2" t="s">
        <v>40</v>
      </c>
      <c r="D11" s="2" t="s">
        <v>41</v>
      </c>
      <c r="E11" s="5">
        <v>-28791</v>
      </c>
      <c r="F11" s="3" t="s">
        <v>47</v>
      </c>
      <c r="G11" s="3" t="s">
        <v>20</v>
      </c>
      <c r="H11" s="2" t="s">
        <v>30</v>
      </c>
      <c r="I11" s="2" t="s">
        <v>48</v>
      </c>
      <c r="J11" s="3" t="str">
        <f>HYPERLINK("https://www.boe.es/gazeta/dias/1821/03/03/pdfs/GGB-1821-62.pdf#page=3","Abrir facsímil")</f>
        <v>Abrir facsímil</v>
      </c>
      <c r="K11" s="3" t="s">
        <v>32</v>
      </c>
    </row>
    <row r="12" spans="1:11" ht="42" customHeight="1">
      <c r="A12" s="2" t="s">
        <v>49</v>
      </c>
      <c r="B12" s="2" t="s">
        <v>50</v>
      </c>
      <c r="C12" s="2" t="s">
        <v>17</v>
      </c>
      <c r="D12" s="2" t="s">
        <v>18</v>
      </c>
      <c r="E12" s="5">
        <v>-28743</v>
      </c>
      <c r="F12" s="3" t="s">
        <v>51</v>
      </c>
      <c r="G12" s="3" t="s">
        <v>52</v>
      </c>
      <c r="H12" s="2" t="s">
        <v>30</v>
      </c>
      <c r="I12" s="2" t="s">
        <v>53</v>
      </c>
      <c r="J12" s="3" t="str">
        <f>HYPERLINK("https://www.boe.es/gazeta/dias/1821/04/20/pdfs/GMD-1821-112.pdf#page=2","Abrir facsímil")</f>
        <v>Abrir facsímil</v>
      </c>
      <c r="K12" s="3" t="s">
        <v>32</v>
      </c>
    </row>
    <row r="13" spans="1:11" ht="42" customHeight="1">
      <c r="A13" s="2" t="s">
        <v>54</v>
      </c>
      <c r="B13" s="2" t="s">
        <v>55</v>
      </c>
      <c r="C13" s="2" t="s">
        <v>26</v>
      </c>
      <c r="D13" s="2" t="s">
        <v>27</v>
      </c>
      <c r="E13" s="5">
        <v>-28537</v>
      </c>
      <c r="F13" s="3" t="s">
        <v>56</v>
      </c>
      <c r="G13" s="3" t="s">
        <v>52</v>
      </c>
      <c r="H13" s="2" t="s">
        <v>30</v>
      </c>
      <c r="I13" s="2" t="s">
        <v>57</v>
      </c>
      <c r="J13" s="3" t="str">
        <f>HYPERLINK("https://www.boe.es/gazeta/dias/1821/11/12/pdfs/GMD-1821-323.pdf#page=2","Abrir facsímil")</f>
        <v>Abrir facsímil</v>
      </c>
      <c r="K13" s="3" t="s">
        <v>32</v>
      </c>
    </row>
    <row r="14" spans="1:11" ht="42" customHeight="1">
      <c r="A14" s="2" t="s">
        <v>58</v>
      </c>
      <c r="B14" s="2" t="s">
        <v>59</v>
      </c>
      <c r="C14" s="2" t="s">
        <v>26</v>
      </c>
      <c r="D14" s="2" t="s">
        <v>27</v>
      </c>
      <c r="E14" s="5">
        <v>-28798</v>
      </c>
      <c r="F14" s="3" t="s">
        <v>60</v>
      </c>
      <c r="G14" s="3" t="s">
        <v>20</v>
      </c>
      <c r="H14" s="2" t="s">
        <v>30</v>
      </c>
      <c r="I14" s="2" t="s">
        <v>61</v>
      </c>
      <c r="J14" s="3" t="str">
        <f>HYPERLINK("https://www.boe.es/gazeta/dias/1821/02/24/pdfs/GGB-1821-55.pdf#page=3","Abrir facsímil")</f>
        <v>Abrir facsímil</v>
      </c>
      <c r="K14" s="3" t="s">
        <v>32</v>
      </c>
    </row>
    <row r="15" spans="1:11" ht="42" customHeight="1">
      <c r="A15" s="2" t="s">
        <v>58</v>
      </c>
      <c r="B15" s="2" t="s">
        <v>59</v>
      </c>
      <c r="C15" s="2" t="s">
        <v>17</v>
      </c>
      <c r="D15" s="2" t="s">
        <v>18</v>
      </c>
      <c r="E15" s="5">
        <v>-28772</v>
      </c>
      <c r="F15" s="3" t="s">
        <v>62</v>
      </c>
      <c r="G15" s="3" t="s">
        <v>20</v>
      </c>
      <c r="H15" s="2" t="s">
        <v>30</v>
      </c>
      <c r="I15" s="2" t="s">
        <v>63</v>
      </c>
      <c r="J15" s="3" t="str">
        <f>HYPERLINK("https://www.boe.es/gazeta/dias/1821/03/22/pdfs/GMD-1821-81.pdf#page=3","Abrir facsímil")</f>
        <v>Abrir facsímil</v>
      </c>
      <c r="K15" s="3" t="s">
        <v>32</v>
      </c>
    </row>
    <row r="16" spans="1:11" ht="42" customHeight="1">
      <c r="A16" s="2" t="s">
        <v>64</v>
      </c>
      <c r="B16" s="2" t="s">
        <v>65</v>
      </c>
      <c r="C16" s="2" t="s">
        <v>26</v>
      </c>
      <c r="D16" s="2" t="s">
        <v>27</v>
      </c>
      <c r="E16" s="5">
        <v>-28512</v>
      </c>
      <c r="F16" s="3" t="s">
        <v>66</v>
      </c>
      <c r="G16" s="3" t="s">
        <v>20</v>
      </c>
      <c r="H16" s="2" t="s">
        <v>30</v>
      </c>
      <c r="I16" s="2" t="s">
        <v>67</v>
      </c>
      <c r="J16" s="3" t="str">
        <f>HYPERLINK("https://www.boe.es/gazeta/dias/1821/12/07/pdfs/GMD-1821-349.pdf#page=3","Abrir facsímil")</f>
        <v>Abrir facsímil</v>
      </c>
      <c r="K16" s="3" t="s">
        <v>32</v>
      </c>
    </row>
    <row r="17" spans="1:11" ht="42" customHeight="1">
      <c r="A17" s="2" t="s">
        <v>68</v>
      </c>
      <c r="B17" s="2" t="s">
        <v>69</v>
      </c>
      <c r="C17" s="2" t="s">
        <v>70</v>
      </c>
      <c r="D17" s="2" t="s">
        <v>27</v>
      </c>
      <c r="E17" s="5">
        <v>-28759</v>
      </c>
      <c r="F17" s="3" t="s">
        <v>71</v>
      </c>
      <c r="G17" s="3" t="s">
        <v>52</v>
      </c>
      <c r="H17" s="2" t="s">
        <v>30</v>
      </c>
      <c r="I17" s="2" t="s">
        <v>72</v>
      </c>
      <c r="J17" s="3" t="str">
        <f>HYPERLINK("https://www.boe.es/gazeta/dias/1821/04/04/pdfs/GMD-1821-96.pdf#page=2","Abrir facsímil")</f>
        <v>Abrir facsímil</v>
      </c>
      <c r="K17" s="3" t="s">
        <v>32</v>
      </c>
    </row>
    <row r="18" spans="1:11" ht="42" customHeight="1">
      <c r="A18" s="2" t="s">
        <v>73</v>
      </c>
      <c r="B18" s="2" t="s">
        <v>73</v>
      </c>
      <c r="C18" s="2" t="s">
        <v>26</v>
      </c>
      <c r="D18" s="2" t="s">
        <v>27</v>
      </c>
      <c r="E18" s="5">
        <v>-28693</v>
      </c>
      <c r="F18" s="3" t="s">
        <v>74</v>
      </c>
      <c r="G18" s="3" t="s">
        <v>43</v>
      </c>
      <c r="H18" s="2" t="s">
        <v>21</v>
      </c>
      <c r="I18" s="2" t="s">
        <v>75</v>
      </c>
      <c r="J18" s="3" t="str">
        <f>HYPERLINK("https://www.boe.es/gazeta/dias/1821/06/09/pdfs/GMD-1821-162.pdf#page=1","Abrir facsímil")</f>
        <v>Abrir facsímil</v>
      </c>
      <c r="K18" s="3" t="s">
        <v>23</v>
      </c>
    </row>
    <row r="19" spans="1:11" ht="42" customHeight="1">
      <c r="A19" s="2" t="s">
        <v>76</v>
      </c>
      <c r="B19" s="2" t="s">
        <v>77</v>
      </c>
      <c r="C19" s="2" t="s">
        <v>17</v>
      </c>
      <c r="D19" s="2" t="s">
        <v>18</v>
      </c>
      <c r="E19" s="5">
        <v>-28624</v>
      </c>
      <c r="F19" s="3" t="s">
        <v>78</v>
      </c>
      <c r="G19" s="3" t="s">
        <v>79</v>
      </c>
      <c r="H19" s="2" t="s">
        <v>21</v>
      </c>
      <c r="I19" s="2" t="s">
        <v>80</v>
      </c>
      <c r="J19" s="3" t="str">
        <f>HYPERLINK("https://www.boe.es/gazeta/dias/1821/08/17/pdfs/GMD-1821-234.pdf#page=4","Abrir facsímil")</f>
        <v>Abrir facsímil</v>
      </c>
      <c r="K19" s="3" t="s">
        <v>23</v>
      </c>
    </row>
    <row r="20" spans="1:11" ht="42" customHeight="1">
      <c r="A20" s="2" t="s">
        <v>81</v>
      </c>
      <c r="B20" s="2" t="s">
        <v>82</v>
      </c>
      <c r="C20" s="2" t="s">
        <v>40</v>
      </c>
      <c r="D20" s="2" t="s">
        <v>41</v>
      </c>
      <c r="E20" s="5">
        <v>-28510</v>
      </c>
      <c r="F20" s="3" t="s">
        <v>83</v>
      </c>
      <c r="G20" s="3" t="s">
        <v>52</v>
      </c>
      <c r="H20" s="2" t="s">
        <v>21</v>
      </c>
      <c r="I20" s="2" t="s">
        <v>84</v>
      </c>
      <c r="J20" s="3" t="str">
        <f>HYPERLINK("https://www.boe.es/gazeta/dias/1821/12/09/pdfs/GMD-1821-351.pdf#page=2","Abrir facsímil")</f>
        <v>Abrir facsímil</v>
      </c>
      <c r="K20" s="3" t="s">
        <v>23</v>
      </c>
    </row>
    <row r="21" spans="1:11" ht="42" customHeight="1">
      <c r="A21" s="2" t="s">
        <v>85</v>
      </c>
      <c r="B21" s="2" t="s">
        <v>86</v>
      </c>
      <c r="C21" s="2" t="s">
        <v>26</v>
      </c>
      <c r="D21" s="2" t="s">
        <v>27</v>
      </c>
      <c r="E21" s="5">
        <v>-28620</v>
      </c>
      <c r="F21" s="3" t="s">
        <v>87</v>
      </c>
      <c r="G21" s="3" t="s">
        <v>88</v>
      </c>
      <c r="H21" s="2" t="s">
        <v>21</v>
      </c>
      <c r="I21" s="2" t="s">
        <v>89</v>
      </c>
      <c r="J21" s="3" t="str">
        <f>HYPERLINK("https://www.boe.es/gazeta/dias/1821/08/21/pdfs/GMD-1821-238.pdf#page=4","Abrir facsímil")</f>
        <v>Abrir facsímil</v>
      </c>
      <c r="K21" s="3" t="s">
        <v>23</v>
      </c>
    </row>
    <row r="22" spans="1:11" ht="42" customHeight="1">
      <c r="A22" s="2" t="s">
        <v>90</v>
      </c>
      <c r="B22" s="2" t="s">
        <v>91</v>
      </c>
      <c r="C22" s="2" t="s">
        <v>40</v>
      </c>
      <c r="D22" s="2" t="s">
        <v>41</v>
      </c>
      <c r="E22" s="5">
        <v>-28721</v>
      </c>
      <c r="F22" s="3" t="s">
        <v>92</v>
      </c>
      <c r="G22" s="3" t="s">
        <v>88</v>
      </c>
      <c r="H22" s="2" t="s">
        <v>21</v>
      </c>
      <c r="I22" s="2" t="s">
        <v>93</v>
      </c>
      <c r="J22" s="3" t="str">
        <f>HYPERLINK("https://www.boe.es/gazeta/dias/1821/05/12/pdfs/GMD-1821-134.pdf#page=4","Abrir facsímil")</f>
        <v>Abrir facsímil</v>
      </c>
      <c r="K22" s="3" t="s">
        <v>23</v>
      </c>
    </row>
    <row r="23" spans="1:11" ht="42" customHeight="1">
      <c r="A23" s="2" t="s">
        <v>94</v>
      </c>
      <c r="B23" s="2" t="s">
        <v>95</v>
      </c>
      <c r="C23" s="2" t="s">
        <v>17</v>
      </c>
      <c r="D23" s="2" t="s">
        <v>18</v>
      </c>
      <c r="E23" s="5">
        <v>-28535</v>
      </c>
      <c r="F23" s="3" t="s">
        <v>96</v>
      </c>
      <c r="G23" s="3" t="s">
        <v>52</v>
      </c>
      <c r="H23" s="2" t="s">
        <v>21</v>
      </c>
      <c r="I23" s="2" t="s">
        <v>97</v>
      </c>
      <c r="J23" s="3" t="str">
        <f>HYPERLINK("https://www.boe.es/gazeta/dias/1821/11/14/pdfs/GMD-1821-325.pdf#page=2","Abrir facsímil")</f>
        <v>Abrir facsímil</v>
      </c>
      <c r="K23" s="3" t="s">
        <v>23</v>
      </c>
    </row>
    <row r="24" spans="1:11" ht="42" customHeight="1">
      <c r="A24" s="2" t="s">
        <v>98</v>
      </c>
      <c r="B24" s="2" t="s">
        <v>98</v>
      </c>
      <c r="C24" s="2" t="s">
        <v>40</v>
      </c>
      <c r="D24" s="2" t="s">
        <v>41</v>
      </c>
      <c r="E24" s="5">
        <v>-28600</v>
      </c>
      <c r="F24" s="3" t="s">
        <v>99</v>
      </c>
      <c r="G24" s="3" t="s">
        <v>88</v>
      </c>
      <c r="H24" s="2" t="s">
        <v>21</v>
      </c>
      <c r="I24" s="2" t="s">
        <v>100</v>
      </c>
      <c r="J24" s="3" t="str">
        <f>HYPERLINK("https://www.boe.es/gazeta/dias/1821/09/10/pdfs/GMD-1821-258.pdf#page=4","Abrir facsímil")</f>
        <v>Abrir facsímil</v>
      </c>
      <c r="K24" s="3" t="s">
        <v>23</v>
      </c>
    </row>
    <row r="25" spans="1:11" ht="42" customHeight="1">
      <c r="A25" s="2" t="s">
        <v>101</v>
      </c>
      <c r="B25" s="2" t="s">
        <v>102</v>
      </c>
      <c r="C25" s="2" t="s">
        <v>26</v>
      </c>
      <c r="D25" s="2" t="s">
        <v>27</v>
      </c>
      <c r="E25" s="5">
        <v>-28514</v>
      </c>
      <c r="F25" s="3" t="s">
        <v>103</v>
      </c>
      <c r="G25" s="3" t="s">
        <v>52</v>
      </c>
      <c r="H25" s="2" t="s">
        <v>21</v>
      </c>
      <c r="I25" s="2" t="s">
        <v>104</v>
      </c>
      <c r="J25" s="3" t="str">
        <f>HYPERLINK("https://www.boe.es/gazeta/dias/1821/12/05/pdfs/GMD-1821-347.pdf#page=2","Abrir facsímil")</f>
        <v>Abrir facsímil</v>
      </c>
      <c r="K25" s="3" t="s">
        <v>23</v>
      </c>
    </row>
    <row r="26" spans="1:11" ht="42" customHeight="1">
      <c r="A26" s="2" t="s">
        <v>105</v>
      </c>
      <c r="B26" s="2" t="s">
        <v>106</v>
      </c>
      <c r="C26" s="2" t="s">
        <v>40</v>
      </c>
      <c r="D26" s="2" t="s">
        <v>41</v>
      </c>
      <c r="E26" s="5">
        <v>-28667</v>
      </c>
      <c r="F26" s="3" t="s">
        <v>107</v>
      </c>
      <c r="G26" s="3" t="s">
        <v>52</v>
      </c>
      <c r="H26" s="2" t="s">
        <v>21</v>
      </c>
      <c r="I26" s="2" t="s">
        <v>108</v>
      </c>
      <c r="J26" s="3" t="str">
        <f>HYPERLINK("https://www.boe.es/gazeta/dias/1821/07/05/pdfs/GMD-1821-189.pdf#page=2","Abrir facsímil")</f>
        <v>Abrir facsímil</v>
      </c>
      <c r="K26" s="3" t="s">
        <v>23</v>
      </c>
    </row>
    <row r="27" spans="1:11" ht="42" customHeight="1">
      <c r="A27" s="2" t="s">
        <v>109</v>
      </c>
      <c r="B27" s="2" t="s">
        <v>109</v>
      </c>
      <c r="C27" s="2" t="s">
        <v>40</v>
      </c>
      <c r="D27" s="2" t="s">
        <v>41</v>
      </c>
      <c r="E27" s="5">
        <v>-28771</v>
      </c>
      <c r="F27" s="3" t="s">
        <v>110</v>
      </c>
      <c r="G27" s="3" t="s">
        <v>88</v>
      </c>
      <c r="H27" s="2" t="s">
        <v>21</v>
      </c>
      <c r="I27" s="2" t="s">
        <v>111</v>
      </c>
      <c r="J27" s="3" t="str">
        <f>HYPERLINK("https://www.boe.es/gazeta/dias/1821/03/23/pdfs/GMD-1821-83.pdf#page=4","Abrir facsímil")</f>
        <v>Abrir facsímil</v>
      </c>
      <c r="K27" s="3" t="s">
        <v>23</v>
      </c>
    </row>
    <row r="28" spans="1:11" ht="42" customHeight="1">
      <c r="A28" s="2" t="s">
        <v>112</v>
      </c>
      <c r="B28" s="2" t="s">
        <v>113</v>
      </c>
      <c r="C28" s="2" t="s">
        <v>114</v>
      </c>
      <c r="D28" s="2" t="s">
        <v>27</v>
      </c>
      <c r="E28" s="5">
        <v>-28686</v>
      </c>
      <c r="F28" s="3" t="s">
        <v>115</v>
      </c>
      <c r="G28" s="3" t="s">
        <v>20</v>
      </c>
      <c r="H28" s="2" t="s">
        <v>21</v>
      </c>
      <c r="I28" s="2" t="s">
        <v>116</v>
      </c>
      <c r="J28" s="3" t="str">
        <f>HYPERLINK("https://www.boe.es/gazeta/dias/1821/06/16/pdfs/GMD-1821-169.pdf#page=3","Abrir facsímil")</f>
        <v>Abrir facsímil</v>
      </c>
      <c r="K28" s="3" t="s">
        <v>23</v>
      </c>
    </row>
    <row r="29" spans="1:11" ht="42" customHeight="1">
      <c r="A29" s="2" t="s">
        <v>117</v>
      </c>
      <c r="B29" s="2" t="s">
        <v>117</v>
      </c>
      <c r="C29" s="2" t="s">
        <v>17</v>
      </c>
      <c r="D29" s="2" t="s">
        <v>18</v>
      </c>
      <c r="E29" s="5">
        <v>-28563</v>
      </c>
      <c r="F29" s="3" t="s">
        <v>118</v>
      </c>
      <c r="G29" s="3" t="s">
        <v>20</v>
      </c>
      <c r="H29" s="2" t="s">
        <v>21</v>
      </c>
      <c r="I29" s="2" t="s">
        <v>119</v>
      </c>
      <c r="J29" s="3" t="str">
        <f>HYPERLINK("https://www.boe.es/gazeta/dias/1821/10/17/pdfs/GMD-1821-296.pdf#page=3","Abrir facsímil")</f>
        <v>Abrir facsímil</v>
      </c>
      <c r="K29" s="3" t="s">
        <v>23</v>
      </c>
    </row>
    <row r="30" spans="1:11" ht="42" customHeight="1">
      <c r="A30" s="2" t="s">
        <v>120</v>
      </c>
      <c r="B30" s="2" t="s">
        <v>121</v>
      </c>
      <c r="C30" s="2" t="s">
        <v>40</v>
      </c>
      <c r="D30" s="2" t="s">
        <v>41</v>
      </c>
      <c r="E30" s="5">
        <v>-28636</v>
      </c>
      <c r="F30" s="3" t="s">
        <v>122</v>
      </c>
      <c r="G30" s="3" t="s">
        <v>20</v>
      </c>
      <c r="H30" s="2" t="s">
        <v>21</v>
      </c>
      <c r="I30" s="2" t="s">
        <v>123</v>
      </c>
      <c r="J30" s="3" t="str">
        <f>HYPERLINK("https://www.boe.es/gazeta/dias/1821/08/05/pdfs/GMD-1821-221.pdf#page=3","Abrir facsímil")</f>
        <v>Abrir facsímil</v>
      </c>
      <c r="K30" s="3" t="s">
        <v>23</v>
      </c>
    </row>
    <row r="31" spans="1:11" ht="42" customHeight="1">
      <c r="A31" s="2" t="s">
        <v>124</v>
      </c>
      <c r="B31" s="2" t="s">
        <v>125</v>
      </c>
      <c r="C31" s="2" t="s">
        <v>40</v>
      </c>
      <c r="D31" s="2" t="s">
        <v>41</v>
      </c>
      <c r="E31" s="5">
        <v>-28563</v>
      </c>
      <c r="F31" s="3" t="s">
        <v>118</v>
      </c>
      <c r="G31" s="3" t="s">
        <v>20</v>
      </c>
      <c r="H31" s="2" t="s">
        <v>21</v>
      </c>
      <c r="I31" s="2" t="s">
        <v>126</v>
      </c>
      <c r="J31" s="3" t="str">
        <f>HYPERLINK("https://www.boe.es/gazeta/dias/1821/10/17/pdfs/GMD-1821-296.pdf#page=3","Abrir facsímil")</f>
        <v>Abrir facsímil</v>
      </c>
      <c r="K31" s="3" t="s">
        <v>23</v>
      </c>
    </row>
    <row r="32" spans="1:11" ht="42" customHeight="1">
      <c r="A32" s="2" t="s">
        <v>127</v>
      </c>
      <c r="B32" s="2" t="s">
        <v>128</v>
      </c>
      <c r="C32" s="2" t="s">
        <v>40</v>
      </c>
      <c r="D32" s="2" t="s">
        <v>41</v>
      </c>
      <c r="E32" s="5">
        <v>-28508</v>
      </c>
      <c r="F32" s="3" t="s">
        <v>42</v>
      </c>
      <c r="G32" s="3" t="s">
        <v>43</v>
      </c>
      <c r="H32" s="2" t="s">
        <v>21</v>
      </c>
      <c r="I32" s="2" t="s">
        <v>129</v>
      </c>
      <c r="J32" s="3" t="str">
        <f>HYPERLINK("https://www.boe.es/gazeta/dias/1821/12/11/pdfs/GMD-1821-353.pdf#page=1","Abrir facsímil")</f>
        <v>Abrir facsímil</v>
      </c>
      <c r="K32" s="3" t="s">
        <v>23</v>
      </c>
    </row>
    <row r="33" spans="1:11" ht="42" customHeight="1">
      <c r="A33" s="2" t="s">
        <v>130</v>
      </c>
      <c r="B33" s="2" t="s">
        <v>131</v>
      </c>
      <c r="C33" s="2" t="s">
        <v>17</v>
      </c>
      <c r="D33" s="2" t="s">
        <v>18</v>
      </c>
      <c r="E33" s="5">
        <v>-28775</v>
      </c>
      <c r="F33" s="3" t="s">
        <v>132</v>
      </c>
      <c r="G33" s="3" t="s">
        <v>52</v>
      </c>
      <c r="H33" s="2" t="s">
        <v>21</v>
      </c>
      <c r="I33" s="2" t="s">
        <v>133</v>
      </c>
      <c r="J33" s="3" t="str">
        <f>HYPERLINK("https://www.boe.es/gazeta/dias/1821/03/19/pdfs/GMD-1821-78.pdf#page=2","Abrir facsímil")</f>
        <v>Abrir facsímil</v>
      </c>
      <c r="K33" s="3" t="s">
        <v>23</v>
      </c>
    </row>
    <row r="34" spans="1:11" ht="42" customHeight="1">
      <c r="A34" s="2" t="s">
        <v>134</v>
      </c>
      <c r="B34" s="2" t="s">
        <v>135</v>
      </c>
      <c r="C34" s="2" t="s">
        <v>17</v>
      </c>
      <c r="D34" s="2" t="s">
        <v>18</v>
      </c>
      <c r="E34" s="5">
        <v>-28543</v>
      </c>
      <c r="F34" s="3" t="s">
        <v>136</v>
      </c>
      <c r="G34" s="3" t="s">
        <v>88</v>
      </c>
      <c r="H34" s="2" t="s">
        <v>21</v>
      </c>
      <c r="I34" s="2" t="s">
        <v>137</v>
      </c>
      <c r="J34" s="3" t="str">
        <f>HYPERLINK("https://www.boe.es/gazeta/dias/1821/11/06/pdfs/GMD-1821-317.pdf#page=4","Abrir facsímil")</f>
        <v>Abrir facsímil</v>
      </c>
      <c r="K34" s="3" t="s">
        <v>23</v>
      </c>
    </row>
    <row r="35" spans="1:11" ht="42" customHeight="1">
      <c r="A35" s="2" t="s">
        <v>138</v>
      </c>
      <c r="B35" s="2" t="s">
        <v>138</v>
      </c>
      <c r="C35" s="2" t="s">
        <v>40</v>
      </c>
      <c r="D35" s="2" t="s">
        <v>41</v>
      </c>
      <c r="E35" s="5">
        <v>-28544</v>
      </c>
      <c r="F35" s="3" t="s">
        <v>139</v>
      </c>
      <c r="G35" s="3" t="s">
        <v>43</v>
      </c>
      <c r="H35" s="2" t="s">
        <v>21</v>
      </c>
      <c r="I35" s="2" t="s">
        <v>140</v>
      </c>
      <c r="J35" s="3" t="str">
        <f>HYPERLINK("https://www.boe.es/gazeta/dias/1821/11/05/pdfs/GMD-1821-316.pdf#page=1","Abrir facsímil")</f>
        <v>Abrir facsímil</v>
      </c>
      <c r="K35" s="3" t="s">
        <v>23</v>
      </c>
    </row>
    <row r="36" spans="1:11" ht="42" customHeight="1">
      <c r="A36" s="2" t="s">
        <v>141</v>
      </c>
      <c r="B36" s="2" t="s">
        <v>142</v>
      </c>
      <c r="C36" s="2" t="s">
        <v>40</v>
      </c>
      <c r="D36" s="2" t="s">
        <v>41</v>
      </c>
      <c r="E36" s="5">
        <v>-28780</v>
      </c>
      <c r="F36" s="3" t="s">
        <v>143</v>
      </c>
      <c r="G36" s="3" t="s">
        <v>20</v>
      </c>
      <c r="H36" s="2" t="s">
        <v>21</v>
      </c>
      <c r="I36" s="2" t="s">
        <v>144</v>
      </c>
      <c r="J36" s="3" t="str">
        <f>HYPERLINK("https://www.boe.es/gazeta/dias/1821/03/14/pdfs/GMD-1821-73.pdf#page=3","Abrir facsímil")</f>
        <v>Abrir facsímil</v>
      </c>
      <c r="K36" s="3" t="s">
        <v>23</v>
      </c>
    </row>
    <row r="37" spans="1:11" ht="42" customHeight="1">
      <c r="A37" s="2" t="s">
        <v>145</v>
      </c>
      <c r="B37" s="2" t="s">
        <v>146</v>
      </c>
      <c r="C37" s="2" t="s">
        <v>26</v>
      </c>
      <c r="D37" s="2" t="s">
        <v>27</v>
      </c>
      <c r="E37" s="5">
        <v>-28789</v>
      </c>
      <c r="F37" s="3" t="s">
        <v>36</v>
      </c>
      <c r="G37" s="3" t="s">
        <v>52</v>
      </c>
      <c r="H37" s="2" t="s">
        <v>21</v>
      </c>
      <c r="I37" s="2" t="s">
        <v>147</v>
      </c>
      <c r="J37" s="3" t="str">
        <f>HYPERLINK("https://www.boe.es/gazeta/dias/1821/03/05/pdfs/GGB-1821-64.pdf#page=2","Abrir facsímil")</f>
        <v>Abrir facsímil</v>
      </c>
      <c r="K37" s="3" t="s">
        <v>23</v>
      </c>
    </row>
    <row r="38" spans="1:11" ht="42" customHeight="1">
      <c r="A38" s="2" t="s">
        <v>148</v>
      </c>
      <c r="B38" s="2" t="s">
        <v>148</v>
      </c>
      <c r="C38" s="2" t="s">
        <v>40</v>
      </c>
      <c r="D38" s="2" t="s">
        <v>41</v>
      </c>
      <c r="E38" s="5">
        <v>-28781</v>
      </c>
      <c r="F38" s="3" t="s">
        <v>149</v>
      </c>
      <c r="G38" s="3" t="s">
        <v>52</v>
      </c>
      <c r="H38" s="2" t="s">
        <v>21</v>
      </c>
      <c r="I38" s="2" t="s">
        <v>150</v>
      </c>
      <c r="J38" s="3" t="str">
        <f>HYPERLINK("https://www.boe.es/gazeta/dias/1821/03/13/pdfs/GMD-1821-72.pdf#page=2","Abrir facsímil")</f>
        <v>Abrir facsímil</v>
      </c>
      <c r="K38" s="3" t="s">
        <v>23</v>
      </c>
    </row>
    <row r="39" spans="1:11" ht="42" customHeight="1">
      <c r="A39" s="2" t="s">
        <v>151</v>
      </c>
      <c r="B39" s="2" t="s">
        <v>152</v>
      </c>
      <c r="C39" s="2" t="s">
        <v>26</v>
      </c>
      <c r="D39" s="2" t="s">
        <v>27</v>
      </c>
      <c r="E39" s="5">
        <v>-28539</v>
      </c>
      <c r="F39" s="3" t="s">
        <v>153</v>
      </c>
      <c r="G39" s="3" t="s">
        <v>52</v>
      </c>
      <c r="H39" s="2" t="s">
        <v>21</v>
      </c>
      <c r="I39" s="2" t="s">
        <v>154</v>
      </c>
      <c r="J39" s="3" t="str">
        <f>HYPERLINK("https://www.boe.es/gazeta/dias/1821/11/10/pdfs/GMD-1821-321.pdf#page=2","Abrir facsímil")</f>
        <v>Abrir facsímil</v>
      </c>
      <c r="K39" s="3" t="s">
        <v>23</v>
      </c>
    </row>
    <row r="40" spans="1:11" ht="42" customHeight="1">
      <c r="A40" s="2" t="s">
        <v>155</v>
      </c>
      <c r="B40" s="2" t="s">
        <v>156</v>
      </c>
      <c r="C40" s="2" t="s">
        <v>70</v>
      </c>
      <c r="D40" s="2" t="s">
        <v>27</v>
      </c>
      <c r="E40" s="5">
        <v>-28793</v>
      </c>
      <c r="F40" s="3" t="s">
        <v>157</v>
      </c>
      <c r="G40" s="3" t="s">
        <v>29</v>
      </c>
      <c r="H40" s="2" t="s">
        <v>30</v>
      </c>
      <c r="I40" s="2" t="s">
        <v>158</v>
      </c>
      <c r="J40" s="3" t="str">
        <f>HYPERLINK("https://www.boe.es/gazeta/dias/1821/03/01/pdfs/GGB-1821-60.pdf#page=6","Abrir facsímil")</f>
        <v>Abrir facsímil</v>
      </c>
      <c r="K40" s="3" t="s">
        <v>32</v>
      </c>
    </row>
    <row r="41" spans="1:11" ht="42" customHeight="1">
      <c r="A41" s="2" t="s">
        <v>159</v>
      </c>
      <c r="B41" s="2" t="s">
        <v>160</v>
      </c>
      <c r="C41" s="2" t="s">
        <v>70</v>
      </c>
      <c r="D41" s="2" t="s">
        <v>27</v>
      </c>
      <c r="E41" s="5">
        <v>-28840</v>
      </c>
      <c r="F41" s="3" t="s">
        <v>161</v>
      </c>
      <c r="G41" s="3" t="s">
        <v>162</v>
      </c>
      <c r="H41" s="2" t="s">
        <v>30</v>
      </c>
      <c r="I41" s="2" t="s">
        <v>163</v>
      </c>
      <c r="J41" s="3" t="str">
        <f>HYPERLINK("https://www.boe.es/gazeta/dias/1821/01/13/pdfs/GGB-1821-13.pdf#page=5","Abrir facsímil")</f>
        <v>Abrir facsímil</v>
      </c>
      <c r="K41" s="3" t="s">
        <v>32</v>
      </c>
    </row>
    <row r="42" spans="1:11" ht="42" customHeight="1">
      <c r="A42" s="2" t="s">
        <v>164</v>
      </c>
      <c r="B42" s="2" t="s">
        <v>165</v>
      </c>
      <c r="C42" s="2" t="s">
        <v>40</v>
      </c>
      <c r="D42" s="2" t="s">
        <v>41</v>
      </c>
      <c r="E42" s="5">
        <v>-28697</v>
      </c>
      <c r="F42" s="3" t="s">
        <v>166</v>
      </c>
      <c r="G42" s="3" t="s">
        <v>52</v>
      </c>
      <c r="H42" s="2" t="s">
        <v>21</v>
      </c>
      <c r="I42" s="2" t="s">
        <v>167</v>
      </c>
      <c r="J42" s="3" t="str">
        <f>HYPERLINK("https://www.boe.es/gazeta/dias/1821/06/05/pdfs/GMD-1821-158.pdf#page=2","Abrir facsímil")</f>
        <v>Abrir facsímil</v>
      </c>
      <c r="K42" s="3" t="s">
        <v>23</v>
      </c>
    </row>
    <row r="43" spans="1:11" ht="42" customHeight="1">
      <c r="A43" s="2" t="s">
        <v>168</v>
      </c>
      <c r="B43" s="2" t="s">
        <v>169</v>
      </c>
      <c r="C43" s="2" t="s">
        <v>40</v>
      </c>
      <c r="D43" s="2" t="s">
        <v>41</v>
      </c>
      <c r="E43" s="5">
        <v>-28760</v>
      </c>
      <c r="F43" s="3" t="s">
        <v>170</v>
      </c>
      <c r="G43" s="3" t="s">
        <v>88</v>
      </c>
      <c r="H43" s="2" t="s">
        <v>21</v>
      </c>
      <c r="I43" s="2" t="s">
        <v>171</v>
      </c>
      <c r="J43" s="3" t="str">
        <f>HYPERLINK("https://www.boe.es/gazeta/dias/1821/04/03/pdfs/GMD-1821-95.pdf#page=4","Abrir facsímil")</f>
        <v>Abrir facsímil</v>
      </c>
      <c r="K43" s="3" t="s">
        <v>23</v>
      </c>
    </row>
    <row r="44" spans="1:11" ht="42" customHeight="1">
      <c r="A44" s="2" t="s">
        <v>172</v>
      </c>
      <c r="B44" s="2" t="s">
        <v>173</v>
      </c>
      <c r="C44" s="2" t="s">
        <v>174</v>
      </c>
      <c r="D44" s="2" t="s">
        <v>27</v>
      </c>
      <c r="E44" s="5">
        <v>-28580</v>
      </c>
      <c r="F44" s="3" t="s">
        <v>175</v>
      </c>
      <c r="G44" s="3" t="s">
        <v>20</v>
      </c>
      <c r="H44" s="2" t="s">
        <v>21</v>
      </c>
      <c r="I44" s="2" t="s">
        <v>176</v>
      </c>
      <c r="J44" s="3" t="str">
        <f>HYPERLINK("https://www.boe.es/gazeta/dias/1821/09/30/pdfs/GMD-1821-279.pdf#page=3","Abrir facsímil")</f>
        <v>Abrir facsímil</v>
      </c>
      <c r="K44" s="3" t="s">
        <v>23</v>
      </c>
    </row>
    <row r="45" spans="1:11" ht="42" customHeight="1">
      <c r="A45" s="2" t="s">
        <v>177</v>
      </c>
      <c r="B45" s="2" t="s">
        <v>177</v>
      </c>
      <c r="C45" s="2" t="s">
        <v>35</v>
      </c>
      <c r="D45" s="2" t="s">
        <v>27</v>
      </c>
      <c r="E45" s="5">
        <v>-28613</v>
      </c>
      <c r="F45" s="3" t="s">
        <v>178</v>
      </c>
      <c r="G45" s="3" t="s">
        <v>52</v>
      </c>
      <c r="H45" s="2" t="s">
        <v>21</v>
      </c>
      <c r="I45" s="2" t="s">
        <v>179</v>
      </c>
      <c r="J45" s="3" t="str">
        <f>HYPERLINK("https://www.boe.es/gazeta/dias/1821/08/28/pdfs/GMD-1821-245.pdf#page=2","Abrir facsímil")</f>
        <v>Abrir facsímil</v>
      </c>
      <c r="K45" s="3" t="s">
        <v>23</v>
      </c>
    </row>
    <row r="46" spans="1:11" ht="42" customHeight="1">
      <c r="A46" s="2" t="s">
        <v>180</v>
      </c>
      <c r="B46" s="2" t="s">
        <v>181</v>
      </c>
      <c r="C46" s="2" t="s">
        <v>17</v>
      </c>
      <c r="D46" s="2" t="s">
        <v>18</v>
      </c>
      <c r="E46" s="5">
        <v>-28553</v>
      </c>
      <c r="F46" s="3" t="s">
        <v>182</v>
      </c>
      <c r="G46" s="3" t="s">
        <v>29</v>
      </c>
      <c r="H46" s="2" t="s">
        <v>21</v>
      </c>
      <c r="I46" s="2" t="s">
        <v>183</v>
      </c>
      <c r="J46" s="3" t="str">
        <f>HYPERLINK("https://www.boe.es/gazeta/dias/1821/10/27/pdfs/GMD-1821-306.pdf#page=6","Abrir facsímil")</f>
        <v>Abrir facsímil</v>
      </c>
      <c r="K46" s="3" t="s">
        <v>23</v>
      </c>
    </row>
    <row r="47" spans="1:11" ht="42" customHeight="1">
      <c r="A47" s="2" t="s">
        <v>184</v>
      </c>
      <c r="B47" s="2" t="s">
        <v>185</v>
      </c>
      <c r="C47" s="2" t="s">
        <v>35</v>
      </c>
      <c r="D47" s="2" t="s">
        <v>27</v>
      </c>
      <c r="E47" s="5">
        <v>-28525</v>
      </c>
      <c r="F47" s="3" t="s">
        <v>186</v>
      </c>
      <c r="G47" s="3" t="s">
        <v>88</v>
      </c>
      <c r="H47" s="2" t="s">
        <v>21</v>
      </c>
      <c r="I47" s="2" t="s">
        <v>187</v>
      </c>
      <c r="J47" s="3" t="str">
        <f>HYPERLINK("https://www.boe.es/gazeta/dias/1821/11/24/pdfs/GMD-1821-335.pdf#page=4","Abrir facsímil")</f>
        <v>Abrir facsímil</v>
      </c>
      <c r="K47" s="3" t="s">
        <v>23</v>
      </c>
    </row>
    <row r="48" spans="1:11" ht="42" customHeight="1">
      <c r="A48" s="2" t="s">
        <v>188</v>
      </c>
      <c r="B48" s="2" t="s">
        <v>189</v>
      </c>
      <c r="C48" s="2" t="s">
        <v>70</v>
      </c>
      <c r="D48" s="2" t="s">
        <v>27</v>
      </c>
      <c r="E48" s="5">
        <v>-28610</v>
      </c>
      <c r="F48" s="3" t="s">
        <v>190</v>
      </c>
      <c r="G48" s="3" t="s">
        <v>20</v>
      </c>
      <c r="H48" s="2" t="s">
        <v>21</v>
      </c>
      <c r="I48" s="2" t="s">
        <v>191</v>
      </c>
      <c r="J48" s="3" t="str">
        <f>HYPERLINK("https://www.boe.es/gazeta/dias/1821/08/31/pdfs/GMD-1821-248.pdf#page=3","Abrir facsímil")</f>
        <v>Abrir facsímil</v>
      </c>
      <c r="K48" s="3" t="s">
        <v>23</v>
      </c>
    </row>
    <row r="49" spans="1:11" ht="42" customHeight="1">
      <c r="A49" s="2" t="s">
        <v>192</v>
      </c>
      <c r="B49" s="2" t="s">
        <v>193</v>
      </c>
      <c r="C49" s="2" t="s">
        <v>17</v>
      </c>
      <c r="D49" s="2" t="s">
        <v>18</v>
      </c>
      <c r="E49" s="5">
        <v>-28689</v>
      </c>
      <c r="F49" s="3" t="s">
        <v>194</v>
      </c>
      <c r="G49" s="3" t="s">
        <v>162</v>
      </c>
      <c r="H49" s="2" t="s">
        <v>21</v>
      </c>
      <c r="I49" s="2" t="s">
        <v>195</v>
      </c>
      <c r="J49" s="3" t="str">
        <f>HYPERLINK("https://www.boe.es/gazeta/dias/1821/06/13/pdfs/GMD-1821-166.pdf#page=5","Abrir facsímil")</f>
        <v>Abrir facsímil</v>
      </c>
      <c r="K49" s="3" t="s">
        <v>23</v>
      </c>
    </row>
    <row r="50" spans="1:11" ht="42" customHeight="1">
      <c r="A50" s="2" t="s">
        <v>196</v>
      </c>
      <c r="B50" s="2" t="s">
        <v>197</v>
      </c>
      <c r="C50" s="2" t="s">
        <v>40</v>
      </c>
      <c r="D50" s="2" t="s">
        <v>41</v>
      </c>
      <c r="E50" s="5">
        <v>-28783</v>
      </c>
      <c r="F50" s="3" t="s">
        <v>198</v>
      </c>
      <c r="G50" s="3" t="s">
        <v>88</v>
      </c>
      <c r="H50" s="2" t="s">
        <v>21</v>
      </c>
      <c r="I50" s="2" t="s">
        <v>199</v>
      </c>
      <c r="J50" s="3" t="str">
        <f>HYPERLINK("https://www.boe.es/gazeta/dias/1821/03/11/pdfs/GGB-1821-70.pdf#page=4","Abrir facsímil")</f>
        <v>Abrir facsímil</v>
      </c>
      <c r="K50" s="3" t="s">
        <v>23</v>
      </c>
    </row>
    <row r="51" spans="1:11" ht="42" customHeight="1">
      <c r="A51" s="2" t="s">
        <v>196</v>
      </c>
      <c r="B51" s="2" t="s">
        <v>197</v>
      </c>
      <c r="C51" s="2" t="s">
        <v>35</v>
      </c>
      <c r="D51" s="2" t="s">
        <v>27</v>
      </c>
      <c r="E51" s="5">
        <v>-28727</v>
      </c>
      <c r="F51" s="3" t="s">
        <v>200</v>
      </c>
      <c r="G51" s="3" t="s">
        <v>52</v>
      </c>
      <c r="H51" s="2" t="s">
        <v>21</v>
      </c>
      <c r="I51" s="2" t="s">
        <v>201</v>
      </c>
      <c r="J51" s="3" t="str">
        <f>HYPERLINK("https://www.boe.es/gazeta/dias/1821/05/06/pdfs/GMD-1821-128.pdf#page=2","Abrir facsímil")</f>
        <v>Abrir facsímil</v>
      </c>
      <c r="K51" s="3" t="s">
        <v>23</v>
      </c>
    </row>
    <row r="52" spans="1:11" ht="42" customHeight="1">
      <c r="A52" s="2" t="s">
        <v>196</v>
      </c>
      <c r="B52" s="2" t="s">
        <v>197</v>
      </c>
      <c r="C52" s="2" t="s">
        <v>17</v>
      </c>
      <c r="D52" s="2" t="s">
        <v>18</v>
      </c>
      <c r="E52" s="5">
        <v>-28701</v>
      </c>
      <c r="F52" s="3" t="s">
        <v>202</v>
      </c>
      <c r="G52" s="3" t="s">
        <v>52</v>
      </c>
      <c r="H52" s="2" t="s">
        <v>21</v>
      </c>
      <c r="I52" s="2" t="s">
        <v>203</v>
      </c>
      <c r="J52" s="3" t="str">
        <f>HYPERLINK("https://www.boe.es/gazeta/dias/1821/06/01/pdfs/GMD-1821-154.pdf#page=2","Abrir facsímil")</f>
        <v>Abrir facsímil</v>
      </c>
      <c r="K52" s="3" t="s">
        <v>23</v>
      </c>
    </row>
    <row r="53" spans="1:11" ht="42" customHeight="1">
      <c r="A53" s="2" t="s">
        <v>196</v>
      </c>
      <c r="B53" s="2" t="s">
        <v>197</v>
      </c>
      <c r="C53" s="2" t="s">
        <v>26</v>
      </c>
      <c r="D53" s="2" t="s">
        <v>27</v>
      </c>
      <c r="E53" s="5">
        <v>-28693</v>
      </c>
      <c r="F53" s="3" t="s">
        <v>74</v>
      </c>
      <c r="G53" s="3" t="s">
        <v>52</v>
      </c>
      <c r="H53" s="2" t="s">
        <v>21</v>
      </c>
      <c r="I53" s="2" t="s">
        <v>204</v>
      </c>
      <c r="J53" s="3" t="str">
        <f>HYPERLINK("https://www.boe.es/gazeta/dias/1821/06/09/pdfs/GMD-1821-162.pdf#page=2","Abrir facsímil")</f>
        <v>Abrir facsímil</v>
      </c>
      <c r="K53" s="3" t="s">
        <v>23</v>
      </c>
    </row>
    <row r="54" spans="1:11" ht="42" customHeight="1">
      <c r="A54" s="2" t="s">
        <v>196</v>
      </c>
      <c r="B54" s="2" t="s">
        <v>197</v>
      </c>
      <c r="C54" s="2" t="s">
        <v>40</v>
      </c>
      <c r="D54" s="2" t="s">
        <v>41</v>
      </c>
      <c r="E54" s="5">
        <v>-28689</v>
      </c>
      <c r="F54" s="3" t="s">
        <v>194</v>
      </c>
      <c r="G54" s="3" t="s">
        <v>205</v>
      </c>
      <c r="H54" s="2" t="s">
        <v>21</v>
      </c>
      <c r="I54" s="2" t="s">
        <v>206</v>
      </c>
      <c r="J54" s="3" t="str">
        <f>HYPERLINK("https://www.boe.es/gazeta/dias/1821/06/13/pdfs/GMD-1821-166.pdf#page=6","Abrir facsímil")</f>
        <v>Abrir facsímil</v>
      </c>
      <c r="K54" s="3" t="s">
        <v>23</v>
      </c>
    </row>
    <row r="55" spans="1:11" ht="42" customHeight="1">
      <c r="A55" s="2" t="s">
        <v>196</v>
      </c>
      <c r="B55" s="2" t="s">
        <v>197</v>
      </c>
      <c r="C55" s="2" t="s">
        <v>17</v>
      </c>
      <c r="D55" s="2" t="s">
        <v>18</v>
      </c>
      <c r="E55" s="5">
        <v>-28689</v>
      </c>
      <c r="F55" s="3" t="s">
        <v>194</v>
      </c>
      <c r="G55" s="3" t="s">
        <v>88</v>
      </c>
      <c r="H55" s="2" t="s">
        <v>21</v>
      </c>
      <c r="I55" s="2" t="s">
        <v>207</v>
      </c>
      <c r="J55" s="3" t="str">
        <f>HYPERLINK("https://www.boe.es/gazeta/dias/1821/06/13/pdfs/GMD-1821-166.pdf#page=4","Abrir facsímil")</f>
        <v>Abrir facsímil</v>
      </c>
      <c r="K55" s="3" t="s">
        <v>23</v>
      </c>
    </row>
    <row r="56" spans="1:11" ht="42" customHeight="1">
      <c r="A56" s="2" t="s">
        <v>196</v>
      </c>
      <c r="B56" s="2" t="s">
        <v>197</v>
      </c>
      <c r="C56" s="2" t="s">
        <v>35</v>
      </c>
      <c r="D56" s="2" t="s">
        <v>27</v>
      </c>
      <c r="E56" s="5">
        <v>-28684</v>
      </c>
      <c r="F56" s="3" t="s">
        <v>208</v>
      </c>
      <c r="G56" s="3" t="s">
        <v>88</v>
      </c>
      <c r="H56" s="2" t="s">
        <v>21</v>
      </c>
      <c r="I56" s="2" t="s">
        <v>209</v>
      </c>
      <c r="J56" s="3" t="str">
        <f>HYPERLINK("https://www.boe.es/gazeta/dias/1821/06/18/pdfs/GMD-1821-171.pdf#page=4","Abrir facsímil")</f>
        <v>Abrir facsímil</v>
      </c>
      <c r="K56" s="3" t="s">
        <v>23</v>
      </c>
    </row>
    <row r="57" spans="1:11" ht="42" customHeight="1">
      <c r="A57" s="2" t="s">
        <v>196</v>
      </c>
      <c r="B57" s="2" t="s">
        <v>197</v>
      </c>
      <c r="C57" s="2" t="s">
        <v>17</v>
      </c>
      <c r="D57" s="2" t="s">
        <v>18</v>
      </c>
      <c r="E57" s="5">
        <v>-28681</v>
      </c>
      <c r="F57" s="3" t="s">
        <v>210</v>
      </c>
      <c r="G57" s="3" t="s">
        <v>52</v>
      </c>
      <c r="H57" s="2" t="s">
        <v>21</v>
      </c>
      <c r="I57" s="2" t="s">
        <v>211</v>
      </c>
      <c r="J57" s="3" t="str">
        <f>HYPERLINK("https://www.boe.es/gazeta/dias/1821/06/21/pdfs/GMD-1821-174.pdf#page=2","Abrir facsímil")</f>
        <v>Abrir facsímil</v>
      </c>
      <c r="K57" s="3" t="s">
        <v>23</v>
      </c>
    </row>
    <row r="58" spans="1:11" ht="42" customHeight="1">
      <c r="A58" s="2" t="s">
        <v>196</v>
      </c>
      <c r="B58" s="2" t="s">
        <v>197</v>
      </c>
      <c r="C58" s="2" t="s">
        <v>35</v>
      </c>
      <c r="D58" s="2" t="s">
        <v>27</v>
      </c>
      <c r="E58" s="5">
        <v>-28681</v>
      </c>
      <c r="F58" s="3" t="s">
        <v>210</v>
      </c>
      <c r="G58" s="3" t="s">
        <v>88</v>
      </c>
      <c r="H58" s="2" t="s">
        <v>21</v>
      </c>
      <c r="I58" s="2" t="s">
        <v>212</v>
      </c>
      <c r="J58" s="3" t="str">
        <f>HYPERLINK("https://www.boe.es/gazeta/dias/1821/06/21/pdfs/GMD-1821-174.pdf#page=4","Abrir facsímil")</f>
        <v>Abrir facsímil</v>
      </c>
      <c r="K58" s="3" t="s">
        <v>23</v>
      </c>
    </row>
    <row r="59" spans="1:11" ht="42" customHeight="1">
      <c r="A59" s="2" t="s">
        <v>196</v>
      </c>
      <c r="B59" s="2" t="s">
        <v>197</v>
      </c>
      <c r="C59" s="2" t="s">
        <v>17</v>
      </c>
      <c r="D59" s="2" t="s">
        <v>18</v>
      </c>
      <c r="E59" s="5">
        <v>-28679</v>
      </c>
      <c r="F59" s="3" t="s">
        <v>213</v>
      </c>
      <c r="G59" s="3" t="s">
        <v>88</v>
      </c>
      <c r="H59" s="2" t="s">
        <v>21</v>
      </c>
      <c r="I59" s="2" t="s">
        <v>214</v>
      </c>
      <c r="J59" s="3" t="str">
        <f>HYPERLINK("https://www.boe.es/gazeta/dias/1821/06/23/pdfs/GMD-1821-176.pdf#page=4","Abrir facsímil")</f>
        <v>Abrir facsímil</v>
      </c>
      <c r="K59" s="3" t="s">
        <v>23</v>
      </c>
    </row>
    <row r="60" spans="1:11" ht="42" customHeight="1">
      <c r="A60" s="2" t="s">
        <v>196</v>
      </c>
      <c r="B60" s="2" t="s">
        <v>197</v>
      </c>
      <c r="C60" s="2" t="s">
        <v>40</v>
      </c>
      <c r="D60" s="2" t="s">
        <v>41</v>
      </c>
      <c r="E60" s="5">
        <v>-28678</v>
      </c>
      <c r="F60" s="3" t="s">
        <v>215</v>
      </c>
      <c r="G60" s="3" t="s">
        <v>88</v>
      </c>
      <c r="H60" s="2" t="s">
        <v>21</v>
      </c>
      <c r="I60" s="2" t="s">
        <v>216</v>
      </c>
      <c r="J60" s="3" t="str">
        <f>HYPERLINK("https://www.boe.es/gazeta/dias/1821/06/24/pdfs/GMD-1821-177.pdf#page=4","Abrir facsímil")</f>
        <v>Abrir facsímil</v>
      </c>
      <c r="K60" s="3" t="s">
        <v>23</v>
      </c>
    </row>
    <row r="61" spans="1:11" ht="42" customHeight="1">
      <c r="A61" s="2" t="s">
        <v>196</v>
      </c>
      <c r="B61" s="2" t="s">
        <v>197</v>
      </c>
      <c r="C61" s="2" t="s">
        <v>40</v>
      </c>
      <c r="D61" s="2" t="s">
        <v>41</v>
      </c>
      <c r="E61" s="5">
        <v>-28567</v>
      </c>
      <c r="F61" s="3" t="s">
        <v>217</v>
      </c>
      <c r="G61" s="3" t="s">
        <v>52</v>
      </c>
      <c r="H61" s="2" t="s">
        <v>21</v>
      </c>
      <c r="I61" s="2" t="s">
        <v>218</v>
      </c>
      <c r="J61" s="3" t="str">
        <f>HYPERLINK("https://www.boe.es/gazeta/dias/1821/10/13/pdfs/GMD-1821-292.pdf#page=2","Abrir facsímil")</f>
        <v>Abrir facsímil</v>
      </c>
      <c r="K61" s="3" t="s">
        <v>23</v>
      </c>
    </row>
    <row r="62" spans="1:11" ht="42" customHeight="1">
      <c r="A62" s="2" t="s">
        <v>196</v>
      </c>
      <c r="B62" s="2" t="s">
        <v>197</v>
      </c>
      <c r="C62" s="2" t="s">
        <v>40</v>
      </c>
      <c r="D62" s="2" t="s">
        <v>41</v>
      </c>
      <c r="E62" s="5">
        <v>-28555</v>
      </c>
      <c r="F62" s="3" t="s">
        <v>219</v>
      </c>
      <c r="G62" s="3" t="s">
        <v>162</v>
      </c>
      <c r="H62" s="2" t="s">
        <v>21</v>
      </c>
      <c r="I62" s="2" t="s">
        <v>220</v>
      </c>
      <c r="J62" s="3" t="str">
        <f>HYPERLINK("https://www.boe.es/gazeta/dias/1821/10/25/pdfs/GMD-1821-304.pdf#page=5","Abrir facsímil")</f>
        <v>Abrir facsímil</v>
      </c>
      <c r="K62" s="3" t="s">
        <v>23</v>
      </c>
    </row>
    <row r="63" spans="1:11" ht="42" customHeight="1">
      <c r="A63" s="2" t="s">
        <v>196</v>
      </c>
      <c r="B63" s="2" t="s">
        <v>197</v>
      </c>
      <c r="C63" s="2" t="s">
        <v>40</v>
      </c>
      <c r="D63" s="2" t="s">
        <v>41</v>
      </c>
      <c r="E63" s="5">
        <v>-28542</v>
      </c>
      <c r="F63" s="3" t="s">
        <v>221</v>
      </c>
      <c r="G63" s="3" t="s">
        <v>29</v>
      </c>
      <c r="H63" s="2" t="s">
        <v>21</v>
      </c>
      <c r="I63" s="2" t="s">
        <v>222</v>
      </c>
      <c r="J63" s="3" t="str">
        <f>HYPERLINK("https://www.boe.es/gazeta/dias/1821/11/07/pdfs/GMD-1821-318.pdf#page=6","Abrir facsímil")</f>
        <v>Abrir facsímil</v>
      </c>
      <c r="K63" s="3" t="s">
        <v>23</v>
      </c>
    </row>
    <row r="64" spans="1:11" ht="42" customHeight="1">
      <c r="A64" s="2" t="s">
        <v>196</v>
      </c>
      <c r="B64" s="2" t="s">
        <v>197</v>
      </c>
      <c r="C64" s="2" t="s">
        <v>26</v>
      </c>
      <c r="D64" s="2" t="s">
        <v>27</v>
      </c>
      <c r="E64" s="5">
        <v>-28526</v>
      </c>
      <c r="F64" s="3" t="s">
        <v>223</v>
      </c>
      <c r="G64" s="3" t="s">
        <v>88</v>
      </c>
      <c r="H64" s="2" t="s">
        <v>21</v>
      </c>
      <c r="I64" s="2" t="s">
        <v>224</v>
      </c>
      <c r="J64" s="3" t="str">
        <f>HYPERLINK("https://www.boe.es/gazeta/dias/1821/11/23/pdfs/GMD-1821-334.pdf#page=4","Abrir facsímil")</f>
        <v>Abrir facsímil</v>
      </c>
      <c r="K64" s="3" t="s">
        <v>23</v>
      </c>
    </row>
    <row r="65" spans="1:11" ht="42" customHeight="1">
      <c r="A65" s="2" t="s">
        <v>196</v>
      </c>
      <c r="B65" s="2" t="s">
        <v>197</v>
      </c>
      <c r="C65" s="2" t="s">
        <v>40</v>
      </c>
      <c r="D65" s="2" t="s">
        <v>41</v>
      </c>
      <c r="E65" s="5">
        <v>-28497</v>
      </c>
      <c r="F65" s="3" t="s">
        <v>225</v>
      </c>
      <c r="G65" s="3" t="s">
        <v>43</v>
      </c>
      <c r="H65" s="2" t="s">
        <v>21</v>
      </c>
      <c r="I65" s="2" t="s">
        <v>226</v>
      </c>
      <c r="J65" s="3" t="str">
        <f>HYPERLINK("https://www.boe.es/gazeta/dias/1821/12/22/pdfs/GMD-1821-365.pdf#page=1","Abrir facsímil")</f>
        <v>Abrir facsímil</v>
      </c>
      <c r="K65" s="3" t="s">
        <v>23</v>
      </c>
    </row>
    <row r="66" spans="1:11" ht="42" customHeight="1">
      <c r="A66" s="2" t="s">
        <v>196</v>
      </c>
      <c r="B66" s="2" t="s">
        <v>197</v>
      </c>
      <c r="C66" s="2" t="s">
        <v>40</v>
      </c>
      <c r="D66" s="2" t="s">
        <v>41</v>
      </c>
      <c r="E66" s="5">
        <v>-28495</v>
      </c>
      <c r="F66" s="3" t="s">
        <v>227</v>
      </c>
      <c r="G66" s="3" t="s">
        <v>88</v>
      </c>
      <c r="H66" s="2" t="s">
        <v>21</v>
      </c>
      <c r="I66" s="2" t="s">
        <v>228</v>
      </c>
      <c r="J66" s="3" t="str">
        <f>HYPERLINK("https://www.boe.es/gazeta/dias/1821/12/24/pdfs/GMD-1821-367.pdf#page=4","Abrir facsímil")</f>
        <v>Abrir facsímil</v>
      </c>
      <c r="K66" s="3" t="s">
        <v>23</v>
      </c>
    </row>
    <row r="67" spans="1:11" ht="42" customHeight="1">
      <c r="A67" s="2" t="s">
        <v>229</v>
      </c>
      <c r="B67" s="2" t="s">
        <v>230</v>
      </c>
      <c r="C67" s="2" t="s">
        <v>35</v>
      </c>
      <c r="D67" s="2" t="s">
        <v>27</v>
      </c>
      <c r="E67" s="5">
        <v>-28703</v>
      </c>
      <c r="F67" s="3" t="s">
        <v>231</v>
      </c>
      <c r="G67" s="3" t="s">
        <v>52</v>
      </c>
      <c r="H67" s="2" t="s">
        <v>21</v>
      </c>
      <c r="I67" s="2" t="s">
        <v>232</v>
      </c>
      <c r="J67" s="3" t="str">
        <f>HYPERLINK("https://www.boe.es/gazeta/dias/1821/05/30/pdfs/GMD-1821-152.pdf#page=2","Abrir facsímil")</f>
        <v>Abrir facsímil</v>
      </c>
      <c r="K67" s="3" t="s">
        <v>23</v>
      </c>
    </row>
    <row r="68" spans="1:11" ht="42" customHeight="1">
      <c r="A68" s="2" t="s">
        <v>233</v>
      </c>
      <c r="B68" s="2" t="s">
        <v>234</v>
      </c>
      <c r="C68" s="2" t="s">
        <v>26</v>
      </c>
      <c r="D68" s="2" t="s">
        <v>27</v>
      </c>
      <c r="E68" s="5">
        <v>-28629</v>
      </c>
      <c r="F68" s="3" t="s">
        <v>235</v>
      </c>
      <c r="G68" s="3" t="s">
        <v>88</v>
      </c>
      <c r="H68" s="2" t="s">
        <v>21</v>
      </c>
      <c r="I68" s="2" t="s">
        <v>236</v>
      </c>
      <c r="J68" s="3" t="str">
        <f>HYPERLINK("https://www.boe.es/gazeta/dias/1821/08/12/pdfs/GMD-1821-229.pdf#page=4","Abrir facsímil")</f>
        <v>Abrir facsímil</v>
      </c>
      <c r="K68" s="3" t="s">
        <v>23</v>
      </c>
    </row>
    <row r="69" spans="1:11" ht="42" customHeight="1">
      <c r="A69" s="2" t="s">
        <v>233</v>
      </c>
      <c r="B69" s="2" t="s">
        <v>234</v>
      </c>
      <c r="C69" s="2" t="s">
        <v>26</v>
      </c>
      <c r="D69" s="2" t="s">
        <v>27</v>
      </c>
      <c r="E69" s="5">
        <v>-28530</v>
      </c>
      <c r="F69" s="3" t="s">
        <v>237</v>
      </c>
      <c r="G69" s="3" t="s">
        <v>52</v>
      </c>
      <c r="H69" s="2" t="s">
        <v>21</v>
      </c>
      <c r="I69" s="2" t="s">
        <v>238</v>
      </c>
      <c r="J69" s="3" t="str">
        <f>HYPERLINK("https://www.boe.es/gazeta/dias/1821/11/19/pdfs/GMD-1821-330.pdf#page=2","Abrir facsímil")</f>
        <v>Abrir facsímil</v>
      </c>
      <c r="K69" s="3" t="s">
        <v>23</v>
      </c>
    </row>
    <row r="70" spans="1:11" ht="42" customHeight="1">
      <c r="A70" s="2" t="s">
        <v>239</v>
      </c>
      <c r="B70" s="2" t="s">
        <v>239</v>
      </c>
      <c r="C70" s="2" t="s">
        <v>35</v>
      </c>
      <c r="D70" s="2" t="s">
        <v>27</v>
      </c>
      <c r="E70" s="5">
        <v>-28561</v>
      </c>
      <c r="F70" s="3" t="s">
        <v>240</v>
      </c>
      <c r="G70" s="3" t="s">
        <v>162</v>
      </c>
      <c r="H70" s="2" t="s">
        <v>21</v>
      </c>
      <c r="I70" s="2" t="s">
        <v>241</v>
      </c>
      <c r="J70" s="3" t="str">
        <f>HYPERLINK("https://www.boe.es/gazeta/dias/1821/10/19/pdfs/GMD-1821-298.pdf#page=5","Abrir facsímil")</f>
        <v>Abrir facsímil</v>
      </c>
      <c r="K70" s="3" t="s">
        <v>23</v>
      </c>
    </row>
    <row r="71" spans="1:11" ht="42" customHeight="1">
      <c r="A71" s="2" t="s">
        <v>242</v>
      </c>
      <c r="B71" s="2" t="s">
        <v>242</v>
      </c>
      <c r="C71" s="2" t="s">
        <v>40</v>
      </c>
      <c r="D71" s="2" t="s">
        <v>41</v>
      </c>
      <c r="E71" s="5">
        <v>-28670</v>
      </c>
      <c r="F71" s="3" t="s">
        <v>243</v>
      </c>
      <c r="G71" s="3" t="s">
        <v>52</v>
      </c>
      <c r="H71" s="2" t="s">
        <v>21</v>
      </c>
      <c r="I71" s="2" t="s">
        <v>244</v>
      </c>
      <c r="J71" s="3" t="str">
        <f>HYPERLINK("https://www.boe.es/gazeta/dias/1821/07/02/pdfs/GMD-1821-186.pdf#page=2","Abrir facsímil")</f>
        <v>Abrir facsímil</v>
      </c>
      <c r="K71" s="3" t="s">
        <v>23</v>
      </c>
    </row>
    <row r="72" spans="1:11" ht="42" customHeight="1">
      <c r="A72" s="2" t="s">
        <v>245</v>
      </c>
      <c r="B72" s="2" t="s">
        <v>246</v>
      </c>
      <c r="C72" s="2" t="s">
        <v>17</v>
      </c>
      <c r="D72" s="2" t="s">
        <v>18</v>
      </c>
      <c r="E72" s="5">
        <v>-28547</v>
      </c>
      <c r="F72" s="3" t="s">
        <v>247</v>
      </c>
      <c r="G72" s="3" t="s">
        <v>248</v>
      </c>
      <c r="H72" s="2" t="s">
        <v>21</v>
      </c>
      <c r="I72" s="2" t="s">
        <v>249</v>
      </c>
      <c r="J72" s="3" t="str">
        <f>HYPERLINK("https://www.boe.es/gazeta/dias/1821/11/02/pdfs/GMD-1821-312.pdf#page=2","Abrir facsímil")</f>
        <v>Abrir facsímil</v>
      </c>
      <c r="K72" s="3" t="s">
        <v>23</v>
      </c>
    </row>
    <row r="73" spans="1:11" ht="42" customHeight="1">
      <c r="A73" s="2" t="s">
        <v>250</v>
      </c>
      <c r="B73" s="2" t="s">
        <v>251</v>
      </c>
      <c r="C73" s="2" t="s">
        <v>40</v>
      </c>
      <c r="D73" s="2" t="s">
        <v>41</v>
      </c>
      <c r="E73" s="5">
        <v>-28563</v>
      </c>
      <c r="F73" s="3" t="s">
        <v>118</v>
      </c>
      <c r="G73" s="3" t="s">
        <v>20</v>
      </c>
      <c r="H73" s="2" t="s">
        <v>21</v>
      </c>
      <c r="I73" s="2" t="s">
        <v>252</v>
      </c>
      <c r="J73" s="3" t="str">
        <f>HYPERLINK("https://www.boe.es/gazeta/dias/1821/10/17/pdfs/GMD-1821-296.pdf#page=3","Abrir facsímil")</f>
        <v>Abrir facsímil</v>
      </c>
      <c r="K73" s="3" t="s">
        <v>23</v>
      </c>
    </row>
    <row r="74" spans="1:11" ht="42" customHeight="1">
      <c r="A74" s="2" t="s">
        <v>253</v>
      </c>
      <c r="B74" s="2" t="s">
        <v>253</v>
      </c>
      <c r="C74" s="2" t="s">
        <v>174</v>
      </c>
      <c r="D74" s="2" t="s">
        <v>27</v>
      </c>
      <c r="E74" s="5">
        <v>-28581</v>
      </c>
      <c r="F74" s="3" t="s">
        <v>254</v>
      </c>
      <c r="G74" s="3" t="s">
        <v>43</v>
      </c>
      <c r="H74" s="2" t="s">
        <v>21</v>
      </c>
      <c r="I74" s="2" t="s">
        <v>255</v>
      </c>
      <c r="J74" s="3" t="str">
        <f>HYPERLINK("https://www.boe.es/gazeta/dias/1821/09/29/pdfs/GMD-1821-278.pdf#page=1","Abrir facsímil")</f>
        <v>Abrir facsímil</v>
      </c>
      <c r="K74" s="3" t="s">
        <v>23</v>
      </c>
    </row>
    <row r="75" spans="1:11" ht="42" customHeight="1">
      <c r="A75" s="2" t="s">
        <v>256</v>
      </c>
      <c r="B75" s="2" t="s">
        <v>256</v>
      </c>
      <c r="C75" s="2" t="s">
        <v>26</v>
      </c>
      <c r="D75" s="2" t="s">
        <v>27</v>
      </c>
      <c r="E75" s="5">
        <v>-28523</v>
      </c>
      <c r="F75" s="3" t="s">
        <v>257</v>
      </c>
      <c r="G75" s="3" t="s">
        <v>43</v>
      </c>
      <c r="H75" s="2" t="s">
        <v>21</v>
      </c>
      <c r="I75" s="2" t="s">
        <v>258</v>
      </c>
      <c r="J75" s="3" t="str">
        <f>HYPERLINK("https://www.boe.es/gazeta/dias/1821/11/26/pdfs/GMD-1821-337.pdf#page=1","Abrir facsímil")</f>
        <v>Abrir facsímil</v>
      </c>
      <c r="K75" s="3" t="s">
        <v>23</v>
      </c>
    </row>
    <row r="76" spans="1:11" ht="42" customHeight="1">
      <c r="A76" s="2" t="s">
        <v>259</v>
      </c>
      <c r="B76" s="2" t="s">
        <v>259</v>
      </c>
      <c r="C76" s="2" t="s">
        <v>40</v>
      </c>
      <c r="D76" s="2" t="s">
        <v>41</v>
      </c>
      <c r="E76" s="5">
        <v>-28515</v>
      </c>
      <c r="F76" s="3" t="s">
        <v>260</v>
      </c>
      <c r="G76" s="3" t="s">
        <v>162</v>
      </c>
      <c r="H76" s="2" t="s">
        <v>21</v>
      </c>
      <c r="I76" s="2" t="s">
        <v>261</v>
      </c>
      <c r="J76" s="3" t="str">
        <f>HYPERLINK("https://www.boe.es/gazeta/dias/1821/12/04/pdfs/GMD-1821-346.pdf#page=5","Abrir facsímil")</f>
        <v>Abrir facsímil</v>
      </c>
      <c r="K76" s="3" t="s">
        <v>23</v>
      </c>
    </row>
    <row r="77" spans="1:11" ht="42" customHeight="1">
      <c r="A77" s="2" t="s">
        <v>262</v>
      </c>
      <c r="B77" s="2" t="s">
        <v>263</v>
      </c>
      <c r="C77" s="2" t="s">
        <v>26</v>
      </c>
      <c r="D77" s="2" t="s">
        <v>27</v>
      </c>
      <c r="E77" s="5">
        <v>-28556</v>
      </c>
      <c r="F77" s="3" t="s">
        <v>264</v>
      </c>
      <c r="G77" s="3" t="s">
        <v>20</v>
      </c>
      <c r="H77" s="2" t="s">
        <v>21</v>
      </c>
      <c r="I77" s="2" t="s">
        <v>265</v>
      </c>
      <c r="J77" s="3" t="str">
        <f>HYPERLINK("https://www.boe.es/gazeta/dias/1821/10/24/pdfs/GMD-1821-303.pdf#page=3","Abrir facsímil")</f>
        <v>Abrir facsímil</v>
      </c>
      <c r="K77" s="3" t="s">
        <v>23</v>
      </c>
    </row>
    <row r="78" spans="1:11" ht="42" customHeight="1">
      <c r="A78" s="2" t="s">
        <v>266</v>
      </c>
      <c r="B78" s="2" t="s">
        <v>267</v>
      </c>
      <c r="C78" s="2" t="s">
        <v>40</v>
      </c>
      <c r="D78" s="2" t="s">
        <v>41</v>
      </c>
      <c r="E78" s="5">
        <v>-28813</v>
      </c>
      <c r="F78" s="3" t="s">
        <v>268</v>
      </c>
      <c r="G78" s="3" t="s">
        <v>20</v>
      </c>
      <c r="H78" s="2" t="s">
        <v>21</v>
      </c>
      <c r="I78" s="2" t="s">
        <v>269</v>
      </c>
      <c r="J78" s="3" t="str">
        <f>HYPERLINK("https://www.boe.es/gazeta/dias/1821/02/09/pdfs/GGB-1821-40.pdf#page=3","Abrir facsímil")</f>
        <v>Abrir facsímil</v>
      </c>
      <c r="K78" s="3" t="s">
        <v>23</v>
      </c>
    </row>
    <row r="79" spans="1:11" ht="42" customHeight="1">
      <c r="A79" s="2" t="s">
        <v>270</v>
      </c>
      <c r="B79" s="2" t="s">
        <v>271</v>
      </c>
      <c r="C79" s="2" t="s">
        <v>26</v>
      </c>
      <c r="D79" s="2" t="s">
        <v>27</v>
      </c>
      <c r="E79" s="5">
        <v>-28547</v>
      </c>
      <c r="F79" s="3" t="s">
        <v>247</v>
      </c>
      <c r="G79" s="3" t="s">
        <v>248</v>
      </c>
      <c r="H79" s="2" t="s">
        <v>21</v>
      </c>
      <c r="I79" s="2" t="s">
        <v>272</v>
      </c>
      <c r="J79" s="3" t="str">
        <f>HYPERLINK("https://www.boe.es/gazeta/dias/1821/11/02/pdfs/GMD-1821-312.pdf#page=2","Abrir facsímil")</f>
        <v>Abrir facsímil</v>
      </c>
      <c r="K79" s="3" t="s">
        <v>23</v>
      </c>
    </row>
    <row r="80" spans="1:11" ht="42" customHeight="1">
      <c r="A80" s="2" t="s">
        <v>273</v>
      </c>
      <c r="B80" s="2" t="s">
        <v>274</v>
      </c>
      <c r="C80" s="2" t="s">
        <v>40</v>
      </c>
      <c r="D80" s="2" t="s">
        <v>41</v>
      </c>
      <c r="E80" s="5">
        <v>-28541</v>
      </c>
      <c r="F80" s="3" t="s">
        <v>275</v>
      </c>
      <c r="G80" s="3" t="s">
        <v>29</v>
      </c>
      <c r="H80" s="2" t="s">
        <v>30</v>
      </c>
      <c r="I80" s="2" t="s">
        <v>276</v>
      </c>
      <c r="J80" s="3" t="str">
        <f>HYPERLINK("https://www.boe.es/gazeta/dias/1821/11/08/pdfs/GMD-1821-319.pdf#page=6","Abrir facsímil")</f>
        <v>Abrir facsímil</v>
      </c>
      <c r="K80" s="3" t="s">
        <v>32</v>
      </c>
    </row>
    <row r="81" spans="1:11" ht="42" customHeight="1">
      <c r="A81" s="2" t="s">
        <v>277</v>
      </c>
      <c r="B81" s="2" t="s">
        <v>278</v>
      </c>
      <c r="C81" s="2" t="s">
        <v>279</v>
      </c>
      <c r="D81" s="2" t="s">
        <v>27</v>
      </c>
      <c r="E81" s="5">
        <v>-28699</v>
      </c>
      <c r="F81" s="3" t="s">
        <v>280</v>
      </c>
      <c r="G81" s="3" t="s">
        <v>29</v>
      </c>
      <c r="H81" s="2" t="s">
        <v>21</v>
      </c>
      <c r="I81" s="2" t="s">
        <v>281</v>
      </c>
      <c r="J81" s="3" t="str">
        <f>HYPERLINK("https://www.boe.es/gazeta/dias/1821/06/03/pdfs/GMD-1821-156.pdf#page=6","Abrir facsímil")</f>
        <v>Abrir facsímil</v>
      </c>
      <c r="K81" s="3" t="s">
        <v>23</v>
      </c>
    </row>
    <row r="82" spans="1:11" ht="42" customHeight="1">
      <c r="A82" s="2" t="s">
        <v>282</v>
      </c>
      <c r="B82" s="2" t="s">
        <v>283</v>
      </c>
      <c r="C82" s="2" t="s">
        <v>279</v>
      </c>
      <c r="D82" s="2" t="s">
        <v>27</v>
      </c>
      <c r="E82" s="5">
        <v>-28545</v>
      </c>
      <c r="F82" s="3" t="s">
        <v>284</v>
      </c>
      <c r="G82" s="3" t="s">
        <v>29</v>
      </c>
      <c r="H82" s="2" t="s">
        <v>21</v>
      </c>
      <c r="I82" s="2" t="s">
        <v>285</v>
      </c>
      <c r="J82" s="3" t="str">
        <f>HYPERLINK("https://www.boe.es/gazeta/dias/1821/11/04/pdfs/GMD-1821-315.pdf#page=6","Abrir facsímil")</f>
        <v>Abrir facsímil</v>
      </c>
      <c r="K82" s="3" t="s">
        <v>23</v>
      </c>
    </row>
    <row r="83" spans="1:11" ht="42" customHeight="1">
      <c r="A83" s="2" t="s">
        <v>286</v>
      </c>
      <c r="B83" s="2" t="s">
        <v>287</v>
      </c>
      <c r="C83" s="2" t="s">
        <v>40</v>
      </c>
      <c r="D83" s="2" t="s">
        <v>41</v>
      </c>
      <c r="E83" s="5">
        <v>-28847</v>
      </c>
      <c r="F83" s="3" t="s">
        <v>288</v>
      </c>
      <c r="G83" s="3" t="s">
        <v>289</v>
      </c>
      <c r="H83" s="2" t="s">
        <v>21</v>
      </c>
      <c r="I83" s="2" t="s">
        <v>290</v>
      </c>
      <c r="J83" s="3" t="str">
        <f>HYPERLINK("https://www.boe.es/gazeta/dias/1821/01/06/pdfs/GGB-1821-6.pdf#page=4","Abrir facsímil")</f>
        <v>Abrir facsímil</v>
      </c>
      <c r="K83" s="3" t="s">
        <v>23</v>
      </c>
    </row>
    <row r="84" spans="1:11" ht="42" customHeight="1">
      <c r="A84" s="2" t="s">
        <v>291</v>
      </c>
      <c r="B84" s="2" t="s">
        <v>292</v>
      </c>
      <c r="C84" s="2" t="s">
        <v>40</v>
      </c>
      <c r="D84" s="2" t="s">
        <v>41</v>
      </c>
      <c r="E84" s="5">
        <v>-28791</v>
      </c>
      <c r="F84" s="3" t="s">
        <v>47</v>
      </c>
      <c r="G84" s="3" t="s">
        <v>293</v>
      </c>
      <c r="H84" s="2" t="s">
        <v>21</v>
      </c>
      <c r="I84" s="2" t="s">
        <v>294</v>
      </c>
      <c r="J84" s="3" t="str">
        <f>HYPERLINK("https://www.boe.es/gazeta/dias/1821/03/03/pdfs/GGB-1821-62.pdf#page=2","Abrir facsímil")</f>
        <v>Abrir facsímil</v>
      </c>
      <c r="K84" s="3" t="s">
        <v>23</v>
      </c>
    </row>
    <row r="85" spans="1:11" ht="42" customHeight="1">
      <c r="A85" s="2" t="s">
        <v>295</v>
      </c>
      <c r="B85" s="2" t="s">
        <v>296</v>
      </c>
      <c r="C85" s="2" t="s">
        <v>17</v>
      </c>
      <c r="D85" s="2" t="s">
        <v>18</v>
      </c>
      <c r="E85" s="5">
        <v>-28684</v>
      </c>
      <c r="F85" s="3" t="s">
        <v>208</v>
      </c>
      <c r="G85" s="3" t="s">
        <v>88</v>
      </c>
      <c r="H85" s="2" t="s">
        <v>21</v>
      </c>
      <c r="I85" s="2" t="s">
        <v>297</v>
      </c>
      <c r="J85" s="3" t="str">
        <f>HYPERLINK("https://www.boe.es/gazeta/dias/1821/06/18/pdfs/GMD-1821-171.pdf#page=4","Abrir facsímil")</f>
        <v>Abrir facsímil</v>
      </c>
      <c r="K85" s="3" t="s">
        <v>23</v>
      </c>
    </row>
    <row r="86" spans="1:11" ht="42" customHeight="1">
      <c r="A86" s="2" t="s">
        <v>295</v>
      </c>
      <c r="B86" s="2" t="s">
        <v>296</v>
      </c>
      <c r="C86" s="2" t="s">
        <v>40</v>
      </c>
      <c r="D86" s="2" t="s">
        <v>41</v>
      </c>
      <c r="E86" s="5">
        <v>-28500</v>
      </c>
      <c r="F86" s="3" t="s">
        <v>298</v>
      </c>
      <c r="G86" s="3" t="s">
        <v>299</v>
      </c>
      <c r="H86" s="2" t="s">
        <v>21</v>
      </c>
      <c r="I86" s="2" t="s">
        <v>300</v>
      </c>
      <c r="J86" s="3" t="str">
        <f>HYPERLINK("https://www.boe.es/gazeta/dias/1821/12/19/pdfs/GMD-1821-362.pdf#page=4","Abrir facsímil")</f>
        <v>Abrir facsímil</v>
      </c>
      <c r="K86" s="3" t="s">
        <v>23</v>
      </c>
    </row>
    <row r="87" spans="1:11" ht="42" customHeight="1">
      <c r="A87" s="2" t="s">
        <v>301</v>
      </c>
      <c r="B87" s="2" t="s">
        <v>302</v>
      </c>
      <c r="C87" s="2" t="s">
        <v>114</v>
      </c>
      <c r="D87" s="2" t="s">
        <v>27</v>
      </c>
      <c r="E87" s="5">
        <v>-28685</v>
      </c>
      <c r="F87" s="3" t="s">
        <v>303</v>
      </c>
      <c r="G87" s="3" t="s">
        <v>162</v>
      </c>
      <c r="H87" s="2" t="s">
        <v>21</v>
      </c>
      <c r="I87" s="2" t="s">
        <v>304</v>
      </c>
      <c r="J87" s="3" t="str">
        <f>HYPERLINK("https://www.boe.es/gazeta/dias/1821/06/17/pdfs/GMD-1821-170.pdf#page=5","Abrir facsímil")</f>
        <v>Abrir facsímil</v>
      </c>
      <c r="K87" s="3" t="s">
        <v>23</v>
      </c>
    </row>
    <row r="88" spans="1:11" ht="42" customHeight="1">
      <c r="A88" s="2" t="s">
        <v>301</v>
      </c>
      <c r="B88" s="2" t="s">
        <v>302</v>
      </c>
      <c r="C88" s="2" t="s">
        <v>40</v>
      </c>
      <c r="D88" s="2" t="s">
        <v>41</v>
      </c>
      <c r="E88" s="5">
        <v>-28581</v>
      </c>
      <c r="F88" s="3" t="s">
        <v>254</v>
      </c>
      <c r="G88" s="3" t="s">
        <v>88</v>
      </c>
      <c r="H88" s="2" t="s">
        <v>21</v>
      </c>
      <c r="I88" s="2" t="s">
        <v>305</v>
      </c>
      <c r="J88" s="3" t="str">
        <f>HYPERLINK("https://www.boe.es/gazeta/dias/1821/09/29/pdfs/GMD-1821-278.pdf#page=4","Abrir facsímil")</f>
        <v>Abrir facsímil</v>
      </c>
      <c r="K88" s="3" t="s">
        <v>23</v>
      </c>
    </row>
    <row r="89" spans="1:11" ht="42" customHeight="1">
      <c r="A89" s="2" t="s">
        <v>306</v>
      </c>
      <c r="B89" s="2" t="s">
        <v>307</v>
      </c>
      <c r="C89" s="2" t="s">
        <v>114</v>
      </c>
      <c r="D89" s="2" t="s">
        <v>27</v>
      </c>
      <c r="E89" s="5">
        <v>-28810</v>
      </c>
      <c r="F89" s="3" t="s">
        <v>308</v>
      </c>
      <c r="G89" s="3" t="s">
        <v>88</v>
      </c>
      <c r="H89" s="2" t="s">
        <v>21</v>
      </c>
      <c r="I89" s="2" t="s">
        <v>309</v>
      </c>
      <c r="J89" s="3" t="str">
        <f>HYPERLINK("https://www.boe.es/gazeta/dias/1821/02/12/pdfs/GGB-1821-43.pdf#page=4","Abrir facsímil")</f>
        <v>Abrir facsímil</v>
      </c>
      <c r="K89" s="3" t="s">
        <v>23</v>
      </c>
    </row>
    <row r="90" spans="1:11" ht="42" customHeight="1">
      <c r="A90" s="2" t="s">
        <v>310</v>
      </c>
      <c r="B90" s="2" t="s">
        <v>311</v>
      </c>
      <c r="C90" s="2" t="s">
        <v>26</v>
      </c>
      <c r="D90" s="2" t="s">
        <v>27</v>
      </c>
      <c r="E90" s="5">
        <v>-28776</v>
      </c>
      <c r="F90" s="3" t="s">
        <v>312</v>
      </c>
      <c r="G90" s="3" t="s">
        <v>162</v>
      </c>
      <c r="H90" s="2" t="s">
        <v>21</v>
      </c>
      <c r="I90" s="2" t="s">
        <v>313</v>
      </c>
      <c r="J90" s="3" t="str">
        <f>HYPERLINK("https://www.boe.es/gazeta/dias/1821/03/18/pdfs/GMD-1821-77.pdf#page=5","Abrir facsímil")</f>
        <v>Abrir facsímil</v>
      </c>
      <c r="K90" s="3" t="s">
        <v>23</v>
      </c>
    </row>
    <row r="91" spans="1:11" ht="42" customHeight="1">
      <c r="A91" s="2" t="s">
        <v>314</v>
      </c>
      <c r="B91" s="2" t="s">
        <v>315</v>
      </c>
      <c r="C91" s="2" t="s">
        <v>40</v>
      </c>
      <c r="D91" s="2" t="s">
        <v>41</v>
      </c>
      <c r="E91" s="5">
        <v>-28557</v>
      </c>
      <c r="F91" s="3" t="s">
        <v>316</v>
      </c>
      <c r="G91" s="3" t="s">
        <v>29</v>
      </c>
      <c r="H91" s="2" t="s">
        <v>21</v>
      </c>
      <c r="I91" s="2" t="s">
        <v>317</v>
      </c>
      <c r="J91" s="3" t="str">
        <f>HYPERLINK("https://www.boe.es/gazeta/dias/1821/10/23/pdfs/GMD-1821-302.pdf#page=6","Abrir facsímil")</f>
        <v>Abrir facsímil</v>
      </c>
      <c r="K91" s="3" t="s">
        <v>23</v>
      </c>
    </row>
    <row r="92" spans="1:11" ht="42" customHeight="1">
      <c r="A92" s="2" t="s">
        <v>318</v>
      </c>
      <c r="B92" s="2" t="s">
        <v>319</v>
      </c>
      <c r="C92" s="2" t="s">
        <v>17</v>
      </c>
      <c r="D92" s="2" t="s">
        <v>18</v>
      </c>
      <c r="E92" s="5">
        <v>-28803</v>
      </c>
      <c r="F92" s="3" t="s">
        <v>320</v>
      </c>
      <c r="G92" s="3" t="s">
        <v>20</v>
      </c>
      <c r="H92" s="2" t="s">
        <v>21</v>
      </c>
      <c r="I92" s="2" t="s">
        <v>321</v>
      </c>
      <c r="J92" s="3" t="str">
        <f>HYPERLINK("https://www.boe.es/gazeta/dias/1821/02/19/pdfs/GGB-1821-50.pdf#page=3","Abrir facsímil")</f>
        <v>Abrir facsímil</v>
      </c>
      <c r="K92" s="3" t="s">
        <v>23</v>
      </c>
    </row>
    <row r="93" spans="1:11" ht="42" customHeight="1">
      <c r="A93" s="2" t="s">
        <v>322</v>
      </c>
      <c r="B93" s="2" t="s">
        <v>323</v>
      </c>
      <c r="C93" s="2" t="s">
        <v>17</v>
      </c>
      <c r="D93" s="2" t="s">
        <v>18</v>
      </c>
      <c r="E93" s="5">
        <v>-28742</v>
      </c>
      <c r="F93" s="3" t="s">
        <v>324</v>
      </c>
      <c r="G93" s="3" t="s">
        <v>20</v>
      </c>
      <c r="H93" s="2" t="s">
        <v>21</v>
      </c>
      <c r="I93" s="2" t="s">
        <v>325</v>
      </c>
      <c r="J93" s="3" t="str">
        <f>HYPERLINK("https://www.boe.es/gazeta/dias/1821/04/21/pdfs/GMD-1821-113.pdf#page=3","Abrir facsímil")</f>
        <v>Abrir facsímil</v>
      </c>
      <c r="K93" s="3" t="s">
        <v>23</v>
      </c>
    </row>
    <row r="94" spans="1:11" ht="42" customHeight="1">
      <c r="A94" s="2" t="s">
        <v>322</v>
      </c>
      <c r="B94" s="2" t="s">
        <v>323</v>
      </c>
      <c r="C94" s="2" t="s">
        <v>17</v>
      </c>
      <c r="D94" s="2" t="s">
        <v>18</v>
      </c>
      <c r="E94" s="5">
        <v>-28565</v>
      </c>
      <c r="F94" s="3" t="s">
        <v>326</v>
      </c>
      <c r="G94" s="3" t="s">
        <v>29</v>
      </c>
      <c r="H94" s="2" t="s">
        <v>21</v>
      </c>
      <c r="I94" s="2" t="s">
        <v>327</v>
      </c>
      <c r="J94" s="3" t="str">
        <f>HYPERLINK("https://www.boe.es/gazeta/dias/1821/10/15/pdfs/GMD-1821-294.pdf#page=6","Abrir facsímil")</f>
        <v>Abrir facsímil</v>
      </c>
      <c r="K94" s="3" t="s">
        <v>23</v>
      </c>
    </row>
    <row r="95" spans="1:11" ht="42" customHeight="1">
      <c r="A95" s="2" t="s">
        <v>322</v>
      </c>
      <c r="B95" s="2" t="s">
        <v>323</v>
      </c>
      <c r="C95" s="2" t="s">
        <v>174</v>
      </c>
      <c r="D95" s="2" t="s">
        <v>27</v>
      </c>
      <c r="E95" s="5">
        <v>-28527</v>
      </c>
      <c r="F95" s="3" t="s">
        <v>328</v>
      </c>
      <c r="G95" s="3" t="s">
        <v>88</v>
      </c>
      <c r="H95" s="2" t="s">
        <v>21</v>
      </c>
      <c r="I95" s="2" t="s">
        <v>329</v>
      </c>
      <c r="J95" s="3" t="str">
        <f>HYPERLINK("https://www.boe.es/gazeta/dias/1821/11/22/pdfs/GMD-1821-333.pdf#page=4","Abrir facsímil")</f>
        <v>Abrir facsímil</v>
      </c>
      <c r="K95" s="3" t="s">
        <v>23</v>
      </c>
    </row>
    <row r="96" spans="1:11" ht="42" customHeight="1">
      <c r="A96" s="2" t="s">
        <v>330</v>
      </c>
      <c r="B96" s="2" t="s">
        <v>331</v>
      </c>
      <c r="C96" s="2" t="s">
        <v>35</v>
      </c>
      <c r="D96" s="2" t="s">
        <v>27</v>
      </c>
      <c r="E96" s="5">
        <v>-28683</v>
      </c>
      <c r="F96" s="3" t="s">
        <v>332</v>
      </c>
      <c r="G96" s="3" t="s">
        <v>333</v>
      </c>
      <c r="H96" s="2" t="s">
        <v>21</v>
      </c>
      <c r="I96" s="2" t="s">
        <v>334</v>
      </c>
      <c r="J96" s="3" t="str">
        <f>HYPERLINK("https://www.boe.es/gazeta/dias/1821/06/19/pdfs/GMD-1821-172.pdf#page=8","Abrir facsímil")</f>
        <v>Abrir facsímil</v>
      </c>
      <c r="K96" s="3" t="s">
        <v>23</v>
      </c>
    </row>
    <row r="97" spans="1:11" ht="42" customHeight="1">
      <c r="A97" s="2" t="s">
        <v>335</v>
      </c>
      <c r="B97" s="2" t="s">
        <v>336</v>
      </c>
      <c r="C97" s="2" t="s">
        <v>26</v>
      </c>
      <c r="D97" s="2" t="s">
        <v>27</v>
      </c>
      <c r="E97" s="5">
        <v>-28547</v>
      </c>
      <c r="F97" s="3" t="s">
        <v>247</v>
      </c>
      <c r="G97" s="3" t="s">
        <v>248</v>
      </c>
      <c r="H97" s="2" t="s">
        <v>21</v>
      </c>
      <c r="I97" s="2" t="s">
        <v>337</v>
      </c>
      <c r="J97" s="3" t="str">
        <f>HYPERLINK("https://www.boe.es/gazeta/dias/1821/11/02/pdfs/GMD-1821-312.pdf#page=2","Abrir facsímil")</f>
        <v>Abrir facsímil</v>
      </c>
      <c r="K97" s="3" t="s">
        <v>23</v>
      </c>
    </row>
    <row r="98" spans="1:11" ht="42" customHeight="1">
      <c r="A98" s="2" t="s">
        <v>338</v>
      </c>
      <c r="B98" s="2" t="s">
        <v>339</v>
      </c>
      <c r="C98" s="2" t="s">
        <v>40</v>
      </c>
      <c r="D98" s="2" t="s">
        <v>41</v>
      </c>
      <c r="E98" s="5">
        <v>-28511</v>
      </c>
      <c r="F98" s="3" t="s">
        <v>340</v>
      </c>
      <c r="G98" s="3" t="s">
        <v>52</v>
      </c>
      <c r="H98" s="2" t="s">
        <v>21</v>
      </c>
      <c r="I98" s="2" t="s">
        <v>341</v>
      </c>
      <c r="J98" s="3" t="str">
        <f>HYPERLINK("https://www.boe.es/gazeta/dias/1821/12/08/pdfs/GMD-1821-350.pdf#page=2","Abrir facsímil")</f>
        <v>Abrir facsímil</v>
      </c>
      <c r="K98" s="3" t="s">
        <v>23</v>
      </c>
    </row>
    <row r="99" spans="1:11" ht="42" customHeight="1">
      <c r="A99" s="2" t="s">
        <v>342</v>
      </c>
      <c r="B99" s="2" t="s">
        <v>343</v>
      </c>
      <c r="C99" s="2" t="s">
        <v>26</v>
      </c>
      <c r="D99" s="2" t="s">
        <v>27</v>
      </c>
      <c r="E99" s="5">
        <v>-28629</v>
      </c>
      <c r="F99" s="3" t="s">
        <v>235</v>
      </c>
      <c r="G99" s="3" t="s">
        <v>88</v>
      </c>
      <c r="H99" s="2" t="s">
        <v>21</v>
      </c>
      <c r="I99" s="2" t="s">
        <v>344</v>
      </c>
      <c r="J99" s="3" t="str">
        <f>HYPERLINK("https://www.boe.es/gazeta/dias/1821/08/12/pdfs/GMD-1821-229.pdf#page=4","Abrir facsímil")</f>
        <v>Abrir facsímil</v>
      </c>
      <c r="K99" s="3" t="s">
        <v>23</v>
      </c>
    </row>
    <row r="100" spans="1:11" ht="42" customHeight="1">
      <c r="A100" s="2" t="s">
        <v>345</v>
      </c>
      <c r="B100" s="2" t="s">
        <v>346</v>
      </c>
      <c r="C100" s="2" t="s">
        <v>17</v>
      </c>
      <c r="D100" s="2" t="s">
        <v>18</v>
      </c>
      <c r="E100" s="5">
        <v>-28726</v>
      </c>
      <c r="F100" s="3" t="s">
        <v>347</v>
      </c>
      <c r="G100" s="3" t="s">
        <v>20</v>
      </c>
      <c r="H100" s="2" t="s">
        <v>21</v>
      </c>
      <c r="I100" s="2" t="s">
        <v>348</v>
      </c>
      <c r="J100" s="3" t="str">
        <f>HYPERLINK("https://www.boe.es/gazeta/dias/1821/05/07/pdfs/GMD-1821-129.pdf#page=3","Abrir facsímil")</f>
        <v>Abrir facsímil</v>
      </c>
      <c r="K100" s="3" t="s">
        <v>23</v>
      </c>
    </row>
    <row r="101" spans="1:11" ht="42" customHeight="1">
      <c r="A101" s="2" t="s">
        <v>349</v>
      </c>
      <c r="B101" s="2" t="s">
        <v>350</v>
      </c>
      <c r="C101" s="2" t="s">
        <v>40</v>
      </c>
      <c r="D101" s="2" t="s">
        <v>41</v>
      </c>
      <c r="E101" s="5">
        <v>-28512</v>
      </c>
      <c r="F101" s="3" t="s">
        <v>66</v>
      </c>
      <c r="G101" s="3" t="s">
        <v>43</v>
      </c>
      <c r="H101" s="2" t="s">
        <v>21</v>
      </c>
      <c r="I101" s="2" t="s">
        <v>351</v>
      </c>
      <c r="J101" s="3" t="str">
        <f>HYPERLINK("https://www.boe.es/gazeta/dias/1821/12/07/pdfs/GMD-1821-349.pdf#page=1","Abrir facsímil")</f>
        <v>Abrir facsímil</v>
      </c>
      <c r="K101" s="3" t="s">
        <v>23</v>
      </c>
    </row>
    <row r="102" spans="1:11" ht="42" customHeight="1">
      <c r="A102" s="2" t="s">
        <v>352</v>
      </c>
      <c r="B102" s="2" t="s">
        <v>352</v>
      </c>
      <c r="C102" s="2" t="s">
        <v>17</v>
      </c>
      <c r="D102" s="2" t="s">
        <v>18</v>
      </c>
      <c r="E102" s="5">
        <v>-28832</v>
      </c>
      <c r="F102" s="3" t="s">
        <v>353</v>
      </c>
      <c r="G102" s="3" t="s">
        <v>29</v>
      </c>
      <c r="H102" s="2" t="s">
        <v>21</v>
      </c>
      <c r="I102" s="2" t="s">
        <v>354</v>
      </c>
      <c r="J102" s="3" t="str">
        <f>HYPERLINK("https://www.boe.es/gazeta/dias/1821/01/21/pdfs/GGB-1821-21.pdf#page=6","Abrir facsímil")</f>
        <v>Abrir facsímil</v>
      </c>
      <c r="K102" s="3" t="s">
        <v>23</v>
      </c>
    </row>
    <row r="103" spans="1:11" ht="42" customHeight="1">
      <c r="A103" s="2" t="s">
        <v>352</v>
      </c>
      <c r="B103" s="2" t="s">
        <v>352</v>
      </c>
      <c r="C103" s="2" t="s">
        <v>40</v>
      </c>
      <c r="D103" s="2" t="s">
        <v>41</v>
      </c>
      <c r="E103" s="5">
        <v>-28791</v>
      </c>
      <c r="F103" s="3" t="s">
        <v>47</v>
      </c>
      <c r="G103" s="3" t="s">
        <v>20</v>
      </c>
      <c r="H103" s="2" t="s">
        <v>21</v>
      </c>
      <c r="I103" s="2" t="s">
        <v>355</v>
      </c>
      <c r="J103" s="3" t="str">
        <f>HYPERLINK("https://www.boe.es/gazeta/dias/1821/03/03/pdfs/GGB-1821-62.pdf#page=3","Abrir facsímil")</f>
        <v>Abrir facsímil</v>
      </c>
      <c r="K103" s="3" t="s">
        <v>23</v>
      </c>
    </row>
    <row r="104" spans="1:11" ht="42" customHeight="1">
      <c r="A104" s="2" t="s">
        <v>352</v>
      </c>
      <c r="B104" s="2" t="s">
        <v>352</v>
      </c>
      <c r="C104" s="2" t="s">
        <v>26</v>
      </c>
      <c r="D104" s="2" t="s">
        <v>27</v>
      </c>
      <c r="E104" s="5">
        <v>-28751</v>
      </c>
      <c r="F104" s="3" t="s">
        <v>356</v>
      </c>
      <c r="G104" s="3" t="s">
        <v>20</v>
      </c>
      <c r="H104" s="2" t="s">
        <v>21</v>
      </c>
      <c r="I104" s="2" t="s">
        <v>357</v>
      </c>
      <c r="J104" s="3" t="str">
        <f>HYPERLINK("https://www.boe.es/gazeta/dias/1821/04/12/pdfs/GMD-1821-104.pdf#page=3","Abrir facsímil")</f>
        <v>Abrir facsímil</v>
      </c>
      <c r="K104" s="3" t="s">
        <v>23</v>
      </c>
    </row>
    <row r="105" spans="1:11" ht="42" customHeight="1">
      <c r="A105" s="2" t="s">
        <v>352</v>
      </c>
      <c r="B105" s="2" t="s">
        <v>352</v>
      </c>
      <c r="C105" s="2" t="s">
        <v>174</v>
      </c>
      <c r="D105" s="2" t="s">
        <v>27</v>
      </c>
      <c r="E105" s="5">
        <v>-28743</v>
      </c>
      <c r="F105" s="3" t="s">
        <v>51</v>
      </c>
      <c r="G105" s="3" t="s">
        <v>88</v>
      </c>
      <c r="H105" s="2" t="s">
        <v>21</v>
      </c>
      <c r="I105" s="2" t="s">
        <v>358</v>
      </c>
      <c r="J105" s="3" t="str">
        <f>HYPERLINK("https://www.boe.es/gazeta/dias/1821/04/20/pdfs/GMD-1821-112.pdf#page=4","Abrir facsímil")</f>
        <v>Abrir facsímil</v>
      </c>
      <c r="K105" s="3" t="s">
        <v>23</v>
      </c>
    </row>
    <row r="106" spans="1:11" ht="42" customHeight="1">
      <c r="A106" s="2" t="s">
        <v>352</v>
      </c>
      <c r="B106" s="2" t="s">
        <v>352</v>
      </c>
      <c r="C106" s="2" t="s">
        <v>70</v>
      </c>
      <c r="D106" s="2" t="s">
        <v>27</v>
      </c>
      <c r="E106" s="5">
        <v>-28738</v>
      </c>
      <c r="F106" s="3" t="s">
        <v>359</v>
      </c>
      <c r="G106" s="3" t="s">
        <v>88</v>
      </c>
      <c r="H106" s="2" t="s">
        <v>21</v>
      </c>
      <c r="I106" s="2" t="s">
        <v>360</v>
      </c>
      <c r="J106" s="3" t="str">
        <f>HYPERLINK("https://www.boe.es/gazeta/dias/1821/04/25/pdfs/GMD-1821-117.pdf#page=4","Abrir facsímil")</f>
        <v>Abrir facsímil</v>
      </c>
      <c r="K106" s="3" t="s">
        <v>23</v>
      </c>
    </row>
    <row r="107" spans="1:11" ht="42" customHeight="1">
      <c r="A107" s="2" t="s">
        <v>352</v>
      </c>
      <c r="B107" s="2" t="s">
        <v>352</v>
      </c>
      <c r="C107" s="2" t="s">
        <v>35</v>
      </c>
      <c r="D107" s="2" t="s">
        <v>27</v>
      </c>
      <c r="E107" s="5">
        <v>-28677</v>
      </c>
      <c r="F107" s="3" t="s">
        <v>361</v>
      </c>
      <c r="G107" s="3" t="s">
        <v>162</v>
      </c>
      <c r="H107" s="2" t="s">
        <v>21</v>
      </c>
      <c r="I107" s="2" t="s">
        <v>362</v>
      </c>
      <c r="J107" s="3" t="str">
        <f>HYPERLINK("https://www.boe.es/gazeta/dias/1821/06/25/pdfs/GMD-1821-178.pdf#page=5","Abrir facsímil")</f>
        <v>Abrir facsímil</v>
      </c>
      <c r="K107" s="3" t="s">
        <v>23</v>
      </c>
    </row>
    <row r="108" spans="1:11" ht="42" customHeight="1">
      <c r="A108" s="2" t="s">
        <v>352</v>
      </c>
      <c r="B108" s="2" t="s">
        <v>352</v>
      </c>
      <c r="C108" s="2" t="s">
        <v>17</v>
      </c>
      <c r="D108" s="2" t="s">
        <v>18</v>
      </c>
      <c r="E108" s="5">
        <v>-28560</v>
      </c>
      <c r="F108" s="3" t="s">
        <v>363</v>
      </c>
      <c r="G108" s="3" t="s">
        <v>162</v>
      </c>
      <c r="H108" s="2" t="s">
        <v>21</v>
      </c>
      <c r="I108" s="2" t="s">
        <v>364</v>
      </c>
      <c r="J108" s="3" t="str">
        <f>HYPERLINK("https://www.boe.es/gazeta/dias/1821/10/20/pdfs/GMD-1821-299.pdf#page=5","Abrir facsímil")</f>
        <v>Abrir facsímil</v>
      </c>
      <c r="K108" s="3" t="s">
        <v>23</v>
      </c>
    </row>
    <row r="109" spans="1:11" ht="42" customHeight="1">
      <c r="A109" s="2" t="s">
        <v>352</v>
      </c>
      <c r="B109" s="2" t="s">
        <v>352</v>
      </c>
      <c r="C109" s="2" t="s">
        <v>17</v>
      </c>
      <c r="D109" s="2" t="s">
        <v>18</v>
      </c>
      <c r="E109" s="5">
        <v>-28531</v>
      </c>
      <c r="F109" s="3" t="s">
        <v>365</v>
      </c>
      <c r="G109" s="3" t="s">
        <v>20</v>
      </c>
      <c r="H109" s="2" t="s">
        <v>21</v>
      </c>
      <c r="I109" s="2" t="s">
        <v>366</v>
      </c>
      <c r="J109" s="3" t="str">
        <f>HYPERLINK("https://www.boe.es/gazeta/dias/1821/11/18/pdfs/GMD-1821-329.pdf#page=3","Abrir facsímil")</f>
        <v>Abrir facsímil</v>
      </c>
      <c r="K109" s="3" t="s">
        <v>23</v>
      </c>
    </row>
    <row r="110" spans="1:11" ht="42" customHeight="1">
      <c r="A110" s="2" t="s">
        <v>367</v>
      </c>
      <c r="B110" s="2" t="s">
        <v>368</v>
      </c>
      <c r="C110" s="2" t="s">
        <v>174</v>
      </c>
      <c r="D110" s="2" t="s">
        <v>27</v>
      </c>
      <c r="E110" s="5">
        <v>-28834</v>
      </c>
      <c r="F110" s="3" t="s">
        <v>369</v>
      </c>
      <c r="G110" s="3" t="s">
        <v>88</v>
      </c>
      <c r="H110" s="2" t="s">
        <v>21</v>
      </c>
      <c r="I110" s="2" t="s">
        <v>370</v>
      </c>
      <c r="J110" s="3" t="str">
        <f>HYPERLINK("https://www.boe.es/gazeta/dias/1821/01/19/pdfs/GGB-1821-19.pdf#page=4","Abrir facsímil")</f>
        <v>Abrir facsímil</v>
      </c>
      <c r="K110" s="3" t="s">
        <v>23</v>
      </c>
    </row>
    <row r="111" spans="1:11" ht="42" customHeight="1">
      <c r="A111" s="2" t="s">
        <v>367</v>
      </c>
      <c r="B111" s="2" t="s">
        <v>368</v>
      </c>
      <c r="C111" s="2" t="s">
        <v>35</v>
      </c>
      <c r="D111" s="2" t="s">
        <v>27</v>
      </c>
      <c r="E111" s="5">
        <v>-28821</v>
      </c>
      <c r="F111" s="3" t="s">
        <v>371</v>
      </c>
      <c r="G111" s="3" t="s">
        <v>88</v>
      </c>
      <c r="H111" s="2" t="s">
        <v>21</v>
      </c>
      <c r="I111" s="2" t="s">
        <v>372</v>
      </c>
      <c r="J111" s="3" t="str">
        <f>HYPERLINK("https://www.boe.es/gazeta/dias/1821/02/01/pdfs/GGB-1821-32.pdf#page=4","Abrir facsímil")</f>
        <v>Abrir facsímil</v>
      </c>
      <c r="K111" s="3" t="s">
        <v>23</v>
      </c>
    </row>
    <row r="112" spans="1:11" ht="42" customHeight="1">
      <c r="A112" s="2" t="s">
        <v>373</v>
      </c>
      <c r="B112" s="2" t="s">
        <v>374</v>
      </c>
      <c r="C112" s="2" t="s">
        <v>17</v>
      </c>
      <c r="D112" s="2" t="s">
        <v>18</v>
      </c>
      <c r="E112" s="5">
        <v>-28710</v>
      </c>
      <c r="F112" s="3" t="s">
        <v>375</v>
      </c>
      <c r="G112" s="3" t="s">
        <v>88</v>
      </c>
      <c r="H112" s="2" t="s">
        <v>21</v>
      </c>
      <c r="I112" s="2" t="s">
        <v>376</v>
      </c>
      <c r="J112" s="3" t="str">
        <f>HYPERLINK("https://www.boe.es/gazeta/dias/1821/05/23/pdfs/GMD-1821-145.pdf#page=4","Abrir facsímil")</f>
        <v>Abrir facsímil</v>
      </c>
      <c r="K112" s="3" t="s">
        <v>23</v>
      </c>
    </row>
    <row r="113" spans="1:11" ht="42" customHeight="1">
      <c r="A113" s="2" t="s">
        <v>377</v>
      </c>
      <c r="B113" s="2" t="s">
        <v>377</v>
      </c>
      <c r="C113" s="2" t="s">
        <v>17</v>
      </c>
      <c r="D113" s="2" t="s">
        <v>18</v>
      </c>
      <c r="E113" s="5">
        <v>-28801</v>
      </c>
      <c r="F113" s="3" t="s">
        <v>378</v>
      </c>
      <c r="G113" s="3" t="s">
        <v>20</v>
      </c>
      <c r="H113" s="2" t="s">
        <v>21</v>
      </c>
      <c r="I113" s="2" t="s">
        <v>379</v>
      </c>
      <c r="J113" s="3" t="str">
        <f>HYPERLINK("https://www.boe.es/gazeta/dias/1821/02/21/pdfs/GGB-1821-52.pdf#page=3","Abrir facsímil")</f>
        <v>Abrir facsímil</v>
      </c>
      <c r="K113" s="3" t="s">
        <v>23</v>
      </c>
    </row>
    <row r="114" spans="1:11" ht="42" customHeight="1">
      <c r="A114" s="2" t="s">
        <v>380</v>
      </c>
      <c r="B114" s="2" t="s">
        <v>381</v>
      </c>
      <c r="C114" s="2" t="s">
        <v>279</v>
      </c>
      <c r="D114" s="2" t="s">
        <v>27</v>
      </c>
      <c r="E114" s="5">
        <v>-28805</v>
      </c>
      <c r="F114" s="3" t="s">
        <v>382</v>
      </c>
      <c r="G114" s="3" t="s">
        <v>88</v>
      </c>
      <c r="H114" s="2" t="s">
        <v>21</v>
      </c>
      <c r="I114" s="2" t="s">
        <v>383</v>
      </c>
      <c r="J114" s="3" t="str">
        <f>HYPERLINK("https://www.boe.es/gazeta/dias/1821/02/17/pdfs/GGB-1821-48.pdf#page=4","Abrir facsímil")</f>
        <v>Abrir facsímil</v>
      </c>
      <c r="K114" s="3" t="s">
        <v>23</v>
      </c>
    </row>
    <row r="115" spans="1:11" ht="42" customHeight="1">
      <c r="A115" s="2" t="s">
        <v>384</v>
      </c>
      <c r="B115" s="2" t="s">
        <v>384</v>
      </c>
      <c r="C115" s="2" t="s">
        <v>40</v>
      </c>
      <c r="D115" s="2" t="s">
        <v>41</v>
      </c>
      <c r="E115" s="5">
        <v>-28751</v>
      </c>
      <c r="F115" s="3" t="s">
        <v>356</v>
      </c>
      <c r="G115" s="3" t="s">
        <v>52</v>
      </c>
      <c r="H115" s="2" t="s">
        <v>21</v>
      </c>
      <c r="I115" s="2" t="s">
        <v>385</v>
      </c>
      <c r="J115" s="3" t="str">
        <f>HYPERLINK("https://www.boe.es/gazeta/dias/1821/04/12/pdfs/GMD-1821-104.pdf#page=2","Abrir facsímil")</f>
        <v>Abrir facsímil</v>
      </c>
      <c r="K115" s="3" t="s">
        <v>23</v>
      </c>
    </row>
    <row r="116" spans="1:11" ht="42" customHeight="1">
      <c r="A116" s="2" t="s">
        <v>386</v>
      </c>
      <c r="B116" s="2" t="s">
        <v>387</v>
      </c>
      <c r="C116" s="2" t="s">
        <v>26</v>
      </c>
      <c r="D116" s="2" t="s">
        <v>27</v>
      </c>
      <c r="E116" s="5">
        <v>-28509</v>
      </c>
      <c r="F116" s="3" t="s">
        <v>388</v>
      </c>
      <c r="G116" s="3" t="s">
        <v>29</v>
      </c>
      <c r="H116" s="2" t="s">
        <v>21</v>
      </c>
      <c r="I116" s="2" t="s">
        <v>389</v>
      </c>
      <c r="J116" s="3" t="str">
        <f>HYPERLINK("https://www.boe.es/gazeta/dias/1821/12/10/pdfs/GMD-1821-352.pdf#page=6","Abrir facsímil")</f>
        <v>Abrir facsímil</v>
      </c>
      <c r="K116" s="3" t="s">
        <v>23</v>
      </c>
    </row>
    <row r="117" spans="1:11" ht="42" customHeight="1">
      <c r="A117" s="2" t="s">
        <v>390</v>
      </c>
      <c r="B117" s="2" t="s">
        <v>391</v>
      </c>
      <c r="C117" s="2" t="s">
        <v>17</v>
      </c>
      <c r="D117" s="2" t="s">
        <v>18</v>
      </c>
      <c r="E117" s="5">
        <v>-28587</v>
      </c>
      <c r="F117" s="3" t="s">
        <v>392</v>
      </c>
      <c r="G117" s="3" t="s">
        <v>88</v>
      </c>
      <c r="H117" s="2" t="s">
        <v>21</v>
      </c>
      <c r="I117" s="2" t="s">
        <v>393</v>
      </c>
      <c r="J117" s="3" t="str">
        <f>HYPERLINK("https://www.boe.es/gazeta/dias/1821/09/23/pdfs/GMD-1821-271.pdf#page=4","Abrir facsímil")</f>
        <v>Abrir facsímil</v>
      </c>
      <c r="K117" s="3" t="s">
        <v>23</v>
      </c>
    </row>
    <row r="118" spans="1:11" ht="42" customHeight="1">
      <c r="A118" s="2" t="s">
        <v>394</v>
      </c>
      <c r="B118" s="2" t="s">
        <v>394</v>
      </c>
      <c r="C118" s="2" t="s">
        <v>70</v>
      </c>
      <c r="D118" s="2" t="s">
        <v>27</v>
      </c>
      <c r="E118" s="5">
        <v>-28538</v>
      </c>
      <c r="F118" s="3" t="s">
        <v>395</v>
      </c>
      <c r="G118" s="3" t="s">
        <v>20</v>
      </c>
      <c r="H118" s="2" t="s">
        <v>21</v>
      </c>
      <c r="I118" s="2" t="s">
        <v>396</v>
      </c>
      <c r="J118" s="3" t="str">
        <f>HYPERLINK("https://www.boe.es/gazeta/dias/1821/11/11/pdfs/GMD-1821-322.pdf#page=3","Abrir facsímil")</f>
        <v>Abrir facsímil</v>
      </c>
      <c r="K118" s="3" t="s">
        <v>23</v>
      </c>
    </row>
    <row r="119" spans="1:11" ht="42" customHeight="1">
      <c r="A119" s="2" t="s">
        <v>397</v>
      </c>
      <c r="B119" s="2" t="s">
        <v>397</v>
      </c>
      <c r="C119" s="2" t="s">
        <v>26</v>
      </c>
      <c r="D119" s="2" t="s">
        <v>27</v>
      </c>
      <c r="E119" s="5">
        <v>-28641</v>
      </c>
      <c r="F119" s="3" t="s">
        <v>398</v>
      </c>
      <c r="G119" s="3" t="s">
        <v>20</v>
      </c>
      <c r="H119" s="2" t="s">
        <v>21</v>
      </c>
      <c r="I119" s="2" t="s">
        <v>399</v>
      </c>
      <c r="J119" s="3" t="str">
        <f>HYPERLINK("https://www.boe.es/gazeta/dias/1821/07/31/pdfs/GMD-1821-216.pdf#page=3","Abrir facsímil")</f>
        <v>Abrir facsímil</v>
      </c>
      <c r="K119" s="3" t="s">
        <v>23</v>
      </c>
    </row>
    <row r="120" spans="1:11" ht="42" customHeight="1">
      <c r="A120" s="2" t="s">
        <v>400</v>
      </c>
      <c r="B120" s="2" t="s">
        <v>401</v>
      </c>
      <c r="C120" s="2" t="s">
        <v>26</v>
      </c>
      <c r="D120" s="2" t="s">
        <v>27</v>
      </c>
      <c r="E120" s="5">
        <v>-28620</v>
      </c>
      <c r="F120" s="3" t="s">
        <v>87</v>
      </c>
      <c r="G120" s="3" t="s">
        <v>88</v>
      </c>
      <c r="H120" s="2" t="s">
        <v>21</v>
      </c>
      <c r="I120" s="2" t="s">
        <v>402</v>
      </c>
      <c r="J120" s="3" t="str">
        <f>HYPERLINK("https://www.boe.es/gazeta/dias/1821/08/21/pdfs/GMD-1821-238.pdf#page=4","Abrir facsímil")</f>
        <v>Abrir facsímil</v>
      </c>
      <c r="K120" s="3" t="s">
        <v>23</v>
      </c>
    </row>
    <row r="121" spans="1:11" ht="42" customHeight="1">
      <c r="A121" s="2" t="s">
        <v>403</v>
      </c>
      <c r="B121" s="2" t="s">
        <v>404</v>
      </c>
      <c r="C121" s="2" t="s">
        <v>40</v>
      </c>
      <c r="D121" s="2" t="s">
        <v>405</v>
      </c>
      <c r="E121" s="5">
        <v>-28766</v>
      </c>
      <c r="F121" s="3" t="s">
        <v>406</v>
      </c>
      <c r="G121" s="3" t="s">
        <v>43</v>
      </c>
      <c r="H121" s="2" t="s">
        <v>21</v>
      </c>
      <c r="I121" s="2" t="s">
        <v>407</v>
      </c>
      <c r="J121" s="3" t="str">
        <f>HYPERLINK("https://www.boe.es/gazeta/dias/1821/03/28/pdfs/GMD-1821-89E.pdf#page=1","Abrir facsímil")</f>
        <v>Abrir facsímil</v>
      </c>
      <c r="K121" s="3" t="s">
        <v>23</v>
      </c>
    </row>
    <row r="122" spans="1:11" ht="42" customHeight="1">
      <c r="A122" s="2" t="s">
        <v>408</v>
      </c>
      <c r="B122" s="2" t="s">
        <v>409</v>
      </c>
      <c r="C122" s="2" t="s">
        <v>40</v>
      </c>
      <c r="D122" s="2" t="s">
        <v>41</v>
      </c>
      <c r="E122" s="5">
        <v>-28518</v>
      </c>
      <c r="F122" s="3" t="s">
        <v>410</v>
      </c>
      <c r="G122" s="3" t="s">
        <v>162</v>
      </c>
      <c r="H122" s="2" t="s">
        <v>21</v>
      </c>
      <c r="I122" s="2" t="s">
        <v>411</v>
      </c>
      <c r="J122" s="3" t="str">
        <f>HYPERLINK("https://www.boe.es/gazeta/dias/1821/12/01/pdfs/GMD-1821-343.pdf#page=5","Abrir facsímil")</f>
        <v>Abrir facsímil</v>
      </c>
      <c r="K122" s="3" t="s">
        <v>23</v>
      </c>
    </row>
    <row r="123" spans="1:11" ht="42" customHeight="1">
      <c r="A123" s="2" t="s">
        <v>412</v>
      </c>
      <c r="B123" s="2" t="s">
        <v>413</v>
      </c>
      <c r="C123" s="2" t="s">
        <v>70</v>
      </c>
      <c r="D123" s="2" t="s">
        <v>27</v>
      </c>
      <c r="E123" s="5">
        <v>-28534</v>
      </c>
      <c r="F123" s="3" t="s">
        <v>414</v>
      </c>
      <c r="G123" s="3" t="s">
        <v>29</v>
      </c>
      <c r="H123" s="2" t="s">
        <v>21</v>
      </c>
      <c r="I123" s="2" t="s">
        <v>415</v>
      </c>
      <c r="J123" s="3" t="str">
        <f>HYPERLINK("https://www.boe.es/gazeta/dias/1821/11/15/pdfs/GMD-1821-326.pdf#page=6","Abrir facsímil")</f>
        <v>Abrir facsímil</v>
      </c>
      <c r="K123" s="3" t="s">
        <v>23</v>
      </c>
    </row>
    <row r="124" spans="1:11" ht="42" customHeight="1">
      <c r="A124" s="2" t="s">
        <v>416</v>
      </c>
      <c r="B124" s="2" t="s">
        <v>417</v>
      </c>
      <c r="C124" s="2" t="s">
        <v>17</v>
      </c>
      <c r="D124" s="2" t="s">
        <v>18</v>
      </c>
      <c r="E124" s="5">
        <v>-28641</v>
      </c>
      <c r="F124" s="3" t="s">
        <v>398</v>
      </c>
      <c r="G124" s="3" t="s">
        <v>20</v>
      </c>
      <c r="H124" s="2" t="s">
        <v>21</v>
      </c>
      <c r="I124" s="2" t="s">
        <v>418</v>
      </c>
      <c r="J124" s="3" t="str">
        <f>HYPERLINK("https://www.boe.es/gazeta/dias/1821/07/31/pdfs/GMD-1821-216.pdf#page=3","Abrir facsímil")</f>
        <v>Abrir facsímil</v>
      </c>
      <c r="K124" s="3" t="s">
        <v>23</v>
      </c>
    </row>
    <row r="125" spans="1:11" ht="42" customHeight="1">
      <c r="A125" s="2" t="s">
        <v>419</v>
      </c>
      <c r="B125" s="2" t="s">
        <v>420</v>
      </c>
      <c r="C125" s="2" t="s">
        <v>17</v>
      </c>
      <c r="D125" s="2" t="s">
        <v>18</v>
      </c>
      <c r="E125" s="5">
        <v>-28531</v>
      </c>
      <c r="F125" s="3" t="s">
        <v>365</v>
      </c>
      <c r="G125" s="3" t="s">
        <v>20</v>
      </c>
      <c r="H125" s="2" t="s">
        <v>21</v>
      </c>
      <c r="I125" s="2" t="s">
        <v>421</v>
      </c>
      <c r="J125" s="3" t="str">
        <f>HYPERLINK("https://www.boe.es/gazeta/dias/1821/11/18/pdfs/GMD-1821-329.pdf#page=3","Abrir facsímil")</f>
        <v>Abrir facsímil</v>
      </c>
      <c r="K125" s="3" t="s">
        <v>23</v>
      </c>
    </row>
    <row r="126" spans="1:11" ht="42" customHeight="1">
      <c r="A126" s="2" t="s">
        <v>422</v>
      </c>
      <c r="B126" s="2" t="s">
        <v>423</v>
      </c>
      <c r="C126" s="2" t="s">
        <v>26</v>
      </c>
      <c r="D126" s="2" t="s">
        <v>27</v>
      </c>
      <c r="E126" s="5">
        <v>-28547</v>
      </c>
      <c r="F126" s="3" t="s">
        <v>247</v>
      </c>
      <c r="G126" s="3" t="s">
        <v>248</v>
      </c>
      <c r="H126" s="2" t="s">
        <v>21</v>
      </c>
      <c r="I126" s="2" t="s">
        <v>424</v>
      </c>
      <c r="J126" s="3" t="str">
        <f>HYPERLINK("https://www.boe.es/gazeta/dias/1821/11/02/pdfs/GMD-1821-312.pdf#page=2","Abrir facsímil")</f>
        <v>Abrir facsímil</v>
      </c>
      <c r="K126" s="3" t="s">
        <v>23</v>
      </c>
    </row>
    <row r="127" spans="1:11" ht="42" customHeight="1">
      <c r="A127" s="2" t="s">
        <v>425</v>
      </c>
      <c r="B127" s="2" t="s">
        <v>426</v>
      </c>
      <c r="C127" s="2" t="s">
        <v>26</v>
      </c>
      <c r="D127" s="2" t="s">
        <v>27</v>
      </c>
      <c r="E127" s="5">
        <v>-28615</v>
      </c>
      <c r="F127" s="3" t="s">
        <v>427</v>
      </c>
      <c r="G127" s="3" t="s">
        <v>20</v>
      </c>
      <c r="H127" s="2" t="s">
        <v>21</v>
      </c>
      <c r="I127" s="2" t="s">
        <v>428</v>
      </c>
      <c r="J127" s="3" t="str">
        <f>HYPERLINK("https://www.boe.es/gazeta/dias/1821/08/26/pdfs/GMD-1821-243.pdf#page=3","Abrir facsímil")</f>
        <v>Abrir facsímil</v>
      </c>
      <c r="K127" s="3" t="s">
        <v>23</v>
      </c>
    </row>
    <row r="128" spans="1:11" ht="42" customHeight="1">
      <c r="A128" s="2" t="s">
        <v>429</v>
      </c>
      <c r="B128" s="2" t="s">
        <v>430</v>
      </c>
      <c r="C128" s="2" t="s">
        <v>35</v>
      </c>
      <c r="D128" s="2" t="s">
        <v>27</v>
      </c>
      <c r="E128" s="5">
        <v>-28543</v>
      </c>
      <c r="F128" s="3" t="s">
        <v>136</v>
      </c>
      <c r="G128" s="3" t="s">
        <v>88</v>
      </c>
      <c r="H128" s="2" t="s">
        <v>21</v>
      </c>
      <c r="I128" s="2" t="s">
        <v>431</v>
      </c>
      <c r="J128" s="3" t="str">
        <f>HYPERLINK("https://www.boe.es/gazeta/dias/1821/11/06/pdfs/GMD-1821-317.pdf#page=4","Abrir facsímil")</f>
        <v>Abrir facsímil</v>
      </c>
      <c r="K128" s="3" t="s">
        <v>23</v>
      </c>
    </row>
    <row r="129" spans="1:11" ht="42" customHeight="1">
      <c r="A129" s="2" t="s">
        <v>432</v>
      </c>
      <c r="B129" s="2" t="s">
        <v>432</v>
      </c>
      <c r="C129" s="2" t="s">
        <v>35</v>
      </c>
      <c r="D129" s="2" t="s">
        <v>27</v>
      </c>
      <c r="E129" s="5">
        <v>-28554</v>
      </c>
      <c r="F129" s="3" t="s">
        <v>433</v>
      </c>
      <c r="G129" s="3" t="s">
        <v>88</v>
      </c>
      <c r="H129" s="2" t="s">
        <v>21</v>
      </c>
      <c r="I129" s="2" t="s">
        <v>434</v>
      </c>
      <c r="J129" s="3" t="str">
        <f>HYPERLINK("https://www.boe.es/gazeta/dias/1821/10/26/pdfs/GMD-1821-305.pdf#page=4","Abrir facsímil")</f>
        <v>Abrir facsímil</v>
      </c>
      <c r="K129" s="3" t="s">
        <v>23</v>
      </c>
    </row>
    <row r="130" spans="1:11" ht="42" customHeight="1">
      <c r="A130" s="2" t="s">
        <v>435</v>
      </c>
      <c r="B130" s="2" t="s">
        <v>435</v>
      </c>
      <c r="C130" s="2" t="s">
        <v>26</v>
      </c>
      <c r="D130" s="2" t="s">
        <v>27</v>
      </c>
      <c r="E130" s="5">
        <v>-28617</v>
      </c>
      <c r="F130" s="3" t="s">
        <v>436</v>
      </c>
      <c r="G130" s="3" t="s">
        <v>52</v>
      </c>
      <c r="H130" s="2" t="s">
        <v>21</v>
      </c>
      <c r="I130" s="2" t="s">
        <v>437</v>
      </c>
      <c r="J130" s="3" t="str">
        <f>HYPERLINK("https://www.boe.es/gazeta/dias/1821/08/24/pdfs/GMD-1821-241.pdf#page=2","Abrir facsímil")</f>
        <v>Abrir facsímil</v>
      </c>
      <c r="K130" s="3" t="s">
        <v>23</v>
      </c>
    </row>
    <row r="131" spans="1:11" ht="42" customHeight="1">
      <c r="A131" s="2" t="s">
        <v>438</v>
      </c>
      <c r="B131" s="2" t="s">
        <v>439</v>
      </c>
      <c r="C131" s="2" t="s">
        <v>70</v>
      </c>
      <c r="D131" s="2" t="s">
        <v>27</v>
      </c>
      <c r="E131" s="5">
        <v>-28725</v>
      </c>
      <c r="F131" s="3" t="s">
        <v>440</v>
      </c>
      <c r="G131" s="3" t="s">
        <v>88</v>
      </c>
      <c r="H131" s="2" t="s">
        <v>21</v>
      </c>
      <c r="I131" s="2" t="s">
        <v>441</v>
      </c>
      <c r="J131" s="3" t="str">
        <f>HYPERLINK("https://www.boe.es/gazeta/dias/1821/05/08/pdfs/GMD-1821-130.pdf#page=4","Abrir facsímil")</f>
        <v>Abrir facsímil</v>
      </c>
      <c r="K131" s="3" t="s">
        <v>23</v>
      </c>
    </row>
    <row r="132" spans="1:11" ht="42" customHeight="1">
      <c r="A132" s="2" t="s">
        <v>442</v>
      </c>
      <c r="B132" s="2" t="s">
        <v>443</v>
      </c>
      <c r="C132" s="2" t="s">
        <v>70</v>
      </c>
      <c r="D132" s="2" t="s">
        <v>27</v>
      </c>
      <c r="E132" s="5">
        <v>-28624</v>
      </c>
      <c r="F132" s="3" t="s">
        <v>78</v>
      </c>
      <c r="G132" s="3" t="s">
        <v>20</v>
      </c>
      <c r="H132" s="2" t="s">
        <v>21</v>
      </c>
      <c r="I132" s="2" t="s">
        <v>444</v>
      </c>
      <c r="J132" s="3" t="str">
        <f>HYPERLINK("https://www.boe.es/gazeta/dias/1821/08/17/pdfs/GMD-1821-234.pdf#page=3","Abrir facsímil")</f>
        <v>Abrir facsímil</v>
      </c>
      <c r="K132" s="3" t="s">
        <v>23</v>
      </c>
    </row>
    <row r="133" spans="1:11" ht="42" customHeight="1">
      <c r="A133" s="2" t="s">
        <v>445</v>
      </c>
      <c r="B133" s="2" t="s">
        <v>446</v>
      </c>
      <c r="C133" s="2" t="s">
        <v>26</v>
      </c>
      <c r="D133" s="2" t="s">
        <v>27</v>
      </c>
      <c r="E133" s="5">
        <v>-28498</v>
      </c>
      <c r="F133" s="3" t="s">
        <v>447</v>
      </c>
      <c r="G133" s="3" t="s">
        <v>20</v>
      </c>
      <c r="H133" s="2" t="s">
        <v>21</v>
      </c>
      <c r="I133" s="2" t="s">
        <v>448</v>
      </c>
      <c r="J133" s="3" t="str">
        <f>HYPERLINK("https://www.boe.es/gazeta/dias/1821/12/21/pdfs/GMD-1821-364.pdf#page=3","Abrir facsímil")</f>
        <v>Abrir facsímil</v>
      </c>
      <c r="K133" s="3" t="s">
        <v>23</v>
      </c>
    </row>
    <row r="134" spans="1:11" ht="42" customHeight="1">
      <c r="A134" s="2" t="s">
        <v>449</v>
      </c>
      <c r="B134" s="2" t="s">
        <v>450</v>
      </c>
      <c r="C134" s="2" t="s">
        <v>26</v>
      </c>
      <c r="D134" s="2" t="s">
        <v>27</v>
      </c>
      <c r="E134" s="5">
        <v>-28784</v>
      </c>
      <c r="F134" s="3" t="s">
        <v>451</v>
      </c>
      <c r="G134" s="3" t="s">
        <v>20</v>
      </c>
      <c r="H134" s="2" t="s">
        <v>21</v>
      </c>
      <c r="I134" s="2" t="s">
        <v>452</v>
      </c>
      <c r="J134" s="3" t="str">
        <f>HYPERLINK("https://www.boe.es/gazeta/dias/1821/03/10/pdfs/GGB-1821-69.pdf#page=3","Abrir facsímil")</f>
        <v>Abrir facsímil</v>
      </c>
      <c r="K134" s="3" t="s">
        <v>23</v>
      </c>
    </row>
    <row r="135" spans="1:11" ht="42" customHeight="1">
      <c r="A135" s="2" t="s">
        <v>449</v>
      </c>
      <c r="B135" s="2" t="s">
        <v>450</v>
      </c>
      <c r="C135" s="2" t="s">
        <v>40</v>
      </c>
      <c r="D135" s="2" t="s">
        <v>41</v>
      </c>
      <c r="E135" s="5">
        <v>-28783</v>
      </c>
      <c r="F135" s="3" t="s">
        <v>198</v>
      </c>
      <c r="G135" s="3" t="s">
        <v>20</v>
      </c>
      <c r="H135" s="2" t="s">
        <v>21</v>
      </c>
      <c r="I135" s="2" t="s">
        <v>453</v>
      </c>
      <c r="J135" s="3" t="str">
        <f>HYPERLINK("https://www.boe.es/gazeta/dias/1821/03/11/pdfs/GGB-1821-70.pdf#page=3","Abrir facsímil")</f>
        <v>Abrir facsímil</v>
      </c>
      <c r="K135" s="3" t="s">
        <v>23</v>
      </c>
    </row>
    <row r="136" spans="1:11" ht="42" customHeight="1">
      <c r="A136" s="2" t="s">
        <v>449</v>
      </c>
      <c r="B136" s="2" t="s">
        <v>450</v>
      </c>
      <c r="C136" s="2" t="s">
        <v>17</v>
      </c>
      <c r="D136" s="2" t="s">
        <v>18</v>
      </c>
      <c r="E136" s="5">
        <v>-28759</v>
      </c>
      <c r="F136" s="3" t="s">
        <v>71</v>
      </c>
      <c r="G136" s="3" t="s">
        <v>52</v>
      </c>
      <c r="H136" s="2" t="s">
        <v>21</v>
      </c>
      <c r="I136" s="2" t="s">
        <v>454</v>
      </c>
      <c r="J136" s="3" t="str">
        <f>HYPERLINK("https://www.boe.es/gazeta/dias/1821/04/04/pdfs/GMD-1821-96.pdf#page=2","Abrir facsímil")</f>
        <v>Abrir facsímil</v>
      </c>
      <c r="K136" s="3" t="s">
        <v>23</v>
      </c>
    </row>
    <row r="137" spans="1:11" ht="42" customHeight="1">
      <c r="A137" s="2" t="s">
        <v>449</v>
      </c>
      <c r="B137" s="2" t="s">
        <v>450</v>
      </c>
      <c r="C137" s="2" t="s">
        <v>40</v>
      </c>
      <c r="D137" s="2" t="s">
        <v>41</v>
      </c>
      <c r="E137" s="5">
        <v>-28531</v>
      </c>
      <c r="F137" s="3" t="s">
        <v>365</v>
      </c>
      <c r="G137" s="3" t="s">
        <v>88</v>
      </c>
      <c r="H137" s="2" t="s">
        <v>21</v>
      </c>
      <c r="I137" s="2" t="s">
        <v>455</v>
      </c>
      <c r="J137" s="3" t="str">
        <f>HYPERLINK("https://www.boe.es/gazeta/dias/1821/11/18/pdfs/GMD-1821-329.pdf#page=4","Abrir facsímil")</f>
        <v>Abrir facsímil</v>
      </c>
      <c r="K137" s="3" t="s">
        <v>23</v>
      </c>
    </row>
    <row r="138" spans="1:11" ht="42" customHeight="1">
      <c r="A138" s="2" t="s">
        <v>449</v>
      </c>
      <c r="B138" s="2" t="s">
        <v>450</v>
      </c>
      <c r="C138" s="2" t="s">
        <v>70</v>
      </c>
      <c r="D138" s="2" t="s">
        <v>27</v>
      </c>
      <c r="E138" s="5">
        <v>-28501</v>
      </c>
      <c r="F138" s="3" t="s">
        <v>456</v>
      </c>
      <c r="G138" s="3" t="s">
        <v>457</v>
      </c>
      <c r="H138" s="2" t="s">
        <v>21</v>
      </c>
      <c r="I138" s="2" t="s">
        <v>458</v>
      </c>
      <c r="J138" s="3" t="str">
        <f>HYPERLINK("https://www.boe.es/gazeta/dias/1821/12/18/pdfs/GMD-1821-361.pdf#page=5","Abrir facsímil")</f>
        <v>Abrir facsímil</v>
      </c>
      <c r="K138" s="3" t="s">
        <v>23</v>
      </c>
    </row>
    <row r="139" spans="1:11" ht="42" customHeight="1">
      <c r="A139" s="2" t="s">
        <v>459</v>
      </c>
      <c r="B139" s="2" t="s">
        <v>460</v>
      </c>
      <c r="C139" s="2" t="s">
        <v>279</v>
      </c>
      <c r="D139" s="2" t="s">
        <v>27</v>
      </c>
      <c r="E139" s="5">
        <v>-28617</v>
      </c>
      <c r="F139" s="3" t="s">
        <v>436</v>
      </c>
      <c r="G139" s="3" t="s">
        <v>52</v>
      </c>
      <c r="H139" s="2" t="s">
        <v>30</v>
      </c>
      <c r="I139" s="2" t="s">
        <v>461</v>
      </c>
      <c r="J139" s="3" t="str">
        <f>HYPERLINK("https://www.boe.es/gazeta/dias/1821/08/24/pdfs/GMD-1821-241.pdf#page=2","Abrir facsímil")</f>
        <v>Abrir facsímil</v>
      </c>
      <c r="K139" s="3" t="s">
        <v>32</v>
      </c>
    </row>
    <row r="140" spans="1:11" ht="42" customHeight="1">
      <c r="A140" s="2" t="s">
        <v>462</v>
      </c>
      <c r="B140" s="2" t="s">
        <v>463</v>
      </c>
      <c r="C140" s="2" t="s">
        <v>17</v>
      </c>
      <c r="D140" s="2" t="s">
        <v>18</v>
      </c>
      <c r="E140" s="5">
        <v>-28736</v>
      </c>
      <c r="F140" s="3" t="s">
        <v>464</v>
      </c>
      <c r="G140" s="3" t="s">
        <v>52</v>
      </c>
      <c r="H140" s="2" t="s">
        <v>21</v>
      </c>
      <c r="I140" s="2" t="s">
        <v>465</v>
      </c>
      <c r="J140" s="3" t="str">
        <f>HYPERLINK("https://www.boe.es/gazeta/dias/1821/04/27/pdfs/GMD-1821-119.pdf#page=2","Abrir facsímil")</f>
        <v>Abrir facsímil</v>
      </c>
      <c r="K140" s="3" t="s">
        <v>23</v>
      </c>
    </row>
    <row r="141" spans="1:11" ht="42" customHeight="1">
      <c r="A141" s="2" t="s">
        <v>466</v>
      </c>
      <c r="B141" s="2" t="s">
        <v>467</v>
      </c>
      <c r="C141" s="2" t="s">
        <v>17</v>
      </c>
      <c r="D141" s="2" t="s">
        <v>18</v>
      </c>
      <c r="E141" s="5">
        <v>-28626</v>
      </c>
      <c r="F141" s="3" t="s">
        <v>468</v>
      </c>
      <c r="G141" s="3" t="s">
        <v>88</v>
      </c>
      <c r="H141" s="2" t="s">
        <v>21</v>
      </c>
      <c r="I141" s="2" t="s">
        <v>469</v>
      </c>
      <c r="J141" s="3" t="str">
        <f>HYPERLINK("https://www.boe.es/gazeta/dias/1821/08/15/pdfs/GMD-1821-232.pdf#page=4","Abrir facsímil")</f>
        <v>Abrir facsímil</v>
      </c>
      <c r="K141" s="3" t="s">
        <v>23</v>
      </c>
    </row>
    <row r="142" spans="1:11" ht="42" customHeight="1">
      <c r="A142" s="2" t="s">
        <v>470</v>
      </c>
      <c r="B142" s="2" t="s">
        <v>471</v>
      </c>
      <c r="C142" s="2" t="s">
        <v>17</v>
      </c>
      <c r="D142" s="2" t="s">
        <v>18</v>
      </c>
      <c r="E142" s="5">
        <v>-28757</v>
      </c>
      <c r="F142" s="3" t="s">
        <v>472</v>
      </c>
      <c r="G142" s="3" t="s">
        <v>20</v>
      </c>
      <c r="H142" s="2" t="s">
        <v>30</v>
      </c>
      <c r="I142" s="2" t="s">
        <v>473</v>
      </c>
      <c r="J142" s="3" t="str">
        <f>HYPERLINK("https://www.boe.es/gazeta/dias/1821/04/06/pdfs/GMD-1821-98.pdf#page=3","Abrir facsímil")</f>
        <v>Abrir facsímil</v>
      </c>
      <c r="K142" s="3" t="s">
        <v>32</v>
      </c>
    </row>
    <row r="143" spans="1:11" ht="42" customHeight="1">
      <c r="A143" s="2" t="s">
        <v>474</v>
      </c>
      <c r="B143" s="2" t="s">
        <v>475</v>
      </c>
      <c r="C143" s="2" t="s">
        <v>35</v>
      </c>
      <c r="D143" s="2" t="s">
        <v>27</v>
      </c>
      <c r="E143" s="5">
        <v>-28641</v>
      </c>
      <c r="F143" s="3" t="s">
        <v>398</v>
      </c>
      <c r="G143" s="3" t="s">
        <v>88</v>
      </c>
      <c r="H143" s="2" t="s">
        <v>21</v>
      </c>
      <c r="I143" s="2" t="s">
        <v>476</v>
      </c>
      <c r="J143" s="3" t="str">
        <f>HYPERLINK("https://www.boe.es/gazeta/dias/1821/07/31/pdfs/GMD-1821-216.pdf#page=4","Abrir facsímil")</f>
        <v>Abrir facsímil</v>
      </c>
      <c r="K143" s="3" t="s">
        <v>23</v>
      </c>
    </row>
    <row r="144" spans="1:11" ht="42" customHeight="1">
      <c r="A144" s="2" t="s">
        <v>477</v>
      </c>
      <c r="B144" s="2" t="s">
        <v>478</v>
      </c>
      <c r="C144" s="2" t="s">
        <v>70</v>
      </c>
      <c r="D144" s="2" t="s">
        <v>27</v>
      </c>
      <c r="E144" s="5">
        <v>-28727</v>
      </c>
      <c r="F144" s="3" t="s">
        <v>200</v>
      </c>
      <c r="G144" s="3" t="s">
        <v>88</v>
      </c>
      <c r="H144" s="2" t="s">
        <v>21</v>
      </c>
      <c r="I144" s="2" t="s">
        <v>479</v>
      </c>
      <c r="J144" s="3" t="str">
        <f>HYPERLINK("https://www.boe.es/gazeta/dias/1821/05/06/pdfs/GMD-1821-128.pdf#page=4","Abrir facsímil")</f>
        <v>Abrir facsímil</v>
      </c>
      <c r="K144" s="3" t="s">
        <v>23</v>
      </c>
    </row>
    <row r="145" spans="1:11" ht="42" customHeight="1">
      <c r="A145" s="2" t="s">
        <v>480</v>
      </c>
      <c r="B145" s="2" t="s">
        <v>481</v>
      </c>
      <c r="C145" s="2" t="s">
        <v>40</v>
      </c>
      <c r="D145" s="2" t="s">
        <v>41</v>
      </c>
      <c r="E145" s="5">
        <v>-28571</v>
      </c>
      <c r="F145" s="3" t="s">
        <v>482</v>
      </c>
      <c r="G145" s="3" t="s">
        <v>29</v>
      </c>
      <c r="H145" s="2" t="s">
        <v>21</v>
      </c>
      <c r="I145" s="2" t="s">
        <v>483</v>
      </c>
      <c r="J145" s="3" t="str">
        <f>HYPERLINK("https://www.boe.es/gazeta/dias/1821/10/09/pdfs/GMD-1821-288.pdf#page=6","Abrir facsímil")</f>
        <v>Abrir facsímil</v>
      </c>
      <c r="K145" s="3" t="s">
        <v>23</v>
      </c>
    </row>
    <row r="146" spans="1:11" ht="42" customHeight="1">
      <c r="A146" s="2" t="s">
        <v>484</v>
      </c>
      <c r="B146" s="2" t="s">
        <v>485</v>
      </c>
      <c r="C146" s="2" t="s">
        <v>17</v>
      </c>
      <c r="D146" s="2" t="s">
        <v>18</v>
      </c>
      <c r="E146" s="5">
        <v>-28787</v>
      </c>
      <c r="F146" s="3" t="s">
        <v>486</v>
      </c>
      <c r="G146" s="3" t="s">
        <v>20</v>
      </c>
      <c r="H146" s="2" t="s">
        <v>21</v>
      </c>
      <c r="I146" s="2" t="s">
        <v>487</v>
      </c>
      <c r="J146" s="3" t="str">
        <f>HYPERLINK("https://www.boe.es/gazeta/dias/1821/03/07/pdfs/GGB-1821-66.pdf#page=3","Abrir facsímil")</f>
        <v>Abrir facsímil</v>
      </c>
      <c r="K146" s="3" t="s">
        <v>23</v>
      </c>
    </row>
    <row r="147" spans="1:11" ht="42" customHeight="1">
      <c r="A147" s="2" t="s">
        <v>484</v>
      </c>
      <c r="B147" s="2" t="s">
        <v>485</v>
      </c>
      <c r="C147" s="2" t="s">
        <v>17</v>
      </c>
      <c r="D147" s="2" t="s">
        <v>18</v>
      </c>
      <c r="E147" s="5">
        <v>-28775</v>
      </c>
      <c r="F147" s="3" t="s">
        <v>132</v>
      </c>
      <c r="G147" s="3" t="s">
        <v>52</v>
      </c>
      <c r="H147" s="2" t="s">
        <v>21</v>
      </c>
      <c r="I147" s="2" t="s">
        <v>488</v>
      </c>
      <c r="J147" s="3" t="str">
        <f>HYPERLINK("https://www.boe.es/gazeta/dias/1821/03/19/pdfs/GMD-1821-78.pdf#page=2","Abrir facsímil")</f>
        <v>Abrir facsímil</v>
      </c>
      <c r="K147" s="3" t="s">
        <v>23</v>
      </c>
    </row>
    <row r="148" spans="1:11" ht="42" customHeight="1">
      <c r="A148" s="2" t="s">
        <v>484</v>
      </c>
      <c r="B148" s="2" t="s">
        <v>485</v>
      </c>
      <c r="C148" s="2" t="s">
        <v>35</v>
      </c>
      <c r="D148" s="2" t="s">
        <v>27</v>
      </c>
      <c r="E148" s="5">
        <v>-28769</v>
      </c>
      <c r="F148" s="3" t="s">
        <v>489</v>
      </c>
      <c r="G148" s="3" t="s">
        <v>490</v>
      </c>
      <c r="H148" s="2" t="s">
        <v>21</v>
      </c>
      <c r="I148" s="2" t="s">
        <v>491</v>
      </c>
      <c r="J148" s="3" t="str">
        <f>HYPERLINK("https://www.boe.es/gazeta/dias/1821/03/25/pdfs/GMD-1821-85.pdf#page=3","Abrir facsímil")</f>
        <v>Abrir facsímil</v>
      </c>
      <c r="K148" s="3" t="s">
        <v>23</v>
      </c>
    </row>
    <row r="149" spans="1:11" ht="42" customHeight="1">
      <c r="A149" s="2" t="s">
        <v>484</v>
      </c>
      <c r="B149" s="2" t="s">
        <v>485</v>
      </c>
      <c r="C149" s="2" t="s">
        <v>40</v>
      </c>
      <c r="D149" s="2" t="s">
        <v>41</v>
      </c>
      <c r="E149" s="5">
        <v>-28720</v>
      </c>
      <c r="F149" s="3" t="s">
        <v>492</v>
      </c>
      <c r="G149" s="3" t="s">
        <v>52</v>
      </c>
      <c r="H149" s="2" t="s">
        <v>21</v>
      </c>
      <c r="I149" s="2" t="s">
        <v>493</v>
      </c>
      <c r="J149" s="3" t="str">
        <f>HYPERLINK("https://www.boe.es/gazeta/dias/1821/05/13/pdfs/GMD-1821-135.pdf#page=2","Abrir facsímil")</f>
        <v>Abrir facsímil</v>
      </c>
      <c r="K149" s="3" t="s">
        <v>23</v>
      </c>
    </row>
    <row r="150" spans="1:11" ht="42" customHeight="1">
      <c r="A150" s="2" t="s">
        <v>484</v>
      </c>
      <c r="B150" s="2" t="s">
        <v>485</v>
      </c>
      <c r="C150" s="2" t="s">
        <v>494</v>
      </c>
      <c r="D150" s="2" t="s">
        <v>18</v>
      </c>
      <c r="E150" s="5">
        <v>-28707</v>
      </c>
      <c r="F150" s="3" t="s">
        <v>495</v>
      </c>
      <c r="G150" s="3" t="s">
        <v>20</v>
      </c>
      <c r="H150" s="2" t="s">
        <v>21</v>
      </c>
      <c r="I150" s="2" t="s">
        <v>496</v>
      </c>
      <c r="J150" s="3" t="str">
        <f>HYPERLINK("https://www.boe.es/gazeta/dias/1821/05/26/pdfs/GMD-1821-148.pdf#page=3","Abrir facsímil")</f>
        <v>Abrir facsímil</v>
      </c>
      <c r="K150" s="3" t="s">
        <v>23</v>
      </c>
    </row>
    <row r="151" spans="1:11" ht="42" customHeight="1">
      <c r="A151" s="2" t="s">
        <v>484</v>
      </c>
      <c r="B151" s="2" t="s">
        <v>485</v>
      </c>
      <c r="C151" s="2" t="s">
        <v>40</v>
      </c>
      <c r="D151" s="2" t="s">
        <v>41</v>
      </c>
      <c r="E151" s="5">
        <v>-28696</v>
      </c>
      <c r="F151" s="3" t="s">
        <v>497</v>
      </c>
      <c r="G151" s="3" t="s">
        <v>52</v>
      </c>
      <c r="H151" s="2" t="s">
        <v>21</v>
      </c>
      <c r="I151" s="2" t="s">
        <v>498</v>
      </c>
      <c r="J151" s="3" t="str">
        <f>HYPERLINK("https://www.boe.es/gazeta/dias/1821/06/06/pdfs/GMD-1821-159.pdf#page=2","Abrir facsímil")</f>
        <v>Abrir facsímil</v>
      </c>
      <c r="K151" s="3" t="s">
        <v>23</v>
      </c>
    </row>
    <row r="152" spans="1:11" ht="42" customHeight="1">
      <c r="A152" s="2" t="s">
        <v>484</v>
      </c>
      <c r="B152" s="2" t="s">
        <v>485</v>
      </c>
      <c r="C152" s="2" t="s">
        <v>26</v>
      </c>
      <c r="D152" s="2" t="s">
        <v>27</v>
      </c>
      <c r="E152" s="5">
        <v>-28521</v>
      </c>
      <c r="F152" s="3" t="s">
        <v>499</v>
      </c>
      <c r="G152" s="3" t="s">
        <v>20</v>
      </c>
      <c r="H152" s="2" t="s">
        <v>21</v>
      </c>
      <c r="I152" s="2" t="s">
        <v>500</v>
      </c>
      <c r="J152" s="3" t="str">
        <f>HYPERLINK("https://www.boe.es/gazeta/dias/1821/11/28/pdfs/GMD-1821-340.pdf#page=3","Abrir facsímil")</f>
        <v>Abrir facsímil</v>
      </c>
      <c r="K152" s="3" t="s">
        <v>23</v>
      </c>
    </row>
    <row r="153" spans="1:11" ht="42" customHeight="1">
      <c r="A153" s="2" t="s">
        <v>484</v>
      </c>
      <c r="B153" s="2" t="s">
        <v>485</v>
      </c>
      <c r="C153" s="2" t="s">
        <v>26</v>
      </c>
      <c r="D153" s="2" t="s">
        <v>27</v>
      </c>
      <c r="E153" s="5">
        <v>-28514</v>
      </c>
      <c r="F153" s="3" t="s">
        <v>103</v>
      </c>
      <c r="G153" s="3" t="s">
        <v>20</v>
      </c>
      <c r="H153" s="2" t="s">
        <v>21</v>
      </c>
      <c r="I153" s="2" t="s">
        <v>501</v>
      </c>
      <c r="J153" s="3" t="str">
        <f>HYPERLINK("https://www.boe.es/gazeta/dias/1821/12/05/pdfs/GMD-1821-347.pdf#page=3","Abrir facsímil")</f>
        <v>Abrir facsímil</v>
      </c>
      <c r="K153" s="3" t="s">
        <v>23</v>
      </c>
    </row>
    <row r="154" spans="1:11" ht="42" customHeight="1">
      <c r="A154" s="2" t="s">
        <v>484</v>
      </c>
      <c r="B154" s="2" t="s">
        <v>485</v>
      </c>
      <c r="C154" s="2" t="s">
        <v>35</v>
      </c>
      <c r="D154" s="2" t="s">
        <v>27</v>
      </c>
      <c r="E154" s="5">
        <v>-28513</v>
      </c>
      <c r="F154" s="3" t="s">
        <v>502</v>
      </c>
      <c r="G154" s="3" t="s">
        <v>88</v>
      </c>
      <c r="H154" s="2" t="s">
        <v>21</v>
      </c>
      <c r="I154" s="2" t="s">
        <v>503</v>
      </c>
      <c r="J154" s="3" t="str">
        <f>HYPERLINK("https://www.boe.es/gazeta/dias/1821/12/06/pdfs/GMD-1821-348.pdf#page=4","Abrir facsímil")</f>
        <v>Abrir facsímil</v>
      </c>
      <c r="K154" s="3" t="s">
        <v>23</v>
      </c>
    </row>
    <row r="155" spans="1:11" ht="42" customHeight="1">
      <c r="A155" s="2" t="s">
        <v>484</v>
      </c>
      <c r="B155" s="2" t="s">
        <v>485</v>
      </c>
      <c r="C155" s="2" t="s">
        <v>40</v>
      </c>
      <c r="D155" s="2" t="s">
        <v>41</v>
      </c>
      <c r="E155" s="5">
        <v>-28497</v>
      </c>
      <c r="F155" s="3" t="s">
        <v>225</v>
      </c>
      <c r="G155" s="3" t="s">
        <v>504</v>
      </c>
      <c r="H155" s="2" t="s">
        <v>21</v>
      </c>
      <c r="I155" s="2" t="s">
        <v>505</v>
      </c>
      <c r="J155" s="3" t="str">
        <f>HYPERLINK("https://www.boe.es/gazeta/dias/1821/12/22/pdfs/GMD-1821-365.pdf#page=6","Abrir facsímil")</f>
        <v>Abrir facsímil</v>
      </c>
      <c r="K155" s="3" t="s">
        <v>23</v>
      </c>
    </row>
    <row r="156" spans="1:11" ht="42" customHeight="1">
      <c r="A156" s="2" t="s">
        <v>506</v>
      </c>
      <c r="B156" s="2" t="s">
        <v>507</v>
      </c>
      <c r="C156" s="2" t="s">
        <v>17</v>
      </c>
      <c r="D156" s="2" t="s">
        <v>18</v>
      </c>
      <c r="E156" s="5">
        <v>-28782</v>
      </c>
      <c r="F156" s="3" t="s">
        <v>508</v>
      </c>
      <c r="G156" s="3" t="s">
        <v>88</v>
      </c>
      <c r="H156" s="2" t="s">
        <v>21</v>
      </c>
      <c r="I156" s="2" t="s">
        <v>509</v>
      </c>
      <c r="J156" s="3" t="str">
        <f>HYPERLINK("https://www.boe.es/gazeta/dias/1821/03/12/pdfs/GMD-1821-71.pdf#page=4","Abrir facsímil")</f>
        <v>Abrir facsímil</v>
      </c>
      <c r="K156" s="3" t="s">
        <v>23</v>
      </c>
    </row>
    <row r="157" spans="1:11" ht="42" customHeight="1">
      <c r="A157" s="2" t="s">
        <v>510</v>
      </c>
      <c r="B157" s="2" t="s">
        <v>511</v>
      </c>
      <c r="C157" s="2" t="s">
        <v>35</v>
      </c>
      <c r="D157" s="2" t="s">
        <v>27</v>
      </c>
      <c r="E157" s="5">
        <v>-28569</v>
      </c>
      <c r="F157" s="3" t="s">
        <v>512</v>
      </c>
      <c r="G157" s="3" t="s">
        <v>162</v>
      </c>
      <c r="H157" s="2" t="s">
        <v>21</v>
      </c>
      <c r="I157" s="2" t="s">
        <v>513</v>
      </c>
      <c r="J157" s="3" t="str">
        <f>HYPERLINK("https://www.boe.es/gazeta/dias/1821/10/11/pdfs/GMD-1821-290.pdf#page=5","Abrir facsímil")</f>
        <v>Abrir facsímil</v>
      </c>
      <c r="K157" s="3" t="s">
        <v>23</v>
      </c>
    </row>
    <row r="158" spans="1:11" ht="42" customHeight="1">
      <c r="A158" s="2" t="s">
        <v>506</v>
      </c>
      <c r="B158" s="2" t="s">
        <v>507</v>
      </c>
      <c r="C158" s="2" t="s">
        <v>35</v>
      </c>
      <c r="D158" s="2" t="s">
        <v>27</v>
      </c>
      <c r="E158" s="5">
        <v>-28516</v>
      </c>
      <c r="F158" s="3" t="s">
        <v>514</v>
      </c>
      <c r="G158" s="3" t="s">
        <v>29</v>
      </c>
      <c r="H158" s="2" t="s">
        <v>21</v>
      </c>
      <c r="I158" s="2" t="s">
        <v>515</v>
      </c>
      <c r="J158" s="3" t="str">
        <f>HYPERLINK("https://www.boe.es/gazeta/dias/1821/12/03/pdfs/GMD-1821-345.pdf#page=6","Abrir facsímil")</f>
        <v>Abrir facsímil</v>
      </c>
      <c r="K158" s="3" t="s">
        <v>23</v>
      </c>
    </row>
    <row r="159" spans="1:11" ht="42" customHeight="1">
      <c r="A159" s="2" t="s">
        <v>516</v>
      </c>
      <c r="B159" s="2" t="s">
        <v>517</v>
      </c>
      <c r="C159" s="2" t="s">
        <v>17</v>
      </c>
      <c r="D159" s="2" t="s">
        <v>18</v>
      </c>
      <c r="E159" s="5">
        <v>-28592</v>
      </c>
      <c r="F159" s="3" t="s">
        <v>518</v>
      </c>
      <c r="G159" s="3" t="s">
        <v>88</v>
      </c>
      <c r="H159" s="2" t="s">
        <v>21</v>
      </c>
      <c r="I159" s="2" t="s">
        <v>519</v>
      </c>
      <c r="J159" s="3" t="str">
        <f>HYPERLINK("https://www.boe.es/gazeta/dias/1821/09/18/pdfs/GMD-1821-266.pdf#page=4","Abrir facsímil")</f>
        <v>Abrir facsímil</v>
      </c>
      <c r="K159" s="3" t="s">
        <v>23</v>
      </c>
    </row>
    <row r="160" spans="1:11" ht="42" customHeight="1">
      <c r="A160" s="2" t="s">
        <v>520</v>
      </c>
      <c r="B160" s="2" t="s">
        <v>521</v>
      </c>
      <c r="C160" s="2" t="s">
        <v>26</v>
      </c>
      <c r="D160" s="2" t="s">
        <v>27</v>
      </c>
      <c r="E160" s="5">
        <v>-28714</v>
      </c>
      <c r="F160" s="3" t="s">
        <v>522</v>
      </c>
      <c r="G160" s="3" t="s">
        <v>52</v>
      </c>
      <c r="H160" s="2" t="s">
        <v>21</v>
      </c>
      <c r="I160" s="2" t="s">
        <v>523</v>
      </c>
      <c r="J160" s="3" t="str">
        <f>HYPERLINK("https://www.boe.es/gazeta/dias/1821/05/19/pdfs/GMD-1821-141.pdf#page=2","Abrir facsímil")</f>
        <v>Abrir facsímil</v>
      </c>
      <c r="K160" s="3" t="s">
        <v>23</v>
      </c>
    </row>
    <row r="161" spans="1:11" ht="42" customHeight="1">
      <c r="A161" s="2" t="s">
        <v>524</v>
      </c>
      <c r="B161" s="2" t="s">
        <v>524</v>
      </c>
      <c r="C161" s="2" t="s">
        <v>40</v>
      </c>
      <c r="D161" s="2" t="s">
        <v>41</v>
      </c>
      <c r="E161" s="5">
        <v>-28529</v>
      </c>
      <c r="F161" s="3" t="s">
        <v>525</v>
      </c>
      <c r="G161" s="3" t="s">
        <v>20</v>
      </c>
      <c r="H161" s="2" t="s">
        <v>21</v>
      </c>
      <c r="I161" s="2" t="s">
        <v>526</v>
      </c>
      <c r="J161" s="3" t="str">
        <f>HYPERLINK("https://www.boe.es/gazeta/dias/1821/11/20/pdfs/GMD-1821-331.pdf#page=3","Abrir facsímil")</f>
        <v>Abrir facsímil</v>
      </c>
      <c r="K161" s="3" t="s">
        <v>23</v>
      </c>
    </row>
    <row r="162" spans="1:11" ht="42" customHeight="1">
      <c r="A162" s="2" t="s">
        <v>527</v>
      </c>
      <c r="B162" s="2" t="s">
        <v>527</v>
      </c>
      <c r="C162" s="2" t="s">
        <v>40</v>
      </c>
      <c r="D162" s="2" t="s">
        <v>41</v>
      </c>
      <c r="E162" s="5">
        <v>-28708</v>
      </c>
      <c r="F162" s="3" t="s">
        <v>528</v>
      </c>
      <c r="G162" s="3" t="s">
        <v>20</v>
      </c>
      <c r="H162" s="2" t="s">
        <v>21</v>
      </c>
      <c r="I162" s="2" t="s">
        <v>529</v>
      </c>
      <c r="J162" s="3" t="str">
        <f>HYPERLINK("https://www.boe.es/gazeta/dias/1821/05/25/pdfs/GMD-1821-147.pdf#page=3","Abrir facsímil")</f>
        <v>Abrir facsímil</v>
      </c>
      <c r="K162" s="3" t="s">
        <v>23</v>
      </c>
    </row>
    <row r="163" spans="1:11" ht="42" customHeight="1">
      <c r="A163" s="2" t="s">
        <v>527</v>
      </c>
      <c r="B163" s="2" t="s">
        <v>527</v>
      </c>
      <c r="C163" s="2" t="s">
        <v>40</v>
      </c>
      <c r="D163" s="2" t="s">
        <v>41</v>
      </c>
      <c r="E163" s="5">
        <v>-28681</v>
      </c>
      <c r="F163" s="3" t="s">
        <v>210</v>
      </c>
      <c r="G163" s="3" t="s">
        <v>88</v>
      </c>
      <c r="H163" s="2" t="s">
        <v>21</v>
      </c>
      <c r="I163" s="2" t="s">
        <v>530</v>
      </c>
      <c r="J163" s="3" t="str">
        <f>HYPERLINK("https://www.boe.es/gazeta/dias/1821/06/21/pdfs/GMD-1821-174.pdf#page=4","Abrir facsímil")</f>
        <v>Abrir facsímil</v>
      </c>
      <c r="K163" s="3" t="s">
        <v>23</v>
      </c>
    </row>
    <row r="164" spans="1:11" ht="42" customHeight="1">
      <c r="A164" s="2" t="s">
        <v>527</v>
      </c>
      <c r="B164" s="2" t="s">
        <v>527</v>
      </c>
      <c r="C164" s="2" t="s">
        <v>40</v>
      </c>
      <c r="D164" s="2" t="s">
        <v>41</v>
      </c>
      <c r="E164" s="5">
        <v>-28680</v>
      </c>
      <c r="F164" s="3" t="s">
        <v>531</v>
      </c>
      <c r="G164" s="3" t="s">
        <v>52</v>
      </c>
      <c r="H164" s="2" t="s">
        <v>21</v>
      </c>
      <c r="I164" s="2" t="s">
        <v>532</v>
      </c>
      <c r="J164" s="3" t="str">
        <f>HYPERLINK("https://www.boe.es/gazeta/dias/1821/06/22/pdfs/GMD-1821-175.pdf#page=2","Abrir facsímil")</f>
        <v>Abrir facsímil</v>
      </c>
      <c r="K164" s="3" t="s">
        <v>23</v>
      </c>
    </row>
    <row r="165" spans="1:11" ht="42" customHeight="1">
      <c r="A165" s="2" t="s">
        <v>527</v>
      </c>
      <c r="B165" s="2" t="s">
        <v>527</v>
      </c>
      <c r="C165" s="2" t="s">
        <v>26</v>
      </c>
      <c r="D165" s="2" t="s">
        <v>27</v>
      </c>
      <c r="E165" s="5">
        <v>-28680</v>
      </c>
      <c r="F165" s="3" t="s">
        <v>531</v>
      </c>
      <c r="G165" s="3" t="s">
        <v>20</v>
      </c>
      <c r="H165" s="2" t="s">
        <v>21</v>
      </c>
      <c r="I165" s="2" t="s">
        <v>533</v>
      </c>
      <c r="J165" s="3" t="str">
        <f>HYPERLINK("https://www.boe.es/gazeta/dias/1821/06/22/pdfs/GMD-1821-175.pdf#page=3","Abrir facsímil")</f>
        <v>Abrir facsímil</v>
      </c>
      <c r="K165" s="3" t="s">
        <v>23</v>
      </c>
    </row>
    <row r="166" spans="1:11" ht="42" customHeight="1">
      <c r="A166" s="2" t="s">
        <v>527</v>
      </c>
      <c r="B166" s="2" t="s">
        <v>527</v>
      </c>
      <c r="C166" s="2" t="s">
        <v>17</v>
      </c>
      <c r="D166" s="2" t="s">
        <v>18</v>
      </c>
      <c r="E166" s="5">
        <v>-28676</v>
      </c>
      <c r="F166" s="3" t="s">
        <v>534</v>
      </c>
      <c r="G166" s="3" t="s">
        <v>88</v>
      </c>
      <c r="H166" s="2" t="s">
        <v>21</v>
      </c>
      <c r="I166" s="2" t="s">
        <v>535</v>
      </c>
      <c r="J166" s="3" t="str">
        <f>HYPERLINK("https://www.boe.es/gazeta/dias/1821/06/26/pdfs/GMD-1821-179.pdf#page=4","Abrir facsímil")</f>
        <v>Abrir facsímil</v>
      </c>
      <c r="K166" s="3" t="s">
        <v>23</v>
      </c>
    </row>
    <row r="167" spans="1:11" ht="42" customHeight="1">
      <c r="A167" s="2" t="s">
        <v>527</v>
      </c>
      <c r="B167" s="2" t="s">
        <v>527</v>
      </c>
      <c r="C167" s="2" t="s">
        <v>114</v>
      </c>
      <c r="D167" s="2" t="s">
        <v>27</v>
      </c>
      <c r="E167" s="5">
        <v>-28674</v>
      </c>
      <c r="F167" s="3" t="s">
        <v>536</v>
      </c>
      <c r="G167" s="3" t="s">
        <v>537</v>
      </c>
      <c r="H167" s="2" t="s">
        <v>21</v>
      </c>
      <c r="I167" s="2" t="s">
        <v>538</v>
      </c>
      <c r="J167" s="3" t="str">
        <f>HYPERLINK("https://www.boe.es/gazeta/dias/1821/06/28/pdfs/GMD-1821-181.pdf#page=2","Abrir facsímil")</f>
        <v>Abrir facsímil</v>
      </c>
      <c r="K167" s="3" t="s">
        <v>23</v>
      </c>
    </row>
    <row r="168" spans="1:11" ht="42" customHeight="1">
      <c r="A168" s="2" t="s">
        <v>527</v>
      </c>
      <c r="B168" s="2" t="s">
        <v>527</v>
      </c>
      <c r="C168" s="2" t="s">
        <v>35</v>
      </c>
      <c r="D168" s="2" t="s">
        <v>27</v>
      </c>
      <c r="E168" s="5">
        <v>-28568</v>
      </c>
      <c r="F168" s="3" t="s">
        <v>539</v>
      </c>
      <c r="G168" s="3" t="s">
        <v>29</v>
      </c>
      <c r="H168" s="2" t="s">
        <v>21</v>
      </c>
      <c r="I168" s="2" t="s">
        <v>540</v>
      </c>
      <c r="J168" s="3" t="str">
        <f>HYPERLINK("https://www.boe.es/gazeta/dias/1821/10/12/pdfs/GMD-1821-291.pdf#page=6","Abrir facsímil")</f>
        <v>Abrir facsímil</v>
      </c>
      <c r="K168" s="3" t="s">
        <v>23</v>
      </c>
    </row>
    <row r="169" spans="1:11" ht="42" customHeight="1">
      <c r="A169" s="2" t="s">
        <v>527</v>
      </c>
      <c r="B169" s="2" t="s">
        <v>527</v>
      </c>
      <c r="C169" s="2" t="s">
        <v>17</v>
      </c>
      <c r="D169" s="2" t="s">
        <v>18</v>
      </c>
      <c r="E169" s="5">
        <v>-28553</v>
      </c>
      <c r="F169" s="3" t="s">
        <v>182</v>
      </c>
      <c r="G169" s="3" t="s">
        <v>20</v>
      </c>
      <c r="H169" s="2" t="s">
        <v>21</v>
      </c>
      <c r="I169" s="2" t="s">
        <v>541</v>
      </c>
      <c r="J169" s="3" t="str">
        <f>HYPERLINK("https://www.boe.es/gazeta/dias/1821/10/27/pdfs/GMD-1821-306.pdf#page=3","Abrir facsímil")</f>
        <v>Abrir facsímil</v>
      </c>
      <c r="K169" s="3" t="s">
        <v>23</v>
      </c>
    </row>
    <row r="170" spans="1:11" ht="42" customHeight="1">
      <c r="A170" s="2" t="s">
        <v>527</v>
      </c>
      <c r="B170" s="2" t="s">
        <v>527</v>
      </c>
      <c r="C170" s="2" t="s">
        <v>174</v>
      </c>
      <c r="D170" s="2" t="s">
        <v>27</v>
      </c>
      <c r="E170" s="5">
        <v>-28551</v>
      </c>
      <c r="F170" s="3" t="s">
        <v>542</v>
      </c>
      <c r="G170" s="3" t="s">
        <v>543</v>
      </c>
      <c r="H170" s="2" t="s">
        <v>21</v>
      </c>
      <c r="I170" s="2" t="s">
        <v>544</v>
      </c>
      <c r="J170" s="3" t="str">
        <f>HYPERLINK("https://www.boe.es/gazeta/dias/1821/10/29/pdfs/GMD-1821-308.pdf#page=3","Abrir facsímil")</f>
        <v>Abrir facsímil</v>
      </c>
      <c r="K170" s="3" t="s">
        <v>23</v>
      </c>
    </row>
    <row r="171" spans="1:11" ht="42" customHeight="1">
      <c r="A171" s="2" t="s">
        <v>527</v>
      </c>
      <c r="B171" s="2" t="s">
        <v>527</v>
      </c>
      <c r="C171" s="2" t="s">
        <v>40</v>
      </c>
      <c r="D171" s="2" t="s">
        <v>41</v>
      </c>
      <c r="E171" s="5">
        <v>-28551</v>
      </c>
      <c r="F171" s="3" t="s">
        <v>542</v>
      </c>
      <c r="G171" s="3" t="s">
        <v>52</v>
      </c>
      <c r="H171" s="2" t="s">
        <v>21</v>
      </c>
      <c r="I171" s="2" t="s">
        <v>545</v>
      </c>
      <c r="J171" s="3" t="str">
        <f>HYPERLINK("https://www.boe.es/gazeta/dias/1821/10/29/pdfs/GMD-1821-308.pdf#page=2","Abrir facsímil")</f>
        <v>Abrir facsímil</v>
      </c>
      <c r="K171" s="3" t="s">
        <v>23</v>
      </c>
    </row>
    <row r="172" spans="1:11" ht="42" customHeight="1">
      <c r="A172" s="2" t="s">
        <v>527</v>
      </c>
      <c r="B172" s="2" t="s">
        <v>527</v>
      </c>
      <c r="C172" s="2" t="s">
        <v>26</v>
      </c>
      <c r="D172" s="2" t="s">
        <v>27</v>
      </c>
      <c r="E172" s="5">
        <v>-28550</v>
      </c>
      <c r="F172" s="3" t="s">
        <v>546</v>
      </c>
      <c r="G172" s="3" t="s">
        <v>20</v>
      </c>
      <c r="H172" s="2" t="s">
        <v>21</v>
      </c>
      <c r="I172" s="2" t="s">
        <v>547</v>
      </c>
      <c r="J172" s="3" t="str">
        <f>HYPERLINK("https://www.boe.es/gazeta/dias/1821/10/30/pdfs/GMD-1821-309.pdf#page=3","Abrir facsímil")</f>
        <v>Abrir facsímil</v>
      </c>
      <c r="K172" s="3" t="s">
        <v>23</v>
      </c>
    </row>
    <row r="173" spans="1:11" ht="42" customHeight="1">
      <c r="A173" s="2" t="s">
        <v>527</v>
      </c>
      <c r="B173" s="2" t="s">
        <v>527</v>
      </c>
      <c r="C173" s="2" t="s">
        <v>26</v>
      </c>
      <c r="D173" s="2" t="s">
        <v>27</v>
      </c>
      <c r="E173" s="5">
        <v>-28547</v>
      </c>
      <c r="F173" s="3" t="s">
        <v>247</v>
      </c>
      <c r="G173" s="3" t="s">
        <v>29</v>
      </c>
      <c r="H173" s="2" t="s">
        <v>21</v>
      </c>
      <c r="I173" s="2" t="s">
        <v>548</v>
      </c>
      <c r="J173" s="3" t="str">
        <f>HYPERLINK("https://www.boe.es/gazeta/dias/1821/11/02/pdfs/GMD-1821-312.pdf#page=6","Abrir facsímil")</f>
        <v>Abrir facsímil</v>
      </c>
      <c r="K173" s="3" t="s">
        <v>23</v>
      </c>
    </row>
    <row r="174" spans="1:11" ht="42" customHeight="1">
      <c r="A174" s="2" t="s">
        <v>549</v>
      </c>
      <c r="B174" s="2" t="s">
        <v>549</v>
      </c>
      <c r="C174" s="2" t="s">
        <v>26</v>
      </c>
      <c r="D174" s="2" t="s">
        <v>27</v>
      </c>
      <c r="E174" s="5">
        <v>-28543</v>
      </c>
      <c r="F174" s="3" t="s">
        <v>136</v>
      </c>
      <c r="G174" s="3" t="s">
        <v>162</v>
      </c>
      <c r="H174" s="2" t="s">
        <v>21</v>
      </c>
      <c r="I174" s="2" t="s">
        <v>550</v>
      </c>
      <c r="J174" s="3" t="str">
        <f>HYPERLINK("https://www.boe.es/gazeta/dias/1821/11/06/pdfs/GMD-1821-317.pdf#page=5","Abrir facsímil")</f>
        <v>Abrir facsímil</v>
      </c>
      <c r="K174" s="3" t="s">
        <v>23</v>
      </c>
    </row>
    <row r="175" spans="1:11" ht="42" customHeight="1">
      <c r="A175" s="2" t="s">
        <v>527</v>
      </c>
      <c r="B175" s="2" t="s">
        <v>527</v>
      </c>
      <c r="C175" s="2" t="s">
        <v>40</v>
      </c>
      <c r="D175" s="2" t="s">
        <v>41</v>
      </c>
      <c r="E175" s="5">
        <v>-28539</v>
      </c>
      <c r="F175" s="3" t="s">
        <v>153</v>
      </c>
      <c r="G175" s="3" t="s">
        <v>20</v>
      </c>
      <c r="H175" s="2" t="s">
        <v>21</v>
      </c>
      <c r="I175" s="2" t="s">
        <v>551</v>
      </c>
      <c r="J175" s="3" t="str">
        <f>HYPERLINK("https://www.boe.es/gazeta/dias/1821/11/10/pdfs/GMD-1821-321.pdf#page=3","Abrir facsímil")</f>
        <v>Abrir facsímil</v>
      </c>
      <c r="K175" s="3" t="s">
        <v>23</v>
      </c>
    </row>
    <row r="176" spans="1:11" ht="42" customHeight="1">
      <c r="A176" s="2" t="s">
        <v>527</v>
      </c>
      <c r="B176" s="2" t="s">
        <v>527</v>
      </c>
      <c r="C176" s="2" t="s">
        <v>40</v>
      </c>
      <c r="D176" s="2" t="s">
        <v>41</v>
      </c>
      <c r="E176" s="5">
        <v>-28537</v>
      </c>
      <c r="F176" s="3" t="s">
        <v>56</v>
      </c>
      <c r="G176" s="3" t="s">
        <v>162</v>
      </c>
      <c r="H176" s="2" t="s">
        <v>21</v>
      </c>
      <c r="I176" s="2" t="s">
        <v>552</v>
      </c>
      <c r="J176" s="3" t="str">
        <f>HYPERLINK("https://www.boe.es/gazeta/dias/1821/11/12/pdfs/GMD-1821-323.pdf#page=5","Abrir facsímil")</f>
        <v>Abrir facsímil</v>
      </c>
      <c r="K176" s="3" t="s">
        <v>23</v>
      </c>
    </row>
    <row r="177" spans="1:11" ht="42" customHeight="1">
      <c r="A177" s="2" t="s">
        <v>527</v>
      </c>
      <c r="B177" s="2" t="s">
        <v>527</v>
      </c>
      <c r="C177" s="2" t="s">
        <v>114</v>
      </c>
      <c r="D177" s="2" t="s">
        <v>27</v>
      </c>
      <c r="E177" s="5">
        <v>-28536</v>
      </c>
      <c r="F177" s="3" t="s">
        <v>553</v>
      </c>
      <c r="G177" s="3" t="s">
        <v>88</v>
      </c>
      <c r="H177" s="2" t="s">
        <v>21</v>
      </c>
      <c r="I177" s="2" t="s">
        <v>554</v>
      </c>
      <c r="J177" s="3" t="str">
        <f>HYPERLINK("https://www.boe.es/gazeta/dias/1821/11/13/pdfs/GMD-1821-324.pdf#page=4","Abrir facsímil")</f>
        <v>Abrir facsímil</v>
      </c>
      <c r="K177" s="3" t="s">
        <v>23</v>
      </c>
    </row>
    <row r="178" spans="1:11" ht="42" customHeight="1">
      <c r="A178" s="2" t="s">
        <v>527</v>
      </c>
      <c r="B178" s="2" t="s">
        <v>527</v>
      </c>
      <c r="C178" s="2" t="s">
        <v>114</v>
      </c>
      <c r="D178" s="2" t="s">
        <v>27</v>
      </c>
      <c r="E178" s="5">
        <v>-28535</v>
      </c>
      <c r="F178" s="3" t="s">
        <v>96</v>
      </c>
      <c r="G178" s="3" t="s">
        <v>20</v>
      </c>
      <c r="H178" s="2" t="s">
        <v>21</v>
      </c>
      <c r="I178" s="2" t="s">
        <v>555</v>
      </c>
      <c r="J178" s="3" t="str">
        <f>HYPERLINK("https://www.boe.es/gazeta/dias/1821/11/14/pdfs/GMD-1821-325.pdf#page=3","Abrir facsímil")</f>
        <v>Abrir facsímil</v>
      </c>
      <c r="K178" s="3" t="s">
        <v>23</v>
      </c>
    </row>
    <row r="179" spans="1:11" ht="42" customHeight="1">
      <c r="A179" s="2" t="s">
        <v>527</v>
      </c>
      <c r="B179" s="2" t="s">
        <v>527</v>
      </c>
      <c r="C179" s="2" t="s">
        <v>26</v>
      </c>
      <c r="D179" s="2" t="s">
        <v>27</v>
      </c>
      <c r="E179" s="5">
        <v>-28535</v>
      </c>
      <c r="F179" s="3" t="s">
        <v>96</v>
      </c>
      <c r="G179" s="3" t="s">
        <v>88</v>
      </c>
      <c r="H179" s="2" t="s">
        <v>21</v>
      </c>
      <c r="I179" s="2" t="s">
        <v>556</v>
      </c>
      <c r="J179" s="3" t="str">
        <f>HYPERLINK("https://www.boe.es/gazeta/dias/1821/11/14/pdfs/GMD-1821-325.pdf#page=4","Abrir facsímil")</f>
        <v>Abrir facsímil</v>
      </c>
      <c r="K179" s="3" t="s">
        <v>23</v>
      </c>
    </row>
    <row r="180" spans="1:11" ht="42" customHeight="1">
      <c r="A180" s="2" t="s">
        <v>527</v>
      </c>
      <c r="B180" s="2" t="s">
        <v>527</v>
      </c>
      <c r="C180" s="2" t="s">
        <v>17</v>
      </c>
      <c r="D180" s="2" t="s">
        <v>18</v>
      </c>
      <c r="E180" s="5">
        <v>-28534</v>
      </c>
      <c r="F180" s="3" t="s">
        <v>414</v>
      </c>
      <c r="G180" s="3" t="s">
        <v>20</v>
      </c>
      <c r="H180" s="2" t="s">
        <v>21</v>
      </c>
      <c r="I180" s="2" t="s">
        <v>557</v>
      </c>
      <c r="J180" s="3" t="str">
        <f>HYPERLINK("https://www.boe.es/gazeta/dias/1821/11/15/pdfs/GMD-1821-326.pdf#page=3","Abrir facsímil")</f>
        <v>Abrir facsímil</v>
      </c>
      <c r="K180" s="3" t="s">
        <v>23</v>
      </c>
    </row>
    <row r="181" spans="1:11" ht="42" customHeight="1">
      <c r="A181" s="2" t="s">
        <v>527</v>
      </c>
      <c r="B181" s="2" t="s">
        <v>527</v>
      </c>
      <c r="C181" s="2" t="s">
        <v>35</v>
      </c>
      <c r="D181" s="2" t="s">
        <v>27</v>
      </c>
      <c r="E181" s="5">
        <v>-28534</v>
      </c>
      <c r="F181" s="3" t="s">
        <v>414</v>
      </c>
      <c r="G181" s="3" t="s">
        <v>88</v>
      </c>
      <c r="H181" s="2" t="s">
        <v>21</v>
      </c>
      <c r="I181" s="2" t="s">
        <v>558</v>
      </c>
      <c r="J181" s="3" t="str">
        <f>HYPERLINK("https://www.boe.es/gazeta/dias/1821/11/15/pdfs/GMD-1821-326.pdf#page=4","Abrir facsímil")</f>
        <v>Abrir facsímil</v>
      </c>
      <c r="K181" s="3" t="s">
        <v>23</v>
      </c>
    </row>
    <row r="182" spans="1:11" ht="42" customHeight="1">
      <c r="A182" s="2" t="s">
        <v>527</v>
      </c>
      <c r="B182" s="2" t="s">
        <v>527</v>
      </c>
      <c r="C182" s="2" t="s">
        <v>26</v>
      </c>
      <c r="D182" s="2" t="s">
        <v>27</v>
      </c>
      <c r="E182" s="5">
        <v>-28533</v>
      </c>
      <c r="F182" s="3" t="s">
        <v>559</v>
      </c>
      <c r="G182" s="3" t="s">
        <v>162</v>
      </c>
      <c r="H182" s="2" t="s">
        <v>21</v>
      </c>
      <c r="I182" s="2" t="s">
        <v>560</v>
      </c>
      <c r="J182" s="3" t="str">
        <f>HYPERLINK("https://www.boe.es/gazeta/dias/1821/11/16/pdfs/GMD-1821-327.pdf#page=5","Abrir facsímil")</f>
        <v>Abrir facsímil</v>
      </c>
      <c r="K182" s="3" t="s">
        <v>23</v>
      </c>
    </row>
    <row r="183" spans="1:11" ht="42" customHeight="1">
      <c r="A183" s="2" t="s">
        <v>527</v>
      </c>
      <c r="B183" s="2" t="s">
        <v>527</v>
      </c>
      <c r="C183" s="2" t="s">
        <v>35</v>
      </c>
      <c r="D183" s="2" t="s">
        <v>27</v>
      </c>
      <c r="E183" s="5">
        <v>-28529</v>
      </c>
      <c r="F183" s="3" t="s">
        <v>525</v>
      </c>
      <c r="G183" s="3" t="s">
        <v>20</v>
      </c>
      <c r="H183" s="2" t="s">
        <v>21</v>
      </c>
      <c r="I183" s="2" t="s">
        <v>561</v>
      </c>
      <c r="J183" s="3" t="str">
        <f>HYPERLINK("https://www.boe.es/gazeta/dias/1821/11/20/pdfs/GMD-1821-331.pdf#page=3","Abrir facsímil")</f>
        <v>Abrir facsímil</v>
      </c>
      <c r="K183" s="3" t="s">
        <v>23</v>
      </c>
    </row>
    <row r="184" spans="1:11" ht="42" customHeight="1">
      <c r="A184" s="2" t="s">
        <v>527</v>
      </c>
      <c r="B184" s="2" t="s">
        <v>527</v>
      </c>
      <c r="C184" s="2" t="s">
        <v>40</v>
      </c>
      <c r="D184" s="2" t="s">
        <v>41</v>
      </c>
      <c r="E184" s="5">
        <v>-28525</v>
      </c>
      <c r="F184" s="3" t="s">
        <v>186</v>
      </c>
      <c r="G184" s="3" t="s">
        <v>52</v>
      </c>
      <c r="H184" s="2" t="s">
        <v>21</v>
      </c>
      <c r="I184" s="2" t="s">
        <v>562</v>
      </c>
      <c r="J184" s="3" t="str">
        <f>HYPERLINK("https://www.boe.es/gazeta/dias/1821/11/24/pdfs/GMD-1821-335.pdf#page=2","Abrir facsímil")</f>
        <v>Abrir facsímil</v>
      </c>
      <c r="K184" s="3" t="s">
        <v>23</v>
      </c>
    </row>
    <row r="185" spans="1:11" ht="42" customHeight="1">
      <c r="A185" s="2" t="s">
        <v>527</v>
      </c>
      <c r="B185" s="2" t="s">
        <v>527</v>
      </c>
      <c r="C185" s="2" t="s">
        <v>26</v>
      </c>
      <c r="D185" s="2" t="s">
        <v>27</v>
      </c>
      <c r="E185" s="5">
        <v>-28517</v>
      </c>
      <c r="F185" s="3" t="s">
        <v>563</v>
      </c>
      <c r="G185" s="3" t="s">
        <v>52</v>
      </c>
      <c r="H185" s="2" t="s">
        <v>21</v>
      </c>
      <c r="I185" s="2" t="s">
        <v>564</v>
      </c>
      <c r="J185" s="3" t="str">
        <f>HYPERLINK("https://www.boe.es/gazeta/dias/1821/12/02/pdfs/GMD-1821-344.pdf#page=2","Abrir facsímil")</f>
        <v>Abrir facsímil</v>
      </c>
      <c r="K185" s="3" t="s">
        <v>23</v>
      </c>
    </row>
    <row r="186" spans="1:11" ht="42" customHeight="1">
      <c r="A186" s="2" t="s">
        <v>527</v>
      </c>
      <c r="B186" s="2" t="s">
        <v>527</v>
      </c>
      <c r="C186" s="2" t="s">
        <v>70</v>
      </c>
      <c r="D186" s="2" t="s">
        <v>27</v>
      </c>
      <c r="E186" s="5">
        <v>-28517</v>
      </c>
      <c r="F186" s="3" t="s">
        <v>563</v>
      </c>
      <c r="G186" s="3" t="s">
        <v>20</v>
      </c>
      <c r="H186" s="2" t="s">
        <v>21</v>
      </c>
      <c r="I186" s="2" t="s">
        <v>565</v>
      </c>
      <c r="J186" s="3" t="str">
        <f>HYPERLINK("https://www.boe.es/gazeta/dias/1821/12/02/pdfs/GMD-1821-344.pdf#page=3","Abrir facsímil")</f>
        <v>Abrir facsímil</v>
      </c>
      <c r="K186" s="3" t="s">
        <v>23</v>
      </c>
    </row>
    <row r="187" spans="1:11" ht="42" customHeight="1">
      <c r="A187" s="2" t="s">
        <v>527</v>
      </c>
      <c r="B187" s="2" t="s">
        <v>527</v>
      </c>
      <c r="C187" s="2" t="s">
        <v>17</v>
      </c>
      <c r="D187" s="2" t="s">
        <v>18</v>
      </c>
      <c r="E187" s="5">
        <v>-28512</v>
      </c>
      <c r="F187" s="3" t="s">
        <v>66</v>
      </c>
      <c r="G187" s="3" t="s">
        <v>52</v>
      </c>
      <c r="H187" s="2" t="s">
        <v>21</v>
      </c>
      <c r="I187" s="2" t="s">
        <v>566</v>
      </c>
      <c r="J187" s="3" t="str">
        <f>HYPERLINK("https://www.boe.es/gazeta/dias/1821/12/07/pdfs/GMD-1821-349.pdf#page=2","Abrir facsímil")</f>
        <v>Abrir facsímil</v>
      </c>
      <c r="K187" s="3" t="s">
        <v>23</v>
      </c>
    </row>
    <row r="188" spans="1:11" ht="42" customHeight="1">
      <c r="A188" s="2" t="s">
        <v>527</v>
      </c>
      <c r="B188" s="2" t="s">
        <v>527</v>
      </c>
      <c r="C188" s="2" t="s">
        <v>35</v>
      </c>
      <c r="D188" s="2" t="s">
        <v>27</v>
      </c>
      <c r="E188" s="5">
        <v>-28505</v>
      </c>
      <c r="F188" s="3" t="s">
        <v>567</v>
      </c>
      <c r="G188" s="3" t="s">
        <v>43</v>
      </c>
      <c r="H188" s="2" t="s">
        <v>21</v>
      </c>
      <c r="I188" s="2" t="s">
        <v>568</v>
      </c>
      <c r="J188" s="3" t="str">
        <f>HYPERLINK("https://www.boe.es/gazeta/dias/1821/12/14/pdfs/GMD-1821-357.pdf#page=1","Abrir facsímil")</f>
        <v>Abrir facsímil</v>
      </c>
      <c r="K188" s="3" t="s">
        <v>23</v>
      </c>
    </row>
    <row r="189" spans="1:11" ht="42" customHeight="1">
      <c r="A189" s="2" t="s">
        <v>527</v>
      </c>
      <c r="B189" s="2" t="s">
        <v>527</v>
      </c>
      <c r="C189" s="2" t="s">
        <v>70</v>
      </c>
      <c r="D189" s="2" t="s">
        <v>27</v>
      </c>
      <c r="E189" s="5">
        <v>-28505</v>
      </c>
      <c r="F189" s="3" t="s">
        <v>567</v>
      </c>
      <c r="G189" s="3" t="s">
        <v>52</v>
      </c>
      <c r="H189" s="2" t="s">
        <v>21</v>
      </c>
      <c r="I189" s="2" t="s">
        <v>569</v>
      </c>
      <c r="J189" s="3" t="str">
        <f>HYPERLINK("https://www.boe.es/gazeta/dias/1821/12/14/pdfs/GMD-1821-357.pdf#page=2","Abrir facsímil")</f>
        <v>Abrir facsímil</v>
      </c>
      <c r="K189" s="3" t="s">
        <v>23</v>
      </c>
    </row>
    <row r="190" spans="1:11" ht="42" customHeight="1">
      <c r="A190" s="2" t="s">
        <v>527</v>
      </c>
      <c r="B190" s="2" t="s">
        <v>527</v>
      </c>
      <c r="C190" s="2" t="s">
        <v>35</v>
      </c>
      <c r="D190" s="2" t="s">
        <v>27</v>
      </c>
      <c r="E190" s="5">
        <v>-28502</v>
      </c>
      <c r="F190" s="3" t="s">
        <v>570</v>
      </c>
      <c r="G190" s="3" t="s">
        <v>52</v>
      </c>
      <c r="H190" s="2" t="s">
        <v>21</v>
      </c>
      <c r="I190" s="2" t="s">
        <v>571</v>
      </c>
      <c r="J190" s="3" t="str">
        <f>HYPERLINK("https://www.boe.es/gazeta/dias/1821/12/17/pdfs/GMD-1821-360.pdf#page=2","Abrir facsímil")</f>
        <v>Abrir facsímil</v>
      </c>
      <c r="K190" s="3" t="s">
        <v>23</v>
      </c>
    </row>
    <row r="191" spans="1:11" ht="42" customHeight="1">
      <c r="A191" s="2" t="s">
        <v>527</v>
      </c>
      <c r="B191" s="2" t="s">
        <v>527</v>
      </c>
      <c r="C191" s="2" t="s">
        <v>26</v>
      </c>
      <c r="D191" s="2" t="s">
        <v>27</v>
      </c>
      <c r="E191" s="5">
        <v>-28498</v>
      </c>
      <c r="F191" s="3" t="s">
        <v>447</v>
      </c>
      <c r="G191" s="3" t="s">
        <v>88</v>
      </c>
      <c r="H191" s="2" t="s">
        <v>21</v>
      </c>
      <c r="I191" s="2" t="s">
        <v>572</v>
      </c>
      <c r="J191" s="3" t="str">
        <f>HYPERLINK("https://www.boe.es/gazeta/dias/1821/12/21/pdfs/GMD-1821-364.pdf#page=4","Abrir facsímil")</f>
        <v>Abrir facsímil</v>
      </c>
      <c r="K191" s="3" t="s">
        <v>23</v>
      </c>
    </row>
    <row r="192" spans="1:11" ht="42" customHeight="1">
      <c r="A192" s="2" t="s">
        <v>527</v>
      </c>
      <c r="B192" s="2" t="s">
        <v>527</v>
      </c>
      <c r="C192" s="2" t="s">
        <v>114</v>
      </c>
      <c r="D192" s="2" t="s">
        <v>27</v>
      </c>
      <c r="E192" s="5">
        <v>-28491</v>
      </c>
      <c r="F192" s="3" t="s">
        <v>573</v>
      </c>
      <c r="G192" s="3" t="s">
        <v>88</v>
      </c>
      <c r="H192" s="2" t="s">
        <v>21</v>
      </c>
      <c r="I192" s="2" t="s">
        <v>574</v>
      </c>
      <c r="J192" s="3" t="str">
        <f>HYPERLINK("https://www.boe.es/gazeta/dias/1821/12/28/pdfs/GMD-1821-371.pdf#page=4","Abrir facsímil")</f>
        <v>Abrir facsímil</v>
      </c>
      <c r="K192" s="3" t="s">
        <v>23</v>
      </c>
    </row>
    <row r="193" spans="1:11" ht="42" customHeight="1">
      <c r="A193" s="2" t="s">
        <v>575</v>
      </c>
      <c r="B193" s="2" t="s">
        <v>576</v>
      </c>
      <c r="C193" s="2" t="s">
        <v>17</v>
      </c>
      <c r="D193" s="2" t="s">
        <v>18</v>
      </c>
      <c r="E193" s="5">
        <v>-28731</v>
      </c>
      <c r="F193" s="3" t="s">
        <v>577</v>
      </c>
      <c r="G193" s="3" t="s">
        <v>88</v>
      </c>
      <c r="H193" s="2" t="s">
        <v>21</v>
      </c>
      <c r="I193" s="2" t="s">
        <v>578</v>
      </c>
      <c r="J193" s="3" t="str">
        <f>HYPERLINK("https://www.boe.es/gazeta/dias/1821/05/02/pdfs/GMD-1821-124.pdf#page=4","Abrir facsímil")</f>
        <v>Abrir facsímil</v>
      </c>
      <c r="K193" s="3" t="s">
        <v>23</v>
      </c>
    </row>
    <row r="194" spans="1:11" ht="42" customHeight="1">
      <c r="A194" s="2" t="s">
        <v>579</v>
      </c>
      <c r="B194" s="2" t="s">
        <v>580</v>
      </c>
      <c r="C194" s="2" t="s">
        <v>17</v>
      </c>
      <c r="D194" s="2" t="s">
        <v>18</v>
      </c>
      <c r="E194" s="5">
        <v>-28551</v>
      </c>
      <c r="F194" s="3" t="s">
        <v>542</v>
      </c>
      <c r="G194" s="3" t="s">
        <v>88</v>
      </c>
      <c r="H194" s="2" t="s">
        <v>21</v>
      </c>
      <c r="I194" s="2" t="s">
        <v>581</v>
      </c>
      <c r="J194" s="3" t="str">
        <f>HYPERLINK("https://www.boe.es/gazeta/dias/1821/10/29/pdfs/GMD-1821-308.pdf#page=4","Abrir facsímil")</f>
        <v>Abrir facsímil</v>
      </c>
      <c r="K194" s="3" t="s">
        <v>23</v>
      </c>
    </row>
    <row r="195" spans="1:11" ht="42" customHeight="1">
      <c r="A195" s="2" t="s">
        <v>582</v>
      </c>
      <c r="B195" s="2" t="s">
        <v>582</v>
      </c>
      <c r="C195" s="2" t="s">
        <v>17</v>
      </c>
      <c r="D195" s="2" t="s">
        <v>18</v>
      </c>
      <c r="E195" s="5">
        <v>-28718</v>
      </c>
      <c r="F195" s="3" t="s">
        <v>583</v>
      </c>
      <c r="G195" s="3" t="s">
        <v>20</v>
      </c>
      <c r="H195" s="2" t="s">
        <v>21</v>
      </c>
      <c r="I195" s="2" t="s">
        <v>584</v>
      </c>
      <c r="J195" s="3" t="str">
        <f>HYPERLINK("https://www.boe.es/gazeta/dias/1821/05/15/pdfs/GMD-1821-137.pdf#page=3","Abrir facsímil")</f>
        <v>Abrir facsímil</v>
      </c>
      <c r="K195" s="3" t="s">
        <v>23</v>
      </c>
    </row>
    <row r="196" spans="1:11" ht="42" customHeight="1">
      <c r="A196" s="2" t="s">
        <v>585</v>
      </c>
      <c r="B196" s="2" t="s">
        <v>586</v>
      </c>
      <c r="C196" s="2" t="s">
        <v>17</v>
      </c>
      <c r="D196" s="2" t="s">
        <v>18</v>
      </c>
      <c r="E196" s="5">
        <v>-28586</v>
      </c>
      <c r="F196" s="3" t="s">
        <v>587</v>
      </c>
      <c r="G196" s="3" t="s">
        <v>588</v>
      </c>
      <c r="H196" s="2" t="s">
        <v>21</v>
      </c>
      <c r="I196" s="2" t="s">
        <v>589</v>
      </c>
      <c r="J196" s="3" t="str">
        <f>HYPERLINK("https://www.boe.es/gazeta/dias/1821/09/24/pdfs/GMD-1821-272.pdf#page=3","Abrir facsímil")</f>
        <v>Abrir facsímil</v>
      </c>
      <c r="K196" s="3" t="s">
        <v>23</v>
      </c>
    </row>
    <row r="197" spans="1:11" ht="42" customHeight="1">
      <c r="A197" s="2" t="s">
        <v>590</v>
      </c>
      <c r="B197" s="2" t="s">
        <v>590</v>
      </c>
      <c r="C197" s="2" t="s">
        <v>26</v>
      </c>
      <c r="D197" s="2" t="s">
        <v>27</v>
      </c>
      <c r="E197" s="5">
        <v>-28538</v>
      </c>
      <c r="F197" s="3" t="s">
        <v>395</v>
      </c>
      <c r="G197" s="3" t="s">
        <v>20</v>
      </c>
      <c r="H197" s="2" t="s">
        <v>21</v>
      </c>
      <c r="I197" s="2" t="s">
        <v>591</v>
      </c>
      <c r="J197" s="3" t="str">
        <f>HYPERLINK("https://www.boe.es/gazeta/dias/1821/11/11/pdfs/GMD-1821-322.pdf#page=3","Abrir facsímil")</f>
        <v>Abrir facsímil</v>
      </c>
      <c r="K197" s="3" t="s">
        <v>23</v>
      </c>
    </row>
    <row r="198" spans="1:11" ht="42" customHeight="1">
      <c r="A198" s="2" t="s">
        <v>592</v>
      </c>
      <c r="B198" s="2" t="s">
        <v>592</v>
      </c>
      <c r="C198" s="2" t="s">
        <v>17</v>
      </c>
      <c r="D198" s="2" t="s">
        <v>18</v>
      </c>
      <c r="E198" s="5">
        <v>-28518</v>
      </c>
      <c r="F198" s="3" t="s">
        <v>410</v>
      </c>
      <c r="G198" s="3" t="s">
        <v>20</v>
      </c>
      <c r="H198" s="2" t="s">
        <v>21</v>
      </c>
      <c r="I198" s="2" t="s">
        <v>593</v>
      </c>
      <c r="J198" s="3" t="str">
        <f>HYPERLINK("https://www.boe.es/gazeta/dias/1821/12/01/pdfs/GMD-1821-343.pdf#page=3","Abrir facsímil")</f>
        <v>Abrir facsímil</v>
      </c>
      <c r="K198" s="3" t="s">
        <v>23</v>
      </c>
    </row>
    <row r="199" spans="1:11" ht="42" customHeight="1">
      <c r="A199" s="2" t="s">
        <v>594</v>
      </c>
      <c r="B199" s="2" t="s">
        <v>595</v>
      </c>
      <c r="C199" s="2" t="s">
        <v>114</v>
      </c>
      <c r="D199" s="2" t="s">
        <v>27</v>
      </c>
      <c r="E199" s="5">
        <v>-28847</v>
      </c>
      <c r="F199" s="3" t="s">
        <v>288</v>
      </c>
      <c r="G199" s="3" t="s">
        <v>289</v>
      </c>
      <c r="H199" s="2" t="s">
        <v>21</v>
      </c>
      <c r="I199" s="2" t="s">
        <v>596</v>
      </c>
      <c r="J199" s="3" t="str">
        <f>HYPERLINK("https://www.boe.es/gazeta/dias/1821/01/06/pdfs/GGB-1821-6.pdf#page=4","Abrir facsímil")</f>
        <v>Abrir facsímil</v>
      </c>
      <c r="K199" s="3" t="s">
        <v>23</v>
      </c>
    </row>
    <row r="200" spans="1:11" ht="42" customHeight="1">
      <c r="A200" s="2" t="s">
        <v>597</v>
      </c>
      <c r="B200" s="2" t="s">
        <v>597</v>
      </c>
      <c r="C200" s="2" t="s">
        <v>17</v>
      </c>
      <c r="D200" s="2" t="s">
        <v>18</v>
      </c>
      <c r="E200" s="5">
        <v>-28500</v>
      </c>
      <c r="F200" s="3" t="s">
        <v>298</v>
      </c>
      <c r="G200" s="3" t="s">
        <v>20</v>
      </c>
      <c r="H200" s="2" t="s">
        <v>21</v>
      </c>
      <c r="I200" s="2" t="s">
        <v>598</v>
      </c>
      <c r="J200" s="3" t="str">
        <f>HYPERLINK("https://www.boe.es/gazeta/dias/1821/12/19/pdfs/GMD-1821-362.pdf#page=3","Abrir facsímil")</f>
        <v>Abrir facsímil</v>
      </c>
      <c r="K200" s="3" t="s">
        <v>23</v>
      </c>
    </row>
    <row r="201" spans="1:11" ht="42" customHeight="1">
      <c r="A201" s="2" t="s">
        <v>599</v>
      </c>
      <c r="B201" s="2" t="s">
        <v>600</v>
      </c>
      <c r="C201" s="2" t="s">
        <v>17</v>
      </c>
      <c r="D201" s="2" t="s">
        <v>18</v>
      </c>
      <c r="E201" s="5">
        <v>-28836</v>
      </c>
      <c r="F201" s="3" t="s">
        <v>601</v>
      </c>
      <c r="G201" s="3" t="s">
        <v>20</v>
      </c>
      <c r="H201" s="2" t="s">
        <v>30</v>
      </c>
      <c r="I201" s="2" t="s">
        <v>602</v>
      </c>
      <c r="J201" s="3" t="str">
        <f>HYPERLINK("https://www.boe.es/gazeta/dias/1821/01/17/pdfs/GGB-1821-17.pdf#page=3","Abrir facsímil")</f>
        <v>Abrir facsímil</v>
      </c>
      <c r="K201" s="3" t="s">
        <v>32</v>
      </c>
    </row>
    <row r="202" spans="1:11" ht="42" customHeight="1">
      <c r="A202" s="2" t="s">
        <v>603</v>
      </c>
      <c r="B202" s="2" t="s">
        <v>604</v>
      </c>
      <c r="C202" s="2" t="s">
        <v>40</v>
      </c>
      <c r="D202" s="2" t="s">
        <v>41</v>
      </c>
      <c r="E202" s="5">
        <v>-28793</v>
      </c>
      <c r="F202" s="3" t="s">
        <v>157</v>
      </c>
      <c r="G202" s="3" t="s">
        <v>162</v>
      </c>
      <c r="H202" s="2" t="s">
        <v>21</v>
      </c>
      <c r="I202" s="2" t="s">
        <v>605</v>
      </c>
      <c r="J202" s="3" t="str">
        <f>HYPERLINK("https://www.boe.es/gazeta/dias/1821/03/01/pdfs/GGB-1821-60.pdf#page=5","Abrir facsímil")</f>
        <v>Abrir facsímil</v>
      </c>
      <c r="K202" s="3" t="s">
        <v>23</v>
      </c>
    </row>
    <row r="203" spans="1:11" ht="42" customHeight="1">
      <c r="A203" s="2" t="s">
        <v>606</v>
      </c>
      <c r="B203" s="2" t="s">
        <v>607</v>
      </c>
      <c r="C203" s="2" t="s">
        <v>26</v>
      </c>
      <c r="D203" s="2" t="s">
        <v>27</v>
      </c>
      <c r="E203" s="5">
        <v>-28762</v>
      </c>
      <c r="F203" s="3" t="s">
        <v>608</v>
      </c>
      <c r="G203" s="3" t="s">
        <v>609</v>
      </c>
      <c r="H203" s="2" t="s">
        <v>21</v>
      </c>
      <c r="I203" s="2" t="s">
        <v>610</v>
      </c>
      <c r="J203" s="3" t="str">
        <f>HYPERLINK("https://www.boe.es/gazeta/dias/1821/04/01/pdfs/GMD-1821-93.pdf#page=7","Abrir facsímil")</f>
        <v>Abrir facsímil</v>
      </c>
      <c r="K203" s="3" t="s">
        <v>23</v>
      </c>
    </row>
    <row r="204" spans="1:11" ht="42" customHeight="1">
      <c r="A204" s="2" t="s">
        <v>611</v>
      </c>
      <c r="B204" s="2" t="s">
        <v>612</v>
      </c>
      <c r="C204" s="2" t="s">
        <v>40</v>
      </c>
      <c r="D204" s="2" t="s">
        <v>41</v>
      </c>
      <c r="E204" s="5">
        <v>-28807</v>
      </c>
      <c r="F204" s="3" t="s">
        <v>613</v>
      </c>
      <c r="G204" s="3" t="s">
        <v>20</v>
      </c>
      <c r="H204" s="2" t="s">
        <v>30</v>
      </c>
      <c r="I204" s="2" t="s">
        <v>614</v>
      </c>
      <c r="J204" s="3" t="str">
        <f>HYPERLINK("https://www.boe.es/gazeta/dias/1821/02/15/pdfs/GGB-1821-46.pdf#page=3","Abrir facsímil")</f>
        <v>Abrir facsímil</v>
      </c>
      <c r="K204" s="3" t="s">
        <v>32</v>
      </c>
    </row>
    <row r="205" spans="1:11" ht="42" customHeight="1">
      <c r="A205" s="2" t="s">
        <v>615</v>
      </c>
      <c r="B205" s="2" t="s">
        <v>615</v>
      </c>
      <c r="C205" s="2" t="s">
        <v>35</v>
      </c>
      <c r="D205" s="2" t="s">
        <v>27</v>
      </c>
      <c r="E205" s="5">
        <v>-28630</v>
      </c>
      <c r="F205" s="3" t="s">
        <v>616</v>
      </c>
      <c r="G205" s="3" t="s">
        <v>88</v>
      </c>
      <c r="H205" s="2" t="s">
        <v>21</v>
      </c>
      <c r="I205" s="2" t="s">
        <v>617</v>
      </c>
      <c r="J205" s="3" t="str">
        <f>HYPERLINK("https://www.boe.es/gazeta/dias/1821/08/11/pdfs/GMD-1821-228.pdf#page=4","Abrir facsímil")</f>
        <v>Abrir facsímil</v>
      </c>
      <c r="K205" s="3" t="s">
        <v>23</v>
      </c>
    </row>
    <row r="206" spans="1:11" ht="42" customHeight="1">
      <c r="A206" s="2" t="s">
        <v>618</v>
      </c>
      <c r="B206" s="2" t="s">
        <v>619</v>
      </c>
      <c r="C206" s="2" t="s">
        <v>70</v>
      </c>
      <c r="D206" s="2" t="s">
        <v>27</v>
      </c>
      <c r="E206" s="5">
        <v>-28710</v>
      </c>
      <c r="F206" s="3" t="s">
        <v>375</v>
      </c>
      <c r="G206" s="3" t="s">
        <v>88</v>
      </c>
      <c r="H206" s="2" t="s">
        <v>21</v>
      </c>
      <c r="I206" s="2" t="s">
        <v>620</v>
      </c>
      <c r="J206" s="3" t="str">
        <f>HYPERLINK("https://www.boe.es/gazeta/dias/1821/05/23/pdfs/GMD-1821-145.pdf#page=4","Abrir facsímil")</f>
        <v>Abrir facsímil</v>
      </c>
      <c r="K206" s="3" t="s">
        <v>23</v>
      </c>
    </row>
    <row r="207" spans="1:11" ht="42" customHeight="1">
      <c r="A207" s="2" t="s">
        <v>621</v>
      </c>
      <c r="B207" s="2" t="s">
        <v>621</v>
      </c>
      <c r="C207" s="2" t="s">
        <v>114</v>
      </c>
      <c r="D207" s="2" t="s">
        <v>27</v>
      </c>
      <c r="E207" s="5">
        <v>-28757</v>
      </c>
      <c r="F207" s="3" t="s">
        <v>472</v>
      </c>
      <c r="G207" s="3" t="s">
        <v>20</v>
      </c>
      <c r="H207" s="2" t="s">
        <v>21</v>
      </c>
      <c r="I207" s="2" t="s">
        <v>622</v>
      </c>
      <c r="J207" s="3" t="str">
        <f>HYPERLINK("https://www.boe.es/gazeta/dias/1821/04/06/pdfs/GMD-1821-98.pdf#page=3","Abrir facsímil")</f>
        <v>Abrir facsímil</v>
      </c>
      <c r="K207" s="3" t="s">
        <v>23</v>
      </c>
    </row>
    <row r="208" spans="1:11" ht="42" customHeight="1">
      <c r="A208" s="2" t="s">
        <v>621</v>
      </c>
      <c r="B208" s="2" t="s">
        <v>621</v>
      </c>
      <c r="C208" s="2" t="s">
        <v>17</v>
      </c>
      <c r="D208" s="2" t="s">
        <v>18</v>
      </c>
      <c r="E208" s="5">
        <v>-28722</v>
      </c>
      <c r="F208" s="3" t="s">
        <v>623</v>
      </c>
      <c r="G208" s="3" t="s">
        <v>52</v>
      </c>
      <c r="H208" s="2" t="s">
        <v>21</v>
      </c>
      <c r="I208" s="2" t="s">
        <v>624</v>
      </c>
      <c r="J208" s="3" t="str">
        <f>HYPERLINK("https://www.boe.es/gazeta/dias/1821/05/11/pdfs/GMD-1821-133.pdf#page=2","Abrir facsímil")</f>
        <v>Abrir facsímil</v>
      </c>
      <c r="K208" s="3" t="s">
        <v>23</v>
      </c>
    </row>
    <row r="209" spans="1:11" ht="42" customHeight="1">
      <c r="A209" s="2" t="s">
        <v>625</v>
      </c>
      <c r="B209" s="2" t="s">
        <v>626</v>
      </c>
      <c r="C209" s="2" t="s">
        <v>114</v>
      </c>
      <c r="D209" s="2" t="s">
        <v>27</v>
      </c>
      <c r="E209" s="5">
        <v>-28585</v>
      </c>
      <c r="F209" s="3" t="s">
        <v>627</v>
      </c>
      <c r="G209" s="3" t="s">
        <v>43</v>
      </c>
      <c r="H209" s="2" t="s">
        <v>21</v>
      </c>
      <c r="I209" s="2" t="s">
        <v>628</v>
      </c>
      <c r="J209" s="3" t="str">
        <f>HYPERLINK("https://www.boe.es/gazeta/dias/1821/09/25/pdfs/GMD-1821-273.pdf#page=1","Abrir facsímil")</f>
        <v>Abrir facsímil</v>
      </c>
      <c r="K209" s="3" t="s">
        <v>23</v>
      </c>
    </row>
    <row r="210" spans="1:11" ht="42" customHeight="1">
      <c r="A210" s="2" t="s">
        <v>629</v>
      </c>
      <c r="B210" s="2" t="s">
        <v>630</v>
      </c>
      <c r="C210" s="2" t="s">
        <v>17</v>
      </c>
      <c r="D210" s="2" t="s">
        <v>18</v>
      </c>
      <c r="E210" s="5">
        <v>-28518</v>
      </c>
      <c r="F210" s="3" t="s">
        <v>410</v>
      </c>
      <c r="G210" s="3" t="s">
        <v>29</v>
      </c>
      <c r="H210" s="2" t="s">
        <v>21</v>
      </c>
      <c r="I210" s="2" t="s">
        <v>631</v>
      </c>
      <c r="J210" s="3" t="str">
        <f>HYPERLINK("https://www.boe.es/gazeta/dias/1821/12/01/pdfs/GMD-1821-343.pdf#page=6","Abrir facsímil")</f>
        <v>Abrir facsímil</v>
      </c>
      <c r="K210" s="3" t="s">
        <v>23</v>
      </c>
    </row>
    <row r="211" spans="1:11" ht="42" customHeight="1">
      <c r="A211" s="2" t="s">
        <v>632</v>
      </c>
      <c r="B211" s="2" t="s">
        <v>633</v>
      </c>
      <c r="C211" s="2" t="s">
        <v>40</v>
      </c>
      <c r="D211" s="2" t="s">
        <v>41</v>
      </c>
      <c r="E211" s="5">
        <v>-28748</v>
      </c>
      <c r="F211" s="3" t="s">
        <v>634</v>
      </c>
      <c r="G211" s="3" t="s">
        <v>88</v>
      </c>
      <c r="H211" s="2" t="s">
        <v>21</v>
      </c>
      <c r="I211" s="2" t="s">
        <v>635</v>
      </c>
      <c r="J211" s="3" t="str">
        <f>HYPERLINK("https://www.boe.es/gazeta/dias/1821/04/15/pdfs/GMD-1821-107.pdf#page=4","Abrir facsímil")</f>
        <v>Abrir facsímil</v>
      </c>
      <c r="K211" s="3" t="s">
        <v>23</v>
      </c>
    </row>
    <row r="212" spans="1:11" ht="42" customHeight="1">
      <c r="A212" s="2" t="s">
        <v>636</v>
      </c>
      <c r="B212" s="2" t="s">
        <v>637</v>
      </c>
      <c r="C212" s="2" t="s">
        <v>70</v>
      </c>
      <c r="D212" s="2" t="s">
        <v>27</v>
      </c>
      <c r="E212" s="5">
        <v>-28676</v>
      </c>
      <c r="F212" s="3" t="s">
        <v>534</v>
      </c>
      <c r="G212" s="3" t="s">
        <v>29</v>
      </c>
      <c r="H212" s="2" t="s">
        <v>21</v>
      </c>
      <c r="I212" s="2" t="s">
        <v>638</v>
      </c>
      <c r="J212" s="3" t="str">
        <f>HYPERLINK("https://www.boe.es/gazeta/dias/1821/06/26/pdfs/GMD-1821-179.pdf#page=6","Abrir facsímil")</f>
        <v>Abrir facsímil</v>
      </c>
      <c r="K212" s="3" t="s">
        <v>23</v>
      </c>
    </row>
    <row r="213" spans="1:11" ht="42" customHeight="1">
      <c r="A213" s="2" t="s">
        <v>639</v>
      </c>
      <c r="B213" s="2" t="s">
        <v>640</v>
      </c>
      <c r="C213" s="2" t="s">
        <v>40</v>
      </c>
      <c r="D213" s="2" t="s">
        <v>41</v>
      </c>
      <c r="E213" s="5">
        <v>-28513</v>
      </c>
      <c r="F213" s="3" t="s">
        <v>502</v>
      </c>
      <c r="G213" s="3" t="s">
        <v>52</v>
      </c>
      <c r="H213" s="2" t="s">
        <v>21</v>
      </c>
      <c r="I213" s="2" t="s">
        <v>641</v>
      </c>
      <c r="J213" s="3" t="str">
        <f>HYPERLINK("https://www.boe.es/gazeta/dias/1821/12/06/pdfs/GMD-1821-348.pdf#page=2","Abrir facsímil")</f>
        <v>Abrir facsímil</v>
      </c>
      <c r="K213" s="3" t="s">
        <v>23</v>
      </c>
    </row>
    <row r="214" spans="1:11" ht="42" customHeight="1">
      <c r="A214" s="2" t="s">
        <v>642</v>
      </c>
      <c r="B214" s="2" t="s">
        <v>643</v>
      </c>
      <c r="C214" s="2" t="s">
        <v>17</v>
      </c>
      <c r="D214" s="2" t="s">
        <v>18</v>
      </c>
      <c r="E214" s="5">
        <v>-28535</v>
      </c>
      <c r="F214" s="3" t="s">
        <v>96</v>
      </c>
      <c r="G214" s="3" t="s">
        <v>52</v>
      </c>
      <c r="H214" s="2" t="s">
        <v>21</v>
      </c>
      <c r="I214" s="2" t="s">
        <v>644</v>
      </c>
      <c r="J214" s="3" t="str">
        <f>HYPERLINK("https://www.boe.es/gazeta/dias/1821/11/14/pdfs/GMD-1821-325.pdf#page=2","Abrir facsímil")</f>
        <v>Abrir facsímil</v>
      </c>
      <c r="K214" s="3" t="s">
        <v>23</v>
      </c>
    </row>
    <row r="215" spans="1:11" ht="42" customHeight="1">
      <c r="A215" s="2" t="s">
        <v>645</v>
      </c>
      <c r="B215" s="2" t="s">
        <v>646</v>
      </c>
      <c r="C215" s="2" t="s">
        <v>17</v>
      </c>
      <c r="D215" s="2" t="s">
        <v>18</v>
      </c>
      <c r="E215" s="5">
        <v>-28719</v>
      </c>
      <c r="F215" s="3" t="s">
        <v>647</v>
      </c>
      <c r="G215" s="3" t="s">
        <v>52</v>
      </c>
      <c r="H215" s="2" t="s">
        <v>21</v>
      </c>
      <c r="I215" s="2" t="s">
        <v>648</v>
      </c>
      <c r="J215" s="3" t="str">
        <f>HYPERLINK("https://www.boe.es/gazeta/dias/1821/05/14/pdfs/GMD-1821-136.pdf#page=2","Abrir facsímil")</f>
        <v>Abrir facsímil</v>
      </c>
      <c r="K215" s="3" t="s">
        <v>23</v>
      </c>
    </row>
    <row r="216" spans="1:11" ht="42" customHeight="1">
      <c r="A216" s="2" t="s">
        <v>649</v>
      </c>
      <c r="B216" s="2" t="s">
        <v>650</v>
      </c>
      <c r="C216" s="2" t="s">
        <v>40</v>
      </c>
      <c r="D216" s="2" t="s">
        <v>41</v>
      </c>
      <c r="E216" s="5">
        <v>-28509</v>
      </c>
      <c r="F216" s="3" t="s">
        <v>388</v>
      </c>
      <c r="G216" s="3" t="s">
        <v>88</v>
      </c>
      <c r="H216" s="2" t="s">
        <v>21</v>
      </c>
      <c r="I216" s="2" t="s">
        <v>651</v>
      </c>
      <c r="J216" s="3" t="str">
        <f>HYPERLINK("https://www.boe.es/gazeta/dias/1821/12/10/pdfs/GMD-1821-352.pdf#page=4","Abrir facsímil")</f>
        <v>Abrir facsímil</v>
      </c>
      <c r="K216" s="3" t="s">
        <v>23</v>
      </c>
    </row>
    <row r="217" spans="1:11" ht="42" customHeight="1">
      <c r="A217" s="2" t="s">
        <v>652</v>
      </c>
      <c r="B217" s="2" t="s">
        <v>653</v>
      </c>
      <c r="C217" s="2" t="s">
        <v>26</v>
      </c>
      <c r="D217" s="2" t="s">
        <v>27</v>
      </c>
      <c r="E217" s="5">
        <v>-28509</v>
      </c>
      <c r="F217" s="3" t="s">
        <v>388</v>
      </c>
      <c r="G217" s="3" t="s">
        <v>162</v>
      </c>
      <c r="H217" s="2" t="s">
        <v>21</v>
      </c>
      <c r="I217" s="2" t="s">
        <v>654</v>
      </c>
      <c r="J217" s="3" t="str">
        <f>HYPERLINK("https://www.boe.es/gazeta/dias/1821/12/10/pdfs/GMD-1821-352.pdf#page=5","Abrir facsímil")</f>
        <v>Abrir facsímil</v>
      </c>
      <c r="K217" s="3" t="s">
        <v>23</v>
      </c>
    </row>
    <row r="218" spans="1:11" ht="42" customHeight="1">
      <c r="A218" s="2" t="s">
        <v>655</v>
      </c>
      <c r="B218" s="2" t="s">
        <v>656</v>
      </c>
      <c r="C218" s="2" t="s">
        <v>40</v>
      </c>
      <c r="D218" s="2" t="s">
        <v>41</v>
      </c>
      <c r="E218" s="5">
        <v>-28726</v>
      </c>
      <c r="F218" s="3" t="s">
        <v>347</v>
      </c>
      <c r="G218" s="3" t="s">
        <v>52</v>
      </c>
      <c r="H218" s="2" t="s">
        <v>21</v>
      </c>
      <c r="I218" s="2" t="s">
        <v>657</v>
      </c>
      <c r="J218" s="3" t="str">
        <f>HYPERLINK("https://www.boe.es/gazeta/dias/1821/05/07/pdfs/GMD-1821-129.pdf#page=2","Abrir facsímil")</f>
        <v>Abrir facsímil</v>
      </c>
      <c r="K218" s="3" t="s">
        <v>23</v>
      </c>
    </row>
    <row r="219" spans="1:11" ht="42" customHeight="1">
      <c r="A219" s="2" t="s">
        <v>658</v>
      </c>
      <c r="B219" s="2" t="s">
        <v>659</v>
      </c>
      <c r="C219" s="2" t="s">
        <v>26</v>
      </c>
      <c r="D219" s="2" t="s">
        <v>27</v>
      </c>
      <c r="E219" s="5">
        <v>-28842</v>
      </c>
      <c r="F219" s="3" t="s">
        <v>660</v>
      </c>
      <c r="G219" s="3" t="s">
        <v>88</v>
      </c>
      <c r="H219" s="2" t="s">
        <v>21</v>
      </c>
      <c r="I219" s="2" t="s">
        <v>661</v>
      </c>
      <c r="J219" s="3" t="str">
        <f>HYPERLINK("https://www.boe.es/gazeta/dias/1821/01/11/pdfs/GGB-1821-11.pdf#page=4","Abrir facsímil")</f>
        <v>Abrir facsímil</v>
      </c>
      <c r="K219" s="3" t="s">
        <v>23</v>
      </c>
    </row>
    <row r="220" spans="1:11" ht="42" customHeight="1">
      <c r="A220" s="2" t="s">
        <v>662</v>
      </c>
      <c r="B220" s="2" t="s">
        <v>663</v>
      </c>
      <c r="C220" s="2" t="s">
        <v>40</v>
      </c>
      <c r="D220" s="2" t="s">
        <v>41</v>
      </c>
      <c r="E220" s="5">
        <v>-28850</v>
      </c>
      <c r="F220" s="3" t="s">
        <v>664</v>
      </c>
      <c r="G220" s="3" t="s">
        <v>20</v>
      </c>
      <c r="H220" s="2" t="s">
        <v>21</v>
      </c>
      <c r="I220" s="2" t="s">
        <v>665</v>
      </c>
      <c r="J220" s="3" t="str">
        <f>HYPERLINK("https://www.boe.es/gazeta/dias/1821/01/03/pdfs/GGB-1821-3.pdf#page=3","Abrir facsímil")</f>
        <v>Abrir facsímil</v>
      </c>
      <c r="K220" s="3" t="s">
        <v>23</v>
      </c>
    </row>
    <row r="221" spans="1:11" ht="42" customHeight="1">
      <c r="A221" s="2" t="s">
        <v>666</v>
      </c>
      <c r="B221" s="2" t="s">
        <v>667</v>
      </c>
      <c r="C221" s="2" t="s">
        <v>35</v>
      </c>
      <c r="D221" s="2" t="s">
        <v>27</v>
      </c>
      <c r="E221" s="5">
        <v>-28710</v>
      </c>
      <c r="F221" s="3" t="s">
        <v>375</v>
      </c>
      <c r="G221" s="3" t="s">
        <v>52</v>
      </c>
      <c r="H221" s="2" t="s">
        <v>21</v>
      </c>
      <c r="I221" s="2" t="s">
        <v>668</v>
      </c>
      <c r="J221" s="3" t="str">
        <f>HYPERLINK("https://www.boe.es/gazeta/dias/1821/05/23/pdfs/GMD-1821-145.pdf#page=2","Abrir facsímil")</f>
        <v>Abrir facsímil</v>
      </c>
      <c r="K221" s="3" t="s">
        <v>23</v>
      </c>
    </row>
    <row r="222" spans="1:11" ht="42" customHeight="1">
      <c r="A222" s="2" t="s">
        <v>669</v>
      </c>
      <c r="B222" s="2" t="s">
        <v>670</v>
      </c>
      <c r="C222" s="2" t="s">
        <v>17</v>
      </c>
      <c r="D222" s="2" t="s">
        <v>18</v>
      </c>
      <c r="E222" s="5">
        <v>-28565</v>
      </c>
      <c r="F222" s="3" t="s">
        <v>326</v>
      </c>
      <c r="G222" s="3" t="s">
        <v>29</v>
      </c>
      <c r="H222" s="2" t="s">
        <v>21</v>
      </c>
      <c r="I222" s="2" t="s">
        <v>671</v>
      </c>
      <c r="J222" s="3" t="str">
        <f>HYPERLINK("https://www.boe.es/gazeta/dias/1821/10/15/pdfs/GMD-1821-294.pdf#page=6","Abrir facsímil")</f>
        <v>Abrir facsímil</v>
      </c>
      <c r="K222" s="3" t="s">
        <v>23</v>
      </c>
    </row>
    <row r="223" spans="1:11" ht="42" customHeight="1">
      <c r="A223" s="2" t="s">
        <v>672</v>
      </c>
      <c r="B223" s="2" t="s">
        <v>673</v>
      </c>
      <c r="C223" s="2" t="s">
        <v>40</v>
      </c>
      <c r="D223" s="2" t="s">
        <v>41</v>
      </c>
      <c r="E223" s="5">
        <v>-28654</v>
      </c>
      <c r="F223" s="3" t="s">
        <v>674</v>
      </c>
      <c r="G223" s="3" t="s">
        <v>88</v>
      </c>
      <c r="H223" s="2" t="s">
        <v>21</v>
      </c>
      <c r="I223" s="2" t="s">
        <v>675</v>
      </c>
      <c r="J223" s="3" t="str">
        <f>HYPERLINK("https://www.boe.es/gazeta/dias/1821/07/18/pdfs/GMD-1821-203.pdf#page=4","Abrir facsímil")</f>
        <v>Abrir facsímil</v>
      </c>
      <c r="K223" s="3" t="s">
        <v>23</v>
      </c>
    </row>
    <row r="224" spans="1:11" ht="42" customHeight="1">
      <c r="A224" s="2" t="s">
        <v>676</v>
      </c>
      <c r="B224" s="2" t="s">
        <v>677</v>
      </c>
      <c r="C224" s="2" t="s">
        <v>174</v>
      </c>
      <c r="D224" s="2" t="s">
        <v>27</v>
      </c>
      <c r="E224" s="5">
        <v>-28552</v>
      </c>
      <c r="F224" s="3" t="s">
        <v>28</v>
      </c>
      <c r="G224" s="3" t="s">
        <v>29</v>
      </c>
      <c r="H224" s="2" t="s">
        <v>21</v>
      </c>
      <c r="I224" s="2" t="s">
        <v>678</v>
      </c>
      <c r="J224" s="3" t="str">
        <f>HYPERLINK("https://www.boe.es/gazeta/dias/1821/10/28/pdfs/GMD-1821-307.pdf#page=6","Abrir facsímil")</f>
        <v>Abrir facsímil</v>
      </c>
      <c r="K224" s="3" t="s">
        <v>23</v>
      </c>
    </row>
    <row r="225" spans="1:11" ht="42" customHeight="1">
      <c r="A225" s="2" t="s">
        <v>679</v>
      </c>
      <c r="B225" s="2" t="s">
        <v>680</v>
      </c>
      <c r="C225" s="2" t="s">
        <v>40</v>
      </c>
      <c r="D225" s="2" t="s">
        <v>41</v>
      </c>
      <c r="E225" s="5">
        <v>-28731</v>
      </c>
      <c r="F225" s="3" t="s">
        <v>577</v>
      </c>
      <c r="G225" s="3" t="s">
        <v>20</v>
      </c>
      <c r="H225" s="2" t="s">
        <v>21</v>
      </c>
      <c r="I225" s="2" t="s">
        <v>681</v>
      </c>
      <c r="J225" s="3" t="str">
        <f>HYPERLINK("https://www.boe.es/gazeta/dias/1821/05/02/pdfs/GMD-1821-124.pdf#page=3","Abrir facsímil")</f>
        <v>Abrir facsímil</v>
      </c>
      <c r="K225" s="3" t="s">
        <v>23</v>
      </c>
    </row>
    <row r="226" spans="1:11" ht="42" customHeight="1">
      <c r="A226" s="2" t="s">
        <v>682</v>
      </c>
      <c r="B226" s="2" t="s">
        <v>683</v>
      </c>
      <c r="C226" s="2" t="s">
        <v>114</v>
      </c>
      <c r="D226" s="2" t="s">
        <v>27</v>
      </c>
      <c r="E226" s="5">
        <v>-28836</v>
      </c>
      <c r="F226" s="3" t="s">
        <v>601</v>
      </c>
      <c r="G226" s="3" t="s">
        <v>20</v>
      </c>
      <c r="H226" s="2" t="s">
        <v>21</v>
      </c>
      <c r="I226" s="2" t="s">
        <v>684</v>
      </c>
      <c r="J226" s="3" t="str">
        <f>HYPERLINK("https://www.boe.es/gazeta/dias/1821/01/17/pdfs/GGB-1821-17.pdf#page=3","Abrir facsímil")</f>
        <v>Abrir facsímil</v>
      </c>
      <c r="K226" s="3" t="s">
        <v>23</v>
      </c>
    </row>
    <row r="227" spans="1:11" ht="42" customHeight="1">
      <c r="A227" s="2" t="s">
        <v>685</v>
      </c>
      <c r="B227" s="2" t="s">
        <v>686</v>
      </c>
      <c r="C227" s="2" t="s">
        <v>17</v>
      </c>
      <c r="D227" s="2" t="s">
        <v>18</v>
      </c>
      <c r="E227" s="5">
        <v>-28746</v>
      </c>
      <c r="F227" s="3" t="s">
        <v>687</v>
      </c>
      <c r="G227" s="3" t="s">
        <v>333</v>
      </c>
      <c r="H227" s="2" t="s">
        <v>21</v>
      </c>
      <c r="I227" s="2" t="s">
        <v>688</v>
      </c>
      <c r="J227" s="3" t="str">
        <f>HYPERLINK("https://www.boe.es/gazeta/dias/1821/04/17/pdfs/GMD-1821-109.pdf#page=8","Abrir facsímil")</f>
        <v>Abrir facsímil</v>
      </c>
      <c r="K227" s="3" t="s">
        <v>23</v>
      </c>
    </row>
    <row r="228" spans="1:11" ht="42" customHeight="1">
      <c r="A228" s="2" t="s">
        <v>685</v>
      </c>
      <c r="B228" s="2" t="s">
        <v>686</v>
      </c>
      <c r="C228" s="2" t="s">
        <v>17</v>
      </c>
      <c r="D228" s="2" t="s">
        <v>18</v>
      </c>
      <c r="E228" s="5">
        <v>-28553</v>
      </c>
      <c r="F228" s="3" t="s">
        <v>182</v>
      </c>
      <c r="G228" s="3" t="s">
        <v>29</v>
      </c>
      <c r="H228" s="2" t="s">
        <v>21</v>
      </c>
      <c r="I228" s="2" t="s">
        <v>689</v>
      </c>
      <c r="J228" s="3" t="str">
        <f>HYPERLINK("https://www.boe.es/gazeta/dias/1821/10/27/pdfs/GMD-1821-306.pdf#page=6","Abrir facsímil")</f>
        <v>Abrir facsímil</v>
      </c>
      <c r="K228" s="3" t="s">
        <v>23</v>
      </c>
    </row>
    <row r="229" spans="1:11" ht="42" customHeight="1">
      <c r="A229" s="2" t="s">
        <v>690</v>
      </c>
      <c r="B229" s="2" t="s">
        <v>691</v>
      </c>
      <c r="C229" s="2" t="s">
        <v>70</v>
      </c>
      <c r="D229" s="2" t="s">
        <v>27</v>
      </c>
      <c r="E229" s="5">
        <v>-28543</v>
      </c>
      <c r="F229" s="3" t="s">
        <v>136</v>
      </c>
      <c r="G229" s="3" t="s">
        <v>333</v>
      </c>
      <c r="H229" s="2" t="s">
        <v>21</v>
      </c>
      <c r="I229" s="2" t="s">
        <v>692</v>
      </c>
      <c r="J229" s="3" t="str">
        <f>HYPERLINK("https://www.boe.es/gazeta/dias/1821/11/06/pdfs/GMD-1821-317.pdf#page=8","Abrir facsímil")</f>
        <v>Abrir facsímil</v>
      </c>
      <c r="K229" s="3" t="s">
        <v>23</v>
      </c>
    </row>
    <row r="230" spans="1:11" ht="42" customHeight="1">
      <c r="A230" s="2" t="s">
        <v>693</v>
      </c>
      <c r="B230" s="2" t="s">
        <v>694</v>
      </c>
      <c r="C230" s="2" t="s">
        <v>40</v>
      </c>
      <c r="D230" s="2" t="s">
        <v>41</v>
      </c>
      <c r="E230" s="5">
        <v>-28712</v>
      </c>
      <c r="F230" s="3" t="s">
        <v>695</v>
      </c>
      <c r="G230" s="3" t="s">
        <v>88</v>
      </c>
      <c r="H230" s="2" t="s">
        <v>21</v>
      </c>
      <c r="I230" s="2" t="s">
        <v>696</v>
      </c>
      <c r="J230" s="3" t="str">
        <f>HYPERLINK("https://www.boe.es/gazeta/dias/1821/05/21/pdfs/GMD-1821-143.pdf#page=4","Abrir facsímil")</f>
        <v>Abrir facsímil</v>
      </c>
      <c r="K230" s="3" t="s">
        <v>23</v>
      </c>
    </row>
    <row r="231" spans="1:11" ht="42" customHeight="1">
      <c r="A231" s="2" t="s">
        <v>697</v>
      </c>
      <c r="B231" s="2" t="s">
        <v>698</v>
      </c>
      <c r="C231" s="2" t="s">
        <v>17</v>
      </c>
      <c r="D231" s="2" t="s">
        <v>18</v>
      </c>
      <c r="E231" s="5">
        <v>-28696</v>
      </c>
      <c r="F231" s="3" t="s">
        <v>497</v>
      </c>
      <c r="G231" s="3" t="s">
        <v>88</v>
      </c>
      <c r="H231" s="2" t="s">
        <v>21</v>
      </c>
      <c r="I231" s="2" t="s">
        <v>699</v>
      </c>
      <c r="J231" s="3" t="str">
        <f>HYPERLINK("https://www.boe.es/gazeta/dias/1821/06/06/pdfs/GMD-1821-159.pdf#page=4","Abrir facsímil")</f>
        <v>Abrir facsímil</v>
      </c>
      <c r="K231" s="3" t="s">
        <v>23</v>
      </c>
    </row>
    <row r="232" spans="1:11" ht="42" customHeight="1">
      <c r="A232" s="2" t="s">
        <v>700</v>
      </c>
      <c r="B232" s="2" t="s">
        <v>700</v>
      </c>
      <c r="C232" s="2" t="s">
        <v>40</v>
      </c>
      <c r="D232" s="2" t="s">
        <v>41</v>
      </c>
      <c r="E232" s="5">
        <v>-28700</v>
      </c>
      <c r="F232" s="3" t="s">
        <v>701</v>
      </c>
      <c r="G232" s="3" t="s">
        <v>52</v>
      </c>
      <c r="H232" s="2" t="s">
        <v>21</v>
      </c>
      <c r="I232" s="2" t="s">
        <v>702</v>
      </c>
      <c r="J232" s="3" t="str">
        <f>HYPERLINK("https://www.boe.es/gazeta/dias/1821/06/02/pdfs/GMD-1821-155.pdf#page=2","Abrir facsímil")</f>
        <v>Abrir facsímil</v>
      </c>
      <c r="K232" s="3" t="s">
        <v>23</v>
      </c>
    </row>
    <row r="233" spans="1:11" ht="42" customHeight="1">
      <c r="A233" s="2" t="s">
        <v>703</v>
      </c>
      <c r="B233" s="2" t="s">
        <v>704</v>
      </c>
      <c r="C233" s="2" t="s">
        <v>35</v>
      </c>
      <c r="D233" s="2" t="s">
        <v>27</v>
      </c>
      <c r="E233" s="5">
        <v>-28674</v>
      </c>
      <c r="F233" s="3" t="s">
        <v>536</v>
      </c>
      <c r="G233" s="3" t="s">
        <v>29</v>
      </c>
      <c r="H233" s="2" t="s">
        <v>21</v>
      </c>
      <c r="I233" s="2" t="s">
        <v>705</v>
      </c>
      <c r="J233" s="3" t="str">
        <f>HYPERLINK("https://www.boe.es/gazeta/dias/1821/06/28/pdfs/GMD-1821-181.pdf#page=6","Abrir facsímil")</f>
        <v>Abrir facsímil</v>
      </c>
      <c r="K233" s="3" t="s">
        <v>23</v>
      </c>
    </row>
    <row r="234" spans="1:11" ht="42" customHeight="1">
      <c r="A234" s="2" t="s">
        <v>706</v>
      </c>
      <c r="B234" s="2" t="s">
        <v>707</v>
      </c>
      <c r="C234" s="2" t="s">
        <v>279</v>
      </c>
      <c r="D234" s="2" t="s">
        <v>27</v>
      </c>
      <c r="E234" s="5">
        <v>-28565</v>
      </c>
      <c r="F234" s="3" t="s">
        <v>326</v>
      </c>
      <c r="G234" s="3" t="s">
        <v>29</v>
      </c>
      <c r="H234" s="2" t="s">
        <v>21</v>
      </c>
      <c r="I234" s="2" t="s">
        <v>708</v>
      </c>
      <c r="J234" s="3" t="str">
        <f>HYPERLINK("https://www.boe.es/gazeta/dias/1821/10/15/pdfs/GMD-1821-294.pdf#page=6","Abrir facsímil")</f>
        <v>Abrir facsímil</v>
      </c>
      <c r="K234" s="3" t="s">
        <v>23</v>
      </c>
    </row>
    <row r="235" spans="1:11" ht="42" customHeight="1">
      <c r="A235" s="2" t="s">
        <v>709</v>
      </c>
      <c r="B235" s="2" t="s">
        <v>710</v>
      </c>
      <c r="C235" s="2" t="s">
        <v>17</v>
      </c>
      <c r="D235" s="2" t="s">
        <v>18</v>
      </c>
      <c r="E235" s="5">
        <v>-28565</v>
      </c>
      <c r="F235" s="3" t="s">
        <v>326</v>
      </c>
      <c r="G235" s="3" t="s">
        <v>52</v>
      </c>
      <c r="H235" s="2" t="s">
        <v>21</v>
      </c>
      <c r="I235" s="2" t="s">
        <v>711</v>
      </c>
      <c r="J235" s="3" t="str">
        <f>HYPERLINK("https://www.boe.es/gazeta/dias/1821/10/15/pdfs/GMD-1821-294.pdf#page=2","Abrir facsímil")</f>
        <v>Abrir facsímil</v>
      </c>
      <c r="K235" s="3" t="s">
        <v>23</v>
      </c>
    </row>
    <row r="236" spans="1:11" ht="42" customHeight="1">
      <c r="A236" s="2" t="s">
        <v>712</v>
      </c>
      <c r="B236" s="2" t="s">
        <v>712</v>
      </c>
      <c r="C236" s="2" t="s">
        <v>26</v>
      </c>
      <c r="D236" s="2" t="s">
        <v>27</v>
      </c>
      <c r="E236" s="5">
        <v>-28613</v>
      </c>
      <c r="F236" s="3" t="s">
        <v>178</v>
      </c>
      <c r="G236" s="3" t="s">
        <v>20</v>
      </c>
      <c r="H236" s="2" t="s">
        <v>21</v>
      </c>
      <c r="I236" s="2" t="s">
        <v>713</v>
      </c>
      <c r="J236" s="3" t="str">
        <f>HYPERLINK("https://www.boe.es/gazeta/dias/1821/08/28/pdfs/GMD-1821-245.pdf#page=3","Abrir facsímil")</f>
        <v>Abrir facsímil</v>
      </c>
      <c r="K236" s="3" t="s">
        <v>23</v>
      </c>
    </row>
    <row r="237" spans="1:11" ht="42" customHeight="1">
      <c r="A237" s="2" t="s">
        <v>714</v>
      </c>
      <c r="B237" s="2" t="s">
        <v>715</v>
      </c>
      <c r="C237" s="2" t="s">
        <v>26</v>
      </c>
      <c r="D237" s="2" t="s">
        <v>27</v>
      </c>
      <c r="E237" s="5">
        <v>-28691</v>
      </c>
      <c r="F237" s="3" t="s">
        <v>716</v>
      </c>
      <c r="G237" s="3" t="s">
        <v>43</v>
      </c>
      <c r="H237" s="2" t="s">
        <v>21</v>
      </c>
      <c r="I237" s="2" t="s">
        <v>717</v>
      </c>
      <c r="J237" s="3" t="str">
        <f>HYPERLINK("https://www.boe.es/gazeta/dias/1821/06/11/pdfs/GMD-1821-164.pdf#page=1","Abrir facsímil")</f>
        <v>Abrir facsímil</v>
      </c>
      <c r="K237" s="3" t="s">
        <v>23</v>
      </c>
    </row>
    <row r="238" spans="1:11" ht="42" customHeight="1">
      <c r="A238" s="2" t="s">
        <v>718</v>
      </c>
      <c r="B238" s="2" t="s">
        <v>719</v>
      </c>
      <c r="C238" s="2" t="s">
        <v>26</v>
      </c>
      <c r="D238" s="2" t="s">
        <v>27</v>
      </c>
      <c r="E238" s="5">
        <v>-28753</v>
      </c>
      <c r="F238" s="3" t="s">
        <v>720</v>
      </c>
      <c r="G238" s="3" t="s">
        <v>88</v>
      </c>
      <c r="H238" s="2" t="s">
        <v>21</v>
      </c>
      <c r="I238" s="2" t="s">
        <v>721</v>
      </c>
      <c r="J238" s="3" t="str">
        <f>HYPERLINK("https://www.boe.es/gazeta/dias/1821/04/10/pdfs/GMD-1821-102.pdf#page=4","Abrir facsímil")</f>
        <v>Abrir facsímil</v>
      </c>
      <c r="K238" s="3" t="s">
        <v>23</v>
      </c>
    </row>
    <row r="239" spans="1:11" ht="42" customHeight="1">
      <c r="A239" s="2" t="s">
        <v>722</v>
      </c>
      <c r="B239" s="2" t="s">
        <v>723</v>
      </c>
      <c r="C239" s="2" t="s">
        <v>114</v>
      </c>
      <c r="D239" s="2" t="s">
        <v>27</v>
      </c>
      <c r="E239" s="5">
        <v>-28793</v>
      </c>
      <c r="F239" s="3" t="s">
        <v>157</v>
      </c>
      <c r="G239" s="3" t="s">
        <v>29</v>
      </c>
      <c r="H239" s="2" t="s">
        <v>21</v>
      </c>
      <c r="I239" s="2" t="s">
        <v>724</v>
      </c>
      <c r="J239" s="3" t="str">
        <f>HYPERLINK("https://www.boe.es/gazeta/dias/1821/03/01/pdfs/GGB-1821-60.pdf#page=6","Abrir facsímil")</f>
        <v>Abrir facsímil</v>
      </c>
      <c r="K239" s="3" t="s">
        <v>23</v>
      </c>
    </row>
    <row r="240" spans="1:11" ht="42" customHeight="1">
      <c r="A240" s="2" t="s">
        <v>722</v>
      </c>
      <c r="B240" s="2" t="s">
        <v>723</v>
      </c>
      <c r="C240" s="2" t="s">
        <v>26</v>
      </c>
      <c r="D240" s="2" t="s">
        <v>27</v>
      </c>
      <c r="E240" s="5">
        <v>-28654</v>
      </c>
      <c r="F240" s="3" t="s">
        <v>674</v>
      </c>
      <c r="G240" s="3" t="s">
        <v>88</v>
      </c>
      <c r="H240" s="2" t="s">
        <v>21</v>
      </c>
      <c r="I240" s="2" t="s">
        <v>725</v>
      </c>
      <c r="J240" s="3" t="str">
        <f>HYPERLINK("https://www.boe.es/gazeta/dias/1821/07/18/pdfs/GMD-1821-203.pdf#page=4","Abrir facsímil")</f>
        <v>Abrir facsímil</v>
      </c>
      <c r="K240" s="3" t="s">
        <v>23</v>
      </c>
    </row>
    <row r="241" spans="1:11" ht="42" customHeight="1">
      <c r="A241" s="2" t="s">
        <v>726</v>
      </c>
      <c r="B241" s="2" t="s">
        <v>726</v>
      </c>
      <c r="C241" s="2" t="s">
        <v>17</v>
      </c>
      <c r="D241" s="2" t="s">
        <v>18</v>
      </c>
      <c r="E241" s="5">
        <v>-28530</v>
      </c>
      <c r="F241" s="3" t="s">
        <v>237</v>
      </c>
      <c r="G241" s="3" t="s">
        <v>43</v>
      </c>
      <c r="H241" s="2" t="s">
        <v>21</v>
      </c>
      <c r="I241" s="2" t="s">
        <v>727</v>
      </c>
      <c r="J241" s="3" t="str">
        <f>HYPERLINK("https://www.boe.es/gazeta/dias/1821/11/19/pdfs/GMD-1821-330.pdf#page=1","Abrir facsímil")</f>
        <v>Abrir facsímil</v>
      </c>
      <c r="K241" s="3" t="s">
        <v>23</v>
      </c>
    </row>
    <row r="242" spans="1:11" ht="42" customHeight="1">
      <c r="A242" s="2" t="s">
        <v>728</v>
      </c>
      <c r="B242" s="2" t="s">
        <v>728</v>
      </c>
      <c r="C242" s="2" t="s">
        <v>26</v>
      </c>
      <c r="D242" s="2" t="s">
        <v>27</v>
      </c>
      <c r="E242" s="5">
        <v>-28604</v>
      </c>
      <c r="F242" s="3" t="s">
        <v>729</v>
      </c>
      <c r="G242" s="3" t="s">
        <v>29</v>
      </c>
      <c r="H242" s="2" t="s">
        <v>21</v>
      </c>
      <c r="I242" s="2" t="s">
        <v>730</v>
      </c>
      <c r="J242" s="3" t="str">
        <f>HYPERLINK("https://www.boe.es/gazeta/dias/1821/09/06/pdfs/GMD-1821-254.pdf#page=6","Abrir facsímil")</f>
        <v>Abrir facsímil</v>
      </c>
      <c r="K242" s="3" t="s">
        <v>23</v>
      </c>
    </row>
    <row r="243" spans="1:11" ht="42" customHeight="1">
      <c r="A243" s="2" t="s">
        <v>731</v>
      </c>
      <c r="B243" s="2" t="s">
        <v>731</v>
      </c>
      <c r="C243" s="2" t="s">
        <v>17</v>
      </c>
      <c r="D243" s="2" t="s">
        <v>18</v>
      </c>
      <c r="E243" s="5">
        <v>-28737</v>
      </c>
      <c r="F243" s="3" t="s">
        <v>732</v>
      </c>
      <c r="G243" s="3" t="s">
        <v>52</v>
      </c>
      <c r="H243" s="2" t="s">
        <v>21</v>
      </c>
      <c r="I243" s="2" t="s">
        <v>733</v>
      </c>
      <c r="J243" s="3" t="str">
        <f>HYPERLINK("https://www.boe.es/gazeta/dias/1821/04/26/pdfs/GMD-1821-118.pdf#page=2","Abrir facsímil")</f>
        <v>Abrir facsímil</v>
      </c>
      <c r="K243" s="3" t="s">
        <v>23</v>
      </c>
    </row>
    <row r="244" spans="1:11" ht="42" customHeight="1">
      <c r="A244" s="2" t="s">
        <v>731</v>
      </c>
      <c r="B244" s="2" t="s">
        <v>731</v>
      </c>
      <c r="C244" s="2" t="s">
        <v>26</v>
      </c>
      <c r="D244" s="2" t="s">
        <v>27</v>
      </c>
      <c r="E244" s="5">
        <v>-28642</v>
      </c>
      <c r="F244" s="3" t="s">
        <v>734</v>
      </c>
      <c r="G244" s="3" t="s">
        <v>43</v>
      </c>
      <c r="H244" s="2" t="s">
        <v>21</v>
      </c>
      <c r="I244" s="2" t="s">
        <v>735</v>
      </c>
      <c r="J244" s="3" t="str">
        <f>HYPERLINK("https://www.boe.es/gazeta/dias/1821/07/30/pdfs/GMD-1821-215.pdf#page=1","Abrir facsímil")</f>
        <v>Abrir facsímil</v>
      </c>
      <c r="K244" s="3" t="s">
        <v>23</v>
      </c>
    </row>
    <row r="245" spans="1:11" ht="42" customHeight="1">
      <c r="A245" s="2" t="s">
        <v>731</v>
      </c>
      <c r="B245" s="2" t="s">
        <v>731</v>
      </c>
      <c r="C245" s="2" t="s">
        <v>26</v>
      </c>
      <c r="D245" s="2" t="s">
        <v>27</v>
      </c>
      <c r="E245" s="5">
        <v>-28638</v>
      </c>
      <c r="F245" s="3" t="s">
        <v>736</v>
      </c>
      <c r="G245" s="3" t="s">
        <v>88</v>
      </c>
      <c r="H245" s="2" t="s">
        <v>21</v>
      </c>
      <c r="I245" s="2" t="s">
        <v>737</v>
      </c>
      <c r="J245" s="3" t="str">
        <f>HYPERLINK("https://www.boe.es/gazeta/dias/1821/08/03/pdfs/GMD-1821-219.pdf#page=4","Abrir facsímil")</f>
        <v>Abrir facsímil</v>
      </c>
      <c r="K245" s="3" t="s">
        <v>23</v>
      </c>
    </row>
    <row r="246" spans="1:11" ht="42" customHeight="1">
      <c r="A246" s="2" t="s">
        <v>731</v>
      </c>
      <c r="B246" s="2" t="s">
        <v>731</v>
      </c>
      <c r="C246" s="2" t="s">
        <v>26</v>
      </c>
      <c r="D246" s="2" t="s">
        <v>27</v>
      </c>
      <c r="E246" s="5">
        <v>-28625</v>
      </c>
      <c r="F246" s="3" t="s">
        <v>738</v>
      </c>
      <c r="G246" s="3" t="s">
        <v>20</v>
      </c>
      <c r="H246" s="2" t="s">
        <v>21</v>
      </c>
      <c r="I246" s="2" t="s">
        <v>739</v>
      </c>
      <c r="J246" s="3" t="str">
        <f>HYPERLINK("https://www.boe.es/gazeta/dias/1821/08/16/pdfs/GMD-1821-233.pdf#page=3","Abrir facsímil")</f>
        <v>Abrir facsímil</v>
      </c>
      <c r="K246" s="3" t="s">
        <v>23</v>
      </c>
    </row>
    <row r="247" spans="1:11" ht="42" customHeight="1">
      <c r="A247" s="2" t="s">
        <v>731</v>
      </c>
      <c r="B247" s="2" t="s">
        <v>731</v>
      </c>
      <c r="C247" s="2" t="s">
        <v>26</v>
      </c>
      <c r="D247" s="2" t="s">
        <v>27</v>
      </c>
      <c r="E247" s="5">
        <v>-28607</v>
      </c>
      <c r="F247" s="3" t="s">
        <v>740</v>
      </c>
      <c r="G247" s="3" t="s">
        <v>43</v>
      </c>
      <c r="H247" s="2" t="s">
        <v>21</v>
      </c>
      <c r="I247" s="2" t="s">
        <v>741</v>
      </c>
      <c r="J247" s="3" t="str">
        <f>HYPERLINK("https://www.boe.es/gazeta/dias/1821/09/03/pdfs/GMD-1821-251.pdf#page=1","Abrir facsímil")</f>
        <v>Abrir facsímil</v>
      </c>
      <c r="K247" s="3" t="s">
        <v>23</v>
      </c>
    </row>
    <row r="248" spans="1:11" ht="42" customHeight="1">
      <c r="A248" s="2" t="s">
        <v>731</v>
      </c>
      <c r="B248" s="2" t="s">
        <v>731</v>
      </c>
      <c r="C248" s="2" t="s">
        <v>17</v>
      </c>
      <c r="D248" s="2" t="s">
        <v>18</v>
      </c>
      <c r="E248" s="5">
        <v>-28604</v>
      </c>
      <c r="F248" s="3" t="s">
        <v>729</v>
      </c>
      <c r="G248" s="3" t="s">
        <v>29</v>
      </c>
      <c r="H248" s="2" t="s">
        <v>21</v>
      </c>
      <c r="I248" s="2" t="s">
        <v>742</v>
      </c>
      <c r="J248" s="3" t="str">
        <f>HYPERLINK("https://www.boe.es/gazeta/dias/1821/09/06/pdfs/GMD-1821-254.pdf#page=6","Abrir facsímil")</f>
        <v>Abrir facsímil</v>
      </c>
      <c r="K248" s="3" t="s">
        <v>23</v>
      </c>
    </row>
    <row r="249" spans="1:11" ht="42" customHeight="1">
      <c r="A249" s="2" t="s">
        <v>731</v>
      </c>
      <c r="B249" s="2" t="s">
        <v>731</v>
      </c>
      <c r="C249" s="2" t="s">
        <v>40</v>
      </c>
      <c r="D249" s="2" t="s">
        <v>41</v>
      </c>
      <c r="E249" s="5">
        <v>-28579</v>
      </c>
      <c r="F249" s="3" t="s">
        <v>743</v>
      </c>
      <c r="G249" s="3" t="s">
        <v>43</v>
      </c>
      <c r="H249" s="2" t="s">
        <v>21</v>
      </c>
      <c r="I249" s="2" t="s">
        <v>744</v>
      </c>
      <c r="J249" s="3" t="str">
        <f>HYPERLINK("https://www.boe.es/gazeta/dias/1821/10/01/pdfs/GMD-1821-280.pdf#page=1","Abrir facsímil")</f>
        <v>Abrir facsímil</v>
      </c>
      <c r="K249" s="3" t="s">
        <v>23</v>
      </c>
    </row>
    <row r="250" spans="1:11" ht="42" customHeight="1">
      <c r="A250" s="2" t="s">
        <v>745</v>
      </c>
      <c r="B250" s="2" t="s">
        <v>746</v>
      </c>
      <c r="C250" s="2" t="s">
        <v>17</v>
      </c>
      <c r="D250" s="2" t="s">
        <v>18</v>
      </c>
      <c r="E250" s="5">
        <v>-28730</v>
      </c>
      <c r="F250" s="3" t="s">
        <v>747</v>
      </c>
      <c r="G250" s="3" t="s">
        <v>20</v>
      </c>
      <c r="H250" s="2" t="s">
        <v>21</v>
      </c>
      <c r="I250" s="2" t="s">
        <v>748</v>
      </c>
      <c r="J250" s="3" t="str">
        <f>HYPERLINK("https://www.boe.es/gazeta/dias/1821/05/03/pdfs/GMD-1821-125.pdf#page=3","Abrir facsímil")</f>
        <v>Abrir facsímil</v>
      </c>
      <c r="K250" s="3" t="s">
        <v>23</v>
      </c>
    </row>
    <row r="251" spans="1:11" ht="42" customHeight="1">
      <c r="A251" s="2" t="s">
        <v>749</v>
      </c>
      <c r="B251" s="2" t="s">
        <v>750</v>
      </c>
      <c r="C251" s="2" t="s">
        <v>17</v>
      </c>
      <c r="D251" s="2" t="s">
        <v>18</v>
      </c>
      <c r="E251" s="5">
        <v>-28631</v>
      </c>
      <c r="F251" s="3" t="s">
        <v>751</v>
      </c>
      <c r="G251" s="3" t="s">
        <v>20</v>
      </c>
      <c r="H251" s="2" t="s">
        <v>21</v>
      </c>
      <c r="I251" s="2" t="s">
        <v>752</v>
      </c>
      <c r="J251" s="3" t="str">
        <f>HYPERLINK("https://www.boe.es/gazeta/dias/1821/08/10/pdfs/GMD-1821-227.pdf#page=3","Abrir facsímil")</f>
        <v>Abrir facsímil</v>
      </c>
      <c r="K251" s="3" t="s">
        <v>23</v>
      </c>
    </row>
    <row r="252" spans="1:11" ht="42" customHeight="1">
      <c r="A252" s="2" t="s">
        <v>753</v>
      </c>
      <c r="B252" s="2" t="s">
        <v>754</v>
      </c>
      <c r="C252" s="2" t="s">
        <v>26</v>
      </c>
      <c r="D252" s="2" t="s">
        <v>27</v>
      </c>
      <c r="E252" s="5">
        <v>-28626</v>
      </c>
      <c r="F252" s="3" t="s">
        <v>468</v>
      </c>
      <c r="G252" s="3" t="s">
        <v>88</v>
      </c>
      <c r="H252" s="2" t="s">
        <v>21</v>
      </c>
      <c r="I252" s="2" t="s">
        <v>755</v>
      </c>
      <c r="J252" s="3" t="str">
        <f>HYPERLINK("https://www.boe.es/gazeta/dias/1821/08/15/pdfs/GMD-1821-232.pdf#page=4","Abrir facsímil")</f>
        <v>Abrir facsímil</v>
      </c>
      <c r="K252" s="3" t="s">
        <v>23</v>
      </c>
    </row>
    <row r="253" spans="1:11" ht="42" customHeight="1">
      <c r="A253" s="2" t="s">
        <v>756</v>
      </c>
      <c r="B253" s="2" t="s">
        <v>757</v>
      </c>
      <c r="C253" s="2" t="s">
        <v>40</v>
      </c>
      <c r="D253" s="2" t="s">
        <v>41</v>
      </c>
      <c r="E253" s="5">
        <v>-28558</v>
      </c>
      <c r="F253" s="3" t="s">
        <v>758</v>
      </c>
      <c r="G253" s="3" t="s">
        <v>43</v>
      </c>
      <c r="H253" s="2" t="s">
        <v>21</v>
      </c>
      <c r="I253" s="2" t="s">
        <v>759</v>
      </c>
      <c r="J253" s="3" t="str">
        <f>HYPERLINK("https://www.boe.es/gazeta/dias/1821/10/22/pdfs/GMD-1821-301.pdf#page=1","Abrir facsímil")</f>
        <v>Abrir facsímil</v>
      </c>
      <c r="K253" s="3" t="s">
        <v>23</v>
      </c>
    </row>
    <row r="254" spans="1:11" ht="42" customHeight="1">
      <c r="A254" s="2" t="s">
        <v>760</v>
      </c>
      <c r="B254" s="2" t="s">
        <v>761</v>
      </c>
      <c r="C254" s="2" t="s">
        <v>40</v>
      </c>
      <c r="D254" s="2" t="s">
        <v>41</v>
      </c>
      <c r="E254" s="5">
        <v>-28703</v>
      </c>
      <c r="F254" s="3" t="s">
        <v>231</v>
      </c>
      <c r="G254" s="3" t="s">
        <v>52</v>
      </c>
      <c r="H254" s="2" t="s">
        <v>21</v>
      </c>
      <c r="I254" s="2" t="s">
        <v>762</v>
      </c>
      <c r="J254" s="3" t="str">
        <f>HYPERLINK("https://www.boe.es/gazeta/dias/1821/05/30/pdfs/GMD-1821-152.pdf#page=2","Abrir facsímil")</f>
        <v>Abrir facsímil</v>
      </c>
      <c r="K254" s="3" t="s">
        <v>23</v>
      </c>
    </row>
    <row r="255" spans="1:11" ht="42" customHeight="1">
      <c r="A255" s="2" t="s">
        <v>763</v>
      </c>
      <c r="B255" s="2" t="s">
        <v>764</v>
      </c>
      <c r="C255" s="2" t="s">
        <v>40</v>
      </c>
      <c r="D255" s="2" t="s">
        <v>41</v>
      </c>
      <c r="E255" s="5">
        <v>-28841</v>
      </c>
      <c r="F255" s="3" t="s">
        <v>765</v>
      </c>
      <c r="G255" s="3" t="s">
        <v>20</v>
      </c>
      <c r="H255" s="2" t="s">
        <v>21</v>
      </c>
      <c r="I255" s="2" t="s">
        <v>766</v>
      </c>
      <c r="J255" s="3" t="str">
        <f>HYPERLINK("https://www.boe.es/gazeta/dias/1821/01/12/pdfs/GGB-1821-12.pdf#page=3","Abrir facsímil")</f>
        <v>Abrir facsímil</v>
      </c>
      <c r="K255" s="3" t="s">
        <v>23</v>
      </c>
    </row>
    <row r="256" spans="1:11" ht="42" customHeight="1">
      <c r="A256" s="2" t="s">
        <v>767</v>
      </c>
      <c r="B256" s="2" t="s">
        <v>768</v>
      </c>
      <c r="C256" s="2" t="s">
        <v>26</v>
      </c>
      <c r="D256" s="2" t="s">
        <v>27</v>
      </c>
      <c r="E256" s="5">
        <v>-28782</v>
      </c>
      <c r="F256" s="3" t="s">
        <v>508</v>
      </c>
      <c r="G256" s="3" t="s">
        <v>88</v>
      </c>
      <c r="H256" s="2" t="s">
        <v>30</v>
      </c>
      <c r="I256" s="2" t="s">
        <v>769</v>
      </c>
      <c r="J256" s="3" t="str">
        <f>HYPERLINK("https://www.boe.es/gazeta/dias/1821/03/12/pdfs/GMD-1821-71.pdf#page=4","Abrir facsímil")</f>
        <v>Abrir facsímil</v>
      </c>
      <c r="K256" s="3" t="s">
        <v>32</v>
      </c>
    </row>
    <row r="257" spans="1:11" ht="42" customHeight="1">
      <c r="A257" s="2" t="s">
        <v>770</v>
      </c>
      <c r="B257" s="2" t="s">
        <v>770</v>
      </c>
      <c r="C257" s="2" t="s">
        <v>26</v>
      </c>
      <c r="D257" s="2" t="s">
        <v>27</v>
      </c>
      <c r="E257" s="5">
        <v>-28761</v>
      </c>
      <c r="F257" s="3" t="s">
        <v>771</v>
      </c>
      <c r="G257" s="3" t="s">
        <v>20</v>
      </c>
      <c r="H257" s="2" t="s">
        <v>21</v>
      </c>
      <c r="I257" s="2" t="s">
        <v>772</v>
      </c>
      <c r="J257" s="3" t="str">
        <f>HYPERLINK("https://www.boe.es/gazeta/dias/1821/04/02/pdfs/GMD-1821-94.pdf#page=3","Abrir facsímil")</f>
        <v>Abrir facsímil</v>
      </c>
      <c r="K257" s="3" t="s">
        <v>23</v>
      </c>
    </row>
    <row r="258" spans="1:11" ht="42" customHeight="1">
      <c r="A258" s="2" t="s">
        <v>770</v>
      </c>
      <c r="B258" s="2" t="s">
        <v>770</v>
      </c>
      <c r="C258" s="2" t="s">
        <v>35</v>
      </c>
      <c r="D258" s="2" t="s">
        <v>27</v>
      </c>
      <c r="E258" s="5">
        <v>-28730</v>
      </c>
      <c r="F258" s="3" t="s">
        <v>747</v>
      </c>
      <c r="G258" s="3" t="s">
        <v>88</v>
      </c>
      <c r="H258" s="2" t="s">
        <v>21</v>
      </c>
      <c r="I258" s="2" t="s">
        <v>773</v>
      </c>
      <c r="J258" s="3" t="str">
        <f>HYPERLINK("https://www.boe.es/gazeta/dias/1821/05/03/pdfs/GMD-1821-125.pdf#page=4","Abrir facsímil")</f>
        <v>Abrir facsímil</v>
      </c>
      <c r="K258" s="3" t="s">
        <v>23</v>
      </c>
    </row>
    <row r="259" spans="1:11" ht="42" customHeight="1">
      <c r="A259" s="2" t="s">
        <v>774</v>
      </c>
      <c r="B259" s="2" t="s">
        <v>775</v>
      </c>
      <c r="C259" s="2" t="s">
        <v>17</v>
      </c>
      <c r="D259" s="2" t="s">
        <v>18</v>
      </c>
      <c r="E259" s="5">
        <v>-28753</v>
      </c>
      <c r="F259" s="3" t="s">
        <v>720</v>
      </c>
      <c r="G259" s="3" t="s">
        <v>776</v>
      </c>
      <c r="H259" s="2" t="s">
        <v>21</v>
      </c>
      <c r="I259" s="2" t="s">
        <v>777</v>
      </c>
      <c r="J259" s="3" t="str">
        <f>HYPERLINK("https://www.boe.es/gazeta/dias/1821/04/10/pdfs/GMD-1821-102.pdf#page=2","Abrir facsímil")</f>
        <v>Abrir facsímil</v>
      </c>
      <c r="K259" s="3" t="s">
        <v>23</v>
      </c>
    </row>
    <row r="260" spans="1:11" ht="42" customHeight="1">
      <c r="A260" s="2" t="s">
        <v>778</v>
      </c>
      <c r="B260" s="2" t="s">
        <v>778</v>
      </c>
      <c r="C260" s="2" t="s">
        <v>70</v>
      </c>
      <c r="D260" s="2" t="s">
        <v>27</v>
      </c>
      <c r="E260" s="5">
        <v>-28574</v>
      </c>
      <c r="F260" s="3" t="s">
        <v>779</v>
      </c>
      <c r="G260" s="3" t="s">
        <v>43</v>
      </c>
      <c r="H260" s="2" t="s">
        <v>21</v>
      </c>
      <c r="I260" s="2" t="s">
        <v>780</v>
      </c>
      <c r="J260" s="3" t="str">
        <f>HYPERLINK("https://www.boe.es/gazeta/dias/1821/10/06/pdfs/GMD-1821-285.pdf#page=1","Abrir facsímil")</f>
        <v>Abrir facsímil</v>
      </c>
      <c r="K260" s="3" t="s">
        <v>23</v>
      </c>
    </row>
    <row r="261" spans="1:11" ht="42" customHeight="1">
      <c r="A261" s="2" t="s">
        <v>781</v>
      </c>
      <c r="B261" s="2" t="s">
        <v>781</v>
      </c>
      <c r="C261" s="2" t="s">
        <v>40</v>
      </c>
      <c r="D261" s="2" t="s">
        <v>41</v>
      </c>
      <c r="E261" s="5">
        <v>-28548</v>
      </c>
      <c r="F261" s="3" t="s">
        <v>782</v>
      </c>
      <c r="G261" s="3" t="s">
        <v>43</v>
      </c>
      <c r="H261" s="2" t="s">
        <v>21</v>
      </c>
      <c r="I261" s="2" t="s">
        <v>783</v>
      </c>
      <c r="J261" s="3" t="str">
        <f>HYPERLINK("https://www.boe.es/gazeta/dias/1821/11/01/pdfs/GMD-1821-311.pdf#page=1","Abrir facsímil")</f>
        <v>Abrir facsímil</v>
      </c>
      <c r="K261" s="3" t="s">
        <v>23</v>
      </c>
    </row>
    <row r="262" spans="1:11" ht="42" customHeight="1">
      <c r="A262" s="2" t="s">
        <v>784</v>
      </c>
      <c r="B262" s="2" t="s">
        <v>784</v>
      </c>
      <c r="C262" s="2" t="s">
        <v>35</v>
      </c>
      <c r="D262" s="2" t="s">
        <v>27</v>
      </c>
      <c r="E262" s="5">
        <v>-28496</v>
      </c>
      <c r="F262" s="3" t="s">
        <v>785</v>
      </c>
      <c r="G262" s="3" t="s">
        <v>88</v>
      </c>
      <c r="H262" s="2" t="s">
        <v>21</v>
      </c>
      <c r="I262" s="2" t="s">
        <v>786</v>
      </c>
      <c r="J262" s="3" t="str">
        <f>HYPERLINK("https://www.boe.es/gazeta/dias/1821/12/23/pdfs/GMD-1821-366.pdf#page=4","Abrir facsímil")</f>
        <v>Abrir facsímil</v>
      </c>
      <c r="K262" s="3" t="s">
        <v>23</v>
      </c>
    </row>
    <row r="263" spans="1:11" ht="42" customHeight="1">
      <c r="A263" s="2" t="s">
        <v>787</v>
      </c>
      <c r="B263" s="2" t="s">
        <v>788</v>
      </c>
      <c r="C263" s="2" t="s">
        <v>40</v>
      </c>
      <c r="D263" s="2" t="s">
        <v>41</v>
      </c>
      <c r="E263" s="5">
        <v>-28665</v>
      </c>
      <c r="F263" s="3" t="s">
        <v>789</v>
      </c>
      <c r="G263" s="3" t="s">
        <v>790</v>
      </c>
      <c r="H263" s="2" t="s">
        <v>21</v>
      </c>
      <c r="I263" s="2" t="s">
        <v>791</v>
      </c>
      <c r="J263" s="3" t="str">
        <f>HYPERLINK("https://www.boe.es/gazeta/dias/1821/07/07/pdfs/GMD-1821-191.pdf#page=4","Abrir facsímil")</f>
        <v>Abrir facsímil</v>
      </c>
      <c r="K263" s="3" t="s">
        <v>23</v>
      </c>
    </row>
    <row r="264" spans="1:11" ht="42" customHeight="1">
      <c r="A264" s="2" t="s">
        <v>792</v>
      </c>
      <c r="B264" s="2" t="s">
        <v>793</v>
      </c>
      <c r="C264" s="2" t="s">
        <v>35</v>
      </c>
      <c r="D264" s="2" t="s">
        <v>27</v>
      </c>
      <c r="E264" s="5">
        <v>-28816</v>
      </c>
      <c r="F264" s="3" t="s">
        <v>794</v>
      </c>
      <c r="G264" s="3" t="s">
        <v>88</v>
      </c>
      <c r="H264" s="2" t="s">
        <v>21</v>
      </c>
      <c r="I264" s="2" t="s">
        <v>795</v>
      </c>
      <c r="J264" s="3" t="str">
        <f>HYPERLINK("https://www.boe.es/gazeta/dias/1821/02/06/pdfs/GGB-1821-37.pdf#page=4","Abrir facsímil")</f>
        <v>Abrir facsímil</v>
      </c>
      <c r="K264" s="3" t="s">
        <v>23</v>
      </c>
    </row>
    <row r="265" spans="1:11" ht="42" customHeight="1">
      <c r="A265" s="2" t="s">
        <v>792</v>
      </c>
      <c r="B265" s="2" t="s">
        <v>793</v>
      </c>
      <c r="C265" s="2" t="s">
        <v>70</v>
      </c>
      <c r="D265" s="2" t="s">
        <v>27</v>
      </c>
      <c r="E265" s="5">
        <v>-28699</v>
      </c>
      <c r="F265" s="3" t="s">
        <v>280</v>
      </c>
      <c r="G265" s="3" t="s">
        <v>29</v>
      </c>
      <c r="H265" s="2" t="s">
        <v>21</v>
      </c>
      <c r="I265" s="2" t="s">
        <v>796</v>
      </c>
      <c r="J265" s="3" t="str">
        <f>HYPERLINK("https://www.boe.es/gazeta/dias/1821/06/03/pdfs/GMD-1821-156.pdf#page=6","Abrir facsímil")</f>
        <v>Abrir facsímil</v>
      </c>
      <c r="K265" s="3" t="s">
        <v>23</v>
      </c>
    </row>
    <row r="266" spans="1:11" ht="42" customHeight="1">
      <c r="A266" s="2" t="s">
        <v>797</v>
      </c>
      <c r="B266" s="2" t="s">
        <v>797</v>
      </c>
      <c r="C266" s="2" t="s">
        <v>114</v>
      </c>
      <c r="D266" s="2" t="s">
        <v>27</v>
      </c>
      <c r="E266" s="5">
        <v>-28607</v>
      </c>
      <c r="F266" s="3" t="s">
        <v>740</v>
      </c>
      <c r="G266" s="3" t="s">
        <v>52</v>
      </c>
      <c r="H266" s="2" t="s">
        <v>21</v>
      </c>
      <c r="I266" s="2" t="s">
        <v>798</v>
      </c>
      <c r="J266" s="3" t="str">
        <f>HYPERLINK("https://www.boe.es/gazeta/dias/1821/09/03/pdfs/GMD-1821-251.pdf#page=2","Abrir facsímil")</f>
        <v>Abrir facsímil</v>
      </c>
      <c r="K266" s="3" t="s">
        <v>23</v>
      </c>
    </row>
    <row r="267" spans="1:11" ht="42" customHeight="1">
      <c r="A267" s="2" t="s">
        <v>799</v>
      </c>
      <c r="B267" s="2" t="s">
        <v>800</v>
      </c>
      <c r="C267" s="2" t="s">
        <v>26</v>
      </c>
      <c r="D267" s="2" t="s">
        <v>27</v>
      </c>
      <c r="E267" s="5">
        <v>-28490</v>
      </c>
      <c r="F267" s="3" t="s">
        <v>801</v>
      </c>
      <c r="G267" s="3" t="s">
        <v>802</v>
      </c>
      <c r="H267" s="2" t="s">
        <v>21</v>
      </c>
      <c r="I267" s="2" t="s">
        <v>803</v>
      </c>
      <c r="J267" s="3" t="str">
        <f>HYPERLINK("https://www.boe.es/gazeta/dias/1821/12/29/pdfs/GMD-1821-372.pdf#page=3","Abrir facsímil")</f>
        <v>Abrir facsímil</v>
      </c>
      <c r="K267" s="3" t="s">
        <v>23</v>
      </c>
    </row>
    <row r="268" spans="1:11" ht="42" customHeight="1">
      <c r="A268" s="2" t="s">
        <v>804</v>
      </c>
      <c r="B268" s="2" t="s">
        <v>804</v>
      </c>
      <c r="C268" s="2" t="s">
        <v>40</v>
      </c>
      <c r="D268" s="2" t="s">
        <v>41</v>
      </c>
      <c r="E268" s="5">
        <v>-28608</v>
      </c>
      <c r="F268" s="3" t="s">
        <v>805</v>
      </c>
      <c r="G268" s="3" t="s">
        <v>806</v>
      </c>
      <c r="H268" s="2" t="s">
        <v>21</v>
      </c>
      <c r="I268" s="2" t="s">
        <v>807</v>
      </c>
      <c r="J268" s="3" t="str">
        <f>HYPERLINK("https://www.boe.es/gazeta/dias/1821/09/02/pdfs/GMD-1821-250.pdf#page=2","Abrir facsímil")</f>
        <v>Abrir facsímil</v>
      </c>
      <c r="K268" s="3" t="s">
        <v>23</v>
      </c>
    </row>
    <row r="269" spans="1:11" ht="42" customHeight="1">
      <c r="A269" s="2" t="s">
        <v>808</v>
      </c>
      <c r="B269" s="2" t="s">
        <v>808</v>
      </c>
      <c r="C269" s="2" t="s">
        <v>70</v>
      </c>
      <c r="D269" s="2" t="s">
        <v>27</v>
      </c>
      <c r="E269" s="5">
        <v>-28498</v>
      </c>
      <c r="F269" s="3" t="s">
        <v>447</v>
      </c>
      <c r="G269" s="3" t="s">
        <v>20</v>
      </c>
      <c r="H269" s="2" t="s">
        <v>21</v>
      </c>
      <c r="I269" s="2" t="s">
        <v>809</v>
      </c>
      <c r="J269" s="3" t="str">
        <f>HYPERLINK("https://www.boe.es/gazeta/dias/1821/12/21/pdfs/GMD-1821-364.pdf#page=3","Abrir facsímil")</f>
        <v>Abrir facsímil</v>
      </c>
      <c r="K269" s="3" t="s">
        <v>23</v>
      </c>
    </row>
    <row r="270" spans="1:11" ht="42" customHeight="1">
      <c r="A270" s="2" t="s">
        <v>810</v>
      </c>
      <c r="B270" s="2" t="s">
        <v>810</v>
      </c>
      <c r="C270" s="2" t="s">
        <v>17</v>
      </c>
      <c r="D270" s="2" t="s">
        <v>18</v>
      </c>
      <c r="E270" s="5">
        <v>-28597</v>
      </c>
      <c r="F270" s="3" t="s">
        <v>811</v>
      </c>
      <c r="G270" s="3" t="s">
        <v>20</v>
      </c>
      <c r="H270" s="2" t="s">
        <v>21</v>
      </c>
      <c r="I270" s="2" t="s">
        <v>812</v>
      </c>
      <c r="J270" s="3" t="str">
        <f>HYPERLINK("https://www.boe.es/gazeta/dias/1821/09/13/pdfs/GMD-1821-261.pdf#page=3","Abrir facsímil")</f>
        <v>Abrir facsímil</v>
      </c>
      <c r="K270" s="3" t="s">
        <v>23</v>
      </c>
    </row>
    <row r="271" spans="1:11" ht="42" customHeight="1">
      <c r="A271" s="2" t="s">
        <v>813</v>
      </c>
      <c r="B271" s="2" t="s">
        <v>814</v>
      </c>
      <c r="C271" s="2" t="s">
        <v>26</v>
      </c>
      <c r="D271" s="2" t="s">
        <v>27</v>
      </c>
      <c r="E271" s="5">
        <v>-28784</v>
      </c>
      <c r="F271" s="3" t="s">
        <v>451</v>
      </c>
      <c r="G271" s="3" t="s">
        <v>88</v>
      </c>
      <c r="H271" s="2" t="s">
        <v>21</v>
      </c>
      <c r="I271" s="2" t="s">
        <v>815</v>
      </c>
      <c r="J271" s="3" t="str">
        <f>HYPERLINK("https://www.boe.es/gazeta/dias/1821/03/10/pdfs/GGB-1821-69.pdf#page=4","Abrir facsímil")</f>
        <v>Abrir facsímil</v>
      </c>
      <c r="K271" s="3" t="s">
        <v>23</v>
      </c>
    </row>
    <row r="272" spans="1:11" ht="42" customHeight="1">
      <c r="A272" s="2" t="s">
        <v>816</v>
      </c>
      <c r="B272" s="2" t="s">
        <v>816</v>
      </c>
      <c r="C272" s="2" t="s">
        <v>17</v>
      </c>
      <c r="D272" s="2" t="s">
        <v>18</v>
      </c>
      <c r="E272" s="5">
        <v>-28567</v>
      </c>
      <c r="F272" s="3" t="s">
        <v>217</v>
      </c>
      <c r="G272" s="3" t="s">
        <v>52</v>
      </c>
      <c r="H272" s="2" t="s">
        <v>21</v>
      </c>
      <c r="I272" s="2" t="s">
        <v>817</v>
      </c>
      <c r="J272" s="3" t="str">
        <f>HYPERLINK("https://www.boe.es/gazeta/dias/1821/10/13/pdfs/GMD-1821-292.pdf#page=2","Abrir facsímil")</f>
        <v>Abrir facsímil</v>
      </c>
      <c r="K272" s="3" t="s">
        <v>23</v>
      </c>
    </row>
    <row r="273" spans="1:11" ht="42" customHeight="1">
      <c r="A273" s="2" t="s">
        <v>816</v>
      </c>
      <c r="B273" s="2" t="s">
        <v>816</v>
      </c>
      <c r="C273" s="2" t="s">
        <v>26</v>
      </c>
      <c r="D273" s="2" t="s">
        <v>27</v>
      </c>
      <c r="E273" s="5">
        <v>-28551</v>
      </c>
      <c r="F273" s="3" t="s">
        <v>542</v>
      </c>
      <c r="G273" s="3" t="s">
        <v>52</v>
      </c>
      <c r="H273" s="2" t="s">
        <v>21</v>
      </c>
      <c r="I273" s="2" t="s">
        <v>818</v>
      </c>
      <c r="J273" s="3" t="str">
        <f>HYPERLINK("https://www.boe.es/gazeta/dias/1821/10/29/pdfs/GMD-1821-308.pdf#page=2","Abrir facsímil")</f>
        <v>Abrir facsímil</v>
      </c>
      <c r="K273" s="3" t="s">
        <v>23</v>
      </c>
    </row>
    <row r="274" spans="1:11" ht="42" customHeight="1">
      <c r="A274" s="2" t="s">
        <v>816</v>
      </c>
      <c r="B274" s="2" t="s">
        <v>816</v>
      </c>
      <c r="C274" s="2" t="s">
        <v>26</v>
      </c>
      <c r="D274" s="2" t="s">
        <v>27</v>
      </c>
      <c r="E274" s="5">
        <v>-28538</v>
      </c>
      <c r="F274" s="3" t="s">
        <v>395</v>
      </c>
      <c r="G274" s="3" t="s">
        <v>20</v>
      </c>
      <c r="H274" s="2" t="s">
        <v>21</v>
      </c>
      <c r="I274" s="2" t="s">
        <v>819</v>
      </c>
      <c r="J274" s="3" t="str">
        <f>HYPERLINK("https://www.boe.es/gazeta/dias/1821/11/11/pdfs/GMD-1821-322.pdf#page=3","Abrir facsímil")</f>
        <v>Abrir facsímil</v>
      </c>
      <c r="K274" s="3" t="s">
        <v>23</v>
      </c>
    </row>
    <row r="275" spans="1:11" ht="42" customHeight="1">
      <c r="A275" s="2" t="s">
        <v>816</v>
      </c>
      <c r="B275" s="2" t="s">
        <v>816</v>
      </c>
      <c r="C275" s="2" t="s">
        <v>114</v>
      </c>
      <c r="D275" s="2" t="s">
        <v>27</v>
      </c>
      <c r="E275" s="5">
        <v>-28523</v>
      </c>
      <c r="F275" s="3" t="s">
        <v>257</v>
      </c>
      <c r="G275" s="3" t="s">
        <v>88</v>
      </c>
      <c r="H275" s="2" t="s">
        <v>21</v>
      </c>
      <c r="I275" s="2" t="s">
        <v>820</v>
      </c>
      <c r="J275" s="3" t="str">
        <f>HYPERLINK("https://www.boe.es/gazeta/dias/1821/11/26/pdfs/GMD-1821-337.pdf#page=4","Abrir facsímil")</f>
        <v>Abrir facsímil</v>
      </c>
      <c r="K275" s="3" t="s">
        <v>23</v>
      </c>
    </row>
    <row r="276" spans="1:11" ht="42" customHeight="1">
      <c r="A276" s="2" t="s">
        <v>816</v>
      </c>
      <c r="B276" s="2" t="s">
        <v>816</v>
      </c>
      <c r="C276" s="2" t="s">
        <v>114</v>
      </c>
      <c r="D276" s="2" t="s">
        <v>27</v>
      </c>
      <c r="E276" s="5">
        <v>-28517</v>
      </c>
      <c r="F276" s="3" t="s">
        <v>563</v>
      </c>
      <c r="G276" s="3" t="s">
        <v>52</v>
      </c>
      <c r="H276" s="2" t="s">
        <v>21</v>
      </c>
      <c r="I276" s="2" t="s">
        <v>821</v>
      </c>
      <c r="J276" s="3" t="str">
        <f>HYPERLINK("https://www.boe.es/gazeta/dias/1821/12/02/pdfs/GMD-1821-344.pdf#page=2","Abrir facsímil")</f>
        <v>Abrir facsímil</v>
      </c>
      <c r="K276" s="3" t="s">
        <v>23</v>
      </c>
    </row>
    <row r="277" spans="1:11" ht="42" customHeight="1">
      <c r="A277" s="2" t="s">
        <v>822</v>
      </c>
      <c r="B277" s="2" t="s">
        <v>823</v>
      </c>
      <c r="C277" s="2" t="s">
        <v>26</v>
      </c>
      <c r="D277" s="2" t="s">
        <v>27</v>
      </c>
      <c r="E277" s="5">
        <v>-28539</v>
      </c>
      <c r="F277" s="3" t="s">
        <v>153</v>
      </c>
      <c r="G277" s="3" t="s">
        <v>162</v>
      </c>
      <c r="H277" s="2" t="s">
        <v>21</v>
      </c>
      <c r="I277" s="2" t="s">
        <v>824</v>
      </c>
      <c r="J277" s="3" t="str">
        <f>HYPERLINK("https://www.boe.es/gazeta/dias/1821/11/10/pdfs/GMD-1821-321.pdf#page=5","Abrir facsímil")</f>
        <v>Abrir facsímil</v>
      </c>
      <c r="K277" s="3" t="s">
        <v>23</v>
      </c>
    </row>
    <row r="278" spans="1:11" ht="42" customHeight="1">
      <c r="A278" s="2" t="s">
        <v>825</v>
      </c>
      <c r="B278" s="2" t="s">
        <v>826</v>
      </c>
      <c r="C278" s="2" t="s">
        <v>17</v>
      </c>
      <c r="D278" s="2" t="s">
        <v>18</v>
      </c>
      <c r="E278" s="5">
        <v>-28781</v>
      </c>
      <c r="F278" s="3" t="s">
        <v>149</v>
      </c>
      <c r="G278" s="3" t="s">
        <v>88</v>
      </c>
      <c r="H278" s="2" t="s">
        <v>21</v>
      </c>
      <c r="I278" s="2" t="s">
        <v>827</v>
      </c>
      <c r="J278" s="3" t="str">
        <f>HYPERLINK("https://www.boe.es/gazeta/dias/1821/03/13/pdfs/GMD-1821-72.pdf#page=4","Abrir facsímil")</f>
        <v>Abrir facsímil</v>
      </c>
      <c r="K278" s="3" t="s">
        <v>23</v>
      </c>
    </row>
    <row r="279" spans="1:11" ht="42" customHeight="1">
      <c r="A279" s="2" t="s">
        <v>825</v>
      </c>
      <c r="B279" s="2" t="s">
        <v>826</v>
      </c>
      <c r="C279" s="2" t="s">
        <v>40</v>
      </c>
      <c r="D279" s="2" t="s">
        <v>41</v>
      </c>
      <c r="E279" s="5">
        <v>-28772</v>
      </c>
      <c r="F279" s="3" t="s">
        <v>62</v>
      </c>
      <c r="G279" s="3" t="s">
        <v>20</v>
      </c>
      <c r="H279" s="2" t="s">
        <v>21</v>
      </c>
      <c r="I279" s="2" t="s">
        <v>828</v>
      </c>
      <c r="J279" s="3" t="str">
        <f>HYPERLINK("https://www.boe.es/gazeta/dias/1821/03/22/pdfs/GMD-1821-81.pdf#page=3","Abrir facsímil")</f>
        <v>Abrir facsímil</v>
      </c>
      <c r="K279" s="3" t="s">
        <v>23</v>
      </c>
    </row>
    <row r="280" spans="1:11" ht="42" customHeight="1">
      <c r="A280" s="2" t="s">
        <v>825</v>
      </c>
      <c r="B280" s="2" t="s">
        <v>826</v>
      </c>
      <c r="C280" s="2" t="s">
        <v>35</v>
      </c>
      <c r="D280" s="2" t="s">
        <v>27</v>
      </c>
      <c r="E280" s="5">
        <v>-28769</v>
      </c>
      <c r="F280" s="3" t="s">
        <v>489</v>
      </c>
      <c r="G280" s="3" t="s">
        <v>490</v>
      </c>
      <c r="H280" s="2" t="s">
        <v>21</v>
      </c>
      <c r="I280" s="2" t="s">
        <v>829</v>
      </c>
      <c r="J280" s="3" t="str">
        <f>HYPERLINK("https://www.boe.es/gazeta/dias/1821/03/25/pdfs/GMD-1821-85.pdf#page=3","Abrir facsímil")</f>
        <v>Abrir facsímil</v>
      </c>
      <c r="K280" s="3" t="s">
        <v>23</v>
      </c>
    </row>
    <row r="281" spans="1:11" ht="42" customHeight="1">
      <c r="A281" s="2" t="s">
        <v>825</v>
      </c>
      <c r="B281" s="2" t="s">
        <v>826</v>
      </c>
      <c r="C281" s="2" t="s">
        <v>40</v>
      </c>
      <c r="D281" s="2" t="s">
        <v>41</v>
      </c>
      <c r="E281" s="5">
        <v>-28761</v>
      </c>
      <c r="F281" s="3" t="s">
        <v>771</v>
      </c>
      <c r="G281" s="3" t="s">
        <v>52</v>
      </c>
      <c r="H281" s="2" t="s">
        <v>21</v>
      </c>
      <c r="I281" s="2" t="s">
        <v>830</v>
      </c>
      <c r="J281" s="3" t="str">
        <f>HYPERLINK("https://www.boe.es/gazeta/dias/1821/04/02/pdfs/GMD-1821-94.pdf#page=2","Abrir facsímil")</f>
        <v>Abrir facsímil</v>
      </c>
      <c r="K281" s="3" t="s">
        <v>23</v>
      </c>
    </row>
    <row r="282" spans="1:11" ht="42" customHeight="1">
      <c r="A282" s="2" t="s">
        <v>825</v>
      </c>
      <c r="B282" s="2" t="s">
        <v>826</v>
      </c>
      <c r="C282" s="2" t="s">
        <v>35</v>
      </c>
      <c r="D282" s="2" t="s">
        <v>27</v>
      </c>
      <c r="E282" s="5">
        <v>-28760</v>
      </c>
      <c r="F282" s="3" t="s">
        <v>170</v>
      </c>
      <c r="G282" s="3" t="s">
        <v>20</v>
      </c>
      <c r="H282" s="2" t="s">
        <v>21</v>
      </c>
      <c r="I282" s="2" t="s">
        <v>831</v>
      </c>
      <c r="J282" s="3" t="str">
        <f>HYPERLINK("https://www.boe.es/gazeta/dias/1821/04/03/pdfs/GMD-1821-95.pdf#page=3","Abrir facsímil")</f>
        <v>Abrir facsímil</v>
      </c>
      <c r="K282" s="3" t="s">
        <v>23</v>
      </c>
    </row>
    <row r="283" spans="1:11" ht="42" customHeight="1">
      <c r="A283" s="2" t="s">
        <v>825</v>
      </c>
      <c r="B283" s="2" t="s">
        <v>826</v>
      </c>
      <c r="C283" s="2" t="s">
        <v>35</v>
      </c>
      <c r="D283" s="2" t="s">
        <v>27</v>
      </c>
      <c r="E283" s="5">
        <v>-28749</v>
      </c>
      <c r="F283" s="3" t="s">
        <v>832</v>
      </c>
      <c r="G283" s="3" t="s">
        <v>20</v>
      </c>
      <c r="H283" s="2" t="s">
        <v>21</v>
      </c>
      <c r="I283" s="2" t="s">
        <v>833</v>
      </c>
      <c r="J283" s="3" t="str">
        <f>HYPERLINK("https://www.boe.es/gazeta/dias/1821/04/14/pdfs/GMD-1821-106.pdf#page=3","Abrir facsímil")</f>
        <v>Abrir facsímil</v>
      </c>
      <c r="K283" s="3" t="s">
        <v>23</v>
      </c>
    </row>
    <row r="284" spans="1:11" ht="42" customHeight="1">
      <c r="A284" s="2" t="s">
        <v>825</v>
      </c>
      <c r="B284" s="2" t="s">
        <v>826</v>
      </c>
      <c r="C284" s="2" t="s">
        <v>35</v>
      </c>
      <c r="D284" s="2" t="s">
        <v>27</v>
      </c>
      <c r="E284" s="5">
        <v>-28744</v>
      </c>
      <c r="F284" s="3" t="s">
        <v>834</v>
      </c>
      <c r="G284" s="3" t="s">
        <v>52</v>
      </c>
      <c r="H284" s="2" t="s">
        <v>21</v>
      </c>
      <c r="I284" s="2" t="s">
        <v>835</v>
      </c>
      <c r="J284" s="3" t="str">
        <f>HYPERLINK("https://www.boe.es/gazeta/dias/1821/04/19/pdfs/GMD-1821-111.pdf#page=2","Abrir facsímil")</f>
        <v>Abrir facsímil</v>
      </c>
      <c r="K284" s="3" t="s">
        <v>23</v>
      </c>
    </row>
    <row r="285" spans="1:11" ht="42" customHeight="1">
      <c r="A285" s="2" t="s">
        <v>825</v>
      </c>
      <c r="B285" s="2" t="s">
        <v>826</v>
      </c>
      <c r="C285" s="2" t="s">
        <v>279</v>
      </c>
      <c r="D285" s="2" t="s">
        <v>27</v>
      </c>
      <c r="E285" s="5">
        <v>-28735</v>
      </c>
      <c r="F285" s="3" t="s">
        <v>836</v>
      </c>
      <c r="G285" s="3" t="s">
        <v>52</v>
      </c>
      <c r="H285" s="2" t="s">
        <v>21</v>
      </c>
      <c r="I285" s="2" t="s">
        <v>837</v>
      </c>
      <c r="J285" s="3" t="str">
        <f>HYPERLINK("https://www.boe.es/gazeta/dias/1821/04/28/pdfs/GMD-1821-120.pdf#page=2","Abrir facsímil")</f>
        <v>Abrir facsímil</v>
      </c>
      <c r="K285" s="3" t="s">
        <v>23</v>
      </c>
    </row>
    <row r="286" spans="1:11" ht="42" customHeight="1">
      <c r="A286" s="2" t="s">
        <v>825</v>
      </c>
      <c r="B286" s="2" t="s">
        <v>826</v>
      </c>
      <c r="C286" s="2" t="s">
        <v>70</v>
      </c>
      <c r="D286" s="2" t="s">
        <v>27</v>
      </c>
      <c r="E286" s="5">
        <v>-28729</v>
      </c>
      <c r="F286" s="3" t="s">
        <v>838</v>
      </c>
      <c r="G286" s="3" t="s">
        <v>20</v>
      </c>
      <c r="H286" s="2" t="s">
        <v>21</v>
      </c>
      <c r="I286" s="2" t="s">
        <v>839</v>
      </c>
      <c r="J286" s="3" t="str">
        <f>HYPERLINK("https://www.boe.es/gazeta/dias/1821/05/04/pdfs/GMD-1821-126.pdf#page=3","Abrir facsímil")</f>
        <v>Abrir facsímil</v>
      </c>
      <c r="K286" s="3" t="s">
        <v>23</v>
      </c>
    </row>
    <row r="287" spans="1:11" ht="42" customHeight="1">
      <c r="A287" s="2" t="s">
        <v>825</v>
      </c>
      <c r="B287" s="2" t="s">
        <v>826</v>
      </c>
      <c r="C287" s="2" t="s">
        <v>40</v>
      </c>
      <c r="D287" s="2" t="s">
        <v>41</v>
      </c>
      <c r="E287" s="5">
        <v>-28723</v>
      </c>
      <c r="F287" s="3" t="s">
        <v>840</v>
      </c>
      <c r="G287" s="3" t="s">
        <v>20</v>
      </c>
      <c r="H287" s="2" t="s">
        <v>21</v>
      </c>
      <c r="I287" s="2" t="s">
        <v>841</v>
      </c>
      <c r="J287" s="3" t="str">
        <f>HYPERLINK("https://www.boe.es/gazeta/dias/1821/05/10/pdfs/GMD-1821-132.pdf#page=3","Abrir facsímil")</f>
        <v>Abrir facsímil</v>
      </c>
      <c r="K287" s="3" t="s">
        <v>23</v>
      </c>
    </row>
    <row r="288" spans="1:11" ht="42" customHeight="1">
      <c r="A288" s="2" t="s">
        <v>825</v>
      </c>
      <c r="B288" s="2" t="s">
        <v>826</v>
      </c>
      <c r="C288" s="2" t="s">
        <v>17</v>
      </c>
      <c r="D288" s="2" t="s">
        <v>18</v>
      </c>
      <c r="E288" s="5">
        <v>-28716</v>
      </c>
      <c r="F288" s="3" t="s">
        <v>842</v>
      </c>
      <c r="G288" s="3" t="s">
        <v>52</v>
      </c>
      <c r="H288" s="2" t="s">
        <v>21</v>
      </c>
      <c r="I288" s="2" t="s">
        <v>843</v>
      </c>
      <c r="J288" s="3" t="str">
        <f>HYPERLINK("https://www.boe.es/gazeta/dias/1821/05/17/pdfs/GMD-1821-139.pdf#page=2","Abrir facsímil")</f>
        <v>Abrir facsímil</v>
      </c>
      <c r="K288" s="3" t="s">
        <v>23</v>
      </c>
    </row>
    <row r="289" spans="1:11" ht="42" customHeight="1">
      <c r="A289" s="2" t="s">
        <v>825</v>
      </c>
      <c r="B289" s="2" t="s">
        <v>826</v>
      </c>
      <c r="C289" s="2" t="s">
        <v>17</v>
      </c>
      <c r="D289" s="2" t="s">
        <v>18</v>
      </c>
      <c r="E289" s="5">
        <v>-28712</v>
      </c>
      <c r="F289" s="3" t="s">
        <v>695</v>
      </c>
      <c r="G289" s="3" t="s">
        <v>52</v>
      </c>
      <c r="H289" s="2" t="s">
        <v>21</v>
      </c>
      <c r="I289" s="2" t="s">
        <v>844</v>
      </c>
      <c r="J289" s="3" t="str">
        <f>HYPERLINK("https://www.boe.es/gazeta/dias/1821/05/21/pdfs/GMD-1821-143.pdf#page=2","Abrir facsímil")</f>
        <v>Abrir facsímil</v>
      </c>
      <c r="K289" s="3" t="s">
        <v>23</v>
      </c>
    </row>
    <row r="290" spans="1:11" ht="42" customHeight="1">
      <c r="A290" s="2" t="s">
        <v>825</v>
      </c>
      <c r="B290" s="2" t="s">
        <v>826</v>
      </c>
      <c r="C290" s="2" t="s">
        <v>26</v>
      </c>
      <c r="D290" s="2" t="s">
        <v>27</v>
      </c>
      <c r="E290" s="5">
        <v>-28712</v>
      </c>
      <c r="F290" s="3" t="s">
        <v>695</v>
      </c>
      <c r="G290" s="3" t="s">
        <v>20</v>
      </c>
      <c r="H290" s="2" t="s">
        <v>21</v>
      </c>
      <c r="I290" s="2" t="s">
        <v>845</v>
      </c>
      <c r="J290" s="3" t="str">
        <f>HYPERLINK("https://www.boe.es/gazeta/dias/1821/05/21/pdfs/GMD-1821-143.pdf#page=3","Abrir facsímil")</f>
        <v>Abrir facsímil</v>
      </c>
      <c r="K290" s="3" t="s">
        <v>23</v>
      </c>
    </row>
    <row r="291" spans="1:11" ht="42" customHeight="1">
      <c r="A291" s="2" t="s">
        <v>825</v>
      </c>
      <c r="B291" s="2" t="s">
        <v>826</v>
      </c>
      <c r="C291" s="2" t="s">
        <v>40</v>
      </c>
      <c r="D291" s="2" t="s">
        <v>41</v>
      </c>
      <c r="E291" s="5">
        <v>-28690</v>
      </c>
      <c r="F291" s="3" t="s">
        <v>846</v>
      </c>
      <c r="G291" s="3" t="s">
        <v>847</v>
      </c>
      <c r="H291" s="2" t="s">
        <v>21</v>
      </c>
      <c r="I291" s="2" t="s">
        <v>848</v>
      </c>
      <c r="J291" s="3" t="str">
        <f>HYPERLINK("https://www.boe.es/gazeta/dias/1821/06/12/pdfs/GMD-1821-165.pdf#page=2","Abrir facsímil")</f>
        <v>Abrir facsímil</v>
      </c>
      <c r="K291" s="3" t="s">
        <v>23</v>
      </c>
    </row>
    <row r="292" spans="1:11" ht="42" customHeight="1">
      <c r="A292" s="2" t="s">
        <v>825</v>
      </c>
      <c r="B292" s="2" t="s">
        <v>826</v>
      </c>
      <c r="C292" s="2" t="s">
        <v>494</v>
      </c>
      <c r="D292" s="2" t="s">
        <v>18</v>
      </c>
      <c r="E292" s="5">
        <v>-28689</v>
      </c>
      <c r="F292" s="3" t="s">
        <v>194</v>
      </c>
      <c r="G292" s="3" t="s">
        <v>88</v>
      </c>
      <c r="H292" s="2" t="s">
        <v>21</v>
      </c>
      <c r="I292" s="2" t="s">
        <v>849</v>
      </c>
      <c r="J292" s="3" t="str">
        <f>HYPERLINK("https://www.boe.es/gazeta/dias/1821/06/13/pdfs/GMD-1821-166.pdf#page=4","Abrir facsímil")</f>
        <v>Abrir facsímil</v>
      </c>
      <c r="K292" s="3" t="s">
        <v>23</v>
      </c>
    </row>
    <row r="293" spans="1:11" ht="42" customHeight="1">
      <c r="A293" s="2" t="s">
        <v>825</v>
      </c>
      <c r="B293" s="2" t="s">
        <v>826</v>
      </c>
      <c r="C293" s="2" t="s">
        <v>17</v>
      </c>
      <c r="D293" s="2" t="s">
        <v>18</v>
      </c>
      <c r="E293" s="5">
        <v>-28689</v>
      </c>
      <c r="F293" s="3" t="s">
        <v>194</v>
      </c>
      <c r="G293" s="3" t="s">
        <v>162</v>
      </c>
      <c r="H293" s="2" t="s">
        <v>21</v>
      </c>
      <c r="I293" s="2" t="s">
        <v>850</v>
      </c>
      <c r="J293" s="3" t="str">
        <f>HYPERLINK("https://www.boe.es/gazeta/dias/1821/06/13/pdfs/GMD-1821-166.pdf#page=5","Abrir facsímil")</f>
        <v>Abrir facsímil</v>
      </c>
      <c r="K293" s="3" t="s">
        <v>23</v>
      </c>
    </row>
    <row r="294" spans="1:11" ht="42" customHeight="1">
      <c r="A294" s="2" t="s">
        <v>825</v>
      </c>
      <c r="B294" s="2" t="s">
        <v>826</v>
      </c>
      <c r="C294" s="2" t="s">
        <v>17</v>
      </c>
      <c r="D294" s="2" t="s">
        <v>18</v>
      </c>
      <c r="E294" s="5">
        <v>-28687</v>
      </c>
      <c r="F294" s="3" t="s">
        <v>851</v>
      </c>
      <c r="G294" s="3" t="s">
        <v>52</v>
      </c>
      <c r="H294" s="2" t="s">
        <v>21</v>
      </c>
      <c r="I294" s="2" t="s">
        <v>852</v>
      </c>
      <c r="J294" s="3" t="str">
        <f>HYPERLINK("https://www.boe.es/gazeta/dias/1821/06/15/pdfs/GMD-1821-168.pdf#page=2","Abrir facsímil")</f>
        <v>Abrir facsímil</v>
      </c>
      <c r="K294" s="3" t="s">
        <v>23</v>
      </c>
    </row>
    <row r="295" spans="1:11" ht="42" customHeight="1">
      <c r="A295" s="2" t="s">
        <v>825</v>
      </c>
      <c r="B295" s="2" t="s">
        <v>826</v>
      </c>
      <c r="C295" s="2" t="s">
        <v>35</v>
      </c>
      <c r="D295" s="2" t="s">
        <v>27</v>
      </c>
      <c r="E295" s="5">
        <v>-28684</v>
      </c>
      <c r="F295" s="3" t="s">
        <v>208</v>
      </c>
      <c r="G295" s="3" t="s">
        <v>20</v>
      </c>
      <c r="H295" s="2" t="s">
        <v>21</v>
      </c>
      <c r="I295" s="2" t="s">
        <v>853</v>
      </c>
      <c r="J295" s="3" t="str">
        <f>HYPERLINK("https://www.boe.es/gazeta/dias/1821/06/18/pdfs/GMD-1821-171.pdf#page=3","Abrir facsímil")</f>
        <v>Abrir facsímil</v>
      </c>
      <c r="K295" s="3" t="s">
        <v>23</v>
      </c>
    </row>
    <row r="296" spans="1:11" ht="42" customHeight="1">
      <c r="A296" s="2" t="s">
        <v>825</v>
      </c>
      <c r="B296" s="2" t="s">
        <v>826</v>
      </c>
      <c r="C296" s="2" t="s">
        <v>17</v>
      </c>
      <c r="D296" s="2" t="s">
        <v>18</v>
      </c>
      <c r="E296" s="5">
        <v>-28683</v>
      </c>
      <c r="F296" s="3" t="s">
        <v>332</v>
      </c>
      <c r="G296" s="3" t="s">
        <v>88</v>
      </c>
      <c r="H296" s="2" t="s">
        <v>21</v>
      </c>
      <c r="I296" s="2" t="s">
        <v>854</v>
      </c>
      <c r="J296" s="3" t="str">
        <f>HYPERLINK("https://www.boe.es/gazeta/dias/1821/06/19/pdfs/GMD-1821-172.pdf#page=4","Abrir facsímil")</f>
        <v>Abrir facsímil</v>
      </c>
      <c r="K296" s="3" t="s">
        <v>23</v>
      </c>
    </row>
    <row r="297" spans="1:11" ht="42" customHeight="1">
      <c r="A297" s="2" t="s">
        <v>825</v>
      </c>
      <c r="B297" s="2" t="s">
        <v>826</v>
      </c>
      <c r="C297" s="2" t="s">
        <v>70</v>
      </c>
      <c r="D297" s="2" t="s">
        <v>27</v>
      </c>
      <c r="E297" s="5">
        <v>-28677</v>
      </c>
      <c r="F297" s="3" t="s">
        <v>361</v>
      </c>
      <c r="G297" s="3" t="s">
        <v>162</v>
      </c>
      <c r="H297" s="2" t="s">
        <v>21</v>
      </c>
      <c r="I297" s="2" t="s">
        <v>855</v>
      </c>
      <c r="J297" s="3" t="str">
        <f>HYPERLINK("https://www.boe.es/gazeta/dias/1821/06/25/pdfs/GMD-1821-178.pdf#page=5","Abrir facsímil")</f>
        <v>Abrir facsímil</v>
      </c>
      <c r="K297" s="3" t="s">
        <v>23</v>
      </c>
    </row>
    <row r="298" spans="1:11" ht="42" customHeight="1">
      <c r="A298" s="2" t="s">
        <v>825</v>
      </c>
      <c r="B298" s="2" t="s">
        <v>826</v>
      </c>
      <c r="C298" s="2" t="s">
        <v>35</v>
      </c>
      <c r="D298" s="2" t="s">
        <v>27</v>
      </c>
      <c r="E298" s="5">
        <v>-28674</v>
      </c>
      <c r="F298" s="3" t="s">
        <v>536</v>
      </c>
      <c r="G298" s="3" t="s">
        <v>20</v>
      </c>
      <c r="H298" s="2" t="s">
        <v>21</v>
      </c>
      <c r="I298" s="2" t="s">
        <v>856</v>
      </c>
      <c r="J298" s="3" t="str">
        <f>HYPERLINK("https://www.boe.es/gazeta/dias/1821/06/28/pdfs/GMD-1821-181.pdf#page=3","Abrir facsímil")</f>
        <v>Abrir facsímil</v>
      </c>
      <c r="K298" s="3" t="s">
        <v>23</v>
      </c>
    </row>
    <row r="299" spans="1:11" ht="42" customHeight="1">
      <c r="A299" s="2" t="s">
        <v>825</v>
      </c>
      <c r="B299" s="2" t="s">
        <v>826</v>
      </c>
      <c r="C299" s="2" t="s">
        <v>26</v>
      </c>
      <c r="D299" s="2" t="s">
        <v>27</v>
      </c>
      <c r="E299" s="5">
        <v>-28580</v>
      </c>
      <c r="F299" s="3" t="s">
        <v>175</v>
      </c>
      <c r="G299" s="3" t="s">
        <v>88</v>
      </c>
      <c r="H299" s="2" t="s">
        <v>21</v>
      </c>
      <c r="I299" s="2" t="s">
        <v>857</v>
      </c>
      <c r="J299" s="3" t="str">
        <f>HYPERLINK("https://www.boe.es/gazeta/dias/1821/09/30/pdfs/GMD-1821-279.pdf#page=4","Abrir facsímil")</f>
        <v>Abrir facsímil</v>
      </c>
      <c r="K299" s="3" t="s">
        <v>23</v>
      </c>
    </row>
    <row r="300" spans="1:11" ht="42" customHeight="1">
      <c r="A300" s="2" t="s">
        <v>825</v>
      </c>
      <c r="B300" s="2" t="s">
        <v>826</v>
      </c>
      <c r="C300" s="2" t="s">
        <v>40</v>
      </c>
      <c r="D300" s="2" t="s">
        <v>41</v>
      </c>
      <c r="E300" s="5">
        <v>-28577</v>
      </c>
      <c r="F300" s="3" t="s">
        <v>858</v>
      </c>
      <c r="G300" s="3" t="s">
        <v>20</v>
      </c>
      <c r="H300" s="2" t="s">
        <v>21</v>
      </c>
      <c r="I300" s="2" t="s">
        <v>859</v>
      </c>
      <c r="J300" s="3" t="str">
        <f>HYPERLINK("https://www.boe.es/gazeta/dias/1821/10/03/pdfs/GMD-1821-282.pdf#page=3","Abrir facsímil")</f>
        <v>Abrir facsímil</v>
      </c>
      <c r="K300" s="3" t="s">
        <v>23</v>
      </c>
    </row>
    <row r="301" spans="1:11" ht="42" customHeight="1">
      <c r="A301" s="2" t="s">
        <v>825</v>
      </c>
      <c r="B301" s="2" t="s">
        <v>826</v>
      </c>
      <c r="C301" s="2" t="s">
        <v>17</v>
      </c>
      <c r="D301" s="2" t="s">
        <v>18</v>
      </c>
      <c r="E301" s="5">
        <v>-28567</v>
      </c>
      <c r="F301" s="3" t="s">
        <v>217</v>
      </c>
      <c r="G301" s="3" t="s">
        <v>52</v>
      </c>
      <c r="H301" s="2" t="s">
        <v>21</v>
      </c>
      <c r="I301" s="2" t="s">
        <v>860</v>
      </c>
      <c r="J301" s="3" t="str">
        <f>HYPERLINK("https://www.boe.es/gazeta/dias/1821/10/13/pdfs/GMD-1821-292.pdf#page=2","Abrir facsímil")</f>
        <v>Abrir facsímil</v>
      </c>
      <c r="K301" s="3" t="s">
        <v>23</v>
      </c>
    </row>
    <row r="302" spans="1:11" ht="42" customHeight="1">
      <c r="A302" s="2" t="s">
        <v>825</v>
      </c>
      <c r="B302" s="2" t="s">
        <v>826</v>
      </c>
      <c r="C302" s="2" t="s">
        <v>17</v>
      </c>
      <c r="D302" s="2" t="s">
        <v>18</v>
      </c>
      <c r="E302" s="5">
        <v>-28564</v>
      </c>
      <c r="F302" s="3" t="s">
        <v>861</v>
      </c>
      <c r="G302" s="3" t="s">
        <v>88</v>
      </c>
      <c r="H302" s="2" t="s">
        <v>21</v>
      </c>
      <c r="I302" s="2" t="s">
        <v>862</v>
      </c>
      <c r="J302" s="3" t="str">
        <f>HYPERLINK("https://www.boe.es/gazeta/dias/1821/10/16/pdfs/GMD-1821-295.pdf#page=4","Abrir facsímil")</f>
        <v>Abrir facsímil</v>
      </c>
      <c r="K302" s="3" t="s">
        <v>23</v>
      </c>
    </row>
    <row r="303" spans="1:11" ht="42" customHeight="1">
      <c r="A303" s="2" t="s">
        <v>825</v>
      </c>
      <c r="B303" s="2" t="s">
        <v>826</v>
      </c>
      <c r="C303" s="2" t="s">
        <v>70</v>
      </c>
      <c r="D303" s="2" t="s">
        <v>27</v>
      </c>
      <c r="E303" s="5">
        <v>-28564</v>
      </c>
      <c r="F303" s="3" t="s">
        <v>861</v>
      </c>
      <c r="G303" s="3" t="s">
        <v>162</v>
      </c>
      <c r="H303" s="2" t="s">
        <v>21</v>
      </c>
      <c r="I303" s="2" t="s">
        <v>863</v>
      </c>
      <c r="J303" s="3" t="str">
        <f>HYPERLINK("https://www.boe.es/gazeta/dias/1821/10/16/pdfs/GMD-1821-295.pdf#page=5","Abrir facsímil")</f>
        <v>Abrir facsímil</v>
      </c>
      <c r="K303" s="3" t="s">
        <v>23</v>
      </c>
    </row>
    <row r="304" spans="1:11" ht="42" customHeight="1">
      <c r="A304" s="2" t="s">
        <v>825</v>
      </c>
      <c r="B304" s="2" t="s">
        <v>826</v>
      </c>
      <c r="C304" s="2" t="s">
        <v>114</v>
      </c>
      <c r="D304" s="2" t="s">
        <v>27</v>
      </c>
      <c r="E304" s="5">
        <v>-28557</v>
      </c>
      <c r="F304" s="3" t="s">
        <v>316</v>
      </c>
      <c r="G304" s="3" t="s">
        <v>162</v>
      </c>
      <c r="H304" s="2" t="s">
        <v>21</v>
      </c>
      <c r="I304" s="2" t="s">
        <v>864</v>
      </c>
      <c r="J304" s="3" t="str">
        <f>HYPERLINK("https://www.boe.es/gazeta/dias/1821/10/23/pdfs/GMD-1821-302.pdf#page=5","Abrir facsímil")</f>
        <v>Abrir facsímil</v>
      </c>
      <c r="K304" s="3" t="s">
        <v>23</v>
      </c>
    </row>
    <row r="305" spans="1:11" ht="42" customHeight="1">
      <c r="A305" s="2" t="s">
        <v>825</v>
      </c>
      <c r="B305" s="2" t="s">
        <v>826</v>
      </c>
      <c r="C305" s="2" t="s">
        <v>35</v>
      </c>
      <c r="D305" s="2" t="s">
        <v>27</v>
      </c>
      <c r="E305" s="5">
        <v>-28548</v>
      </c>
      <c r="F305" s="3" t="s">
        <v>782</v>
      </c>
      <c r="G305" s="3" t="s">
        <v>88</v>
      </c>
      <c r="H305" s="2" t="s">
        <v>21</v>
      </c>
      <c r="I305" s="2" t="s">
        <v>865</v>
      </c>
      <c r="J305" s="3" t="str">
        <f>HYPERLINK("https://www.boe.es/gazeta/dias/1821/11/01/pdfs/GMD-1821-311.pdf#page=4","Abrir facsímil")</f>
        <v>Abrir facsímil</v>
      </c>
      <c r="K305" s="3" t="s">
        <v>23</v>
      </c>
    </row>
    <row r="306" spans="1:11" ht="42" customHeight="1">
      <c r="A306" s="2" t="s">
        <v>825</v>
      </c>
      <c r="B306" s="2" t="s">
        <v>826</v>
      </c>
      <c r="C306" s="2" t="s">
        <v>114</v>
      </c>
      <c r="D306" s="2" t="s">
        <v>27</v>
      </c>
      <c r="E306" s="5">
        <v>-28547</v>
      </c>
      <c r="F306" s="3" t="s">
        <v>247</v>
      </c>
      <c r="G306" s="3" t="s">
        <v>29</v>
      </c>
      <c r="H306" s="2" t="s">
        <v>21</v>
      </c>
      <c r="I306" s="2" t="s">
        <v>866</v>
      </c>
      <c r="J306" s="3" t="str">
        <f>HYPERLINK("https://www.boe.es/gazeta/dias/1821/11/02/pdfs/GMD-1821-312.pdf#page=6","Abrir facsímil")</f>
        <v>Abrir facsímil</v>
      </c>
      <c r="K306" s="3" t="s">
        <v>23</v>
      </c>
    </row>
    <row r="307" spans="1:11" ht="42" customHeight="1">
      <c r="A307" s="2" t="s">
        <v>825</v>
      </c>
      <c r="B307" s="2" t="s">
        <v>826</v>
      </c>
      <c r="C307" s="2" t="s">
        <v>114</v>
      </c>
      <c r="D307" s="2" t="s">
        <v>27</v>
      </c>
      <c r="E307" s="5">
        <v>-28543</v>
      </c>
      <c r="F307" s="3" t="s">
        <v>136</v>
      </c>
      <c r="G307" s="3" t="s">
        <v>162</v>
      </c>
      <c r="H307" s="2" t="s">
        <v>21</v>
      </c>
      <c r="I307" s="2" t="s">
        <v>867</v>
      </c>
      <c r="J307" s="3" t="str">
        <f>HYPERLINK("https://www.boe.es/gazeta/dias/1821/11/06/pdfs/GMD-1821-317.pdf#page=5","Abrir facsímil")</f>
        <v>Abrir facsímil</v>
      </c>
      <c r="K307" s="3" t="s">
        <v>23</v>
      </c>
    </row>
    <row r="308" spans="1:11" ht="42" customHeight="1">
      <c r="A308" s="2" t="s">
        <v>825</v>
      </c>
      <c r="B308" s="2" t="s">
        <v>826</v>
      </c>
      <c r="C308" s="2" t="s">
        <v>26</v>
      </c>
      <c r="D308" s="2" t="s">
        <v>27</v>
      </c>
      <c r="E308" s="5">
        <v>-28537</v>
      </c>
      <c r="F308" s="3" t="s">
        <v>56</v>
      </c>
      <c r="G308" s="3" t="s">
        <v>20</v>
      </c>
      <c r="H308" s="2" t="s">
        <v>21</v>
      </c>
      <c r="I308" s="2" t="s">
        <v>868</v>
      </c>
      <c r="J308" s="3" t="str">
        <f>HYPERLINK("https://www.boe.es/gazeta/dias/1821/11/12/pdfs/GMD-1821-323.pdf#page=3","Abrir facsímil")</f>
        <v>Abrir facsímil</v>
      </c>
      <c r="K308" s="3" t="s">
        <v>23</v>
      </c>
    </row>
    <row r="309" spans="1:11" ht="42" customHeight="1">
      <c r="A309" s="2" t="s">
        <v>825</v>
      </c>
      <c r="B309" s="2" t="s">
        <v>826</v>
      </c>
      <c r="C309" s="2" t="s">
        <v>35</v>
      </c>
      <c r="D309" s="2" t="s">
        <v>27</v>
      </c>
      <c r="E309" s="5">
        <v>-28537</v>
      </c>
      <c r="F309" s="3" t="s">
        <v>56</v>
      </c>
      <c r="G309" s="3" t="s">
        <v>88</v>
      </c>
      <c r="H309" s="2" t="s">
        <v>21</v>
      </c>
      <c r="I309" s="2" t="s">
        <v>869</v>
      </c>
      <c r="J309" s="3" t="str">
        <f>HYPERLINK("https://www.boe.es/gazeta/dias/1821/11/12/pdfs/GMD-1821-323.pdf#page=4","Abrir facsímil")</f>
        <v>Abrir facsímil</v>
      </c>
      <c r="K309" s="3" t="s">
        <v>23</v>
      </c>
    </row>
    <row r="310" spans="1:11" ht="42" customHeight="1">
      <c r="A310" s="2" t="s">
        <v>825</v>
      </c>
      <c r="B310" s="2" t="s">
        <v>826</v>
      </c>
      <c r="C310" s="2" t="s">
        <v>26</v>
      </c>
      <c r="D310" s="2" t="s">
        <v>27</v>
      </c>
      <c r="E310" s="5">
        <v>-28533</v>
      </c>
      <c r="F310" s="3" t="s">
        <v>559</v>
      </c>
      <c r="G310" s="3" t="s">
        <v>162</v>
      </c>
      <c r="H310" s="2" t="s">
        <v>21</v>
      </c>
      <c r="I310" s="2" t="s">
        <v>870</v>
      </c>
      <c r="J310" s="3" t="str">
        <f>HYPERLINK("https://www.boe.es/gazeta/dias/1821/11/16/pdfs/GMD-1821-327.pdf#page=5","Abrir facsímil")</f>
        <v>Abrir facsímil</v>
      </c>
      <c r="K310" s="3" t="s">
        <v>23</v>
      </c>
    </row>
    <row r="311" spans="1:11" ht="42" customHeight="1">
      <c r="A311" s="2" t="s">
        <v>825</v>
      </c>
      <c r="B311" s="2" t="s">
        <v>826</v>
      </c>
      <c r="C311" s="2" t="s">
        <v>35</v>
      </c>
      <c r="D311" s="2" t="s">
        <v>27</v>
      </c>
      <c r="E311" s="5">
        <v>-28531</v>
      </c>
      <c r="F311" s="3" t="s">
        <v>365</v>
      </c>
      <c r="G311" s="3" t="s">
        <v>88</v>
      </c>
      <c r="H311" s="2" t="s">
        <v>21</v>
      </c>
      <c r="I311" s="2" t="s">
        <v>871</v>
      </c>
      <c r="J311" s="3" t="str">
        <f>HYPERLINK("https://www.boe.es/gazeta/dias/1821/11/18/pdfs/GMD-1821-329.pdf#page=4","Abrir facsímil")</f>
        <v>Abrir facsímil</v>
      </c>
      <c r="K311" s="3" t="s">
        <v>23</v>
      </c>
    </row>
    <row r="312" spans="1:11" ht="42" customHeight="1">
      <c r="A312" s="2" t="s">
        <v>825</v>
      </c>
      <c r="B312" s="2" t="s">
        <v>826</v>
      </c>
      <c r="C312" s="2" t="s">
        <v>26</v>
      </c>
      <c r="D312" s="2" t="s">
        <v>27</v>
      </c>
      <c r="E312" s="5">
        <v>-28527</v>
      </c>
      <c r="F312" s="3" t="s">
        <v>328</v>
      </c>
      <c r="G312" s="3" t="s">
        <v>88</v>
      </c>
      <c r="H312" s="2" t="s">
        <v>21</v>
      </c>
      <c r="I312" s="2" t="s">
        <v>872</v>
      </c>
      <c r="J312" s="3" t="str">
        <f>HYPERLINK("https://www.boe.es/gazeta/dias/1821/11/22/pdfs/GMD-1821-333.pdf#page=4","Abrir facsímil")</f>
        <v>Abrir facsímil</v>
      </c>
      <c r="K312" s="3" t="s">
        <v>23</v>
      </c>
    </row>
    <row r="313" spans="1:11" ht="42" customHeight="1">
      <c r="A313" s="2" t="s">
        <v>825</v>
      </c>
      <c r="B313" s="2" t="s">
        <v>826</v>
      </c>
      <c r="C313" s="2" t="s">
        <v>40</v>
      </c>
      <c r="D313" s="2" t="s">
        <v>41</v>
      </c>
      <c r="E313" s="5">
        <v>-28526</v>
      </c>
      <c r="F313" s="3" t="s">
        <v>223</v>
      </c>
      <c r="G313" s="3" t="s">
        <v>88</v>
      </c>
      <c r="H313" s="2" t="s">
        <v>21</v>
      </c>
      <c r="I313" s="2" t="s">
        <v>873</v>
      </c>
      <c r="J313" s="3" t="str">
        <f>HYPERLINK("https://www.boe.es/gazeta/dias/1821/11/23/pdfs/GMD-1821-334.pdf#page=4","Abrir facsímil")</f>
        <v>Abrir facsímil</v>
      </c>
      <c r="K313" s="3" t="s">
        <v>23</v>
      </c>
    </row>
    <row r="314" spans="1:11" ht="42" customHeight="1">
      <c r="A314" s="2" t="s">
        <v>825</v>
      </c>
      <c r="B314" s="2" t="s">
        <v>826</v>
      </c>
      <c r="C314" s="2" t="s">
        <v>40</v>
      </c>
      <c r="D314" s="2" t="s">
        <v>41</v>
      </c>
      <c r="E314" s="5">
        <v>-28524</v>
      </c>
      <c r="F314" s="3" t="s">
        <v>874</v>
      </c>
      <c r="G314" s="3" t="s">
        <v>875</v>
      </c>
      <c r="H314" s="2" t="s">
        <v>21</v>
      </c>
      <c r="I314" s="2" t="s">
        <v>876</v>
      </c>
      <c r="J314" s="3" t="str">
        <f>HYPERLINK("https://www.boe.es/gazeta/dias/1821/11/25/pdfs/GMD-1821-336.pdf#page=3","Abrir facsímil")</f>
        <v>Abrir facsímil</v>
      </c>
      <c r="K314" s="3" t="s">
        <v>23</v>
      </c>
    </row>
    <row r="315" spans="1:11" ht="42" customHeight="1">
      <c r="A315" s="2" t="s">
        <v>825</v>
      </c>
      <c r="B315" s="2" t="s">
        <v>826</v>
      </c>
      <c r="C315" s="2" t="s">
        <v>114</v>
      </c>
      <c r="D315" s="2" t="s">
        <v>27</v>
      </c>
      <c r="E315" s="5">
        <v>-28523</v>
      </c>
      <c r="F315" s="3" t="s">
        <v>257</v>
      </c>
      <c r="G315" s="3" t="s">
        <v>88</v>
      </c>
      <c r="H315" s="2" t="s">
        <v>21</v>
      </c>
      <c r="I315" s="2" t="s">
        <v>877</v>
      </c>
      <c r="J315" s="3" t="str">
        <f>HYPERLINK("https://www.boe.es/gazeta/dias/1821/11/26/pdfs/GMD-1821-337.pdf#page=4","Abrir facsímil")</f>
        <v>Abrir facsímil</v>
      </c>
      <c r="K315" s="3" t="s">
        <v>23</v>
      </c>
    </row>
    <row r="316" spans="1:11" ht="42" customHeight="1">
      <c r="A316" s="2" t="s">
        <v>825</v>
      </c>
      <c r="B316" s="2" t="s">
        <v>826</v>
      </c>
      <c r="C316" s="2" t="s">
        <v>17</v>
      </c>
      <c r="D316" s="2" t="s">
        <v>18</v>
      </c>
      <c r="E316" s="5">
        <v>-28520</v>
      </c>
      <c r="F316" s="3" t="s">
        <v>878</v>
      </c>
      <c r="G316" s="3" t="s">
        <v>20</v>
      </c>
      <c r="H316" s="2" t="s">
        <v>21</v>
      </c>
      <c r="I316" s="2" t="s">
        <v>879</v>
      </c>
      <c r="J316" s="3" t="str">
        <f>HYPERLINK("https://www.boe.es/gazeta/dias/1821/11/29/pdfs/GMD-1821-341.pdf#page=3","Abrir facsímil")</f>
        <v>Abrir facsímil</v>
      </c>
      <c r="K316" s="3" t="s">
        <v>23</v>
      </c>
    </row>
    <row r="317" spans="1:11" ht="42" customHeight="1">
      <c r="A317" s="2" t="s">
        <v>825</v>
      </c>
      <c r="B317" s="2" t="s">
        <v>826</v>
      </c>
      <c r="C317" s="2" t="s">
        <v>26</v>
      </c>
      <c r="D317" s="2" t="s">
        <v>27</v>
      </c>
      <c r="E317" s="5">
        <v>-28519</v>
      </c>
      <c r="F317" s="3" t="s">
        <v>880</v>
      </c>
      <c r="G317" s="3" t="s">
        <v>52</v>
      </c>
      <c r="H317" s="2" t="s">
        <v>21</v>
      </c>
      <c r="I317" s="2" t="s">
        <v>881</v>
      </c>
      <c r="J317" s="3" t="str">
        <f>HYPERLINK("https://www.boe.es/gazeta/dias/1821/11/30/pdfs/GMD-1821-342.pdf#page=2","Abrir facsímil")</f>
        <v>Abrir facsímil</v>
      </c>
      <c r="K317" s="3" t="s">
        <v>23</v>
      </c>
    </row>
    <row r="318" spans="1:11" ht="42" customHeight="1">
      <c r="A318" s="2" t="s">
        <v>825</v>
      </c>
      <c r="B318" s="2" t="s">
        <v>826</v>
      </c>
      <c r="C318" s="2" t="s">
        <v>26</v>
      </c>
      <c r="D318" s="2" t="s">
        <v>27</v>
      </c>
      <c r="E318" s="5">
        <v>-28511</v>
      </c>
      <c r="F318" s="3" t="s">
        <v>340</v>
      </c>
      <c r="G318" s="3" t="s">
        <v>20</v>
      </c>
      <c r="H318" s="2" t="s">
        <v>21</v>
      </c>
      <c r="I318" s="2" t="s">
        <v>882</v>
      </c>
      <c r="J318" s="3" t="str">
        <f>HYPERLINK("https://www.boe.es/gazeta/dias/1821/12/08/pdfs/GMD-1821-350.pdf#page=3","Abrir facsímil")</f>
        <v>Abrir facsímil</v>
      </c>
      <c r="K318" s="3" t="s">
        <v>23</v>
      </c>
    </row>
    <row r="319" spans="1:11" ht="42" customHeight="1">
      <c r="A319" s="2" t="s">
        <v>825</v>
      </c>
      <c r="B319" s="2" t="s">
        <v>826</v>
      </c>
      <c r="C319" s="2" t="s">
        <v>114</v>
      </c>
      <c r="D319" s="2" t="s">
        <v>27</v>
      </c>
      <c r="E319" s="5">
        <v>-28502</v>
      </c>
      <c r="F319" s="3" t="s">
        <v>570</v>
      </c>
      <c r="G319" s="3" t="s">
        <v>52</v>
      </c>
      <c r="H319" s="2" t="s">
        <v>21</v>
      </c>
      <c r="I319" s="2" t="s">
        <v>883</v>
      </c>
      <c r="J319" s="3" t="str">
        <f>HYPERLINK("https://www.boe.es/gazeta/dias/1821/12/17/pdfs/GMD-1821-360.pdf#page=2","Abrir facsímil")</f>
        <v>Abrir facsímil</v>
      </c>
      <c r="K319" s="3" t="s">
        <v>23</v>
      </c>
    </row>
    <row r="320" spans="1:11" ht="42" customHeight="1">
      <c r="A320" s="2" t="s">
        <v>825</v>
      </c>
      <c r="B320" s="2" t="s">
        <v>826</v>
      </c>
      <c r="C320" s="2" t="s">
        <v>26</v>
      </c>
      <c r="D320" s="2" t="s">
        <v>27</v>
      </c>
      <c r="E320" s="5">
        <v>-28500</v>
      </c>
      <c r="F320" s="3" t="s">
        <v>298</v>
      </c>
      <c r="G320" s="3" t="s">
        <v>299</v>
      </c>
      <c r="H320" s="2" t="s">
        <v>21</v>
      </c>
      <c r="I320" s="2" t="s">
        <v>884</v>
      </c>
      <c r="J320" s="3" t="str">
        <f>HYPERLINK("https://www.boe.es/gazeta/dias/1821/12/19/pdfs/GMD-1821-362.pdf#page=4","Abrir facsímil")</f>
        <v>Abrir facsímil</v>
      </c>
      <c r="K320" s="3" t="s">
        <v>23</v>
      </c>
    </row>
    <row r="321" spans="1:11" ht="42" customHeight="1">
      <c r="A321" s="2" t="s">
        <v>825</v>
      </c>
      <c r="B321" s="2" t="s">
        <v>826</v>
      </c>
      <c r="C321" s="2" t="s">
        <v>26</v>
      </c>
      <c r="D321" s="2" t="s">
        <v>27</v>
      </c>
      <c r="E321" s="5">
        <v>-28497</v>
      </c>
      <c r="F321" s="3" t="s">
        <v>225</v>
      </c>
      <c r="G321" s="3" t="s">
        <v>20</v>
      </c>
      <c r="H321" s="2" t="s">
        <v>21</v>
      </c>
      <c r="I321" s="2" t="s">
        <v>885</v>
      </c>
      <c r="J321" s="3" t="str">
        <f>HYPERLINK("https://www.boe.es/gazeta/dias/1821/12/22/pdfs/GMD-1821-365.pdf#page=3","Abrir facsímil")</f>
        <v>Abrir facsímil</v>
      </c>
      <c r="K321" s="3" t="s">
        <v>23</v>
      </c>
    </row>
    <row r="322" spans="1:11" ht="42" customHeight="1">
      <c r="A322" s="2" t="s">
        <v>825</v>
      </c>
      <c r="B322" s="2" t="s">
        <v>826</v>
      </c>
      <c r="C322" s="2" t="s">
        <v>35</v>
      </c>
      <c r="D322" s="2" t="s">
        <v>27</v>
      </c>
      <c r="E322" s="5">
        <v>-28496</v>
      </c>
      <c r="F322" s="3" t="s">
        <v>785</v>
      </c>
      <c r="G322" s="3" t="s">
        <v>886</v>
      </c>
      <c r="H322" s="2" t="s">
        <v>21</v>
      </c>
      <c r="I322" s="2" t="s">
        <v>887</v>
      </c>
      <c r="J322" s="3" t="str">
        <f>HYPERLINK("https://www.boe.es/gazeta/dias/1821/12/23/pdfs/GMD-1821-366.pdf#page=5","Abrir facsímil")</f>
        <v>Abrir facsímil</v>
      </c>
      <c r="K322" s="3" t="s">
        <v>23</v>
      </c>
    </row>
    <row r="323" spans="1:11" ht="42" customHeight="1">
      <c r="A323" s="2" t="s">
        <v>825</v>
      </c>
      <c r="B323" s="2" t="s">
        <v>826</v>
      </c>
      <c r="C323" s="2" t="s">
        <v>17</v>
      </c>
      <c r="D323" s="2" t="s">
        <v>18</v>
      </c>
      <c r="E323" s="5">
        <v>-28490</v>
      </c>
      <c r="F323" s="3" t="s">
        <v>801</v>
      </c>
      <c r="G323" s="3" t="s">
        <v>802</v>
      </c>
      <c r="H323" s="2" t="s">
        <v>21</v>
      </c>
      <c r="I323" s="2" t="s">
        <v>888</v>
      </c>
      <c r="J323" s="3" t="str">
        <f>HYPERLINK("https://www.boe.es/gazeta/dias/1821/12/29/pdfs/GMD-1821-372.pdf#page=3","Abrir facsímil")</f>
        <v>Abrir facsímil</v>
      </c>
      <c r="K323" s="3" t="s">
        <v>23</v>
      </c>
    </row>
    <row r="324" spans="1:11" ht="42" customHeight="1">
      <c r="A324" s="2" t="s">
        <v>889</v>
      </c>
      <c r="B324" s="2" t="s">
        <v>890</v>
      </c>
      <c r="C324" s="2" t="s">
        <v>70</v>
      </c>
      <c r="D324" s="2" t="s">
        <v>27</v>
      </c>
      <c r="E324" s="5">
        <v>-28689</v>
      </c>
      <c r="F324" s="3" t="s">
        <v>194</v>
      </c>
      <c r="G324" s="3" t="s">
        <v>52</v>
      </c>
      <c r="H324" s="2" t="s">
        <v>21</v>
      </c>
      <c r="I324" s="2" t="s">
        <v>891</v>
      </c>
      <c r="J324" s="3" t="str">
        <f>HYPERLINK("https://www.boe.es/gazeta/dias/1821/06/13/pdfs/GMD-1821-166.pdf#page=2","Abrir facsímil")</f>
        <v>Abrir facsímil</v>
      </c>
      <c r="K324" s="3" t="s">
        <v>23</v>
      </c>
    </row>
    <row r="325" spans="1:11" ht="42" customHeight="1">
      <c r="A325" s="2" t="s">
        <v>892</v>
      </c>
      <c r="B325" s="2" t="s">
        <v>893</v>
      </c>
      <c r="C325" s="2" t="s">
        <v>17</v>
      </c>
      <c r="D325" s="2" t="s">
        <v>18</v>
      </c>
      <c r="E325" s="5">
        <v>-28761</v>
      </c>
      <c r="F325" s="3" t="s">
        <v>771</v>
      </c>
      <c r="G325" s="3" t="s">
        <v>20</v>
      </c>
      <c r="H325" s="2" t="s">
        <v>21</v>
      </c>
      <c r="I325" s="2" t="s">
        <v>894</v>
      </c>
      <c r="J325" s="3" t="str">
        <f>HYPERLINK("https://www.boe.es/gazeta/dias/1821/04/02/pdfs/GMD-1821-94.pdf#page=3","Abrir facsímil")</f>
        <v>Abrir facsímil</v>
      </c>
      <c r="K325" s="3" t="s">
        <v>23</v>
      </c>
    </row>
    <row r="326" spans="1:11" ht="42" customHeight="1">
      <c r="A326" s="2" t="s">
        <v>895</v>
      </c>
      <c r="B326" s="2" t="s">
        <v>896</v>
      </c>
      <c r="C326" s="2" t="s">
        <v>40</v>
      </c>
      <c r="D326" s="2" t="s">
        <v>41</v>
      </c>
      <c r="E326" s="5">
        <v>-28543</v>
      </c>
      <c r="F326" s="3" t="s">
        <v>136</v>
      </c>
      <c r="G326" s="3" t="s">
        <v>88</v>
      </c>
      <c r="H326" s="2" t="s">
        <v>21</v>
      </c>
      <c r="I326" s="2" t="s">
        <v>897</v>
      </c>
      <c r="J326" s="3" t="str">
        <f>HYPERLINK("https://www.boe.es/gazeta/dias/1821/11/06/pdfs/GMD-1821-317.pdf#page=4","Abrir facsímil")</f>
        <v>Abrir facsímil</v>
      </c>
      <c r="K326" s="3" t="s">
        <v>23</v>
      </c>
    </row>
    <row r="327" spans="1:11" ht="42" customHeight="1">
      <c r="A327" s="2" t="s">
        <v>898</v>
      </c>
      <c r="B327" s="2" t="s">
        <v>898</v>
      </c>
      <c r="C327" s="2" t="s">
        <v>40</v>
      </c>
      <c r="D327" s="2" t="s">
        <v>41</v>
      </c>
      <c r="E327" s="5">
        <v>-28578</v>
      </c>
      <c r="F327" s="3" t="s">
        <v>899</v>
      </c>
      <c r="G327" s="3" t="s">
        <v>52</v>
      </c>
      <c r="H327" s="2" t="s">
        <v>21</v>
      </c>
      <c r="I327" s="2" t="s">
        <v>900</v>
      </c>
      <c r="J327" s="3" t="str">
        <f>HYPERLINK("https://www.boe.es/gazeta/dias/1821/10/02/pdfs/GMD-1821-281.pdf#page=2","Abrir facsímil")</f>
        <v>Abrir facsímil</v>
      </c>
      <c r="K327" s="3" t="s">
        <v>23</v>
      </c>
    </row>
    <row r="328" spans="1:11" ht="42" customHeight="1">
      <c r="A328" s="2" t="s">
        <v>901</v>
      </c>
      <c r="B328" s="2" t="s">
        <v>901</v>
      </c>
      <c r="C328" s="2" t="s">
        <v>40</v>
      </c>
      <c r="D328" s="2" t="s">
        <v>41</v>
      </c>
      <c r="E328" s="5">
        <v>-28599</v>
      </c>
      <c r="F328" s="3" t="s">
        <v>902</v>
      </c>
      <c r="G328" s="3" t="s">
        <v>20</v>
      </c>
      <c r="H328" s="2" t="s">
        <v>21</v>
      </c>
      <c r="I328" s="2" t="s">
        <v>903</v>
      </c>
      <c r="J328" s="3" t="str">
        <f>HYPERLINK("https://www.boe.es/gazeta/dias/1821/09/11/pdfs/GMD-1821-259.pdf#page=3","Abrir facsímil")</f>
        <v>Abrir facsímil</v>
      </c>
      <c r="K328" s="3" t="s">
        <v>23</v>
      </c>
    </row>
    <row r="329" spans="1:11" ht="42" customHeight="1">
      <c r="A329" s="2" t="s">
        <v>904</v>
      </c>
      <c r="B329" s="2" t="s">
        <v>905</v>
      </c>
      <c r="C329" s="2" t="s">
        <v>40</v>
      </c>
      <c r="D329" s="2" t="s">
        <v>41</v>
      </c>
      <c r="E329" s="5">
        <v>-28755</v>
      </c>
      <c r="F329" s="3" t="s">
        <v>906</v>
      </c>
      <c r="G329" s="3" t="s">
        <v>907</v>
      </c>
      <c r="H329" s="2" t="s">
        <v>21</v>
      </c>
      <c r="I329" s="2" t="s">
        <v>908</v>
      </c>
      <c r="J329" s="3" t="str">
        <f>HYPERLINK("https://www.boe.es/gazeta/dias/1821/04/08/pdfs/GMD-1821-100.pdf#page=4","Abrir facsímil")</f>
        <v>Abrir facsímil</v>
      </c>
      <c r="K329" s="3" t="s">
        <v>23</v>
      </c>
    </row>
    <row r="330" spans="1:11" ht="42" customHeight="1">
      <c r="A330" s="2" t="s">
        <v>909</v>
      </c>
      <c r="B330" s="2" t="s">
        <v>910</v>
      </c>
      <c r="C330" s="2" t="s">
        <v>17</v>
      </c>
      <c r="D330" s="2" t="s">
        <v>18</v>
      </c>
      <c r="E330" s="5">
        <v>-28515</v>
      </c>
      <c r="F330" s="3" t="s">
        <v>260</v>
      </c>
      <c r="G330" s="3" t="s">
        <v>20</v>
      </c>
      <c r="H330" s="2" t="s">
        <v>21</v>
      </c>
      <c r="I330" s="2" t="s">
        <v>911</v>
      </c>
      <c r="J330" s="3" t="str">
        <f>HYPERLINK("https://www.boe.es/gazeta/dias/1821/12/04/pdfs/GMD-1821-346.pdf#page=3","Abrir facsímil")</f>
        <v>Abrir facsímil</v>
      </c>
      <c r="K330" s="3" t="s">
        <v>23</v>
      </c>
    </row>
    <row r="331" spans="1:11" ht="42" customHeight="1">
      <c r="A331" s="2" t="s">
        <v>912</v>
      </c>
      <c r="B331" s="2" t="s">
        <v>913</v>
      </c>
      <c r="C331" s="2" t="s">
        <v>26</v>
      </c>
      <c r="D331" s="2" t="s">
        <v>27</v>
      </c>
      <c r="E331" s="5">
        <v>-28684</v>
      </c>
      <c r="F331" s="3" t="s">
        <v>208</v>
      </c>
      <c r="G331" s="3" t="s">
        <v>52</v>
      </c>
      <c r="H331" s="2" t="s">
        <v>21</v>
      </c>
      <c r="I331" s="2" t="s">
        <v>914</v>
      </c>
      <c r="J331" s="3" t="str">
        <f>HYPERLINK("https://www.boe.es/gazeta/dias/1821/06/18/pdfs/GMD-1821-171.pdf#page=2","Abrir facsímil")</f>
        <v>Abrir facsímil</v>
      </c>
      <c r="K331" s="3" t="s">
        <v>23</v>
      </c>
    </row>
    <row r="332" spans="1:11" ht="42" customHeight="1">
      <c r="A332" s="2" t="s">
        <v>915</v>
      </c>
      <c r="B332" s="2" t="s">
        <v>916</v>
      </c>
      <c r="C332" s="2" t="s">
        <v>26</v>
      </c>
      <c r="D332" s="2" t="s">
        <v>27</v>
      </c>
      <c r="E332" s="5">
        <v>-28750</v>
      </c>
      <c r="F332" s="3" t="s">
        <v>917</v>
      </c>
      <c r="G332" s="3" t="s">
        <v>20</v>
      </c>
      <c r="H332" s="2" t="s">
        <v>21</v>
      </c>
      <c r="I332" s="2" t="s">
        <v>918</v>
      </c>
      <c r="J332" s="3" t="str">
        <f>HYPERLINK("https://www.boe.es/gazeta/dias/1821/04/13/pdfs/GMD-1821-105.pdf#page=3","Abrir facsímil")</f>
        <v>Abrir facsímil</v>
      </c>
      <c r="K332" s="3" t="s">
        <v>23</v>
      </c>
    </row>
    <row r="333" spans="1:11" ht="42" customHeight="1">
      <c r="A333" s="2" t="s">
        <v>919</v>
      </c>
      <c r="B333" s="2" t="s">
        <v>920</v>
      </c>
      <c r="C333" s="2" t="s">
        <v>17</v>
      </c>
      <c r="D333" s="2" t="s">
        <v>18</v>
      </c>
      <c r="E333" s="5">
        <v>-28748</v>
      </c>
      <c r="F333" s="3" t="s">
        <v>634</v>
      </c>
      <c r="G333" s="3" t="s">
        <v>52</v>
      </c>
      <c r="H333" s="2" t="s">
        <v>21</v>
      </c>
      <c r="I333" s="2" t="s">
        <v>921</v>
      </c>
      <c r="J333" s="3" t="str">
        <f>HYPERLINK("https://www.boe.es/gazeta/dias/1821/04/15/pdfs/GMD-1821-107.pdf#page=2","Abrir facsímil")</f>
        <v>Abrir facsímil</v>
      </c>
      <c r="K333" s="3" t="s">
        <v>23</v>
      </c>
    </row>
    <row r="334" spans="1:11" ht="42" customHeight="1">
      <c r="A334" s="2" t="s">
        <v>922</v>
      </c>
      <c r="B334" s="2" t="s">
        <v>922</v>
      </c>
      <c r="C334" s="2" t="s">
        <v>40</v>
      </c>
      <c r="D334" s="2" t="s">
        <v>41</v>
      </c>
      <c r="E334" s="5">
        <v>-28781</v>
      </c>
      <c r="F334" s="3" t="s">
        <v>149</v>
      </c>
      <c r="G334" s="3" t="s">
        <v>88</v>
      </c>
      <c r="H334" s="2" t="s">
        <v>21</v>
      </c>
      <c r="I334" s="2" t="s">
        <v>923</v>
      </c>
      <c r="J334" s="3" t="str">
        <f>HYPERLINK("https://www.boe.es/gazeta/dias/1821/03/13/pdfs/GMD-1821-72.pdf#page=4","Abrir facsímil")</f>
        <v>Abrir facsímil</v>
      </c>
      <c r="K334" s="3" t="s">
        <v>23</v>
      </c>
    </row>
    <row r="335" spans="1:11" ht="42" customHeight="1">
      <c r="A335" s="2" t="s">
        <v>922</v>
      </c>
      <c r="B335" s="2" t="s">
        <v>922</v>
      </c>
      <c r="C335" s="2" t="s">
        <v>26</v>
      </c>
      <c r="D335" s="2" t="s">
        <v>27</v>
      </c>
      <c r="E335" s="5">
        <v>-28764</v>
      </c>
      <c r="F335" s="3" t="s">
        <v>924</v>
      </c>
      <c r="G335" s="3" t="s">
        <v>20</v>
      </c>
      <c r="H335" s="2" t="s">
        <v>21</v>
      </c>
      <c r="I335" s="2" t="s">
        <v>925</v>
      </c>
      <c r="J335" s="3" t="str">
        <f>HYPERLINK("https://www.boe.es/gazeta/dias/1821/03/30/pdfs/GMD-1821-91.pdf#page=3","Abrir facsímil")</f>
        <v>Abrir facsímil</v>
      </c>
      <c r="K335" s="3" t="s">
        <v>23</v>
      </c>
    </row>
    <row r="336" spans="1:11" ht="42" customHeight="1">
      <c r="A336" s="2" t="s">
        <v>922</v>
      </c>
      <c r="B336" s="2" t="s">
        <v>922</v>
      </c>
      <c r="C336" s="2" t="s">
        <v>35</v>
      </c>
      <c r="D336" s="2" t="s">
        <v>27</v>
      </c>
      <c r="E336" s="5">
        <v>-28683</v>
      </c>
      <c r="F336" s="3" t="s">
        <v>332</v>
      </c>
      <c r="G336" s="3" t="s">
        <v>333</v>
      </c>
      <c r="H336" s="2" t="s">
        <v>21</v>
      </c>
      <c r="I336" s="2" t="s">
        <v>926</v>
      </c>
      <c r="J336" s="3" t="str">
        <f>HYPERLINK("https://www.boe.es/gazeta/dias/1821/06/19/pdfs/GMD-1821-172.pdf#page=8","Abrir facsímil")</f>
        <v>Abrir facsímil</v>
      </c>
      <c r="K336" s="3" t="s">
        <v>23</v>
      </c>
    </row>
    <row r="337" spans="1:11" ht="42" customHeight="1">
      <c r="A337" s="2" t="s">
        <v>922</v>
      </c>
      <c r="B337" s="2" t="s">
        <v>922</v>
      </c>
      <c r="C337" s="2" t="s">
        <v>26</v>
      </c>
      <c r="D337" s="2" t="s">
        <v>27</v>
      </c>
      <c r="E337" s="5">
        <v>-28558</v>
      </c>
      <c r="F337" s="3" t="s">
        <v>758</v>
      </c>
      <c r="G337" s="3" t="s">
        <v>52</v>
      </c>
      <c r="H337" s="2" t="s">
        <v>21</v>
      </c>
      <c r="I337" s="2" t="s">
        <v>927</v>
      </c>
      <c r="J337" s="3" t="str">
        <f>HYPERLINK("https://www.boe.es/gazeta/dias/1821/10/22/pdfs/GMD-1821-301.pdf#page=2","Abrir facsímil")</f>
        <v>Abrir facsímil</v>
      </c>
      <c r="K337" s="3" t="s">
        <v>23</v>
      </c>
    </row>
    <row r="338" spans="1:11" ht="42" customHeight="1">
      <c r="A338" s="2" t="s">
        <v>928</v>
      </c>
      <c r="B338" s="2" t="s">
        <v>929</v>
      </c>
      <c r="C338" s="2" t="s">
        <v>174</v>
      </c>
      <c r="D338" s="2" t="s">
        <v>27</v>
      </c>
      <c r="E338" s="5">
        <v>-28549</v>
      </c>
      <c r="F338" s="3" t="s">
        <v>930</v>
      </c>
      <c r="G338" s="3" t="s">
        <v>162</v>
      </c>
      <c r="H338" s="2" t="s">
        <v>21</v>
      </c>
      <c r="I338" s="2" t="s">
        <v>931</v>
      </c>
      <c r="J338" s="3" t="str">
        <f>HYPERLINK("https://www.boe.es/gazeta/dias/1821/10/31/pdfs/GMD-1821-310.pdf#page=5","Abrir facsímil")</f>
        <v>Abrir facsímil</v>
      </c>
      <c r="K338" s="3" t="s">
        <v>23</v>
      </c>
    </row>
    <row r="339" spans="1:11" ht="42" customHeight="1">
      <c r="A339" s="2" t="s">
        <v>932</v>
      </c>
      <c r="B339" s="2" t="s">
        <v>933</v>
      </c>
      <c r="C339" s="2" t="s">
        <v>26</v>
      </c>
      <c r="D339" s="2" t="s">
        <v>27</v>
      </c>
      <c r="E339" s="5">
        <v>-28547</v>
      </c>
      <c r="F339" s="3" t="s">
        <v>247</v>
      </c>
      <c r="G339" s="3" t="s">
        <v>248</v>
      </c>
      <c r="H339" s="2" t="s">
        <v>21</v>
      </c>
      <c r="I339" s="2" t="s">
        <v>934</v>
      </c>
      <c r="J339" s="3" t="str">
        <f>HYPERLINK("https://www.boe.es/gazeta/dias/1821/11/02/pdfs/GMD-1821-312.pdf#page=2","Abrir facsímil")</f>
        <v>Abrir facsímil</v>
      </c>
      <c r="K339" s="3" t="s">
        <v>23</v>
      </c>
    </row>
    <row r="340" spans="1:11" ht="42" customHeight="1">
      <c r="A340" s="2" t="s">
        <v>935</v>
      </c>
      <c r="B340" s="2" t="s">
        <v>936</v>
      </c>
      <c r="C340" s="2" t="s">
        <v>40</v>
      </c>
      <c r="D340" s="2" t="s">
        <v>41</v>
      </c>
      <c r="E340" s="5">
        <v>-28654</v>
      </c>
      <c r="F340" s="3" t="s">
        <v>674</v>
      </c>
      <c r="G340" s="3" t="s">
        <v>88</v>
      </c>
      <c r="H340" s="2" t="s">
        <v>21</v>
      </c>
      <c r="I340" s="2" t="s">
        <v>937</v>
      </c>
      <c r="J340" s="3" t="str">
        <f>HYPERLINK("https://www.boe.es/gazeta/dias/1821/07/18/pdfs/GMD-1821-203.pdf#page=4","Abrir facsímil")</f>
        <v>Abrir facsímil</v>
      </c>
      <c r="K340" s="3" t="s">
        <v>23</v>
      </c>
    </row>
    <row r="341" spans="1:11" ht="42" customHeight="1">
      <c r="A341" s="2" t="s">
        <v>938</v>
      </c>
      <c r="B341" s="2" t="s">
        <v>939</v>
      </c>
      <c r="C341" s="2" t="s">
        <v>17</v>
      </c>
      <c r="D341" s="2" t="s">
        <v>18</v>
      </c>
      <c r="E341" s="5">
        <v>-28535</v>
      </c>
      <c r="F341" s="3" t="s">
        <v>96</v>
      </c>
      <c r="G341" s="3" t="s">
        <v>52</v>
      </c>
      <c r="H341" s="2" t="s">
        <v>21</v>
      </c>
      <c r="I341" s="2" t="s">
        <v>940</v>
      </c>
      <c r="J341" s="3" t="str">
        <f>HYPERLINK("https://www.boe.es/gazeta/dias/1821/11/14/pdfs/GMD-1821-325.pdf#page=2","Abrir facsímil")</f>
        <v>Abrir facsímil</v>
      </c>
      <c r="K341" s="3" t="s">
        <v>23</v>
      </c>
    </row>
    <row r="342" spans="1:11" ht="42" customHeight="1">
      <c r="A342" s="2" t="s">
        <v>941</v>
      </c>
      <c r="B342" s="2" t="s">
        <v>942</v>
      </c>
      <c r="C342" s="2" t="s">
        <v>17</v>
      </c>
      <c r="D342" s="2" t="s">
        <v>18</v>
      </c>
      <c r="E342" s="5">
        <v>-28675</v>
      </c>
      <c r="F342" s="3" t="s">
        <v>943</v>
      </c>
      <c r="G342" s="3" t="s">
        <v>162</v>
      </c>
      <c r="H342" s="2" t="s">
        <v>21</v>
      </c>
      <c r="I342" s="2" t="s">
        <v>944</v>
      </c>
      <c r="J342" s="3" t="str">
        <f>HYPERLINK("https://www.boe.es/gazeta/dias/1821/06/27/pdfs/GMD-1821-180.pdf#page=5","Abrir facsímil")</f>
        <v>Abrir facsímil</v>
      </c>
      <c r="K342" s="3" t="s">
        <v>23</v>
      </c>
    </row>
    <row r="343" spans="1:11" ht="42" customHeight="1">
      <c r="A343" s="2" t="s">
        <v>945</v>
      </c>
      <c r="B343" s="2" t="s">
        <v>946</v>
      </c>
      <c r="C343" s="2" t="s">
        <v>17</v>
      </c>
      <c r="D343" s="2" t="s">
        <v>18</v>
      </c>
      <c r="E343" s="5">
        <v>-28503</v>
      </c>
      <c r="F343" s="3" t="s">
        <v>947</v>
      </c>
      <c r="G343" s="3" t="s">
        <v>20</v>
      </c>
      <c r="H343" s="2" t="s">
        <v>21</v>
      </c>
      <c r="I343" s="2" t="s">
        <v>948</v>
      </c>
      <c r="J343" s="3" t="str">
        <f>HYPERLINK("https://www.boe.es/gazeta/dias/1821/12/16/pdfs/GMD-1821-359.pdf#page=3","Abrir facsímil")</f>
        <v>Abrir facsímil</v>
      </c>
      <c r="K343" s="3" t="s">
        <v>23</v>
      </c>
    </row>
    <row r="344" spans="1:11" ht="42" customHeight="1">
      <c r="A344" s="2" t="s">
        <v>949</v>
      </c>
      <c r="B344" s="2" t="s">
        <v>950</v>
      </c>
      <c r="C344" s="2" t="s">
        <v>40</v>
      </c>
      <c r="D344" s="2" t="s">
        <v>41</v>
      </c>
      <c r="E344" s="5">
        <v>-28497</v>
      </c>
      <c r="F344" s="3" t="s">
        <v>225</v>
      </c>
      <c r="G344" s="3" t="s">
        <v>88</v>
      </c>
      <c r="H344" s="2" t="s">
        <v>21</v>
      </c>
      <c r="I344" s="2" t="s">
        <v>951</v>
      </c>
      <c r="J344" s="3" t="str">
        <f>HYPERLINK("https://www.boe.es/gazeta/dias/1821/12/22/pdfs/GMD-1821-365.pdf#page=4","Abrir facsímil")</f>
        <v>Abrir facsímil</v>
      </c>
      <c r="K344" s="3" t="s">
        <v>23</v>
      </c>
    </row>
    <row r="345" spans="1:11" ht="42" customHeight="1">
      <c r="A345" s="2" t="s">
        <v>952</v>
      </c>
      <c r="B345" s="2" t="s">
        <v>953</v>
      </c>
      <c r="C345" s="2" t="s">
        <v>35</v>
      </c>
      <c r="D345" s="2" t="s">
        <v>27</v>
      </c>
      <c r="E345" s="5">
        <v>-28499</v>
      </c>
      <c r="F345" s="3" t="s">
        <v>954</v>
      </c>
      <c r="G345" s="3" t="s">
        <v>20</v>
      </c>
      <c r="H345" s="2" t="s">
        <v>21</v>
      </c>
      <c r="I345" s="2" t="s">
        <v>955</v>
      </c>
      <c r="J345" s="3" t="str">
        <f>HYPERLINK("https://www.boe.es/gazeta/dias/1821/12/20/pdfs/GMD-1821-363.pdf#page=3","Abrir facsímil")</f>
        <v>Abrir facsímil</v>
      </c>
      <c r="K345" s="3" t="s">
        <v>23</v>
      </c>
    </row>
    <row r="346" spans="1:11" ht="42" customHeight="1">
      <c r="A346" s="2" t="s">
        <v>956</v>
      </c>
      <c r="B346" s="2" t="s">
        <v>957</v>
      </c>
      <c r="C346" s="2" t="s">
        <v>35</v>
      </c>
      <c r="D346" s="2" t="s">
        <v>27</v>
      </c>
      <c r="E346" s="5">
        <v>-28574</v>
      </c>
      <c r="F346" s="3" t="s">
        <v>779</v>
      </c>
      <c r="G346" s="3" t="s">
        <v>609</v>
      </c>
      <c r="H346" s="2" t="s">
        <v>21</v>
      </c>
      <c r="I346" s="2" t="s">
        <v>958</v>
      </c>
      <c r="J346" s="3" t="str">
        <f>HYPERLINK("https://www.boe.es/gazeta/dias/1821/10/06/pdfs/GMD-1821-285.pdf#page=7","Abrir facsímil")</f>
        <v>Abrir facsímil</v>
      </c>
      <c r="K346" s="3" t="s">
        <v>23</v>
      </c>
    </row>
    <row r="347" spans="1:11" ht="42" customHeight="1">
      <c r="A347" s="2" t="s">
        <v>959</v>
      </c>
      <c r="B347" s="2" t="s">
        <v>960</v>
      </c>
      <c r="C347" s="2" t="s">
        <v>17</v>
      </c>
      <c r="D347" s="2" t="s">
        <v>18</v>
      </c>
      <c r="E347" s="5">
        <v>-28685</v>
      </c>
      <c r="F347" s="3" t="s">
        <v>303</v>
      </c>
      <c r="G347" s="3" t="s">
        <v>162</v>
      </c>
      <c r="H347" s="2" t="s">
        <v>21</v>
      </c>
      <c r="I347" s="2" t="s">
        <v>961</v>
      </c>
      <c r="J347" s="3" t="str">
        <f>HYPERLINK("https://www.boe.es/gazeta/dias/1821/06/17/pdfs/GMD-1821-170.pdf#page=5","Abrir facsímil")</f>
        <v>Abrir facsímil</v>
      </c>
      <c r="K347" s="3" t="s">
        <v>23</v>
      </c>
    </row>
    <row r="348" spans="1:11" ht="42" customHeight="1">
      <c r="A348" s="2" t="s">
        <v>962</v>
      </c>
      <c r="B348" s="2" t="s">
        <v>963</v>
      </c>
      <c r="C348" s="2" t="s">
        <v>70</v>
      </c>
      <c r="D348" s="2" t="s">
        <v>27</v>
      </c>
      <c r="E348" s="5">
        <v>-28672</v>
      </c>
      <c r="F348" s="3" t="s">
        <v>964</v>
      </c>
      <c r="G348" s="3" t="s">
        <v>20</v>
      </c>
      <c r="H348" s="2" t="s">
        <v>21</v>
      </c>
      <c r="I348" s="2" t="s">
        <v>965</v>
      </c>
      <c r="J348" s="3" t="str">
        <f>HYPERLINK("https://www.boe.es/gazeta/dias/1821/06/30/pdfs/GMD-1821-183.pdf#page=3","Abrir facsímil")</f>
        <v>Abrir facsímil</v>
      </c>
      <c r="K348" s="3" t="s">
        <v>23</v>
      </c>
    </row>
    <row r="349" spans="1:11" ht="42" customHeight="1">
      <c r="A349" s="2" t="s">
        <v>966</v>
      </c>
      <c r="B349" s="2" t="s">
        <v>967</v>
      </c>
      <c r="C349" s="2" t="s">
        <v>26</v>
      </c>
      <c r="D349" s="2" t="s">
        <v>27</v>
      </c>
      <c r="E349" s="5">
        <v>-28748</v>
      </c>
      <c r="F349" s="3" t="s">
        <v>634</v>
      </c>
      <c r="G349" s="3" t="s">
        <v>20</v>
      </c>
      <c r="H349" s="2" t="s">
        <v>21</v>
      </c>
      <c r="I349" s="2" t="s">
        <v>968</v>
      </c>
      <c r="J349" s="3" t="str">
        <f>HYPERLINK("https://www.boe.es/gazeta/dias/1821/04/15/pdfs/GMD-1821-107.pdf#page=3","Abrir facsímil")</f>
        <v>Abrir facsímil</v>
      </c>
      <c r="K349" s="3" t="s">
        <v>23</v>
      </c>
    </row>
    <row r="350" spans="1:11" ht="42" customHeight="1">
      <c r="A350" s="2" t="s">
        <v>969</v>
      </c>
      <c r="B350" s="2" t="s">
        <v>970</v>
      </c>
      <c r="C350" s="2" t="s">
        <v>40</v>
      </c>
      <c r="D350" s="2" t="s">
        <v>41</v>
      </c>
      <c r="E350" s="5">
        <v>-28503</v>
      </c>
      <c r="F350" s="3" t="s">
        <v>947</v>
      </c>
      <c r="G350" s="3" t="s">
        <v>43</v>
      </c>
      <c r="H350" s="2" t="s">
        <v>21</v>
      </c>
      <c r="I350" s="2" t="s">
        <v>971</v>
      </c>
      <c r="J350" s="3" t="str">
        <f>HYPERLINK("https://www.boe.es/gazeta/dias/1821/12/16/pdfs/GMD-1821-359.pdf#page=1","Abrir facsímil")</f>
        <v>Abrir facsímil</v>
      </c>
      <c r="K350" s="3" t="s">
        <v>23</v>
      </c>
    </row>
    <row r="351" spans="1:11" ht="42" customHeight="1">
      <c r="A351" s="2" t="s">
        <v>972</v>
      </c>
      <c r="B351" s="2" t="s">
        <v>973</v>
      </c>
      <c r="C351" s="2" t="s">
        <v>40</v>
      </c>
      <c r="D351" s="2" t="s">
        <v>41</v>
      </c>
      <c r="E351" s="5">
        <v>-28765</v>
      </c>
      <c r="F351" s="3" t="s">
        <v>974</v>
      </c>
      <c r="G351" s="3" t="s">
        <v>52</v>
      </c>
      <c r="H351" s="2" t="s">
        <v>21</v>
      </c>
      <c r="I351" s="2" t="s">
        <v>975</v>
      </c>
      <c r="J351" s="3" t="str">
        <f>HYPERLINK("https://www.boe.es/gazeta/dias/1821/03/29/pdfs/GMD-1821-90.pdf#page=2","Abrir facsímil")</f>
        <v>Abrir facsímil</v>
      </c>
      <c r="K351" s="3" t="s">
        <v>23</v>
      </c>
    </row>
    <row r="352" spans="1:11" ht="42" customHeight="1">
      <c r="A352" s="2" t="s">
        <v>976</v>
      </c>
      <c r="B352" s="2" t="s">
        <v>976</v>
      </c>
      <c r="C352" s="2" t="s">
        <v>35</v>
      </c>
      <c r="D352" s="2" t="s">
        <v>27</v>
      </c>
      <c r="E352" s="5">
        <v>-28503</v>
      </c>
      <c r="F352" s="3" t="s">
        <v>947</v>
      </c>
      <c r="G352" s="3" t="s">
        <v>20</v>
      </c>
      <c r="H352" s="2" t="s">
        <v>21</v>
      </c>
      <c r="I352" s="2" t="s">
        <v>977</v>
      </c>
      <c r="J352" s="3" t="str">
        <f>HYPERLINK("https://www.boe.es/gazeta/dias/1821/12/16/pdfs/GMD-1821-359.pdf#page=3","Abrir facsímil")</f>
        <v>Abrir facsímil</v>
      </c>
      <c r="K352" s="3" t="s">
        <v>23</v>
      </c>
    </row>
    <row r="353" spans="1:11" ht="42" customHeight="1">
      <c r="A353" s="2" t="s">
        <v>978</v>
      </c>
      <c r="B353" s="2" t="s">
        <v>978</v>
      </c>
      <c r="C353" s="2" t="s">
        <v>26</v>
      </c>
      <c r="D353" s="2" t="s">
        <v>27</v>
      </c>
      <c r="E353" s="5">
        <v>-28495</v>
      </c>
      <c r="F353" s="3" t="s">
        <v>227</v>
      </c>
      <c r="G353" s="3" t="s">
        <v>609</v>
      </c>
      <c r="H353" s="2" t="s">
        <v>21</v>
      </c>
      <c r="I353" s="2" t="s">
        <v>979</v>
      </c>
      <c r="J353" s="3" t="str">
        <f>HYPERLINK("https://www.boe.es/gazeta/dias/1821/12/24/pdfs/GMD-1821-367.pdf#page=7","Abrir facsímil")</f>
        <v>Abrir facsímil</v>
      </c>
      <c r="K353" s="3" t="s">
        <v>23</v>
      </c>
    </row>
    <row r="354" spans="1:11" ht="42" customHeight="1">
      <c r="A354" s="2" t="s">
        <v>980</v>
      </c>
      <c r="B354" s="2" t="s">
        <v>981</v>
      </c>
      <c r="C354" s="2" t="s">
        <v>17</v>
      </c>
      <c r="D354" s="2" t="s">
        <v>18</v>
      </c>
      <c r="E354" s="5">
        <v>-28520</v>
      </c>
      <c r="F354" s="3" t="s">
        <v>878</v>
      </c>
      <c r="G354" s="3" t="s">
        <v>52</v>
      </c>
      <c r="H354" s="2" t="s">
        <v>21</v>
      </c>
      <c r="I354" s="2" t="s">
        <v>982</v>
      </c>
      <c r="J354" s="3" t="str">
        <f>HYPERLINK("https://www.boe.es/gazeta/dias/1821/11/29/pdfs/GMD-1821-341.pdf#page=2","Abrir facsímil")</f>
        <v>Abrir facsímil</v>
      </c>
      <c r="K354" s="3" t="s">
        <v>23</v>
      </c>
    </row>
    <row r="355" spans="1:11" ht="42" customHeight="1">
      <c r="A355" s="2" t="s">
        <v>983</v>
      </c>
      <c r="B355" s="2" t="s">
        <v>984</v>
      </c>
      <c r="C355" s="2" t="s">
        <v>17</v>
      </c>
      <c r="D355" s="2" t="s">
        <v>18</v>
      </c>
      <c r="E355" s="5">
        <v>-28750</v>
      </c>
      <c r="F355" s="3" t="s">
        <v>917</v>
      </c>
      <c r="G355" s="3" t="s">
        <v>20</v>
      </c>
      <c r="H355" s="2" t="s">
        <v>21</v>
      </c>
      <c r="I355" s="2" t="s">
        <v>985</v>
      </c>
      <c r="J355" s="3" t="str">
        <f>HYPERLINK("https://www.boe.es/gazeta/dias/1821/04/13/pdfs/GMD-1821-105.pdf#page=3","Abrir facsímil")</f>
        <v>Abrir facsímil</v>
      </c>
      <c r="K355" s="3" t="s">
        <v>23</v>
      </c>
    </row>
    <row r="356" spans="1:11" ht="42" customHeight="1">
      <c r="A356" s="2" t="s">
        <v>986</v>
      </c>
      <c r="B356" s="2" t="s">
        <v>987</v>
      </c>
      <c r="C356" s="2" t="s">
        <v>40</v>
      </c>
      <c r="D356" s="2" t="s">
        <v>41</v>
      </c>
      <c r="E356" s="5">
        <v>-28735</v>
      </c>
      <c r="F356" s="3" t="s">
        <v>836</v>
      </c>
      <c r="G356" s="3" t="s">
        <v>52</v>
      </c>
      <c r="H356" s="2" t="s">
        <v>21</v>
      </c>
      <c r="I356" s="2" t="s">
        <v>988</v>
      </c>
      <c r="J356" s="3" t="str">
        <f>HYPERLINK("https://www.boe.es/gazeta/dias/1821/04/28/pdfs/GMD-1821-120.pdf#page=2","Abrir facsímil")</f>
        <v>Abrir facsímil</v>
      </c>
      <c r="K356" s="3" t="s">
        <v>23</v>
      </c>
    </row>
    <row r="357" spans="1:11" ht="42" customHeight="1">
      <c r="A357" s="2" t="s">
        <v>989</v>
      </c>
      <c r="B357" s="2" t="s">
        <v>990</v>
      </c>
      <c r="C357" s="2" t="s">
        <v>40</v>
      </c>
      <c r="D357" s="2" t="s">
        <v>41</v>
      </c>
      <c r="E357" s="5">
        <v>-28790</v>
      </c>
      <c r="F357" s="3" t="s">
        <v>991</v>
      </c>
      <c r="G357" s="3" t="s">
        <v>88</v>
      </c>
      <c r="H357" s="2" t="s">
        <v>21</v>
      </c>
      <c r="I357" s="2" t="s">
        <v>992</v>
      </c>
      <c r="J357" s="3" t="str">
        <f>HYPERLINK("https://www.boe.es/gazeta/dias/1821/03/04/pdfs/GGB-1821-63.pdf#page=4","Abrir facsímil")</f>
        <v>Abrir facsímil</v>
      </c>
      <c r="K357" s="3" t="s">
        <v>23</v>
      </c>
    </row>
    <row r="358" spans="1:11" ht="42" customHeight="1">
      <c r="A358" s="2" t="s">
        <v>989</v>
      </c>
      <c r="B358" s="2" t="s">
        <v>990</v>
      </c>
      <c r="C358" s="2" t="s">
        <v>17</v>
      </c>
      <c r="D358" s="2" t="s">
        <v>18</v>
      </c>
      <c r="E358" s="5">
        <v>-28789</v>
      </c>
      <c r="F358" s="3" t="s">
        <v>36</v>
      </c>
      <c r="G358" s="3" t="s">
        <v>993</v>
      </c>
      <c r="H358" s="2" t="s">
        <v>21</v>
      </c>
      <c r="I358" s="2" t="s">
        <v>994</v>
      </c>
      <c r="J358" s="3" t="str">
        <f>HYPERLINK("https://www.boe.es/gazeta/dias/1821/03/05/pdfs/GGB-1821-64.pdf#page=4","Abrir facsímil")</f>
        <v>Abrir facsímil</v>
      </c>
      <c r="K358" s="3" t="s">
        <v>23</v>
      </c>
    </row>
    <row r="359" spans="1:11" ht="42" customHeight="1">
      <c r="A359" s="2" t="s">
        <v>989</v>
      </c>
      <c r="B359" s="2" t="s">
        <v>990</v>
      </c>
      <c r="C359" s="2" t="s">
        <v>17</v>
      </c>
      <c r="D359" s="2" t="s">
        <v>18</v>
      </c>
      <c r="E359" s="5">
        <v>-28789</v>
      </c>
      <c r="F359" s="3" t="s">
        <v>36</v>
      </c>
      <c r="G359" s="3" t="s">
        <v>20</v>
      </c>
      <c r="H359" s="2" t="s">
        <v>21</v>
      </c>
      <c r="I359" s="2" t="s">
        <v>995</v>
      </c>
      <c r="J359" s="3" t="str">
        <f>HYPERLINK("https://www.boe.es/gazeta/dias/1821/03/05/pdfs/GGB-1821-64.pdf#page=3","Abrir facsímil")</f>
        <v>Abrir facsímil</v>
      </c>
      <c r="K359" s="3" t="s">
        <v>23</v>
      </c>
    </row>
    <row r="360" spans="1:11" ht="42" customHeight="1">
      <c r="A360" s="2" t="s">
        <v>989</v>
      </c>
      <c r="B360" s="2" t="s">
        <v>990</v>
      </c>
      <c r="C360" s="2" t="s">
        <v>17</v>
      </c>
      <c r="D360" s="2" t="s">
        <v>18</v>
      </c>
      <c r="E360" s="5">
        <v>-28788</v>
      </c>
      <c r="F360" s="3" t="s">
        <v>996</v>
      </c>
      <c r="G360" s="3" t="s">
        <v>52</v>
      </c>
      <c r="H360" s="2" t="s">
        <v>21</v>
      </c>
      <c r="I360" s="2" t="s">
        <v>997</v>
      </c>
      <c r="J360" s="3" t="str">
        <f>HYPERLINK("https://www.boe.es/gazeta/dias/1821/03/06/pdfs/GGB-1821-65.pdf#page=2","Abrir facsímil")</f>
        <v>Abrir facsímil</v>
      </c>
      <c r="K360" s="3" t="s">
        <v>23</v>
      </c>
    </row>
    <row r="361" spans="1:11" ht="42" customHeight="1">
      <c r="A361" s="2" t="s">
        <v>998</v>
      </c>
      <c r="B361" s="2" t="s">
        <v>999</v>
      </c>
      <c r="C361" s="2" t="s">
        <v>17</v>
      </c>
      <c r="D361" s="2" t="s">
        <v>18</v>
      </c>
      <c r="E361" s="5">
        <v>-28787</v>
      </c>
      <c r="F361" s="3" t="s">
        <v>486</v>
      </c>
      <c r="G361" s="3" t="s">
        <v>20</v>
      </c>
      <c r="H361" s="2" t="s">
        <v>21</v>
      </c>
      <c r="I361" s="2" t="s">
        <v>1000</v>
      </c>
      <c r="J361" s="3" t="str">
        <f>HYPERLINK("https://www.boe.es/gazeta/dias/1821/03/07/pdfs/GGB-1821-66.pdf#page=3","Abrir facsímil")</f>
        <v>Abrir facsímil</v>
      </c>
      <c r="K361" s="3" t="s">
        <v>23</v>
      </c>
    </row>
    <row r="362" spans="1:11" ht="42" customHeight="1">
      <c r="A362" s="2" t="s">
        <v>989</v>
      </c>
      <c r="B362" s="2" t="s">
        <v>990</v>
      </c>
      <c r="C362" s="2" t="s">
        <v>40</v>
      </c>
      <c r="D362" s="2" t="s">
        <v>41</v>
      </c>
      <c r="E362" s="5">
        <v>-28782</v>
      </c>
      <c r="F362" s="3" t="s">
        <v>508</v>
      </c>
      <c r="G362" s="3" t="s">
        <v>88</v>
      </c>
      <c r="H362" s="2" t="s">
        <v>21</v>
      </c>
      <c r="I362" s="2" t="s">
        <v>1001</v>
      </c>
      <c r="J362" s="3" t="str">
        <f>HYPERLINK("https://www.boe.es/gazeta/dias/1821/03/12/pdfs/GMD-1821-71.pdf#page=4","Abrir facsímil")</f>
        <v>Abrir facsímil</v>
      </c>
      <c r="K362" s="3" t="s">
        <v>23</v>
      </c>
    </row>
    <row r="363" spans="1:11" ht="42" customHeight="1">
      <c r="A363" s="2" t="s">
        <v>989</v>
      </c>
      <c r="B363" s="2" t="s">
        <v>990</v>
      </c>
      <c r="C363" s="2" t="s">
        <v>17</v>
      </c>
      <c r="D363" s="2" t="s">
        <v>18</v>
      </c>
      <c r="E363" s="5">
        <v>-28779</v>
      </c>
      <c r="F363" s="3" t="s">
        <v>1002</v>
      </c>
      <c r="G363" s="3" t="s">
        <v>20</v>
      </c>
      <c r="H363" s="2" t="s">
        <v>21</v>
      </c>
      <c r="I363" s="2" t="s">
        <v>1003</v>
      </c>
      <c r="J363" s="3" t="str">
        <f>HYPERLINK("https://www.boe.es/gazeta/dias/1821/03/15/pdfs/GMD-1821-74.pdf#page=3","Abrir facsímil")</f>
        <v>Abrir facsímil</v>
      </c>
      <c r="K363" s="3" t="s">
        <v>23</v>
      </c>
    </row>
    <row r="364" spans="1:11" ht="42" customHeight="1">
      <c r="A364" s="2" t="s">
        <v>989</v>
      </c>
      <c r="B364" s="2" t="s">
        <v>990</v>
      </c>
      <c r="C364" s="2" t="s">
        <v>35</v>
      </c>
      <c r="D364" s="2" t="s">
        <v>27</v>
      </c>
      <c r="E364" s="5">
        <v>-28777</v>
      </c>
      <c r="F364" s="3" t="s">
        <v>1004</v>
      </c>
      <c r="G364" s="3" t="s">
        <v>1005</v>
      </c>
      <c r="H364" s="2" t="s">
        <v>21</v>
      </c>
      <c r="I364" s="2" t="s">
        <v>1006</v>
      </c>
      <c r="J364" s="3" t="str">
        <f>HYPERLINK("https://www.boe.es/gazeta/dias/1821/03/17/pdfs/GMD-1821-76.pdf#page=2","Abrir facsímil")</f>
        <v>Abrir facsímil</v>
      </c>
      <c r="K364" s="3" t="s">
        <v>23</v>
      </c>
    </row>
    <row r="365" spans="1:11" ht="42" customHeight="1">
      <c r="A365" s="2" t="s">
        <v>989</v>
      </c>
      <c r="B365" s="2" t="s">
        <v>990</v>
      </c>
      <c r="C365" s="2" t="s">
        <v>35</v>
      </c>
      <c r="D365" s="2" t="s">
        <v>27</v>
      </c>
      <c r="E365" s="5">
        <v>-28772</v>
      </c>
      <c r="F365" s="3" t="s">
        <v>62</v>
      </c>
      <c r="G365" s="3" t="s">
        <v>20</v>
      </c>
      <c r="H365" s="2" t="s">
        <v>21</v>
      </c>
      <c r="I365" s="2" t="s">
        <v>1007</v>
      </c>
      <c r="J365" s="3" t="str">
        <f>HYPERLINK("https://www.boe.es/gazeta/dias/1821/03/22/pdfs/GMD-1821-81.pdf#page=3","Abrir facsímil")</f>
        <v>Abrir facsímil</v>
      </c>
      <c r="K365" s="3" t="s">
        <v>23</v>
      </c>
    </row>
    <row r="366" spans="1:11" ht="42" customHeight="1">
      <c r="A366" s="2" t="s">
        <v>989</v>
      </c>
      <c r="B366" s="2" t="s">
        <v>990</v>
      </c>
      <c r="C366" s="2" t="s">
        <v>35</v>
      </c>
      <c r="D366" s="2" t="s">
        <v>27</v>
      </c>
      <c r="E366" s="5">
        <v>-28772</v>
      </c>
      <c r="F366" s="3" t="s">
        <v>62</v>
      </c>
      <c r="G366" s="3" t="s">
        <v>88</v>
      </c>
      <c r="H366" s="2" t="s">
        <v>21</v>
      </c>
      <c r="I366" s="2" t="s">
        <v>1008</v>
      </c>
      <c r="J366" s="3" t="str">
        <f>HYPERLINK("https://www.boe.es/gazeta/dias/1821/03/22/pdfs/GMD-1821-81.pdf#page=4","Abrir facsímil")</f>
        <v>Abrir facsímil</v>
      </c>
      <c r="K366" s="3" t="s">
        <v>23</v>
      </c>
    </row>
    <row r="367" spans="1:11" ht="42" customHeight="1">
      <c r="A367" s="2" t="s">
        <v>989</v>
      </c>
      <c r="B367" s="2" t="s">
        <v>990</v>
      </c>
      <c r="C367" s="2" t="s">
        <v>40</v>
      </c>
      <c r="D367" s="2" t="s">
        <v>41</v>
      </c>
      <c r="E367" s="5">
        <v>-28770</v>
      </c>
      <c r="F367" s="3" t="s">
        <v>1009</v>
      </c>
      <c r="G367" s="3" t="s">
        <v>88</v>
      </c>
      <c r="H367" s="2" t="s">
        <v>21</v>
      </c>
      <c r="I367" s="2" t="s">
        <v>1010</v>
      </c>
      <c r="J367" s="3" t="str">
        <f>HYPERLINK("https://www.boe.es/gazeta/dias/1821/03/24/pdfs/GMD-1821-84.pdf#page=4","Abrir facsímil")</f>
        <v>Abrir facsímil</v>
      </c>
      <c r="K367" s="3" t="s">
        <v>23</v>
      </c>
    </row>
    <row r="368" spans="1:11" ht="42" customHeight="1">
      <c r="A368" s="2" t="s">
        <v>989</v>
      </c>
      <c r="B368" s="2" t="s">
        <v>990</v>
      </c>
      <c r="C368" s="2" t="s">
        <v>70</v>
      </c>
      <c r="D368" s="2" t="s">
        <v>27</v>
      </c>
      <c r="E368" s="5">
        <v>-28757</v>
      </c>
      <c r="F368" s="3" t="s">
        <v>472</v>
      </c>
      <c r="G368" s="3" t="s">
        <v>52</v>
      </c>
      <c r="H368" s="2" t="s">
        <v>21</v>
      </c>
      <c r="I368" s="2" t="s">
        <v>1011</v>
      </c>
      <c r="J368" s="3" t="str">
        <f>HYPERLINK("https://www.boe.es/gazeta/dias/1821/04/06/pdfs/GMD-1821-98.pdf#page=2","Abrir facsímil")</f>
        <v>Abrir facsímil</v>
      </c>
      <c r="K368" s="3" t="s">
        <v>23</v>
      </c>
    </row>
    <row r="369" spans="1:11" ht="42" customHeight="1">
      <c r="A369" s="2" t="s">
        <v>989</v>
      </c>
      <c r="B369" s="2" t="s">
        <v>990</v>
      </c>
      <c r="C369" s="2" t="s">
        <v>26</v>
      </c>
      <c r="D369" s="2" t="s">
        <v>27</v>
      </c>
      <c r="E369" s="5">
        <v>-28752</v>
      </c>
      <c r="F369" s="3" t="s">
        <v>1012</v>
      </c>
      <c r="G369" s="3" t="s">
        <v>1013</v>
      </c>
      <c r="H369" s="2" t="s">
        <v>21</v>
      </c>
      <c r="I369" s="2" t="s">
        <v>1014</v>
      </c>
      <c r="J369" s="3" t="str">
        <f>HYPERLINK("https://www.boe.es/gazeta/dias/1821/04/11/pdfs/GMD-1821-103.pdf#page=3","Abrir facsímil")</f>
        <v>Abrir facsímil</v>
      </c>
      <c r="K369" s="3" t="s">
        <v>23</v>
      </c>
    </row>
    <row r="370" spans="1:11" ht="42" customHeight="1">
      <c r="A370" s="2" t="s">
        <v>989</v>
      </c>
      <c r="B370" s="2" t="s">
        <v>990</v>
      </c>
      <c r="C370" s="2" t="s">
        <v>40</v>
      </c>
      <c r="D370" s="2" t="s">
        <v>41</v>
      </c>
      <c r="E370" s="5">
        <v>-28751</v>
      </c>
      <c r="F370" s="3" t="s">
        <v>356</v>
      </c>
      <c r="G370" s="3" t="s">
        <v>20</v>
      </c>
      <c r="H370" s="2" t="s">
        <v>21</v>
      </c>
      <c r="I370" s="2" t="s">
        <v>1015</v>
      </c>
      <c r="J370" s="3" t="str">
        <f>HYPERLINK("https://www.boe.es/gazeta/dias/1821/04/12/pdfs/GMD-1821-104.pdf#page=3","Abrir facsímil")</f>
        <v>Abrir facsímil</v>
      </c>
      <c r="K370" s="3" t="s">
        <v>23</v>
      </c>
    </row>
    <row r="371" spans="1:11" ht="42" customHeight="1">
      <c r="A371" s="2" t="s">
        <v>989</v>
      </c>
      <c r="B371" s="2" t="s">
        <v>990</v>
      </c>
      <c r="C371" s="2" t="s">
        <v>35</v>
      </c>
      <c r="D371" s="2" t="s">
        <v>27</v>
      </c>
      <c r="E371" s="5">
        <v>-28747</v>
      </c>
      <c r="F371" s="3" t="s">
        <v>1016</v>
      </c>
      <c r="G371" s="3" t="s">
        <v>20</v>
      </c>
      <c r="H371" s="2" t="s">
        <v>21</v>
      </c>
      <c r="I371" s="2" t="s">
        <v>1017</v>
      </c>
      <c r="J371" s="3" t="str">
        <f>HYPERLINK("https://www.boe.es/gazeta/dias/1821/04/16/pdfs/GMD-1821-108.pdf#page=3","Abrir facsímil")</f>
        <v>Abrir facsímil</v>
      </c>
      <c r="K371" s="3" t="s">
        <v>23</v>
      </c>
    </row>
    <row r="372" spans="1:11" ht="42" customHeight="1">
      <c r="A372" s="2" t="s">
        <v>989</v>
      </c>
      <c r="B372" s="2" t="s">
        <v>990</v>
      </c>
      <c r="C372" s="2" t="s">
        <v>40</v>
      </c>
      <c r="D372" s="2" t="s">
        <v>41</v>
      </c>
      <c r="E372" s="5">
        <v>-28746</v>
      </c>
      <c r="F372" s="3" t="s">
        <v>687</v>
      </c>
      <c r="G372" s="3" t="s">
        <v>88</v>
      </c>
      <c r="H372" s="2" t="s">
        <v>21</v>
      </c>
      <c r="I372" s="2" t="s">
        <v>1018</v>
      </c>
      <c r="J372" s="3" t="str">
        <f>HYPERLINK("https://www.boe.es/gazeta/dias/1821/04/17/pdfs/GMD-1821-109.pdf#page=4","Abrir facsímil")</f>
        <v>Abrir facsímil</v>
      </c>
      <c r="K372" s="3" t="s">
        <v>23</v>
      </c>
    </row>
    <row r="373" spans="1:11" ht="42" customHeight="1">
      <c r="A373" s="2" t="s">
        <v>989</v>
      </c>
      <c r="B373" s="2" t="s">
        <v>990</v>
      </c>
      <c r="C373" s="2" t="s">
        <v>26</v>
      </c>
      <c r="D373" s="2" t="s">
        <v>27</v>
      </c>
      <c r="E373" s="5">
        <v>-28746</v>
      </c>
      <c r="F373" s="3" t="s">
        <v>687</v>
      </c>
      <c r="G373" s="3" t="s">
        <v>162</v>
      </c>
      <c r="H373" s="2" t="s">
        <v>21</v>
      </c>
      <c r="I373" s="2" t="s">
        <v>1019</v>
      </c>
      <c r="J373" s="3" t="str">
        <f>HYPERLINK("https://www.boe.es/gazeta/dias/1821/04/17/pdfs/GMD-1821-109.pdf#page=5","Abrir facsímil")</f>
        <v>Abrir facsímil</v>
      </c>
      <c r="K373" s="3" t="s">
        <v>23</v>
      </c>
    </row>
    <row r="374" spans="1:11" ht="42" customHeight="1">
      <c r="A374" s="2" t="s">
        <v>989</v>
      </c>
      <c r="B374" s="2" t="s">
        <v>990</v>
      </c>
      <c r="C374" s="2" t="s">
        <v>35</v>
      </c>
      <c r="D374" s="2" t="s">
        <v>27</v>
      </c>
      <c r="E374" s="5">
        <v>-28745</v>
      </c>
      <c r="F374" s="3" t="s">
        <v>1020</v>
      </c>
      <c r="G374" s="3" t="s">
        <v>20</v>
      </c>
      <c r="H374" s="2" t="s">
        <v>21</v>
      </c>
      <c r="I374" s="2" t="s">
        <v>1021</v>
      </c>
      <c r="J374" s="3" t="str">
        <f>HYPERLINK("https://www.boe.es/gazeta/dias/1821/04/18/pdfs/GMD-1821-110.pdf#page=3","Abrir facsímil")</f>
        <v>Abrir facsímil</v>
      </c>
      <c r="K374" s="3" t="s">
        <v>23</v>
      </c>
    </row>
    <row r="375" spans="1:11" ht="42" customHeight="1">
      <c r="A375" s="2" t="s">
        <v>989</v>
      </c>
      <c r="B375" s="2" t="s">
        <v>990</v>
      </c>
      <c r="C375" s="2" t="s">
        <v>40</v>
      </c>
      <c r="D375" s="2" t="s">
        <v>41</v>
      </c>
      <c r="E375" s="5">
        <v>-28744</v>
      </c>
      <c r="F375" s="3" t="s">
        <v>834</v>
      </c>
      <c r="G375" s="3" t="s">
        <v>20</v>
      </c>
      <c r="H375" s="2" t="s">
        <v>21</v>
      </c>
      <c r="I375" s="2" t="s">
        <v>1022</v>
      </c>
      <c r="J375" s="3" t="str">
        <f>HYPERLINK("https://www.boe.es/gazeta/dias/1821/04/19/pdfs/GMD-1821-111.pdf#page=3","Abrir facsímil")</f>
        <v>Abrir facsímil</v>
      </c>
      <c r="K375" s="3" t="s">
        <v>23</v>
      </c>
    </row>
    <row r="376" spans="1:11" ht="42" customHeight="1">
      <c r="A376" s="2" t="s">
        <v>989</v>
      </c>
      <c r="B376" s="2" t="s">
        <v>990</v>
      </c>
      <c r="C376" s="2" t="s">
        <v>70</v>
      </c>
      <c r="D376" s="2" t="s">
        <v>27</v>
      </c>
      <c r="E376" s="5">
        <v>-28744</v>
      </c>
      <c r="F376" s="3" t="s">
        <v>834</v>
      </c>
      <c r="G376" s="3" t="s">
        <v>88</v>
      </c>
      <c r="H376" s="2" t="s">
        <v>21</v>
      </c>
      <c r="I376" s="2" t="s">
        <v>1023</v>
      </c>
      <c r="J376" s="3" t="str">
        <f>HYPERLINK("https://www.boe.es/gazeta/dias/1821/04/19/pdfs/GMD-1821-111.pdf#page=4","Abrir facsímil")</f>
        <v>Abrir facsímil</v>
      </c>
      <c r="K376" s="3" t="s">
        <v>23</v>
      </c>
    </row>
    <row r="377" spans="1:11" ht="42" customHeight="1">
      <c r="A377" s="2" t="s">
        <v>989</v>
      </c>
      <c r="B377" s="2" t="s">
        <v>990</v>
      </c>
      <c r="C377" s="2" t="s">
        <v>35</v>
      </c>
      <c r="D377" s="2" t="s">
        <v>27</v>
      </c>
      <c r="E377" s="5">
        <v>-28739</v>
      </c>
      <c r="F377" s="3" t="s">
        <v>1024</v>
      </c>
      <c r="G377" s="3" t="s">
        <v>1025</v>
      </c>
      <c r="H377" s="2" t="s">
        <v>21</v>
      </c>
      <c r="I377" s="2" t="s">
        <v>1026</v>
      </c>
      <c r="J377" s="3" t="str">
        <f>HYPERLINK("https://www.boe.es/gazeta/dias/1821/04/24/pdfs/GMD-1821-116.pdf#page=3","Abrir facsímil")</f>
        <v>Abrir facsímil</v>
      </c>
      <c r="K377" s="3" t="s">
        <v>23</v>
      </c>
    </row>
    <row r="378" spans="1:11" ht="42" customHeight="1">
      <c r="A378" s="2" t="s">
        <v>989</v>
      </c>
      <c r="B378" s="2" t="s">
        <v>990</v>
      </c>
      <c r="C378" s="2" t="s">
        <v>17</v>
      </c>
      <c r="D378" s="2" t="s">
        <v>18</v>
      </c>
      <c r="E378" s="5">
        <v>-28739</v>
      </c>
      <c r="F378" s="3" t="s">
        <v>1024</v>
      </c>
      <c r="G378" s="3" t="s">
        <v>52</v>
      </c>
      <c r="H378" s="2" t="s">
        <v>21</v>
      </c>
      <c r="I378" s="2" t="s">
        <v>1027</v>
      </c>
      <c r="J378" s="3" t="str">
        <f>HYPERLINK("https://www.boe.es/gazeta/dias/1821/04/24/pdfs/GMD-1821-116.pdf#page=2","Abrir facsímil")</f>
        <v>Abrir facsímil</v>
      </c>
      <c r="K378" s="3" t="s">
        <v>23</v>
      </c>
    </row>
    <row r="379" spans="1:11" ht="42" customHeight="1">
      <c r="A379" s="2" t="s">
        <v>989</v>
      </c>
      <c r="B379" s="2" t="s">
        <v>990</v>
      </c>
      <c r="C379" s="2" t="s">
        <v>35</v>
      </c>
      <c r="D379" s="2" t="s">
        <v>27</v>
      </c>
      <c r="E379" s="5">
        <v>-28738</v>
      </c>
      <c r="F379" s="3" t="s">
        <v>359</v>
      </c>
      <c r="G379" s="3" t="s">
        <v>20</v>
      </c>
      <c r="H379" s="2" t="s">
        <v>21</v>
      </c>
      <c r="I379" s="2" t="s">
        <v>1028</v>
      </c>
      <c r="J379" s="3" t="str">
        <f>HYPERLINK("https://www.boe.es/gazeta/dias/1821/04/25/pdfs/GMD-1821-117.pdf#page=3","Abrir facsímil")</f>
        <v>Abrir facsímil</v>
      </c>
      <c r="K379" s="3" t="s">
        <v>23</v>
      </c>
    </row>
    <row r="380" spans="1:11" ht="42" customHeight="1">
      <c r="A380" s="2" t="s">
        <v>989</v>
      </c>
      <c r="B380" s="2" t="s">
        <v>990</v>
      </c>
      <c r="C380" s="2" t="s">
        <v>35</v>
      </c>
      <c r="D380" s="2" t="s">
        <v>27</v>
      </c>
      <c r="E380" s="5">
        <v>-28736</v>
      </c>
      <c r="F380" s="3" t="s">
        <v>464</v>
      </c>
      <c r="G380" s="3" t="s">
        <v>52</v>
      </c>
      <c r="H380" s="2" t="s">
        <v>21</v>
      </c>
      <c r="I380" s="2" t="s">
        <v>1029</v>
      </c>
      <c r="J380" s="3" t="str">
        <f>HYPERLINK("https://www.boe.es/gazeta/dias/1821/04/27/pdfs/GMD-1821-119.pdf#page=2","Abrir facsímil")</f>
        <v>Abrir facsímil</v>
      </c>
      <c r="K380" s="3" t="s">
        <v>23</v>
      </c>
    </row>
    <row r="381" spans="1:11" ht="42" customHeight="1">
      <c r="A381" s="2" t="s">
        <v>989</v>
      </c>
      <c r="B381" s="2" t="s">
        <v>990</v>
      </c>
      <c r="C381" s="2" t="s">
        <v>40</v>
      </c>
      <c r="D381" s="2" t="s">
        <v>41</v>
      </c>
      <c r="E381" s="5">
        <v>-28735</v>
      </c>
      <c r="F381" s="3" t="s">
        <v>836</v>
      </c>
      <c r="G381" s="3" t="s">
        <v>52</v>
      </c>
      <c r="H381" s="2" t="s">
        <v>21</v>
      </c>
      <c r="I381" s="2" t="s">
        <v>1030</v>
      </c>
      <c r="J381" s="3" t="str">
        <f>HYPERLINK("https://www.boe.es/gazeta/dias/1821/04/28/pdfs/GMD-1821-120.pdf#page=2","Abrir facsímil")</f>
        <v>Abrir facsímil</v>
      </c>
      <c r="K381" s="3" t="s">
        <v>23</v>
      </c>
    </row>
    <row r="382" spans="1:11" ht="42" customHeight="1">
      <c r="A382" s="2" t="s">
        <v>989</v>
      </c>
      <c r="B382" s="2" t="s">
        <v>990</v>
      </c>
      <c r="C382" s="2" t="s">
        <v>40</v>
      </c>
      <c r="D382" s="2" t="s">
        <v>41</v>
      </c>
      <c r="E382" s="5">
        <v>-28735</v>
      </c>
      <c r="F382" s="3" t="s">
        <v>836</v>
      </c>
      <c r="G382" s="3" t="s">
        <v>20</v>
      </c>
      <c r="H382" s="2" t="s">
        <v>21</v>
      </c>
      <c r="I382" s="2" t="s">
        <v>1031</v>
      </c>
      <c r="J382" s="3" t="str">
        <f>HYPERLINK("https://www.boe.es/gazeta/dias/1821/04/28/pdfs/GMD-1821-120.pdf#page=3","Abrir facsímil")</f>
        <v>Abrir facsímil</v>
      </c>
      <c r="K382" s="3" t="s">
        <v>23</v>
      </c>
    </row>
    <row r="383" spans="1:11" ht="42" customHeight="1">
      <c r="A383" s="2" t="s">
        <v>989</v>
      </c>
      <c r="B383" s="2" t="s">
        <v>990</v>
      </c>
      <c r="C383" s="2" t="s">
        <v>40</v>
      </c>
      <c r="D383" s="2" t="s">
        <v>41</v>
      </c>
      <c r="E383" s="5">
        <v>-28735</v>
      </c>
      <c r="F383" s="3" t="s">
        <v>836</v>
      </c>
      <c r="G383" s="3" t="s">
        <v>88</v>
      </c>
      <c r="H383" s="2" t="s">
        <v>21</v>
      </c>
      <c r="I383" s="2" t="s">
        <v>1032</v>
      </c>
      <c r="J383" s="3" t="str">
        <f>HYPERLINK("https://www.boe.es/gazeta/dias/1821/04/28/pdfs/GMD-1821-120.pdf#page=4","Abrir facsímil")</f>
        <v>Abrir facsímil</v>
      </c>
      <c r="K383" s="3" t="s">
        <v>23</v>
      </c>
    </row>
    <row r="384" spans="1:11" ht="42" customHeight="1">
      <c r="A384" s="2" t="s">
        <v>989</v>
      </c>
      <c r="B384" s="2" t="s">
        <v>990</v>
      </c>
      <c r="C384" s="2" t="s">
        <v>40</v>
      </c>
      <c r="D384" s="2" t="s">
        <v>41</v>
      </c>
      <c r="E384" s="5">
        <v>-28733</v>
      </c>
      <c r="F384" s="3" t="s">
        <v>1033</v>
      </c>
      <c r="G384" s="3" t="s">
        <v>20</v>
      </c>
      <c r="H384" s="2" t="s">
        <v>21</v>
      </c>
      <c r="I384" s="2" t="s">
        <v>1034</v>
      </c>
      <c r="J384" s="3" t="str">
        <f>HYPERLINK("https://www.boe.es/gazeta/dias/1821/04/30/pdfs/GMD-1821-122.pdf#page=3","Abrir facsímil")</f>
        <v>Abrir facsímil</v>
      </c>
      <c r="K384" s="3" t="s">
        <v>23</v>
      </c>
    </row>
    <row r="385" spans="1:11" ht="42" customHeight="1">
      <c r="A385" s="2" t="s">
        <v>989</v>
      </c>
      <c r="B385" s="2" t="s">
        <v>990</v>
      </c>
      <c r="C385" s="2" t="s">
        <v>17</v>
      </c>
      <c r="D385" s="2" t="s">
        <v>18</v>
      </c>
      <c r="E385" s="5">
        <v>-28730</v>
      </c>
      <c r="F385" s="3" t="s">
        <v>747</v>
      </c>
      <c r="G385" s="3" t="s">
        <v>20</v>
      </c>
      <c r="H385" s="2" t="s">
        <v>21</v>
      </c>
      <c r="I385" s="2" t="s">
        <v>1035</v>
      </c>
      <c r="J385" s="3" t="str">
        <f>HYPERLINK("https://www.boe.es/gazeta/dias/1821/05/03/pdfs/GMD-1821-125.pdf#page=3","Abrir facsímil")</f>
        <v>Abrir facsímil</v>
      </c>
      <c r="K385" s="3" t="s">
        <v>23</v>
      </c>
    </row>
    <row r="386" spans="1:11" ht="42" customHeight="1">
      <c r="A386" s="2" t="s">
        <v>989</v>
      </c>
      <c r="B386" s="2" t="s">
        <v>990</v>
      </c>
      <c r="C386" s="2" t="s">
        <v>17</v>
      </c>
      <c r="D386" s="2" t="s">
        <v>18</v>
      </c>
      <c r="E386" s="5">
        <v>-28730</v>
      </c>
      <c r="F386" s="3" t="s">
        <v>747</v>
      </c>
      <c r="G386" s="3" t="s">
        <v>88</v>
      </c>
      <c r="H386" s="2" t="s">
        <v>21</v>
      </c>
      <c r="I386" s="2" t="s">
        <v>1036</v>
      </c>
      <c r="J386" s="3" t="str">
        <f>HYPERLINK("https://www.boe.es/gazeta/dias/1821/05/03/pdfs/GMD-1821-125.pdf#page=4","Abrir facsímil")</f>
        <v>Abrir facsímil</v>
      </c>
      <c r="K386" s="3" t="s">
        <v>23</v>
      </c>
    </row>
    <row r="387" spans="1:11" ht="42" customHeight="1">
      <c r="A387" s="2" t="s">
        <v>989</v>
      </c>
      <c r="B387" s="2" t="s">
        <v>990</v>
      </c>
      <c r="C387" s="2" t="s">
        <v>35</v>
      </c>
      <c r="D387" s="2" t="s">
        <v>27</v>
      </c>
      <c r="E387" s="5">
        <v>-28729</v>
      </c>
      <c r="F387" s="3" t="s">
        <v>838</v>
      </c>
      <c r="G387" s="3" t="s">
        <v>20</v>
      </c>
      <c r="H387" s="2" t="s">
        <v>21</v>
      </c>
      <c r="I387" s="2" t="s">
        <v>1037</v>
      </c>
      <c r="J387" s="3" t="str">
        <f>HYPERLINK("https://www.boe.es/gazeta/dias/1821/05/04/pdfs/GMD-1821-126.pdf#page=3","Abrir facsímil")</f>
        <v>Abrir facsímil</v>
      </c>
      <c r="K387" s="3" t="s">
        <v>23</v>
      </c>
    </row>
    <row r="388" spans="1:11" ht="42" customHeight="1">
      <c r="A388" s="2" t="s">
        <v>989</v>
      </c>
      <c r="B388" s="2" t="s">
        <v>990</v>
      </c>
      <c r="C388" s="2" t="s">
        <v>17</v>
      </c>
      <c r="D388" s="2" t="s">
        <v>18</v>
      </c>
      <c r="E388" s="5">
        <v>-28728</v>
      </c>
      <c r="F388" s="3" t="s">
        <v>1038</v>
      </c>
      <c r="G388" s="3" t="s">
        <v>20</v>
      </c>
      <c r="H388" s="2" t="s">
        <v>21</v>
      </c>
      <c r="I388" s="2" t="s">
        <v>1039</v>
      </c>
      <c r="J388" s="3" t="str">
        <f>HYPERLINK("https://www.boe.es/gazeta/dias/1821/05/05/pdfs/GMD-1821-127.pdf#page=3","Abrir facsímil")</f>
        <v>Abrir facsímil</v>
      </c>
      <c r="K388" s="3" t="s">
        <v>23</v>
      </c>
    </row>
    <row r="389" spans="1:11" ht="42" customHeight="1">
      <c r="A389" s="2" t="s">
        <v>989</v>
      </c>
      <c r="B389" s="2" t="s">
        <v>990</v>
      </c>
      <c r="C389" s="2" t="s">
        <v>17</v>
      </c>
      <c r="D389" s="2" t="s">
        <v>18</v>
      </c>
      <c r="E389" s="5">
        <v>-28726</v>
      </c>
      <c r="F389" s="3" t="s">
        <v>347</v>
      </c>
      <c r="G389" s="3" t="s">
        <v>20</v>
      </c>
      <c r="H389" s="2" t="s">
        <v>21</v>
      </c>
      <c r="I389" s="2" t="s">
        <v>1040</v>
      </c>
      <c r="J389" s="3" t="str">
        <f>HYPERLINK("https://www.boe.es/gazeta/dias/1821/05/07/pdfs/GMD-1821-129.pdf#page=3","Abrir facsímil")</f>
        <v>Abrir facsímil</v>
      </c>
      <c r="K389" s="3" t="s">
        <v>23</v>
      </c>
    </row>
    <row r="390" spans="1:11" ht="42" customHeight="1">
      <c r="A390" s="2" t="s">
        <v>989</v>
      </c>
      <c r="B390" s="2" t="s">
        <v>990</v>
      </c>
      <c r="C390" s="2" t="s">
        <v>40</v>
      </c>
      <c r="D390" s="2" t="s">
        <v>41</v>
      </c>
      <c r="E390" s="5">
        <v>-28722</v>
      </c>
      <c r="F390" s="3" t="s">
        <v>623</v>
      </c>
      <c r="G390" s="3" t="s">
        <v>52</v>
      </c>
      <c r="H390" s="2" t="s">
        <v>21</v>
      </c>
      <c r="I390" s="2" t="s">
        <v>1041</v>
      </c>
      <c r="J390" s="3" t="str">
        <f>HYPERLINK("https://www.boe.es/gazeta/dias/1821/05/11/pdfs/GMD-1821-133.pdf#page=2","Abrir facsímil")</f>
        <v>Abrir facsímil</v>
      </c>
      <c r="K390" s="3" t="s">
        <v>23</v>
      </c>
    </row>
    <row r="391" spans="1:11" ht="42" customHeight="1">
      <c r="A391" s="2" t="s">
        <v>989</v>
      </c>
      <c r="B391" s="2" t="s">
        <v>990</v>
      </c>
      <c r="C391" s="2" t="s">
        <v>40</v>
      </c>
      <c r="D391" s="2" t="s">
        <v>41</v>
      </c>
      <c r="E391" s="5">
        <v>-28722</v>
      </c>
      <c r="F391" s="3" t="s">
        <v>623</v>
      </c>
      <c r="G391" s="3" t="s">
        <v>20</v>
      </c>
      <c r="H391" s="2" t="s">
        <v>21</v>
      </c>
      <c r="I391" s="2" t="s">
        <v>1042</v>
      </c>
      <c r="J391" s="3" t="str">
        <f>HYPERLINK("https://www.boe.es/gazeta/dias/1821/05/11/pdfs/GMD-1821-133.pdf#page=3","Abrir facsímil")</f>
        <v>Abrir facsímil</v>
      </c>
      <c r="K391" s="3" t="s">
        <v>23</v>
      </c>
    </row>
    <row r="392" spans="1:11" ht="42" customHeight="1">
      <c r="A392" s="2" t="s">
        <v>989</v>
      </c>
      <c r="B392" s="2" t="s">
        <v>990</v>
      </c>
      <c r="C392" s="2" t="s">
        <v>35</v>
      </c>
      <c r="D392" s="2" t="s">
        <v>27</v>
      </c>
      <c r="E392" s="5">
        <v>-28720</v>
      </c>
      <c r="F392" s="3" t="s">
        <v>492</v>
      </c>
      <c r="G392" s="3" t="s">
        <v>20</v>
      </c>
      <c r="H392" s="2" t="s">
        <v>21</v>
      </c>
      <c r="I392" s="2" t="s">
        <v>1043</v>
      </c>
      <c r="J392" s="3" t="str">
        <f>HYPERLINK("https://www.boe.es/gazeta/dias/1821/05/13/pdfs/GMD-1821-135.pdf#page=3","Abrir facsímil")</f>
        <v>Abrir facsímil</v>
      </c>
      <c r="K392" s="3" t="s">
        <v>23</v>
      </c>
    </row>
    <row r="393" spans="1:11" ht="42" customHeight="1">
      <c r="A393" s="2" t="s">
        <v>989</v>
      </c>
      <c r="B393" s="2" t="s">
        <v>990</v>
      </c>
      <c r="C393" s="2" t="s">
        <v>35</v>
      </c>
      <c r="D393" s="2" t="s">
        <v>27</v>
      </c>
      <c r="E393" s="5">
        <v>-28717</v>
      </c>
      <c r="F393" s="3" t="s">
        <v>1044</v>
      </c>
      <c r="G393" s="3" t="s">
        <v>20</v>
      </c>
      <c r="H393" s="2" t="s">
        <v>21</v>
      </c>
      <c r="I393" s="2" t="s">
        <v>1045</v>
      </c>
      <c r="J393" s="3" t="str">
        <f>HYPERLINK("https://www.boe.es/gazeta/dias/1821/05/16/pdfs/GMD-1821-138.pdf#page=3","Abrir facsímil")</f>
        <v>Abrir facsímil</v>
      </c>
      <c r="K393" s="3" t="s">
        <v>23</v>
      </c>
    </row>
    <row r="394" spans="1:11" ht="42" customHeight="1">
      <c r="A394" s="2" t="s">
        <v>989</v>
      </c>
      <c r="B394" s="2" t="s">
        <v>990</v>
      </c>
      <c r="C394" s="2" t="s">
        <v>26</v>
      </c>
      <c r="D394" s="2" t="s">
        <v>27</v>
      </c>
      <c r="E394" s="5">
        <v>-28715</v>
      </c>
      <c r="F394" s="3" t="s">
        <v>1046</v>
      </c>
      <c r="G394" s="3" t="s">
        <v>52</v>
      </c>
      <c r="H394" s="2" t="s">
        <v>21</v>
      </c>
      <c r="I394" s="2" t="s">
        <v>1047</v>
      </c>
      <c r="J394" s="3" t="str">
        <f>HYPERLINK("https://www.boe.es/gazeta/dias/1821/05/18/pdfs/GMD-1821-140.pdf#page=2","Abrir facsímil")</f>
        <v>Abrir facsímil</v>
      </c>
      <c r="K394" s="3" t="s">
        <v>23</v>
      </c>
    </row>
    <row r="395" spans="1:11" ht="42" customHeight="1">
      <c r="A395" s="2" t="s">
        <v>989</v>
      </c>
      <c r="B395" s="2" t="s">
        <v>990</v>
      </c>
      <c r="C395" s="2" t="s">
        <v>35</v>
      </c>
      <c r="D395" s="2" t="s">
        <v>27</v>
      </c>
      <c r="E395" s="5">
        <v>-28711</v>
      </c>
      <c r="F395" s="3" t="s">
        <v>1048</v>
      </c>
      <c r="G395" s="3" t="s">
        <v>52</v>
      </c>
      <c r="H395" s="2" t="s">
        <v>21</v>
      </c>
      <c r="I395" s="2" t="s">
        <v>1049</v>
      </c>
      <c r="J395" s="3" t="str">
        <f>HYPERLINK("https://www.boe.es/gazeta/dias/1821/05/22/pdfs/GMD-1821-144.pdf#page=2","Abrir facsímil")</f>
        <v>Abrir facsímil</v>
      </c>
      <c r="K395" s="3" t="s">
        <v>23</v>
      </c>
    </row>
    <row r="396" spans="1:11" ht="42" customHeight="1">
      <c r="A396" s="2" t="s">
        <v>989</v>
      </c>
      <c r="B396" s="2" t="s">
        <v>990</v>
      </c>
      <c r="C396" s="2" t="s">
        <v>40</v>
      </c>
      <c r="D396" s="2" t="s">
        <v>41</v>
      </c>
      <c r="E396" s="5">
        <v>-28704</v>
      </c>
      <c r="F396" s="3" t="s">
        <v>1050</v>
      </c>
      <c r="G396" s="3" t="s">
        <v>20</v>
      </c>
      <c r="H396" s="2" t="s">
        <v>21</v>
      </c>
      <c r="I396" s="2" t="s">
        <v>1051</v>
      </c>
      <c r="J396" s="3" t="str">
        <f>HYPERLINK("https://www.boe.es/gazeta/dias/1821/05/29/pdfs/GMD-1821-151.pdf#page=3","Abrir facsímil")</f>
        <v>Abrir facsímil</v>
      </c>
      <c r="K396" s="3" t="s">
        <v>23</v>
      </c>
    </row>
    <row r="397" spans="1:11" ht="42" customHeight="1">
      <c r="A397" s="2" t="s">
        <v>989</v>
      </c>
      <c r="B397" s="2" t="s">
        <v>990</v>
      </c>
      <c r="C397" s="2" t="s">
        <v>35</v>
      </c>
      <c r="D397" s="2" t="s">
        <v>27</v>
      </c>
      <c r="E397" s="5">
        <v>-28703</v>
      </c>
      <c r="F397" s="3" t="s">
        <v>231</v>
      </c>
      <c r="G397" s="3" t="s">
        <v>88</v>
      </c>
      <c r="H397" s="2" t="s">
        <v>21</v>
      </c>
      <c r="I397" s="2" t="s">
        <v>1052</v>
      </c>
      <c r="J397" s="3" t="str">
        <f>HYPERLINK("https://www.boe.es/gazeta/dias/1821/05/30/pdfs/GMD-1821-152.pdf#page=4","Abrir facsímil")</f>
        <v>Abrir facsímil</v>
      </c>
      <c r="K397" s="3" t="s">
        <v>23</v>
      </c>
    </row>
    <row r="398" spans="1:11" ht="42" customHeight="1">
      <c r="A398" s="2" t="s">
        <v>989</v>
      </c>
      <c r="B398" s="2" t="s">
        <v>990</v>
      </c>
      <c r="C398" s="2" t="s">
        <v>114</v>
      </c>
      <c r="D398" s="2" t="s">
        <v>27</v>
      </c>
      <c r="E398" s="5">
        <v>-28701</v>
      </c>
      <c r="F398" s="3" t="s">
        <v>202</v>
      </c>
      <c r="G398" s="3" t="s">
        <v>52</v>
      </c>
      <c r="H398" s="2" t="s">
        <v>21</v>
      </c>
      <c r="I398" s="2" t="s">
        <v>1053</v>
      </c>
      <c r="J398" s="3" t="str">
        <f>HYPERLINK("https://www.boe.es/gazeta/dias/1821/06/01/pdfs/GMD-1821-154.pdf#page=2","Abrir facsímil")</f>
        <v>Abrir facsímil</v>
      </c>
      <c r="K398" s="3" t="s">
        <v>23</v>
      </c>
    </row>
    <row r="399" spans="1:11" ht="42" customHeight="1">
      <c r="A399" s="2" t="s">
        <v>989</v>
      </c>
      <c r="B399" s="2" t="s">
        <v>990</v>
      </c>
      <c r="C399" s="2" t="s">
        <v>40</v>
      </c>
      <c r="D399" s="2" t="s">
        <v>41</v>
      </c>
      <c r="E399" s="5">
        <v>-28700</v>
      </c>
      <c r="F399" s="3" t="s">
        <v>701</v>
      </c>
      <c r="G399" s="3" t="s">
        <v>52</v>
      </c>
      <c r="H399" s="2" t="s">
        <v>21</v>
      </c>
      <c r="I399" s="2" t="s">
        <v>1054</v>
      </c>
      <c r="J399" s="3" t="str">
        <f>HYPERLINK("https://www.boe.es/gazeta/dias/1821/06/02/pdfs/GMD-1821-155.pdf#page=2","Abrir facsímil")</f>
        <v>Abrir facsímil</v>
      </c>
      <c r="K399" s="3" t="s">
        <v>23</v>
      </c>
    </row>
    <row r="400" spans="1:11" ht="42" customHeight="1">
      <c r="A400" s="2" t="s">
        <v>989</v>
      </c>
      <c r="B400" s="2" t="s">
        <v>990</v>
      </c>
      <c r="C400" s="2" t="s">
        <v>70</v>
      </c>
      <c r="D400" s="2" t="s">
        <v>27</v>
      </c>
      <c r="E400" s="5">
        <v>-28700</v>
      </c>
      <c r="F400" s="3" t="s">
        <v>701</v>
      </c>
      <c r="G400" s="3" t="s">
        <v>88</v>
      </c>
      <c r="H400" s="2" t="s">
        <v>21</v>
      </c>
      <c r="I400" s="2" t="s">
        <v>1055</v>
      </c>
      <c r="J400" s="3" t="str">
        <f>HYPERLINK("https://www.boe.es/gazeta/dias/1821/06/02/pdfs/GMD-1821-155.pdf#page=4","Abrir facsímil")</f>
        <v>Abrir facsímil</v>
      </c>
      <c r="K400" s="3" t="s">
        <v>23</v>
      </c>
    </row>
    <row r="401" spans="1:11" ht="42" customHeight="1">
      <c r="A401" s="2" t="s">
        <v>998</v>
      </c>
      <c r="B401" s="2" t="s">
        <v>999</v>
      </c>
      <c r="C401" s="2" t="s">
        <v>17</v>
      </c>
      <c r="D401" s="2" t="s">
        <v>18</v>
      </c>
      <c r="E401" s="5">
        <v>-28699</v>
      </c>
      <c r="F401" s="3" t="s">
        <v>280</v>
      </c>
      <c r="G401" s="3" t="s">
        <v>20</v>
      </c>
      <c r="H401" s="2" t="s">
        <v>21</v>
      </c>
      <c r="I401" s="2" t="s">
        <v>1056</v>
      </c>
      <c r="J401" s="3" t="str">
        <f>HYPERLINK("https://www.boe.es/gazeta/dias/1821/06/03/pdfs/GMD-1821-156.pdf#page=3","Abrir facsímil")</f>
        <v>Abrir facsímil</v>
      </c>
      <c r="K401" s="3" t="s">
        <v>23</v>
      </c>
    </row>
    <row r="402" spans="1:11" ht="42" customHeight="1">
      <c r="A402" s="2" t="s">
        <v>989</v>
      </c>
      <c r="B402" s="2" t="s">
        <v>990</v>
      </c>
      <c r="C402" s="2" t="s">
        <v>35</v>
      </c>
      <c r="D402" s="2" t="s">
        <v>27</v>
      </c>
      <c r="E402" s="5">
        <v>-28694</v>
      </c>
      <c r="F402" s="3" t="s">
        <v>1057</v>
      </c>
      <c r="G402" s="3" t="s">
        <v>20</v>
      </c>
      <c r="H402" s="2" t="s">
        <v>21</v>
      </c>
      <c r="I402" s="2" t="s">
        <v>1058</v>
      </c>
      <c r="J402" s="3" t="str">
        <f>HYPERLINK("https://www.boe.es/gazeta/dias/1821/06/08/pdfs/GMD-1821-161.pdf#page=3","Abrir facsímil")</f>
        <v>Abrir facsímil</v>
      </c>
      <c r="K402" s="3" t="s">
        <v>23</v>
      </c>
    </row>
    <row r="403" spans="1:11" ht="42" customHeight="1">
      <c r="A403" s="2" t="s">
        <v>989</v>
      </c>
      <c r="B403" s="2" t="s">
        <v>990</v>
      </c>
      <c r="C403" s="2" t="s">
        <v>35</v>
      </c>
      <c r="D403" s="2" t="s">
        <v>27</v>
      </c>
      <c r="E403" s="5">
        <v>-28687</v>
      </c>
      <c r="F403" s="3" t="s">
        <v>851</v>
      </c>
      <c r="G403" s="3" t="s">
        <v>20</v>
      </c>
      <c r="H403" s="2" t="s">
        <v>21</v>
      </c>
      <c r="I403" s="2" t="s">
        <v>1059</v>
      </c>
      <c r="J403" s="3" t="str">
        <f>HYPERLINK("https://www.boe.es/gazeta/dias/1821/06/15/pdfs/GMD-1821-168.pdf#page=3","Abrir facsímil")</f>
        <v>Abrir facsímil</v>
      </c>
      <c r="K403" s="3" t="s">
        <v>23</v>
      </c>
    </row>
    <row r="404" spans="1:11" ht="42" customHeight="1">
      <c r="A404" s="2" t="s">
        <v>989</v>
      </c>
      <c r="B404" s="2" t="s">
        <v>990</v>
      </c>
      <c r="C404" s="2" t="s">
        <v>26</v>
      </c>
      <c r="D404" s="2" t="s">
        <v>27</v>
      </c>
      <c r="E404" s="5">
        <v>-28686</v>
      </c>
      <c r="F404" s="3" t="s">
        <v>115</v>
      </c>
      <c r="G404" s="3" t="s">
        <v>88</v>
      </c>
      <c r="H404" s="2" t="s">
        <v>21</v>
      </c>
      <c r="I404" s="2" t="s">
        <v>1060</v>
      </c>
      <c r="J404" s="3" t="str">
        <f>HYPERLINK("https://www.boe.es/gazeta/dias/1821/06/16/pdfs/GMD-1821-169.pdf#page=4","Abrir facsímil")</f>
        <v>Abrir facsímil</v>
      </c>
      <c r="K404" s="3" t="s">
        <v>23</v>
      </c>
    </row>
    <row r="405" spans="1:11" ht="42" customHeight="1">
      <c r="A405" s="2" t="s">
        <v>989</v>
      </c>
      <c r="B405" s="2" t="s">
        <v>990</v>
      </c>
      <c r="C405" s="2" t="s">
        <v>35</v>
      </c>
      <c r="D405" s="2" t="s">
        <v>27</v>
      </c>
      <c r="E405" s="5">
        <v>-28685</v>
      </c>
      <c r="F405" s="3" t="s">
        <v>303</v>
      </c>
      <c r="G405" s="3" t="s">
        <v>52</v>
      </c>
      <c r="H405" s="2" t="s">
        <v>21</v>
      </c>
      <c r="I405" s="2" t="s">
        <v>1061</v>
      </c>
      <c r="J405" s="3" t="str">
        <f>HYPERLINK("https://www.boe.es/gazeta/dias/1821/06/17/pdfs/GMD-1821-170.pdf#page=2","Abrir facsímil")</f>
        <v>Abrir facsímil</v>
      </c>
      <c r="K405" s="3" t="s">
        <v>23</v>
      </c>
    </row>
    <row r="406" spans="1:11" ht="42" customHeight="1">
      <c r="A406" s="2" t="s">
        <v>989</v>
      </c>
      <c r="B406" s="2" t="s">
        <v>990</v>
      </c>
      <c r="C406" s="2" t="s">
        <v>17</v>
      </c>
      <c r="D406" s="2" t="s">
        <v>18</v>
      </c>
      <c r="E406" s="5">
        <v>-28685</v>
      </c>
      <c r="F406" s="3" t="s">
        <v>303</v>
      </c>
      <c r="G406" s="3" t="s">
        <v>162</v>
      </c>
      <c r="H406" s="2" t="s">
        <v>21</v>
      </c>
      <c r="I406" s="2" t="s">
        <v>1062</v>
      </c>
      <c r="J406" s="3" t="str">
        <f>HYPERLINK("https://www.boe.es/gazeta/dias/1821/06/17/pdfs/GMD-1821-170.pdf#page=5","Abrir facsímil")</f>
        <v>Abrir facsímil</v>
      </c>
      <c r="K406" s="3" t="s">
        <v>23</v>
      </c>
    </row>
    <row r="407" spans="1:11" ht="42" customHeight="1">
      <c r="A407" s="2" t="s">
        <v>989</v>
      </c>
      <c r="B407" s="2" t="s">
        <v>990</v>
      </c>
      <c r="C407" s="2" t="s">
        <v>40</v>
      </c>
      <c r="D407" s="2" t="s">
        <v>41</v>
      </c>
      <c r="E407" s="5">
        <v>-28684</v>
      </c>
      <c r="F407" s="3" t="s">
        <v>208</v>
      </c>
      <c r="G407" s="3" t="s">
        <v>20</v>
      </c>
      <c r="H407" s="2" t="s">
        <v>21</v>
      </c>
      <c r="I407" s="2" t="s">
        <v>1063</v>
      </c>
      <c r="J407" s="3" t="str">
        <f>HYPERLINK("https://www.boe.es/gazeta/dias/1821/06/18/pdfs/GMD-1821-171.pdf#page=3","Abrir facsímil")</f>
        <v>Abrir facsímil</v>
      </c>
      <c r="K407" s="3" t="s">
        <v>23</v>
      </c>
    </row>
    <row r="408" spans="1:11" ht="42" customHeight="1">
      <c r="A408" s="2" t="s">
        <v>989</v>
      </c>
      <c r="B408" s="2" t="s">
        <v>990</v>
      </c>
      <c r="C408" s="2" t="s">
        <v>26</v>
      </c>
      <c r="D408" s="2" t="s">
        <v>27</v>
      </c>
      <c r="E408" s="5">
        <v>-28682</v>
      </c>
      <c r="F408" s="3" t="s">
        <v>1064</v>
      </c>
      <c r="G408" s="3" t="s">
        <v>162</v>
      </c>
      <c r="H408" s="2" t="s">
        <v>21</v>
      </c>
      <c r="I408" s="2" t="s">
        <v>1065</v>
      </c>
      <c r="J408" s="3" t="str">
        <f>HYPERLINK("https://www.boe.es/gazeta/dias/1821/06/20/pdfs/GMD-1821-173.pdf#page=5","Abrir facsímil")</f>
        <v>Abrir facsímil</v>
      </c>
      <c r="K408" s="3" t="s">
        <v>23</v>
      </c>
    </row>
    <row r="409" spans="1:11" ht="42" customHeight="1">
      <c r="A409" s="2" t="s">
        <v>989</v>
      </c>
      <c r="B409" s="2" t="s">
        <v>990</v>
      </c>
      <c r="C409" s="2" t="s">
        <v>17</v>
      </c>
      <c r="D409" s="2" t="s">
        <v>18</v>
      </c>
      <c r="E409" s="5">
        <v>-28681</v>
      </c>
      <c r="F409" s="3" t="s">
        <v>210</v>
      </c>
      <c r="G409" s="3" t="s">
        <v>88</v>
      </c>
      <c r="H409" s="2" t="s">
        <v>21</v>
      </c>
      <c r="I409" s="2" t="s">
        <v>1066</v>
      </c>
      <c r="J409" s="3" t="str">
        <f>HYPERLINK("https://www.boe.es/gazeta/dias/1821/06/21/pdfs/GMD-1821-174.pdf#page=4","Abrir facsímil")</f>
        <v>Abrir facsímil</v>
      </c>
      <c r="K409" s="3" t="s">
        <v>23</v>
      </c>
    </row>
    <row r="410" spans="1:11" ht="42" customHeight="1">
      <c r="A410" s="2" t="s">
        <v>989</v>
      </c>
      <c r="B410" s="2" t="s">
        <v>990</v>
      </c>
      <c r="C410" s="2" t="s">
        <v>35</v>
      </c>
      <c r="D410" s="2" t="s">
        <v>27</v>
      </c>
      <c r="E410" s="5">
        <v>-28680</v>
      </c>
      <c r="F410" s="3" t="s">
        <v>531</v>
      </c>
      <c r="G410" s="3" t="s">
        <v>52</v>
      </c>
      <c r="H410" s="2" t="s">
        <v>21</v>
      </c>
      <c r="I410" s="2" t="s">
        <v>1067</v>
      </c>
      <c r="J410" s="3" t="str">
        <f>HYPERLINK("https://www.boe.es/gazeta/dias/1821/06/22/pdfs/GMD-1821-175.pdf#page=2","Abrir facsímil")</f>
        <v>Abrir facsímil</v>
      </c>
      <c r="K410" s="3" t="s">
        <v>23</v>
      </c>
    </row>
    <row r="411" spans="1:11" ht="42" customHeight="1">
      <c r="A411" s="2" t="s">
        <v>989</v>
      </c>
      <c r="B411" s="2" t="s">
        <v>990</v>
      </c>
      <c r="C411" s="2" t="s">
        <v>40</v>
      </c>
      <c r="D411" s="2" t="s">
        <v>41</v>
      </c>
      <c r="E411" s="5">
        <v>-28677</v>
      </c>
      <c r="F411" s="3" t="s">
        <v>361</v>
      </c>
      <c r="G411" s="3" t="s">
        <v>162</v>
      </c>
      <c r="H411" s="2" t="s">
        <v>21</v>
      </c>
      <c r="I411" s="2" t="s">
        <v>1068</v>
      </c>
      <c r="J411" s="3" t="str">
        <f>HYPERLINK("https://www.boe.es/gazeta/dias/1821/06/25/pdfs/GMD-1821-178.pdf#page=5","Abrir facsímil")</f>
        <v>Abrir facsímil</v>
      </c>
      <c r="K411" s="3" t="s">
        <v>23</v>
      </c>
    </row>
    <row r="412" spans="1:11" ht="42" customHeight="1">
      <c r="A412" s="2" t="s">
        <v>989</v>
      </c>
      <c r="B412" s="2" t="s">
        <v>990</v>
      </c>
      <c r="C412" s="2" t="s">
        <v>174</v>
      </c>
      <c r="D412" s="2" t="s">
        <v>27</v>
      </c>
      <c r="E412" s="5">
        <v>-28673</v>
      </c>
      <c r="F412" s="3" t="s">
        <v>1069</v>
      </c>
      <c r="G412" s="3" t="s">
        <v>20</v>
      </c>
      <c r="H412" s="2" t="s">
        <v>21</v>
      </c>
      <c r="I412" s="2" t="s">
        <v>1070</v>
      </c>
      <c r="J412" s="3" t="str">
        <f>HYPERLINK("https://www.boe.es/gazeta/dias/1821/06/29/pdfs/GMD-1821-182.pdf#page=3","Abrir facsímil")</f>
        <v>Abrir facsímil</v>
      </c>
      <c r="K412" s="3" t="s">
        <v>23</v>
      </c>
    </row>
    <row r="413" spans="1:11" ht="42" customHeight="1">
      <c r="A413" s="2" t="s">
        <v>989</v>
      </c>
      <c r="B413" s="2" t="s">
        <v>990</v>
      </c>
      <c r="C413" s="2" t="s">
        <v>114</v>
      </c>
      <c r="D413" s="2" t="s">
        <v>27</v>
      </c>
      <c r="E413" s="5">
        <v>-28573</v>
      </c>
      <c r="F413" s="3" t="s">
        <v>19</v>
      </c>
      <c r="G413" s="3" t="s">
        <v>52</v>
      </c>
      <c r="H413" s="2" t="s">
        <v>21</v>
      </c>
      <c r="I413" s="2" t="s">
        <v>1071</v>
      </c>
      <c r="J413" s="3" t="str">
        <f>HYPERLINK("https://www.boe.es/gazeta/dias/1821/10/07/pdfs/GMD-1821-286.pdf#page=2","Abrir facsímil")</f>
        <v>Abrir facsímil</v>
      </c>
      <c r="K413" s="3" t="s">
        <v>23</v>
      </c>
    </row>
    <row r="414" spans="1:11" ht="42" customHeight="1">
      <c r="A414" s="2" t="s">
        <v>989</v>
      </c>
      <c r="B414" s="2" t="s">
        <v>990</v>
      </c>
      <c r="C414" s="2" t="s">
        <v>17</v>
      </c>
      <c r="D414" s="2" t="s">
        <v>18</v>
      </c>
      <c r="E414" s="5">
        <v>-28572</v>
      </c>
      <c r="F414" s="3" t="s">
        <v>1072</v>
      </c>
      <c r="G414" s="3" t="s">
        <v>88</v>
      </c>
      <c r="H414" s="2" t="s">
        <v>21</v>
      </c>
      <c r="I414" s="2" t="s">
        <v>1073</v>
      </c>
      <c r="J414" s="3" t="str">
        <f>HYPERLINK("https://www.boe.es/gazeta/dias/1821/10/08/pdfs/GMD-1821-287.pdf#page=4","Abrir facsímil")</f>
        <v>Abrir facsímil</v>
      </c>
      <c r="K414" s="3" t="s">
        <v>23</v>
      </c>
    </row>
    <row r="415" spans="1:11" ht="42" customHeight="1">
      <c r="A415" s="2" t="s">
        <v>989</v>
      </c>
      <c r="B415" s="2" t="s">
        <v>990</v>
      </c>
      <c r="C415" s="2" t="s">
        <v>17</v>
      </c>
      <c r="D415" s="2" t="s">
        <v>18</v>
      </c>
      <c r="E415" s="5">
        <v>-28571</v>
      </c>
      <c r="F415" s="3" t="s">
        <v>482</v>
      </c>
      <c r="G415" s="3" t="s">
        <v>29</v>
      </c>
      <c r="H415" s="2" t="s">
        <v>21</v>
      </c>
      <c r="I415" s="2" t="s">
        <v>1074</v>
      </c>
      <c r="J415" s="3" t="str">
        <f>HYPERLINK("https://www.boe.es/gazeta/dias/1821/10/09/pdfs/GMD-1821-288.pdf#page=6","Abrir facsímil")</f>
        <v>Abrir facsímil</v>
      </c>
      <c r="K415" s="3" t="s">
        <v>23</v>
      </c>
    </row>
    <row r="416" spans="1:11" ht="42" customHeight="1">
      <c r="A416" s="2" t="s">
        <v>989</v>
      </c>
      <c r="B416" s="2" t="s">
        <v>990</v>
      </c>
      <c r="C416" s="2" t="s">
        <v>114</v>
      </c>
      <c r="D416" s="2" t="s">
        <v>27</v>
      </c>
      <c r="E416" s="5">
        <v>-28569</v>
      </c>
      <c r="F416" s="3" t="s">
        <v>512</v>
      </c>
      <c r="G416" s="3" t="s">
        <v>88</v>
      </c>
      <c r="H416" s="2" t="s">
        <v>21</v>
      </c>
      <c r="I416" s="2" t="s">
        <v>1075</v>
      </c>
      <c r="J416" s="3" t="str">
        <f>HYPERLINK("https://www.boe.es/gazeta/dias/1821/10/11/pdfs/GMD-1821-290.pdf#page=4","Abrir facsímil")</f>
        <v>Abrir facsímil</v>
      </c>
      <c r="K416" s="3" t="s">
        <v>23</v>
      </c>
    </row>
    <row r="417" spans="1:11" ht="42" customHeight="1">
      <c r="A417" s="2" t="s">
        <v>989</v>
      </c>
      <c r="B417" s="2" t="s">
        <v>990</v>
      </c>
      <c r="C417" s="2" t="s">
        <v>35</v>
      </c>
      <c r="D417" s="2" t="s">
        <v>27</v>
      </c>
      <c r="E417" s="5">
        <v>-28567</v>
      </c>
      <c r="F417" s="3" t="s">
        <v>217</v>
      </c>
      <c r="G417" s="3" t="s">
        <v>162</v>
      </c>
      <c r="H417" s="2" t="s">
        <v>21</v>
      </c>
      <c r="I417" s="2" t="s">
        <v>1076</v>
      </c>
      <c r="J417" s="3" t="str">
        <f>HYPERLINK("https://www.boe.es/gazeta/dias/1821/10/13/pdfs/GMD-1821-292.pdf#page=5","Abrir facsímil")</f>
        <v>Abrir facsímil</v>
      </c>
      <c r="K417" s="3" t="s">
        <v>23</v>
      </c>
    </row>
    <row r="418" spans="1:11" ht="42" customHeight="1">
      <c r="A418" s="2" t="s">
        <v>989</v>
      </c>
      <c r="B418" s="2" t="s">
        <v>990</v>
      </c>
      <c r="C418" s="2" t="s">
        <v>114</v>
      </c>
      <c r="D418" s="2" t="s">
        <v>27</v>
      </c>
      <c r="E418" s="5">
        <v>-28564</v>
      </c>
      <c r="F418" s="3" t="s">
        <v>861</v>
      </c>
      <c r="G418" s="3" t="s">
        <v>20</v>
      </c>
      <c r="H418" s="2" t="s">
        <v>21</v>
      </c>
      <c r="I418" s="2" t="s">
        <v>1077</v>
      </c>
      <c r="J418" s="3" t="str">
        <f>HYPERLINK("https://www.boe.es/gazeta/dias/1821/10/16/pdfs/GMD-1821-295.pdf#page=3","Abrir facsímil")</f>
        <v>Abrir facsímil</v>
      </c>
      <c r="K418" s="3" t="s">
        <v>23</v>
      </c>
    </row>
    <row r="419" spans="1:11" ht="42" customHeight="1">
      <c r="A419" s="2" t="s">
        <v>989</v>
      </c>
      <c r="B419" s="2" t="s">
        <v>990</v>
      </c>
      <c r="C419" s="2" t="s">
        <v>17</v>
      </c>
      <c r="D419" s="2" t="s">
        <v>18</v>
      </c>
      <c r="E419" s="5">
        <v>-28559</v>
      </c>
      <c r="F419" s="3" t="s">
        <v>1078</v>
      </c>
      <c r="G419" s="3" t="s">
        <v>162</v>
      </c>
      <c r="H419" s="2" t="s">
        <v>21</v>
      </c>
      <c r="I419" s="2" t="s">
        <v>1079</v>
      </c>
      <c r="J419" s="3" t="str">
        <f>HYPERLINK("https://www.boe.es/gazeta/dias/1821/10/21/pdfs/GMD-1821-300.pdf#page=5","Abrir facsímil")</f>
        <v>Abrir facsímil</v>
      </c>
      <c r="K419" s="3" t="s">
        <v>23</v>
      </c>
    </row>
    <row r="420" spans="1:11" ht="42" customHeight="1">
      <c r="A420" s="2" t="s">
        <v>989</v>
      </c>
      <c r="B420" s="2" t="s">
        <v>990</v>
      </c>
      <c r="C420" s="2" t="s">
        <v>40</v>
      </c>
      <c r="D420" s="2" t="s">
        <v>41</v>
      </c>
      <c r="E420" s="5">
        <v>-28555</v>
      </c>
      <c r="F420" s="3" t="s">
        <v>219</v>
      </c>
      <c r="G420" s="3" t="s">
        <v>88</v>
      </c>
      <c r="H420" s="2" t="s">
        <v>21</v>
      </c>
      <c r="I420" s="2" t="s">
        <v>1080</v>
      </c>
      <c r="J420" s="3" t="str">
        <f>HYPERLINK("https://www.boe.es/gazeta/dias/1821/10/25/pdfs/GMD-1821-304.pdf#page=4","Abrir facsímil")</f>
        <v>Abrir facsímil</v>
      </c>
      <c r="K420" s="3" t="s">
        <v>23</v>
      </c>
    </row>
    <row r="421" spans="1:11" ht="42" customHeight="1">
      <c r="A421" s="2" t="s">
        <v>989</v>
      </c>
      <c r="B421" s="2" t="s">
        <v>990</v>
      </c>
      <c r="C421" s="2" t="s">
        <v>26</v>
      </c>
      <c r="D421" s="2" t="s">
        <v>27</v>
      </c>
      <c r="E421" s="5">
        <v>-28555</v>
      </c>
      <c r="F421" s="3" t="s">
        <v>219</v>
      </c>
      <c r="G421" s="3" t="s">
        <v>162</v>
      </c>
      <c r="H421" s="2" t="s">
        <v>21</v>
      </c>
      <c r="I421" s="2" t="s">
        <v>1081</v>
      </c>
      <c r="J421" s="3" t="str">
        <f>HYPERLINK("https://www.boe.es/gazeta/dias/1821/10/25/pdfs/GMD-1821-304.pdf#page=5","Abrir facsímil")</f>
        <v>Abrir facsímil</v>
      </c>
      <c r="K421" s="3" t="s">
        <v>23</v>
      </c>
    </row>
    <row r="422" spans="1:11" ht="42" customHeight="1">
      <c r="A422" s="2" t="s">
        <v>989</v>
      </c>
      <c r="B422" s="2" t="s">
        <v>990</v>
      </c>
      <c r="C422" s="2" t="s">
        <v>26</v>
      </c>
      <c r="D422" s="2" t="s">
        <v>27</v>
      </c>
      <c r="E422" s="5">
        <v>-28539</v>
      </c>
      <c r="F422" s="3" t="s">
        <v>153</v>
      </c>
      <c r="G422" s="3" t="s">
        <v>88</v>
      </c>
      <c r="H422" s="2" t="s">
        <v>21</v>
      </c>
      <c r="I422" s="2" t="s">
        <v>1082</v>
      </c>
      <c r="J422" s="3" t="str">
        <f>HYPERLINK("https://www.boe.es/gazeta/dias/1821/11/10/pdfs/GMD-1821-321.pdf#page=4","Abrir facsímil")</f>
        <v>Abrir facsímil</v>
      </c>
      <c r="K422" s="3" t="s">
        <v>23</v>
      </c>
    </row>
    <row r="423" spans="1:11" ht="42" customHeight="1">
      <c r="A423" s="2" t="s">
        <v>989</v>
      </c>
      <c r="B423" s="2" t="s">
        <v>990</v>
      </c>
      <c r="C423" s="2" t="s">
        <v>26</v>
      </c>
      <c r="D423" s="2" t="s">
        <v>27</v>
      </c>
      <c r="E423" s="5">
        <v>-28522</v>
      </c>
      <c r="F423" s="3" t="s">
        <v>1083</v>
      </c>
      <c r="G423" s="3" t="s">
        <v>162</v>
      </c>
      <c r="H423" s="2" t="s">
        <v>21</v>
      </c>
      <c r="I423" s="2" t="s">
        <v>1084</v>
      </c>
      <c r="J423" s="3" t="str">
        <f>HYPERLINK("https://www.boe.es/gazeta/dias/1821/11/27/pdfs/GMD-1821-339.pdf#page=5","Abrir facsímil")</f>
        <v>Abrir facsímil</v>
      </c>
      <c r="K423" s="3" t="s">
        <v>23</v>
      </c>
    </row>
    <row r="424" spans="1:11" ht="42" customHeight="1">
      <c r="A424" s="2" t="s">
        <v>989</v>
      </c>
      <c r="B424" s="2" t="s">
        <v>990</v>
      </c>
      <c r="C424" s="2" t="s">
        <v>35</v>
      </c>
      <c r="D424" s="2" t="s">
        <v>27</v>
      </c>
      <c r="E424" s="5">
        <v>-28521</v>
      </c>
      <c r="F424" s="3" t="s">
        <v>499</v>
      </c>
      <c r="G424" s="3" t="s">
        <v>52</v>
      </c>
      <c r="H424" s="2" t="s">
        <v>21</v>
      </c>
      <c r="I424" s="2" t="s">
        <v>1085</v>
      </c>
      <c r="J424" s="3" t="str">
        <f>HYPERLINK("https://www.boe.es/gazeta/dias/1821/11/28/pdfs/GMD-1821-340.pdf#page=2","Abrir facsímil")</f>
        <v>Abrir facsímil</v>
      </c>
      <c r="K424" s="3" t="s">
        <v>23</v>
      </c>
    </row>
    <row r="425" spans="1:11" ht="42" customHeight="1">
      <c r="A425" s="2" t="s">
        <v>989</v>
      </c>
      <c r="B425" s="2" t="s">
        <v>990</v>
      </c>
      <c r="C425" s="2" t="s">
        <v>17</v>
      </c>
      <c r="D425" s="2" t="s">
        <v>18</v>
      </c>
      <c r="E425" s="5">
        <v>-28520</v>
      </c>
      <c r="F425" s="3" t="s">
        <v>878</v>
      </c>
      <c r="G425" s="3" t="s">
        <v>20</v>
      </c>
      <c r="H425" s="2" t="s">
        <v>21</v>
      </c>
      <c r="I425" s="2" t="s">
        <v>1086</v>
      </c>
      <c r="J425" s="3" t="str">
        <f>HYPERLINK("https://www.boe.es/gazeta/dias/1821/11/29/pdfs/GMD-1821-341.pdf#page=3","Abrir facsímil")</f>
        <v>Abrir facsímil</v>
      </c>
      <c r="K425" s="3" t="s">
        <v>23</v>
      </c>
    </row>
    <row r="426" spans="1:11" ht="42" customHeight="1">
      <c r="A426" s="2" t="s">
        <v>1087</v>
      </c>
      <c r="B426" s="2" t="s">
        <v>1088</v>
      </c>
      <c r="C426" s="2" t="s">
        <v>17</v>
      </c>
      <c r="D426" s="2" t="s">
        <v>18</v>
      </c>
      <c r="E426" s="5">
        <v>-28517</v>
      </c>
      <c r="F426" s="3" t="s">
        <v>563</v>
      </c>
      <c r="G426" s="3" t="s">
        <v>88</v>
      </c>
      <c r="H426" s="2" t="s">
        <v>21</v>
      </c>
      <c r="I426" s="2" t="s">
        <v>1089</v>
      </c>
      <c r="J426" s="3" t="str">
        <f>HYPERLINK("https://www.boe.es/gazeta/dias/1821/12/02/pdfs/GMD-1821-344.pdf#page=4","Abrir facsímil")</f>
        <v>Abrir facsímil</v>
      </c>
      <c r="K426" s="3" t="s">
        <v>23</v>
      </c>
    </row>
    <row r="427" spans="1:11" ht="42" customHeight="1">
      <c r="A427" s="2" t="s">
        <v>989</v>
      </c>
      <c r="B427" s="2" t="s">
        <v>990</v>
      </c>
      <c r="C427" s="2" t="s">
        <v>17</v>
      </c>
      <c r="D427" s="2" t="s">
        <v>18</v>
      </c>
      <c r="E427" s="5">
        <v>-28512</v>
      </c>
      <c r="F427" s="3" t="s">
        <v>66</v>
      </c>
      <c r="G427" s="3" t="s">
        <v>52</v>
      </c>
      <c r="H427" s="2" t="s">
        <v>21</v>
      </c>
      <c r="I427" s="2" t="s">
        <v>1090</v>
      </c>
      <c r="J427" s="3" t="str">
        <f>HYPERLINK("https://www.boe.es/gazeta/dias/1821/12/07/pdfs/GMD-1821-349.pdf#page=2","Abrir facsímil")</f>
        <v>Abrir facsímil</v>
      </c>
      <c r="K427" s="3" t="s">
        <v>23</v>
      </c>
    </row>
    <row r="428" spans="1:11" ht="42" customHeight="1">
      <c r="A428" s="2" t="s">
        <v>989</v>
      </c>
      <c r="B428" s="2" t="s">
        <v>990</v>
      </c>
      <c r="C428" s="2" t="s">
        <v>17</v>
      </c>
      <c r="D428" s="2" t="s">
        <v>18</v>
      </c>
      <c r="E428" s="5">
        <v>-28512</v>
      </c>
      <c r="F428" s="3" t="s">
        <v>66</v>
      </c>
      <c r="G428" s="3" t="s">
        <v>20</v>
      </c>
      <c r="H428" s="2" t="s">
        <v>21</v>
      </c>
      <c r="I428" s="2" t="s">
        <v>1091</v>
      </c>
      <c r="J428" s="3" t="str">
        <f>HYPERLINK("https://www.boe.es/gazeta/dias/1821/12/07/pdfs/GMD-1821-349.pdf#page=3","Abrir facsímil")</f>
        <v>Abrir facsímil</v>
      </c>
      <c r="K428" s="3" t="s">
        <v>23</v>
      </c>
    </row>
    <row r="429" spans="1:11" ht="42" customHeight="1">
      <c r="A429" s="2" t="s">
        <v>989</v>
      </c>
      <c r="B429" s="2" t="s">
        <v>990</v>
      </c>
      <c r="C429" s="2" t="s">
        <v>35</v>
      </c>
      <c r="D429" s="2" t="s">
        <v>27</v>
      </c>
      <c r="E429" s="5">
        <v>-28512</v>
      </c>
      <c r="F429" s="3" t="s">
        <v>66</v>
      </c>
      <c r="G429" s="3" t="s">
        <v>88</v>
      </c>
      <c r="H429" s="2" t="s">
        <v>21</v>
      </c>
      <c r="I429" s="2" t="s">
        <v>1092</v>
      </c>
      <c r="J429" s="3" t="str">
        <f>HYPERLINK("https://www.boe.es/gazeta/dias/1821/12/07/pdfs/GMD-1821-349.pdf#page=4","Abrir facsímil")</f>
        <v>Abrir facsímil</v>
      </c>
      <c r="K429" s="3" t="s">
        <v>23</v>
      </c>
    </row>
    <row r="430" spans="1:11" ht="42" customHeight="1">
      <c r="A430" s="2" t="s">
        <v>989</v>
      </c>
      <c r="B430" s="2" t="s">
        <v>990</v>
      </c>
      <c r="C430" s="2" t="s">
        <v>70</v>
      </c>
      <c r="D430" s="2" t="s">
        <v>27</v>
      </c>
      <c r="E430" s="5">
        <v>-28509</v>
      </c>
      <c r="F430" s="3" t="s">
        <v>388</v>
      </c>
      <c r="G430" s="3" t="s">
        <v>29</v>
      </c>
      <c r="H430" s="2" t="s">
        <v>21</v>
      </c>
      <c r="I430" s="2" t="s">
        <v>1093</v>
      </c>
      <c r="J430" s="3" t="str">
        <f>HYPERLINK("https://www.boe.es/gazeta/dias/1821/12/10/pdfs/GMD-1821-352.pdf#page=6","Abrir facsímil")</f>
        <v>Abrir facsímil</v>
      </c>
      <c r="K430" s="3" t="s">
        <v>23</v>
      </c>
    </row>
    <row r="431" spans="1:11" ht="42" customHeight="1">
      <c r="A431" s="2" t="s">
        <v>989</v>
      </c>
      <c r="B431" s="2" t="s">
        <v>990</v>
      </c>
      <c r="C431" s="2" t="s">
        <v>26</v>
      </c>
      <c r="D431" s="2" t="s">
        <v>27</v>
      </c>
      <c r="E431" s="5">
        <v>-28509</v>
      </c>
      <c r="F431" s="3" t="s">
        <v>388</v>
      </c>
      <c r="G431" s="3" t="s">
        <v>609</v>
      </c>
      <c r="H431" s="2" t="s">
        <v>21</v>
      </c>
      <c r="I431" s="2" t="s">
        <v>1094</v>
      </c>
      <c r="J431" s="3" t="str">
        <f>HYPERLINK("https://www.boe.es/gazeta/dias/1821/12/10/pdfs/GMD-1821-352.pdf#page=7","Abrir facsímil")</f>
        <v>Abrir facsímil</v>
      </c>
      <c r="K431" s="3" t="s">
        <v>23</v>
      </c>
    </row>
    <row r="432" spans="1:11" ht="42" customHeight="1">
      <c r="A432" s="2" t="s">
        <v>989</v>
      </c>
      <c r="B432" s="2" t="s">
        <v>990</v>
      </c>
      <c r="C432" s="2" t="s">
        <v>17</v>
      </c>
      <c r="D432" s="2" t="s">
        <v>18</v>
      </c>
      <c r="E432" s="5">
        <v>-28506</v>
      </c>
      <c r="F432" s="3" t="s">
        <v>1095</v>
      </c>
      <c r="G432" s="3" t="s">
        <v>88</v>
      </c>
      <c r="H432" s="2" t="s">
        <v>21</v>
      </c>
      <c r="I432" s="2" t="s">
        <v>1096</v>
      </c>
      <c r="J432" s="3" t="str">
        <f>HYPERLINK("https://www.boe.es/gazeta/dias/1821/12/13/pdfs/GMD-1821-356.pdf#page=4","Abrir facsímil")</f>
        <v>Abrir facsímil</v>
      </c>
      <c r="K432" s="3" t="s">
        <v>23</v>
      </c>
    </row>
    <row r="433" spans="1:11" ht="42" customHeight="1">
      <c r="A433" s="2" t="s">
        <v>989</v>
      </c>
      <c r="B433" s="2" t="s">
        <v>990</v>
      </c>
      <c r="C433" s="2" t="s">
        <v>26</v>
      </c>
      <c r="D433" s="2" t="s">
        <v>27</v>
      </c>
      <c r="E433" s="5">
        <v>-28505</v>
      </c>
      <c r="F433" s="3" t="s">
        <v>567</v>
      </c>
      <c r="G433" s="3" t="s">
        <v>43</v>
      </c>
      <c r="H433" s="2" t="s">
        <v>21</v>
      </c>
      <c r="I433" s="2" t="s">
        <v>1097</v>
      </c>
      <c r="J433" s="3" t="str">
        <f>HYPERLINK("https://www.boe.es/gazeta/dias/1821/12/14/pdfs/GMD-1821-357.pdf#page=1","Abrir facsímil")</f>
        <v>Abrir facsímil</v>
      </c>
      <c r="K433" s="3" t="s">
        <v>23</v>
      </c>
    </row>
    <row r="434" spans="1:11" ht="42" customHeight="1">
      <c r="A434" s="2" t="s">
        <v>989</v>
      </c>
      <c r="B434" s="2" t="s">
        <v>990</v>
      </c>
      <c r="C434" s="2" t="s">
        <v>17</v>
      </c>
      <c r="D434" s="2" t="s">
        <v>18</v>
      </c>
      <c r="E434" s="5">
        <v>-28504</v>
      </c>
      <c r="F434" s="3" t="s">
        <v>1098</v>
      </c>
      <c r="G434" s="3" t="s">
        <v>609</v>
      </c>
      <c r="H434" s="2" t="s">
        <v>21</v>
      </c>
      <c r="I434" s="2" t="s">
        <v>1099</v>
      </c>
      <c r="J434" s="3" t="str">
        <f>HYPERLINK("https://www.boe.es/gazeta/dias/1821/12/15/pdfs/GMD-1821-358.pdf#page=7","Abrir facsímil")</f>
        <v>Abrir facsímil</v>
      </c>
      <c r="K434" s="3" t="s">
        <v>23</v>
      </c>
    </row>
    <row r="435" spans="1:11" ht="42" customHeight="1">
      <c r="A435" s="2" t="s">
        <v>989</v>
      </c>
      <c r="B435" s="2" t="s">
        <v>990</v>
      </c>
      <c r="C435" s="2" t="s">
        <v>17</v>
      </c>
      <c r="D435" s="2" t="s">
        <v>18</v>
      </c>
      <c r="E435" s="5">
        <v>-28503</v>
      </c>
      <c r="F435" s="3" t="s">
        <v>947</v>
      </c>
      <c r="G435" s="3" t="s">
        <v>52</v>
      </c>
      <c r="H435" s="2" t="s">
        <v>21</v>
      </c>
      <c r="I435" s="2" t="s">
        <v>1100</v>
      </c>
      <c r="J435" s="3" t="str">
        <f>HYPERLINK("https://www.boe.es/gazeta/dias/1821/12/16/pdfs/GMD-1821-359.pdf#page=2","Abrir facsímil")</f>
        <v>Abrir facsímil</v>
      </c>
      <c r="K435" s="3" t="s">
        <v>23</v>
      </c>
    </row>
    <row r="436" spans="1:11" ht="42" customHeight="1">
      <c r="A436" s="2" t="s">
        <v>989</v>
      </c>
      <c r="B436" s="2" t="s">
        <v>990</v>
      </c>
      <c r="C436" s="2" t="s">
        <v>17</v>
      </c>
      <c r="D436" s="2" t="s">
        <v>18</v>
      </c>
      <c r="E436" s="5">
        <v>-28503</v>
      </c>
      <c r="F436" s="3" t="s">
        <v>947</v>
      </c>
      <c r="G436" s="3" t="s">
        <v>20</v>
      </c>
      <c r="H436" s="2" t="s">
        <v>21</v>
      </c>
      <c r="I436" s="2" t="s">
        <v>1101</v>
      </c>
      <c r="J436" s="3" t="str">
        <f>HYPERLINK("https://www.boe.es/gazeta/dias/1821/12/16/pdfs/GMD-1821-359.pdf#page=3","Abrir facsímil")</f>
        <v>Abrir facsímil</v>
      </c>
      <c r="K436" s="3" t="s">
        <v>23</v>
      </c>
    </row>
    <row r="437" spans="1:11" ht="42" customHeight="1">
      <c r="A437" s="2" t="s">
        <v>989</v>
      </c>
      <c r="B437" s="2" t="s">
        <v>990</v>
      </c>
      <c r="C437" s="2" t="s">
        <v>17</v>
      </c>
      <c r="D437" s="2" t="s">
        <v>18</v>
      </c>
      <c r="E437" s="5">
        <v>-28503</v>
      </c>
      <c r="F437" s="3" t="s">
        <v>947</v>
      </c>
      <c r="G437" s="3" t="s">
        <v>88</v>
      </c>
      <c r="H437" s="2" t="s">
        <v>21</v>
      </c>
      <c r="I437" s="2" t="s">
        <v>1102</v>
      </c>
      <c r="J437" s="3" t="str">
        <f>HYPERLINK("https://www.boe.es/gazeta/dias/1821/12/16/pdfs/GMD-1821-359.pdf#page=4","Abrir facsímil")</f>
        <v>Abrir facsímil</v>
      </c>
      <c r="K437" s="3" t="s">
        <v>23</v>
      </c>
    </row>
    <row r="438" spans="1:11" ht="42" customHeight="1">
      <c r="A438" s="2" t="s">
        <v>989</v>
      </c>
      <c r="B438" s="2" t="s">
        <v>990</v>
      </c>
      <c r="C438" s="2" t="s">
        <v>70</v>
      </c>
      <c r="D438" s="2" t="s">
        <v>27</v>
      </c>
      <c r="E438" s="5">
        <v>-28499</v>
      </c>
      <c r="F438" s="3" t="s">
        <v>954</v>
      </c>
      <c r="G438" s="3" t="s">
        <v>20</v>
      </c>
      <c r="H438" s="2" t="s">
        <v>21</v>
      </c>
      <c r="I438" s="2" t="s">
        <v>1103</v>
      </c>
      <c r="J438" s="3" t="str">
        <f>HYPERLINK("https://www.boe.es/gazeta/dias/1821/12/20/pdfs/GMD-1821-363.pdf#page=3","Abrir facsímil")</f>
        <v>Abrir facsímil</v>
      </c>
      <c r="K438" s="3" t="s">
        <v>23</v>
      </c>
    </row>
    <row r="439" spans="1:11" ht="42" customHeight="1">
      <c r="A439" s="2" t="s">
        <v>989</v>
      </c>
      <c r="B439" s="2" t="s">
        <v>990</v>
      </c>
      <c r="C439" s="2" t="s">
        <v>40</v>
      </c>
      <c r="D439" s="2" t="s">
        <v>41</v>
      </c>
      <c r="E439" s="5">
        <v>-28499</v>
      </c>
      <c r="F439" s="3" t="s">
        <v>954</v>
      </c>
      <c r="G439" s="3" t="s">
        <v>88</v>
      </c>
      <c r="H439" s="2" t="s">
        <v>21</v>
      </c>
      <c r="I439" s="2" t="s">
        <v>1104</v>
      </c>
      <c r="J439" s="3" t="str">
        <f>HYPERLINK("https://www.boe.es/gazeta/dias/1821/12/20/pdfs/GMD-1821-363.pdf#page=4","Abrir facsímil")</f>
        <v>Abrir facsímil</v>
      </c>
      <c r="K439" s="3" t="s">
        <v>23</v>
      </c>
    </row>
    <row r="440" spans="1:11" ht="42" customHeight="1">
      <c r="A440" s="2" t="s">
        <v>989</v>
      </c>
      <c r="B440" s="2" t="s">
        <v>990</v>
      </c>
      <c r="C440" s="2" t="s">
        <v>26</v>
      </c>
      <c r="D440" s="2" t="s">
        <v>27</v>
      </c>
      <c r="E440" s="5">
        <v>-28498</v>
      </c>
      <c r="F440" s="3" t="s">
        <v>447</v>
      </c>
      <c r="G440" s="3" t="s">
        <v>88</v>
      </c>
      <c r="H440" s="2" t="s">
        <v>21</v>
      </c>
      <c r="I440" s="2" t="s">
        <v>1105</v>
      </c>
      <c r="J440" s="3" t="str">
        <f>HYPERLINK("https://www.boe.es/gazeta/dias/1821/12/21/pdfs/GMD-1821-364.pdf#page=4","Abrir facsímil")</f>
        <v>Abrir facsímil</v>
      </c>
      <c r="K440" s="3" t="s">
        <v>23</v>
      </c>
    </row>
    <row r="441" spans="1:11" ht="42" customHeight="1">
      <c r="A441" s="2" t="s">
        <v>989</v>
      </c>
      <c r="B441" s="2" t="s">
        <v>990</v>
      </c>
      <c r="C441" s="2" t="s">
        <v>35</v>
      </c>
      <c r="D441" s="2" t="s">
        <v>27</v>
      </c>
      <c r="E441" s="5">
        <v>-28495</v>
      </c>
      <c r="F441" s="3" t="s">
        <v>227</v>
      </c>
      <c r="G441" s="3" t="s">
        <v>29</v>
      </c>
      <c r="H441" s="2" t="s">
        <v>21</v>
      </c>
      <c r="I441" s="2" t="s">
        <v>1106</v>
      </c>
      <c r="J441" s="3" t="str">
        <f>HYPERLINK("https://www.boe.es/gazeta/dias/1821/12/24/pdfs/GMD-1821-367.pdf#page=6","Abrir facsímil")</f>
        <v>Abrir facsímil</v>
      </c>
      <c r="K441" s="3" t="s">
        <v>23</v>
      </c>
    </row>
    <row r="442" spans="1:11" ht="42" customHeight="1">
      <c r="A442" s="2" t="s">
        <v>989</v>
      </c>
      <c r="B442" s="2" t="s">
        <v>990</v>
      </c>
      <c r="C442" s="2" t="s">
        <v>17</v>
      </c>
      <c r="D442" s="2" t="s">
        <v>18</v>
      </c>
      <c r="E442" s="5">
        <v>-28495</v>
      </c>
      <c r="F442" s="3" t="s">
        <v>227</v>
      </c>
      <c r="G442" s="3" t="s">
        <v>609</v>
      </c>
      <c r="H442" s="2" t="s">
        <v>21</v>
      </c>
      <c r="I442" s="2" t="s">
        <v>1107</v>
      </c>
      <c r="J442" s="3" t="str">
        <f>HYPERLINK("https://www.boe.es/gazeta/dias/1821/12/24/pdfs/GMD-1821-367.pdf#page=7","Abrir facsímil")</f>
        <v>Abrir facsímil</v>
      </c>
      <c r="K442" s="3" t="s">
        <v>23</v>
      </c>
    </row>
    <row r="443" spans="1:11" ht="42" customHeight="1">
      <c r="A443" s="2" t="s">
        <v>989</v>
      </c>
      <c r="B443" s="2" t="s">
        <v>990</v>
      </c>
      <c r="C443" s="2" t="s">
        <v>17</v>
      </c>
      <c r="D443" s="2" t="s">
        <v>18</v>
      </c>
      <c r="E443" s="5">
        <v>-28495</v>
      </c>
      <c r="F443" s="3" t="s">
        <v>227</v>
      </c>
      <c r="G443" s="3" t="s">
        <v>333</v>
      </c>
      <c r="H443" s="2" t="s">
        <v>21</v>
      </c>
      <c r="I443" s="2" t="s">
        <v>1108</v>
      </c>
      <c r="J443" s="3" t="str">
        <f>HYPERLINK("https://www.boe.es/gazeta/dias/1821/12/24/pdfs/GMD-1821-367.pdf#page=8","Abrir facsímil")</f>
        <v>Abrir facsímil</v>
      </c>
      <c r="K443" s="3" t="s">
        <v>23</v>
      </c>
    </row>
    <row r="444" spans="1:11" ht="42" customHeight="1">
      <c r="A444" s="2" t="s">
        <v>1109</v>
      </c>
      <c r="B444" s="2" t="s">
        <v>1110</v>
      </c>
      <c r="C444" s="2" t="s">
        <v>174</v>
      </c>
      <c r="D444" s="2" t="s">
        <v>27</v>
      </c>
      <c r="E444" s="5">
        <v>-28509</v>
      </c>
      <c r="F444" s="3" t="s">
        <v>388</v>
      </c>
      <c r="G444" s="3" t="s">
        <v>609</v>
      </c>
      <c r="H444" s="2" t="s">
        <v>21</v>
      </c>
      <c r="I444" s="2" t="s">
        <v>1111</v>
      </c>
      <c r="J444" s="3" t="str">
        <f>HYPERLINK("https://www.boe.es/gazeta/dias/1821/12/10/pdfs/GMD-1821-352.pdf#page=7","Abrir facsímil")</f>
        <v>Abrir facsímil</v>
      </c>
      <c r="K444" s="3" t="s">
        <v>23</v>
      </c>
    </row>
    <row r="445" spans="1:11" ht="42" customHeight="1">
      <c r="A445" s="2" t="s">
        <v>1112</v>
      </c>
      <c r="B445" s="2" t="s">
        <v>1113</v>
      </c>
      <c r="C445" s="2" t="s">
        <v>26</v>
      </c>
      <c r="D445" s="2" t="s">
        <v>27</v>
      </c>
      <c r="E445" s="5">
        <v>-28768</v>
      </c>
      <c r="F445" s="3" t="s">
        <v>1114</v>
      </c>
      <c r="G445" s="3" t="s">
        <v>20</v>
      </c>
      <c r="H445" s="2" t="s">
        <v>21</v>
      </c>
      <c r="I445" s="2" t="s">
        <v>1115</v>
      </c>
      <c r="J445" s="3" t="str">
        <f>HYPERLINK("https://www.boe.es/gazeta/dias/1821/03/26/pdfs/GMD-1821-86.pdf#page=3","Abrir facsímil")</f>
        <v>Abrir facsímil</v>
      </c>
      <c r="K445" s="3" t="s">
        <v>23</v>
      </c>
    </row>
    <row r="446" spans="1:11" ht="42" customHeight="1">
      <c r="A446" s="2" t="s">
        <v>1116</v>
      </c>
      <c r="B446" s="2" t="s">
        <v>1117</v>
      </c>
      <c r="C446" s="2" t="s">
        <v>494</v>
      </c>
      <c r="D446" s="2" t="s">
        <v>18</v>
      </c>
      <c r="E446" s="5">
        <v>-28711</v>
      </c>
      <c r="F446" s="3" t="s">
        <v>1048</v>
      </c>
      <c r="G446" s="3" t="s">
        <v>20</v>
      </c>
      <c r="H446" s="2" t="s">
        <v>21</v>
      </c>
      <c r="I446" s="2" t="s">
        <v>1118</v>
      </c>
      <c r="J446" s="3" t="str">
        <f>HYPERLINK("https://www.boe.es/gazeta/dias/1821/05/22/pdfs/GMD-1821-144.pdf#page=3","Abrir facsímil")</f>
        <v>Abrir facsímil</v>
      </c>
      <c r="K446" s="3" t="s">
        <v>23</v>
      </c>
    </row>
    <row r="447" spans="1:11" ht="42" customHeight="1">
      <c r="A447" s="2" t="s">
        <v>1119</v>
      </c>
      <c r="B447" s="2" t="s">
        <v>1120</v>
      </c>
      <c r="C447" s="2" t="s">
        <v>35</v>
      </c>
      <c r="D447" s="2" t="s">
        <v>27</v>
      </c>
      <c r="E447" s="5">
        <v>-28503</v>
      </c>
      <c r="F447" s="3" t="s">
        <v>947</v>
      </c>
      <c r="G447" s="3" t="s">
        <v>52</v>
      </c>
      <c r="H447" s="2" t="s">
        <v>21</v>
      </c>
      <c r="I447" s="2" t="s">
        <v>1121</v>
      </c>
      <c r="J447" s="3" t="str">
        <f>HYPERLINK("https://www.boe.es/gazeta/dias/1821/12/16/pdfs/GMD-1821-359.pdf#page=2","Abrir facsímil")</f>
        <v>Abrir facsímil</v>
      </c>
      <c r="K447" s="3" t="s">
        <v>23</v>
      </c>
    </row>
    <row r="448" spans="1:11" ht="42" customHeight="1">
      <c r="A448" s="2" t="s">
        <v>1122</v>
      </c>
      <c r="B448" s="2" t="s">
        <v>1123</v>
      </c>
      <c r="C448" s="2" t="s">
        <v>70</v>
      </c>
      <c r="D448" s="2" t="s">
        <v>27</v>
      </c>
      <c r="E448" s="5">
        <v>-28498</v>
      </c>
      <c r="F448" s="3" t="s">
        <v>447</v>
      </c>
      <c r="G448" s="3" t="s">
        <v>88</v>
      </c>
      <c r="H448" s="2" t="s">
        <v>21</v>
      </c>
      <c r="I448" s="2" t="s">
        <v>1124</v>
      </c>
      <c r="J448" s="3" t="str">
        <f>HYPERLINK("https://www.boe.es/gazeta/dias/1821/12/21/pdfs/GMD-1821-364.pdf#page=4","Abrir facsímil")</f>
        <v>Abrir facsímil</v>
      </c>
      <c r="K448" s="3" t="s">
        <v>23</v>
      </c>
    </row>
    <row r="449" spans="1:11" ht="42" customHeight="1">
      <c r="A449" s="2" t="s">
        <v>1125</v>
      </c>
      <c r="B449" s="2" t="s">
        <v>1126</v>
      </c>
      <c r="C449" s="2" t="s">
        <v>26</v>
      </c>
      <c r="D449" s="2" t="s">
        <v>27</v>
      </c>
      <c r="E449" s="5">
        <v>-28536</v>
      </c>
      <c r="F449" s="3" t="s">
        <v>553</v>
      </c>
      <c r="G449" s="3" t="s">
        <v>20</v>
      </c>
      <c r="H449" s="2" t="s">
        <v>21</v>
      </c>
      <c r="I449" s="2" t="s">
        <v>1127</v>
      </c>
      <c r="J449" s="3" t="str">
        <f>HYPERLINK("https://www.boe.es/gazeta/dias/1821/11/13/pdfs/GMD-1821-324.pdf#page=3","Abrir facsímil")</f>
        <v>Abrir facsímil</v>
      </c>
      <c r="K449" s="3" t="s">
        <v>23</v>
      </c>
    </row>
    <row r="450" spans="1:11" ht="42" customHeight="1">
      <c r="A450" s="2" t="s">
        <v>1128</v>
      </c>
      <c r="B450" s="2" t="s">
        <v>1129</v>
      </c>
      <c r="C450" s="2" t="s">
        <v>17</v>
      </c>
      <c r="D450" s="2" t="s">
        <v>18</v>
      </c>
      <c r="E450" s="5">
        <v>-28760</v>
      </c>
      <c r="F450" s="3" t="s">
        <v>170</v>
      </c>
      <c r="G450" s="3" t="s">
        <v>52</v>
      </c>
      <c r="H450" s="2" t="s">
        <v>21</v>
      </c>
      <c r="I450" s="2" t="s">
        <v>1130</v>
      </c>
      <c r="J450" s="3" t="str">
        <f>HYPERLINK("https://www.boe.es/gazeta/dias/1821/04/03/pdfs/GMD-1821-95.pdf#page=2","Abrir facsímil")</f>
        <v>Abrir facsímil</v>
      </c>
      <c r="K450" s="3" t="s">
        <v>23</v>
      </c>
    </row>
    <row r="451" spans="1:11" ht="42" customHeight="1">
      <c r="A451" s="2" t="s">
        <v>1131</v>
      </c>
      <c r="B451" s="2" t="s">
        <v>1132</v>
      </c>
      <c r="C451" s="2" t="s">
        <v>17</v>
      </c>
      <c r="D451" s="2" t="s">
        <v>18</v>
      </c>
      <c r="E451" s="5">
        <v>-28617</v>
      </c>
      <c r="F451" s="3" t="s">
        <v>436</v>
      </c>
      <c r="G451" s="3" t="s">
        <v>20</v>
      </c>
      <c r="H451" s="2" t="s">
        <v>21</v>
      </c>
      <c r="I451" s="2" t="s">
        <v>1133</v>
      </c>
      <c r="J451" s="3" t="str">
        <f>HYPERLINK("https://www.boe.es/gazeta/dias/1821/08/24/pdfs/GMD-1821-241.pdf#page=3","Abrir facsímil")</f>
        <v>Abrir facsímil</v>
      </c>
      <c r="K451" s="3" t="s">
        <v>23</v>
      </c>
    </row>
    <row r="452" spans="1:11" ht="42" customHeight="1">
      <c r="A452" s="2" t="s">
        <v>1134</v>
      </c>
      <c r="B452" s="2" t="s">
        <v>1134</v>
      </c>
      <c r="C452" s="2" t="s">
        <v>35</v>
      </c>
      <c r="D452" s="2" t="s">
        <v>27</v>
      </c>
      <c r="E452" s="5">
        <v>-28565</v>
      </c>
      <c r="F452" s="3" t="s">
        <v>326</v>
      </c>
      <c r="G452" s="3" t="s">
        <v>20</v>
      </c>
      <c r="H452" s="2" t="s">
        <v>21</v>
      </c>
      <c r="I452" s="2" t="s">
        <v>1135</v>
      </c>
      <c r="J452" s="3" t="str">
        <f>HYPERLINK("https://www.boe.es/gazeta/dias/1821/10/15/pdfs/GMD-1821-294.pdf#page=3","Abrir facsímil")</f>
        <v>Abrir facsímil</v>
      </c>
      <c r="K452" s="3" t="s">
        <v>23</v>
      </c>
    </row>
    <row r="453" spans="1:11" ht="42" customHeight="1">
      <c r="A453" s="2" t="s">
        <v>1136</v>
      </c>
      <c r="B453" s="2" t="s">
        <v>1137</v>
      </c>
      <c r="C453" s="2" t="s">
        <v>70</v>
      </c>
      <c r="D453" s="2" t="s">
        <v>27</v>
      </c>
      <c r="E453" s="5">
        <v>-28696</v>
      </c>
      <c r="F453" s="3" t="s">
        <v>497</v>
      </c>
      <c r="G453" s="3" t="s">
        <v>52</v>
      </c>
      <c r="H453" s="2" t="s">
        <v>21</v>
      </c>
      <c r="I453" s="2" t="s">
        <v>1138</v>
      </c>
      <c r="J453" s="3" t="str">
        <f>HYPERLINK("https://www.boe.es/gazeta/dias/1821/06/06/pdfs/GMD-1821-159.pdf#page=2","Abrir facsímil")</f>
        <v>Abrir facsímil</v>
      </c>
      <c r="K453" s="3" t="s">
        <v>23</v>
      </c>
    </row>
    <row r="454" spans="1:11" ht="42" customHeight="1">
      <c r="A454" s="2" t="s">
        <v>1139</v>
      </c>
      <c r="B454" s="2" t="s">
        <v>1139</v>
      </c>
      <c r="C454" s="2" t="s">
        <v>114</v>
      </c>
      <c r="D454" s="2" t="s">
        <v>27</v>
      </c>
      <c r="E454" s="5">
        <v>-28638</v>
      </c>
      <c r="F454" s="3" t="s">
        <v>736</v>
      </c>
      <c r="G454" s="3" t="s">
        <v>43</v>
      </c>
      <c r="H454" s="2" t="s">
        <v>21</v>
      </c>
      <c r="I454" s="2" t="s">
        <v>1140</v>
      </c>
      <c r="J454" s="3" t="str">
        <f>HYPERLINK("https://www.boe.es/gazeta/dias/1821/08/03/pdfs/GMD-1821-219.pdf#page=1","Abrir facsímil")</f>
        <v>Abrir facsímil</v>
      </c>
      <c r="K454" s="3" t="s">
        <v>23</v>
      </c>
    </row>
    <row r="455" spans="1:11" ht="42" customHeight="1">
      <c r="A455" s="2" t="s">
        <v>1141</v>
      </c>
      <c r="B455" s="2" t="s">
        <v>1142</v>
      </c>
      <c r="C455" s="2" t="s">
        <v>70</v>
      </c>
      <c r="D455" s="2" t="s">
        <v>27</v>
      </c>
      <c r="E455" s="5">
        <v>-28579</v>
      </c>
      <c r="F455" s="3" t="s">
        <v>743</v>
      </c>
      <c r="G455" s="3" t="s">
        <v>52</v>
      </c>
      <c r="H455" s="2" t="s">
        <v>21</v>
      </c>
      <c r="I455" s="2" t="s">
        <v>1143</v>
      </c>
      <c r="J455" s="3" t="str">
        <f>HYPERLINK("https://www.boe.es/gazeta/dias/1821/10/01/pdfs/GMD-1821-280.pdf#page=2","Abrir facsímil")</f>
        <v>Abrir facsímil</v>
      </c>
      <c r="K455" s="3" t="s">
        <v>23</v>
      </c>
    </row>
    <row r="456" spans="1:11" ht="42" customHeight="1">
      <c r="A456" s="2" t="s">
        <v>1144</v>
      </c>
      <c r="B456" s="2" t="s">
        <v>1144</v>
      </c>
      <c r="C456" s="2" t="s">
        <v>40</v>
      </c>
      <c r="D456" s="2" t="s">
        <v>41</v>
      </c>
      <c r="E456" s="5">
        <v>-28763</v>
      </c>
      <c r="F456" s="3" t="s">
        <v>1145</v>
      </c>
      <c r="G456" s="3" t="s">
        <v>88</v>
      </c>
      <c r="H456" s="2" t="s">
        <v>21</v>
      </c>
      <c r="I456" s="2" t="s">
        <v>1146</v>
      </c>
      <c r="J456" s="3" t="str">
        <f>HYPERLINK("https://www.boe.es/gazeta/dias/1821/03/31/pdfs/GMD-1821-92.pdf#page=4","Abrir facsímil")</f>
        <v>Abrir facsímil</v>
      </c>
      <c r="K456" s="3" t="s">
        <v>23</v>
      </c>
    </row>
    <row r="457" spans="1:11" ht="42" customHeight="1">
      <c r="A457" s="2" t="s">
        <v>1147</v>
      </c>
      <c r="B457" s="2" t="s">
        <v>1148</v>
      </c>
      <c r="C457" s="2" t="s">
        <v>26</v>
      </c>
      <c r="D457" s="2" t="s">
        <v>27</v>
      </c>
      <c r="E457" s="5">
        <v>-28560</v>
      </c>
      <c r="F457" s="3" t="s">
        <v>363</v>
      </c>
      <c r="G457" s="3" t="s">
        <v>162</v>
      </c>
      <c r="H457" s="2" t="s">
        <v>21</v>
      </c>
      <c r="I457" s="2" t="s">
        <v>1149</v>
      </c>
      <c r="J457" s="3" t="str">
        <f>HYPERLINK("https://www.boe.es/gazeta/dias/1821/10/20/pdfs/GMD-1821-299.pdf#page=5","Abrir facsímil")</f>
        <v>Abrir facsímil</v>
      </c>
      <c r="K457" s="3" t="s">
        <v>23</v>
      </c>
    </row>
    <row r="458" spans="1:11" ht="42" customHeight="1">
      <c r="A458" s="2" t="s">
        <v>1150</v>
      </c>
      <c r="B458" s="2" t="s">
        <v>1151</v>
      </c>
      <c r="C458" s="2" t="s">
        <v>70</v>
      </c>
      <c r="D458" s="2" t="s">
        <v>27</v>
      </c>
      <c r="E458" s="5">
        <v>-28840</v>
      </c>
      <c r="F458" s="3" t="s">
        <v>161</v>
      </c>
      <c r="G458" s="3" t="s">
        <v>162</v>
      </c>
      <c r="H458" s="2" t="s">
        <v>21</v>
      </c>
      <c r="I458" s="2" t="s">
        <v>1152</v>
      </c>
      <c r="J458" s="3" t="str">
        <f>HYPERLINK("https://www.boe.es/gazeta/dias/1821/01/13/pdfs/GGB-1821-13.pdf#page=5","Abrir facsímil")</f>
        <v>Abrir facsímil</v>
      </c>
      <c r="K458" s="3" t="s">
        <v>23</v>
      </c>
    </row>
    <row r="459" spans="1:11" ht="42" customHeight="1">
      <c r="A459" s="2" t="s">
        <v>1153</v>
      </c>
      <c r="B459" s="2" t="s">
        <v>1154</v>
      </c>
      <c r="C459" s="2" t="s">
        <v>17</v>
      </c>
      <c r="D459" s="2" t="s">
        <v>18</v>
      </c>
      <c r="E459" s="5">
        <v>-28746</v>
      </c>
      <c r="F459" s="3" t="s">
        <v>687</v>
      </c>
      <c r="G459" s="3" t="s">
        <v>162</v>
      </c>
      <c r="H459" s="2" t="s">
        <v>21</v>
      </c>
      <c r="I459" s="2" t="s">
        <v>1155</v>
      </c>
      <c r="J459" s="3" t="str">
        <f>HYPERLINK("https://www.boe.es/gazeta/dias/1821/04/17/pdfs/GMD-1821-109.pdf#page=5","Abrir facsímil")</f>
        <v>Abrir facsímil</v>
      </c>
      <c r="K459" s="3" t="s">
        <v>23</v>
      </c>
    </row>
    <row r="460" spans="1:11" ht="42" customHeight="1">
      <c r="A460" s="2" t="s">
        <v>1156</v>
      </c>
      <c r="B460" s="2" t="s">
        <v>1157</v>
      </c>
      <c r="C460" s="2" t="s">
        <v>40</v>
      </c>
      <c r="D460" s="2" t="s">
        <v>41</v>
      </c>
      <c r="E460" s="5">
        <v>-28507</v>
      </c>
      <c r="F460" s="3" t="s">
        <v>1158</v>
      </c>
      <c r="G460" s="3" t="s">
        <v>52</v>
      </c>
      <c r="H460" s="2" t="s">
        <v>21</v>
      </c>
      <c r="I460" s="2" t="s">
        <v>1159</v>
      </c>
      <c r="J460" s="3" t="str">
        <f>HYPERLINK("https://www.boe.es/gazeta/dias/1821/12/12/pdfs/GMD-1821-354.pdf#page=2","Abrir facsímil")</f>
        <v>Abrir facsímil</v>
      </c>
      <c r="K460" s="3" t="s">
        <v>23</v>
      </c>
    </row>
    <row r="461" spans="1:11" ht="42" customHeight="1">
      <c r="A461" s="2" t="s">
        <v>1160</v>
      </c>
      <c r="B461" s="2" t="s">
        <v>1161</v>
      </c>
      <c r="C461" s="2" t="s">
        <v>40</v>
      </c>
      <c r="D461" s="2" t="s">
        <v>41</v>
      </c>
      <c r="E461" s="5">
        <v>-28776</v>
      </c>
      <c r="F461" s="3" t="s">
        <v>312</v>
      </c>
      <c r="G461" s="3" t="s">
        <v>88</v>
      </c>
      <c r="H461" s="2" t="s">
        <v>21</v>
      </c>
      <c r="I461" s="2" t="s">
        <v>1162</v>
      </c>
      <c r="J461" s="3" t="str">
        <f>HYPERLINK("https://www.boe.es/gazeta/dias/1821/03/18/pdfs/GMD-1821-77.pdf#page=4","Abrir facsímil")</f>
        <v>Abrir facsímil</v>
      </c>
      <c r="K461" s="3" t="s">
        <v>23</v>
      </c>
    </row>
    <row r="462" spans="1:11" ht="42" customHeight="1">
      <c r="A462" s="2" t="s">
        <v>1163</v>
      </c>
      <c r="B462" s="2" t="s">
        <v>1164</v>
      </c>
      <c r="C462" s="2" t="s">
        <v>17</v>
      </c>
      <c r="D462" s="2" t="s">
        <v>18</v>
      </c>
      <c r="E462" s="5">
        <v>-28807</v>
      </c>
      <c r="F462" s="3" t="s">
        <v>613</v>
      </c>
      <c r="G462" s="3" t="s">
        <v>20</v>
      </c>
      <c r="H462" s="2" t="s">
        <v>30</v>
      </c>
      <c r="I462" s="2" t="s">
        <v>1165</v>
      </c>
      <c r="J462" s="3" t="str">
        <f>HYPERLINK("https://www.boe.es/gazeta/dias/1821/02/15/pdfs/GGB-1821-46.pdf#page=3","Abrir facsímil")</f>
        <v>Abrir facsímil</v>
      </c>
      <c r="K462" s="3" t="s">
        <v>32</v>
      </c>
    </row>
    <row r="463" spans="1:11" ht="42" customHeight="1">
      <c r="A463" s="2" t="s">
        <v>1166</v>
      </c>
      <c r="B463" s="2" t="s">
        <v>1167</v>
      </c>
      <c r="C463" s="2" t="s">
        <v>26</v>
      </c>
      <c r="D463" s="2" t="s">
        <v>27</v>
      </c>
      <c r="E463" s="5">
        <v>-28743</v>
      </c>
      <c r="F463" s="3" t="s">
        <v>51</v>
      </c>
      <c r="G463" s="3" t="s">
        <v>20</v>
      </c>
      <c r="H463" s="2" t="s">
        <v>21</v>
      </c>
      <c r="I463" s="2" t="s">
        <v>1168</v>
      </c>
      <c r="J463" s="3" t="str">
        <f>HYPERLINK("https://www.boe.es/gazeta/dias/1821/04/20/pdfs/GMD-1821-112.pdf#page=3","Abrir facsímil")</f>
        <v>Abrir facsímil</v>
      </c>
      <c r="K463" s="3" t="s">
        <v>23</v>
      </c>
    </row>
    <row r="464" spans="1:11" ht="42" customHeight="1">
      <c r="A464" s="2" t="s">
        <v>1169</v>
      </c>
      <c r="B464" s="2" t="s">
        <v>1170</v>
      </c>
      <c r="C464" s="2" t="s">
        <v>17</v>
      </c>
      <c r="D464" s="2" t="s">
        <v>18</v>
      </c>
      <c r="E464" s="5">
        <v>-28620</v>
      </c>
      <c r="F464" s="3" t="s">
        <v>87</v>
      </c>
      <c r="G464" s="3" t="s">
        <v>88</v>
      </c>
      <c r="H464" s="2" t="s">
        <v>21</v>
      </c>
      <c r="I464" s="2" t="s">
        <v>1171</v>
      </c>
      <c r="J464" s="3" t="str">
        <f>HYPERLINK("https://www.boe.es/gazeta/dias/1821/08/21/pdfs/GMD-1821-238.pdf#page=4","Abrir facsímil")</f>
        <v>Abrir facsímil</v>
      </c>
      <c r="K464" s="3" t="s">
        <v>23</v>
      </c>
    </row>
    <row r="465" spans="1:11" ht="42" customHeight="1">
      <c r="A465" s="2" t="s">
        <v>1172</v>
      </c>
      <c r="B465" s="2" t="s">
        <v>1172</v>
      </c>
      <c r="C465" s="2" t="s">
        <v>17</v>
      </c>
      <c r="D465" s="2" t="s">
        <v>18</v>
      </c>
      <c r="E465" s="5">
        <v>-28809</v>
      </c>
      <c r="F465" s="3" t="s">
        <v>1173</v>
      </c>
      <c r="G465" s="3" t="s">
        <v>52</v>
      </c>
      <c r="H465" s="2" t="s">
        <v>21</v>
      </c>
      <c r="I465" s="2" t="s">
        <v>1174</v>
      </c>
      <c r="J465" s="3" t="str">
        <f>HYPERLINK("https://www.boe.es/gazeta/dias/1821/02/13/pdfs/GGB-1821-44.pdf#page=2","Abrir facsímil")</f>
        <v>Abrir facsímil</v>
      </c>
      <c r="K465" s="3" t="s">
        <v>23</v>
      </c>
    </row>
    <row r="466" spans="1:11" ht="42" customHeight="1">
      <c r="A466" s="2" t="s">
        <v>1175</v>
      </c>
      <c r="B466" s="2" t="s">
        <v>1175</v>
      </c>
      <c r="C466" s="2" t="s">
        <v>35</v>
      </c>
      <c r="D466" s="2" t="s">
        <v>27</v>
      </c>
      <c r="E466" s="5">
        <v>-28702</v>
      </c>
      <c r="F466" s="3" t="s">
        <v>1176</v>
      </c>
      <c r="G466" s="3" t="s">
        <v>1177</v>
      </c>
      <c r="H466" s="2" t="s">
        <v>21</v>
      </c>
      <c r="I466" s="2" t="s">
        <v>1178</v>
      </c>
      <c r="J466" s="3" t="str">
        <f>HYPERLINK("https://www.boe.es/gazeta/dias/1821/05/31/pdfs/GMD-1821-153.pdf#page=2","Abrir facsímil")</f>
        <v>Abrir facsímil</v>
      </c>
      <c r="K466" s="3" t="s">
        <v>23</v>
      </c>
    </row>
    <row r="467" spans="1:11" ht="42" customHeight="1">
      <c r="A467" s="2" t="s">
        <v>1175</v>
      </c>
      <c r="B467" s="2" t="s">
        <v>1175</v>
      </c>
      <c r="C467" s="2" t="s">
        <v>279</v>
      </c>
      <c r="D467" s="2" t="s">
        <v>27</v>
      </c>
      <c r="E467" s="5">
        <v>-28653</v>
      </c>
      <c r="F467" s="3" t="s">
        <v>1179</v>
      </c>
      <c r="G467" s="3" t="s">
        <v>20</v>
      </c>
      <c r="H467" s="2" t="s">
        <v>21</v>
      </c>
      <c r="I467" s="2" t="s">
        <v>1180</v>
      </c>
      <c r="J467" s="3" t="str">
        <f>HYPERLINK("https://www.boe.es/gazeta/dias/1821/07/19/pdfs/GMD-1821-204.pdf#page=3","Abrir facsímil")</f>
        <v>Abrir facsímil</v>
      </c>
      <c r="K467" s="3" t="s">
        <v>23</v>
      </c>
    </row>
    <row r="468" spans="1:11" ht="42" customHeight="1">
      <c r="A468" s="2" t="s">
        <v>1181</v>
      </c>
      <c r="B468" s="2" t="s">
        <v>1182</v>
      </c>
      <c r="C468" s="2" t="s">
        <v>35</v>
      </c>
      <c r="D468" s="2" t="s">
        <v>27</v>
      </c>
      <c r="E468" s="5">
        <v>-28707</v>
      </c>
      <c r="F468" s="3" t="s">
        <v>495</v>
      </c>
      <c r="G468" s="3" t="s">
        <v>52</v>
      </c>
      <c r="H468" s="2" t="s">
        <v>21</v>
      </c>
      <c r="I468" s="2" t="s">
        <v>1183</v>
      </c>
      <c r="J468" s="3" t="str">
        <f>HYPERLINK("https://www.boe.es/gazeta/dias/1821/05/26/pdfs/GMD-1821-148.pdf#page=2","Abrir facsímil")</f>
        <v>Abrir facsímil</v>
      </c>
      <c r="K468" s="3" t="s">
        <v>23</v>
      </c>
    </row>
    <row r="469" spans="1:11" ht="42" customHeight="1">
      <c r="A469" s="2" t="s">
        <v>1184</v>
      </c>
      <c r="B469" s="2" t="s">
        <v>1185</v>
      </c>
      <c r="C469" s="2" t="s">
        <v>114</v>
      </c>
      <c r="D469" s="2" t="s">
        <v>27</v>
      </c>
      <c r="E469" s="5">
        <v>-28654</v>
      </c>
      <c r="F469" s="3" t="s">
        <v>674</v>
      </c>
      <c r="G469" s="3" t="s">
        <v>88</v>
      </c>
      <c r="H469" s="2" t="s">
        <v>30</v>
      </c>
      <c r="I469" s="2" t="s">
        <v>1186</v>
      </c>
      <c r="J469" s="3" t="str">
        <f>HYPERLINK("https://www.boe.es/gazeta/dias/1821/07/18/pdfs/GMD-1821-203.pdf#page=4","Abrir facsímil")</f>
        <v>Abrir facsímil</v>
      </c>
      <c r="K469" s="3" t="s">
        <v>32</v>
      </c>
    </row>
    <row r="470" spans="1:11" ht="42" customHeight="1">
      <c r="A470" s="2" t="s">
        <v>1187</v>
      </c>
      <c r="B470" s="2" t="s">
        <v>1188</v>
      </c>
      <c r="C470" s="2" t="s">
        <v>26</v>
      </c>
      <c r="D470" s="2" t="s">
        <v>27</v>
      </c>
      <c r="E470" s="5">
        <v>-28610</v>
      </c>
      <c r="F470" s="3" t="s">
        <v>190</v>
      </c>
      <c r="G470" s="3" t="s">
        <v>20</v>
      </c>
      <c r="H470" s="2" t="s">
        <v>21</v>
      </c>
      <c r="I470" s="2" t="s">
        <v>1189</v>
      </c>
      <c r="J470" s="3" t="str">
        <f>HYPERLINK("https://www.boe.es/gazeta/dias/1821/08/31/pdfs/GMD-1821-248.pdf#page=3","Abrir facsímil")</f>
        <v>Abrir facsímil</v>
      </c>
      <c r="K470" s="3" t="s">
        <v>23</v>
      </c>
    </row>
    <row r="471" spans="1:11" ht="42" customHeight="1">
      <c r="A471" s="2" t="s">
        <v>1190</v>
      </c>
      <c r="B471" s="2" t="s">
        <v>1191</v>
      </c>
      <c r="C471" s="2" t="s">
        <v>26</v>
      </c>
      <c r="D471" s="2" t="s">
        <v>27</v>
      </c>
      <c r="E471" s="5">
        <v>-28755</v>
      </c>
      <c r="F471" s="3" t="s">
        <v>906</v>
      </c>
      <c r="G471" s="3" t="s">
        <v>907</v>
      </c>
      <c r="H471" s="2" t="s">
        <v>21</v>
      </c>
      <c r="I471" s="2" t="s">
        <v>1192</v>
      </c>
      <c r="J471" s="3" t="str">
        <f>HYPERLINK("https://www.boe.es/gazeta/dias/1821/04/08/pdfs/GMD-1821-100.pdf#page=4","Abrir facsímil")</f>
        <v>Abrir facsímil</v>
      </c>
      <c r="K471" s="3" t="s">
        <v>23</v>
      </c>
    </row>
    <row r="472" spans="1:11" ht="42" customHeight="1">
      <c r="A472" s="2" t="s">
        <v>1193</v>
      </c>
      <c r="B472" s="2" t="s">
        <v>1194</v>
      </c>
      <c r="C472" s="2" t="s">
        <v>17</v>
      </c>
      <c r="D472" s="2" t="s">
        <v>18</v>
      </c>
      <c r="E472" s="5">
        <v>-28535</v>
      </c>
      <c r="F472" s="3" t="s">
        <v>96</v>
      </c>
      <c r="G472" s="3" t="s">
        <v>52</v>
      </c>
      <c r="H472" s="2" t="s">
        <v>30</v>
      </c>
      <c r="I472" s="2" t="s">
        <v>1195</v>
      </c>
      <c r="J472" s="3" t="str">
        <f>HYPERLINK("https://www.boe.es/gazeta/dias/1821/11/14/pdfs/GMD-1821-325.pdf#page=2","Abrir facsímil")</f>
        <v>Abrir facsímil</v>
      </c>
      <c r="K472" s="3" t="s">
        <v>32</v>
      </c>
    </row>
    <row r="473" spans="1:11" ht="42" customHeight="1">
      <c r="A473" s="2" t="s">
        <v>1196</v>
      </c>
      <c r="B473" s="2" t="s">
        <v>1196</v>
      </c>
      <c r="C473" s="2" t="s">
        <v>40</v>
      </c>
      <c r="D473" s="2" t="s">
        <v>41</v>
      </c>
      <c r="E473" s="5">
        <v>-28757</v>
      </c>
      <c r="F473" s="3" t="s">
        <v>472</v>
      </c>
      <c r="G473" s="3" t="s">
        <v>52</v>
      </c>
      <c r="H473" s="2" t="s">
        <v>21</v>
      </c>
      <c r="I473" s="2" t="s">
        <v>1197</v>
      </c>
      <c r="J473" s="3" t="str">
        <f>HYPERLINK("https://www.boe.es/gazeta/dias/1821/04/06/pdfs/GMD-1821-98.pdf#page=2","Abrir facsímil")</f>
        <v>Abrir facsímil</v>
      </c>
      <c r="K473" s="3" t="s">
        <v>23</v>
      </c>
    </row>
    <row r="474" spans="1:11" ht="42" customHeight="1">
      <c r="A474" s="2" t="s">
        <v>1198</v>
      </c>
      <c r="B474" s="2" t="s">
        <v>1198</v>
      </c>
      <c r="C474" s="2" t="s">
        <v>40</v>
      </c>
      <c r="D474" s="2" t="s">
        <v>41</v>
      </c>
      <c r="E474" s="5">
        <v>-28825</v>
      </c>
      <c r="F474" s="3" t="s">
        <v>1199</v>
      </c>
      <c r="G474" s="3" t="s">
        <v>52</v>
      </c>
      <c r="H474" s="2" t="s">
        <v>21</v>
      </c>
      <c r="I474" s="2" t="s">
        <v>1200</v>
      </c>
      <c r="J474" s="3" t="str">
        <f>HYPERLINK("https://www.boe.es/gazeta/dias/1821/01/28/pdfs/GGB-1821-28.pdf#page=2","Abrir facsímil")</f>
        <v>Abrir facsímil</v>
      </c>
      <c r="K474" s="3" t="s">
        <v>23</v>
      </c>
    </row>
    <row r="475" spans="1:11" ht="42" customHeight="1">
      <c r="A475" s="2" t="s">
        <v>1198</v>
      </c>
      <c r="B475" s="2" t="s">
        <v>1198</v>
      </c>
      <c r="C475" s="2" t="s">
        <v>17</v>
      </c>
      <c r="D475" s="2" t="s">
        <v>18</v>
      </c>
      <c r="E475" s="5">
        <v>-28806</v>
      </c>
      <c r="F475" s="3" t="s">
        <v>1201</v>
      </c>
      <c r="G475" s="3" t="s">
        <v>43</v>
      </c>
      <c r="H475" s="2" t="s">
        <v>21</v>
      </c>
      <c r="I475" s="2" t="s">
        <v>1202</v>
      </c>
      <c r="J475" s="3" t="str">
        <f>HYPERLINK("https://www.boe.es/gazeta/dias/1821/02/16/pdfs/GGB-1821-47.pdf#page=1","Abrir facsímil")</f>
        <v>Abrir facsímil</v>
      </c>
      <c r="K475" s="3" t="s">
        <v>23</v>
      </c>
    </row>
    <row r="476" spans="1:11" ht="42" customHeight="1">
      <c r="A476" s="2" t="s">
        <v>1198</v>
      </c>
      <c r="B476" s="2" t="s">
        <v>1198</v>
      </c>
      <c r="C476" s="2" t="s">
        <v>40</v>
      </c>
      <c r="D476" s="2" t="s">
        <v>41</v>
      </c>
      <c r="E476" s="5">
        <v>-28737</v>
      </c>
      <c r="F476" s="3" t="s">
        <v>732</v>
      </c>
      <c r="G476" s="3" t="s">
        <v>20</v>
      </c>
      <c r="H476" s="2" t="s">
        <v>21</v>
      </c>
      <c r="I476" s="2" t="s">
        <v>1203</v>
      </c>
      <c r="J476" s="3" t="str">
        <f>HYPERLINK("https://www.boe.es/gazeta/dias/1821/04/26/pdfs/GMD-1821-118.pdf#page=3","Abrir facsímil")</f>
        <v>Abrir facsímil</v>
      </c>
      <c r="K476" s="3" t="s">
        <v>23</v>
      </c>
    </row>
    <row r="477" spans="1:11" ht="42" customHeight="1">
      <c r="A477" s="2" t="s">
        <v>1204</v>
      </c>
      <c r="B477" s="2" t="s">
        <v>1205</v>
      </c>
      <c r="C477" s="2" t="s">
        <v>40</v>
      </c>
      <c r="D477" s="2" t="s">
        <v>41</v>
      </c>
      <c r="E477" s="5">
        <v>-28598</v>
      </c>
      <c r="F477" s="3" t="s">
        <v>1206</v>
      </c>
      <c r="G477" s="3" t="s">
        <v>52</v>
      </c>
      <c r="H477" s="2" t="s">
        <v>21</v>
      </c>
      <c r="I477" s="2" t="s">
        <v>1207</v>
      </c>
      <c r="J477" s="3" t="str">
        <f>HYPERLINK("https://www.boe.es/gazeta/dias/1821/09/12/pdfs/GMD-1821-260.pdf#page=2","Abrir facsímil")</f>
        <v>Abrir facsímil</v>
      </c>
      <c r="K477" s="3" t="s">
        <v>23</v>
      </c>
    </row>
    <row r="478" spans="1:11" ht="42" customHeight="1">
      <c r="A478" s="2" t="s">
        <v>1208</v>
      </c>
      <c r="B478" s="2" t="s">
        <v>1209</v>
      </c>
      <c r="C478" s="2" t="s">
        <v>279</v>
      </c>
      <c r="D478" s="2" t="s">
        <v>27</v>
      </c>
      <c r="E478" s="5">
        <v>-28635</v>
      </c>
      <c r="F478" s="3" t="s">
        <v>1210</v>
      </c>
      <c r="G478" s="3" t="s">
        <v>88</v>
      </c>
      <c r="H478" s="2" t="s">
        <v>21</v>
      </c>
      <c r="I478" s="2" t="s">
        <v>1211</v>
      </c>
      <c r="J478" s="3" t="str">
        <f>HYPERLINK("https://www.boe.es/gazeta/dias/1821/08/06/pdfs/GMD-1821-222.pdf#page=4","Abrir facsímil")</f>
        <v>Abrir facsímil</v>
      </c>
      <c r="K478" s="3" t="s">
        <v>23</v>
      </c>
    </row>
    <row r="479" spans="1:11" ht="42" customHeight="1">
      <c r="A479" s="2" t="s">
        <v>1212</v>
      </c>
      <c r="B479" s="2" t="s">
        <v>1213</v>
      </c>
      <c r="C479" s="2" t="s">
        <v>40</v>
      </c>
      <c r="D479" s="2" t="s">
        <v>41</v>
      </c>
      <c r="E479" s="5">
        <v>-28524</v>
      </c>
      <c r="F479" s="3" t="s">
        <v>874</v>
      </c>
      <c r="G479" s="3" t="s">
        <v>52</v>
      </c>
      <c r="H479" s="2" t="s">
        <v>21</v>
      </c>
      <c r="I479" s="2" t="s">
        <v>1214</v>
      </c>
      <c r="J479" s="3" t="str">
        <f>HYPERLINK("https://www.boe.es/gazeta/dias/1821/11/25/pdfs/GMD-1821-336.pdf#page=2","Abrir facsímil")</f>
        <v>Abrir facsímil</v>
      </c>
      <c r="K479" s="3" t="s">
        <v>23</v>
      </c>
    </row>
    <row r="480" spans="1:11" ht="42" customHeight="1">
      <c r="A480" s="2" t="s">
        <v>1215</v>
      </c>
      <c r="B480" s="2" t="s">
        <v>1215</v>
      </c>
      <c r="C480" s="2" t="s">
        <v>174</v>
      </c>
      <c r="D480" s="2" t="s">
        <v>27</v>
      </c>
      <c r="E480" s="5">
        <v>-28701</v>
      </c>
      <c r="F480" s="3" t="s">
        <v>202</v>
      </c>
      <c r="G480" s="3" t="s">
        <v>88</v>
      </c>
      <c r="H480" s="2" t="s">
        <v>21</v>
      </c>
      <c r="I480" s="2" t="s">
        <v>1216</v>
      </c>
      <c r="J480" s="3" t="str">
        <f>HYPERLINK("https://www.boe.es/gazeta/dias/1821/06/01/pdfs/GMD-1821-154.pdf#page=4","Abrir facsímil")</f>
        <v>Abrir facsímil</v>
      </c>
      <c r="K480" s="3" t="s">
        <v>23</v>
      </c>
    </row>
    <row r="481" spans="1:11" ht="42" customHeight="1">
      <c r="A481" s="2" t="s">
        <v>1217</v>
      </c>
      <c r="B481" s="2" t="s">
        <v>1218</v>
      </c>
      <c r="C481" s="2" t="s">
        <v>35</v>
      </c>
      <c r="D481" s="2" t="s">
        <v>27</v>
      </c>
      <c r="E481" s="5">
        <v>-28531</v>
      </c>
      <c r="F481" s="3" t="s">
        <v>365</v>
      </c>
      <c r="G481" s="3" t="s">
        <v>20</v>
      </c>
      <c r="H481" s="2" t="s">
        <v>21</v>
      </c>
      <c r="I481" s="2" t="s">
        <v>1219</v>
      </c>
      <c r="J481" s="3" t="str">
        <f>HYPERLINK("https://www.boe.es/gazeta/dias/1821/11/18/pdfs/GMD-1821-329.pdf#page=3","Abrir facsímil")</f>
        <v>Abrir facsímil</v>
      </c>
      <c r="K481" s="3" t="s">
        <v>23</v>
      </c>
    </row>
    <row r="482" spans="1:11" ht="42" customHeight="1">
      <c r="A482" s="2" t="s">
        <v>1220</v>
      </c>
      <c r="B482" s="2" t="s">
        <v>1220</v>
      </c>
      <c r="C482" s="2" t="s">
        <v>35</v>
      </c>
      <c r="D482" s="2" t="s">
        <v>27</v>
      </c>
      <c r="E482" s="5">
        <v>-28774</v>
      </c>
      <c r="F482" s="3" t="s">
        <v>1221</v>
      </c>
      <c r="G482" s="3" t="s">
        <v>52</v>
      </c>
      <c r="H482" s="2" t="s">
        <v>21</v>
      </c>
      <c r="I482" s="2" t="s">
        <v>1222</v>
      </c>
      <c r="J482" s="3" t="str">
        <f>HYPERLINK("https://www.boe.es/gazeta/dias/1821/03/20/pdfs/GMD-1821-79.pdf#page=2","Abrir facsímil")</f>
        <v>Abrir facsímil</v>
      </c>
      <c r="K482" s="3" t="s">
        <v>23</v>
      </c>
    </row>
    <row r="483" spans="1:11" ht="42" customHeight="1">
      <c r="A483" s="2" t="s">
        <v>1223</v>
      </c>
      <c r="B483" s="2" t="s">
        <v>1223</v>
      </c>
      <c r="C483" s="2" t="s">
        <v>70</v>
      </c>
      <c r="D483" s="2" t="s">
        <v>27</v>
      </c>
      <c r="E483" s="5">
        <v>-28497</v>
      </c>
      <c r="F483" s="3" t="s">
        <v>225</v>
      </c>
      <c r="G483" s="3" t="s">
        <v>20</v>
      </c>
      <c r="H483" s="2" t="s">
        <v>21</v>
      </c>
      <c r="I483" s="2" t="s">
        <v>1224</v>
      </c>
      <c r="J483" s="3" t="str">
        <f>HYPERLINK("https://www.boe.es/gazeta/dias/1821/12/22/pdfs/GMD-1821-365.pdf#page=3","Abrir facsímil")</f>
        <v>Abrir facsímil</v>
      </c>
      <c r="K483" s="3" t="s">
        <v>23</v>
      </c>
    </row>
    <row r="484" spans="1:11" ht="42" customHeight="1">
      <c r="A484" s="2" t="s">
        <v>1225</v>
      </c>
      <c r="B484" s="2" t="s">
        <v>1226</v>
      </c>
      <c r="C484" s="2" t="s">
        <v>40</v>
      </c>
      <c r="D484" s="2" t="s">
        <v>41</v>
      </c>
      <c r="E484" s="5">
        <v>-28824</v>
      </c>
      <c r="F484" s="3" t="s">
        <v>1227</v>
      </c>
      <c r="G484" s="3" t="s">
        <v>88</v>
      </c>
      <c r="H484" s="2" t="s">
        <v>21</v>
      </c>
      <c r="I484" s="2" t="s">
        <v>1228</v>
      </c>
      <c r="J484" s="3" t="str">
        <f>HYPERLINK("https://www.boe.es/gazeta/dias/1821/01/29/pdfs/GGB-1821-29.pdf#page=4","Abrir facsímil")</f>
        <v>Abrir facsímil</v>
      </c>
      <c r="K484" s="3" t="s">
        <v>23</v>
      </c>
    </row>
    <row r="485" spans="1:11" ht="42" customHeight="1">
      <c r="A485" s="2" t="s">
        <v>1229</v>
      </c>
      <c r="B485" s="2" t="s">
        <v>1230</v>
      </c>
      <c r="C485" s="2" t="s">
        <v>40</v>
      </c>
      <c r="D485" s="2" t="s">
        <v>41</v>
      </c>
      <c r="E485" s="5">
        <v>-28531</v>
      </c>
      <c r="F485" s="3" t="s">
        <v>365</v>
      </c>
      <c r="G485" s="3" t="s">
        <v>20</v>
      </c>
      <c r="H485" s="2" t="s">
        <v>30</v>
      </c>
      <c r="I485" s="2" t="s">
        <v>1231</v>
      </c>
      <c r="J485" s="3" t="str">
        <f>HYPERLINK("https://www.boe.es/gazeta/dias/1821/11/18/pdfs/GMD-1821-329.pdf#page=3","Abrir facsímil")</f>
        <v>Abrir facsímil</v>
      </c>
      <c r="K485" s="3" t="s">
        <v>32</v>
      </c>
    </row>
    <row r="486" spans="1:11" ht="42" customHeight="1">
      <c r="A486" s="2" t="s">
        <v>1232</v>
      </c>
      <c r="B486" s="2" t="s">
        <v>1232</v>
      </c>
      <c r="C486" s="2" t="s">
        <v>26</v>
      </c>
      <c r="D486" s="2" t="s">
        <v>27</v>
      </c>
      <c r="E486" s="5">
        <v>-28842</v>
      </c>
      <c r="F486" s="3" t="s">
        <v>660</v>
      </c>
      <c r="G486" s="3" t="s">
        <v>88</v>
      </c>
      <c r="H486" s="2" t="s">
        <v>21</v>
      </c>
      <c r="I486" s="2" t="s">
        <v>1233</v>
      </c>
      <c r="J486" s="3" t="str">
        <f>HYPERLINK("https://www.boe.es/gazeta/dias/1821/01/11/pdfs/GGB-1821-11.pdf#page=4","Abrir facsímil")</f>
        <v>Abrir facsímil</v>
      </c>
      <c r="K486" s="3" t="s">
        <v>23</v>
      </c>
    </row>
    <row r="487" spans="1:11" ht="42" customHeight="1">
      <c r="A487" s="2" t="s">
        <v>1232</v>
      </c>
      <c r="B487" s="2" t="s">
        <v>1232</v>
      </c>
      <c r="C487" s="2" t="s">
        <v>26</v>
      </c>
      <c r="D487" s="2" t="s">
        <v>27</v>
      </c>
      <c r="E487" s="5">
        <v>-28837</v>
      </c>
      <c r="F487" s="3" t="s">
        <v>1234</v>
      </c>
      <c r="G487" s="3" t="s">
        <v>88</v>
      </c>
      <c r="H487" s="2" t="s">
        <v>21</v>
      </c>
      <c r="I487" s="2" t="s">
        <v>1235</v>
      </c>
      <c r="J487" s="3" t="str">
        <f>HYPERLINK("https://www.boe.es/gazeta/dias/1821/01/16/pdfs/GGB-1821-16.pdf#page=4","Abrir facsímil")</f>
        <v>Abrir facsímil</v>
      </c>
      <c r="K487" s="3" t="s">
        <v>23</v>
      </c>
    </row>
    <row r="488" spans="1:11" ht="42" customHeight="1">
      <c r="A488" s="2" t="s">
        <v>1232</v>
      </c>
      <c r="B488" s="2" t="s">
        <v>1232</v>
      </c>
      <c r="C488" s="2" t="s">
        <v>40</v>
      </c>
      <c r="D488" s="2" t="s">
        <v>41</v>
      </c>
      <c r="E488" s="5">
        <v>-28834</v>
      </c>
      <c r="F488" s="3" t="s">
        <v>369</v>
      </c>
      <c r="G488" s="3" t="s">
        <v>20</v>
      </c>
      <c r="H488" s="2" t="s">
        <v>21</v>
      </c>
      <c r="I488" s="2" t="s">
        <v>1236</v>
      </c>
      <c r="J488" s="3" t="str">
        <f>HYPERLINK("https://www.boe.es/gazeta/dias/1821/01/19/pdfs/GGB-1821-19.pdf#page=3","Abrir facsímil")</f>
        <v>Abrir facsímil</v>
      </c>
      <c r="K488" s="3" t="s">
        <v>23</v>
      </c>
    </row>
    <row r="489" spans="1:11" ht="42" customHeight="1">
      <c r="A489" s="2" t="s">
        <v>1232</v>
      </c>
      <c r="B489" s="2" t="s">
        <v>1232</v>
      </c>
      <c r="C489" s="2" t="s">
        <v>17</v>
      </c>
      <c r="D489" s="2" t="s">
        <v>18</v>
      </c>
      <c r="E489" s="5">
        <v>-28807</v>
      </c>
      <c r="F489" s="3" t="s">
        <v>613</v>
      </c>
      <c r="G489" s="3" t="s">
        <v>20</v>
      </c>
      <c r="H489" s="2" t="s">
        <v>21</v>
      </c>
      <c r="I489" s="2" t="s">
        <v>1237</v>
      </c>
      <c r="J489" s="3" t="str">
        <f>HYPERLINK("https://www.boe.es/gazeta/dias/1821/02/15/pdfs/GGB-1821-46.pdf#page=3","Abrir facsímil")</f>
        <v>Abrir facsímil</v>
      </c>
      <c r="K489" s="3" t="s">
        <v>23</v>
      </c>
    </row>
    <row r="490" spans="1:11" ht="42" customHeight="1">
      <c r="A490" s="2" t="s">
        <v>1232</v>
      </c>
      <c r="B490" s="2" t="s">
        <v>1232</v>
      </c>
      <c r="C490" s="2" t="s">
        <v>26</v>
      </c>
      <c r="D490" s="2" t="s">
        <v>27</v>
      </c>
      <c r="E490" s="5">
        <v>-28768</v>
      </c>
      <c r="F490" s="3" t="s">
        <v>1114</v>
      </c>
      <c r="G490" s="3" t="s">
        <v>88</v>
      </c>
      <c r="H490" s="2" t="s">
        <v>21</v>
      </c>
      <c r="I490" s="2" t="s">
        <v>1238</v>
      </c>
      <c r="J490" s="3" t="str">
        <f>HYPERLINK("https://www.boe.es/gazeta/dias/1821/03/26/pdfs/GMD-1821-86.pdf#page=4","Abrir facsímil")</f>
        <v>Abrir facsímil</v>
      </c>
      <c r="K490" s="3" t="s">
        <v>23</v>
      </c>
    </row>
    <row r="491" spans="1:11" ht="42" customHeight="1">
      <c r="A491" s="2" t="s">
        <v>1232</v>
      </c>
      <c r="B491" s="2" t="s">
        <v>1232</v>
      </c>
      <c r="C491" s="2" t="s">
        <v>70</v>
      </c>
      <c r="D491" s="2" t="s">
        <v>27</v>
      </c>
      <c r="E491" s="5">
        <v>-28761</v>
      </c>
      <c r="F491" s="3" t="s">
        <v>771</v>
      </c>
      <c r="G491" s="3" t="s">
        <v>52</v>
      </c>
      <c r="H491" s="2" t="s">
        <v>21</v>
      </c>
      <c r="I491" s="2" t="s">
        <v>1239</v>
      </c>
      <c r="J491" s="3" t="str">
        <f>HYPERLINK("https://www.boe.es/gazeta/dias/1821/04/02/pdfs/GMD-1821-94.pdf#page=2","Abrir facsímil")</f>
        <v>Abrir facsímil</v>
      </c>
      <c r="K491" s="3" t="s">
        <v>23</v>
      </c>
    </row>
    <row r="492" spans="1:11" ht="42" customHeight="1">
      <c r="A492" s="2" t="s">
        <v>1232</v>
      </c>
      <c r="B492" s="2" t="s">
        <v>1232</v>
      </c>
      <c r="C492" s="2" t="s">
        <v>26</v>
      </c>
      <c r="D492" s="2" t="s">
        <v>27</v>
      </c>
      <c r="E492" s="5">
        <v>-28744</v>
      </c>
      <c r="F492" s="3" t="s">
        <v>834</v>
      </c>
      <c r="G492" s="3" t="s">
        <v>52</v>
      </c>
      <c r="H492" s="2" t="s">
        <v>21</v>
      </c>
      <c r="I492" s="2" t="s">
        <v>1240</v>
      </c>
      <c r="J492" s="3" t="str">
        <f>HYPERLINK("https://www.boe.es/gazeta/dias/1821/04/19/pdfs/GMD-1821-111.pdf#page=2","Abrir facsímil")</f>
        <v>Abrir facsímil</v>
      </c>
      <c r="K492" s="3" t="s">
        <v>23</v>
      </c>
    </row>
    <row r="493" spans="1:11" ht="42" customHeight="1">
      <c r="A493" s="2" t="s">
        <v>1232</v>
      </c>
      <c r="B493" s="2" t="s">
        <v>1232</v>
      </c>
      <c r="C493" s="2" t="s">
        <v>17</v>
      </c>
      <c r="D493" s="2" t="s">
        <v>18</v>
      </c>
      <c r="E493" s="5">
        <v>-28707</v>
      </c>
      <c r="F493" s="3" t="s">
        <v>495</v>
      </c>
      <c r="G493" s="3" t="s">
        <v>88</v>
      </c>
      <c r="H493" s="2" t="s">
        <v>21</v>
      </c>
      <c r="I493" s="2" t="s">
        <v>1241</v>
      </c>
      <c r="J493" s="3" t="str">
        <f>HYPERLINK("https://www.boe.es/gazeta/dias/1821/05/26/pdfs/GMD-1821-148.pdf#page=4","Abrir facsímil")</f>
        <v>Abrir facsímil</v>
      </c>
      <c r="K493" s="3" t="s">
        <v>23</v>
      </c>
    </row>
    <row r="494" spans="1:11" ht="42" customHeight="1">
      <c r="A494" s="2" t="s">
        <v>1232</v>
      </c>
      <c r="B494" s="2" t="s">
        <v>1232</v>
      </c>
      <c r="C494" s="2" t="s">
        <v>26</v>
      </c>
      <c r="D494" s="2" t="s">
        <v>27</v>
      </c>
      <c r="E494" s="5">
        <v>-28694</v>
      </c>
      <c r="F494" s="3" t="s">
        <v>1057</v>
      </c>
      <c r="G494" s="3" t="s">
        <v>29</v>
      </c>
      <c r="H494" s="2" t="s">
        <v>21</v>
      </c>
      <c r="I494" s="2" t="s">
        <v>1242</v>
      </c>
      <c r="J494" s="3" t="str">
        <f>HYPERLINK("https://www.boe.es/gazeta/dias/1821/06/08/pdfs/GMD-1821-161.pdf#page=6","Abrir facsímil")</f>
        <v>Abrir facsímil</v>
      </c>
      <c r="K494" s="3" t="s">
        <v>23</v>
      </c>
    </row>
    <row r="495" spans="1:11" ht="42" customHeight="1">
      <c r="A495" s="2" t="s">
        <v>1232</v>
      </c>
      <c r="B495" s="2" t="s">
        <v>1232</v>
      </c>
      <c r="C495" s="2" t="s">
        <v>70</v>
      </c>
      <c r="D495" s="2" t="s">
        <v>27</v>
      </c>
      <c r="E495" s="5">
        <v>-28690</v>
      </c>
      <c r="F495" s="3" t="s">
        <v>846</v>
      </c>
      <c r="G495" s="3" t="s">
        <v>1243</v>
      </c>
      <c r="H495" s="2" t="s">
        <v>21</v>
      </c>
      <c r="I495" s="2" t="s">
        <v>1244</v>
      </c>
      <c r="J495" s="3" t="str">
        <f>HYPERLINK("https://www.boe.es/gazeta/dias/1821/06/12/pdfs/GMD-1821-165.pdf#page=4","Abrir facsímil")</f>
        <v>Abrir facsímil</v>
      </c>
      <c r="K495" s="3" t="s">
        <v>23</v>
      </c>
    </row>
    <row r="496" spans="1:11" ht="42" customHeight="1">
      <c r="A496" s="2" t="s">
        <v>1232</v>
      </c>
      <c r="B496" s="2" t="s">
        <v>1232</v>
      </c>
      <c r="C496" s="2" t="s">
        <v>35</v>
      </c>
      <c r="D496" s="2" t="s">
        <v>27</v>
      </c>
      <c r="E496" s="5">
        <v>-28673</v>
      </c>
      <c r="F496" s="3" t="s">
        <v>1069</v>
      </c>
      <c r="G496" s="3" t="s">
        <v>20</v>
      </c>
      <c r="H496" s="2" t="s">
        <v>21</v>
      </c>
      <c r="I496" s="2" t="s">
        <v>1245</v>
      </c>
      <c r="J496" s="3" t="str">
        <f>HYPERLINK("https://www.boe.es/gazeta/dias/1821/06/29/pdfs/GMD-1821-182.pdf#page=3","Abrir facsímil")</f>
        <v>Abrir facsímil</v>
      </c>
      <c r="K496" s="3" t="s">
        <v>23</v>
      </c>
    </row>
    <row r="497" spans="1:11" ht="42" customHeight="1">
      <c r="A497" s="2" t="s">
        <v>1232</v>
      </c>
      <c r="B497" s="2" t="s">
        <v>1232</v>
      </c>
      <c r="C497" s="2" t="s">
        <v>26</v>
      </c>
      <c r="D497" s="2" t="s">
        <v>27</v>
      </c>
      <c r="E497" s="5">
        <v>-28653</v>
      </c>
      <c r="F497" s="3" t="s">
        <v>1179</v>
      </c>
      <c r="G497" s="3" t="s">
        <v>29</v>
      </c>
      <c r="H497" s="2" t="s">
        <v>21</v>
      </c>
      <c r="I497" s="2" t="s">
        <v>1246</v>
      </c>
      <c r="J497" s="3" t="str">
        <f>HYPERLINK("https://www.boe.es/gazeta/dias/1821/07/19/pdfs/GMD-1821-204.pdf#page=6","Abrir facsímil")</f>
        <v>Abrir facsímil</v>
      </c>
      <c r="K497" s="3" t="s">
        <v>23</v>
      </c>
    </row>
    <row r="498" spans="1:11" ht="42" customHeight="1">
      <c r="A498" s="2" t="s">
        <v>1232</v>
      </c>
      <c r="B498" s="2" t="s">
        <v>1232</v>
      </c>
      <c r="C498" s="2" t="s">
        <v>26</v>
      </c>
      <c r="D498" s="2" t="s">
        <v>27</v>
      </c>
      <c r="E498" s="5">
        <v>-28620</v>
      </c>
      <c r="F498" s="3" t="s">
        <v>87</v>
      </c>
      <c r="G498" s="3" t="s">
        <v>88</v>
      </c>
      <c r="H498" s="2" t="s">
        <v>21</v>
      </c>
      <c r="I498" s="2" t="s">
        <v>1247</v>
      </c>
      <c r="J498" s="3" t="str">
        <f>HYPERLINK("https://www.boe.es/gazeta/dias/1821/08/21/pdfs/GMD-1821-238.pdf#page=4","Abrir facsímil")</f>
        <v>Abrir facsímil</v>
      </c>
      <c r="K498" s="3" t="s">
        <v>23</v>
      </c>
    </row>
    <row r="499" spans="1:11" ht="42" customHeight="1">
      <c r="A499" s="2" t="s">
        <v>1232</v>
      </c>
      <c r="B499" s="2" t="s">
        <v>1232</v>
      </c>
      <c r="C499" s="2" t="s">
        <v>35</v>
      </c>
      <c r="D499" s="2" t="s">
        <v>27</v>
      </c>
      <c r="E499" s="5">
        <v>-28615</v>
      </c>
      <c r="F499" s="3" t="s">
        <v>427</v>
      </c>
      <c r="G499" s="3" t="s">
        <v>20</v>
      </c>
      <c r="H499" s="2" t="s">
        <v>21</v>
      </c>
      <c r="I499" s="2" t="s">
        <v>1248</v>
      </c>
      <c r="J499" s="3" t="str">
        <f>HYPERLINK("https://www.boe.es/gazeta/dias/1821/08/26/pdfs/GMD-1821-243.pdf#page=3","Abrir facsímil")</f>
        <v>Abrir facsímil</v>
      </c>
      <c r="K499" s="3" t="s">
        <v>23</v>
      </c>
    </row>
    <row r="500" spans="1:11" ht="42" customHeight="1">
      <c r="A500" s="2" t="s">
        <v>1232</v>
      </c>
      <c r="B500" s="2" t="s">
        <v>1232</v>
      </c>
      <c r="C500" s="2" t="s">
        <v>17</v>
      </c>
      <c r="D500" s="2" t="s">
        <v>18</v>
      </c>
      <c r="E500" s="5">
        <v>-28577</v>
      </c>
      <c r="F500" s="3" t="s">
        <v>858</v>
      </c>
      <c r="G500" s="3" t="s">
        <v>88</v>
      </c>
      <c r="H500" s="2" t="s">
        <v>21</v>
      </c>
      <c r="I500" s="2" t="s">
        <v>1249</v>
      </c>
      <c r="J500" s="3" t="str">
        <f>HYPERLINK("https://www.boe.es/gazeta/dias/1821/10/03/pdfs/GMD-1821-282.pdf#page=4","Abrir facsímil")</f>
        <v>Abrir facsímil</v>
      </c>
      <c r="K500" s="3" t="s">
        <v>23</v>
      </c>
    </row>
    <row r="501" spans="1:11" ht="42" customHeight="1">
      <c r="A501" s="2" t="s">
        <v>1232</v>
      </c>
      <c r="B501" s="2" t="s">
        <v>1232</v>
      </c>
      <c r="C501" s="2" t="s">
        <v>26</v>
      </c>
      <c r="D501" s="2" t="s">
        <v>27</v>
      </c>
      <c r="E501" s="5">
        <v>-28531</v>
      </c>
      <c r="F501" s="3" t="s">
        <v>365</v>
      </c>
      <c r="G501" s="3" t="s">
        <v>20</v>
      </c>
      <c r="H501" s="2" t="s">
        <v>21</v>
      </c>
      <c r="I501" s="2" t="s">
        <v>1250</v>
      </c>
      <c r="J501" s="3" t="str">
        <f>HYPERLINK("https://www.boe.es/gazeta/dias/1821/11/18/pdfs/GMD-1821-329.pdf#page=3","Abrir facsímil")</f>
        <v>Abrir facsímil</v>
      </c>
      <c r="K501" s="3" t="s">
        <v>23</v>
      </c>
    </row>
    <row r="502" spans="1:11" ht="42" customHeight="1">
      <c r="A502" s="2" t="s">
        <v>1232</v>
      </c>
      <c r="B502" s="2" t="s">
        <v>1232</v>
      </c>
      <c r="C502" s="2" t="s">
        <v>40</v>
      </c>
      <c r="D502" s="2" t="s">
        <v>41</v>
      </c>
      <c r="E502" s="5">
        <v>-28526</v>
      </c>
      <c r="F502" s="3" t="s">
        <v>223</v>
      </c>
      <c r="G502" s="3" t="s">
        <v>1251</v>
      </c>
      <c r="H502" s="2" t="s">
        <v>21</v>
      </c>
      <c r="I502" s="2" t="s">
        <v>1252</v>
      </c>
      <c r="J502" s="3" t="str">
        <f>HYPERLINK("https://www.boe.es/gazeta/dias/1821/11/23/pdfs/GMD-1821-334.pdf#page=3","Abrir facsímil")</f>
        <v>Abrir facsímil</v>
      </c>
      <c r="K502" s="3" t="s">
        <v>23</v>
      </c>
    </row>
    <row r="503" spans="1:11" ht="42" customHeight="1">
      <c r="A503" s="2" t="s">
        <v>1232</v>
      </c>
      <c r="B503" s="2" t="s">
        <v>1232</v>
      </c>
      <c r="C503" s="2" t="s">
        <v>17</v>
      </c>
      <c r="D503" s="2" t="s">
        <v>18</v>
      </c>
      <c r="E503" s="5">
        <v>-28501</v>
      </c>
      <c r="F503" s="3" t="s">
        <v>456</v>
      </c>
      <c r="G503" s="3" t="s">
        <v>1253</v>
      </c>
      <c r="H503" s="2" t="s">
        <v>21</v>
      </c>
      <c r="I503" s="2" t="s">
        <v>1254</v>
      </c>
      <c r="J503" s="3" t="str">
        <f>HYPERLINK("https://www.boe.es/gazeta/dias/1821/12/18/pdfs/GMD-1821-361.pdf#page=6","Abrir facsímil")</f>
        <v>Abrir facsímil</v>
      </c>
      <c r="K503" s="3" t="s">
        <v>23</v>
      </c>
    </row>
    <row r="504" spans="1:11" ht="42" customHeight="1">
      <c r="A504" s="2" t="s">
        <v>1255</v>
      </c>
      <c r="B504" s="2" t="s">
        <v>1256</v>
      </c>
      <c r="C504" s="2" t="s">
        <v>114</v>
      </c>
      <c r="D504" s="2" t="s">
        <v>27</v>
      </c>
      <c r="E504" s="5">
        <v>-28805</v>
      </c>
      <c r="F504" s="3" t="s">
        <v>382</v>
      </c>
      <c r="G504" s="3" t="s">
        <v>88</v>
      </c>
      <c r="H504" s="2" t="s">
        <v>21</v>
      </c>
      <c r="I504" s="2" t="s">
        <v>1257</v>
      </c>
      <c r="J504" s="3" t="str">
        <f>HYPERLINK("https://www.boe.es/gazeta/dias/1821/02/17/pdfs/GGB-1821-48.pdf#page=4","Abrir facsímil")</f>
        <v>Abrir facsímil</v>
      </c>
      <c r="K504" s="3" t="s">
        <v>23</v>
      </c>
    </row>
    <row r="505" spans="1:11" ht="42" customHeight="1">
      <c r="A505" s="2" t="s">
        <v>1258</v>
      </c>
      <c r="B505" s="2" t="s">
        <v>1259</v>
      </c>
      <c r="C505" s="2" t="s">
        <v>40</v>
      </c>
      <c r="D505" s="2" t="s">
        <v>41</v>
      </c>
      <c r="E505" s="5">
        <v>-28793</v>
      </c>
      <c r="F505" s="3" t="s">
        <v>157</v>
      </c>
      <c r="G505" s="3" t="s">
        <v>162</v>
      </c>
      <c r="H505" s="2" t="s">
        <v>21</v>
      </c>
      <c r="I505" s="2" t="s">
        <v>1260</v>
      </c>
      <c r="J505" s="3" t="str">
        <f>HYPERLINK("https://www.boe.es/gazeta/dias/1821/03/01/pdfs/GGB-1821-60.pdf#page=5","Abrir facsímil")</f>
        <v>Abrir facsímil</v>
      </c>
      <c r="K505" s="3" t="s">
        <v>23</v>
      </c>
    </row>
    <row r="506" spans="1:11" ht="42" customHeight="1">
      <c r="A506" s="2" t="s">
        <v>1261</v>
      </c>
      <c r="B506" s="2" t="s">
        <v>1262</v>
      </c>
      <c r="C506" s="2" t="s">
        <v>17</v>
      </c>
      <c r="D506" s="2" t="s">
        <v>18</v>
      </c>
      <c r="E506" s="5">
        <v>-28666</v>
      </c>
      <c r="F506" s="3" t="s">
        <v>1263</v>
      </c>
      <c r="G506" s="3" t="s">
        <v>88</v>
      </c>
      <c r="H506" s="2" t="s">
        <v>21</v>
      </c>
      <c r="I506" s="2" t="s">
        <v>1264</v>
      </c>
      <c r="J506" s="3" t="str">
        <f>HYPERLINK("https://www.boe.es/gazeta/dias/1821/07/06/pdfs/GMD-1821-190.pdf#page=4","Abrir facsímil")</f>
        <v>Abrir facsímil</v>
      </c>
      <c r="K506" s="3" t="s">
        <v>23</v>
      </c>
    </row>
    <row r="507" spans="1:11" ht="42" customHeight="1">
      <c r="A507" s="2" t="s">
        <v>1261</v>
      </c>
      <c r="B507" s="2" t="s">
        <v>1262</v>
      </c>
      <c r="C507" s="2" t="s">
        <v>26</v>
      </c>
      <c r="D507" s="2" t="s">
        <v>27</v>
      </c>
      <c r="E507" s="5">
        <v>-28547</v>
      </c>
      <c r="F507" s="3" t="s">
        <v>247</v>
      </c>
      <c r="G507" s="3" t="s">
        <v>248</v>
      </c>
      <c r="H507" s="2" t="s">
        <v>21</v>
      </c>
      <c r="I507" s="2" t="s">
        <v>1265</v>
      </c>
      <c r="J507" s="3" t="str">
        <f>HYPERLINK("https://www.boe.es/gazeta/dias/1821/11/02/pdfs/GMD-1821-312.pdf#page=2","Abrir facsímil")</f>
        <v>Abrir facsímil</v>
      </c>
      <c r="K507" s="3" t="s">
        <v>23</v>
      </c>
    </row>
    <row r="508" spans="1:11" ht="42" customHeight="1">
      <c r="A508" s="2" t="s">
        <v>1266</v>
      </c>
      <c r="B508" s="2" t="s">
        <v>1267</v>
      </c>
      <c r="C508" s="2" t="s">
        <v>17</v>
      </c>
      <c r="D508" s="2" t="s">
        <v>18</v>
      </c>
      <c r="E508" s="5">
        <v>-28626</v>
      </c>
      <c r="F508" s="3" t="s">
        <v>468</v>
      </c>
      <c r="G508" s="3" t="s">
        <v>88</v>
      </c>
      <c r="H508" s="2" t="s">
        <v>30</v>
      </c>
      <c r="I508" s="2" t="s">
        <v>1268</v>
      </c>
      <c r="J508" s="3" t="str">
        <f>HYPERLINK("https://www.boe.es/gazeta/dias/1821/08/15/pdfs/GMD-1821-232.pdf#page=4","Abrir facsímil")</f>
        <v>Abrir facsímil</v>
      </c>
      <c r="K508" s="3" t="s">
        <v>32</v>
      </c>
    </row>
    <row r="509" spans="1:11" ht="42" customHeight="1">
      <c r="A509" s="2" t="s">
        <v>1269</v>
      </c>
      <c r="B509" s="2" t="s">
        <v>1270</v>
      </c>
      <c r="C509" s="2" t="s">
        <v>17</v>
      </c>
      <c r="D509" s="2" t="s">
        <v>18</v>
      </c>
      <c r="E509" s="5">
        <v>-28560</v>
      </c>
      <c r="F509" s="3" t="s">
        <v>363</v>
      </c>
      <c r="G509" s="3" t="s">
        <v>162</v>
      </c>
      <c r="H509" s="2" t="s">
        <v>21</v>
      </c>
      <c r="I509" s="2" t="s">
        <v>1271</v>
      </c>
      <c r="J509" s="3" t="str">
        <f>HYPERLINK("https://www.boe.es/gazeta/dias/1821/10/20/pdfs/GMD-1821-299.pdf#page=5","Abrir facsímil")</f>
        <v>Abrir facsímil</v>
      </c>
      <c r="K509" s="3" t="s">
        <v>23</v>
      </c>
    </row>
    <row r="510" spans="1:11" ht="42" customHeight="1">
      <c r="A510" s="2" t="s">
        <v>1272</v>
      </c>
      <c r="B510" s="2" t="s">
        <v>1272</v>
      </c>
      <c r="C510" s="2" t="s">
        <v>17</v>
      </c>
      <c r="D510" s="2" t="s">
        <v>18</v>
      </c>
      <c r="E510" s="5">
        <v>-28777</v>
      </c>
      <c r="F510" s="3" t="s">
        <v>1004</v>
      </c>
      <c r="G510" s="3" t="s">
        <v>1005</v>
      </c>
      <c r="H510" s="2" t="s">
        <v>21</v>
      </c>
      <c r="I510" s="2" t="s">
        <v>1273</v>
      </c>
      <c r="J510" s="3" t="str">
        <f>HYPERLINK("https://www.boe.es/gazeta/dias/1821/03/17/pdfs/GMD-1821-76.pdf#page=2","Abrir facsímil")</f>
        <v>Abrir facsímil</v>
      </c>
      <c r="K510" s="3" t="s">
        <v>23</v>
      </c>
    </row>
    <row r="511" spans="1:11" ht="42" customHeight="1">
      <c r="A511" s="2" t="s">
        <v>1274</v>
      </c>
      <c r="B511" s="2" t="s">
        <v>1274</v>
      </c>
      <c r="C511" s="2" t="s">
        <v>40</v>
      </c>
      <c r="D511" s="2" t="s">
        <v>41</v>
      </c>
      <c r="E511" s="5">
        <v>-28596</v>
      </c>
      <c r="F511" s="3" t="s">
        <v>1275</v>
      </c>
      <c r="G511" s="3" t="s">
        <v>43</v>
      </c>
      <c r="H511" s="2" t="s">
        <v>21</v>
      </c>
      <c r="I511" s="2" t="s">
        <v>1276</v>
      </c>
      <c r="J511" s="3" t="str">
        <f>HYPERLINK("https://www.boe.es/gazeta/dias/1821/09/14/pdfs/GMD-1821-262.pdf#page=1","Abrir facsímil")</f>
        <v>Abrir facsímil</v>
      </c>
      <c r="K511" s="3" t="s">
        <v>23</v>
      </c>
    </row>
    <row r="512" spans="1:11" ht="42" customHeight="1">
      <c r="A512" s="2" t="s">
        <v>1277</v>
      </c>
      <c r="B512" s="2" t="s">
        <v>1278</v>
      </c>
      <c r="C512" s="2" t="s">
        <v>17</v>
      </c>
      <c r="D512" s="2" t="s">
        <v>18</v>
      </c>
      <c r="E512" s="5">
        <v>-28541</v>
      </c>
      <c r="F512" s="3" t="s">
        <v>275</v>
      </c>
      <c r="G512" s="3" t="s">
        <v>52</v>
      </c>
      <c r="H512" s="2" t="s">
        <v>21</v>
      </c>
      <c r="I512" s="2" t="s">
        <v>1279</v>
      </c>
      <c r="J512" s="3" t="str">
        <f>HYPERLINK("https://www.boe.es/gazeta/dias/1821/11/08/pdfs/GMD-1821-319.pdf#page=2","Abrir facsímil")</f>
        <v>Abrir facsímil</v>
      </c>
      <c r="K512" s="3" t="s">
        <v>23</v>
      </c>
    </row>
    <row r="513" spans="1:11" ht="42" customHeight="1">
      <c r="A513" s="2" t="s">
        <v>1280</v>
      </c>
      <c r="B513" s="2" t="s">
        <v>1280</v>
      </c>
      <c r="C513" s="2" t="s">
        <v>40</v>
      </c>
      <c r="D513" s="2" t="s">
        <v>41</v>
      </c>
      <c r="E513" s="5">
        <v>-28543</v>
      </c>
      <c r="F513" s="3" t="s">
        <v>136</v>
      </c>
      <c r="G513" s="3" t="s">
        <v>20</v>
      </c>
      <c r="H513" s="2" t="s">
        <v>21</v>
      </c>
      <c r="I513" s="2" t="s">
        <v>1281</v>
      </c>
      <c r="J513" s="3" t="str">
        <f>HYPERLINK("https://www.boe.es/gazeta/dias/1821/11/06/pdfs/GMD-1821-317.pdf#page=3","Abrir facsímil")</f>
        <v>Abrir facsímil</v>
      </c>
      <c r="K513" s="3" t="s">
        <v>23</v>
      </c>
    </row>
    <row r="514" spans="1:11" ht="42" customHeight="1">
      <c r="A514" s="2" t="s">
        <v>1282</v>
      </c>
      <c r="B514" s="2" t="s">
        <v>1283</v>
      </c>
      <c r="C514" s="2" t="s">
        <v>26</v>
      </c>
      <c r="D514" s="2" t="s">
        <v>27</v>
      </c>
      <c r="E514" s="5">
        <v>-28710</v>
      </c>
      <c r="F514" s="3" t="s">
        <v>375</v>
      </c>
      <c r="G514" s="3" t="s">
        <v>88</v>
      </c>
      <c r="H514" s="2" t="s">
        <v>21</v>
      </c>
      <c r="I514" s="2" t="s">
        <v>1284</v>
      </c>
      <c r="J514" s="3" t="str">
        <f>HYPERLINK("https://www.boe.es/gazeta/dias/1821/05/23/pdfs/GMD-1821-145.pdf#page=4","Abrir facsímil")</f>
        <v>Abrir facsímil</v>
      </c>
      <c r="K514" s="3" t="s">
        <v>23</v>
      </c>
    </row>
    <row r="515" spans="1:11" ht="42" customHeight="1">
      <c r="A515" s="2" t="s">
        <v>1285</v>
      </c>
      <c r="B515" s="2" t="s">
        <v>1285</v>
      </c>
      <c r="C515" s="2" t="s">
        <v>17</v>
      </c>
      <c r="D515" s="2" t="s">
        <v>18</v>
      </c>
      <c r="E515" s="5">
        <v>-28522</v>
      </c>
      <c r="F515" s="3" t="s">
        <v>1083</v>
      </c>
      <c r="G515" s="3" t="s">
        <v>162</v>
      </c>
      <c r="H515" s="2" t="s">
        <v>21</v>
      </c>
      <c r="I515" s="2" t="s">
        <v>1286</v>
      </c>
      <c r="J515" s="3" t="str">
        <f>HYPERLINK("https://www.boe.es/gazeta/dias/1821/11/27/pdfs/GMD-1821-339.pdf#page=5","Abrir facsímil")</f>
        <v>Abrir facsímil</v>
      </c>
      <c r="K515" s="3" t="s">
        <v>23</v>
      </c>
    </row>
    <row r="516" spans="1:11" ht="42" customHeight="1">
      <c r="A516" s="2" t="s">
        <v>1287</v>
      </c>
      <c r="B516" s="2" t="s">
        <v>1287</v>
      </c>
      <c r="C516" s="2" t="s">
        <v>40</v>
      </c>
      <c r="D516" s="2" t="s">
        <v>41</v>
      </c>
      <c r="E516" s="5">
        <v>-28522</v>
      </c>
      <c r="F516" s="3" t="s">
        <v>1083</v>
      </c>
      <c r="G516" s="3" t="s">
        <v>1288</v>
      </c>
      <c r="H516" s="2" t="s">
        <v>21</v>
      </c>
      <c r="I516" s="2" t="s">
        <v>1289</v>
      </c>
      <c r="J516" s="3" t="str">
        <f>HYPERLINK("https://www.boe.es/gazeta/dias/1821/11/27/pdfs/GMD-1821-339.pdf#page=4","Abrir facsímil")</f>
        <v>Abrir facsímil</v>
      </c>
      <c r="K516" s="3" t="s">
        <v>23</v>
      </c>
    </row>
    <row r="517" spans="1:11" ht="42" customHeight="1">
      <c r="A517" s="2" t="s">
        <v>1287</v>
      </c>
      <c r="B517" s="2" t="s">
        <v>1287</v>
      </c>
      <c r="C517" s="2" t="s">
        <v>17</v>
      </c>
      <c r="D517" s="2" t="s">
        <v>18</v>
      </c>
      <c r="E517" s="5">
        <v>-28522</v>
      </c>
      <c r="F517" s="3" t="s">
        <v>1083</v>
      </c>
      <c r="G517" s="3" t="s">
        <v>162</v>
      </c>
      <c r="H517" s="2" t="s">
        <v>21</v>
      </c>
      <c r="I517" s="2" t="s">
        <v>1290</v>
      </c>
      <c r="J517" s="3" t="str">
        <f>HYPERLINK("https://www.boe.es/gazeta/dias/1821/11/27/pdfs/GMD-1821-339.pdf#page=5","Abrir facsímil")</f>
        <v>Abrir facsímil</v>
      </c>
      <c r="K517" s="3" t="s">
        <v>23</v>
      </c>
    </row>
    <row r="518" spans="1:11" ht="42" customHeight="1">
      <c r="A518" s="2" t="s">
        <v>1291</v>
      </c>
      <c r="B518" s="2" t="s">
        <v>1291</v>
      </c>
      <c r="C518" s="2" t="s">
        <v>26</v>
      </c>
      <c r="D518" s="2" t="s">
        <v>27</v>
      </c>
      <c r="E518" s="5">
        <v>-28750</v>
      </c>
      <c r="F518" s="3" t="s">
        <v>917</v>
      </c>
      <c r="G518" s="3" t="s">
        <v>43</v>
      </c>
      <c r="H518" s="2" t="s">
        <v>21</v>
      </c>
      <c r="I518" s="2" t="s">
        <v>1292</v>
      </c>
      <c r="J518" s="3" t="str">
        <f>HYPERLINK("https://www.boe.es/gazeta/dias/1821/04/13/pdfs/GMD-1821-105.pdf#page=1","Abrir facsímil")</f>
        <v>Abrir facsímil</v>
      </c>
      <c r="K518" s="3" t="s">
        <v>23</v>
      </c>
    </row>
    <row r="519" spans="1:11" ht="42" customHeight="1">
      <c r="A519" s="2" t="s">
        <v>1293</v>
      </c>
      <c r="B519" s="2" t="s">
        <v>1294</v>
      </c>
      <c r="C519" s="2" t="s">
        <v>17</v>
      </c>
      <c r="D519" s="2" t="s">
        <v>18</v>
      </c>
      <c r="E519" s="5">
        <v>-28647</v>
      </c>
      <c r="F519" s="3" t="s">
        <v>1295</v>
      </c>
      <c r="G519" s="3" t="s">
        <v>88</v>
      </c>
      <c r="H519" s="2" t="s">
        <v>21</v>
      </c>
      <c r="I519" s="2" t="s">
        <v>1296</v>
      </c>
      <c r="J519" s="3" t="str">
        <f>HYPERLINK("https://www.boe.es/gazeta/dias/1821/07/25/pdfs/GMD-1821-210.pdf#page=4","Abrir facsímil")</f>
        <v>Abrir facsímil</v>
      </c>
      <c r="K519" s="3" t="s">
        <v>23</v>
      </c>
    </row>
    <row r="520" spans="1:11" ht="42" customHeight="1">
      <c r="A520" s="2" t="s">
        <v>1297</v>
      </c>
      <c r="B520" s="2" t="s">
        <v>1297</v>
      </c>
      <c r="C520" s="2" t="s">
        <v>26</v>
      </c>
      <c r="D520" s="2" t="s">
        <v>27</v>
      </c>
      <c r="E520" s="5">
        <v>-28813</v>
      </c>
      <c r="F520" s="3" t="s">
        <v>268</v>
      </c>
      <c r="G520" s="3" t="s">
        <v>20</v>
      </c>
      <c r="H520" s="2" t="s">
        <v>21</v>
      </c>
      <c r="I520" s="2" t="s">
        <v>1298</v>
      </c>
      <c r="J520" s="3" t="str">
        <f>HYPERLINK("https://www.boe.es/gazeta/dias/1821/02/09/pdfs/GGB-1821-40.pdf#page=3","Abrir facsímil")</f>
        <v>Abrir facsímil</v>
      </c>
      <c r="K520" s="3" t="s">
        <v>23</v>
      </c>
    </row>
    <row r="521" spans="1:11" ht="42" customHeight="1">
      <c r="A521" s="2" t="s">
        <v>1297</v>
      </c>
      <c r="B521" s="2" t="s">
        <v>1297</v>
      </c>
      <c r="C521" s="2" t="s">
        <v>26</v>
      </c>
      <c r="D521" s="2" t="s">
        <v>27</v>
      </c>
      <c r="E521" s="5">
        <v>-28791</v>
      </c>
      <c r="F521" s="3" t="s">
        <v>47</v>
      </c>
      <c r="G521" s="3" t="s">
        <v>20</v>
      </c>
      <c r="H521" s="2" t="s">
        <v>21</v>
      </c>
      <c r="I521" s="2" t="s">
        <v>1299</v>
      </c>
      <c r="J521" s="3" t="str">
        <f>HYPERLINK("https://www.boe.es/gazeta/dias/1821/03/03/pdfs/GGB-1821-62.pdf#page=3","Abrir facsímil")</f>
        <v>Abrir facsímil</v>
      </c>
      <c r="K521" s="3" t="s">
        <v>23</v>
      </c>
    </row>
    <row r="522" spans="1:11" ht="42" customHeight="1">
      <c r="A522" s="2" t="s">
        <v>1297</v>
      </c>
      <c r="B522" s="2" t="s">
        <v>1297</v>
      </c>
      <c r="C522" s="2" t="s">
        <v>279</v>
      </c>
      <c r="D522" s="2" t="s">
        <v>27</v>
      </c>
      <c r="E522" s="5">
        <v>-28788</v>
      </c>
      <c r="F522" s="3" t="s">
        <v>996</v>
      </c>
      <c r="G522" s="3" t="s">
        <v>20</v>
      </c>
      <c r="H522" s="2" t="s">
        <v>21</v>
      </c>
      <c r="I522" s="2" t="s">
        <v>1300</v>
      </c>
      <c r="J522" s="3" t="str">
        <f>HYPERLINK("https://www.boe.es/gazeta/dias/1821/03/06/pdfs/GGB-1821-65.pdf#page=3","Abrir facsímil")</f>
        <v>Abrir facsímil</v>
      </c>
      <c r="K522" s="3" t="s">
        <v>23</v>
      </c>
    </row>
    <row r="523" spans="1:11" ht="42" customHeight="1">
      <c r="A523" s="2" t="s">
        <v>1297</v>
      </c>
      <c r="B523" s="2" t="s">
        <v>1297</v>
      </c>
      <c r="C523" s="2" t="s">
        <v>174</v>
      </c>
      <c r="D523" s="2" t="s">
        <v>27</v>
      </c>
      <c r="E523" s="5">
        <v>-28778</v>
      </c>
      <c r="F523" s="3" t="s">
        <v>1301</v>
      </c>
      <c r="G523" s="3" t="s">
        <v>29</v>
      </c>
      <c r="H523" s="2" t="s">
        <v>21</v>
      </c>
      <c r="I523" s="2" t="s">
        <v>1302</v>
      </c>
      <c r="J523" s="3" t="str">
        <f>HYPERLINK("https://www.boe.es/gazeta/dias/1821/03/16/pdfs/GMD-1821-75.pdf#page=6","Abrir facsímil")</f>
        <v>Abrir facsímil</v>
      </c>
      <c r="K523" s="3" t="s">
        <v>23</v>
      </c>
    </row>
    <row r="524" spans="1:11" ht="42" customHeight="1">
      <c r="A524" s="2" t="s">
        <v>1297</v>
      </c>
      <c r="B524" s="2" t="s">
        <v>1297</v>
      </c>
      <c r="C524" s="2" t="s">
        <v>40</v>
      </c>
      <c r="D524" s="2" t="s">
        <v>41</v>
      </c>
      <c r="E524" s="5">
        <v>-28750</v>
      </c>
      <c r="F524" s="3" t="s">
        <v>917</v>
      </c>
      <c r="G524" s="3" t="s">
        <v>52</v>
      </c>
      <c r="H524" s="2" t="s">
        <v>21</v>
      </c>
      <c r="I524" s="2" t="s">
        <v>1303</v>
      </c>
      <c r="J524" s="3" t="str">
        <f>HYPERLINK("https://www.boe.es/gazeta/dias/1821/04/13/pdfs/GMD-1821-105.pdf#page=2","Abrir facsímil")</f>
        <v>Abrir facsímil</v>
      </c>
      <c r="K524" s="3" t="s">
        <v>23</v>
      </c>
    </row>
    <row r="525" spans="1:11" ht="42" customHeight="1">
      <c r="A525" s="2" t="s">
        <v>1297</v>
      </c>
      <c r="B525" s="2" t="s">
        <v>1297</v>
      </c>
      <c r="C525" s="2" t="s">
        <v>40</v>
      </c>
      <c r="D525" s="2" t="s">
        <v>41</v>
      </c>
      <c r="E525" s="5">
        <v>-28727</v>
      </c>
      <c r="F525" s="3" t="s">
        <v>200</v>
      </c>
      <c r="G525" s="3" t="s">
        <v>52</v>
      </c>
      <c r="H525" s="2" t="s">
        <v>21</v>
      </c>
      <c r="I525" s="2" t="s">
        <v>1304</v>
      </c>
      <c r="J525" s="3" t="str">
        <f>HYPERLINK("https://www.boe.es/gazeta/dias/1821/05/06/pdfs/GMD-1821-128.pdf#page=2","Abrir facsímil")</f>
        <v>Abrir facsímil</v>
      </c>
      <c r="K525" s="3" t="s">
        <v>23</v>
      </c>
    </row>
    <row r="526" spans="1:11" ht="42" customHeight="1">
      <c r="A526" s="2" t="s">
        <v>1297</v>
      </c>
      <c r="B526" s="2" t="s">
        <v>1297</v>
      </c>
      <c r="C526" s="2" t="s">
        <v>35</v>
      </c>
      <c r="D526" s="2" t="s">
        <v>27</v>
      </c>
      <c r="E526" s="5">
        <v>-28724</v>
      </c>
      <c r="F526" s="3" t="s">
        <v>1305</v>
      </c>
      <c r="G526" s="3" t="s">
        <v>20</v>
      </c>
      <c r="H526" s="2" t="s">
        <v>21</v>
      </c>
      <c r="I526" s="2" t="s">
        <v>1306</v>
      </c>
      <c r="J526" s="3" t="str">
        <f>HYPERLINK("https://www.boe.es/gazeta/dias/1821/05/09/pdfs/GMD-1821-131.pdf#page=3","Abrir facsímil")</f>
        <v>Abrir facsímil</v>
      </c>
      <c r="K526" s="3" t="s">
        <v>23</v>
      </c>
    </row>
    <row r="527" spans="1:11" ht="42" customHeight="1">
      <c r="A527" s="2" t="s">
        <v>1297</v>
      </c>
      <c r="B527" s="2" t="s">
        <v>1297</v>
      </c>
      <c r="C527" s="2" t="s">
        <v>40</v>
      </c>
      <c r="D527" s="2" t="s">
        <v>41</v>
      </c>
      <c r="E527" s="5">
        <v>-28714</v>
      </c>
      <c r="F527" s="3" t="s">
        <v>522</v>
      </c>
      <c r="G527" s="3" t="s">
        <v>52</v>
      </c>
      <c r="H527" s="2" t="s">
        <v>21</v>
      </c>
      <c r="I527" s="2" t="s">
        <v>1307</v>
      </c>
      <c r="J527" s="3" t="str">
        <f>HYPERLINK("https://www.boe.es/gazeta/dias/1821/05/19/pdfs/GMD-1821-141.pdf#page=2","Abrir facsímil")</f>
        <v>Abrir facsímil</v>
      </c>
      <c r="K527" s="3" t="s">
        <v>23</v>
      </c>
    </row>
    <row r="528" spans="1:11" ht="42" customHeight="1">
      <c r="A528" s="2" t="s">
        <v>1297</v>
      </c>
      <c r="B528" s="2" t="s">
        <v>1297</v>
      </c>
      <c r="C528" s="2" t="s">
        <v>40</v>
      </c>
      <c r="D528" s="2" t="s">
        <v>41</v>
      </c>
      <c r="E528" s="5">
        <v>-28711</v>
      </c>
      <c r="F528" s="3" t="s">
        <v>1048</v>
      </c>
      <c r="G528" s="3" t="s">
        <v>20</v>
      </c>
      <c r="H528" s="2" t="s">
        <v>21</v>
      </c>
      <c r="I528" s="2" t="s">
        <v>1308</v>
      </c>
      <c r="J528" s="3" t="str">
        <f>HYPERLINK("https://www.boe.es/gazeta/dias/1821/05/22/pdfs/GMD-1821-144.pdf#page=3","Abrir facsímil")</f>
        <v>Abrir facsímil</v>
      </c>
      <c r="K528" s="3" t="s">
        <v>23</v>
      </c>
    </row>
    <row r="529" spans="1:11" ht="42" customHeight="1">
      <c r="A529" s="2" t="s">
        <v>1297</v>
      </c>
      <c r="B529" s="2" t="s">
        <v>1297</v>
      </c>
      <c r="C529" s="2" t="s">
        <v>26</v>
      </c>
      <c r="D529" s="2" t="s">
        <v>27</v>
      </c>
      <c r="E529" s="5">
        <v>-28695</v>
      </c>
      <c r="F529" s="3" t="s">
        <v>1309</v>
      </c>
      <c r="G529" s="3" t="s">
        <v>43</v>
      </c>
      <c r="H529" s="2" t="s">
        <v>21</v>
      </c>
      <c r="I529" s="2" t="s">
        <v>1310</v>
      </c>
      <c r="J529" s="3" t="str">
        <f>HYPERLINK("https://www.boe.es/gazeta/dias/1821/06/07/pdfs/GMD-1821-160.pdf#page=1","Abrir facsímil")</f>
        <v>Abrir facsímil</v>
      </c>
      <c r="K529" s="3" t="s">
        <v>23</v>
      </c>
    </row>
    <row r="530" spans="1:11" ht="42" customHeight="1">
      <c r="A530" s="2" t="s">
        <v>1297</v>
      </c>
      <c r="B530" s="2" t="s">
        <v>1297</v>
      </c>
      <c r="C530" s="2" t="s">
        <v>17</v>
      </c>
      <c r="D530" s="2" t="s">
        <v>18</v>
      </c>
      <c r="E530" s="5">
        <v>-28693</v>
      </c>
      <c r="F530" s="3" t="s">
        <v>74</v>
      </c>
      <c r="G530" s="3" t="s">
        <v>20</v>
      </c>
      <c r="H530" s="2" t="s">
        <v>21</v>
      </c>
      <c r="I530" s="2" t="s">
        <v>1311</v>
      </c>
      <c r="J530" s="3" t="str">
        <f>HYPERLINK("https://www.boe.es/gazeta/dias/1821/06/09/pdfs/GMD-1821-162.pdf#page=3","Abrir facsímil")</f>
        <v>Abrir facsímil</v>
      </c>
      <c r="K530" s="3" t="s">
        <v>23</v>
      </c>
    </row>
    <row r="531" spans="1:11" ht="42" customHeight="1">
      <c r="A531" s="2" t="s">
        <v>1297</v>
      </c>
      <c r="B531" s="2" t="s">
        <v>1297</v>
      </c>
      <c r="C531" s="2" t="s">
        <v>70</v>
      </c>
      <c r="D531" s="2" t="s">
        <v>27</v>
      </c>
      <c r="E531" s="5">
        <v>-28681</v>
      </c>
      <c r="F531" s="3" t="s">
        <v>210</v>
      </c>
      <c r="G531" s="3" t="s">
        <v>20</v>
      </c>
      <c r="H531" s="2" t="s">
        <v>21</v>
      </c>
      <c r="I531" s="2" t="s">
        <v>1312</v>
      </c>
      <c r="J531" s="3" t="str">
        <f>HYPERLINK("https://www.boe.es/gazeta/dias/1821/06/21/pdfs/GMD-1821-174.pdf#page=3","Abrir facsímil")</f>
        <v>Abrir facsímil</v>
      </c>
      <c r="K531" s="3" t="s">
        <v>23</v>
      </c>
    </row>
    <row r="532" spans="1:11" ht="42" customHeight="1">
      <c r="A532" s="2" t="s">
        <v>1297</v>
      </c>
      <c r="B532" s="2" t="s">
        <v>1297</v>
      </c>
      <c r="C532" s="2" t="s">
        <v>35</v>
      </c>
      <c r="D532" s="2" t="s">
        <v>27</v>
      </c>
      <c r="E532" s="5">
        <v>-28681</v>
      </c>
      <c r="F532" s="3" t="s">
        <v>210</v>
      </c>
      <c r="G532" s="3" t="s">
        <v>88</v>
      </c>
      <c r="H532" s="2" t="s">
        <v>21</v>
      </c>
      <c r="I532" s="2" t="s">
        <v>1313</v>
      </c>
      <c r="J532" s="3" t="str">
        <f>HYPERLINK("https://www.boe.es/gazeta/dias/1821/06/21/pdfs/GMD-1821-174.pdf#page=4","Abrir facsímil")</f>
        <v>Abrir facsímil</v>
      </c>
      <c r="K532" s="3" t="s">
        <v>23</v>
      </c>
    </row>
    <row r="533" spans="1:11" ht="42" customHeight="1">
      <c r="A533" s="2" t="s">
        <v>1297</v>
      </c>
      <c r="B533" s="2" t="s">
        <v>1297</v>
      </c>
      <c r="C533" s="2" t="s">
        <v>26</v>
      </c>
      <c r="D533" s="2" t="s">
        <v>27</v>
      </c>
      <c r="E533" s="5">
        <v>-28652</v>
      </c>
      <c r="F533" s="3" t="s">
        <v>1314</v>
      </c>
      <c r="G533" s="3" t="s">
        <v>1315</v>
      </c>
      <c r="H533" s="2" t="s">
        <v>21</v>
      </c>
      <c r="I533" s="2" t="s">
        <v>1316</v>
      </c>
      <c r="J533" s="3" t="str">
        <f>HYPERLINK("https://www.boe.es/gazeta/dias/1821/07/20/pdfs/GMD-1821-205.pdf#page=4","Abrir facsímil")</f>
        <v>Abrir facsímil</v>
      </c>
      <c r="K533" s="3" t="s">
        <v>23</v>
      </c>
    </row>
    <row r="534" spans="1:11" ht="42" customHeight="1">
      <c r="A534" s="2" t="s">
        <v>1297</v>
      </c>
      <c r="B534" s="2" t="s">
        <v>1297</v>
      </c>
      <c r="C534" s="2" t="s">
        <v>17</v>
      </c>
      <c r="D534" s="2" t="s">
        <v>18</v>
      </c>
      <c r="E534" s="5">
        <v>-28621</v>
      </c>
      <c r="F534" s="3" t="s">
        <v>1317</v>
      </c>
      <c r="G534" s="3" t="s">
        <v>88</v>
      </c>
      <c r="H534" s="2" t="s">
        <v>21</v>
      </c>
      <c r="I534" s="2" t="s">
        <v>1318</v>
      </c>
      <c r="J534" s="3" t="str">
        <f>HYPERLINK("https://www.boe.es/gazeta/dias/1821/08/20/pdfs/GMD-1821-237.pdf#page=4","Abrir facsímil")</f>
        <v>Abrir facsímil</v>
      </c>
      <c r="K534" s="3" t="s">
        <v>23</v>
      </c>
    </row>
    <row r="535" spans="1:11" ht="42" customHeight="1">
      <c r="A535" s="2" t="s">
        <v>1297</v>
      </c>
      <c r="B535" s="2" t="s">
        <v>1297</v>
      </c>
      <c r="C535" s="2" t="s">
        <v>26</v>
      </c>
      <c r="D535" s="2" t="s">
        <v>27</v>
      </c>
      <c r="E535" s="5">
        <v>-28585</v>
      </c>
      <c r="F535" s="3" t="s">
        <v>627</v>
      </c>
      <c r="G535" s="3" t="s">
        <v>20</v>
      </c>
      <c r="H535" s="2" t="s">
        <v>21</v>
      </c>
      <c r="I535" s="2" t="s">
        <v>1319</v>
      </c>
      <c r="J535" s="3" t="str">
        <f>HYPERLINK("https://www.boe.es/gazeta/dias/1821/09/25/pdfs/GMD-1821-273.pdf#page=3","Abrir facsímil")</f>
        <v>Abrir facsímil</v>
      </c>
      <c r="K535" s="3" t="s">
        <v>23</v>
      </c>
    </row>
    <row r="536" spans="1:11" ht="42" customHeight="1">
      <c r="A536" s="2" t="s">
        <v>1297</v>
      </c>
      <c r="B536" s="2" t="s">
        <v>1297</v>
      </c>
      <c r="C536" s="2" t="s">
        <v>40</v>
      </c>
      <c r="D536" s="2" t="s">
        <v>41</v>
      </c>
      <c r="E536" s="5">
        <v>-28571</v>
      </c>
      <c r="F536" s="3" t="s">
        <v>482</v>
      </c>
      <c r="G536" s="3" t="s">
        <v>20</v>
      </c>
      <c r="H536" s="2" t="s">
        <v>21</v>
      </c>
      <c r="I536" s="2" t="s">
        <v>1320</v>
      </c>
      <c r="J536" s="3" t="str">
        <f>HYPERLINK("https://www.boe.es/gazeta/dias/1821/10/09/pdfs/GMD-1821-288.pdf#page=3","Abrir facsímil")</f>
        <v>Abrir facsímil</v>
      </c>
      <c r="K536" s="3" t="s">
        <v>23</v>
      </c>
    </row>
    <row r="537" spans="1:11" ht="42" customHeight="1">
      <c r="A537" s="2" t="s">
        <v>1297</v>
      </c>
      <c r="B537" s="2" t="s">
        <v>1297</v>
      </c>
      <c r="C537" s="2" t="s">
        <v>17</v>
      </c>
      <c r="D537" s="2" t="s">
        <v>18</v>
      </c>
      <c r="E537" s="5">
        <v>-28551</v>
      </c>
      <c r="F537" s="3" t="s">
        <v>542</v>
      </c>
      <c r="G537" s="3" t="s">
        <v>52</v>
      </c>
      <c r="H537" s="2" t="s">
        <v>21</v>
      </c>
      <c r="I537" s="2" t="s">
        <v>1321</v>
      </c>
      <c r="J537" s="3" t="str">
        <f>HYPERLINK("https://www.boe.es/gazeta/dias/1821/10/29/pdfs/GMD-1821-308.pdf#page=2","Abrir facsímil")</f>
        <v>Abrir facsímil</v>
      </c>
      <c r="K537" s="3" t="s">
        <v>23</v>
      </c>
    </row>
    <row r="538" spans="1:11" ht="42" customHeight="1">
      <c r="A538" s="2" t="s">
        <v>1297</v>
      </c>
      <c r="B538" s="2" t="s">
        <v>1297</v>
      </c>
      <c r="C538" s="2" t="s">
        <v>35</v>
      </c>
      <c r="D538" s="2" t="s">
        <v>27</v>
      </c>
      <c r="E538" s="5">
        <v>-28536</v>
      </c>
      <c r="F538" s="3" t="s">
        <v>553</v>
      </c>
      <c r="G538" s="3" t="s">
        <v>88</v>
      </c>
      <c r="H538" s="2" t="s">
        <v>21</v>
      </c>
      <c r="I538" s="2" t="s">
        <v>1322</v>
      </c>
      <c r="J538" s="3" t="str">
        <f>HYPERLINK("https://www.boe.es/gazeta/dias/1821/11/13/pdfs/GMD-1821-324.pdf#page=4","Abrir facsímil")</f>
        <v>Abrir facsímil</v>
      </c>
      <c r="K538" s="3" t="s">
        <v>23</v>
      </c>
    </row>
    <row r="539" spans="1:11" ht="42" customHeight="1">
      <c r="A539" s="2" t="s">
        <v>1297</v>
      </c>
      <c r="B539" s="2" t="s">
        <v>1297</v>
      </c>
      <c r="C539" s="2" t="s">
        <v>35</v>
      </c>
      <c r="D539" s="2" t="s">
        <v>27</v>
      </c>
      <c r="E539" s="5">
        <v>-28536</v>
      </c>
      <c r="F539" s="3" t="s">
        <v>553</v>
      </c>
      <c r="G539" s="3" t="s">
        <v>162</v>
      </c>
      <c r="H539" s="2" t="s">
        <v>21</v>
      </c>
      <c r="I539" s="2" t="s">
        <v>1323</v>
      </c>
      <c r="J539" s="3" t="str">
        <f>HYPERLINK("https://www.boe.es/gazeta/dias/1821/11/13/pdfs/GMD-1821-324.pdf#page=5","Abrir facsímil")</f>
        <v>Abrir facsímil</v>
      </c>
      <c r="K539" s="3" t="s">
        <v>23</v>
      </c>
    </row>
    <row r="540" spans="1:11" ht="42" customHeight="1">
      <c r="A540" s="2" t="s">
        <v>1297</v>
      </c>
      <c r="B540" s="2" t="s">
        <v>1297</v>
      </c>
      <c r="C540" s="2" t="s">
        <v>174</v>
      </c>
      <c r="D540" s="2" t="s">
        <v>27</v>
      </c>
      <c r="E540" s="5">
        <v>-28521</v>
      </c>
      <c r="F540" s="3" t="s">
        <v>499</v>
      </c>
      <c r="G540" s="3" t="s">
        <v>20</v>
      </c>
      <c r="H540" s="2" t="s">
        <v>21</v>
      </c>
      <c r="I540" s="2" t="s">
        <v>1324</v>
      </c>
      <c r="J540" s="3" t="str">
        <f>HYPERLINK("https://www.boe.es/gazeta/dias/1821/11/28/pdfs/GMD-1821-340.pdf#page=3","Abrir facsímil")</f>
        <v>Abrir facsímil</v>
      </c>
      <c r="K540" s="3" t="s">
        <v>23</v>
      </c>
    </row>
    <row r="541" spans="1:11" ht="42" customHeight="1">
      <c r="A541" s="2" t="s">
        <v>1297</v>
      </c>
      <c r="B541" s="2" t="s">
        <v>1297</v>
      </c>
      <c r="C541" s="2" t="s">
        <v>40</v>
      </c>
      <c r="D541" s="2" t="s">
        <v>41</v>
      </c>
      <c r="E541" s="5">
        <v>-28517</v>
      </c>
      <c r="F541" s="3" t="s">
        <v>563</v>
      </c>
      <c r="G541" s="3" t="s">
        <v>88</v>
      </c>
      <c r="H541" s="2" t="s">
        <v>21</v>
      </c>
      <c r="I541" s="2" t="s">
        <v>1325</v>
      </c>
      <c r="J541" s="3" t="str">
        <f>HYPERLINK("https://www.boe.es/gazeta/dias/1821/12/02/pdfs/GMD-1821-344.pdf#page=4","Abrir facsímil")</f>
        <v>Abrir facsímil</v>
      </c>
      <c r="K541" s="3" t="s">
        <v>23</v>
      </c>
    </row>
    <row r="542" spans="1:11" ht="42" customHeight="1">
      <c r="A542" s="2" t="s">
        <v>1297</v>
      </c>
      <c r="B542" s="2" t="s">
        <v>1297</v>
      </c>
      <c r="C542" s="2" t="s">
        <v>26</v>
      </c>
      <c r="D542" s="2" t="s">
        <v>27</v>
      </c>
      <c r="E542" s="5">
        <v>-28512</v>
      </c>
      <c r="F542" s="3" t="s">
        <v>66</v>
      </c>
      <c r="G542" s="3" t="s">
        <v>20</v>
      </c>
      <c r="H542" s="2" t="s">
        <v>21</v>
      </c>
      <c r="I542" s="2" t="s">
        <v>1326</v>
      </c>
      <c r="J542" s="3" t="str">
        <f>HYPERLINK("https://www.boe.es/gazeta/dias/1821/12/07/pdfs/GMD-1821-349.pdf#page=3","Abrir facsímil")</f>
        <v>Abrir facsímil</v>
      </c>
      <c r="K542" s="3" t="s">
        <v>23</v>
      </c>
    </row>
    <row r="543" spans="1:11" ht="42" customHeight="1">
      <c r="A543" s="2" t="s">
        <v>1297</v>
      </c>
      <c r="B543" s="2" t="s">
        <v>1297</v>
      </c>
      <c r="C543" s="2" t="s">
        <v>17</v>
      </c>
      <c r="D543" s="2" t="s">
        <v>18</v>
      </c>
      <c r="E543" s="5">
        <v>-28509</v>
      </c>
      <c r="F543" s="3" t="s">
        <v>388</v>
      </c>
      <c r="G543" s="3" t="s">
        <v>609</v>
      </c>
      <c r="H543" s="2" t="s">
        <v>21</v>
      </c>
      <c r="I543" s="2" t="s">
        <v>1327</v>
      </c>
      <c r="J543" s="3" t="str">
        <f>HYPERLINK("https://www.boe.es/gazeta/dias/1821/12/10/pdfs/GMD-1821-352.pdf#page=7","Abrir facsímil")</f>
        <v>Abrir facsímil</v>
      </c>
      <c r="K543" s="3" t="s">
        <v>23</v>
      </c>
    </row>
    <row r="544" spans="1:11" ht="42" customHeight="1">
      <c r="A544" s="2" t="s">
        <v>1297</v>
      </c>
      <c r="B544" s="2" t="s">
        <v>1297</v>
      </c>
      <c r="C544" s="2" t="s">
        <v>35</v>
      </c>
      <c r="D544" s="2" t="s">
        <v>27</v>
      </c>
      <c r="E544" s="5">
        <v>-28505</v>
      </c>
      <c r="F544" s="3" t="s">
        <v>567</v>
      </c>
      <c r="G544" s="3" t="s">
        <v>43</v>
      </c>
      <c r="H544" s="2" t="s">
        <v>21</v>
      </c>
      <c r="I544" s="2" t="s">
        <v>1328</v>
      </c>
      <c r="J544" s="3" t="str">
        <f>HYPERLINK("https://www.boe.es/gazeta/dias/1821/12/14/pdfs/GMD-1821-357.pdf#page=1","Abrir facsímil")</f>
        <v>Abrir facsímil</v>
      </c>
      <c r="K544" s="3" t="s">
        <v>23</v>
      </c>
    </row>
    <row r="545" spans="1:11" ht="42" customHeight="1">
      <c r="A545" s="2" t="s">
        <v>1329</v>
      </c>
      <c r="B545" s="2" t="s">
        <v>1330</v>
      </c>
      <c r="C545" s="2" t="s">
        <v>17</v>
      </c>
      <c r="D545" s="2" t="s">
        <v>18</v>
      </c>
      <c r="E545" s="5">
        <v>-28491</v>
      </c>
      <c r="F545" s="3" t="s">
        <v>573</v>
      </c>
      <c r="G545" s="3" t="s">
        <v>88</v>
      </c>
      <c r="H545" s="2" t="s">
        <v>21</v>
      </c>
      <c r="I545" s="2" t="s">
        <v>1331</v>
      </c>
      <c r="J545" s="3" t="str">
        <f>HYPERLINK("https://www.boe.es/gazeta/dias/1821/12/28/pdfs/GMD-1821-371.pdf#page=4","Abrir facsímil")</f>
        <v>Abrir facsímil</v>
      </c>
      <c r="K545" s="3" t="s">
        <v>23</v>
      </c>
    </row>
    <row r="546" spans="1:11" ht="42" customHeight="1">
      <c r="A546" s="2" t="s">
        <v>1332</v>
      </c>
      <c r="B546" s="2" t="s">
        <v>1333</v>
      </c>
      <c r="C546" s="2" t="s">
        <v>114</v>
      </c>
      <c r="D546" s="2" t="s">
        <v>27</v>
      </c>
      <c r="E546" s="5">
        <v>-28529</v>
      </c>
      <c r="F546" s="3" t="s">
        <v>525</v>
      </c>
      <c r="G546" s="3" t="s">
        <v>88</v>
      </c>
      <c r="H546" s="2" t="s">
        <v>30</v>
      </c>
      <c r="I546" s="2" t="s">
        <v>1334</v>
      </c>
      <c r="J546" s="3" t="str">
        <f>HYPERLINK("https://www.boe.es/gazeta/dias/1821/11/20/pdfs/GMD-1821-331.pdf#page=4","Abrir facsímil")</f>
        <v>Abrir facsímil</v>
      </c>
      <c r="K546" s="3" t="s">
        <v>32</v>
      </c>
    </row>
    <row r="547" spans="1:11" ht="42" customHeight="1">
      <c r="A547" s="2" t="s">
        <v>1335</v>
      </c>
      <c r="B547" s="2" t="s">
        <v>1336</v>
      </c>
      <c r="C547" s="2" t="s">
        <v>40</v>
      </c>
      <c r="D547" s="2" t="s">
        <v>41</v>
      </c>
      <c r="E547" s="5">
        <v>-28518</v>
      </c>
      <c r="F547" s="3" t="s">
        <v>410</v>
      </c>
      <c r="G547" s="3" t="s">
        <v>29</v>
      </c>
      <c r="H547" s="2" t="s">
        <v>21</v>
      </c>
      <c r="I547" s="2" t="s">
        <v>1337</v>
      </c>
      <c r="J547" s="3" t="str">
        <f>HYPERLINK("https://www.boe.es/gazeta/dias/1821/12/01/pdfs/GMD-1821-343.pdf#page=6","Abrir facsímil")</f>
        <v>Abrir facsímil</v>
      </c>
      <c r="K547" s="3" t="s">
        <v>23</v>
      </c>
    </row>
    <row r="548" spans="1:11" ht="42" customHeight="1">
      <c r="A548" s="2" t="s">
        <v>1338</v>
      </c>
      <c r="B548" s="2" t="s">
        <v>1339</v>
      </c>
      <c r="C548" s="2" t="s">
        <v>26</v>
      </c>
      <c r="D548" s="2" t="s">
        <v>27</v>
      </c>
      <c r="E548" s="5">
        <v>-28644</v>
      </c>
      <c r="F548" s="3" t="s">
        <v>1340</v>
      </c>
      <c r="G548" s="3" t="s">
        <v>20</v>
      </c>
      <c r="H548" s="2" t="s">
        <v>30</v>
      </c>
      <c r="I548" s="2" t="s">
        <v>1341</v>
      </c>
      <c r="J548" s="3" t="str">
        <f>HYPERLINK("https://www.boe.es/gazeta/dias/1821/07/28/pdfs/GMD-1821-213.pdf#page=3","Abrir facsímil")</f>
        <v>Abrir facsímil</v>
      </c>
      <c r="K548" s="3" t="s">
        <v>32</v>
      </c>
    </row>
    <row r="549" spans="1:11" ht="42" customHeight="1">
      <c r="A549" s="2" t="s">
        <v>1342</v>
      </c>
      <c r="B549" s="2" t="s">
        <v>1343</v>
      </c>
      <c r="C549" s="2" t="s">
        <v>17</v>
      </c>
      <c r="D549" s="2" t="s">
        <v>18</v>
      </c>
      <c r="E549" s="5">
        <v>-28531</v>
      </c>
      <c r="F549" s="3" t="s">
        <v>365</v>
      </c>
      <c r="G549" s="3" t="s">
        <v>20</v>
      </c>
      <c r="H549" s="2" t="s">
        <v>21</v>
      </c>
      <c r="I549" s="2" t="s">
        <v>1344</v>
      </c>
      <c r="J549" s="3" t="str">
        <f>HYPERLINK("https://www.boe.es/gazeta/dias/1821/11/18/pdfs/GMD-1821-329.pdf#page=3","Abrir facsímil")</f>
        <v>Abrir facsímil</v>
      </c>
      <c r="K549" s="3" t="s">
        <v>23</v>
      </c>
    </row>
    <row r="550" spans="1:11" ht="42" customHeight="1">
      <c r="A550" s="2" t="s">
        <v>1345</v>
      </c>
      <c r="B550" s="2" t="s">
        <v>1346</v>
      </c>
      <c r="C550" s="2" t="s">
        <v>26</v>
      </c>
      <c r="D550" s="2" t="s">
        <v>27</v>
      </c>
      <c r="E550" s="5">
        <v>-28807</v>
      </c>
      <c r="F550" s="3" t="s">
        <v>613</v>
      </c>
      <c r="G550" s="3" t="s">
        <v>20</v>
      </c>
      <c r="H550" s="2" t="s">
        <v>21</v>
      </c>
      <c r="I550" s="2" t="s">
        <v>1347</v>
      </c>
      <c r="J550" s="3" t="str">
        <f>HYPERLINK("https://www.boe.es/gazeta/dias/1821/02/15/pdfs/GGB-1821-46.pdf#page=3","Abrir facsímil")</f>
        <v>Abrir facsímil</v>
      </c>
      <c r="K550" s="3" t="s">
        <v>23</v>
      </c>
    </row>
    <row r="551" spans="1:11" ht="42" customHeight="1">
      <c r="A551" s="2" t="s">
        <v>1348</v>
      </c>
      <c r="B551" s="2" t="s">
        <v>1348</v>
      </c>
      <c r="C551" s="2" t="s">
        <v>70</v>
      </c>
      <c r="D551" s="2" t="s">
        <v>27</v>
      </c>
      <c r="E551" s="5">
        <v>-28790</v>
      </c>
      <c r="F551" s="3" t="s">
        <v>991</v>
      </c>
      <c r="G551" s="3" t="s">
        <v>20</v>
      </c>
      <c r="H551" s="2" t="s">
        <v>21</v>
      </c>
      <c r="I551" s="2" t="s">
        <v>1349</v>
      </c>
      <c r="J551" s="3" t="str">
        <f>HYPERLINK("https://www.boe.es/gazeta/dias/1821/03/04/pdfs/GGB-1821-63.pdf#page=3","Abrir facsímil")</f>
        <v>Abrir facsímil</v>
      </c>
      <c r="K551" s="3" t="s">
        <v>23</v>
      </c>
    </row>
    <row r="552" spans="1:11" ht="42" customHeight="1">
      <c r="A552" s="2" t="s">
        <v>1350</v>
      </c>
      <c r="B552" s="2" t="s">
        <v>1351</v>
      </c>
      <c r="C552" s="2" t="s">
        <v>40</v>
      </c>
      <c r="D552" s="2" t="s">
        <v>41</v>
      </c>
      <c r="E552" s="5">
        <v>-28738</v>
      </c>
      <c r="F552" s="3" t="s">
        <v>359</v>
      </c>
      <c r="G552" s="3" t="s">
        <v>20</v>
      </c>
      <c r="H552" s="2" t="s">
        <v>21</v>
      </c>
      <c r="I552" s="2" t="s">
        <v>1352</v>
      </c>
      <c r="J552" s="3" t="str">
        <f>HYPERLINK("https://www.boe.es/gazeta/dias/1821/04/25/pdfs/GMD-1821-117.pdf#page=3","Abrir facsímil")</f>
        <v>Abrir facsímil</v>
      </c>
      <c r="K552" s="3" t="s">
        <v>23</v>
      </c>
    </row>
    <row r="553" spans="1:11" ht="42" customHeight="1">
      <c r="A553" s="2" t="s">
        <v>1353</v>
      </c>
      <c r="B553" s="2" t="s">
        <v>1354</v>
      </c>
      <c r="C553" s="2" t="s">
        <v>35</v>
      </c>
      <c r="D553" s="2" t="s">
        <v>27</v>
      </c>
      <c r="E553" s="5">
        <v>-28541</v>
      </c>
      <c r="F553" s="3" t="s">
        <v>275</v>
      </c>
      <c r="G553" s="3" t="s">
        <v>52</v>
      </c>
      <c r="H553" s="2" t="s">
        <v>21</v>
      </c>
      <c r="I553" s="2" t="s">
        <v>1355</v>
      </c>
      <c r="J553" s="3" t="str">
        <f>HYPERLINK("https://www.boe.es/gazeta/dias/1821/11/08/pdfs/GMD-1821-319.pdf#page=2","Abrir facsímil")</f>
        <v>Abrir facsímil</v>
      </c>
      <c r="K553" s="3" t="s">
        <v>23</v>
      </c>
    </row>
    <row r="554" spans="1:11" ht="42" customHeight="1">
      <c r="A554" s="2" t="s">
        <v>1356</v>
      </c>
      <c r="B554" s="2" t="s">
        <v>1356</v>
      </c>
      <c r="C554" s="2" t="s">
        <v>40</v>
      </c>
      <c r="D554" s="2" t="s">
        <v>41</v>
      </c>
      <c r="E554" s="5">
        <v>-28697</v>
      </c>
      <c r="F554" s="3" t="s">
        <v>166</v>
      </c>
      <c r="G554" s="3" t="s">
        <v>1357</v>
      </c>
      <c r="H554" s="2" t="s">
        <v>21</v>
      </c>
      <c r="I554" s="2" t="s">
        <v>1358</v>
      </c>
      <c r="J554" s="3" t="str">
        <f>HYPERLINK("https://www.boe.es/gazeta/dias/1821/06/05/pdfs/GMD-1821-158.pdf#page=4","Abrir facsímil")</f>
        <v>Abrir facsímil</v>
      </c>
      <c r="K554" s="3" t="s">
        <v>23</v>
      </c>
    </row>
    <row r="555" spans="1:11" ht="42" customHeight="1">
      <c r="A555" s="2" t="s">
        <v>1359</v>
      </c>
      <c r="B555" s="2" t="s">
        <v>1359</v>
      </c>
      <c r="C555" s="2" t="s">
        <v>40</v>
      </c>
      <c r="D555" s="2" t="s">
        <v>41</v>
      </c>
      <c r="E555" s="5">
        <v>-28735</v>
      </c>
      <c r="F555" s="3" t="s">
        <v>836</v>
      </c>
      <c r="G555" s="3" t="s">
        <v>88</v>
      </c>
      <c r="H555" s="2" t="s">
        <v>21</v>
      </c>
      <c r="I555" s="2" t="s">
        <v>1360</v>
      </c>
      <c r="J555" s="3" t="str">
        <f>HYPERLINK("https://www.boe.es/gazeta/dias/1821/04/28/pdfs/GMD-1821-120.pdf#page=4","Abrir facsímil")</f>
        <v>Abrir facsímil</v>
      </c>
      <c r="K555" s="3" t="s">
        <v>23</v>
      </c>
    </row>
    <row r="556" spans="1:11" ht="42" customHeight="1">
      <c r="A556" s="2" t="s">
        <v>1361</v>
      </c>
      <c r="B556" s="2" t="s">
        <v>1361</v>
      </c>
      <c r="C556" s="2" t="s">
        <v>279</v>
      </c>
      <c r="D556" s="2" t="s">
        <v>27</v>
      </c>
      <c r="E556" s="5">
        <v>-28835</v>
      </c>
      <c r="F556" s="3" t="s">
        <v>1362</v>
      </c>
      <c r="G556" s="3" t="s">
        <v>88</v>
      </c>
      <c r="H556" s="2" t="s">
        <v>21</v>
      </c>
      <c r="I556" s="2" t="s">
        <v>1363</v>
      </c>
      <c r="J556" s="3" t="str">
        <f>HYPERLINK("https://www.boe.es/gazeta/dias/1821/01/18/pdfs/GGB-1821-18.pdf#page=4","Abrir facsímil")</f>
        <v>Abrir facsímil</v>
      </c>
      <c r="K556" s="3" t="s">
        <v>23</v>
      </c>
    </row>
    <row r="557" spans="1:11" ht="42" customHeight="1">
      <c r="A557" s="2" t="s">
        <v>1361</v>
      </c>
      <c r="B557" s="2" t="s">
        <v>1361</v>
      </c>
      <c r="C557" s="2" t="s">
        <v>26</v>
      </c>
      <c r="D557" s="2" t="s">
        <v>27</v>
      </c>
      <c r="E557" s="5">
        <v>-28684</v>
      </c>
      <c r="F557" s="3" t="s">
        <v>208</v>
      </c>
      <c r="G557" s="3" t="s">
        <v>52</v>
      </c>
      <c r="H557" s="2" t="s">
        <v>21</v>
      </c>
      <c r="I557" s="2" t="s">
        <v>1364</v>
      </c>
      <c r="J557" s="3" t="str">
        <f>HYPERLINK("https://www.boe.es/gazeta/dias/1821/06/18/pdfs/GMD-1821-171.pdf#page=2","Abrir facsímil")</f>
        <v>Abrir facsímil</v>
      </c>
      <c r="K557" s="3" t="s">
        <v>23</v>
      </c>
    </row>
    <row r="558" spans="1:11" ht="42" customHeight="1">
      <c r="A558" s="2" t="s">
        <v>1361</v>
      </c>
      <c r="B558" s="2" t="s">
        <v>1361</v>
      </c>
      <c r="C558" s="2" t="s">
        <v>40</v>
      </c>
      <c r="D558" s="2" t="s">
        <v>41</v>
      </c>
      <c r="E558" s="5">
        <v>-28664</v>
      </c>
      <c r="F558" s="3" t="s">
        <v>1365</v>
      </c>
      <c r="G558" s="3" t="s">
        <v>88</v>
      </c>
      <c r="H558" s="2" t="s">
        <v>21</v>
      </c>
      <c r="I558" s="2" t="s">
        <v>1366</v>
      </c>
      <c r="J558" s="3" t="str">
        <f>HYPERLINK("https://www.boe.es/gazeta/dias/1821/07/08/pdfs/GMD-1821-193.pdf#page=4","Abrir facsímil")</f>
        <v>Abrir facsímil</v>
      </c>
      <c r="K558" s="3" t="s">
        <v>23</v>
      </c>
    </row>
    <row r="559" spans="1:11" ht="42" customHeight="1">
      <c r="A559" s="2" t="s">
        <v>1361</v>
      </c>
      <c r="B559" s="2" t="s">
        <v>1361</v>
      </c>
      <c r="C559" s="2" t="s">
        <v>70</v>
      </c>
      <c r="D559" s="2" t="s">
        <v>27</v>
      </c>
      <c r="E559" s="5">
        <v>-28626</v>
      </c>
      <c r="F559" s="3" t="s">
        <v>468</v>
      </c>
      <c r="G559" s="3" t="s">
        <v>88</v>
      </c>
      <c r="H559" s="2" t="s">
        <v>21</v>
      </c>
      <c r="I559" s="2" t="s">
        <v>1367</v>
      </c>
      <c r="J559" s="3" t="str">
        <f>HYPERLINK("https://www.boe.es/gazeta/dias/1821/08/15/pdfs/GMD-1821-232.pdf#page=4","Abrir facsímil")</f>
        <v>Abrir facsímil</v>
      </c>
      <c r="K559" s="3" t="s">
        <v>23</v>
      </c>
    </row>
    <row r="560" spans="1:11" ht="42" customHeight="1">
      <c r="A560" s="2" t="s">
        <v>1361</v>
      </c>
      <c r="B560" s="2" t="s">
        <v>1361</v>
      </c>
      <c r="C560" s="2" t="s">
        <v>17</v>
      </c>
      <c r="D560" s="2" t="s">
        <v>18</v>
      </c>
      <c r="E560" s="5">
        <v>-28592</v>
      </c>
      <c r="F560" s="3" t="s">
        <v>518</v>
      </c>
      <c r="G560" s="3" t="s">
        <v>88</v>
      </c>
      <c r="H560" s="2" t="s">
        <v>21</v>
      </c>
      <c r="I560" s="2" t="s">
        <v>1368</v>
      </c>
      <c r="J560" s="3" t="str">
        <f>HYPERLINK("https://www.boe.es/gazeta/dias/1821/09/18/pdfs/GMD-1821-266.pdf#page=4","Abrir facsímil")</f>
        <v>Abrir facsímil</v>
      </c>
      <c r="K560" s="3" t="s">
        <v>23</v>
      </c>
    </row>
    <row r="561" spans="1:11" ht="42" customHeight="1">
      <c r="A561" s="2" t="s">
        <v>1361</v>
      </c>
      <c r="B561" s="2" t="s">
        <v>1361</v>
      </c>
      <c r="C561" s="2" t="s">
        <v>40</v>
      </c>
      <c r="D561" s="2" t="s">
        <v>41</v>
      </c>
      <c r="E561" s="5">
        <v>-28563</v>
      </c>
      <c r="F561" s="3" t="s">
        <v>118</v>
      </c>
      <c r="G561" s="3" t="s">
        <v>20</v>
      </c>
      <c r="H561" s="2" t="s">
        <v>21</v>
      </c>
      <c r="I561" s="2" t="s">
        <v>1369</v>
      </c>
      <c r="J561" s="3" t="str">
        <f>HYPERLINK("https://www.boe.es/gazeta/dias/1821/10/17/pdfs/GMD-1821-296.pdf#page=3","Abrir facsímil")</f>
        <v>Abrir facsímil</v>
      </c>
      <c r="K561" s="3" t="s">
        <v>23</v>
      </c>
    </row>
    <row r="562" spans="1:11" ht="42" customHeight="1">
      <c r="A562" s="2" t="s">
        <v>1361</v>
      </c>
      <c r="B562" s="2" t="s">
        <v>1361</v>
      </c>
      <c r="C562" s="2" t="s">
        <v>40</v>
      </c>
      <c r="D562" s="2" t="s">
        <v>41</v>
      </c>
      <c r="E562" s="5">
        <v>-28513</v>
      </c>
      <c r="F562" s="3" t="s">
        <v>502</v>
      </c>
      <c r="G562" s="3" t="s">
        <v>52</v>
      </c>
      <c r="H562" s="2" t="s">
        <v>21</v>
      </c>
      <c r="I562" s="2" t="s">
        <v>1370</v>
      </c>
      <c r="J562" s="3" t="str">
        <f>HYPERLINK("https://www.boe.es/gazeta/dias/1821/12/06/pdfs/GMD-1821-348.pdf#page=2","Abrir facsímil")</f>
        <v>Abrir facsímil</v>
      </c>
      <c r="K562" s="3" t="s">
        <v>23</v>
      </c>
    </row>
    <row r="563" spans="1:11" ht="42" customHeight="1">
      <c r="A563" s="2" t="s">
        <v>1361</v>
      </c>
      <c r="B563" s="2" t="s">
        <v>1361</v>
      </c>
      <c r="C563" s="2" t="s">
        <v>26</v>
      </c>
      <c r="D563" s="2" t="s">
        <v>27</v>
      </c>
      <c r="E563" s="5">
        <v>-28511</v>
      </c>
      <c r="F563" s="3" t="s">
        <v>340</v>
      </c>
      <c r="G563" s="3" t="s">
        <v>52</v>
      </c>
      <c r="H563" s="2" t="s">
        <v>21</v>
      </c>
      <c r="I563" s="2" t="s">
        <v>1371</v>
      </c>
      <c r="J563" s="3" t="str">
        <f>HYPERLINK("https://www.boe.es/gazeta/dias/1821/12/08/pdfs/GMD-1821-350.pdf#page=2","Abrir facsímil")</f>
        <v>Abrir facsímil</v>
      </c>
      <c r="K563" s="3" t="s">
        <v>23</v>
      </c>
    </row>
    <row r="564" spans="1:11" ht="42" customHeight="1">
      <c r="A564" s="2" t="s">
        <v>1372</v>
      </c>
      <c r="B564" s="2" t="s">
        <v>1373</v>
      </c>
      <c r="C564" s="2" t="s">
        <v>17</v>
      </c>
      <c r="D564" s="2" t="s">
        <v>18</v>
      </c>
      <c r="E564" s="5">
        <v>-28534</v>
      </c>
      <c r="F564" s="3" t="s">
        <v>414</v>
      </c>
      <c r="G564" s="3" t="s">
        <v>29</v>
      </c>
      <c r="H564" s="2" t="s">
        <v>30</v>
      </c>
      <c r="I564" s="2" t="s">
        <v>1374</v>
      </c>
      <c r="J564" s="3" t="str">
        <f>HYPERLINK("https://www.boe.es/gazeta/dias/1821/11/15/pdfs/GMD-1821-326.pdf#page=6","Abrir facsímil")</f>
        <v>Abrir facsímil</v>
      </c>
      <c r="K564" s="3" t="s">
        <v>32</v>
      </c>
    </row>
    <row r="565" spans="1:11" ht="42" customHeight="1">
      <c r="A565" s="2" t="s">
        <v>1375</v>
      </c>
      <c r="B565" s="2" t="s">
        <v>1376</v>
      </c>
      <c r="C565" s="2" t="s">
        <v>40</v>
      </c>
      <c r="D565" s="2" t="s">
        <v>41</v>
      </c>
      <c r="E565" s="5">
        <v>-28731</v>
      </c>
      <c r="F565" s="3" t="s">
        <v>577</v>
      </c>
      <c r="G565" s="3" t="s">
        <v>20</v>
      </c>
      <c r="H565" s="2" t="s">
        <v>21</v>
      </c>
      <c r="I565" s="2" t="s">
        <v>1377</v>
      </c>
      <c r="J565" s="3" t="str">
        <f>HYPERLINK("https://www.boe.es/gazeta/dias/1821/05/02/pdfs/GMD-1821-124.pdf#page=3","Abrir facsímil")</f>
        <v>Abrir facsímil</v>
      </c>
      <c r="K565" s="3" t="s">
        <v>23</v>
      </c>
    </row>
    <row r="566" spans="1:11" ht="42" customHeight="1">
      <c r="A566" s="2" t="s">
        <v>1378</v>
      </c>
      <c r="B566" s="2" t="s">
        <v>1379</v>
      </c>
      <c r="C566" s="2" t="s">
        <v>174</v>
      </c>
      <c r="D566" s="2" t="s">
        <v>27</v>
      </c>
      <c r="E566" s="5">
        <v>-28791</v>
      </c>
      <c r="F566" s="3" t="s">
        <v>47</v>
      </c>
      <c r="G566" s="3" t="s">
        <v>88</v>
      </c>
      <c r="H566" s="2" t="s">
        <v>21</v>
      </c>
      <c r="I566" s="2" t="s">
        <v>1380</v>
      </c>
      <c r="J566" s="3" t="str">
        <f>HYPERLINK("https://www.boe.es/gazeta/dias/1821/03/03/pdfs/GGB-1821-62.pdf#page=4","Abrir facsímil")</f>
        <v>Abrir facsímil</v>
      </c>
      <c r="K566" s="3" t="s">
        <v>23</v>
      </c>
    </row>
    <row r="567" spans="1:11" ht="42" customHeight="1">
      <c r="A567" s="2" t="s">
        <v>1381</v>
      </c>
      <c r="B567" s="2" t="s">
        <v>1381</v>
      </c>
      <c r="C567" s="2" t="s">
        <v>17</v>
      </c>
      <c r="D567" s="2" t="s">
        <v>18</v>
      </c>
      <c r="E567" s="5">
        <v>-28827</v>
      </c>
      <c r="F567" s="3" t="s">
        <v>1382</v>
      </c>
      <c r="G567" s="3" t="s">
        <v>52</v>
      </c>
      <c r="H567" s="2" t="s">
        <v>21</v>
      </c>
      <c r="I567" s="2" t="s">
        <v>1383</v>
      </c>
      <c r="J567" s="3" t="str">
        <f>HYPERLINK("https://www.boe.es/gazeta/dias/1821/01/26/pdfs/GGB-1821-26.pdf#page=2","Abrir facsímil")</f>
        <v>Abrir facsímil</v>
      </c>
      <c r="K567" s="3" t="s">
        <v>23</v>
      </c>
    </row>
    <row r="568" spans="1:11" ht="42" customHeight="1">
      <c r="A568" s="2" t="s">
        <v>1384</v>
      </c>
      <c r="B568" s="2" t="s">
        <v>1385</v>
      </c>
      <c r="C568" s="2" t="s">
        <v>40</v>
      </c>
      <c r="D568" s="2" t="s">
        <v>41</v>
      </c>
      <c r="E568" s="5">
        <v>-28762</v>
      </c>
      <c r="F568" s="3" t="s">
        <v>608</v>
      </c>
      <c r="G568" s="3" t="s">
        <v>609</v>
      </c>
      <c r="H568" s="2" t="s">
        <v>21</v>
      </c>
      <c r="I568" s="2" t="s">
        <v>1386</v>
      </c>
      <c r="J568" s="3" t="str">
        <f>HYPERLINK("https://www.boe.es/gazeta/dias/1821/04/01/pdfs/GMD-1821-93.pdf#page=7","Abrir facsímil")</f>
        <v>Abrir facsímil</v>
      </c>
      <c r="K568" s="3" t="s">
        <v>23</v>
      </c>
    </row>
    <row r="569" spans="1:11" ht="42" customHeight="1">
      <c r="A569" s="2" t="s">
        <v>1387</v>
      </c>
      <c r="B569" s="2" t="s">
        <v>1388</v>
      </c>
      <c r="C569" s="2" t="s">
        <v>70</v>
      </c>
      <c r="D569" s="2" t="s">
        <v>27</v>
      </c>
      <c r="E569" s="5">
        <v>-28731</v>
      </c>
      <c r="F569" s="3" t="s">
        <v>577</v>
      </c>
      <c r="G569" s="3" t="s">
        <v>88</v>
      </c>
      <c r="H569" s="2" t="s">
        <v>21</v>
      </c>
      <c r="I569" s="2" t="s">
        <v>1389</v>
      </c>
      <c r="J569" s="3" t="str">
        <f>HYPERLINK("https://www.boe.es/gazeta/dias/1821/05/02/pdfs/GMD-1821-124.pdf#page=4","Abrir facsímil")</f>
        <v>Abrir facsímil</v>
      </c>
      <c r="K569" s="3" t="s">
        <v>23</v>
      </c>
    </row>
    <row r="570" spans="1:11" ht="42" customHeight="1">
      <c r="A570" s="2" t="s">
        <v>1390</v>
      </c>
      <c r="B570" s="2" t="s">
        <v>1391</v>
      </c>
      <c r="C570" s="2" t="s">
        <v>40</v>
      </c>
      <c r="D570" s="2" t="s">
        <v>41</v>
      </c>
      <c r="E570" s="5">
        <v>-28667</v>
      </c>
      <c r="F570" s="3" t="s">
        <v>107</v>
      </c>
      <c r="G570" s="3" t="s">
        <v>52</v>
      </c>
      <c r="H570" s="2" t="s">
        <v>21</v>
      </c>
      <c r="I570" s="2" t="s">
        <v>1392</v>
      </c>
      <c r="J570" s="3" t="str">
        <f>HYPERLINK("https://www.boe.es/gazeta/dias/1821/07/05/pdfs/GMD-1821-189.pdf#page=2","Abrir facsímil")</f>
        <v>Abrir facsímil</v>
      </c>
      <c r="K570" s="3" t="s">
        <v>23</v>
      </c>
    </row>
    <row r="571" spans="1:11" ht="42" customHeight="1">
      <c r="A571" s="2" t="s">
        <v>1393</v>
      </c>
      <c r="B571" s="2" t="s">
        <v>1394</v>
      </c>
      <c r="C571" s="2" t="s">
        <v>26</v>
      </c>
      <c r="D571" s="2" t="s">
        <v>27</v>
      </c>
      <c r="E571" s="5">
        <v>-28547</v>
      </c>
      <c r="F571" s="3" t="s">
        <v>247</v>
      </c>
      <c r="G571" s="3" t="s">
        <v>248</v>
      </c>
      <c r="H571" s="2" t="s">
        <v>21</v>
      </c>
      <c r="I571" s="2" t="s">
        <v>1395</v>
      </c>
      <c r="J571" s="3" t="str">
        <f>HYPERLINK("https://www.boe.es/gazeta/dias/1821/11/02/pdfs/GMD-1821-312.pdf#page=2","Abrir facsímil")</f>
        <v>Abrir facsímil</v>
      </c>
      <c r="K571" s="3" t="s">
        <v>23</v>
      </c>
    </row>
    <row r="572" spans="1:11" ht="42" customHeight="1">
      <c r="A572" s="2" t="s">
        <v>1396</v>
      </c>
      <c r="B572" s="2" t="s">
        <v>1397</v>
      </c>
      <c r="C572" s="2" t="s">
        <v>40</v>
      </c>
      <c r="D572" s="2" t="s">
        <v>41</v>
      </c>
      <c r="E572" s="5">
        <v>-28836</v>
      </c>
      <c r="F572" s="3" t="s">
        <v>601</v>
      </c>
      <c r="G572" s="3" t="s">
        <v>52</v>
      </c>
      <c r="H572" s="2" t="s">
        <v>21</v>
      </c>
      <c r="I572" s="2" t="s">
        <v>1398</v>
      </c>
      <c r="J572" s="3" t="str">
        <f>HYPERLINK("https://www.boe.es/gazeta/dias/1821/01/17/pdfs/GGB-1821-17.pdf#page=2","Abrir facsímil")</f>
        <v>Abrir facsímil</v>
      </c>
      <c r="K572" s="3" t="s">
        <v>23</v>
      </c>
    </row>
    <row r="573" spans="1:11" ht="42" customHeight="1">
      <c r="A573" s="2" t="s">
        <v>1399</v>
      </c>
      <c r="B573" s="2" t="s">
        <v>1400</v>
      </c>
      <c r="C573" s="2" t="s">
        <v>26</v>
      </c>
      <c r="D573" s="2" t="s">
        <v>27</v>
      </c>
      <c r="E573" s="5">
        <v>-28644</v>
      </c>
      <c r="F573" s="3" t="s">
        <v>1340</v>
      </c>
      <c r="G573" s="3" t="s">
        <v>20</v>
      </c>
      <c r="H573" s="2" t="s">
        <v>21</v>
      </c>
      <c r="I573" s="2" t="s">
        <v>1401</v>
      </c>
      <c r="J573" s="3" t="str">
        <f>HYPERLINK("https://www.boe.es/gazeta/dias/1821/07/28/pdfs/GMD-1821-213.pdf#page=3","Abrir facsímil")</f>
        <v>Abrir facsímil</v>
      </c>
      <c r="K573" s="3" t="s">
        <v>23</v>
      </c>
    </row>
    <row r="574" spans="1:11" ht="42" customHeight="1">
      <c r="A574" s="2" t="s">
        <v>1402</v>
      </c>
      <c r="B574" s="2" t="s">
        <v>1403</v>
      </c>
      <c r="C574" s="2" t="s">
        <v>17</v>
      </c>
      <c r="D574" s="2" t="s">
        <v>18</v>
      </c>
      <c r="E574" s="5">
        <v>-28518</v>
      </c>
      <c r="F574" s="3" t="s">
        <v>410</v>
      </c>
      <c r="G574" s="3" t="s">
        <v>29</v>
      </c>
      <c r="H574" s="2" t="s">
        <v>21</v>
      </c>
      <c r="I574" s="2" t="s">
        <v>1404</v>
      </c>
      <c r="J574" s="3" t="str">
        <f>HYPERLINK("https://www.boe.es/gazeta/dias/1821/12/01/pdfs/GMD-1821-343.pdf#page=6","Abrir facsímil")</f>
        <v>Abrir facsímil</v>
      </c>
      <c r="K574" s="3" t="s">
        <v>23</v>
      </c>
    </row>
    <row r="575" spans="1:11" ht="42" customHeight="1">
      <c r="A575" s="2" t="s">
        <v>1405</v>
      </c>
      <c r="B575" s="2" t="s">
        <v>1405</v>
      </c>
      <c r="C575" s="2" t="s">
        <v>17</v>
      </c>
      <c r="D575" s="2" t="s">
        <v>18</v>
      </c>
      <c r="E575" s="5">
        <v>-28712</v>
      </c>
      <c r="F575" s="3" t="s">
        <v>695</v>
      </c>
      <c r="G575" s="3" t="s">
        <v>20</v>
      </c>
      <c r="H575" s="2" t="s">
        <v>21</v>
      </c>
      <c r="I575" s="2" t="s">
        <v>1406</v>
      </c>
      <c r="J575" s="3" t="str">
        <f>HYPERLINK("https://www.boe.es/gazeta/dias/1821/05/21/pdfs/GMD-1821-143.pdf#page=3","Abrir facsímil")</f>
        <v>Abrir facsímil</v>
      </c>
      <c r="K575" s="3" t="s">
        <v>23</v>
      </c>
    </row>
    <row r="576" spans="1:11" ht="42" customHeight="1">
      <c r="A576" s="2" t="s">
        <v>1407</v>
      </c>
      <c r="B576" s="2" t="s">
        <v>1408</v>
      </c>
      <c r="C576" s="2" t="s">
        <v>17</v>
      </c>
      <c r="D576" s="2" t="s">
        <v>18</v>
      </c>
      <c r="E576" s="5">
        <v>-28610</v>
      </c>
      <c r="F576" s="3" t="s">
        <v>190</v>
      </c>
      <c r="G576" s="3" t="s">
        <v>20</v>
      </c>
      <c r="H576" s="2" t="s">
        <v>21</v>
      </c>
      <c r="I576" s="2" t="s">
        <v>1409</v>
      </c>
      <c r="J576" s="3" t="str">
        <f>HYPERLINK("https://www.boe.es/gazeta/dias/1821/08/31/pdfs/GMD-1821-248.pdf#page=3","Abrir facsímil")</f>
        <v>Abrir facsímil</v>
      </c>
      <c r="K576" s="3" t="s">
        <v>23</v>
      </c>
    </row>
    <row r="577" spans="1:11" ht="42" customHeight="1">
      <c r="A577" s="2" t="s">
        <v>1410</v>
      </c>
      <c r="B577" s="2" t="s">
        <v>1410</v>
      </c>
      <c r="C577" s="2" t="s">
        <v>26</v>
      </c>
      <c r="D577" s="2" t="s">
        <v>27</v>
      </c>
      <c r="E577" s="5">
        <v>-28783</v>
      </c>
      <c r="F577" s="3" t="s">
        <v>198</v>
      </c>
      <c r="G577" s="3" t="s">
        <v>52</v>
      </c>
      <c r="H577" s="2" t="s">
        <v>21</v>
      </c>
      <c r="I577" s="2" t="s">
        <v>1411</v>
      </c>
      <c r="J577" s="3" t="str">
        <f>HYPERLINK("https://www.boe.es/gazeta/dias/1821/03/11/pdfs/GGB-1821-70.pdf#page=2","Abrir facsímil")</f>
        <v>Abrir facsímil</v>
      </c>
      <c r="K577" s="3" t="s">
        <v>23</v>
      </c>
    </row>
    <row r="578" spans="1:11" ht="42" customHeight="1">
      <c r="A578" s="2" t="s">
        <v>1410</v>
      </c>
      <c r="B578" s="2" t="s">
        <v>1410</v>
      </c>
      <c r="C578" s="2" t="s">
        <v>174</v>
      </c>
      <c r="D578" s="2" t="s">
        <v>27</v>
      </c>
      <c r="E578" s="5">
        <v>-28693</v>
      </c>
      <c r="F578" s="3" t="s">
        <v>74</v>
      </c>
      <c r="G578" s="3" t="s">
        <v>43</v>
      </c>
      <c r="H578" s="2" t="s">
        <v>21</v>
      </c>
      <c r="I578" s="2" t="s">
        <v>1412</v>
      </c>
      <c r="J578" s="3" t="str">
        <f>HYPERLINK("https://www.boe.es/gazeta/dias/1821/06/09/pdfs/GMD-1821-162.pdf#page=1","Abrir facsímil")</f>
        <v>Abrir facsímil</v>
      </c>
      <c r="K578" s="3" t="s">
        <v>23</v>
      </c>
    </row>
    <row r="579" spans="1:11" ht="42" customHeight="1">
      <c r="A579" s="2" t="s">
        <v>1410</v>
      </c>
      <c r="B579" s="2" t="s">
        <v>1410</v>
      </c>
      <c r="C579" s="2" t="s">
        <v>17</v>
      </c>
      <c r="D579" s="2" t="s">
        <v>18</v>
      </c>
      <c r="E579" s="5">
        <v>-28553</v>
      </c>
      <c r="F579" s="3" t="s">
        <v>182</v>
      </c>
      <c r="G579" s="3" t="s">
        <v>1413</v>
      </c>
      <c r="H579" s="2" t="s">
        <v>21</v>
      </c>
      <c r="I579" s="2" t="s">
        <v>1414</v>
      </c>
      <c r="J579" s="3" t="str">
        <f>HYPERLINK("https://www.boe.es/gazeta/dias/1821/10/27/pdfs/GMD-1821-306.pdf#page=2","Abrir facsímil")</f>
        <v>Abrir facsímil</v>
      </c>
      <c r="K579" s="3" t="s">
        <v>23</v>
      </c>
    </row>
    <row r="580" spans="1:11" ht="42" customHeight="1">
      <c r="A580" s="2" t="s">
        <v>1410</v>
      </c>
      <c r="B580" s="2" t="s">
        <v>1410</v>
      </c>
      <c r="C580" s="2" t="s">
        <v>17</v>
      </c>
      <c r="D580" s="2" t="s">
        <v>18</v>
      </c>
      <c r="E580" s="5">
        <v>-28532</v>
      </c>
      <c r="F580" s="3" t="s">
        <v>1415</v>
      </c>
      <c r="G580" s="3" t="s">
        <v>52</v>
      </c>
      <c r="H580" s="2" t="s">
        <v>21</v>
      </c>
      <c r="I580" s="2" t="s">
        <v>1416</v>
      </c>
      <c r="J580" s="3" t="str">
        <f>HYPERLINK("https://www.boe.es/gazeta/dias/1821/11/17/pdfs/GMD-1821-328.pdf#page=2","Abrir facsímil")</f>
        <v>Abrir facsímil</v>
      </c>
      <c r="K580" s="3" t="s">
        <v>23</v>
      </c>
    </row>
    <row r="581" spans="1:11" ht="42" customHeight="1">
      <c r="A581" s="2" t="s">
        <v>1417</v>
      </c>
      <c r="B581" s="2" t="s">
        <v>1418</v>
      </c>
      <c r="C581" s="2" t="s">
        <v>114</v>
      </c>
      <c r="D581" s="2" t="s">
        <v>27</v>
      </c>
      <c r="E581" s="5">
        <v>-28836</v>
      </c>
      <c r="F581" s="3" t="s">
        <v>601</v>
      </c>
      <c r="G581" s="3" t="s">
        <v>20</v>
      </c>
      <c r="H581" s="2" t="s">
        <v>21</v>
      </c>
      <c r="I581" s="2" t="s">
        <v>1419</v>
      </c>
      <c r="J581" s="3" t="str">
        <f>HYPERLINK("https://www.boe.es/gazeta/dias/1821/01/17/pdfs/GGB-1821-17.pdf#page=3","Abrir facsímil")</f>
        <v>Abrir facsímil</v>
      </c>
      <c r="K581" s="3" t="s">
        <v>23</v>
      </c>
    </row>
    <row r="582" spans="1:11" ht="42" customHeight="1">
      <c r="A582" s="2" t="s">
        <v>1420</v>
      </c>
      <c r="B582" s="2" t="s">
        <v>1420</v>
      </c>
      <c r="C582" s="2" t="s">
        <v>26</v>
      </c>
      <c r="D582" s="2" t="s">
        <v>27</v>
      </c>
      <c r="E582" s="5">
        <v>-28796</v>
      </c>
      <c r="F582" s="3" t="s">
        <v>1421</v>
      </c>
      <c r="G582" s="3" t="s">
        <v>1422</v>
      </c>
      <c r="H582" s="2" t="s">
        <v>21</v>
      </c>
      <c r="I582" s="2" t="s">
        <v>1423</v>
      </c>
      <c r="J582" s="3" t="str">
        <f>HYPERLINK("https://www.boe.es/gazeta/dias/1821/02/26/pdfs/GGB-1821-57.pdf#page=3","Abrir facsímil")</f>
        <v>Abrir facsímil</v>
      </c>
      <c r="K582" s="3" t="s">
        <v>23</v>
      </c>
    </row>
    <row r="583" spans="1:11" ht="42" customHeight="1">
      <c r="A583" s="2" t="s">
        <v>1420</v>
      </c>
      <c r="B583" s="2" t="s">
        <v>1420</v>
      </c>
      <c r="C583" s="2" t="s">
        <v>40</v>
      </c>
      <c r="D583" s="2" t="s">
        <v>41</v>
      </c>
      <c r="E583" s="5">
        <v>-28503</v>
      </c>
      <c r="F583" s="3" t="s">
        <v>947</v>
      </c>
      <c r="G583" s="3" t="s">
        <v>29</v>
      </c>
      <c r="H583" s="2" t="s">
        <v>21</v>
      </c>
      <c r="I583" s="2" t="s">
        <v>1424</v>
      </c>
      <c r="J583" s="3" t="str">
        <f>HYPERLINK("https://www.boe.es/gazeta/dias/1821/12/16/pdfs/GMD-1821-359.pdf#page=6","Abrir facsímil")</f>
        <v>Abrir facsímil</v>
      </c>
      <c r="K583" s="3" t="s">
        <v>23</v>
      </c>
    </row>
    <row r="584" spans="1:11" ht="42" customHeight="1">
      <c r="A584" s="2" t="s">
        <v>1425</v>
      </c>
      <c r="B584" s="2" t="s">
        <v>1426</v>
      </c>
      <c r="C584" s="2" t="s">
        <v>17</v>
      </c>
      <c r="D584" s="2" t="s">
        <v>18</v>
      </c>
      <c r="E584" s="5">
        <v>-28599</v>
      </c>
      <c r="F584" s="3" t="s">
        <v>902</v>
      </c>
      <c r="G584" s="3" t="s">
        <v>88</v>
      </c>
      <c r="H584" s="2" t="s">
        <v>21</v>
      </c>
      <c r="I584" s="2" t="s">
        <v>1427</v>
      </c>
      <c r="J584" s="3" t="str">
        <f>HYPERLINK("https://www.boe.es/gazeta/dias/1821/09/11/pdfs/GMD-1821-259.pdf#page=4","Abrir facsímil")</f>
        <v>Abrir facsímil</v>
      </c>
      <c r="K584" s="3" t="s">
        <v>23</v>
      </c>
    </row>
    <row r="585" spans="1:11" ht="42" customHeight="1">
      <c r="A585" s="2" t="s">
        <v>1428</v>
      </c>
      <c r="B585" s="2" t="s">
        <v>1429</v>
      </c>
      <c r="C585" s="2" t="s">
        <v>17</v>
      </c>
      <c r="D585" s="2" t="s">
        <v>18</v>
      </c>
      <c r="E585" s="5">
        <v>-28820</v>
      </c>
      <c r="F585" s="3" t="s">
        <v>1430</v>
      </c>
      <c r="G585" s="3" t="s">
        <v>29</v>
      </c>
      <c r="H585" s="2" t="s">
        <v>30</v>
      </c>
      <c r="I585" s="2" t="s">
        <v>1431</v>
      </c>
      <c r="J585" s="3" t="str">
        <f>HYPERLINK("https://www.boe.es/gazeta/dias/1821/02/02/pdfs/GGB-1821-33.pdf#page=6","Abrir facsímil")</f>
        <v>Abrir facsímil</v>
      </c>
      <c r="K585" s="3" t="s">
        <v>32</v>
      </c>
    </row>
    <row r="586" spans="1:11" ht="42" customHeight="1">
      <c r="A586" s="2" t="s">
        <v>1432</v>
      </c>
      <c r="B586" s="2" t="s">
        <v>1433</v>
      </c>
      <c r="C586" s="2" t="s">
        <v>35</v>
      </c>
      <c r="D586" s="2" t="s">
        <v>27</v>
      </c>
      <c r="E586" s="5">
        <v>-28709</v>
      </c>
      <c r="F586" s="3" t="s">
        <v>1434</v>
      </c>
      <c r="G586" s="3" t="s">
        <v>1435</v>
      </c>
      <c r="H586" s="2" t="s">
        <v>21</v>
      </c>
      <c r="I586" s="2" t="s">
        <v>1436</v>
      </c>
      <c r="J586" s="3" t="str">
        <f>HYPERLINK("https://www.boe.es/gazeta/dias/1821/05/24/pdfs/GMD-1821-146.pdf#page=2","Abrir facsímil")</f>
        <v>Abrir facsímil</v>
      </c>
      <c r="K586" s="3" t="s">
        <v>23</v>
      </c>
    </row>
    <row r="587" spans="1:11" ht="42" customHeight="1">
      <c r="A587" s="2" t="s">
        <v>1437</v>
      </c>
      <c r="B587" s="2" t="s">
        <v>1438</v>
      </c>
      <c r="C587" s="2" t="s">
        <v>26</v>
      </c>
      <c r="D587" s="2" t="s">
        <v>27</v>
      </c>
      <c r="E587" s="5">
        <v>-28767</v>
      </c>
      <c r="F587" s="3" t="s">
        <v>1439</v>
      </c>
      <c r="G587" s="3" t="s">
        <v>1440</v>
      </c>
      <c r="H587" s="2" t="s">
        <v>21</v>
      </c>
      <c r="I587" s="2" t="s">
        <v>1441</v>
      </c>
      <c r="J587" s="3" t="str">
        <f>HYPERLINK("https://www.boe.es/gazeta/dias/1821/03/27/pdfs/GMD-1821-87.pdf#page=3","Abrir facsímil")</f>
        <v>Abrir facsímil</v>
      </c>
      <c r="K587" s="3" t="s">
        <v>23</v>
      </c>
    </row>
    <row r="588" spans="1:11" ht="42" customHeight="1">
      <c r="A588" s="2" t="s">
        <v>1442</v>
      </c>
      <c r="B588" s="2" t="s">
        <v>1442</v>
      </c>
      <c r="C588" s="2" t="s">
        <v>35</v>
      </c>
      <c r="D588" s="2" t="s">
        <v>27</v>
      </c>
      <c r="E588" s="5">
        <v>-28772</v>
      </c>
      <c r="F588" s="3" t="s">
        <v>62</v>
      </c>
      <c r="G588" s="3" t="s">
        <v>52</v>
      </c>
      <c r="H588" s="2" t="s">
        <v>21</v>
      </c>
      <c r="I588" s="2" t="s">
        <v>1443</v>
      </c>
      <c r="J588" s="3" t="str">
        <f>HYPERLINK("https://www.boe.es/gazeta/dias/1821/03/22/pdfs/GMD-1821-81.pdf#page=2","Abrir facsímil")</f>
        <v>Abrir facsímil</v>
      </c>
      <c r="K588" s="3" t="s">
        <v>23</v>
      </c>
    </row>
    <row r="589" spans="1:11" ht="42" customHeight="1">
      <c r="A589" s="2" t="s">
        <v>1442</v>
      </c>
      <c r="B589" s="2" t="s">
        <v>1442</v>
      </c>
      <c r="C589" s="2" t="s">
        <v>40</v>
      </c>
      <c r="D589" s="2" t="s">
        <v>41</v>
      </c>
      <c r="E589" s="5">
        <v>-28750</v>
      </c>
      <c r="F589" s="3" t="s">
        <v>917</v>
      </c>
      <c r="G589" s="3" t="s">
        <v>52</v>
      </c>
      <c r="H589" s="2" t="s">
        <v>21</v>
      </c>
      <c r="I589" s="2" t="s">
        <v>1444</v>
      </c>
      <c r="J589" s="3" t="str">
        <f>HYPERLINK("https://www.boe.es/gazeta/dias/1821/04/13/pdfs/GMD-1821-105.pdf#page=2","Abrir facsímil")</f>
        <v>Abrir facsímil</v>
      </c>
      <c r="K589" s="3" t="s">
        <v>23</v>
      </c>
    </row>
    <row r="590" spans="1:11" ht="42" customHeight="1">
      <c r="A590" s="2" t="s">
        <v>1442</v>
      </c>
      <c r="B590" s="2" t="s">
        <v>1442</v>
      </c>
      <c r="C590" s="2" t="s">
        <v>70</v>
      </c>
      <c r="D590" s="2" t="s">
        <v>27</v>
      </c>
      <c r="E590" s="5">
        <v>-28678</v>
      </c>
      <c r="F590" s="3" t="s">
        <v>215</v>
      </c>
      <c r="G590" s="3" t="s">
        <v>1445</v>
      </c>
      <c r="H590" s="2" t="s">
        <v>21</v>
      </c>
      <c r="I590" s="2" t="s">
        <v>1446</v>
      </c>
      <c r="J590" s="3" t="str">
        <f>HYPERLINK("https://www.boe.es/gazeta/dias/1821/06/24/pdfs/GMD-1821-177.pdf#page=3","Abrir facsímil")</f>
        <v>Abrir facsímil</v>
      </c>
      <c r="K590" s="3" t="s">
        <v>23</v>
      </c>
    </row>
    <row r="591" spans="1:11" ht="42" customHeight="1">
      <c r="A591" s="2" t="s">
        <v>1442</v>
      </c>
      <c r="B591" s="2" t="s">
        <v>1442</v>
      </c>
      <c r="C591" s="2" t="s">
        <v>17</v>
      </c>
      <c r="D591" s="2" t="s">
        <v>18</v>
      </c>
      <c r="E591" s="5">
        <v>-28548</v>
      </c>
      <c r="F591" s="3" t="s">
        <v>782</v>
      </c>
      <c r="G591" s="3" t="s">
        <v>162</v>
      </c>
      <c r="H591" s="2" t="s">
        <v>21</v>
      </c>
      <c r="I591" s="2" t="s">
        <v>1447</v>
      </c>
      <c r="J591" s="3" t="str">
        <f>HYPERLINK("https://www.boe.es/gazeta/dias/1821/11/01/pdfs/GMD-1821-311.pdf#page=5","Abrir facsímil")</f>
        <v>Abrir facsímil</v>
      </c>
      <c r="K591" s="3" t="s">
        <v>23</v>
      </c>
    </row>
    <row r="592" spans="1:11" ht="42" customHeight="1">
      <c r="A592" s="2" t="s">
        <v>1442</v>
      </c>
      <c r="B592" s="2" t="s">
        <v>1442</v>
      </c>
      <c r="C592" s="2" t="s">
        <v>40</v>
      </c>
      <c r="D592" s="2" t="s">
        <v>41</v>
      </c>
      <c r="E592" s="5">
        <v>-28520</v>
      </c>
      <c r="F592" s="3" t="s">
        <v>878</v>
      </c>
      <c r="G592" s="3" t="s">
        <v>88</v>
      </c>
      <c r="H592" s="2" t="s">
        <v>21</v>
      </c>
      <c r="I592" s="2" t="s">
        <v>1448</v>
      </c>
      <c r="J592" s="3" t="str">
        <f>HYPERLINK("https://www.boe.es/gazeta/dias/1821/11/29/pdfs/GMD-1821-341.pdf#page=4","Abrir facsímil")</f>
        <v>Abrir facsímil</v>
      </c>
      <c r="K592" s="3" t="s">
        <v>23</v>
      </c>
    </row>
    <row r="593" spans="1:11" ht="42" customHeight="1">
      <c r="A593" s="2" t="s">
        <v>1442</v>
      </c>
      <c r="B593" s="2" t="s">
        <v>1442</v>
      </c>
      <c r="C593" s="2" t="s">
        <v>70</v>
      </c>
      <c r="D593" s="2" t="s">
        <v>27</v>
      </c>
      <c r="E593" s="5">
        <v>-28497</v>
      </c>
      <c r="F593" s="3" t="s">
        <v>225</v>
      </c>
      <c r="G593" s="3" t="s">
        <v>20</v>
      </c>
      <c r="H593" s="2" t="s">
        <v>21</v>
      </c>
      <c r="I593" s="2" t="s">
        <v>1449</v>
      </c>
      <c r="J593" s="3" t="str">
        <f>HYPERLINK("https://www.boe.es/gazeta/dias/1821/12/22/pdfs/GMD-1821-365.pdf#page=3","Abrir facsímil")</f>
        <v>Abrir facsímil</v>
      </c>
      <c r="K593" s="3" t="s">
        <v>23</v>
      </c>
    </row>
    <row r="594" spans="1:11" ht="42" customHeight="1">
      <c r="A594" s="2" t="s">
        <v>1450</v>
      </c>
      <c r="B594" s="2" t="s">
        <v>1451</v>
      </c>
      <c r="C594" s="2" t="s">
        <v>70</v>
      </c>
      <c r="D594" s="2" t="s">
        <v>27</v>
      </c>
      <c r="E594" s="5">
        <v>-28587</v>
      </c>
      <c r="F594" s="3" t="s">
        <v>392</v>
      </c>
      <c r="G594" s="3" t="s">
        <v>88</v>
      </c>
      <c r="H594" s="2" t="s">
        <v>21</v>
      </c>
      <c r="I594" s="2" t="s">
        <v>1452</v>
      </c>
      <c r="J594" s="3" t="str">
        <f>HYPERLINK("https://www.boe.es/gazeta/dias/1821/09/23/pdfs/GMD-1821-271.pdf#page=4","Abrir facsímil")</f>
        <v>Abrir facsímil</v>
      </c>
      <c r="K594" s="3" t="s">
        <v>23</v>
      </c>
    </row>
    <row r="595" spans="1:11" ht="42" customHeight="1">
      <c r="A595" s="2" t="s">
        <v>1453</v>
      </c>
      <c r="B595" s="2" t="s">
        <v>1453</v>
      </c>
      <c r="C595" s="2" t="s">
        <v>114</v>
      </c>
      <c r="D595" s="2" t="s">
        <v>27</v>
      </c>
      <c r="E595" s="5">
        <v>-28810</v>
      </c>
      <c r="F595" s="3" t="s">
        <v>308</v>
      </c>
      <c r="G595" s="3" t="s">
        <v>88</v>
      </c>
      <c r="H595" s="2" t="s">
        <v>21</v>
      </c>
      <c r="I595" s="2" t="s">
        <v>1454</v>
      </c>
      <c r="J595" s="3" t="str">
        <f>HYPERLINK("https://www.boe.es/gazeta/dias/1821/02/12/pdfs/GGB-1821-43.pdf#page=4","Abrir facsímil")</f>
        <v>Abrir facsímil</v>
      </c>
      <c r="K595" s="3" t="s">
        <v>23</v>
      </c>
    </row>
    <row r="596" spans="1:11" ht="42" customHeight="1">
      <c r="A596" s="2" t="s">
        <v>1453</v>
      </c>
      <c r="B596" s="2" t="s">
        <v>1453</v>
      </c>
      <c r="C596" s="2" t="s">
        <v>26</v>
      </c>
      <c r="D596" s="2" t="s">
        <v>27</v>
      </c>
      <c r="E596" s="5">
        <v>-28531</v>
      </c>
      <c r="F596" s="3" t="s">
        <v>365</v>
      </c>
      <c r="G596" s="3" t="s">
        <v>52</v>
      </c>
      <c r="H596" s="2" t="s">
        <v>21</v>
      </c>
      <c r="I596" s="2" t="s">
        <v>1455</v>
      </c>
      <c r="J596" s="3" t="str">
        <f>HYPERLINK("https://www.boe.es/gazeta/dias/1821/11/18/pdfs/GMD-1821-329.pdf#page=2","Abrir facsímil")</f>
        <v>Abrir facsímil</v>
      </c>
      <c r="K596" s="3" t="s">
        <v>23</v>
      </c>
    </row>
    <row r="597" spans="1:11" ht="42" customHeight="1">
      <c r="A597" s="2" t="s">
        <v>1456</v>
      </c>
      <c r="B597" s="2" t="s">
        <v>1456</v>
      </c>
      <c r="C597" s="2" t="s">
        <v>40</v>
      </c>
      <c r="D597" s="2" t="s">
        <v>41</v>
      </c>
      <c r="E597" s="5">
        <v>-28646</v>
      </c>
      <c r="F597" s="3" t="s">
        <v>1457</v>
      </c>
      <c r="G597" s="3" t="s">
        <v>43</v>
      </c>
      <c r="H597" s="2" t="s">
        <v>21</v>
      </c>
      <c r="I597" s="2" t="s">
        <v>1458</v>
      </c>
      <c r="J597" s="3" t="str">
        <f>HYPERLINK("https://www.boe.es/gazeta/dias/1821/07/26/pdfs/GMD-1821-211.pdf#page=1","Abrir facsímil")</f>
        <v>Abrir facsímil</v>
      </c>
      <c r="K597" s="3" t="s">
        <v>23</v>
      </c>
    </row>
    <row r="598" spans="1:11" ht="42" customHeight="1">
      <c r="A598" s="2" t="s">
        <v>1459</v>
      </c>
      <c r="B598" s="2" t="s">
        <v>1460</v>
      </c>
      <c r="C598" s="2" t="s">
        <v>17</v>
      </c>
      <c r="D598" s="2" t="s">
        <v>18</v>
      </c>
      <c r="E598" s="5">
        <v>-28718</v>
      </c>
      <c r="F598" s="3" t="s">
        <v>583</v>
      </c>
      <c r="G598" s="3" t="s">
        <v>88</v>
      </c>
      <c r="H598" s="2" t="s">
        <v>21</v>
      </c>
      <c r="I598" s="2" t="s">
        <v>1461</v>
      </c>
      <c r="J598" s="3" t="str">
        <f>HYPERLINK("https://www.boe.es/gazeta/dias/1821/05/15/pdfs/GMD-1821-137.pdf#page=4","Abrir facsímil")</f>
        <v>Abrir facsímil</v>
      </c>
      <c r="K598" s="3" t="s">
        <v>23</v>
      </c>
    </row>
    <row r="599" spans="1:11" ht="42" customHeight="1">
      <c r="A599" s="2" t="s">
        <v>1462</v>
      </c>
      <c r="B599" s="2" t="s">
        <v>1463</v>
      </c>
      <c r="C599" s="2" t="s">
        <v>17</v>
      </c>
      <c r="D599" s="2" t="s">
        <v>18</v>
      </c>
      <c r="E599" s="5">
        <v>-28721</v>
      </c>
      <c r="F599" s="3" t="s">
        <v>92</v>
      </c>
      <c r="G599" s="3" t="s">
        <v>52</v>
      </c>
      <c r="H599" s="2" t="s">
        <v>21</v>
      </c>
      <c r="I599" s="2" t="s">
        <v>1464</v>
      </c>
      <c r="J599" s="3" t="str">
        <f>HYPERLINK("https://www.boe.es/gazeta/dias/1821/05/12/pdfs/GMD-1821-134.pdf#page=2","Abrir facsímil")</f>
        <v>Abrir facsímil</v>
      </c>
      <c r="K599" s="3" t="s">
        <v>23</v>
      </c>
    </row>
    <row r="600" spans="1:11" ht="42" customHeight="1">
      <c r="A600" s="2" t="s">
        <v>1465</v>
      </c>
      <c r="B600" s="2" t="s">
        <v>1465</v>
      </c>
      <c r="C600" s="2" t="s">
        <v>40</v>
      </c>
      <c r="D600" s="2" t="s">
        <v>41</v>
      </c>
      <c r="E600" s="5">
        <v>-28744</v>
      </c>
      <c r="F600" s="3" t="s">
        <v>834</v>
      </c>
      <c r="G600" s="3" t="s">
        <v>20</v>
      </c>
      <c r="H600" s="2" t="s">
        <v>21</v>
      </c>
      <c r="I600" s="2" t="s">
        <v>1466</v>
      </c>
      <c r="J600" s="3" t="str">
        <f>HYPERLINK("https://www.boe.es/gazeta/dias/1821/04/19/pdfs/GMD-1821-111.pdf#page=3","Abrir facsímil")</f>
        <v>Abrir facsímil</v>
      </c>
      <c r="K600" s="3" t="s">
        <v>23</v>
      </c>
    </row>
    <row r="601" spans="1:11" ht="42" customHeight="1">
      <c r="A601" s="2" t="s">
        <v>1465</v>
      </c>
      <c r="B601" s="2" t="s">
        <v>1465</v>
      </c>
      <c r="C601" s="2" t="s">
        <v>26</v>
      </c>
      <c r="D601" s="2" t="s">
        <v>27</v>
      </c>
      <c r="E601" s="5">
        <v>-28653</v>
      </c>
      <c r="F601" s="3" t="s">
        <v>1179</v>
      </c>
      <c r="G601" s="3" t="s">
        <v>29</v>
      </c>
      <c r="H601" s="2" t="s">
        <v>21</v>
      </c>
      <c r="I601" s="2" t="s">
        <v>1467</v>
      </c>
      <c r="J601" s="3" t="str">
        <f>HYPERLINK("https://www.boe.es/gazeta/dias/1821/07/19/pdfs/GMD-1821-204.pdf#page=6","Abrir facsímil")</f>
        <v>Abrir facsímil</v>
      </c>
      <c r="K601" s="3" t="s">
        <v>23</v>
      </c>
    </row>
    <row r="602" spans="1:11" ht="42" customHeight="1">
      <c r="A602" s="2" t="s">
        <v>1468</v>
      </c>
      <c r="B602" s="2" t="s">
        <v>1468</v>
      </c>
      <c r="C602" s="2" t="s">
        <v>114</v>
      </c>
      <c r="D602" s="2" t="s">
        <v>27</v>
      </c>
      <c r="E602" s="5">
        <v>-28746</v>
      </c>
      <c r="F602" s="3" t="s">
        <v>687</v>
      </c>
      <c r="G602" s="3" t="s">
        <v>333</v>
      </c>
      <c r="H602" s="2" t="s">
        <v>21</v>
      </c>
      <c r="I602" s="2" t="s">
        <v>1469</v>
      </c>
      <c r="J602" s="3" t="str">
        <f>HYPERLINK("https://www.boe.es/gazeta/dias/1821/04/17/pdfs/GMD-1821-109.pdf#page=8","Abrir facsímil")</f>
        <v>Abrir facsímil</v>
      </c>
      <c r="K602" s="3" t="s">
        <v>23</v>
      </c>
    </row>
    <row r="603" spans="1:11" ht="42" customHeight="1">
      <c r="A603" s="2" t="s">
        <v>1470</v>
      </c>
      <c r="B603" s="2" t="s">
        <v>1470</v>
      </c>
      <c r="C603" s="2" t="s">
        <v>26</v>
      </c>
      <c r="D603" s="2" t="s">
        <v>27</v>
      </c>
      <c r="E603" s="5">
        <v>-28847</v>
      </c>
      <c r="F603" s="3" t="s">
        <v>288</v>
      </c>
      <c r="G603" s="3" t="s">
        <v>289</v>
      </c>
      <c r="H603" s="2" t="s">
        <v>21</v>
      </c>
      <c r="I603" s="2" t="s">
        <v>1471</v>
      </c>
      <c r="J603" s="3" t="str">
        <f>HYPERLINK("https://www.boe.es/gazeta/dias/1821/01/06/pdfs/GGB-1821-6.pdf#page=4","Abrir facsímil")</f>
        <v>Abrir facsímil</v>
      </c>
      <c r="K603" s="3" t="s">
        <v>23</v>
      </c>
    </row>
    <row r="604" spans="1:11" ht="42" customHeight="1">
      <c r="A604" s="2" t="s">
        <v>1470</v>
      </c>
      <c r="B604" s="2" t="s">
        <v>1470</v>
      </c>
      <c r="C604" s="2" t="s">
        <v>26</v>
      </c>
      <c r="D604" s="2" t="s">
        <v>27</v>
      </c>
      <c r="E604" s="5">
        <v>-28821</v>
      </c>
      <c r="F604" s="3" t="s">
        <v>371</v>
      </c>
      <c r="G604" s="3" t="s">
        <v>88</v>
      </c>
      <c r="H604" s="2" t="s">
        <v>21</v>
      </c>
      <c r="I604" s="2" t="s">
        <v>1472</v>
      </c>
      <c r="J604" s="3" t="str">
        <f>HYPERLINK("https://www.boe.es/gazeta/dias/1821/02/01/pdfs/GGB-1821-32.pdf#page=4","Abrir facsímil")</f>
        <v>Abrir facsímil</v>
      </c>
      <c r="K604" s="3" t="s">
        <v>23</v>
      </c>
    </row>
    <row r="605" spans="1:11" ht="42" customHeight="1">
      <c r="A605" s="2" t="s">
        <v>1470</v>
      </c>
      <c r="B605" s="2" t="s">
        <v>1470</v>
      </c>
      <c r="C605" s="2" t="s">
        <v>26</v>
      </c>
      <c r="D605" s="2" t="s">
        <v>27</v>
      </c>
      <c r="E605" s="5">
        <v>-28793</v>
      </c>
      <c r="F605" s="3" t="s">
        <v>157</v>
      </c>
      <c r="G605" s="3" t="s">
        <v>29</v>
      </c>
      <c r="H605" s="2" t="s">
        <v>21</v>
      </c>
      <c r="I605" s="2" t="s">
        <v>1473</v>
      </c>
      <c r="J605" s="3" t="str">
        <f>HYPERLINK("https://www.boe.es/gazeta/dias/1821/03/01/pdfs/GGB-1821-60.pdf#page=6","Abrir facsímil")</f>
        <v>Abrir facsímil</v>
      </c>
      <c r="K605" s="3" t="s">
        <v>23</v>
      </c>
    </row>
    <row r="606" spans="1:11" ht="42" customHeight="1">
      <c r="A606" s="2" t="s">
        <v>1470</v>
      </c>
      <c r="B606" s="2" t="s">
        <v>1470</v>
      </c>
      <c r="C606" s="2" t="s">
        <v>70</v>
      </c>
      <c r="D606" s="2" t="s">
        <v>27</v>
      </c>
      <c r="E606" s="5">
        <v>-28790</v>
      </c>
      <c r="F606" s="3" t="s">
        <v>991</v>
      </c>
      <c r="G606" s="3" t="s">
        <v>20</v>
      </c>
      <c r="H606" s="2" t="s">
        <v>21</v>
      </c>
      <c r="I606" s="2" t="s">
        <v>1474</v>
      </c>
      <c r="J606" s="3" t="str">
        <f>HYPERLINK("https://www.boe.es/gazeta/dias/1821/03/04/pdfs/GGB-1821-63.pdf#page=3","Abrir facsímil")</f>
        <v>Abrir facsímil</v>
      </c>
      <c r="K606" s="3" t="s">
        <v>23</v>
      </c>
    </row>
    <row r="607" spans="1:11" ht="42" customHeight="1">
      <c r="A607" s="2" t="s">
        <v>1470</v>
      </c>
      <c r="B607" s="2" t="s">
        <v>1470</v>
      </c>
      <c r="C607" s="2" t="s">
        <v>279</v>
      </c>
      <c r="D607" s="2" t="s">
        <v>27</v>
      </c>
      <c r="E607" s="5">
        <v>-28788</v>
      </c>
      <c r="F607" s="3" t="s">
        <v>996</v>
      </c>
      <c r="G607" s="3" t="s">
        <v>43</v>
      </c>
      <c r="H607" s="2" t="s">
        <v>21</v>
      </c>
      <c r="I607" s="2" t="s">
        <v>1475</v>
      </c>
      <c r="J607" s="3" t="str">
        <f>HYPERLINK("https://www.boe.es/gazeta/dias/1821/03/06/pdfs/GGB-1821-65.pdf#page=1","Abrir facsímil")</f>
        <v>Abrir facsímil</v>
      </c>
      <c r="K607" s="3" t="s">
        <v>23</v>
      </c>
    </row>
    <row r="608" spans="1:11" ht="42" customHeight="1">
      <c r="A608" s="2" t="s">
        <v>1470</v>
      </c>
      <c r="B608" s="2" t="s">
        <v>1470</v>
      </c>
      <c r="C608" s="2" t="s">
        <v>40</v>
      </c>
      <c r="D608" s="2" t="s">
        <v>41</v>
      </c>
      <c r="E608" s="5">
        <v>-28782</v>
      </c>
      <c r="F608" s="3" t="s">
        <v>508</v>
      </c>
      <c r="G608" s="3" t="s">
        <v>20</v>
      </c>
      <c r="H608" s="2" t="s">
        <v>21</v>
      </c>
      <c r="I608" s="2" t="s">
        <v>1476</v>
      </c>
      <c r="J608" s="3" t="str">
        <f>HYPERLINK("https://www.boe.es/gazeta/dias/1821/03/12/pdfs/GMD-1821-71.pdf#page=3","Abrir facsímil")</f>
        <v>Abrir facsímil</v>
      </c>
      <c r="K608" s="3" t="s">
        <v>23</v>
      </c>
    </row>
    <row r="609" spans="1:11" ht="42" customHeight="1">
      <c r="A609" s="2" t="s">
        <v>1470</v>
      </c>
      <c r="B609" s="2" t="s">
        <v>1470</v>
      </c>
      <c r="C609" s="2" t="s">
        <v>174</v>
      </c>
      <c r="D609" s="2" t="s">
        <v>27</v>
      </c>
      <c r="E609" s="5">
        <v>-28780</v>
      </c>
      <c r="F609" s="3" t="s">
        <v>143</v>
      </c>
      <c r="G609" s="3" t="s">
        <v>20</v>
      </c>
      <c r="H609" s="2" t="s">
        <v>21</v>
      </c>
      <c r="I609" s="2" t="s">
        <v>1477</v>
      </c>
      <c r="J609" s="3" t="str">
        <f>HYPERLINK("https://www.boe.es/gazeta/dias/1821/03/14/pdfs/GMD-1821-73.pdf#page=3","Abrir facsímil")</f>
        <v>Abrir facsímil</v>
      </c>
      <c r="K609" s="3" t="s">
        <v>23</v>
      </c>
    </row>
    <row r="610" spans="1:11" ht="42" customHeight="1">
      <c r="A610" s="2" t="s">
        <v>1470</v>
      </c>
      <c r="B610" s="2" t="s">
        <v>1470</v>
      </c>
      <c r="C610" s="2" t="s">
        <v>40</v>
      </c>
      <c r="D610" s="2" t="s">
        <v>41</v>
      </c>
      <c r="E610" s="5">
        <v>-28778</v>
      </c>
      <c r="F610" s="3" t="s">
        <v>1301</v>
      </c>
      <c r="G610" s="3" t="s">
        <v>20</v>
      </c>
      <c r="H610" s="2" t="s">
        <v>21</v>
      </c>
      <c r="I610" s="2" t="s">
        <v>1478</v>
      </c>
      <c r="J610" s="3" t="str">
        <f>HYPERLINK("https://www.boe.es/gazeta/dias/1821/03/16/pdfs/GMD-1821-75.pdf#page=3","Abrir facsímil")</f>
        <v>Abrir facsímil</v>
      </c>
      <c r="K610" s="3" t="s">
        <v>23</v>
      </c>
    </row>
    <row r="611" spans="1:11" ht="42" customHeight="1">
      <c r="A611" s="2" t="s">
        <v>1470</v>
      </c>
      <c r="B611" s="2" t="s">
        <v>1470</v>
      </c>
      <c r="C611" s="2" t="s">
        <v>17</v>
      </c>
      <c r="D611" s="2" t="s">
        <v>18</v>
      </c>
      <c r="E611" s="5">
        <v>-28775</v>
      </c>
      <c r="F611" s="3" t="s">
        <v>132</v>
      </c>
      <c r="G611" s="3" t="s">
        <v>20</v>
      </c>
      <c r="H611" s="2" t="s">
        <v>21</v>
      </c>
      <c r="I611" s="2" t="s">
        <v>1479</v>
      </c>
      <c r="J611" s="3" t="str">
        <f>HYPERLINK("https://www.boe.es/gazeta/dias/1821/03/19/pdfs/GMD-1821-78.pdf#page=3","Abrir facsímil")</f>
        <v>Abrir facsímil</v>
      </c>
      <c r="K611" s="3" t="s">
        <v>23</v>
      </c>
    </row>
    <row r="612" spans="1:11" ht="42" customHeight="1">
      <c r="A612" s="2" t="s">
        <v>1470</v>
      </c>
      <c r="B612" s="2" t="s">
        <v>1470</v>
      </c>
      <c r="C612" s="2" t="s">
        <v>35</v>
      </c>
      <c r="D612" s="2" t="s">
        <v>27</v>
      </c>
      <c r="E612" s="5">
        <v>-28770</v>
      </c>
      <c r="F612" s="3" t="s">
        <v>1009</v>
      </c>
      <c r="G612" s="3" t="s">
        <v>88</v>
      </c>
      <c r="H612" s="2" t="s">
        <v>21</v>
      </c>
      <c r="I612" s="2" t="s">
        <v>1480</v>
      </c>
      <c r="J612" s="3" t="str">
        <f>HYPERLINK("https://www.boe.es/gazeta/dias/1821/03/24/pdfs/GMD-1821-84.pdf#page=4","Abrir facsímil")</f>
        <v>Abrir facsímil</v>
      </c>
      <c r="K612" s="3" t="s">
        <v>23</v>
      </c>
    </row>
    <row r="613" spans="1:11" ht="42" customHeight="1">
      <c r="A613" s="2" t="s">
        <v>1470</v>
      </c>
      <c r="B613" s="2" t="s">
        <v>1470</v>
      </c>
      <c r="C613" s="2" t="s">
        <v>26</v>
      </c>
      <c r="D613" s="2" t="s">
        <v>27</v>
      </c>
      <c r="E613" s="5">
        <v>-28766</v>
      </c>
      <c r="F613" s="3" t="s">
        <v>1481</v>
      </c>
      <c r="G613" s="3" t="s">
        <v>52</v>
      </c>
      <c r="H613" s="2" t="s">
        <v>21</v>
      </c>
      <c r="I613" s="2" t="s">
        <v>1482</v>
      </c>
      <c r="J613" s="3" t="str">
        <f>HYPERLINK("https://www.boe.es/gazeta/dias/1821/03/28/pdfs/GMD-1821-88.pdf#page=2","Abrir facsímil")</f>
        <v>Abrir facsímil</v>
      </c>
      <c r="K613" s="3" t="s">
        <v>23</v>
      </c>
    </row>
    <row r="614" spans="1:11" ht="42" customHeight="1">
      <c r="A614" s="2" t="s">
        <v>1470</v>
      </c>
      <c r="B614" s="2" t="s">
        <v>1470</v>
      </c>
      <c r="C614" s="2" t="s">
        <v>40</v>
      </c>
      <c r="D614" s="2" t="s">
        <v>41</v>
      </c>
      <c r="E614" s="5">
        <v>-28765</v>
      </c>
      <c r="F614" s="3" t="s">
        <v>974</v>
      </c>
      <c r="G614" s="3" t="s">
        <v>1483</v>
      </c>
      <c r="H614" s="2" t="s">
        <v>21</v>
      </c>
      <c r="I614" s="2" t="s">
        <v>1484</v>
      </c>
      <c r="J614" s="3" t="str">
        <f>HYPERLINK("https://www.boe.es/gazeta/dias/1821/03/29/pdfs/GMD-1821-90.pdf#page=4","Abrir facsímil")</f>
        <v>Abrir facsímil</v>
      </c>
      <c r="K614" s="3" t="s">
        <v>23</v>
      </c>
    </row>
    <row r="615" spans="1:11" ht="42" customHeight="1">
      <c r="A615" s="2" t="s">
        <v>1470</v>
      </c>
      <c r="B615" s="2" t="s">
        <v>1470</v>
      </c>
      <c r="C615" s="2" t="s">
        <v>494</v>
      </c>
      <c r="D615" s="2" t="s">
        <v>18</v>
      </c>
      <c r="E615" s="5">
        <v>-28744</v>
      </c>
      <c r="F615" s="3" t="s">
        <v>834</v>
      </c>
      <c r="G615" s="3" t="s">
        <v>88</v>
      </c>
      <c r="H615" s="2" t="s">
        <v>21</v>
      </c>
      <c r="I615" s="2" t="s">
        <v>1485</v>
      </c>
      <c r="J615" s="3" t="str">
        <f>HYPERLINK("https://www.boe.es/gazeta/dias/1821/04/19/pdfs/GMD-1821-111.pdf#page=4","Abrir facsímil")</f>
        <v>Abrir facsímil</v>
      </c>
      <c r="K615" s="3" t="s">
        <v>23</v>
      </c>
    </row>
    <row r="616" spans="1:11" ht="42" customHeight="1">
      <c r="A616" s="2" t="s">
        <v>1470</v>
      </c>
      <c r="B616" s="2" t="s">
        <v>1470</v>
      </c>
      <c r="C616" s="2" t="s">
        <v>40</v>
      </c>
      <c r="D616" s="2" t="s">
        <v>41</v>
      </c>
      <c r="E616" s="5">
        <v>-28739</v>
      </c>
      <c r="F616" s="3" t="s">
        <v>1024</v>
      </c>
      <c r="G616" s="3" t="s">
        <v>52</v>
      </c>
      <c r="H616" s="2" t="s">
        <v>21</v>
      </c>
      <c r="I616" s="2" t="s">
        <v>1486</v>
      </c>
      <c r="J616" s="3" t="str">
        <f>HYPERLINK("https://www.boe.es/gazeta/dias/1821/04/24/pdfs/GMD-1821-116.pdf#page=2","Abrir facsímil")</f>
        <v>Abrir facsímil</v>
      </c>
      <c r="K616" s="3" t="s">
        <v>23</v>
      </c>
    </row>
    <row r="617" spans="1:11" ht="42" customHeight="1">
      <c r="A617" s="2" t="s">
        <v>1470</v>
      </c>
      <c r="B617" s="2" t="s">
        <v>1470</v>
      </c>
      <c r="C617" s="2" t="s">
        <v>26</v>
      </c>
      <c r="D617" s="2" t="s">
        <v>27</v>
      </c>
      <c r="E617" s="5">
        <v>-28738</v>
      </c>
      <c r="F617" s="3" t="s">
        <v>359</v>
      </c>
      <c r="G617" s="3" t="s">
        <v>88</v>
      </c>
      <c r="H617" s="2" t="s">
        <v>21</v>
      </c>
      <c r="I617" s="2" t="s">
        <v>1487</v>
      </c>
      <c r="J617" s="3" t="str">
        <f>HYPERLINK("https://www.boe.es/gazeta/dias/1821/04/25/pdfs/GMD-1821-117.pdf#page=4","Abrir facsímil")</f>
        <v>Abrir facsímil</v>
      </c>
      <c r="K617" s="3" t="s">
        <v>23</v>
      </c>
    </row>
    <row r="618" spans="1:11" ht="42" customHeight="1">
      <c r="A618" s="2" t="s">
        <v>1470</v>
      </c>
      <c r="B618" s="2" t="s">
        <v>1470</v>
      </c>
      <c r="C618" s="2" t="s">
        <v>40</v>
      </c>
      <c r="D618" s="2" t="s">
        <v>41</v>
      </c>
      <c r="E618" s="5">
        <v>-28729</v>
      </c>
      <c r="F618" s="3" t="s">
        <v>838</v>
      </c>
      <c r="G618" s="3" t="s">
        <v>88</v>
      </c>
      <c r="H618" s="2" t="s">
        <v>21</v>
      </c>
      <c r="I618" s="2" t="s">
        <v>1488</v>
      </c>
      <c r="J618" s="3" t="str">
        <f>HYPERLINK("https://www.boe.es/gazeta/dias/1821/05/04/pdfs/GMD-1821-126.pdf#page=4","Abrir facsímil")</f>
        <v>Abrir facsímil</v>
      </c>
      <c r="K618" s="3" t="s">
        <v>23</v>
      </c>
    </row>
    <row r="619" spans="1:11" ht="42" customHeight="1">
      <c r="A619" s="2" t="s">
        <v>1470</v>
      </c>
      <c r="B619" s="2" t="s">
        <v>1470</v>
      </c>
      <c r="C619" s="2" t="s">
        <v>70</v>
      </c>
      <c r="D619" s="2" t="s">
        <v>27</v>
      </c>
      <c r="E619" s="5">
        <v>-28724</v>
      </c>
      <c r="F619" s="3" t="s">
        <v>1305</v>
      </c>
      <c r="G619" s="3" t="s">
        <v>20</v>
      </c>
      <c r="H619" s="2" t="s">
        <v>21</v>
      </c>
      <c r="I619" s="2" t="s">
        <v>1489</v>
      </c>
      <c r="J619" s="3" t="str">
        <f>HYPERLINK("https://www.boe.es/gazeta/dias/1821/05/09/pdfs/GMD-1821-131.pdf#page=3","Abrir facsímil")</f>
        <v>Abrir facsímil</v>
      </c>
      <c r="K619" s="3" t="s">
        <v>23</v>
      </c>
    </row>
    <row r="620" spans="1:11" ht="42" customHeight="1">
      <c r="A620" s="2" t="s">
        <v>1470</v>
      </c>
      <c r="B620" s="2" t="s">
        <v>1470</v>
      </c>
      <c r="C620" s="2" t="s">
        <v>17</v>
      </c>
      <c r="D620" s="2" t="s">
        <v>18</v>
      </c>
      <c r="E620" s="5">
        <v>-28721</v>
      </c>
      <c r="F620" s="3" t="s">
        <v>92</v>
      </c>
      <c r="G620" s="3" t="s">
        <v>52</v>
      </c>
      <c r="H620" s="2" t="s">
        <v>21</v>
      </c>
      <c r="I620" s="2" t="s">
        <v>1490</v>
      </c>
      <c r="J620" s="3" t="str">
        <f>HYPERLINK("https://www.boe.es/gazeta/dias/1821/05/12/pdfs/GMD-1821-134.pdf#page=2","Abrir facsímil")</f>
        <v>Abrir facsímil</v>
      </c>
      <c r="K620" s="3" t="s">
        <v>23</v>
      </c>
    </row>
    <row r="621" spans="1:11" ht="42" customHeight="1">
      <c r="A621" s="2" t="s">
        <v>1470</v>
      </c>
      <c r="B621" s="2" t="s">
        <v>1470</v>
      </c>
      <c r="C621" s="2" t="s">
        <v>26</v>
      </c>
      <c r="D621" s="2" t="s">
        <v>27</v>
      </c>
      <c r="E621" s="5">
        <v>-28717</v>
      </c>
      <c r="F621" s="3" t="s">
        <v>1044</v>
      </c>
      <c r="G621" s="3" t="s">
        <v>52</v>
      </c>
      <c r="H621" s="2" t="s">
        <v>21</v>
      </c>
      <c r="I621" s="2" t="s">
        <v>1491</v>
      </c>
      <c r="J621" s="3" t="str">
        <f>HYPERLINK("https://www.boe.es/gazeta/dias/1821/05/16/pdfs/GMD-1821-138.pdf#page=2","Abrir facsímil")</f>
        <v>Abrir facsímil</v>
      </c>
      <c r="K621" s="3" t="s">
        <v>23</v>
      </c>
    </row>
    <row r="622" spans="1:11" ht="42" customHeight="1">
      <c r="A622" s="2" t="s">
        <v>1470</v>
      </c>
      <c r="B622" s="2" t="s">
        <v>1470</v>
      </c>
      <c r="C622" s="2" t="s">
        <v>114</v>
      </c>
      <c r="D622" s="2" t="s">
        <v>27</v>
      </c>
      <c r="E622" s="5">
        <v>-28715</v>
      </c>
      <c r="F622" s="3" t="s">
        <v>1046</v>
      </c>
      <c r="G622" s="3" t="s">
        <v>52</v>
      </c>
      <c r="H622" s="2" t="s">
        <v>21</v>
      </c>
      <c r="I622" s="2" t="s">
        <v>1492</v>
      </c>
      <c r="J622" s="3" t="str">
        <f>HYPERLINK("https://www.boe.es/gazeta/dias/1821/05/18/pdfs/GMD-1821-140.pdf#page=2","Abrir facsímil")</f>
        <v>Abrir facsímil</v>
      </c>
      <c r="K622" s="3" t="s">
        <v>23</v>
      </c>
    </row>
    <row r="623" spans="1:11" ht="42" customHeight="1">
      <c r="A623" s="2" t="s">
        <v>1470</v>
      </c>
      <c r="B623" s="2" t="s">
        <v>1470</v>
      </c>
      <c r="C623" s="2" t="s">
        <v>40</v>
      </c>
      <c r="D623" s="2" t="s">
        <v>41</v>
      </c>
      <c r="E623" s="5">
        <v>-28714</v>
      </c>
      <c r="F623" s="3" t="s">
        <v>522</v>
      </c>
      <c r="G623" s="3" t="s">
        <v>52</v>
      </c>
      <c r="H623" s="2" t="s">
        <v>21</v>
      </c>
      <c r="I623" s="2" t="s">
        <v>1493</v>
      </c>
      <c r="J623" s="3" t="str">
        <f>HYPERLINK("https://www.boe.es/gazeta/dias/1821/05/19/pdfs/GMD-1821-141.pdf#page=2","Abrir facsímil")</f>
        <v>Abrir facsímil</v>
      </c>
      <c r="K623" s="3" t="s">
        <v>23</v>
      </c>
    </row>
    <row r="624" spans="1:11" ht="42" customHeight="1">
      <c r="A624" s="2" t="s">
        <v>1470</v>
      </c>
      <c r="B624" s="2" t="s">
        <v>1470</v>
      </c>
      <c r="C624" s="2" t="s">
        <v>70</v>
      </c>
      <c r="D624" s="2" t="s">
        <v>27</v>
      </c>
      <c r="E624" s="5">
        <v>-28711</v>
      </c>
      <c r="F624" s="3" t="s">
        <v>1048</v>
      </c>
      <c r="G624" s="3" t="s">
        <v>20</v>
      </c>
      <c r="H624" s="2" t="s">
        <v>21</v>
      </c>
      <c r="I624" s="2" t="s">
        <v>1494</v>
      </c>
      <c r="J624" s="3" t="str">
        <f>HYPERLINK("https://www.boe.es/gazeta/dias/1821/05/22/pdfs/GMD-1821-144.pdf#page=3","Abrir facsímil")</f>
        <v>Abrir facsímil</v>
      </c>
      <c r="K624" s="3" t="s">
        <v>23</v>
      </c>
    </row>
    <row r="625" spans="1:11" ht="42" customHeight="1">
      <c r="A625" s="2" t="s">
        <v>1470</v>
      </c>
      <c r="B625" s="2" t="s">
        <v>1470</v>
      </c>
      <c r="C625" s="2" t="s">
        <v>40</v>
      </c>
      <c r="D625" s="2" t="s">
        <v>41</v>
      </c>
      <c r="E625" s="5">
        <v>-28710</v>
      </c>
      <c r="F625" s="3" t="s">
        <v>375</v>
      </c>
      <c r="G625" s="3" t="s">
        <v>52</v>
      </c>
      <c r="H625" s="2" t="s">
        <v>21</v>
      </c>
      <c r="I625" s="2" t="s">
        <v>1495</v>
      </c>
      <c r="J625" s="3" t="str">
        <f>HYPERLINK("https://www.boe.es/gazeta/dias/1821/05/23/pdfs/GMD-1821-145.pdf#page=2","Abrir facsímil")</f>
        <v>Abrir facsímil</v>
      </c>
      <c r="K625" s="3" t="s">
        <v>23</v>
      </c>
    </row>
    <row r="626" spans="1:11" ht="42" customHeight="1">
      <c r="A626" s="2" t="s">
        <v>1470</v>
      </c>
      <c r="B626" s="2" t="s">
        <v>1470</v>
      </c>
      <c r="C626" s="2" t="s">
        <v>40</v>
      </c>
      <c r="D626" s="2" t="s">
        <v>41</v>
      </c>
      <c r="E626" s="5">
        <v>-28707</v>
      </c>
      <c r="F626" s="3" t="s">
        <v>495</v>
      </c>
      <c r="G626" s="3" t="s">
        <v>52</v>
      </c>
      <c r="H626" s="2" t="s">
        <v>21</v>
      </c>
      <c r="I626" s="2" t="s">
        <v>1496</v>
      </c>
      <c r="J626" s="3" t="str">
        <f>HYPERLINK("https://www.boe.es/gazeta/dias/1821/05/26/pdfs/GMD-1821-148.pdf#page=2","Abrir facsímil")</f>
        <v>Abrir facsímil</v>
      </c>
      <c r="K626" s="3" t="s">
        <v>23</v>
      </c>
    </row>
    <row r="627" spans="1:11" ht="42" customHeight="1">
      <c r="A627" s="2" t="s">
        <v>1470</v>
      </c>
      <c r="B627" s="2" t="s">
        <v>1470</v>
      </c>
      <c r="C627" s="2" t="s">
        <v>40</v>
      </c>
      <c r="D627" s="2" t="s">
        <v>41</v>
      </c>
      <c r="E627" s="5">
        <v>-28704</v>
      </c>
      <c r="F627" s="3" t="s">
        <v>1050</v>
      </c>
      <c r="G627" s="3" t="s">
        <v>52</v>
      </c>
      <c r="H627" s="2" t="s">
        <v>21</v>
      </c>
      <c r="I627" s="2" t="s">
        <v>1497</v>
      </c>
      <c r="J627" s="3" t="str">
        <f>HYPERLINK("https://www.boe.es/gazeta/dias/1821/05/29/pdfs/GMD-1821-151.pdf#page=2","Abrir facsímil")</f>
        <v>Abrir facsímil</v>
      </c>
      <c r="K627" s="3" t="s">
        <v>23</v>
      </c>
    </row>
    <row r="628" spans="1:11" ht="42" customHeight="1">
      <c r="A628" s="2" t="s">
        <v>1470</v>
      </c>
      <c r="B628" s="2" t="s">
        <v>1470</v>
      </c>
      <c r="C628" s="2" t="s">
        <v>26</v>
      </c>
      <c r="D628" s="2" t="s">
        <v>27</v>
      </c>
      <c r="E628" s="5">
        <v>-28703</v>
      </c>
      <c r="F628" s="3" t="s">
        <v>231</v>
      </c>
      <c r="G628" s="3" t="s">
        <v>52</v>
      </c>
      <c r="H628" s="2" t="s">
        <v>21</v>
      </c>
      <c r="I628" s="2" t="s">
        <v>1498</v>
      </c>
      <c r="J628" s="3" t="str">
        <f>HYPERLINK("https://www.boe.es/gazeta/dias/1821/05/30/pdfs/GMD-1821-152.pdf#page=2","Abrir facsímil")</f>
        <v>Abrir facsímil</v>
      </c>
      <c r="K628" s="3" t="s">
        <v>23</v>
      </c>
    </row>
    <row r="629" spans="1:11" ht="42" customHeight="1">
      <c r="A629" s="2" t="s">
        <v>1470</v>
      </c>
      <c r="B629" s="2" t="s">
        <v>1470</v>
      </c>
      <c r="C629" s="2" t="s">
        <v>70</v>
      </c>
      <c r="D629" s="2" t="s">
        <v>27</v>
      </c>
      <c r="E629" s="5">
        <v>-28702</v>
      </c>
      <c r="F629" s="3" t="s">
        <v>1176</v>
      </c>
      <c r="G629" s="3" t="s">
        <v>20</v>
      </c>
      <c r="H629" s="2" t="s">
        <v>21</v>
      </c>
      <c r="I629" s="2" t="s">
        <v>1499</v>
      </c>
      <c r="J629" s="3" t="str">
        <f>HYPERLINK("https://www.boe.es/gazeta/dias/1821/05/31/pdfs/GMD-1821-153.pdf#page=3","Abrir facsímil")</f>
        <v>Abrir facsímil</v>
      </c>
      <c r="K629" s="3" t="s">
        <v>23</v>
      </c>
    </row>
    <row r="630" spans="1:11" ht="42" customHeight="1">
      <c r="A630" s="2" t="s">
        <v>1470</v>
      </c>
      <c r="B630" s="2" t="s">
        <v>1470</v>
      </c>
      <c r="C630" s="2" t="s">
        <v>35</v>
      </c>
      <c r="D630" s="2" t="s">
        <v>27</v>
      </c>
      <c r="E630" s="5">
        <v>-28701</v>
      </c>
      <c r="F630" s="3" t="s">
        <v>202</v>
      </c>
      <c r="G630" s="3" t="s">
        <v>43</v>
      </c>
      <c r="H630" s="2" t="s">
        <v>21</v>
      </c>
      <c r="I630" s="2" t="s">
        <v>1500</v>
      </c>
      <c r="J630" s="3" t="str">
        <f>HYPERLINK("https://www.boe.es/gazeta/dias/1821/06/01/pdfs/GMD-1821-154.pdf#page=1","Abrir facsímil")</f>
        <v>Abrir facsímil</v>
      </c>
      <c r="K630" s="3" t="s">
        <v>23</v>
      </c>
    </row>
    <row r="631" spans="1:11" ht="42" customHeight="1">
      <c r="A631" s="2" t="s">
        <v>1470</v>
      </c>
      <c r="B631" s="2" t="s">
        <v>1470</v>
      </c>
      <c r="C631" s="2" t="s">
        <v>70</v>
      </c>
      <c r="D631" s="2" t="s">
        <v>27</v>
      </c>
      <c r="E631" s="5">
        <v>-28699</v>
      </c>
      <c r="F631" s="3" t="s">
        <v>280</v>
      </c>
      <c r="G631" s="3" t="s">
        <v>29</v>
      </c>
      <c r="H631" s="2" t="s">
        <v>21</v>
      </c>
      <c r="I631" s="2" t="s">
        <v>1501</v>
      </c>
      <c r="J631" s="3" t="str">
        <f>HYPERLINK("https://www.boe.es/gazeta/dias/1821/06/03/pdfs/GMD-1821-156.pdf#page=6","Abrir facsímil")</f>
        <v>Abrir facsímil</v>
      </c>
      <c r="K631" s="3" t="s">
        <v>23</v>
      </c>
    </row>
    <row r="632" spans="1:11" ht="42" customHeight="1">
      <c r="A632" s="2" t="s">
        <v>1470</v>
      </c>
      <c r="B632" s="2" t="s">
        <v>1470</v>
      </c>
      <c r="C632" s="2" t="s">
        <v>40</v>
      </c>
      <c r="D632" s="2" t="s">
        <v>41</v>
      </c>
      <c r="E632" s="5">
        <v>-28695</v>
      </c>
      <c r="F632" s="3" t="s">
        <v>1309</v>
      </c>
      <c r="G632" s="3" t="s">
        <v>52</v>
      </c>
      <c r="H632" s="2" t="s">
        <v>21</v>
      </c>
      <c r="I632" s="2" t="s">
        <v>1502</v>
      </c>
      <c r="J632" s="3" t="str">
        <f>HYPERLINK("https://www.boe.es/gazeta/dias/1821/06/07/pdfs/GMD-1821-160.pdf#page=2","Abrir facsímil")</f>
        <v>Abrir facsímil</v>
      </c>
      <c r="K632" s="3" t="s">
        <v>23</v>
      </c>
    </row>
    <row r="633" spans="1:11" ht="42" customHeight="1">
      <c r="A633" s="2" t="s">
        <v>1470</v>
      </c>
      <c r="B633" s="2" t="s">
        <v>1470</v>
      </c>
      <c r="C633" s="2" t="s">
        <v>35</v>
      </c>
      <c r="D633" s="2" t="s">
        <v>27</v>
      </c>
      <c r="E633" s="5">
        <v>-28691</v>
      </c>
      <c r="F633" s="3" t="s">
        <v>716</v>
      </c>
      <c r="G633" s="3" t="s">
        <v>52</v>
      </c>
      <c r="H633" s="2" t="s">
        <v>21</v>
      </c>
      <c r="I633" s="2" t="s">
        <v>1503</v>
      </c>
      <c r="J633" s="3" t="str">
        <f>HYPERLINK("https://www.boe.es/gazeta/dias/1821/06/11/pdfs/GMD-1821-164.pdf#page=2","Abrir facsímil")</f>
        <v>Abrir facsímil</v>
      </c>
      <c r="K633" s="3" t="s">
        <v>23</v>
      </c>
    </row>
    <row r="634" spans="1:11" ht="42" customHeight="1">
      <c r="A634" s="2" t="s">
        <v>1470</v>
      </c>
      <c r="B634" s="2" t="s">
        <v>1470</v>
      </c>
      <c r="C634" s="2" t="s">
        <v>26</v>
      </c>
      <c r="D634" s="2" t="s">
        <v>27</v>
      </c>
      <c r="E634" s="5">
        <v>-28688</v>
      </c>
      <c r="F634" s="3" t="s">
        <v>1504</v>
      </c>
      <c r="G634" s="3" t="s">
        <v>20</v>
      </c>
      <c r="H634" s="2" t="s">
        <v>21</v>
      </c>
      <c r="I634" s="2" t="s">
        <v>1505</v>
      </c>
      <c r="J634" s="3" t="str">
        <f>HYPERLINK("https://www.boe.es/gazeta/dias/1821/06/14/pdfs/GMD-1821-167.pdf#page=3","Abrir facsímil")</f>
        <v>Abrir facsímil</v>
      </c>
      <c r="K634" s="3" t="s">
        <v>23</v>
      </c>
    </row>
    <row r="635" spans="1:11" ht="42" customHeight="1">
      <c r="A635" s="2" t="s">
        <v>1470</v>
      </c>
      <c r="B635" s="2" t="s">
        <v>1470</v>
      </c>
      <c r="C635" s="2" t="s">
        <v>26</v>
      </c>
      <c r="D635" s="2" t="s">
        <v>27</v>
      </c>
      <c r="E635" s="5">
        <v>-28686</v>
      </c>
      <c r="F635" s="3" t="s">
        <v>115</v>
      </c>
      <c r="G635" s="3" t="s">
        <v>52</v>
      </c>
      <c r="H635" s="2" t="s">
        <v>21</v>
      </c>
      <c r="I635" s="2" t="s">
        <v>1506</v>
      </c>
      <c r="J635" s="3" t="str">
        <f>HYPERLINK("https://www.boe.es/gazeta/dias/1821/06/16/pdfs/GMD-1821-169.pdf#page=2","Abrir facsímil")</f>
        <v>Abrir facsímil</v>
      </c>
      <c r="K635" s="3" t="s">
        <v>23</v>
      </c>
    </row>
    <row r="636" spans="1:11" ht="42" customHeight="1">
      <c r="A636" s="2" t="s">
        <v>1470</v>
      </c>
      <c r="B636" s="2" t="s">
        <v>1470</v>
      </c>
      <c r="C636" s="2" t="s">
        <v>35</v>
      </c>
      <c r="D636" s="2" t="s">
        <v>27</v>
      </c>
      <c r="E636" s="5">
        <v>-28685</v>
      </c>
      <c r="F636" s="3" t="s">
        <v>303</v>
      </c>
      <c r="G636" s="3" t="s">
        <v>1507</v>
      </c>
      <c r="H636" s="2" t="s">
        <v>21</v>
      </c>
      <c r="I636" s="2" t="s">
        <v>1508</v>
      </c>
      <c r="J636" s="3" t="str">
        <f>HYPERLINK("https://www.boe.es/gazeta/dias/1821/06/17/pdfs/GMD-1821-170.pdf#page=6","Abrir facsímil")</f>
        <v>Abrir facsímil</v>
      </c>
      <c r="K636" s="3" t="s">
        <v>23</v>
      </c>
    </row>
    <row r="637" spans="1:11" ht="42" customHeight="1">
      <c r="A637" s="2" t="s">
        <v>1470</v>
      </c>
      <c r="B637" s="2" t="s">
        <v>1470</v>
      </c>
      <c r="C637" s="2" t="s">
        <v>35</v>
      </c>
      <c r="D637" s="2" t="s">
        <v>27</v>
      </c>
      <c r="E637" s="5">
        <v>-28685</v>
      </c>
      <c r="F637" s="3" t="s">
        <v>303</v>
      </c>
      <c r="G637" s="3" t="s">
        <v>162</v>
      </c>
      <c r="H637" s="2" t="s">
        <v>21</v>
      </c>
      <c r="I637" s="2" t="s">
        <v>1509</v>
      </c>
      <c r="J637" s="3" t="str">
        <f>HYPERLINK("https://www.boe.es/gazeta/dias/1821/06/17/pdfs/GMD-1821-170.pdf#page=5","Abrir facsímil")</f>
        <v>Abrir facsímil</v>
      </c>
      <c r="K637" s="3" t="s">
        <v>23</v>
      </c>
    </row>
    <row r="638" spans="1:11" ht="42" customHeight="1">
      <c r="A638" s="2" t="s">
        <v>1470</v>
      </c>
      <c r="B638" s="2" t="s">
        <v>1470</v>
      </c>
      <c r="C638" s="2" t="s">
        <v>35</v>
      </c>
      <c r="D638" s="2" t="s">
        <v>27</v>
      </c>
      <c r="E638" s="5">
        <v>-28684</v>
      </c>
      <c r="F638" s="3" t="s">
        <v>208</v>
      </c>
      <c r="G638" s="3" t="s">
        <v>20</v>
      </c>
      <c r="H638" s="2" t="s">
        <v>21</v>
      </c>
      <c r="I638" s="2" t="s">
        <v>1510</v>
      </c>
      <c r="J638" s="3" t="str">
        <f>HYPERLINK("https://www.boe.es/gazeta/dias/1821/06/18/pdfs/GMD-1821-171.pdf#page=3","Abrir facsímil")</f>
        <v>Abrir facsímil</v>
      </c>
      <c r="K638" s="3" t="s">
        <v>23</v>
      </c>
    </row>
    <row r="639" spans="1:11" ht="42" customHeight="1">
      <c r="A639" s="2" t="s">
        <v>1470</v>
      </c>
      <c r="B639" s="2" t="s">
        <v>1470</v>
      </c>
      <c r="C639" s="2" t="s">
        <v>35</v>
      </c>
      <c r="D639" s="2" t="s">
        <v>27</v>
      </c>
      <c r="E639" s="5">
        <v>-28683</v>
      </c>
      <c r="F639" s="3" t="s">
        <v>332</v>
      </c>
      <c r="G639" s="3" t="s">
        <v>88</v>
      </c>
      <c r="H639" s="2" t="s">
        <v>21</v>
      </c>
      <c r="I639" s="2" t="s">
        <v>1511</v>
      </c>
      <c r="J639" s="3" t="str">
        <f>HYPERLINK("https://www.boe.es/gazeta/dias/1821/06/19/pdfs/GMD-1821-172.pdf#page=4","Abrir facsímil")</f>
        <v>Abrir facsímil</v>
      </c>
      <c r="K639" s="3" t="s">
        <v>23</v>
      </c>
    </row>
    <row r="640" spans="1:11" ht="42" customHeight="1">
      <c r="A640" s="2" t="s">
        <v>1470</v>
      </c>
      <c r="B640" s="2" t="s">
        <v>1470</v>
      </c>
      <c r="C640" s="2" t="s">
        <v>70</v>
      </c>
      <c r="D640" s="2" t="s">
        <v>27</v>
      </c>
      <c r="E640" s="5">
        <v>-28678</v>
      </c>
      <c r="F640" s="3" t="s">
        <v>215</v>
      </c>
      <c r="G640" s="3" t="s">
        <v>1445</v>
      </c>
      <c r="H640" s="2" t="s">
        <v>21</v>
      </c>
      <c r="I640" s="2" t="s">
        <v>1512</v>
      </c>
      <c r="J640" s="3" t="str">
        <f>HYPERLINK("https://www.boe.es/gazeta/dias/1821/06/24/pdfs/GMD-1821-177.pdf#page=3","Abrir facsímil")</f>
        <v>Abrir facsímil</v>
      </c>
      <c r="K640" s="3" t="s">
        <v>23</v>
      </c>
    </row>
    <row r="641" spans="1:11" ht="42" customHeight="1">
      <c r="A641" s="2" t="s">
        <v>1470</v>
      </c>
      <c r="B641" s="2" t="s">
        <v>1470</v>
      </c>
      <c r="C641" s="2" t="s">
        <v>26</v>
      </c>
      <c r="D641" s="2" t="s">
        <v>27</v>
      </c>
      <c r="E641" s="5">
        <v>-28677</v>
      </c>
      <c r="F641" s="3" t="s">
        <v>361</v>
      </c>
      <c r="G641" s="3" t="s">
        <v>20</v>
      </c>
      <c r="H641" s="2" t="s">
        <v>21</v>
      </c>
      <c r="I641" s="2" t="s">
        <v>1513</v>
      </c>
      <c r="J641" s="3" t="str">
        <f>HYPERLINK("https://www.boe.es/gazeta/dias/1821/06/25/pdfs/GMD-1821-178.pdf#page=3","Abrir facsímil")</f>
        <v>Abrir facsímil</v>
      </c>
      <c r="K641" s="3" t="s">
        <v>23</v>
      </c>
    </row>
    <row r="642" spans="1:11" ht="42" customHeight="1">
      <c r="A642" s="2" t="s">
        <v>1470</v>
      </c>
      <c r="B642" s="2" t="s">
        <v>1470</v>
      </c>
      <c r="C642" s="2" t="s">
        <v>17</v>
      </c>
      <c r="D642" s="2" t="s">
        <v>18</v>
      </c>
      <c r="E642" s="5">
        <v>-28672</v>
      </c>
      <c r="F642" s="3" t="s">
        <v>964</v>
      </c>
      <c r="G642" s="3" t="s">
        <v>20</v>
      </c>
      <c r="H642" s="2" t="s">
        <v>21</v>
      </c>
      <c r="I642" s="2" t="s">
        <v>1514</v>
      </c>
      <c r="J642" s="3" t="str">
        <f>HYPERLINK("https://www.boe.es/gazeta/dias/1821/06/30/pdfs/GMD-1821-183.pdf#page=3","Abrir facsímil")</f>
        <v>Abrir facsímil</v>
      </c>
      <c r="K642" s="3" t="s">
        <v>23</v>
      </c>
    </row>
    <row r="643" spans="1:11" ht="42" customHeight="1">
      <c r="A643" s="2" t="s">
        <v>1470</v>
      </c>
      <c r="B643" s="2" t="s">
        <v>1470</v>
      </c>
      <c r="C643" s="2" t="s">
        <v>35</v>
      </c>
      <c r="D643" s="2" t="s">
        <v>27</v>
      </c>
      <c r="E643" s="5">
        <v>-28666</v>
      </c>
      <c r="F643" s="3" t="s">
        <v>1263</v>
      </c>
      <c r="G643" s="3" t="s">
        <v>88</v>
      </c>
      <c r="H643" s="2" t="s">
        <v>21</v>
      </c>
      <c r="I643" s="2" t="s">
        <v>1515</v>
      </c>
      <c r="J643" s="3" t="str">
        <f>HYPERLINK("https://www.boe.es/gazeta/dias/1821/07/06/pdfs/GMD-1821-190.pdf#page=4","Abrir facsímil")</f>
        <v>Abrir facsímil</v>
      </c>
      <c r="K643" s="3" t="s">
        <v>23</v>
      </c>
    </row>
    <row r="644" spans="1:11" ht="42" customHeight="1">
      <c r="A644" s="2" t="s">
        <v>1470</v>
      </c>
      <c r="B644" s="2" t="s">
        <v>1470</v>
      </c>
      <c r="C644" s="2" t="s">
        <v>70</v>
      </c>
      <c r="D644" s="2" t="s">
        <v>27</v>
      </c>
      <c r="E644" s="5">
        <v>-28654</v>
      </c>
      <c r="F644" s="3" t="s">
        <v>674</v>
      </c>
      <c r="G644" s="3" t="s">
        <v>20</v>
      </c>
      <c r="H644" s="2" t="s">
        <v>21</v>
      </c>
      <c r="I644" s="2" t="s">
        <v>1516</v>
      </c>
      <c r="J644" s="3" t="str">
        <f>HYPERLINK("https://www.boe.es/gazeta/dias/1821/07/18/pdfs/GMD-1821-203.pdf#page=3","Abrir facsímil")</f>
        <v>Abrir facsímil</v>
      </c>
      <c r="K644" s="3" t="s">
        <v>23</v>
      </c>
    </row>
    <row r="645" spans="1:11" ht="42" customHeight="1">
      <c r="A645" s="2" t="s">
        <v>1470</v>
      </c>
      <c r="B645" s="2" t="s">
        <v>1470</v>
      </c>
      <c r="C645" s="2" t="s">
        <v>114</v>
      </c>
      <c r="D645" s="2" t="s">
        <v>27</v>
      </c>
      <c r="E645" s="5">
        <v>-28654</v>
      </c>
      <c r="F645" s="3" t="s">
        <v>674</v>
      </c>
      <c r="G645" s="3" t="s">
        <v>88</v>
      </c>
      <c r="H645" s="2" t="s">
        <v>21</v>
      </c>
      <c r="I645" s="2" t="s">
        <v>1517</v>
      </c>
      <c r="J645" s="3" t="str">
        <f>HYPERLINK("https://www.boe.es/gazeta/dias/1821/07/18/pdfs/GMD-1821-203.pdf#page=4","Abrir facsímil")</f>
        <v>Abrir facsímil</v>
      </c>
      <c r="K645" s="3" t="s">
        <v>23</v>
      </c>
    </row>
    <row r="646" spans="1:11" ht="42" customHeight="1">
      <c r="A646" s="2" t="s">
        <v>1470</v>
      </c>
      <c r="B646" s="2" t="s">
        <v>1470</v>
      </c>
      <c r="C646" s="2" t="s">
        <v>26</v>
      </c>
      <c r="D646" s="2" t="s">
        <v>27</v>
      </c>
      <c r="E646" s="5">
        <v>-28651</v>
      </c>
      <c r="F646" s="3" t="s">
        <v>1518</v>
      </c>
      <c r="G646" s="3" t="s">
        <v>88</v>
      </c>
      <c r="H646" s="2" t="s">
        <v>21</v>
      </c>
      <c r="I646" s="2" t="s">
        <v>1519</v>
      </c>
      <c r="J646" s="3" t="str">
        <f>HYPERLINK("https://www.boe.es/gazeta/dias/1821/07/21/pdfs/GMD-1821-206.pdf#page=4","Abrir facsímil")</f>
        <v>Abrir facsímil</v>
      </c>
      <c r="K646" s="3" t="s">
        <v>23</v>
      </c>
    </row>
    <row r="647" spans="1:11" ht="42" customHeight="1">
      <c r="A647" s="2" t="s">
        <v>1470</v>
      </c>
      <c r="B647" s="2" t="s">
        <v>1470</v>
      </c>
      <c r="C647" s="2" t="s">
        <v>17</v>
      </c>
      <c r="D647" s="2" t="s">
        <v>18</v>
      </c>
      <c r="E647" s="5">
        <v>-28648</v>
      </c>
      <c r="F647" s="3" t="s">
        <v>1520</v>
      </c>
      <c r="G647" s="3" t="s">
        <v>1521</v>
      </c>
      <c r="H647" s="2" t="s">
        <v>21</v>
      </c>
      <c r="I647" s="2" t="s">
        <v>1522</v>
      </c>
      <c r="J647" s="3" t="str">
        <f>HYPERLINK("https://www.boe.es/gazeta/dias/1821/07/24/pdfs/GMD-1821-209.pdf#page=6","Abrir facsímil")</f>
        <v>Abrir facsímil</v>
      </c>
      <c r="K647" s="3" t="s">
        <v>23</v>
      </c>
    </row>
    <row r="648" spans="1:11" ht="42" customHeight="1">
      <c r="A648" s="2" t="s">
        <v>1470</v>
      </c>
      <c r="B648" s="2" t="s">
        <v>1470</v>
      </c>
      <c r="C648" s="2" t="s">
        <v>26</v>
      </c>
      <c r="D648" s="2" t="s">
        <v>27</v>
      </c>
      <c r="E648" s="5">
        <v>-28641</v>
      </c>
      <c r="F648" s="3" t="s">
        <v>398</v>
      </c>
      <c r="G648" s="3" t="s">
        <v>88</v>
      </c>
      <c r="H648" s="2" t="s">
        <v>21</v>
      </c>
      <c r="I648" s="2" t="s">
        <v>1523</v>
      </c>
      <c r="J648" s="3" t="str">
        <f>HYPERLINK("https://www.boe.es/gazeta/dias/1821/07/31/pdfs/GMD-1821-216.pdf#page=4","Abrir facsímil")</f>
        <v>Abrir facsímil</v>
      </c>
      <c r="K648" s="3" t="s">
        <v>23</v>
      </c>
    </row>
    <row r="649" spans="1:11" ht="42" customHeight="1">
      <c r="A649" s="2" t="s">
        <v>1470</v>
      </c>
      <c r="B649" s="2" t="s">
        <v>1470</v>
      </c>
      <c r="C649" s="2" t="s">
        <v>174</v>
      </c>
      <c r="D649" s="2" t="s">
        <v>27</v>
      </c>
      <c r="E649" s="5">
        <v>-28624</v>
      </c>
      <c r="F649" s="3" t="s">
        <v>78</v>
      </c>
      <c r="G649" s="3" t="s">
        <v>79</v>
      </c>
      <c r="H649" s="2" t="s">
        <v>21</v>
      </c>
      <c r="I649" s="2" t="s">
        <v>1524</v>
      </c>
      <c r="J649" s="3" t="str">
        <f>HYPERLINK("https://www.boe.es/gazeta/dias/1821/08/17/pdfs/GMD-1821-234.pdf#page=4","Abrir facsímil")</f>
        <v>Abrir facsímil</v>
      </c>
      <c r="K649" s="3" t="s">
        <v>23</v>
      </c>
    </row>
    <row r="650" spans="1:11" ht="42" customHeight="1">
      <c r="A650" s="2" t="s">
        <v>1470</v>
      </c>
      <c r="B650" s="2" t="s">
        <v>1470</v>
      </c>
      <c r="C650" s="2" t="s">
        <v>174</v>
      </c>
      <c r="D650" s="2" t="s">
        <v>27</v>
      </c>
      <c r="E650" s="5">
        <v>-28607</v>
      </c>
      <c r="F650" s="3" t="s">
        <v>740</v>
      </c>
      <c r="G650" s="3" t="s">
        <v>88</v>
      </c>
      <c r="H650" s="2" t="s">
        <v>21</v>
      </c>
      <c r="I650" s="2" t="s">
        <v>1525</v>
      </c>
      <c r="J650" s="3" t="str">
        <f>HYPERLINK("https://www.boe.es/gazeta/dias/1821/09/03/pdfs/GMD-1821-251.pdf#page=4","Abrir facsímil")</f>
        <v>Abrir facsímil</v>
      </c>
      <c r="K650" s="3" t="s">
        <v>23</v>
      </c>
    </row>
    <row r="651" spans="1:11" ht="42" customHeight="1">
      <c r="A651" s="2" t="s">
        <v>1470</v>
      </c>
      <c r="B651" s="2" t="s">
        <v>1470</v>
      </c>
      <c r="C651" s="2" t="s">
        <v>17</v>
      </c>
      <c r="D651" s="2" t="s">
        <v>18</v>
      </c>
      <c r="E651" s="5">
        <v>-28602</v>
      </c>
      <c r="F651" s="3" t="s">
        <v>1526</v>
      </c>
      <c r="G651" s="3" t="s">
        <v>20</v>
      </c>
      <c r="H651" s="2" t="s">
        <v>21</v>
      </c>
      <c r="I651" s="2" t="s">
        <v>1527</v>
      </c>
      <c r="J651" s="3" t="str">
        <f>HYPERLINK("https://www.boe.es/gazeta/dias/1821/09/08/pdfs/GMD-1821-256.pdf#page=3","Abrir facsímil")</f>
        <v>Abrir facsímil</v>
      </c>
      <c r="K651" s="3" t="s">
        <v>23</v>
      </c>
    </row>
    <row r="652" spans="1:11" ht="42" customHeight="1">
      <c r="A652" s="2" t="s">
        <v>1470</v>
      </c>
      <c r="B652" s="2" t="s">
        <v>1470</v>
      </c>
      <c r="C652" s="2" t="s">
        <v>174</v>
      </c>
      <c r="D652" s="2" t="s">
        <v>27</v>
      </c>
      <c r="E652" s="5">
        <v>-28574</v>
      </c>
      <c r="F652" s="3" t="s">
        <v>779</v>
      </c>
      <c r="G652" s="3" t="s">
        <v>162</v>
      </c>
      <c r="H652" s="2" t="s">
        <v>21</v>
      </c>
      <c r="I652" s="2" t="s">
        <v>1528</v>
      </c>
      <c r="J652" s="3" t="str">
        <f>HYPERLINK("https://www.boe.es/gazeta/dias/1821/10/06/pdfs/GMD-1821-285.pdf#page=5","Abrir facsímil")</f>
        <v>Abrir facsímil</v>
      </c>
      <c r="K652" s="3" t="s">
        <v>23</v>
      </c>
    </row>
    <row r="653" spans="1:11" ht="42" customHeight="1">
      <c r="A653" s="2" t="s">
        <v>1470</v>
      </c>
      <c r="B653" s="2" t="s">
        <v>1470</v>
      </c>
      <c r="C653" s="2" t="s">
        <v>26</v>
      </c>
      <c r="D653" s="2" t="s">
        <v>27</v>
      </c>
      <c r="E653" s="5">
        <v>-28566</v>
      </c>
      <c r="F653" s="3" t="s">
        <v>1529</v>
      </c>
      <c r="G653" s="3" t="s">
        <v>88</v>
      </c>
      <c r="H653" s="2" t="s">
        <v>21</v>
      </c>
      <c r="I653" s="2" t="s">
        <v>1530</v>
      </c>
      <c r="J653" s="3" t="str">
        <f>HYPERLINK("https://www.boe.es/gazeta/dias/1821/10/14/pdfs/GMD-1821-293.pdf#page=4","Abrir facsímil")</f>
        <v>Abrir facsímil</v>
      </c>
      <c r="K653" s="3" t="s">
        <v>23</v>
      </c>
    </row>
    <row r="654" spans="1:11" ht="42" customHeight="1">
      <c r="A654" s="2" t="s">
        <v>1470</v>
      </c>
      <c r="B654" s="2" t="s">
        <v>1470</v>
      </c>
      <c r="C654" s="2" t="s">
        <v>17</v>
      </c>
      <c r="D654" s="2" t="s">
        <v>18</v>
      </c>
      <c r="E654" s="5">
        <v>-28563</v>
      </c>
      <c r="F654" s="3" t="s">
        <v>118</v>
      </c>
      <c r="G654" s="3" t="s">
        <v>162</v>
      </c>
      <c r="H654" s="2" t="s">
        <v>21</v>
      </c>
      <c r="I654" s="2" t="s">
        <v>1531</v>
      </c>
      <c r="J654" s="3" t="str">
        <f>HYPERLINK("https://www.boe.es/gazeta/dias/1821/10/17/pdfs/GMD-1821-296.pdf#page=5","Abrir facsímil")</f>
        <v>Abrir facsímil</v>
      </c>
      <c r="K654" s="3" t="s">
        <v>23</v>
      </c>
    </row>
    <row r="655" spans="1:11" ht="42" customHeight="1">
      <c r="A655" s="2" t="s">
        <v>1470</v>
      </c>
      <c r="B655" s="2" t="s">
        <v>1470</v>
      </c>
      <c r="C655" s="2" t="s">
        <v>17</v>
      </c>
      <c r="D655" s="2" t="s">
        <v>18</v>
      </c>
      <c r="E655" s="5">
        <v>-28555</v>
      </c>
      <c r="F655" s="3" t="s">
        <v>219</v>
      </c>
      <c r="G655" s="3" t="s">
        <v>20</v>
      </c>
      <c r="H655" s="2" t="s">
        <v>21</v>
      </c>
      <c r="I655" s="2" t="s">
        <v>1532</v>
      </c>
      <c r="J655" s="3" t="str">
        <f>HYPERLINK("https://www.boe.es/gazeta/dias/1821/10/25/pdfs/GMD-1821-304.pdf#page=3","Abrir facsímil")</f>
        <v>Abrir facsímil</v>
      </c>
      <c r="K655" s="3" t="s">
        <v>23</v>
      </c>
    </row>
    <row r="656" spans="1:11" ht="42" customHeight="1">
      <c r="A656" s="2" t="s">
        <v>1470</v>
      </c>
      <c r="B656" s="2" t="s">
        <v>1470</v>
      </c>
      <c r="C656" s="2" t="s">
        <v>26</v>
      </c>
      <c r="D656" s="2" t="s">
        <v>27</v>
      </c>
      <c r="E656" s="5">
        <v>-28539</v>
      </c>
      <c r="F656" s="3" t="s">
        <v>153</v>
      </c>
      <c r="G656" s="3" t="s">
        <v>88</v>
      </c>
      <c r="H656" s="2" t="s">
        <v>21</v>
      </c>
      <c r="I656" s="2" t="s">
        <v>1533</v>
      </c>
      <c r="J656" s="3" t="str">
        <f>HYPERLINK("https://www.boe.es/gazeta/dias/1821/11/10/pdfs/GMD-1821-321.pdf#page=4","Abrir facsímil")</f>
        <v>Abrir facsímil</v>
      </c>
      <c r="K656" s="3" t="s">
        <v>23</v>
      </c>
    </row>
    <row r="657" spans="1:11" ht="42" customHeight="1">
      <c r="A657" s="2" t="s">
        <v>1470</v>
      </c>
      <c r="B657" s="2" t="s">
        <v>1470</v>
      </c>
      <c r="C657" s="2" t="s">
        <v>17</v>
      </c>
      <c r="D657" s="2" t="s">
        <v>18</v>
      </c>
      <c r="E657" s="5">
        <v>-28534</v>
      </c>
      <c r="F657" s="3" t="s">
        <v>414</v>
      </c>
      <c r="G657" s="3" t="s">
        <v>29</v>
      </c>
      <c r="H657" s="2" t="s">
        <v>21</v>
      </c>
      <c r="I657" s="2" t="s">
        <v>1534</v>
      </c>
      <c r="J657" s="3" t="str">
        <f>HYPERLINK("https://www.boe.es/gazeta/dias/1821/11/15/pdfs/GMD-1821-326.pdf#page=6","Abrir facsímil")</f>
        <v>Abrir facsímil</v>
      </c>
      <c r="K657" s="3" t="s">
        <v>23</v>
      </c>
    </row>
    <row r="658" spans="1:11" ht="42" customHeight="1">
      <c r="A658" s="2" t="s">
        <v>1470</v>
      </c>
      <c r="B658" s="2" t="s">
        <v>1470</v>
      </c>
      <c r="C658" s="2" t="s">
        <v>40</v>
      </c>
      <c r="D658" s="2" t="s">
        <v>41</v>
      </c>
      <c r="E658" s="5">
        <v>-28529</v>
      </c>
      <c r="F658" s="3" t="s">
        <v>525</v>
      </c>
      <c r="G658" s="3" t="s">
        <v>52</v>
      </c>
      <c r="H658" s="2" t="s">
        <v>21</v>
      </c>
      <c r="I658" s="2" t="s">
        <v>1535</v>
      </c>
      <c r="J658" s="3" t="str">
        <f>HYPERLINK("https://www.boe.es/gazeta/dias/1821/11/20/pdfs/GMD-1821-331.pdf#page=2","Abrir facsímil")</f>
        <v>Abrir facsímil</v>
      </c>
      <c r="K658" s="3" t="s">
        <v>23</v>
      </c>
    </row>
    <row r="659" spans="1:11" ht="42" customHeight="1">
      <c r="A659" s="2" t="s">
        <v>1470</v>
      </c>
      <c r="B659" s="2" t="s">
        <v>1470</v>
      </c>
      <c r="C659" s="2" t="s">
        <v>35</v>
      </c>
      <c r="D659" s="2" t="s">
        <v>27</v>
      </c>
      <c r="E659" s="5">
        <v>-28527</v>
      </c>
      <c r="F659" s="3" t="s">
        <v>328</v>
      </c>
      <c r="G659" s="3" t="s">
        <v>88</v>
      </c>
      <c r="H659" s="2" t="s">
        <v>21</v>
      </c>
      <c r="I659" s="2" t="s">
        <v>1536</v>
      </c>
      <c r="J659" s="3" t="str">
        <f>HYPERLINK("https://www.boe.es/gazeta/dias/1821/11/22/pdfs/GMD-1821-333.pdf#page=4","Abrir facsímil")</f>
        <v>Abrir facsímil</v>
      </c>
      <c r="K659" s="3" t="s">
        <v>23</v>
      </c>
    </row>
    <row r="660" spans="1:11" ht="42" customHeight="1">
      <c r="A660" s="2" t="s">
        <v>1470</v>
      </c>
      <c r="B660" s="2" t="s">
        <v>1470</v>
      </c>
      <c r="C660" s="2" t="s">
        <v>114</v>
      </c>
      <c r="D660" s="2" t="s">
        <v>27</v>
      </c>
      <c r="E660" s="5">
        <v>-28525</v>
      </c>
      <c r="F660" s="3" t="s">
        <v>186</v>
      </c>
      <c r="G660" s="3" t="s">
        <v>52</v>
      </c>
      <c r="H660" s="2" t="s">
        <v>21</v>
      </c>
      <c r="I660" s="2" t="s">
        <v>1537</v>
      </c>
      <c r="J660" s="3" t="str">
        <f>HYPERLINK("https://www.boe.es/gazeta/dias/1821/11/24/pdfs/GMD-1821-335.pdf#page=2","Abrir facsímil")</f>
        <v>Abrir facsímil</v>
      </c>
      <c r="K660" s="3" t="s">
        <v>23</v>
      </c>
    </row>
    <row r="661" spans="1:11" ht="42" customHeight="1">
      <c r="A661" s="2" t="s">
        <v>1470</v>
      </c>
      <c r="B661" s="2" t="s">
        <v>1470</v>
      </c>
      <c r="C661" s="2" t="s">
        <v>40</v>
      </c>
      <c r="D661" s="2" t="s">
        <v>41</v>
      </c>
      <c r="E661" s="5">
        <v>-28525</v>
      </c>
      <c r="F661" s="3" t="s">
        <v>186</v>
      </c>
      <c r="G661" s="3" t="s">
        <v>88</v>
      </c>
      <c r="H661" s="2" t="s">
        <v>21</v>
      </c>
      <c r="I661" s="2" t="s">
        <v>1538</v>
      </c>
      <c r="J661" s="3" t="str">
        <f>HYPERLINK("https://www.boe.es/gazeta/dias/1821/11/24/pdfs/GMD-1821-335.pdf#page=4","Abrir facsímil")</f>
        <v>Abrir facsímil</v>
      </c>
      <c r="K661" s="3" t="s">
        <v>23</v>
      </c>
    </row>
    <row r="662" spans="1:11" ht="42" customHeight="1">
      <c r="A662" s="2" t="s">
        <v>1470</v>
      </c>
      <c r="B662" s="2" t="s">
        <v>1470</v>
      </c>
      <c r="C662" s="2" t="s">
        <v>17</v>
      </c>
      <c r="D662" s="2" t="s">
        <v>18</v>
      </c>
      <c r="E662" s="5">
        <v>-28520</v>
      </c>
      <c r="F662" s="3" t="s">
        <v>878</v>
      </c>
      <c r="G662" s="3" t="s">
        <v>52</v>
      </c>
      <c r="H662" s="2" t="s">
        <v>21</v>
      </c>
      <c r="I662" s="2" t="s">
        <v>1539</v>
      </c>
      <c r="J662" s="3" t="str">
        <f>HYPERLINK("https://www.boe.es/gazeta/dias/1821/11/29/pdfs/GMD-1821-341.pdf#page=2","Abrir facsímil")</f>
        <v>Abrir facsímil</v>
      </c>
      <c r="K662" s="3" t="s">
        <v>23</v>
      </c>
    </row>
    <row r="663" spans="1:11" ht="42" customHeight="1">
      <c r="A663" s="2" t="s">
        <v>1470</v>
      </c>
      <c r="B663" s="2" t="s">
        <v>1470</v>
      </c>
      <c r="C663" s="2" t="s">
        <v>17</v>
      </c>
      <c r="D663" s="2" t="s">
        <v>18</v>
      </c>
      <c r="E663" s="5">
        <v>-28519</v>
      </c>
      <c r="F663" s="3" t="s">
        <v>880</v>
      </c>
      <c r="G663" s="3" t="s">
        <v>88</v>
      </c>
      <c r="H663" s="2" t="s">
        <v>21</v>
      </c>
      <c r="I663" s="2" t="s">
        <v>1540</v>
      </c>
      <c r="J663" s="3" t="str">
        <f>HYPERLINK("https://www.boe.es/gazeta/dias/1821/11/30/pdfs/GMD-1821-342.pdf#page=4","Abrir facsímil")</f>
        <v>Abrir facsímil</v>
      </c>
      <c r="K663" s="3" t="s">
        <v>23</v>
      </c>
    </row>
    <row r="664" spans="1:11" ht="42" customHeight="1">
      <c r="A664" s="2" t="s">
        <v>1470</v>
      </c>
      <c r="B664" s="2" t="s">
        <v>1470</v>
      </c>
      <c r="C664" s="2" t="s">
        <v>174</v>
      </c>
      <c r="D664" s="2" t="s">
        <v>27</v>
      </c>
      <c r="E664" s="5">
        <v>-28515</v>
      </c>
      <c r="F664" s="3" t="s">
        <v>260</v>
      </c>
      <c r="G664" s="3" t="s">
        <v>88</v>
      </c>
      <c r="H664" s="2" t="s">
        <v>21</v>
      </c>
      <c r="I664" s="2" t="s">
        <v>1541</v>
      </c>
      <c r="J664" s="3" t="str">
        <f>HYPERLINK("https://www.boe.es/gazeta/dias/1821/12/04/pdfs/GMD-1821-346.pdf#page=4","Abrir facsímil")</f>
        <v>Abrir facsímil</v>
      </c>
      <c r="K664" s="3" t="s">
        <v>23</v>
      </c>
    </row>
    <row r="665" spans="1:11" ht="42" customHeight="1">
      <c r="A665" s="2" t="s">
        <v>1470</v>
      </c>
      <c r="B665" s="2" t="s">
        <v>1470</v>
      </c>
      <c r="C665" s="2" t="s">
        <v>17</v>
      </c>
      <c r="D665" s="2" t="s">
        <v>18</v>
      </c>
      <c r="E665" s="5">
        <v>-28515</v>
      </c>
      <c r="F665" s="3" t="s">
        <v>260</v>
      </c>
      <c r="G665" s="3" t="s">
        <v>162</v>
      </c>
      <c r="H665" s="2" t="s">
        <v>21</v>
      </c>
      <c r="I665" s="2" t="s">
        <v>1542</v>
      </c>
      <c r="J665" s="3" t="str">
        <f>HYPERLINK("https://www.boe.es/gazeta/dias/1821/12/04/pdfs/GMD-1821-346.pdf#page=5","Abrir facsímil")</f>
        <v>Abrir facsímil</v>
      </c>
      <c r="K665" s="3" t="s">
        <v>23</v>
      </c>
    </row>
    <row r="666" spans="1:11" ht="42" customHeight="1">
      <c r="A666" s="2" t="s">
        <v>1470</v>
      </c>
      <c r="B666" s="2" t="s">
        <v>1470</v>
      </c>
      <c r="C666" s="2" t="s">
        <v>26</v>
      </c>
      <c r="D666" s="2" t="s">
        <v>27</v>
      </c>
      <c r="E666" s="5">
        <v>-28510</v>
      </c>
      <c r="F666" s="3" t="s">
        <v>83</v>
      </c>
      <c r="G666" s="3" t="s">
        <v>20</v>
      </c>
      <c r="H666" s="2" t="s">
        <v>21</v>
      </c>
      <c r="I666" s="2" t="s">
        <v>1543</v>
      </c>
      <c r="J666" s="3" t="str">
        <f>HYPERLINK("https://www.boe.es/gazeta/dias/1821/12/09/pdfs/GMD-1821-351.pdf#page=3","Abrir facsímil")</f>
        <v>Abrir facsímil</v>
      </c>
      <c r="K666" s="3" t="s">
        <v>23</v>
      </c>
    </row>
    <row r="667" spans="1:11" ht="42" customHeight="1">
      <c r="A667" s="2" t="s">
        <v>1470</v>
      </c>
      <c r="B667" s="2" t="s">
        <v>1470</v>
      </c>
      <c r="C667" s="2" t="s">
        <v>40</v>
      </c>
      <c r="D667" s="2" t="s">
        <v>41</v>
      </c>
      <c r="E667" s="5">
        <v>-28507</v>
      </c>
      <c r="F667" s="3" t="s">
        <v>1158</v>
      </c>
      <c r="G667" s="3" t="s">
        <v>20</v>
      </c>
      <c r="H667" s="2" t="s">
        <v>21</v>
      </c>
      <c r="I667" s="2" t="s">
        <v>1544</v>
      </c>
      <c r="J667" s="3" t="str">
        <f>HYPERLINK("https://www.boe.es/gazeta/dias/1821/12/12/pdfs/GMD-1821-354.pdf#page=3","Abrir facsímil")</f>
        <v>Abrir facsímil</v>
      </c>
      <c r="K667" s="3" t="s">
        <v>23</v>
      </c>
    </row>
    <row r="668" spans="1:11" ht="42" customHeight="1">
      <c r="A668" s="2" t="s">
        <v>1470</v>
      </c>
      <c r="B668" s="2" t="s">
        <v>1470</v>
      </c>
      <c r="C668" s="2" t="s">
        <v>26</v>
      </c>
      <c r="D668" s="2" t="s">
        <v>27</v>
      </c>
      <c r="E668" s="5">
        <v>-28506</v>
      </c>
      <c r="F668" s="3" t="s">
        <v>1095</v>
      </c>
      <c r="G668" s="3" t="s">
        <v>20</v>
      </c>
      <c r="H668" s="2" t="s">
        <v>21</v>
      </c>
      <c r="I668" s="2" t="s">
        <v>1545</v>
      </c>
      <c r="J668" s="3" t="str">
        <f>HYPERLINK("https://www.boe.es/gazeta/dias/1821/12/13/pdfs/GMD-1821-356.pdf#page=3","Abrir facsímil")</f>
        <v>Abrir facsímil</v>
      </c>
      <c r="K668" s="3" t="s">
        <v>23</v>
      </c>
    </row>
    <row r="669" spans="1:11" ht="42" customHeight="1">
      <c r="A669" s="2" t="s">
        <v>1470</v>
      </c>
      <c r="B669" s="2" t="s">
        <v>1470</v>
      </c>
      <c r="C669" s="2" t="s">
        <v>26</v>
      </c>
      <c r="D669" s="2" t="s">
        <v>27</v>
      </c>
      <c r="E669" s="5">
        <v>-28503</v>
      </c>
      <c r="F669" s="3" t="s">
        <v>947</v>
      </c>
      <c r="G669" s="3" t="s">
        <v>29</v>
      </c>
      <c r="H669" s="2" t="s">
        <v>21</v>
      </c>
      <c r="I669" s="2" t="s">
        <v>1546</v>
      </c>
      <c r="J669" s="3" t="str">
        <f>HYPERLINK("https://www.boe.es/gazeta/dias/1821/12/16/pdfs/GMD-1821-359.pdf#page=6","Abrir facsímil")</f>
        <v>Abrir facsímil</v>
      </c>
      <c r="K669" s="3" t="s">
        <v>23</v>
      </c>
    </row>
    <row r="670" spans="1:11" ht="42" customHeight="1">
      <c r="A670" s="2" t="s">
        <v>1470</v>
      </c>
      <c r="B670" s="2" t="s">
        <v>1470</v>
      </c>
      <c r="C670" s="2" t="s">
        <v>26</v>
      </c>
      <c r="D670" s="2" t="s">
        <v>27</v>
      </c>
      <c r="E670" s="5">
        <v>-28498</v>
      </c>
      <c r="F670" s="3" t="s">
        <v>447</v>
      </c>
      <c r="G670" s="3" t="s">
        <v>1547</v>
      </c>
      <c r="H670" s="2" t="s">
        <v>21</v>
      </c>
      <c r="I670" s="2" t="s">
        <v>1548</v>
      </c>
      <c r="J670" s="3" t="str">
        <f>HYPERLINK("https://www.boe.es/gazeta/dias/1821/12/21/pdfs/GMD-1821-364.pdf#page=2","Abrir facsímil")</f>
        <v>Abrir facsímil</v>
      </c>
      <c r="K670" s="3" t="s">
        <v>23</v>
      </c>
    </row>
    <row r="671" spans="1:11" ht="42" customHeight="1">
      <c r="A671" s="2" t="s">
        <v>1470</v>
      </c>
      <c r="B671" s="2" t="s">
        <v>1470</v>
      </c>
      <c r="C671" s="2" t="s">
        <v>26</v>
      </c>
      <c r="D671" s="2" t="s">
        <v>27</v>
      </c>
      <c r="E671" s="5">
        <v>-28495</v>
      </c>
      <c r="F671" s="3" t="s">
        <v>227</v>
      </c>
      <c r="G671" s="3" t="s">
        <v>333</v>
      </c>
      <c r="H671" s="2" t="s">
        <v>21</v>
      </c>
      <c r="I671" s="2" t="s">
        <v>1549</v>
      </c>
      <c r="J671" s="3" t="str">
        <f>HYPERLINK("https://www.boe.es/gazeta/dias/1821/12/24/pdfs/GMD-1821-367.pdf#page=8","Abrir facsímil")</f>
        <v>Abrir facsímil</v>
      </c>
      <c r="K671" s="3" t="s">
        <v>23</v>
      </c>
    </row>
    <row r="672" spans="1:11" ht="42" customHeight="1">
      <c r="A672" s="2" t="s">
        <v>1470</v>
      </c>
      <c r="B672" s="2" t="s">
        <v>1470</v>
      </c>
      <c r="C672" s="2" t="s">
        <v>40</v>
      </c>
      <c r="D672" s="2" t="s">
        <v>41</v>
      </c>
      <c r="E672" s="5">
        <v>-28492</v>
      </c>
      <c r="F672" s="3" t="s">
        <v>1550</v>
      </c>
      <c r="G672" s="3" t="s">
        <v>88</v>
      </c>
      <c r="H672" s="2" t="s">
        <v>21</v>
      </c>
      <c r="I672" s="2" t="s">
        <v>1551</v>
      </c>
      <c r="J672" s="3" t="str">
        <f>HYPERLINK("https://www.boe.es/gazeta/dias/1821/12/27/pdfs/GMD-1821-370.pdf#page=4","Abrir facsímil")</f>
        <v>Abrir facsímil</v>
      </c>
      <c r="K672" s="3" t="s">
        <v>23</v>
      </c>
    </row>
    <row r="673" spans="1:11" ht="42" customHeight="1">
      <c r="A673" s="2" t="s">
        <v>1552</v>
      </c>
      <c r="B673" s="2" t="s">
        <v>1552</v>
      </c>
      <c r="C673" s="2" t="s">
        <v>40</v>
      </c>
      <c r="D673" s="2" t="s">
        <v>41</v>
      </c>
      <c r="E673" s="5">
        <v>-28734</v>
      </c>
      <c r="F673" s="3" t="s">
        <v>1553</v>
      </c>
      <c r="G673" s="3" t="s">
        <v>20</v>
      </c>
      <c r="H673" s="2" t="s">
        <v>21</v>
      </c>
      <c r="I673" s="2" t="s">
        <v>1554</v>
      </c>
      <c r="J673" s="3" t="str">
        <f>HYPERLINK("https://www.boe.es/gazeta/dias/1821/04/29/pdfs/GMD-1821-121.pdf#page=3","Abrir facsímil")</f>
        <v>Abrir facsímil</v>
      </c>
      <c r="K673" s="3" t="s">
        <v>23</v>
      </c>
    </row>
    <row r="674" spans="1:11" ht="42" customHeight="1">
      <c r="A674" s="2" t="s">
        <v>1555</v>
      </c>
      <c r="B674" s="2" t="s">
        <v>1556</v>
      </c>
      <c r="C674" s="2" t="s">
        <v>35</v>
      </c>
      <c r="D674" s="2" t="s">
        <v>27</v>
      </c>
      <c r="E674" s="5">
        <v>-28532</v>
      </c>
      <c r="F674" s="3" t="s">
        <v>1415</v>
      </c>
      <c r="G674" s="3" t="s">
        <v>29</v>
      </c>
      <c r="H674" s="2" t="s">
        <v>30</v>
      </c>
      <c r="I674" s="2" t="s">
        <v>1557</v>
      </c>
      <c r="J674" s="3" t="str">
        <f>HYPERLINK("https://www.boe.es/gazeta/dias/1821/11/17/pdfs/GMD-1821-328.pdf#page=6","Abrir facsímil")</f>
        <v>Abrir facsímil</v>
      </c>
      <c r="K674" s="3" t="s">
        <v>32</v>
      </c>
    </row>
    <row r="675" spans="1:11" ht="42" customHeight="1">
      <c r="A675" s="2" t="s">
        <v>1558</v>
      </c>
      <c r="B675" s="2" t="s">
        <v>1559</v>
      </c>
      <c r="C675" s="2" t="s">
        <v>17</v>
      </c>
      <c r="D675" s="2" t="s">
        <v>18</v>
      </c>
      <c r="E675" s="5">
        <v>-28684</v>
      </c>
      <c r="F675" s="3" t="s">
        <v>208</v>
      </c>
      <c r="G675" s="3" t="s">
        <v>20</v>
      </c>
      <c r="H675" s="2" t="s">
        <v>21</v>
      </c>
      <c r="I675" s="2" t="s">
        <v>1560</v>
      </c>
      <c r="J675" s="3" t="str">
        <f>HYPERLINK("https://www.boe.es/gazeta/dias/1821/06/18/pdfs/GMD-1821-171.pdf#page=3","Abrir facsímil")</f>
        <v>Abrir facsímil</v>
      </c>
      <c r="K675" s="3" t="s">
        <v>23</v>
      </c>
    </row>
    <row r="676" spans="1:11" ht="42" customHeight="1">
      <c r="A676" s="2" t="s">
        <v>1561</v>
      </c>
      <c r="B676" s="2" t="s">
        <v>1562</v>
      </c>
      <c r="C676" s="2" t="s">
        <v>114</v>
      </c>
      <c r="D676" s="2" t="s">
        <v>27</v>
      </c>
      <c r="E676" s="5">
        <v>-28488</v>
      </c>
      <c r="F676" s="3" t="s">
        <v>1563</v>
      </c>
      <c r="G676" s="3" t="s">
        <v>88</v>
      </c>
      <c r="H676" s="2" t="s">
        <v>21</v>
      </c>
      <c r="I676" s="2" t="s">
        <v>1564</v>
      </c>
      <c r="J676" s="3" t="str">
        <f>HYPERLINK("https://www.boe.es/gazeta/dias/1821/12/31/pdfs/GMD-1821-374.pdf#page=4","Abrir facsímil")</f>
        <v>Abrir facsímil</v>
      </c>
      <c r="K676" s="3" t="s">
        <v>23</v>
      </c>
    </row>
    <row r="677" spans="1:11" ht="42" customHeight="1">
      <c r="A677" s="2" t="s">
        <v>1565</v>
      </c>
      <c r="B677" s="2" t="s">
        <v>1566</v>
      </c>
      <c r="C677" s="2" t="s">
        <v>40</v>
      </c>
      <c r="D677" s="2" t="s">
        <v>41</v>
      </c>
      <c r="E677" s="5">
        <v>-28731</v>
      </c>
      <c r="F677" s="3" t="s">
        <v>577</v>
      </c>
      <c r="G677" s="3" t="s">
        <v>88</v>
      </c>
      <c r="H677" s="2" t="s">
        <v>21</v>
      </c>
      <c r="I677" s="2" t="s">
        <v>1567</v>
      </c>
      <c r="J677" s="3" t="str">
        <f>HYPERLINK("https://www.boe.es/gazeta/dias/1821/05/02/pdfs/GMD-1821-124.pdf#page=4","Abrir facsímil")</f>
        <v>Abrir facsímil</v>
      </c>
      <c r="K677" s="3" t="s">
        <v>23</v>
      </c>
    </row>
    <row r="678" spans="1:11" ht="42" customHeight="1">
      <c r="A678" s="2" t="s">
        <v>1565</v>
      </c>
      <c r="B678" s="2" t="s">
        <v>1566</v>
      </c>
      <c r="C678" s="2" t="s">
        <v>40</v>
      </c>
      <c r="D678" s="2" t="s">
        <v>41</v>
      </c>
      <c r="E678" s="5">
        <v>-28684</v>
      </c>
      <c r="F678" s="3" t="s">
        <v>208</v>
      </c>
      <c r="G678" s="3" t="s">
        <v>20</v>
      </c>
      <c r="H678" s="2" t="s">
        <v>21</v>
      </c>
      <c r="I678" s="2" t="s">
        <v>1568</v>
      </c>
      <c r="J678" s="3" t="str">
        <f>HYPERLINK("https://www.boe.es/gazeta/dias/1821/06/18/pdfs/GMD-1821-171.pdf#page=3","Abrir facsímil")</f>
        <v>Abrir facsímil</v>
      </c>
      <c r="K678" s="3" t="s">
        <v>23</v>
      </c>
    </row>
    <row r="679" spans="1:11" ht="42" customHeight="1">
      <c r="A679" s="2" t="s">
        <v>1565</v>
      </c>
      <c r="B679" s="2" t="s">
        <v>1566</v>
      </c>
      <c r="C679" s="2" t="s">
        <v>70</v>
      </c>
      <c r="D679" s="2" t="s">
        <v>27</v>
      </c>
      <c r="E679" s="5">
        <v>-28643</v>
      </c>
      <c r="F679" s="3" t="s">
        <v>1569</v>
      </c>
      <c r="G679" s="3" t="s">
        <v>88</v>
      </c>
      <c r="H679" s="2" t="s">
        <v>21</v>
      </c>
      <c r="I679" s="2" t="s">
        <v>1570</v>
      </c>
      <c r="J679" s="3" t="str">
        <f>HYPERLINK("https://www.boe.es/gazeta/dias/1821/07/29/pdfs/GMD-1821-214.pdf#page=4","Abrir facsímil")</f>
        <v>Abrir facsímil</v>
      </c>
      <c r="K679" s="3" t="s">
        <v>23</v>
      </c>
    </row>
    <row r="680" spans="1:11" ht="42" customHeight="1">
      <c r="A680" s="2" t="s">
        <v>1565</v>
      </c>
      <c r="B680" s="2" t="s">
        <v>1566</v>
      </c>
      <c r="C680" s="2" t="s">
        <v>40</v>
      </c>
      <c r="D680" s="2" t="s">
        <v>41</v>
      </c>
      <c r="E680" s="5">
        <v>-28580</v>
      </c>
      <c r="F680" s="3" t="s">
        <v>175</v>
      </c>
      <c r="G680" s="3" t="s">
        <v>88</v>
      </c>
      <c r="H680" s="2" t="s">
        <v>21</v>
      </c>
      <c r="I680" s="2" t="s">
        <v>1571</v>
      </c>
      <c r="J680" s="3" t="str">
        <f>HYPERLINK("https://www.boe.es/gazeta/dias/1821/09/30/pdfs/GMD-1821-279.pdf#page=4","Abrir facsímil")</f>
        <v>Abrir facsímil</v>
      </c>
      <c r="K680" s="3" t="s">
        <v>23</v>
      </c>
    </row>
    <row r="681" spans="1:11" ht="42" customHeight="1">
      <c r="A681" s="2" t="s">
        <v>1572</v>
      </c>
      <c r="B681" s="2" t="s">
        <v>1573</v>
      </c>
      <c r="C681" s="2" t="s">
        <v>35</v>
      </c>
      <c r="D681" s="2" t="s">
        <v>27</v>
      </c>
      <c r="E681" s="5">
        <v>-28767</v>
      </c>
      <c r="F681" s="3" t="s">
        <v>1439</v>
      </c>
      <c r="G681" s="3" t="s">
        <v>1440</v>
      </c>
      <c r="H681" s="2" t="s">
        <v>21</v>
      </c>
      <c r="I681" s="2" t="s">
        <v>1574</v>
      </c>
      <c r="J681" s="3" t="str">
        <f>HYPERLINK("https://www.boe.es/gazeta/dias/1821/03/27/pdfs/GMD-1821-87.pdf#page=3","Abrir facsímil")</f>
        <v>Abrir facsímil</v>
      </c>
      <c r="K681" s="3" t="s">
        <v>23</v>
      </c>
    </row>
    <row r="682" spans="1:11" ht="42" customHeight="1">
      <c r="A682" s="2" t="s">
        <v>1572</v>
      </c>
      <c r="B682" s="2" t="s">
        <v>1573</v>
      </c>
      <c r="C682" s="2" t="s">
        <v>17</v>
      </c>
      <c r="D682" s="2" t="s">
        <v>18</v>
      </c>
      <c r="E682" s="5">
        <v>-28709</v>
      </c>
      <c r="F682" s="3" t="s">
        <v>1434</v>
      </c>
      <c r="G682" s="3" t="s">
        <v>1435</v>
      </c>
      <c r="H682" s="2" t="s">
        <v>21</v>
      </c>
      <c r="I682" s="2" t="s">
        <v>1575</v>
      </c>
      <c r="J682" s="3" t="str">
        <f>HYPERLINK("https://www.boe.es/gazeta/dias/1821/05/24/pdfs/GMD-1821-146.pdf#page=2","Abrir facsímil")</f>
        <v>Abrir facsímil</v>
      </c>
      <c r="K682" s="3" t="s">
        <v>23</v>
      </c>
    </row>
    <row r="683" spans="1:11" ht="42" customHeight="1">
      <c r="A683" s="2" t="s">
        <v>1572</v>
      </c>
      <c r="B683" s="2" t="s">
        <v>1573</v>
      </c>
      <c r="C683" s="2" t="s">
        <v>40</v>
      </c>
      <c r="D683" s="2" t="s">
        <v>41</v>
      </c>
      <c r="E683" s="5">
        <v>-28665</v>
      </c>
      <c r="F683" s="3" t="s">
        <v>789</v>
      </c>
      <c r="G683" s="3" t="s">
        <v>790</v>
      </c>
      <c r="H683" s="2" t="s">
        <v>21</v>
      </c>
      <c r="I683" s="2" t="s">
        <v>1576</v>
      </c>
      <c r="J683" s="3" t="str">
        <f>HYPERLINK("https://www.boe.es/gazeta/dias/1821/07/07/pdfs/GMD-1821-191.pdf#page=4","Abrir facsímil")</f>
        <v>Abrir facsímil</v>
      </c>
      <c r="K683" s="3" t="s">
        <v>23</v>
      </c>
    </row>
    <row r="684" spans="1:11" ht="42" customHeight="1">
      <c r="A684" s="2" t="s">
        <v>1572</v>
      </c>
      <c r="B684" s="2" t="s">
        <v>1573</v>
      </c>
      <c r="C684" s="2" t="s">
        <v>26</v>
      </c>
      <c r="D684" s="2" t="s">
        <v>27</v>
      </c>
      <c r="E684" s="5">
        <v>-28547</v>
      </c>
      <c r="F684" s="3" t="s">
        <v>247</v>
      </c>
      <c r="G684" s="3" t="s">
        <v>248</v>
      </c>
      <c r="H684" s="2" t="s">
        <v>21</v>
      </c>
      <c r="I684" s="2" t="s">
        <v>1577</v>
      </c>
      <c r="J684" s="3" t="str">
        <f>HYPERLINK("https://www.boe.es/gazeta/dias/1821/11/02/pdfs/GMD-1821-312.pdf#page=2","Abrir facsímil")</f>
        <v>Abrir facsímil</v>
      </c>
      <c r="K684" s="3" t="s">
        <v>23</v>
      </c>
    </row>
    <row r="685" spans="1:11" ht="42" customHeight="1">
      <c r="A685" s="2" t="s">
        <v>1578</v>
      </c>
      <c r="B685" s="2" t="s">
        <v>1579</v>
      </c>
      <c r="C685" s="2" t="s">
        <v>26</v>
      </c>
      <c r="D685" s="2" t="s">
        <v>27</v>
      </c>
      <c r="E685" s="5">
        <v>-28804</v>
      </c>
      <c r="F685" s="3" t="s">
        <v>1580</v>
      </c>
      <c r="G685" s="3" t="s">
        <v>52</v>
      </c>
      <c r="H685" s="2" t="s">
        <v>21</v>
      </c>
      <c r="I685" s="2" t="s">
        <v>1581</v>
      </c>
      <c r="J685" s="3" t="str">
        <f>HYPERLINK("https://www.boe.es/gazeta/dias/1821/02/18/pdfs/GGB-1821-49.pdf#page=2","Abrir facsímil")</f>
        <v>Abrir facsímil</v>
      </c>
      <c r="K685" s="3" t="s">
        <v>23</v>
      </c>
    </row>
    <row r="686" spans="1:11" ht="42" customHeight="1">
      <c r="A686" s="2" t="s">
        <v>1578</v>
      </c>
      <c r="B686" s="2" t="s">
        <v>1579</v>
      </c>
      <c r="C686" s="2" t="s">
        <v>40</v>
      </c>
      <c r="D686" s="2" t="s">
        <v>41</v>
      </c>
      <c r="E686" s="5">
        <v>-28783</v>
      </c>
      <c r="F686" s="3" t="s">
        <v>198</v>
      </c>
      <c r="G686" s="3" t="s">
        <v>52</v>
      </c>
      <c r="H686" s="2" t="s">
        <v>21</v>
      </c>
      <c r="I686" s="2" t="s">
        <v>1582</v>
      </c>
      <c r="J686" s="3" t="str">
        <f>HYPERLINK("https://www.boe.es/gazeta/dias/1821/03/11/pdfs/GGB-1821-70.pdf#page=2","Abrir facsímil")</f>
        <v>Abrir facsímil</v>
      </c>
      <c r="K686" s="3" t="s">
        <v>23</v>
      </c>
    </row>
    <row r="687" spans="1:11" ht="42" customHeight="1">
      <c r="A687" s="2" t="s">
        <v>1578</v>
      </c>
      <c r="B687" s="2" t="s">
        <v>1579</v>
      </c>
      <c r="C687" s="2" t="s">
        <v>17</v>
      </c>
      <c r="D687" s="2" t="s">
        <v>18</v>
      </c>
      <c r="E687" s="5">
        <v>-28724</v>
      </c>
      <c r="F687" s="3" t="s">
        <v>1305</v>
      </c>
      <c r="G687" s="3" t="s">
        <v>1583</v>
      </c>
      <c r="H687" s="2" t="s">
        <v>21</v>
      </c>
      <c r="I687" s="2" t="s">
        <v>1584</v>
      </c>
      <c r="J687" s="3" t="str">
        <f>HYPERLINK("https://www.boe.es/gazeta/dias/1821/05/09/pdfs/GMD-1821-131.pdf#page=4","Abrir facsímil")</f>
        <v>Abrir facsímil</v>
      </c>
      <c r="K687" s="3" t="s">
        <v>23</v>
      </c>
    </row>
    <row r="688" spans="1:11" ht="42" customHeight="1">
      <c r="A688" s="2" t="s">
        <v>1585</v>
      </c>
      <c r="B688" s="2" t="s">
        <v>1586</v>
      </c>
      <c r="C688" s="2" t="s">
        <v>17</v>
      </c>
      <c r="D688" s="2" t="s">
        <v>18</v>
      </c>
      <c r="E688" s="5">
        <v>-28551</v>
      </c>
      <c r="F688" s="3" t="s">
        <v>542</v>
      </c>
      <c r="G688" s="3" t="s">
        <v>88</v>
      </c>
      <c r="H688" s="2" t="s">
        <v>21</v>
      </c>
      <c r="I688" s="2" t="s">
        <v>1587</v>
      </c>
      <c r="J688" s="3" t="str">
        <f>HYPERLINK("https://www.boe.es/gazeta/dias/1821/10/29/pdfs/GMD-1821-308.pdf#page=4","Abrir facsímil")</f>
        <v>Abrir facsímil</v>
      </c>
      <c r="K688" s="3" t="s">
        <v>23</v>
      </c>
    </row>
    <row r="689" spans="1:11" ht="42" customHeight="1">
      <c r="A689" s="2" t="s">
        <v>1588</v>
      </c>
      <c r="B689" s="2" t="s">
        <v>1589</v>
      </c>
      <c r="C689" s="2" t="s">
        <v>40</v>
      </c>
      <c r="D689" s="2" t="s">
        <v>41</v>
      </c>
      <c r="E689" s="5">
        <v>-28640</v>
      </c>
      <c r="F689" s="3" t="s">
        <v>1590</v>
      </c>
      <c r="G689" s="3" t="s">
        <v>29</v>
      </c>
      <c r="H689" s="2" t="s">
        <v>21</v>
      </c>
      <c r="I689" s="2" t="s">
        <v>1591</v>
      </c>
      <c r="J689" s="3" t="str">
        <f>HYPERLINK("https://www.boe.es/gazeta/dias/1821/08/01/pdfs/GMD-1821-217.pdf#page=6","Abrir facsímil")</f>
        <v>Abrir facsímil</v>
      </c>
      <c r="K689" s="3" t="s">
        <v>23</v>
      </c>
    </row>
    <row r="690" spans="1:11" ht="42" customHeight="1">
      <c r="A690" s="2" t="s">
        <v>1592</v>
      </c>
      <c r="B690" s="2" t="s">
        <v>1592</v>
      </c>
      <c r="C690" s="2" t="s">
        <v>174</v>
      </c>
      <c r="D690" s="2" t="s">
        <v>27</v>
      </c>
      <c r="E690" s="5">
        <v>-28577</v>
      </c>
      <c r="F690" s="3" t="s">
        <v>858</v>
      </c>
      <c r="G690" s="3" t="s">
        <v>88</v>
      </c>
      <c r="H690" s="2" t="s">
        <v>21</v>
      </c>
      <c r="I690" s="2" t="s">
        <v>1593</v>
      </c>
      <c r="J690" s="3" t="str">
        <f>HYPERLINK("https://www.boe.es/gazeta/dias/1821/10/03/pdfs/GMD-1821-282.pdf#page=4","Abrir facsímil")</f>
        <v>Abrir facsímil</v>
      </c>
      <c r="K690" s="3" t="s">
        <v>23</v>
      </c>
    </row>
    <row r="691" spans="1:11" ht="42" customHeight="1">
      <c r="A691" s="2" t="s">
        <v>1594</v>
      </c>
      <c r="B691" s="2" t="s">
        <v>1594</v>
      </c>
      <c r="C691" s="2" t="s">
        <v>174</v>
      </c>
      <c r="D691" s="2" t="s">
        <v>27</v>
      </c>
      <c r="E691" s="5">
        <v>-28550</v>
      </c>
      <c r="F691" s="3" t="s">
        <v>546</v>
      </c>
      <c r="G691" s="3" t="s">
        <v>52</v>
      </c>
      <c r="H691" s="2" t="s">
        <v>21</v>
      </c>
      <c r="I691" s="2" t="s">
        <v>1595</v>
      </c>
      <c r="J691" s="3" t="str">
        <f>HYPERLINK("https://www.boe.es/gazeta/dias/1821/10/30/pdfs/GMD-1821-309.pdf#page=2","Abrir facsímil")</f>
        <v>Abrir facsímil</v>
      </c>
      <c r="K691" s="3" t="s">
        <v>23</v>
      </c>
    </row>
    <row r="692" spans="1:11" ht="42" customHeight="1">
      <c r="A692" s="2" t="s">
        <v>1596</v>
      </c>
      <c r="B692" s="2" t="s">
        <v>1596</v>
      </c>
      <c r="C692" s="2" t="s">
        <v>17</v>
      </c>
      <c r="D692" s="2" t="s">
        <v>18</v>
      </c>
      <c r="E692" s="5">
        <v>-28508</v>
      </c>
      <c r="F692" s="3" t="s">
        <v>42</v>
      </c>
      <c r="G692" s="3" t="s">
        <v>52</v>
      </c>
      <c r="H692" s="2" t="s">
        <v>21</v>
      </c>
      <c r="I692" s="2" t="s">
        <v>1597</v>
      </c>
      <c r="J692" s="3" t="str">
        <f>HYPERLINK("https://www.boe.es/gazeta/dias/1821/12/11/pdfs/GMD-1821-353.pdf#page=2","Abrir facsímil")</f>
        <v>Abrir facsímil</v>
      </c>
      <c r="K692" s="3" t="s">
        <v>23</v>
      </c>
    </row>
    <row r="693" spans="1:11" ht="42" customHeight="1">
      <c r="A693" s="2" t="s">
        <v>1598</v>
      </c>
      <c r="B693" s="2" t="s">
        <v>1598</v>
      </c>
      <c r="C693" s="2" t="s">
        <v>40</v>
      </c>
      <c r="D693" s="2" t="s">
        <v>41</v>
      </c>
      <c r="E693" s="5">
        <v>-28557</v>
      </c>
      <c r="F693" s="3" t="s">
        <v>316</v>
      </c>
      <c r="G693" s="3" t="s">
        <v>88</v>
      </c>
      <c r="H693" s="2" t="s">
        <v>21</v>
      </c>
      <c r="I693" s="2" t="s">
        <v>1599</v>
      </c>
      <c r="J693" s="3" t="str">
        <f>HYPERLINK("https://www.boe.es/gazeta/dias/1821/10/23/pdfs/GMD-1821-302.pdf#page=4","Abrir facsímil")</f>
        <v>Abrir facsímil</v>
      </c>
      <c r="K693" s="3" t="s">
        <v>23</v>
      </c>
    </row>
    <row r="694" spans="1:11" ht="42" customHeight="1">
      <c r="A694" s="2" t="s">
        <v>1600</v>
      </c>
      <c r="B694" s="2" t="s">
        <v>1601</v>
      </c>
      <c r="C694" s="2" t="s">
        <v>40</v>
      </c>
      <c r="D694" s="2" t="s">
        <v>41</v>
      </c>
      <c r="E694" s="5">
        <v>-28748</v>
      </c>
      <c r="F694" s="3" t="s">
        <v>634</v>
      </c>
      <c r="G694" s="3" t="s">
        <v>88</v>
      </c>
      <c r="H694" s="2" t="s">
        <v>21</v>
      </c>
      <c r="I694" s="2" t="s">
        <v>1602</v>
      </c>
      <c r="J694" s="3" t="str">
        <f>HYPERLINK("https://www.boe.es/gazeta/dias/1821/04/15/pdfs/GMD-1821-107.pdf#page=4","Abrir facsímil")</f>
        <v>Abrir facsímil</v>
      </c>
      <c r="K694" s="3" t="s">
        <v>23</v>
      </c>
    </row>
    <row r="695" spans="1:11" ht="42" customHeight="1">
      <c r="A695" s="2" t="s">
        <v>1603</v>
      </c>
      <c r="B695" s="2" t="s">
        <v>1604</v>
      </c>
      <c r="C695" s="2" t="s">
        <v>26</v>
      </c>
      <c r="D695" s="2" t="s">
        <v>27</v>
      </c>
      <c r="E695" s="5">
        <v>-28709</v>
      </c>
      <c r="F695" s="3" t="s">
        <v>1434</v>
      </c>
      <c r="G695" s="3" t="s">
        <v>88</v>
      </c>
      <c r="H695" s="2" t="s">
        <v>21</v>
      </c>
      <c r="I695" s="2" t="s">
        <v>1605</v>
      </c>
      <c r="J695" s="3" t="str">
        <f>HYPERLINK("https://www.boe.es/gazeta/dias/1821/05/24/pdfs/GMD-1821-146.pdf#page=4","Abrir facsímil")</f>
        <v>Abrir facsímil</v>
      </c>
      <c r="K695" s="3" t="s">
        <v>23</v>
      </c>
    </row>
    <row r="696" spans="1:11" ht="42" customHeight="1">
      <c r="A696" s="2" t="s">
        <v>1606</v>
      </c>
      <c r="B696" s="2" t="s">
        <v>1607</v>
      </c>
      <c r="C696" s="2" t="s">
        <v>279</v>
      </c>
      <c r="D696" s="2" t="s">
        <v>27</v>
      </c>
      <c r="E696" s="5">
        <v>-28841</v>
      </c>
      <c r="F696" s="3" t="s">
        <v>765</v>
      </c>
      <c r="G696" s="3" t="s">
        <v>20</v>
      </c>
      <c r="H696" s="2" t="s">
        <v>21</v>
      </c>
      <c r="I696" s="2" t="s">
        <v>1608</v>
      </c>
      <c r="J696" s="3" t="str">
        <f>HYPERLINK("https://www.boe.es/gazeta/dias/1821/01/12/pdfs/GGB-1821-12.pdf#page=3","Abrir facsímil")</f>
        <v>Abrir facsímil</v>
      </c>
      <c r="K696" s="3" t="s">
        <v>23</v>
      </c>
    </row>
    <row r="697" spans="1:11" ht="42" customHeight="1">
      <c r="A697" s="2" t="s">
        <v>1609</v>
      </c>
      <c r="B697" s="2" t="s">
        <v>1610</v>
      </c>
      <c r="C697" s="2" t="s">
        <v>114</v>
      </c>
      <c r="D697" s="2" t="s">
        <v>27</v>
      </c>
      <c r="E697" s="5">
        <v>-28641</v>
      </c>
      <c r="F697" s="3" t="s">
        <v>398</v>
      </c>
      <c r="G697" s="3" t="s">
        <v>88</v>
      </c>
      <c r="H697" s="2" t="s">
        <v>30</v>
      </c>
      <c r="I697" s="2" t="s">
        <v>1611</v>
      </c>
      <c r="J697" s="3" t="str">
        <f>HYPERLINK("https://www.boe.es/gazeta/dias/1821/07/31/pdfs/GMD-1821-216.pdf#page=4","Abrir facsímil")</f>
        <v>Abrir facsímil</v>
      </c>
      <c r="K697" s="3" t="s">
        <v>32</v>
      </c>
    </row>
    <row r="698" spans="1:11" ht="42" customHeight="1">
      <c r="A698" s="2" t="s">
        <v>1612</v>
      </c>
      <c r="B698" s="2" t="s">
        <v>1612</v>
      </c>
      <c r="C698" s="2" t="s">
        <v>40</v>
      </c>
      <c r="D698" s="2" t="s">
        <v>41</v>
      </c>
      <c r="E698" s="5">
        <v>-28806</v>
      </c>
      <c r="F698" s="3" t="s">
        <v>1201</v>
      </c>
      <c r="G698" s="3" t="s">
        <v>52</v>
      </c>
      <c r="H698" s="2" t="s">
        <v>21</v>
      </c>
      <c r="I698" s="2" t="s">
        <v>1613</v>
      </c>
      <c r="J698" s="3" t="str">
        <f>HYPERLINK("https://www.boe.es/gazeta/dias/1821/02/16/pdfs/GGB-1821-47.pdf#page=2","Abrir facsímil")</f>
        <v>Abrir facsímil</v>
      </c>
      <c r="K698" s="3" t="s">
        <v>23</v>
      </c>
    </row>
    <row r="699" spans="1:11" ht="42" customHeight="1">
      <c r="A699" s="2" t="s">
        <v>1614</v>
      </c>
      <c r="B699" s="2" t="s">
        <v>1614</v>
      </c>
      <c r="C699" s="2" t="s">
        <v>40</v>
      </c>
      <c r="D699" s="2" t="s">
        <v>41</v>
      </c>
      <c r="E699" s="5">
        <v>-28702</v>
      </c>
      <c r="F699" s="3" t="s">
        <v>1176</v>
      </c>
      <c r="G699" s="3" t="s">
        <v>20</v>
      </c>
      <c r="H699" s="2" t="s">
        <v>21</v>
      </c>
      <c r="I699" s="2" t="s">
        <v>1615</v>
      </c>
      <c r="J699" s="3" t="str">
        <f>HYPERLINK("https://www.boe.es/gazeta/dias/1821/05/31/pdfs/GMD-1821-153.pdf#page=3","Abrir facsímil")</f>
        <v>Abrir facsímil</v>
      </c>
      <c r="K699" s="3" t="s">
        <v>23</v>
      </c>
    </row>
    <row r="700" spans="1:11" ht="42" customHeight="1">
      <c r="A700" s="2" t="s">
        <v>1616</v>
      </c>
      <c r="B700" s="2" t="s">
        <v>1617</v>
      </c>
      <c r="C700" s="2" t="s">
        <v>174</v>
      </c>
      <c r="D700" s="2" t="s">
        <v>27</v>
      </c>
      <c r="E700" s="5">
        <v>-28847</v>
      </c>
      <c r="F700" s="3" t="s">
        <v>288</v>
      </c>
      <c r="G700" s="3" t="s">
        <v>289</v>
      </c>
      <c r="H700" s="2" t="s">
        <v>21</v>
      </c>
      <c r="I700" s="2" t="s">
        <v>1618</v>
      </c>
      <c r="J700" s="3" t="str">
        <f>HYPERLINK("https://www.boe.es/gazeta/dias/1821/01/06/pdfs/GGB-1821-6.pdf#page=4","Abrir facsímil")</f>
        <v>Abrir facsímil</v>
      </c>
      <c r="K700" s="3" t="s">
        <v>23</v>
      </c>
    </row>
    <row r="701" spans="1:11" ht="42" customHeight="1">
      <c r="A701" s="2" t="s">
        <v>1619</v>
      </c>
      <c r="B701" s="2" t="s">
        <v>1620</v>
      </c>
      <c r="C701" s="2" t="s">
        <v>17</v>
      </c>
      <c r="D701" s="2" t="s">
        <v>18</v>
      </c>
      <c r="E701" s="5">
        <v>-28595</v>
      </c>
      <c r="F701" s="3" t="s">
        <v>1621</v>
      </c>
      <c r="G701" s="3" t="s">
        <v>88</v>
      </c>
      <c r="H701" s="2" t="s">
        <v>21</v>
      </c>
      <c r="I701" s="2" t="s">
        <v>1622</v>
      </c>
      <c r="J701" s="3" t="str">
        <f>HYPERLINK("https://www.boe.es/gazeta/dias/1821/09/15/pdfs/GMD-1821-263.pdf#page=4","Abrir facsímil")</f>
        <v>Abrir facsímil</v>
      </c>
      <c r="K701" s="3" t="s">
        <v>23</v>
      </c>
    </row>
    <row r="702" spans="1:11" ht="42" customHeight="1">
      <c r="A702" s="2" t="s">
        <v>1623</v>
      </c>
      <c r="B702" s="2" t="s">
        <v>1624</v>
      </c>
      <c r="C702" s="2" t="s">
        <v>17</v>
      </c>
      <c r="D702" s="2" t="s">
        <v>18</v>
      </c>
      <c r="E702" s="5">
        <v>-28563</v>
      </c>
      <c r="F702" s="3" t="s">
        <v>118</v>
      </c>
      <c r="G702" s="3" t="s">
        <v>20</v>
      </c>
      <c r="H702" s="2" t="s">
        <v>21</v>
      </c>
      <c r="I702" s="2" t="s">
        <v>1625</v>
      </c>
      <c r="J702" s="3" t="str">
        <f>HYPERLINK("https://www.boe.es/gazeta/dias/1821/10/17/pdfs/GMD-1821-296.pdf#page=3","Abrir facsímil")</f>
        <v>Abrir facsímil</v>
      </c>
      <c r="K702" s="3" t="s">
        <v>23</v>
      </c>
    </row>
    <row r="703" spans="1:11" ht="42" customHeight="1">
      <c r="A703" s="2" t="s">
        <v>1626</v>
      </c>
      <c r="B703" s="2" t="s">
        <v>1627</v>
      </c>
      <c r="C703" s="2" t="s">
        <v>35</v>
      </c>
      <c r="D703" s="2" t="s">
        <v>27</v>
      </c>
      <c r="E703" s="5">
        <v>-28646</v>
      </c>
      <c r="F703" s="3" t="s">
        <v>1457</v>
      </c>
      <c r="G703" s="3" t="s">
        <v>52</v>
      </c>
      <c r="H703" s="2" t="s">
        <v>21</v>
      </c>
      <c r="I703" s="2" t="s">
        <v>1628</v>
      </c>
      <c r="J703" s="3" t="str">
        <f>HYPERLINK("https://www.boe.es/gazeta/dias/1821/07/26/pdfs/GMD-1821-211.pdf#page=2","Abrir facsímil")</f>
        <v>Abrir facsímil</v>
      </c>
      <c r="K703" s="3" t="s">
        <v>23</v>
      </c>
    </row>
    <row r="704" spans="1:11" ht="42" customHeight="1">
      <c r="A704" s="2" t="s">
        <v>1629</v>
      </c>
      <c r="B704" s="2" t="s">
        <v>1629</v>
      </c>
      <c r="C704" s="2" t="s">
        <v>40</v>
      </c>
      <c r="D704" s="2" t="s">
        <v>41</v>
      </c>
      <c r="E704" s="5">
        <v>-28543</v>
      </c>
      <c r="F704" s="3" t="s">
        <v>136</v>
      </c>
      <c r="G704" s="3" t="s">
        <v>20</v>
      </c>
      <c r="H704" s="2" t="s">
        <v>21</v>
      </c>
      <c r="I704" s="2" t="s">
        <v>1630</v>
      </c>
      <c r="J704" s="3" t="str">
        <f>HYPERLINK("https://www.boe.es/gazeta/dias/1821/11/06/pdfs/GMD-1821-317.pdf#page=3","Abrir facsímil")</f>
        <v>Abrir facsímil</v>
      </c>
      <c r="K704" s="3" t="s">
        <v>23</v>
      </c>
    </row>
    <row r="705" spans="1:11" ht="42" customHeight="1">
      <c r="A705" s="2" t="s">
        <v>1631</v>
      </c>
      <c r="B705" s="2" t="s">
        <v>1632</v>
      </c>
      <c r="C705" s="2" t="s">
        <v>17</v>
      </c>
      <c r="D705" s="2" t="s">
        <v>18</v>
      </c>
      <c r="E705" s="5">
        <v>-28820</v>
      </c>
      <c r="F705" s="3" t="s">
        <v>1430</v>
      </c>
      <c r="G705" s="3" t="s">
        <v>29</v>
      </c>
      <c r="H705" s="2" t="s">
        <v>21</v>
      </c>
      <c r="I705" s="2" t="s">
        <v>1633</v>
      </c>
      <c r="J705" s="3" t="str">
        <f>HYPERLINK("https://www.boe.es/gazeta/dias/1821/02/02/pdfs/GGB-1821-33.pdf#page=6","Abrir facsímil")</f>
        <v>Abrir facsímil</v>
      </c>
      <c r="K705" s="3" t="s">
        <v>23</v>
      </c>
    </row>
    <row r="706" spans="1:11" ht="42" customHeight="1">
      <c r="A706" s="2" t="s">
        <v>1634</v>
      </c>
      <c r="B706" s="2" t="s">
        <v>1634</v>
      </c>
      <c r="C706" s="2" t="s">
        <v>26</v>
      </c>
      <c r="D706" s="2" t="s">
        <v>27</v>
      </c>
      <c r="E706" s="5">
        <v>-28593</v>
      </c>
      <c r="F706" s="3" t="s">
        <v>1635</v>
      </c>
      <c r="G706" s="3" t="s">
        <v>20</v>
      </c>
      <c r="H706" s="2" t="s">
        <v>21</v>
      </c>
      <c r="I706" s="2" t="s">
        <v>1636</v>
      </c>
      <c r="J706" s="3" t="str">
        <f>HYPERLINK("https://www.boe.es/gazeta/dias/1821/09/17/pdfs/GMD-1821-265.pdf#page=3","Abrir facsímil")</f>
        <v>Abrir facsímil</v>
      </c>
      <c r="K706" s="3" t="s">
        <v>23</v>
      </c>
    </row>
    <row r="707" spans="1:11" ht="42" customHeight="1">
      <c r="A707" s="2" t="s">
        <v>1637</v>
      </c>
      <c r="B707" s="2" t="s">
        <v>1637</v>
      </c>
      <c r="C707" s="2" t="s">
        <v>17</v>
      </c>
      <c r="D707" s="2" t="s">
        <v>18</v>
      </c>
      <c r="E707" s="5">
        <v>-28567</v>
      </c>
      <c r="F707" s="3" t="s">
        <v>217</v>
      </c>
      <c r="G707" s="3" t="s">
        <v>29</v>
      </c>
      <c r="H707" s="2" t="s">
        <v>21</v>
      </c>
      <c r="I707" s="2" t="s">
        <v>1638</v>
      </c>
      <c r="J707" s="3" t="str">
        <f>HYPERLINK("https://www.boe.es/gazeta/dias/1821/10/13/pdfs/GMD-1821-292.pdf#page=6","Abrir facsímil")</f>
        <v>Abrir facsímil</v>
      </c>
      <c r="K707" s="3" t="s">
        <v>23</v>
      </c>
    </row>
    <row r="708" spans="1:11" ht="42" customHeight="1">
      <c r="A708" s="2" t="s">
        <v>1639</v>
      </c>
      <c r="B708" s="2" t="s">
        <v>1640</v>
      </c>
      <c r="C708" s="2" t="s">
        <v>174</v>
      </c>
      <c r="D708" s="2" t="s">
        <v>27</v>
      </c>
      <c r="E708" s="5">
        <v>-28810</v>
      </c>
      <c r="F708" s="3" t="s">
        <v>308</v>
      </c>
      <c r="G708" s="3" t="s">
        <v>88</v>
      </c>
      <c r="H708" s="2" t="s">
        <v>21</v>
      </c>
      <c r="I708" s="2" t="s">
        <v>1641</v>
      </c>
      <c r="J708" s="3" t="str">
        <f>HYPERLINK("https://www.boe.es/gazeta/dias/1821/02/12/pdfs/GGB-1821-43.pdf#page=4","Abrir facsímil")</f>
        <v>Abrir facsímil</v>
      </c>
      <c r="K708" s="3" t="s">
        <v>23</v>
      </c>
    </row>
    <row r="709" spans="1:11" ht="42" customHeight="1">
      <c r="A709" s="2" t="s">
        <v>1642</v>
      </c>
      <c r="B709" s="2" t="s">
        <v>1643</v>
      </c>
      <c r="C709" s="2" t="s">
        <v>40</v>
      </c>
      <c r="D709" s="2" t="s">
        <v>41</v>
      </c>
      <c r="E709" s="5">
        <v>-28551</v>
      </c>
      <c r="F709" s="3" t="s">
        <v>542</v>
      </c>
      <c r="G709" s="3" t="s">
        <v>88</v>
      </c>
      <c r="H709" s="2" t="s">
        <v>21</v>
      </c>
      <c r="I709" s="2" t="s">
        <v>1644</v>
      </c>
      <c r="J709" s="3" t="str">
        <f>HYPERLINK("https://www.boe.es/gazeta/dias/1821/10/29/pdfs/GMD-1821-308.pdf#page=4","Abrir facsímil")</f>
        <v>Abrir facsímil</v>
      </c>
      <c r="K709" s="3" t="s">
        <v>23</v>
      </c>
    </row>
    <row r="710" spans="1:11" ht="42" customHeight="1">
      <c r="A710" s="2" t="s">
        <v>1645</v>
      </c>
      <c r="B710" s="2" t="s">
        <v>1646</v>
      </c>
      <c r="C710" s="2" t="s">
        <v>35</v>
      </c>
      <c r="D710" s="2" t="s">
        <v>27</v>
      </c>
      <c r="E710" s="5">
        <v>-28764</v>
      </c>
      <c r="F710" s="3" t="s">
        <v>924</v>
      </c>
      <c r="G710" s="3" t="s">
        <v>20</v>
      </c>
      <c r="H710" s="2" t="s">
        <v>21</v>
      </c>
      <c r="I710" s="2" t="s">
        <v>1647</v>
      </c>
      <c r="J710" s="3" t="str">
        <f>HYPERLINK("https://www.boe.es/gazeta/dias/1821/03/30/pdfs/GMD-1821-91.pdf#page=3","Abrir facsímil")</f>
        <v>Abrir facsímil</v>
      </c>
      <c r="K710" s="3" t="s">
        <v>23</v>
      </c>
    </row>
    <row r="711" spans="1:11" ht="42" customHeight="1">
      <c r="A711" s="2" t="s">
        <v>1648</v>
      </c>
      <c r="B711" s="2" t="s">
        <v>1649</v>
      </c>
      <c r="C711" s="2" t="s">
        <v>26</v>
      </c>
      <c r="D711" s="2" t="s">
        <v>27</v>
      </c>
      <c r="E711" s="5">
        <v>-28626</v>
      </c>
      <c r="F711" s="3" t="s">
        <v>468</v>
      </c>
      <c r="G711" s="3" t="s">
        <v>88</v>
      </c>
      <c r="H711" s="2" t="s">
        <v>21</v>
      </c>
      <c r="I711" s="2" t="s">
        <v>1650</v>
      </c>
      <c r="J711" s="3" t="str">
        <f>HYPERLINK("https://www.boe.es/gazeta/dias/1821/08/15/pdfs/GMD-1821-232.pdf#page=4","Abrir facsímil")</f>
        <v>Abrir facsímil</v>
      </c>
      <c r="K711" s="3" t="s">
        <v>23</v>
      </c>
    </row>
    <row r="712" spans="1:11" ht="42" customHeight="1">
      <c r="A712" s="2" t="s">
        <v>1651</v>
      </c>
      <c r="B712" s="2" t="s">
        <v>1652</v>
      </c>
      <c r="C712" s="2" t="s">
        <v>40</v>
      </c>
      <c r="D712" s="2" t="s">
        <v>41</v>
      </c>
      <c r="E712" s="5">
        <v>-28682</v>
      </c>
      <c r="F712" s="3" t="s">
        <v>1064</v>
      </c>
      <c r="G712" s="3" t="s">
        <v>29</v>
      </c>
      <c r="H712" s="2" t="s">
        <v>21</v>
      </c>
      <c r="I712" s="2" t="s">
        <v>1653</v>
      </c>
      <c r="J712" s="3" t="str">
        <f>HYPERLINK("https://www.boe.es/gazeta/dias/1821/06/20/pdfs/GMD-1821-173.pdf#page=6","Abrir facsímil")</f>
        <v>Abrir facsímil</v>
      </c>
      <c r="K712" s="3" t="s">
        <v>23</v>
      </c>
    </row>
    <row r="713" spans="1:11" ht="42" customHeight="1">
      <c r="A713" s="2" t="s">
        <v>1651</v>
      </c>
      <c r="B713" s="2" t="s">
        <v>1652</v>
      </c>
      <c r="C713" s="2" t="s">
        <v>40</v>
      </c>
      <c r="D713" s="2" t="s">
        <v>41</v>
      </c>
      <c r="E713" s="5">
        <v>-28573</v>
      </c>
      <c r="F713" s="3" t="s">
        <v>19</v>
      </c>
      <c r="G713" s="3" t="s">
        <v>88</v>
      </c>
      <c r="H713" s="2" t="s">
        <v>21</v>
      </c>
      <c r="I713" s="2" t="s">
        <v>1654</v>
      </c>
      <c r="J713" s="3" t="str">
        <f>HYPERLINK("https://www.boe.es/gazeta/dias/1821/10/07/pdfs/GMD-1821-286.pdf#page=4","Abrir facsímil")</f>
        <v>Abrir facsímil</v>
      </c>
      <c r="K713" s="3" t="s">
        <v>23</v>
      </c>
    </row>
    <row r="714" spans="1:11" ht="42" customHeight="1">
      <c r="A714" s="2" t="s">
        <v>1651</v>
      </c>
      <c r="B714" s="2" t="s">
        <v>1652</v>
      </c>
      <c r="C714" s="2" t="s">
        <v>17</v>
      </c>
      <c r="D714" s="2" t="s">
        <v>18</v>
      </c>
      <c r="E714" s="5">
        <v>-28559</v>
      </c>
      <c r="F714" s="3" t="s">
        <v>1078</v>
      </c>
      <c r="G714" s="3" t="s">
        <v>29</v>
      </c>
      <c r="H714" s="2" t="s">
        <v>21</v>
      </c>
      <c r="I714" s="2" t="s">
        <v>1655</v>
      </c>
      <c r="J714" s="3" t="str">
        <f>HYPERLINK("https://www.boe.es/gazeta/dias/1821/10/21/pdfs/GMD-1821-300.pdf#page=6","Abrir facsímil")</f>
        <v>Abrir facsímil</v>
      </c>
      <c r="K714" s="3" t="s">
        <v>23</v>
      </c>
    </row>
    <row r="715" spans="1:11" ht="42" customHeight="1">
      <c r="A715" s="2" t="s">
        <v>1651</v>
      </c>
      <c r="B715" s="2" t="s">
        <v>1652</v>
      </c>
      <c r="C715" s="2" t="s">
        <v>26</v>
      </c>
      <c r="D715" s="2" t="s">
        <v>27</v>
      </c>
      <c r="E715" s="5">
        <v>-28557</v>
      </c>
      <c r="F715" s="3" t="s">
        <v>316</v>
      </c>
      <c r="G715" s="3" t="s">
        <v>29</v>
      </c>
      <c r="H715" s="2" t="s">
        <v>21</v>
      </c>
      <c r="I715" s="2" t="s">
        <v>1656</v>
      </c>
      <c r="J715" s="3" t="str">
        <f>HYPERLINK("https://www.boe.es/gazeta/dias/1821/10/23/pdfs/GMD-1821-302.pdf#page=6","Abrir facsímil")</f>
        <v>Abrir facsímil</v>
      </c>
      <c r="K715" s="3" t="s">
        <v>23</v>
      </c>
    </row>
    <row r="716" spans="1:11" ht="42" customHeight="1">
      <c r="A716" s="2" t="s">
        <v>1657</v>
      </c>
      <c r="B716" s="2" t="s">
        <v>1658</v>
      </c>
      <c r="C716" s="2" t="s">
        <v>17</v>
      </c>
      <c r="D716" s="2" t="s">
        <v>18</v>
      </c>
      <c r="E716" s="5">
        <v>-28764</v>
      </c>
      <c r="F716" s="3" t="s">
        <v>924</v>
      </c>
      <c r="G716" s="3" t="s">
        <v>20</v>
      </c>
      <c r="H716" s="2" t="s">
        <v>21</v>
      </c>
      <c r="I716" s="2" t="s">
        <v>1659</v>
      </c>
      <c r="J716" s="3" t="str">
        <f>HYPERLINK("https://www.boe.es/gazeta/dias/1821/03/30/pdfs/GMD-1821-91.pdf#page=3","Abrir facsímil")</f>
        <v>Abrir facsímil</v>
      </c>
      <c r="K716" s="3" t="s">
        <v>23</v>
      </c>
    </row>
    <row r="717" spans="1:11" ht="42" customHeight="1">
      <c r="A717" s="2" t="s">
        <v>1660</v>
      </c>
      <c r="B717" s="2" t="s">
        <v>1661</v>
      </c>
      <c r="C717" s="2" t="s">
        <v>40</v>
      </c>
      <c r="D717" s="2" t="s">
        <v>41</v>
      </c>
      <c r="E717" s="5">
        <v>-28552</v>
      </c>
      <c r="F717" s="3" t="s">
        <v>28</v>
      </c>
      <c r="G717" s="3" t="s">
        <v>162</v>
      </c>
      <c r="H717" s="2" t="s">
        <v>21</v>
      </c>
      <c r="I717" s="2" t="s">
        <v>1662</v>
      </c>
      <c r="J717" s="3" t="str">
        <f>HYPERLINK("https://www.boe.es/gazeta/dias/1821/10/28/pdfs/GMD-1821-307.pdf#page=5","Abrir facsímil")</f>
        <v>Abrir facsímil</v>
      </c>
      <c r="K717" s="3" t="s">
        <v>23</v>
      </c>
    </row>
    <row r="718" spans="1:11" ht="42" customHeight="1">
      <c r="A718" s="2" t="s">
        <v>1663</v>
      </c>
      <c r="B718" s="2" t="s">
        <v>1664</v>
      </c>
      <c r="C718" s="2" t="s">
        <v>35</v>
      </c>
      <c r="D718" s="2" t="s">
        <v>27</v>
      </c>
      <c r="E718" s="5">
        <v>-28494</v>
      </c>
      <c r="F718" s="3" t="s">
        <v>1665</v>
      </c>
      <c r="G718" s="3" t="s">
        <v>1666</v>
      </c>
      <c r="H718" s="2" t="s">
        <v>30</v>
      </c>
      <c r="I718" s="2" t="s">
        <v>1667</v>
      </c>
      <c r="J718" s="3" t="str">
        <f>HYPERLINK("https://www.boe.es/gazeta/dias/1821/12/25/pdfs/GMD-1821-368.pdf#page=3","Abrir facsímil")</f>
        <v>Abrir facsímil</v>
      </c>
      <c r="K718" s="3" t="s">
        <v>32</v>
      </c>
    </row>
    <row r="719" spans="1:11" ht="42" customHeight="1">
      <c r="A719" s="2" t="s">
        <v>1668</v>
      </c>
      <c r="B719" s="2" t="s">
        <v>1669</v>
      </c>
      <c r="C719" s="2" t="s">
        <v>26</v>
      </c>
      <c r="D719" s="2" t="s">
        <v>27</v>
      </c>
      <c r="E719" s="5">
        <v>-28610</v>
      </c>
      <c r="F719" s="3" t="s">
        <v>190</v>
      </c>
      <c r="G719" s="3" t="s">
        <v>20</v>
      </c>
      <c r="H719" s="2" t="s">
        <v>21</v>
      </c>
      <c r="I719" s="2" t="s">
        <v>1670</v>
      </c>
      <c r="J719" s="3" t="str">
        <f>HYPERLINK("https://www.boe.es/gazeta/dias/1821/08/31/pdfs/GMD-1821-248.pdf#page=3","Abrir facsímil")</f>
        <v>Abrir facsímil</v>
      </c>
      <c r="K719" s="3" t="s">
        <v>23</v>
      </c>
    </row>
    <row r="720" spans="1:11" ht="42" customHeight="1">
      <c r="A720" s="2" t="s">
        <v>1671</v>
      </c>
      <c r="B720" s="2" t="s">
        <v>1672</v>
      </c>
      <c r="C720" s="2" t="s">
        <v>26</v>
      </c>
      <c r="D720" s="2" t="s">
        <v>27</v>
      </c>
      <c r="E720" s="5">
        <v>-28548</v>
      </c>
      <c r="F720" s="3" t="s">
        <v>782</v>
      </c>
      <c r="G720" s="3" t="s">
        <v>162</v>
      </c>
      <c r="H720" s="2" t="s">
        <v>21</v>
      </c>
      <c r="I720" s="2" t="s">
        <v>1673</v>
      </c>
      <c r="J720" s="3" t="str">
        <f>HYPERLINK("https://www.boe.es/gazeta/dias/1821/11/01/pdfs/GMD-1821-311.pdf#page=5","Abrir facsímil")</f>
        <v>Abrir facsímil</v>
      </c>
      <c r="K720" s="3" t="s">
        <v>23</v>
      </c>
    </row>
    <row r="721" spans="1:11" ht="42" customHeight="1">
      <c r="A721" s="2" t="s">
        <v>1674</v>
      </c>
      <c r="B721" s="2" t="s">
        <v>1675</v>
      </c>
      <c r="C721" s="2" t="s">
        <v>17</v>
      </c>
      <c r="D721" s="2" t="s">
        <v>18</v>
      </c>
      <c r="E721" s="5">
        <v>-28757</v>
      </c>
      <c r="F721" s="3" t="s">
        <v>472</v>
      </c>
      <c r="G721" s="3" t="s">
        <v>52</v>
      </c>
      <c r="H721" s="2" t="s">
        <v>21</v>
      </c>
      <c r="I721" s="2" t="s">
        <v>1676</v>
      </c>
      <c r="J721" s="3" t="str">
        <f>HYPERLINK("https://www.boe.es/gazeta/dias/1821/04/06/pdfs/GMD-1821-98.pdf#page=2","Abrir facsímil")</f>
        <v>Abrir facsímil</v>
      </c>
      <c r="K721" s="3" t="s">
        <v>23</v>
      </c>
    </row>
    <row r="722" spans="1:11" ht="42" customHeight="1">
      <c r="A722" s="2" t="s">
        <v>1674</v>
      </c>
      <c r="B722" s="2" t="s">
        <v>1675</v>
      </c>
      <c r="C722" s="2" t="s">
        <v>26</v>
      </c>
      <c r="D722" s="2" t="s">
        <v>27</v>
      </c>
      <c r="E722" s="5">
        <v>-28547</v>
      </c>
      <c r="F722" s="3" t="s">
        <v>247</v>
      </c>
      <c r="G722" s="3" t="s">
        <v>248</v>
      </c>
      <c r="H722" s="2" t="s">
        <v>21</v>
      </c>
      <c r="I722" s="2" t="s">
        <v>1677</v>
      </c>
      <c r="J722" s="3" t="str">
        <f>HYPERLINK("https://www.boe.es/gazeta/dias/1821/11/02/pdfs/GMD-1821-312.pdf#page=2","Abrir facsímil")</f>
        <v>Abrir facsímil</v>
      </c>
      <c r="K722" s="3" t="s">
        <v>23</v>
      </c>
    </row>
    <row r="723" spans="1:11" ht="42" customHeight="1">
      <c r="A723" s="2" t="s">
        <v>1678</v>
      </c>
      <c r="B723" s="2" t="s">
        <v>1679</v>
      </c>
      <c r="C723" s="2" t="s">
        <v>40</v>
      </c>
      <c r="D723" s="2" t="s">
        <v>41</v>
      </c>
      <c r="E723" s="5">
        <v>-28543</v>
      </c>
      <c r="F723" s="3" t="s">
        <v>136</v>
      </c>
      <c r="G723" s="3" t="s">
        <v>52</v>
      </c>
      <c r="H723" s="2" t="s">
        <v>21</v>
      </c>
      <c r="I723" s="2" t="s">
        <v>1680</v>
      </c>
      <c r="J723" s="3" t="str">
        <f>HYPERLINK("https://www.boe.es/gazeta/dias/1821/11/06/pdfs/GMD-1821-317.pdf#page=2","Abrir facsímil")</f>
        <v>Abrir facsímil</v>
      </c>
      <c r="K723" s="3" t="s">
        <v>23</v>
      </c>
    </row>
    <row r="724" spans="1:11" ht="42" customHeight="1">
      <c r="A724" s="2" t="s">
        <v>1681</v>
      </c>
      <c r="B724" s="2" t="s">
        <v>1682</v>
      </c>
      <c r="C724" s="2" t="s">
        <v>35</v>
      </c>
      <c r="D724" s="2" t="s">
        <v>27</v>
      </c>
      <c r="E724" s="5">
        <v>-28678</v>
      </c>
      <c r="F724" s="3" t="s">
        <v>215</v>
      </c>
      <c r="G724" s="3" t="s">
        <v>88</v>
      </c>
      <c r="H724" s="2" t="s">
        <v>21</v>
      </c>
      <c r="I724" s="2" t="s">
        <v>1683</v>
      </c>
      <c r="J724" s="3" t="str">
        <f>HYPERLINK("https://www.boe.es/gazeta/dias/1821/06/24/pdfs/GMD-1821-177.pdf#page=4","Abrir facsímil")</f>
        <v>Abrir facsímil</v>
      </c>
      <c r="K724" s="3" t="s">
        <v>23</v>
      </c>
    </row>
    <row r="725" spans="1:11" ht="42" customHeight="1">
      <c r="A725" s="2" t="s">
        <v>1684</v>
      </c>
      <c r="B725" s="2" t="s">
        <v>1685</v>
      </c>
      <c r="C725" s="2" t="s">
        <v>40</v>
      </c>
      <c r="D725" s="2" t="s">
        <v>41</v>
      </c>
      <c r="E725" s="5">
        <v>-28839</v>
      </c>
      <c r="F725" s="3" t="s">
        <v>1686</v>
      </c>
      <c r="G725" s="3" t="s">
        <v>20</v>
      </c>
      <c r="H725" s="2" t="s">
        <v>21</v>
      </c>
      <c r="I725" s="2" t="s">
        <v>1687</v>
      </c>
      <c r="J725" s="3" t="str">
        <f>HYPERLINK("https://www.boe.es/gazeta/dias/1821/01/14/pdfs/GGB-1821-14.pdf#page=3","Abrir facsímil")</f>
        <v>Abrir facsímil</v>
      </c>
      <c r="K725" s="3" t="s">
        <v>23</v>
      </c>
    </row>
    <row r="726" spans="1:11" ht="42" customHeight="1">
      <c r="A726" s="2" t="s">
        <v>1688</v>
      </c>
      <c r="B726" s="2" t="s">
        <v>1688</v>
      </c>
      <c r="C726" s="2" t="s">
        <v>40</v>
      </c>
      <c r="D726" s="2" t="s">
        <v>41</v>
      </c>
      <c r="E726" s="5">
        <v>-28789</v>
      </c>
      <c r="F726" s="3" t="s">
        <v>36</v>
      </c>
      <c r="G726" s="3" t="s">
        <v>20</v>
      </c>
      <c r="H726" s="2" t="s">
        <v>21</v>
      </c>
      <c r="I726" s="2" t="s">
        <v>1689</v>
      </c>
      <c r="J726" s="3" t="str">
        <f>HYPERLINK("https://www.boe.es/gazeta/dias/1821/03/05/pdfs/GGB-1821-64.pdf#page=3","Abrir facsímil")</f>
        <v>Abrir facsímil</v>
      </c>
      <c r="K726" s="3" t="s">
        <v>23</v>
      </c>
    </row>
    <row r="727" spans="1:11" ht="42" customHeight="1">
      <c r="A727" s="2" t="s">
        <v>1690</v>
      </c>
      <c r="B727" s="2" t="s">
        <v>1691</v>
      </c>
      <c r="C727" s="2" t="s">
        <v>17</v>
      </c>
      <c r="D727" s="2" t="s">
        <v>18</v>
      </c>
      <c r="E727" s="5">
        <v>-28783</v>
      </c>
      <c r="F727" s="3" t="s">
        <v>198</v>
      </c>
      <c r="G727" s="3" t="s">
        <v>88</v>
      </c>
      <c r="H727" s="2" t="s">
        <v>30</v>
      </c>
      <c r="I727" s="2" t="s">
        <v>1692</v>
      </c>
      <c r="J727" s="3" t="str">
        <f>HYPERLINK("https://www.boe.es/gazeta/dias/1821/03/11/pdfs/GGB-1821-70.pdf#page=4","Abrir facsímil")</f>
        <v>Abrir facsímil</v>
      </c>
      <c r="K727" s="3" t="s">
        <v>32</v>
      </c>
    </row>
    <row r="728" spans="1:11" ht="42" customHeight="1">
      <c r="A728" s="2" t="s">
        <v>1693</v>
      </c>
      <c r="B728" s="2" t="s">
        <v>1694</v>
      </c>
      <c r="C728" s="2" t="s">
        <v>40</v>
      </c>
      <c r="D728" s="2" t="s">
        <v>41</v>
      </c>
      <c r="E728" s="5">
        <v>-28686</v>
      </c>
      <c r="F728" s="3" t="s">
        <v>115</v>
      </c>
      <c r="G728" s="3" t="s">
        <v>20</v>
      </c>
      <c r="H728" s="2" t="s">
        <v>21</v>
      </c>
      <c r="I728" s="2" t="s">
        <v>1695</v>
      </c>
      <c r="J728" s="3" t="str">
        <f>HYPERLINK("https://www.boe.es/gazeta/dias/1821/06/16/pdfs/GMD-1821-169.pdf#page=3","Abrir facsímil")</f>
        <v>Abrir facsímil</v>
      </c>
      <c r="K728" s="3" t="s">
        <v>23</v>
      </c>
    </row>
    <row r="729" spans="1:11" ht="42" customHeight="1">
      <c r="A729" s="2" t="s">
        <v>1696</v>
      </c>
      <c r="B729" s="2" t="s">
        <v>1697</v>
      </c>
      <c r="C729" s="2" t="s">
        <v>40</v>
      </c>
      <c r="D729" s="2" t="s">
        <v>41</v>
      </c>
      <c r="E729" s="5">
        <v>-28492</v>
      </c>
      <c r="F729" s="3" t="s">
        <v>1550</v>
      </c>
      <c r="G729" s="3" t="s">
        <v>88</v>
      </c>
      <c r="H729" s="2" t="s">
        <v>21</v>
      </c>
      <c r="I729" s="2" t="s">
        <v>1698</v>
      </c>
      <c r="J729" s="3" t="str">
        <f>HYPERLINK("https://www.boe.es/gazeta/dias/1821/12/27/pdfs/GMD-1821-370.pdf#page=4","Abrir facsímil")</f>
        <v>Abrir facsímil</v>
      </c>
      <c r="K729" s="3" t="s">
        <v>23</v>
      </c>
    </row>
    <row r="730" spans="1:11" ht="42" customHeight="1">
      <c r="A730" s="2" t="s">
        <v>1699</v>
      </c>
      <c r="B730" s="2" t="s">
        <v>1700</v>
      </c>
      <c r="C730" s="2" t="s">
        <v>17</v>
      </c>
      <c r="D730" s="2" t="s">
        <v>18</v>
      </c>
      <c r="E730" s="5">
        <v>-28547</v>
      </c>
      <c r="F730" s="3" t="s">
        <v>247</v>
      </c>
      <c r="G730" s="3" t="s">
        <v>248</v>
      </c>
      <c r="H730" s="2" t="s">
        <v>21</v>
      </c>
      <c r="I730" s="2" t="s">
        <v>1701</v>
      </c>
      <c r="J730" s="3" t="str">
        <f>HYPERLINK("https://www.boe.es/gazeta/dias/1821/11/02/pdfs/GMD-1821-312.pdf#page=2","Abrir facsímil")</f>
        <v>Abrir facsímil</v>
      </c>
      <c r="K730" s="3" t="s">
        <v>23</v>
      </c>
    </row>
    <row r="731" spans="1:11" ht="42" customHeight="1">
      <c r="A731" s="2" t="s">
        <v>1702</v>
      </c>
      <c r="B731" s="2" t="s">
        <v>1703</v>
      </c>
      <c r="C731" s="2" t="s">
        <v>26</v>
      </c>
      <c r="D731" s="2" t="s">
        <v>27</v>
      </c>
      <c r="E731" s="5">
        <v>-28763</v>
      </c>
      <c r="F731" s="3" t="s">
        <v>1145</v>
      </c>
      <c r="G731" s="3" t="s">
        <v>88</v>
      </c>
      <c r="H731" s="2" t="s">
        <v>21</v>
      </c>
      <c r="I731" s="2" t="s">
        <v>1704</v>
      </c>
      <c r="J731" s="3" t="str">
        <f>HYPERLINK("https://www.boe.es/gazeta/dias/1821/03/31/pdfs/GMD-1821-92.pdf#page=4","Abrir facsímil")</f>
        <v>Abrir facsímil</v>
      </c>
      <c r="K731" s="3" t="s">
        <v>23</v>
      </c>
    </row>
    <row r="732" spans="1:11" ht="42" customHeight="1">
      <c r="A732" s="2" t="s">
        <v>1705</v>
      </c>
      <c r="B732" s="2" t="s">
        <v>1706</v>
      </c>
      <c r="C732" s="2" t="s">
        <v>26</v>
      </c>
      <c r="D732" s="2" t="s">
        <v>27</v>
      </c>
      <c r="E732" s="5">
        <v>-28691</v>
      </c>
      <c r="F732" s="3" t="s">
        <v>716</v>
      </c>
      <c r="G732" s="3" t="s">
        <v>43</v>
      </c>
      <c r="H732" s="2" t="s">
        <v>21</v>
      </c>
      <c r="I732" s="2" t="s">
        <v>1707</v>
      </c>
      <c r="J732" s="3" t="str">
        <f>HYPERLINK("https://www.boe.es/gazeta/dias/1821/06/11/pdfs/GMD-1821-164.pdf#page=1","Abrir facsímil")</f>
        <v>Abrir facsímil</v>
      </c>
      <c r="K732" s="3" t="s">
        <v>23</v>
      </c>
    </row>
    <row r="733" spans="1:11" ht="42" customHeight="1">
      <c r="A733" s="2" t="s">
        <v>1708</v>
      </c>
      <c r="B733" s="2" t="s">
        <v>1709</v>
      </c>
      <c r="C733" s="2" t="s">
        <v>35</v>
      </c>
      <c r="D733" s="2" t="s">
        <v>27</v>
      </c>
      <c r="E733" s="5">
        <v>-28499</v>
      </c>
      <c r="F733" s="3" t="s">
        <v>954</v>
      </c>
      <c r="G733" s="3" t="s">
        <v>88</v>
      </c>
      <c r="H733" s="2" t="s">
        <v>21</v>
      </c>
      <c r="I733" s="2" t="s">
        <v>1710</v>
      </c>
      <c r="J733" s="3" t="str">
        <f>HYPERLINK("https://www.boe.es/gazeta/dias/1821/12/20/pdfs/GMD-1821-363.pdf#page=4","Abrir facsímil")</f>
        <v>Abrir facsímil</v>
      </c>
      <c r="K733" s="3" t="s">
        <v>23</v>
      </c>
    </row>
    <row r="734" spans="1:11" ht="42" customHeight="1">
      <c r="A734" s="2" t="s">
        <v>1711</v>
      </c>
      <c r="B734" s="2" t="s">
        <v>1712</v>
      </c>
      <c r="C734" s="2" t="s">
        <v>35</v>
      </c>
      <c r="D734" s="2" t="s">
        <v>27</v>
      </c>
      <c r="E734" s="5">
        <v>-28847</v>
      </c>
      <c r="F734" s="3" t="s">
        <v>288</v>
      </c>
      <c r="G734" s="3" t="s">
        <v>289</v>
      </c>
      <c r="H734" s="2" t="s">
        <v>30</v>
      </c>
      <c r="I734" s="2" t="s">
        <v>1713</v>
      </c>
      <c r="J734" s="3" t="str">
        <f>HYPERLINK("https://www.boe.es/gazeta/dias/1821/01/06/pdfs/GGB-1821-6.pdf#page=4","Abrir facsímil")</f>
        <v>Abrir facsímil</v>
      </c>
      <c r="K734" s="3" t="s">
        <v>32</v>
      </c>
    </row>
    <row r="735" spans="1:11" ht="42" customHeight="1">
      <c r="A735" s="2" t="s">
        <v>1714</v>
      </c>
      <c r="B735" s="2" t="s">
        <v>1715</v>
      </c>
      <c r="C735" s="2" t="s">
        <v>40</v>
      </c>
      <c r="D735" s="2" t="s">
        <v>41</v>
      </c>
      <c r="E735" s="5">
        <v>-28708</v>
      </c>
      <c r="F735" s="3" t="s">
        <v>528</v>
      </c>
      <c r="G735" s="3" t="s">
        <v>1716</v>
      </c>
      <c r="H735" s="2" t="s">
        <v>21</v>
      </c>
      <c r="I735" s="2" t="s">
        <v>1717</v>
      </c>
      <c r="J735" s="3" t="str">
        <f>HYPERLINK("https://www.boe.es/gazeta/dias/1821/05/25/pdfs/GMD-1821-147.pdf#page=2","Abrir facsímil")</f>
        <v>Abrir facsímil</v>
      </c>
      <c r="K735" s="3" t="s">
        <v>23</v>
      </c>
    </row>
    <row r="736" spans="1:11" ht="42" customHeight="1">
      <c r="A736" s="2" t="s">
        <v>1718</v>
      </c>
      <c r="B736" s="2" t="s">
        <v>1718</v>
      </c>
      <c r="C736" s="2" t="s">
        <v>26</v>
      </c>
      <c r="D736" s="2" t="s">
        <v>27</v>
      </c>
      <c r="E736" s="5">
        <v>-28798</v>
      </c>
      <c r="F736" s="3" t="s">
        <v>60</v>
      </c>
      <c r="G736" s="3" t="s">
        <v>52</v>
      </c>
      <c r="H736" s="2" t="s">
        <v>21</v>
      </c>
      <c r="I736" s="2" t="s">
        <v>1719</v>
      </c>
      <c r="J736" s="3" t="str">
        <f>HYPERLINK("https://www.boe.es/gazeta/dias/1821/02/24/pdfs/GGB-1821-55.pdf#page=2","Abrir facsímil")</f>
        <v>Abrir facsímil</v>
      </c>
      <c r="K736" s="3" t="s">
        <v>23</v>
      </c>
    </row>
    <row r="737" spans="1:11" ht="42" customHeight="1">
      <c r="A737" s="2" t="s">
        <v>1720</v>
      </c>
      <c r="B737" s="2" t="s">
        <v>1721</v>
      </c>
      <c r="C737" s="2" t="s">
        <v>35</v>
      </c>
      <c r="D737" s="2" t="s">
        <v>27</v>
      </c>
      <c r="E737" s="5">
        <v>-28653</v>
      </c>
      <c r="F737" s="3" t="s">
        <v>1179</v>
      </c>
      <c r="G737" s="3" t="s">
        <v>29</v>
      </c>
      <c r="H737" s="2" t="s">
        <v>30</v>
      </c>
      <c r="I737" s="2" t="s">
        <v>1722</v>
      </c>
      <c r="J737" s="3" t="str">
        <f>HYPERLINK("https://www.boe.es/gazeta/dias/1821/07/19/pdfs/GMD-1821-204.pdf#page=6","Abrir facsímil")</f>
        <v>Abrir facsímil</v>
      </c>
      <c r="K737" s="3" t="s">
        <v>32</v>
      </c>
    </row>
    <row r="738" spans="1:11" ht="42" customHeight="1">
      <c r="A738" s="2" t="s">
        <v>1723</v>
      </c>
      <c r="B738" s="2" t="s">
        <v>1723</v>
      </c>
      <c r="C738" s="2" t="s">
        <v>40</v>
      </c>
      <c r="D738" s="2" t="s">
        <v>41</v>
      </c>
      <c r="E738" s="5">
        <v>-28807</v>
      </c>
      <c r="F738" s="3" t="s">
        <v>613</v>
      </c>
      <c r="G738" s="3" t="s">
        <v>52</v>
      </c>
      <c r="H738" s="2" t="s">
        <v>21</v>
      </c>
      <c r="I738" s="2" t="s">
        <v>1724</v>
      </c>
      <c r="J738" s="3" t="str">
        <f>HYPERLINK("https://www.boe.es/gazeta/dias/1821/02/15/pdfs/GGB-1821-46.pdf#page=2","Abrir facsímil")</f>
        <v>Abrir facsímil</v>
      </c>
      <c r="K738" s="3" t="s">
        <v>23</v>
      </c>
    </row>
    <row r="739" spans="1:11" ht="42" customHeight="1">
      <c r="A739" s="2" t="s">
        <v>1725</v>
      </c>
      <c r="B739" s="2" t="s">
        <v>1726</v>
      </c>
      <c r="C739" s="2" t="s">
        <v>114</v>
      </c>
      <c r="D739" s="2" t="s">
        <v>27</v>
      </c>
      <c r="E739" s="5">
        <v>-28574</v>
      </c>
      <c r="F739" s="3" t="s">
        <v>779</v>
      </c>
      <c r="G739" s="3" t="s">
        <v>333</v>
      </c>
      <c r="H739" s="2" t="s">
        <v>21</v>
      </c>
      <c r="I739" s="2" t="s">
        <v>1727</v>
      </c>
      <c r="J739" s="3" t="str">
        <f>HYPERLINK("https://www.boe.es/gazeta/dias/1821/10/06/pdfs/GMD-1821-285.pdf#page=8","Abrir facsímil")</f>
        <v>Abrir facsímil</v>
      </c>
      <c r="K739" s="3" t="s">
        <v>23</v>
      </c>
    </row>
    <row r="740" spans="1:11" ht="42" customHeight="1">
      <c r="A740" s="2" t="s">
        <v>1728</v>
      </c>
      <c r="B740" s="2" t="s">
        <v>1729</v>
      </c>
      <c r="C740" s="2" t="s">
        <v>114</v>
      </c>
      <c r="D740" s="2" t="s">
        <v>27</v>
      </c>
      <c r="E740" s="5">
        <v>-28847</v>
      </c>
      <c r="F740" s="3" t="s">
        <v>288</v>
      </c>
      <c r="G740" s="3" t="s">
        <v>289</v>
      </c>
      <c r="H740" s="2" t="s">
        <v>21</v>
      </c>
      <c r="I740" s="2" t="s">
        <v>1730</v>
      </c>
      <c r="J740" s="3" t="str">
        <f>HYPERLINK("https://www.boe.es/gazeta/dias/1821/01/06/pdfs/GGB-1821-6.pdf#page=4","Abrir facsímil")</f>
        <v>Abrir facsímil</v>
      </c>
      <c r="K740" s="3" t="s">
        <v>23</v>
      </c>
    </row>
    <row r="741" spans="1:11" ht="42" customHeight="1">
      <c r="A741" s="2" t="s">
        <v>1731</v>
      </c>
      <c r="B741" s="2" t="s">
        <v>1732</v>
      </c>
      <c r="C741" s="2" t="s">
        <v>17</v>
      </c>
      <c r="D741" s="2" t="s">
        <v>18</v>
      </c>
      <c r="E741" s="5">
        <v>-28684</v>
      </c>
      <c r="F741" s="3" t="s">
        <v>208</v>
      </c>
      <c r="G741" s="3" t="s">
        <v>88</v>
      </c>
      <c r="H741" s="2" t="s">
        <v>21</v>
      </c>
      <c r="I741" s="2" t="s">
        <v>1733</v>
      </c>
      <c r="J741" s="3" t="str">
        <f>HYPERLINK("https://www.boe.es/gazeta/dias/1821/06/18/pdfs/GMD-1821-171.pdf#page=4","Abrir facsímil")</f>
        <v>Abrir facsímil</v>
      </c>
      <c r="K741" s="3" t="s">
        <v>23</v>
      </c>
    </row>
    <row r="742" spans="1:11" ht="42" customHeight="1">
      <c r="A742" s="2" t="s">
        <v>1734</v>
      </c>
      <c r="B742" s="2" t="s">
        <v>1735</v>
      </c>
      <c r="C742" s="2" t="s">
        <v>40</v>
      </c>
      <c r="D742" s="2" t="s">
        <v>41</v>
      </c>
      <c r="E742" s="5">
        <v>-28835</v>
      </c>
      <c r="F742" s="3" t="s">
        <v>1362</v>
      </c>
      <c r="G742" s="3" t="s">
        <v>88</v>
      </c>
      <c r="H742" s="2" t="s">
        <v>21</v>
      </c>
      <c r="I742" s="2" t="s">
        <v>1736</v>
      </c>
      <c r="J742" s="3" t="str">
        <f>HYPERLINK("https://www.boe.es/gazeta/dias/1821/01/18/pdfs/GGB-1821-18.pdf#page=4","Abrir facsímil")</f>
        <v>Abrir facsímil</v>
      </c>
      <c r="K742" s="3" t="s">
        <v>23</v>
      </c>
    </row>
    <row r="743" spans="1:11" ht="42" customHeight="1">
      <c r="A743" s="2" t="s">
        <v>1737</v>
      </c>
      <c r="B743" s="2" t="s">
        <v>1738</v>
      </c>
      <c r="C743" s="2" t="s">
        <v>114</v>
      </c>
      <c r="D743" s="2" t="s">
        <v>27</v>
      </c>
      <c r="E743" s="5">
        <v>-28646</v>
      </c>
      <c r="F743" s="3" t="s">
        <v>1457</v>
      </c>
      <c r="G743" s="3" t="s">
        <v>20</v>
      </c>
      <c r="H743" s="2" t="s">
        <v>21</v>
      </c>
      <c r="I743" s="2" t="s">
        <v>1739</v>
      </c>
      <c r="J743" s="3" t="str">
        <f>HYPERLINK("https://www.boe.es/gazeta/dias/1821/07/26/pdfs/GMD-1821-211.pdf#page=3","Abrir facsímil")</f>
        <v>Abrir facsímil</v>
      </c>
      <c r="K743" s="3" t="s">
        <v>23</v>
      </c>
    </row>
    <row r="744" spans="1:11" ht="42" customHeight="1">
      <c r="A744" s="2" t="s">
        <v>1740</v>
      </c>
      <c r="B744" s="2" t="s">
        <v>1740</v>
      </c>
      <c r="C744" s="2" t="s">
        <v>40</v>
      </c>
      <c r="D744" s="2" t="s">
        <v>41</v>
      </c>
      <c r="E744" s="5">
        <v>-28775</v>
      </c>
      <c r="F744" s="3" t="s">
        <v>132</v>
      </c>
      <c r="G744" s="3" t="s">
        <v>20</v>
      </c>
      <c r="H744" s="2" t="s">
        <v>21</v>
      </c>
      <c r="I744" s="2" t="s">
        <v>1741</v>
      </c>
      <c r="J744" s="3" t="str">
        <f>HYPERLINK("https://www.boe.es/gazeta/dias/1821/03/19/pdfs/GMD-1821-78.pdf#page=3","Abrir facsímil")</f>
        <v>Abrir facsímil</v>
      </c>
      <c r="K744" s="3" t="s">
        <v>23</v>
      </c>
    </row>
    <row r="745" spans="1:11" ht="42" customHeight="1">
      <c r="A745" s="2" t="s">
        <v>1742</v>
      </c>
      <c r="B745" s="2" t="s">
        <v>1742</v>
      </c>
      <c r="C745" s="2" t="s">
        <v>17</v>
      </c>
      <c r="D745" s="2" t="s">
        <v>18</v>
      </c>
      <c r="E745" s="5">
        <v>-28844</v>
      </c>
      <c r="F745" s="3" t="s">
        <v>1743</v>
      </c>
      <c r="G745" s="3" t="s">
        <v>52</v>
      </c>
      <c r="H745" s="2" t="s">
        <v>21</v>
      </c>
      <c r="I745" s="2" t="s">
        <v>1744</v>
      </c>
      <c r="J745" s="3" t="str">
        <f>HYPERLINK("https://www.boe.es/gazeta/dias/1821/01/09/pdfs/GGB-1821-9.pdf#page=2","Abrir facsímil")</f>
        <v>Abrir facsímil</v>
      </c>
      <c r="K745" s="3" t="s">
        <v>23</v>
      </c>
    </row>
    <row r="746" spans="1:11" ht="42" customHeight="1">
      <c r="A746" s="2" t="s">
        <v>1745</v>
      </c>
      <c r="B746" s="2" t="s">
        <v>1745</v>
      </c>
      <c r="C746" s="2" t="s">
        <v>70</v>
      </c>
      <c r="D746" s="2" t="s">
        <v>27</v>
      </c>
      <c r="E746" s="5">
        <v>-28769</v>
      </c>
      <c r="F746" s="3" t="s">
        <v>489</v>
      </c>
      <c r="G746" s="3" t="s">
        <v>490</v>
      </c>
      <c r="H746" s="2" t="s">
        <v>21</v>
      </c>
      <c r="I746" s="2" t="s">
        <v>1746</v>
      </c>
      <c r="J746" s="3" t="str">
        <f>HYPERLINK("https://www.boe.es/gazeta/dias/1821/03/25/pdfs/GMD-1821-85.pdf#page=3","Abrir facsímil")</f>
        <v>Abrir facsímil</v>
      </c>
      <c r="K746" s="3" t="s">
        <v>23</v>
      </c>
    </row>
    <row r="747" spans="1:11" ht="42" customHeight="1">
      <c r="A747" s="2" t="s">
        <v>1747</v>
      </c>
      <c r="B747" s="2" t="s">
        <v>1747</v>
      </c>
      <c r="C747" s="2" t="s">
        <v>17</v>
      </c>
      <c r="D747" s="2" t="s">
        <v>18</v>
      </c>
      <c r="E747" s="5">
        <v>-28822</v>
      </c>
      <c r="F747" s="3" t="s">
        <v>1748</v>
      </c>
      <c r="G747" s="3" t="s">
        <v>43</v>
      </c>
      <c r="H747" s="2" t="s">
        <v>21</v>
      </c>
      <c r="I747" s="2" t="s">
        <v>1749</v>
      </c>
      <c r="J747" s="3" t="str">
        <f>HYPERLINK("https://www.boe.es/gazeta/dias/1821/01/31/pdfs/GGB-1821-31.pdf#page=1","Abrir facsímil")</f>
        <v>Abrir facsímil</v>
      </c>
      <c r="K747" s="3" t="s">
        <v>23</v>
      </c>
    </row>
    <row r="748" spans="1:11" ht="42" customHeight="1">
      <c r="A748" s="2" t="s">
        <v>1750</v>
      </c>
      <c r="B748" s="2" t="s">
        <v>1750</v>
      </c>
      <c r="C748" s="2" t="s">
        <v>35</v>
      </c>
      <c r="D748" s="2" t="s">
        <v>27</v>
      </c>
      <c r="E748" s="5">
        <v>-28801</v>
      </c>
      <c r="F748" s="3" t="s">
        <v>378</v>
      </c>
      <c r="G748" s="3" t="s">
        <v>43</v>
      </c>
      <c r="H748" s="2" t="s">
        <v>21</v>
      </c>
      <c r="I748" s="2" t="s">
        <v>1751</v>
      </c>
      <c r="J748" s="3" t="str">
        <f>HYPERLINK("https://www.boe.es/gazeta/dias/1821/02/21/pdfs/GGB-1821-52.pdf#page=1","Abrir facsímil")</f>
        <v>Abrir facsímil</v>
      </c>
      <c r="K748" s="3" t="s">
        <v>23</v>
      </c>
    </row>
    <row r="749" spans="1:11" ht="42" customHeight="1">
      <c r="A749" s="2" t="s">
        <v>1752</v>
      </c>
      <c r="B749" s="2" t="s">
        <v>1752</v>
      </c>
      <c r="C749" s="2" t="s">
        <v>17</v>
      </c>
      <c r="D749" s="2" t="s">
        <v>18</v>
      </c>
      <c r="E749" s="5">
        <v>-28800</v>
      </c>
      <c r="F749" s="3" t="s">
        <v>1753</v>
      </c>
      <c r="G749" s="3" t="s">
        <v>52</v>
      </c>
      <c r="H749" s="2" t="s">
        <v>21</v>
      </c>
      <c r="I749" s="2" t="s">
        <v>1754</v>
      </c>
      <c r="J749" s="3" t="str">
        <f>HYPERLINK("https://www.boe.es/gazeta/dias/1821/02/22/pdfs/GGB-1821-53.pdf#page=2","Abrir facsímil")</f>
        <v>Abrir facsímil</v>
      </c>
      <c r="K749" s="3" t="s">
        <v>23</v>
      </c>
    </row>
    <row r="750" spans="1:11" ht="42" customHeight="1">
      <c r="A750" s="2" t="s">
        <v>1752</v>
      </c>
      <c r="B750" s="2" t="s">
        <v>1752</v>
      </c>
      <c r="C750" s="2" t="s">
        <v>40</v>
      </c>
      <c r="D750" s="2" t="s">
        <v>41</v>
      </c>
      <c r="E750" s="5">
        <v>-28773</v>
      </c>
      <c r="F750" s="3" t="s">
        <v>1755</v>
      </c>
      <c r="G750" s="3" t="s">
        <v>162</v>
      </c>
      <c r="H750" s="2" t="s">
        <v>21</v>
      </c>
      <c r="I750" s="2" t="s">
        <v>1756</v>
      </c>
      <c r="J750" s="3" t="str">
        <f>HYPERLINK("https://www.boe.es/gazeta/dias/1821/03/21/pdfs/GMD-1821-80.pdf#page=5","Abrir facsímil")</f>
        <v>Abrir facsímil</v>
      </c>
      <c r="K750" s="3" t="s">
        <v>23</v>
      </c>
    </row>
    <row r="751" spans="1:11" ht="42" customHeight="1">
      <c r="A751" s="2" t="s">
        <v>1757</v>
      </c>
      <c r="B751" s="2" t="s">
        <v>1758</v>
      </c>
      <c r="C751" s="2" t="s">
        <v>35</v>
      </c>
      <c r="D751" s="2" t="s">
        <v>27</v>
      </c>
      <c r="E751" s="5">
        <v>-28820</v>
      </c>
      <c r="F751" s="3" t="s">
        <v>1430</v>
      </c>
      <c r="G751" s="3" t="s">
        <v>162</v>
      </c>
      <c r="H751" s="2" t="s">
        <v>21</v>
      </c>
      <c r="I751" s="2" t="s">
        <v>1759</v>
      </c>
      <c r="J751" s="3" t="str">
        <f>HYPERLINK("https://www.boe.es/gazeta/dias/1821/02/02/pdfs/GGB-1821-33.pdf#page=5","Abrir facsímil")</f>
        <v>Abrir facsímil</v>
      </c>
      <c r="K751" s="3" t="s">
        <v>23</v>
      </c>
    </row>
    <row r="752" spans="1:11" ht="42" customHeight="1">
      <c r="A752" s="2" t="s">
        <v>1760</v>
      </c>
      <c r="B752" s="2" t="s">
        <v>1761</v>
      </c>
      <c r="C752" s="2" t="s">
        <v>40</v>
      </c>
      <c r="D752" s="2" t="s">
        <v>41</v>
      </c>
      <c r="E752" s="5">
        <v>-28665</v>
      </c>
      <c r="F752" s="3" t="s">
        <v>789</v>
      </c>
      <c r="G752" s="3" t="s">
        <v>20</v>
      </c>
      <c r="H752" s="2" t="s">
        <v>21</v>
      </c>
      <c r="I752" s="2" t="s">
        <v>1762</v>
      </c>
      <c r="J752" s="3" t="str">
        <f>HYPERLINK("https://www.boe.es/gazeta/dias/1821/07/07/pdfs/GMD-1821-191.pdf#page=3","Abrir facsímil")</f>
        <v>Abrir facsímil</v>
      </c>
      <c r="K752" s="3" t="s">
        <v>23</v>
      </c>
    </row>
    <row r="753" spans="1:11" ht="42" customHeight="1">
      <c r="A753" s="2" t="s">
        <v>1760</v>
      </c>
      <c r="B753" s="2" t="s">
        <v>1761</v>
      </c>
      <c r="C753" s="2" t="s">
        <v>26</v>
      </c>
      <c r="D753" s="2" t="s">
        <v>27</v>
      </c>
      <c r="E753" s="5">
        <v>-28535</v>
      </c>
      <c r="F753" s="3" t="s">
        <v>96</v>
      </c>
      <c r="G753" s="3" t="s">
        <v>162</v>
      </c>
      <c r="H753" s="2" t="s">
        <v>21</v>
      </c>
      <c r="I753" s="2" t="s">
        <v>1763</v>
      </c>
      <c r="J753" s="3" t="str">
        <f>HYPERLINK("https://www.boe.es/gazeta/dias/1821/11/14/pdfs/GMD-1821-325.pdf#page=5","Abrir facsímil")</f>
        <v>Abrir facsímil</v>
      </c>
      <c r="K753" s="3" t="s">
        <v>23</v>
      </c>
    </row>
    <row r="754" spans="1:11" ht="42" customHeight="1">
      <c r="A754" s="2" t="s">
        <v>1764</v>
      </c>
      <c r="B754" s="2" t="s">
        <v>1765</v>
      </c>
      <c r="C754" s="2" t="s">
        <v>70</v>
      </c>
      <c r="D754" s="2" t="s">
        <v>27</v>
      </c>
      <c r="E754" s="5">
        <v>-28779</v>
      </c>
      <c r="F754" s="3" t="s">
        <v>1002</v>
      </c>
      <c r="G754" s="3" t="s">
        <v>52</v>
      </c>
      <c r="H754" s="2" t="s">
        <v>21</v>
      </c>
      <c r="I754" s="2" t="s">
        <v>1766</v>
      </c>
      <c r="J754" s="3" t="str">
        <f>HYPERLINK("https://www.boe.es/gazeta/dias/1821/03/15/pdfs/GMD-1821-74.pdf#page=2","Abrir facsímil")</f>
        <v>Abrir facsímil</v>
      </c>
      <c r="K754" s="3" t="s">
        <v>23</v>
      </c>
    </row>
    <row r="755" spans="1:11" ht="42" customHeight="1">
      <c r="A755" s="2" t="s">
        <v>1767</v>
      </c>
      <c r="B755" s="2" t="s">
        <v>1768</v>
      </c>
      <c r="C755" s="2" t="s">
        <v>26</v>
      </c>
      <c r="D755" s="2" t="s">
        <v>27</v>
      </c>
      <c r="E755" s="5">
        <v>-28738</v>
      </c>
      <c r="F755" s="3" t="s">
        <v>359</v>
      </c>
      <c r="G755" s="3" t="s">
        <v>88</v>
      </c>
      <c r="H755" s="2" t="s">
        <v>21</v>
      </c>
      <c r="I755" s="2" t="s">
        <v>1769</v>
      </c>
      <c r="J755" s="3" t="str">
        <f>HYPERLINK("https://www.boe.es/gazeta/dias/1821/04/25/pdfs/GMD-1821-117.pdf#page=4","Abrir facsímil")</f>
        <v>Abrir facsímil</v>
      </c>
      <c r="K755" s="3" t="s">
        <v>23</v>
      </c>
    </row>
    <row r="756" spans="1:11" ht="42" customHeight="1">
      <c r="A756" s="2" t="s">
        <v>1770</v>
      </c>
      <c r="B756" s="2" t="s">
        <v>1771</v>
      </c>
      <c r="C756" s="2" t="s">
        <v>26</v>
      </c>
      <c r="D756" s="2" t="s">
        <v>27</v>
      </c>
      <c r="E756" s="5">
        <v>-28547</v>
      </c>
      <c r="F756" s="3" t="s">
        <v>247</v>
      </c>
      <c r="G756" s="3" t="s">
        <v>29</v>
      </c>
      <c r="H756" s="2" t="s">
        <v>21</v>
      </c>
      <c r="I756" s="2" t="s">
        <v>1772</v>
      </c>
      <c r="J756" s="3" t="str">
        <f>HYPERLINK("https://www.boe.es/gazeta/dias/1821/11/02/pdfs/GMD-1821-312.pdf#page=6","Abrir facsímil")</f>
        <v>Abrir facsímil</v>
      </c>
      <c r="K756" s="3" t="s">
        <v>23</v>
      </c>
    </row>
    <row r="757" spans="1:11" ht="42" customHeight="1">
      <c r="A757" s="2" t="s">
        <v>1773</v>
      </c>
      <c r="B757" s="2" t="s">
        <v>1774</v>
      </c>
      <c r="C757" s="2" t="s">
        <v>40</v>
      </c>
      <c r="D757" s="2" t="s">
        <v>41</v>
      </c>
      <c r="E757" s="5">
        <v>-28592</v>
      </c>
      <c r="F757" s="3" t="s">
        <v>518</v>
      </c>
      <c r="G757" s="3" t="s">
        <v>88</v>
      </c>
      <c r="H757" s="2" t="s">
        <v>21</v>
      </c>
      <c r="I757" s="2" t="s">
        <v>1775</v>
      </c>
      <c r="J757" s="3" t="str">
        <f>HYPERLINK("https://www.boe.es/gazeta/dias/1821/09/18/pdfs/GMD-1821-266.pdf#page=4","Abrir facsímil")</f>
        <v>Abrir facsímil</v>
      </c>
      <c r="K757" s="3" t="s">
        <v>23</v>
      </c>
    </row>
    <row r="758" spans="1:11" ht="42" customHeight="1">
      <c r="A758" s="2" t="s">
        <v>1776</v>
      </c>
      <c r="B758" s="2" t="s">
        <v>1777</v>
      </c>
      <c r="C758" s="2" t="s">
        <v>40</v>
      </c>
      <c r="D758" s="2" t="s">
        <v>41</v>
      </c>
      <c r="E758" s="5">
        <v>-28512</v>
      </c>
      <c r="F758" s="3" t="s">
        <v>66</v>
      </c>
      <c r="G758" s="3" t="s">
        <v>43</v>
      </c>
      <c r="H758" s="2" t="s">
        <v>21</v>
      </c>
      <c r="I758" s="2" t="s">
        <v>1778</v>
      </c>
      <c r="J758" s="3" t="str">
        <f>HYPERLINK("https://www.boe.es/gazeta/dias/1821/12/07/pdfs/GMD-1821-349.pdf#page=1","Abrir facsímil")</f>
        <v>Abrir facsímil</v>
      </c>
      <c r="K758" s="3" t="s">
        <v>23</v>
      </c>
    </row>
    <row r="759" spans="1:11" ht="42" customHeight="1">
      <c r="A759" s="2" t="s">
        <v>1779</v>
      </c>
      <c r="B759" s="2" t="s">
        <v>1780</v>
      </c>
      <c r="C759" s="2" t="s">
        <v>40</v>
      </c>
      <c r="D759" s="2" t="s">
        <v>41</v>
      </c>
      <c r="E759" s="5">
        <v>-28834</v>
      </c>
      <c r="F759" s="3" t="s">
        <v>369</v>
      </c>
      <c r="G759" s="3" t="s">
        <v>20</v>
      </c>
      <c r="H759" s="2" t="s">
        <v>21</v>
      </c>
      <c r="I759" s="2" t="s">
        <v>1781</v>
      </c>
      <c r="J759" s="3" t="str">
        <f>HYPERLINK("https://www.boe.es/gazeta/dias/1821/01/19/pdfs/GGB-1821-19.pdf#page=3","Abrir facsímil")</f>
        <v>Abrir facsímil</v>
      </c>
      <c r="K759" s="3" t="s">
        <v>23</v>
      </c>
    </row>
    <row r="760" spans="1:11" ht="42" customHeight="1">
      <c r="A760" s="2" t="s">
        <v>1782</v>
      </c>
      <c r="B760" s="2" t="s">
        <v>1783</v>
      </c>
      <c r="C760" s="2" t="s">
        <v>17</v>
      </c>
      <c r="D760" s="2" t="s">
        <v>18</v>
      </c>
      <c r="E760" s="5">
        <v>-28721</v>
      </c>
      <c r="F760" s="3" t="s">
        <v>92</v>
      </c>
      <c r="G760" s="3" t="s">
        <v>52</v>
      </c>
      <c r="H760" s="2" t="s">
        <v>21</v>
      </c>
      <c r="I760" s="2" t="s">
        <v>1784</v>
      </c>
      <c r="J760" s="3" t="str">
        <f>HYPERLINK("https://www.boe.es/gazeta/dias/1821/05/12/pdfs/GMD-1821-134.pdf#page=2","Abrir facsímil")</f>
        <v>Abrir facsímil</v>
      </c>
      <c r="K760" s="3" t="s">
        <v>23</v>
      </c>
    </row>
    <row r="761" spans="1:11" ht="42" customHeight="1">
      <c r="A761" s="2" t="s">
        <v>1785</v>
      </c>
      <c r="B761" s="2" t="s">
        <v>1786</v>
      </c>
      <c r="C761" s="2" t="s">
        <v>40</v>
      </c>
      <c r="D761" s="2" t="s">
        <v>41</v>
      </c>
      <c r="E761" s="5">
        <v>-28771</v>
      </c>
      <c r="F761" s="3" t="s">
        <v>110</v>
      </c>
      <c r="G761" s="3" t="s">
        <v>20</v>
      </c>
      <c r="H761" s="2" t="s">
        <v>21</v>
      </c>
      <c r="I761" s="2" t="s">
        <v>1787</v>
      </c>
      <c r="J761" s="3" t="str">
        <f>HYPERLINK("https://www.boe.es/gazeta/dias/1821/03/23/pdfs/GMD-1821-83.pdf#page=3","Abrir facsímil")</f>
        <v>Abrir facsímil</v>
      </c>
      <c r="K761" s="3" t="s">
        <v>23</v>
      </c>
    </row>
    <row r="762" spans="1:11" ht="42" customHeight="1">
      <c r="A762" s="2" t="s">
        <v>1788</v>
      </c>
      <c r="B762" s="2" t="s">
        <v>1789</v>
      </c>
      <c r="C762" s="2" t="s">
        <v>40</v>
      </c>
      <c r="D762" s="2" t="s">
        <v>41</v>
      </c>
      <c r="E762" s="5">
        <v>-28511</v>
      </c>
      <c r="F762" s="3" t="s">
        <v>340</v>
      </c>
      <c r="G762" s="3" t="s">
        <v>52</v>
      </c>
      <c r="H762" s="2" t="s">
        <v>21</v>
      </c>
      <c r="I762" s="2" t="s">
        <v>1790</v>
      </c>
      <c r="J762" s="3" t="str">
        <f>HYPERLINK("https://www.boe.es/gazeta/dias/1821/12/08/pdfs/GMD-1821-350.pdf#page=2","Abrir facsímil")</f>
        <v>Abrir facsímil</v>
      </c>
      <c r="K762" s="3" t="s">
        <v>23</v>
      </c>
    </row>
    <row r="763" spans="1:11" ht="42" customHeight="1">
      <c r="A763" s="2" t="s">
        <v>1791</v>
      </c>
      <c r="B763" s="2" t="s">
        <v>1792</v>
      </c>
      <c r="C763" s="2" t="s">
        <v>279</v>
      </c>
      <c r="D763" s="2" t="s">
        <v>27</v>
      </c>
      <c r="E763" s="5">
        <v>-28715</v>
      </c>
      <c r="F763" s="3" t="s">
        <v>1046</v>
      </c>
      <c r="G763" s="3" t="s">
        <v>43</v>
      </c>
      <c r="H763" s="2" t="s">
        <v>21</v>
      </c>
      <c r="I763" s="2" t="s">
        <v>1793</v>
      </c>
      <c r="J763" s="3" t="str">
        <f>HYPERLINK("https://www.boe.es/gazeta/dias/1821/05/18/pdfs/GMD-1821-140.pdf#page=1","Abrir facsímil")</f>
        <v>Abrir facsímil</v>
      </c>
      <c r="K763" s="3" t="s">
        <v>23</v>
      </c>
    </row>
    <row r="764" spans="1:11" ht="42" customHeight="1">
      <c r="A764" s="2" t="s">
        <v>1794</v>
      </c>
      <c r="B764" s="2" t="s">
        <v>1795</v>
      </c>
      <c r="C764" s="2" t="s">
        <v>17</v>
      </c>
      <c r="D764" s="2" t="s">
        <v>18</v>
      </c>
      <c r="E764" s="5">
        <v>-28791</v>
      </c>
      <c r="F764" s="3" t="s">
        <v>47</v>
      </c>
      <c r="G764" s="3" t="s">
        <v>43</v>
      </c>
      <c r="H764" s="2" t="s">
        <v>21</v>
      </c>
      <c r="I764" s="2" t="s">
        <v>1796</v>
      </c>
      <c r="J764" s="3" t="str">
        <f>HYPERLINK("https://www.boe.es/gazeta/dias/1821/03/03/pdfs/GGB-1821-62.pdf#page=1","Abrir facsímil")</f>
        <v>Abrir facsímil</v>
      </c>
      <c r="K764" s="3" t="s">
        <v>23</v>
      </c>
    </row>
    <row r="765" spans="1:11" ht="42" customHeight="1">
      <c r="A765" s="2" t="s">
        <v>1797</v>
      </c>
      <c r="B765" s="2" t="s">
        <v>1798</v>
      </c>
      <c r="C765" s="2" t="s">
        <v>17</v>
      </c>
      <c r="D765" s="2" t="s">
        <v>18</v>
      </c>
      <c r="E765" s="5">
        <v>-28606</v>
      </c>
      <c r="F765" s="3" t="s">
        <v>1799</v>
      </c>
      <c r="G765" s="3" t="s">
        <v>88</v>
      </c>
      <c r="H765" s="2" t="s">
        <v>21</v>
      </c>
      <c r="I765" s="2" t="s">
        <v>1800</v>
      </c>
      <c r="J765" s="3" t="str">
        <f>HYPERLINK("https://www.boe.es/gazeta/dias/1821/09/04/pdfs/GMD-1821-252.pdf#page=4","Abrir facsímil")</f>
        <v>Abrir facsímil</v>
      </c>
      <c r="K765" s="3" t="s">
        <v>23</v>
      </c>
    </row>
    <row r="766" spans="1:11" ht="42" customHeight="1">
      <c r="A766" s="2" t="s">
        <v>1801</v>
      </c>
      <c r="B766" s="2" t="s">
        <v>1802</v>
      </c>
      <c r="C766" s="2" t="s">
        <v>26</v>
      </c>
      <c r="D766" s="2" t="s">
        <v>27</v>
      </c>
      <c r="E766" s="5">
        <v>-28667</v>
      </c>
      <c r="F766" s="3" t="s">
        <v>107</v>
      </c>
      <c r="G766" s="3" t="s">
        <v>52</v>
      </c>
      <c r="H766" s="2" t="s">
        <v>21</v>
      </c>
      <c r="I766" s="2" t="s">
        <v>1803</v>
      </c>
      <c r="J766" s="3" t="str">
        <f>HYPERLINK("https://www.boe.es/gazeta/dias/1821/07/05/pdfs/GMD-1821-189.pdf#page=2","Abrir facsímil")</f>
        <v>Abrir facsímil</v>
      </c>
      <c r="K766" s="3" t="s">
        <v>23</v>
      </c>
    </row>
    <row r="767" spans="1:11" ht="42" customHeight="1">
      <c r="A767" s="2" t="s">
        <v>1804</v>
      </c>
      <c r="B767" s="2" t="s">
        <v>1805</v>
      </c>
      <c r="C767" s="2" t="s">
        <v>70</v>
      </c>
      <c r="D767" s="2" t="s">
        <v>27</v>
      </c>
      <c r="E767" s="5">
        <v>-28666</v>
      </c>
      <c r="F767" s="3" t="s">
        <v>1263</v>
      </c>
      <c r="G767" s="3" t="s">
        <v>88</v>
      </c>
      <c r="H767" s="2" t="s">
        <v>21</v>
      </c>
      <c r="I767" s="2" t="s">
        <v>1806</v>
      </c>
      <c r="J767" s="3" t="str">
        <f>HYPERLINK("https://www.boe.es/gazeta/dias/1821/07/06/pdfs/GMD-1821-190.pdf#page=4","Abrir facsímil")</f>
        <v>Abrir facsímil</v>
      </c>
      <c r="K767" s="3" t="s">
        <v>23</v>
      </c>
    </row>
    <row r="768" spans="1:11" ht="42" customHeight="1">
      <c r="A768" s="2" t="s">
        <v>1807</v>
      </c>
      <c r="B768" s="2" t="s">
        <v>1808</v>
      </c>
      <c r="C768" s="2" t="s">
        <v>279</v>
      </c>
      <c r="D768" s="2" t="s">
        <v>27</v>
      </c>
      <c r="E768" s="5">
        <v>-28847</v>
      </c>
      <c r="F768" s="3" t="s">
        <v>288</v>
      </c>
      <c r="G768" s="3" t="s">
        <v>289</v>
      </c>
      <c r="H768" s="2" t="s">
        <v>30</v>
      </c>
      <c r="I768" s="2" t="s">
        <v>1809</v>
      </c>
      <c r="J768" s="3" t="str">
        <f>HYPERLINK("https://www.boe.es/gazeta/dias/1821/01/06/pdfs/GGB-1821-6.pdf#page=4","Abrir facsímil")</f>
        <v>Abrir facsímil</v>
      </c>
      <c r="K768" s="3" t="s">
        <v>32</v>
      </c>
    </row>
    <row r="769" spans="1:11" ht="42" customHeight="1">
      <c r="A769" s="2" t="s">
        <v>1810</v>
      </c>
      <c r="B769" s="2" t="s">
        <v>1811</v>
      </c>
      <c r="C769" s="2" t="s">
        <v>114</v>
      </c>
      <c r="D769" s="2" t="s">
        <v>27</v>
      </c>
      <c r="E769" s="5">
        <v>-28809</v>
      </c>
      <c r="F769" s="3" t="s">
        <v>1173</v>
      </c>
      <c r="G769" s="3" t="s">
        <v>88</v>
      </c>
      <c r="H769" s="2" t="s">
        <v>21</v>
      </c>
      <c r="I769" s="2" t="s">
        <v>1812</v>
      </c>
      <c r="J769" s="3" t="str">
        <f>HYPERLINK("https://www.boe.es/gazeta/dias/1821/02/13/pdfs/GGB-1821-44.pdf#page=4","Abrir facsímil")</f>
        <v>Abrir facsímil</v>
      </c>
      <c r="K769" s="3" t="s">
        <v>23</v>
      </c>
    </row>
    <row r="770" spans="1:11" ht="42" customHeight="1">
      <c r="A770" s="2" t="s">
        <v>1813</v>
      </c>
      <c r="B770" s="2" t="s">
        <v>1813</v>
      </c>
      <c r="C770" s="2" t="s">
        <v>174</v>
      </c>
      <c r="D770" s="2" t="s">
        <v>27</v>
      </c>
      <c r="E770" s="5">
        <v>-28527</v>
      </c>
      <c r="F770" s="3" t="s">
        <v>328</v>
      </c>
      <c r="G770" s="3" t="s">
        <v>43</v>
      </c>
      <c r="H770" s="2" t="s">
        <v>21</v>
      </c>
      <c r="I770" s="2" t="s">
        <v>1814</v>
      </c>
      <c r="J770" s="3" t="str">
        <f>HYPERLINK("https://www.boe.es/gazeta/dias/1821/11/22/pdfs/GMD-1821-333.pdf#page=1","Abrir facsímil")</f>
        <v>Abrir facsímil</v>
      </c>
      <c r="K770" s="3" t="s">
        <v>23</v>
      </c>
    </row>
    <row r="771" spans="1:11" ht="42" customHeight="1">
      <c r="A771" s="2" t="s">
        <v>1815</v>
      </c>
      <c r="B771" s="2" t="s">
        <v>1815</v>
      </c>
      <c r="C771" s="2" t="s">
        <v>17</v>
      </c>
      <c r="D771" s="2" t="s">
        <v>18</v>
      </c>
      <c r="E771" s="5">
        <v>-28788</v>
      </c>
      <c r="F771" s="3" t="s">
        <v>996</v>
      </c>
      <c r="G771" s="3" t="s">
        <v>52</v>
      </c>
      <c r="H771" s="2" t="s">
        <v>21</v>
      </c>
      <c r="I771" s="2" t="s">
        <v>1816</v>
      </c>
      <c r="J771" s="3" t="str">
        <f>HYPERLINK("https://www.boe.es/gazeta/dias/1821/03/06/pdfs/GGB-1821-65.pdf#page=2","Abrir facsímil")</f>
        <v>Abrir facsímil</v>
      </c>
      <c r="K771" s="3" t="s">
        <v>23</v>
      </c>
    </row>
    <row r="772" spans="1:11" ht="42" customHeight="1">
      <c r="A772" s="2" t="s">
        <v>1817</v>
      </c>
      <c r="B772" s="2" t="s">
        <v>1818</v>
      </c>
      <c r="C772" s="2" t="s">
        <v>26</v>
      </c>
      <c r="D772" s="2" t="s">
        <v>27</v>
      </c>
      <c r="E772" s="5">
        <v>-28654</v>
      </c>
      <c r="F772" s="3" t="s">
        <v>674</v>
      </c>
      <c r="G772" s="3" t="s">
        <v>88</v>
      </c>
      <c r="H772" s="2" t="s">
        <v>21</v>
      </c>
      <c r="I772" s="2" t="s">
        <v>1819</v>
      </c>
      <c r="J772" s="3" t="str">
        <f>HYPERLINK("https://www.boe.es/gazeta/dias/1821/07/18/pdfs/GMD-1821-203.pdf#page=4","Abrir facsímil")</f>
        <v>Abrir facsímil</v>
      </c>
      <c r="K772" s="3" t="s">
        <v>23</v>
      </c>
    </row>
    <row r="773" spans="1:11" ht="42" customHeight="1">
      <c r="A773" s="2" t="s">
        <v>1820</v>
      </c>
      <c r="B773" s="2" t="s">
        <v>1821</v>
      </c>
      <c r="C773" s="2" t="s">
        <v>17</v>
      </c>
      <c r="D773" s="2" t="s">
        <v>18</v>
      </c>
      <c r="E773" s="5">
        <v>-28739</v>
      </c>
      <c r="F773" s="3" t="s">
        <v>1024</v>
      </c>
      <c r="G773" s="3" t="s">
        <v>52</v>
      </c>
      <c r="H773" s="2" t="s">
        <v>21</v>
      </c>
      <c r="I773" s="2" t="s">
        <v>1822</v>
      </c>
      <c r="J773" s="3" t="str">
        <f>HYPERLINK("https://www.boe.es/gazeta/dias/1821/04/24/pdfs/GMD-1821-116.pdf#page=2","Abrir facsímil")</f>
        <v>Abrir facsímil</v>
      </c>
      <c r="K773" s="3" t="s">
        <v>23</v>
      </c>
    </row>
    <row r="774" spans="1:11" ht="42" customHeight="1">
      <c r="A774" s="2" t="s">
        <v>1823</v>
      </c>
      <c r="B774" s="2" t="s">
        <v>1824</v>
      </c>
      <c r="C774" s="2" t="s">
        <v>26</v>
      </c>
      <c r="D774" s="2" t="s">
        <v>27</v>
      </c>
      <c r="E774" s="5">
        <v>-28729</v>
      </c>
      <c r="F774" s="3" t="s">
        <v>838</v>
      </c>
      <c r="G774" s="3" t="s">
        <v>52</v>
      </c>
      <c r="H774" s="2" t="s">
        <v>21</v>
      </c>
      <c r="I774" s="2" t="s">
        <v>1825</v>
      </c>
      <c r="J774" s="3" t="str">
        <f>HYPERLINK("https://www.boe.es/gazeta/dias/1821/05/04/pdfs/GMD-1821-126.pdf#page=2","Abrir facsímil")</f>
        <v>Abrir facsímil</v>
      </c>
      <c r="K774" s="3" t="s">
        <v>23</v>
      </c>
    </row>
    <row r="775" spans="1:11" ht="42" customHeight="1">
      <c r="A775" s="2" t="s">
        <v>1826</v>
      </c>
      <c r="B775" s="2" t="s">
        <v>1827</v>
      </c>
      <c r="C775" s="2" t="s">
        <v>40</v>
      </c>
      <c r="D775" s="2" t="s">
        <v>41</v>
      </c>
      <c r="E775" s="5">
        <v>-28495</v>
      </c>
      <c r="F775" s="3" t="s">
        <v>227</v>
      </c>
      <c r="G775" s="3" t="s">
        <v>333</v>
      </c>
      <c r="H775" s="2" t="s">
        <v>30</v>
      </c>
      <c r="I775" s="2" t="s">
        <v>1828</v>
      </c>
      <c r="J775" s="3" t="str">
        <f>HYPERLINK("https://www.boe.es/gazeta/dias/1821/12/24/pdfs/GMD-1821-367.pdf#page=8","Abrir facsímil")</f>
        <v>Abrir facsímil</v>
      </c>
      <c r="K775" s="3" t="s">
        <v>32</v>
      </c>
    </row>
    <row r="776" spans="1:11" ht="42" customHeight="1">
      <c r="A776" s="2" t="s">
        <v>1829</v>
      </c>
      <c r="B776" s="2" t="s">
        <v>1829</v>
      </c>
      <c r="C776" s="2" t="s">
        <v>70</v>
      </c>
      <c r="D776" s="2" t="s">
        <v>27</v>
      </c>
      <c r="E776" s="5">
        <v>-28819</v>
      </c>
      <c r="F776" s="3" t="s">
        <v>1830</v>
      </c>
      <c r="G776" s="3" t="s">
        <v>88</v>
      </c>
      <c r="H776" s="2" t="s">
        <v>21</v>
      </c>
      <c r="I776" s="2" t="s">
        <v>1831</v>
      </c>
      <c r="J776" s="3" t="str">
        <f>HYPERLINK("https://www.boe.es/gazeta/dias/1821/02/03/pdfs/GGB-1821-34.pdf#page=4","Abrir facsímil")</f>
        <v>Abrir facsímil</v>
      </c>
      <c r="K776" s="3" t="s">
        <v>23</v>
      </c>
    </row>
    <row r="777" spans="1:11" ht="42" customHeight="1">
      <c r="A777" s="2" t="s">
        <v>1832</v>
      </c>
      <c r="B777" s="2" t="s">
        <v>1833</v>
      </c>
      <c r="C777" s="2" t="s">
        <v>17</v>
      </c>
      <c r="D777" s="2" t="s">
        <v>18</v>
      </c>
      <c r="E777" s="5">
        <v>-28841</v>
      </c>
      <c r="F777" s="3" t="s">
        <v>765</v>
      </c>
      <c r="G777" s="3" t="s">
        <v>88</v>
      </c>
      <c r="H777" s="2" t="s">
        <v>21</v>
      </c>
      <c r="I777" s="2" t="s">
        <v>1834</v>
      </c>
      <c r="J777" s="3" t="str">
        <f>HYPERLINK("https://www.boe.es/gazeta/dias/1821/01/12/pdfs/GGB-1821-12.pdf#page=4","Abrir facsímil")</f>
        <v>Abrir facsímil</v>
      </c>
      <c r="K777" s="3" t="s">
        <v>23</v>
      </c>
    </row>
    <row r="778" spans="1:11" ht="42" customHeight="1">
      <c r="A778" s="2" t="s">
        <v>1832</v>
      </c>
      <c r="B778" s="2" t="s">
        <v>1833</v>
      </c>
      <c r="C778" s="2" t="s">
        <v>17</v>
      </c>
      <c r="D778" s="2" t="s">
        <v>18</v>
      </c>
      <c r="E778" s="5">
        <v>-28825</v>
      </c>
      <c r="F778" s="3" t="s">
        <v>1199</v>
      </c>
      <c r="G778" s="3" t="s">
        <v>88</v>
      </c>
      <c r="H778" s="2" t="s">
        <v>21</v>
      </c>
      <c r="I778" s="2" t="s">
        <v>1835</v>
      </c>
      <c r="J778" s="3" t="str">
        <f>HYPERLINK("https://www.boe.es/gazeta/dias/1821/01/28/pdfs/GGB-1821-28.pdf#page=4","Abrir facsímil")</f>
        <v>Abrir facsímil</v>
      </c>
      <c r="K778" s="3" t="s">
        <v>23</v>
      </c>
    </row>
    <row r="779" spans="1:11" ht="42" customHeight="1">
      <c r="A779" s="2" t="s">
        <v>1832</v>
      </c>
      <c r="B779" s="2" t="s">
        <v>1833</v>
      </c>
      <c r="C779" s="2" t="s">
        <v>17</v>
      </c>
      <c r="D779" s="2" t="s">
        <v>18</v>
      </c>
      <c r="E779" s="5">
        <v>-28819</v>
      </c>
      <c r="F779" s="3" t="s">
        <v>1830</v>
      </c>
      <c r="G779" s="3" t="s">
        <v>88</v>
      </c>
      <c r="H779" s="2" t="s">
        <v>21</v>
      </c>
      <c r="I779" s="2" t="s">
        <v>1836</v>
      </c>
      <c r="J779" s="3" t="str">
        <f>HYPERLINK("https://www.boe.es/gazeta/dias/1821/02/03/pdfs/GGB-1821-34.pdf#page=4","Abrir facsímil")</f>
        <v>Abrir facsímil</v>
      </c>
      <c r="K779" s="3" t="s">
        <v>23</v>
      </c>
    </row>
    <row r="780" spans="1:11" ht="42" customHeight="1">
      <c r="A780" s="2" t="s">
        <v>1832</v>
      </c>
      <c r="B780" s="2" t="s">
        <v>1833</v>
      </c>
      <c r="C780" s="2" t="s">
        <v>40</v>
      </c>
      <c r="D780" s="2" t="s">
        <v>41</v>
      </c>
      <c r="E780" s="5">
        <v>-28782</v>
      </c>
      <c r="F780" s="3" t="s">
        <v>508</v>
      </c>
      <c r="G780" s="3" t="s">
        <v>88</v>
      </c>
      <c r="H780" s="2" t="s">
        <v>21</v>
      </c>
      <c r="I780" s="2" t="s">
        <v>1837</v>
      </c>
      <c r="J780" s="3" t="str">
        <f>HYPERLINK("https://www.boe.es/gazeta/dias/1821/03/12/pdfs/GMD-1821-71.pdf#page=4","Abrir facsímil")</f>
        <v>Abrir facsímil</v>
      </c>
      <c r="K780" s="3" t="s">
        <v>23</v>
      </c>
    </row>
    <row r="781" spans="1:11" ht="42" customHeight="1">
      <c r="A781" s="2" t="s">
        <v>1832</v>
      </c>
      <c r="B781" s="2" t="s">
        <v>1833</v>
      </c>
      <c r="C781" s="2" t="s">
        <v>40</v>
      </c>
      <c r="D781" s="2" t="s">
        <v>41</v>
      </c>
      <c r="E781" s="5">
        <v>-28755</v>
      </c>
      <c r="F781" s="3" t="s">
        <v>906</v>
      </c>
      <c r="G781" s="3" t="s">
        <v>907</v>
      </c>
      <c r="H781" s="2" t="s">
        <v>21</v>
      </c>
      <c r="I781" s="2" t="s">
        <v>1838</v>
      </c>
      <c r="J781" s="3" t="str">
        <f>HYPERLINK("https://www.boe.es/gazeta/dias/1821/04/08/pdfs/GMD-1821-100.pdf#page=4","Abrir facsímil")</f>
        <v>Abrir facsímil</v>
      </c>
      <c r="K781" s="3" t="s">
        <v>23</v>
      </c>
    </row>
    <row r="782" spans="1:11" ht="42" customHeight="1">
      <c r="A782" s="2" t="s">
        <v>1832</v>
      </c>
      <c r="B782" s="2" t="s">
        <v>1833</v>
      </c>
      <c r="C782" s="2" t="s">
        <v>40</v>
      </c>
      <c r="D782" s="2" t="s">
        <v>41</v>
      </c>
      <c r="E782" s="5">
        <v>-28750</v>
      </c>
      <c r="F782" s="3" t="s">
        <v>917</v>
      </c>
      <c r="G782" s="3" t="s">
        <v>88</v>
      </c>
      <c r="H782" s="2" t="s">
        <v>21</v>
      </c>
      <c r="I782" s="2" t="s">
        <v>1839</v>
      </c>
      <c r="J782" s="3" t="str">
        <f>HYPERLINK("https://www.boe.es/gazeta/dias/1821/04/13/pdfs/GMD-1821-105.pdf#page=4","Abrir facsímil")</f>
        <v>Abrir facsímil</v>
      </c>
      <c r="K782" s="3" t="s">
        <v>23</v>
      </c>
    </row>
    <row r="783" spans="1:11" ht="42" customHeight="1">
      <c r="A783" s="2" t="s">
        <v>1832</v>
      </c>
      <c r="B783" s="2" t="s">
        <v>1833</v>
      </c>
      <c r="C783" s="2" t="s">
        <v>17</v>
      </c>
      <c r="D783" s="2" t="s">
        <v>18</v>
      </c>
      <c r="E783" s="5">
        <v>-28746</v>
      </c>
      <c r="F783" s="3" t="s">
        <v>687</v>
      </c>
      <c r="G783" s="3" t="s">
        <v>333</v>
      </c>
      <c r="H783" s="2" t="s">
        <v>21</v>
      </c>
      <c r="I783" s="2" t="s">
        <v>1840</v>
      </c>
      <c r="J783" s="3" t="str">
        <f>HYPERLINK("https://www.boe.es/gazeta/dias/1821/04/17/pdfs/GMD-1821-109.pdf#page=8","Abrir facsímil")</f>
        <v>Abrir facsímil</v>
      </c>
      <c r="K783" s="3" t="s">
        <v>23</v>
      </c>
    </row>
    <row r="784" spans="1:11" ht="42" customHeight="1">
      <c r="A784" s="2" t="s">
        <v>1832</v>
      </c>
      <c r="B784" s="2" t="s">
        <v>1833</v>
      </c>
      <c r="C784" s="2" t="s">
        <v>17</v>
      </c>
      <c r="D784" s="2" t="s">
        <v>18</v>
      </c>
      <c r="E784" s="5">
        <v>-28741</v>
      </c>
      <c r="F784" s="3" t="s">
        <v>1841</v>
      </c>
      <c r="G784" s="3" t="s">
        <v>88</v>
      </c>
      <c r="H784" s="2" t="s">
        <v>21</v>
      </c>
      <c r="I784" s="2" t="s">
        <v>1842</v>
      </c>
      <c r="J784" s="3" t="str">
        <f>HYPERLINK("https://www.boe.es/gazeta/dias/1821/04/22/pdfs/GMD-1821-114.pdf#page=4","Abrir facsímil")</f>
        <v>Abrir facsímil</v>
      </c>
      <c r="K784" s="3" t="s">
        <v>23</v>
      </c>
    </row>
    <row r="785" spans="1:11" ht="42" customHeight="1">
      <c r="A785" s="2" t="s">
        <v>1832</v>
      </c>
      <c r="B785" s="2" t="s">
        <v>1833</v>
      </c>
      <c r="C785" s="2" t="s">
        <v>17</v>
      </c>
      <c r="D785" s="2" t="s">
        <v>18</v>
      </c>
      <c r="E785" s="5">
        <v>-28736</v>
      </c>
      <c r="F785" s="3" t="s">
        <v>464</v>
      </c>
      <c r="G785" s="3" t="s">
        <v>88</v>
      </c>
      <c r="H785" s="2" t="s">
        <v>21</v>
      </c>
      <c r="I785" s="2" t="s">
        <v>1843</v>
      </c>
      <c r="J785" s="3" t="str">
        <f>HYPERLINK("https://www.boe.es/gazeta/dias/1821/04/27/pdfs/GMD-1821-119.pdf#page=4","Abrir facsímil")</f>
        <v>Abrir facsímil</v>
      </c>
      <c r="K785" s="3" t="s">
        <v>23</v>
      </c>
    </row>
    <row r="786" spans="1:11" ht="42" customHeight="1">
      <c r="A786" s="2" t="s">
        <v>1832</v>
      </c>
      <c r="B786" s="2" t="s">
        <v>1833</v>
      </c>
      <c r="C786" s="2" t="s">
        <v>17</v>
      </c>
      <c r="D786" s="2" t="s">
        <v>18</v>
      </c>
      <c r="E786" s="5">
        <v>-28705</v>
      </c>
      <c r="F786" s="3" t="s">
        <v>1844</v>
      </c>
      <c r="G786" s="3" t="s">
        <v>333</v>
      </c>
      <c r="H786" s="2" t="s">
        <v>21</v>
      </c>
      <c r="I786" s="2" t="s">
        <v>1845</v>
      </c>
      <c r="J786" s="3" t="str">
        <f>HYPERLINK("https://www.boe.es/gazeta/dias/1821/05/28/pdfs/GMD-1821-150.pdf#page=8","Abrir facsímil")</f>
        <v>Abrir facsímil</v>
      </c>
      <c r="K786" s="3" t="s">
        <v>23</v>
      </c>
    </row>
    <row r="787" spans="1:11" ht="42" customHeight="1">
      <c r="A787" s="2" t="s">
        <v>1832</v>
      </c>
      <c r="B787" s="2" t="s">
        <v>1833</v>
      </c>
      <c r="C787" s="2" t="s">
        <v>35</v>
      </c>
      <c r="D787" s="2" t="s">
        <v>27</v>
      </c>
      <c r="E787" s="5">
        <v>-28693</v>
      </c>
      <c r="F787" s="3" t="s">
        <v>74</v>
      </c>
      <c r="G787" s="3" t="s">
        <v>1846</v>
      </c>
      <c r="H787" s="2" t="s">
        <v>21</v>
      </c>
      <c r="I787" s="2" t="s">
        <v>1847</v>
      </c>
      <c r="J787" s="3" t="str">
        <f>HYPERLINK("https://www.boe.es/gazeta/dias/1821/06/09/pdfs/GMD-1821-162.pdf#page=6","Abrir facsímil")</f>
        <v>Abrir facsímil</v>
      </c>
      <c r="K787" s="3" t="s">
        <v>23</v>
      </c>
    </row>
    <row r="788" spans="1:11" ht="42" customHeight="1">
      <c r="A788" s="2" t="s">
        <v>1832</v>
      </c>
      <c r="B788" s="2" t="s">
        <v>1833</v>
      </c>
      <c r="C788" s="2" t="s">
        <v>17</v>
      </c>
      <c r="D788" s="2" t="s">
        <v>18</v>
      </c>
      <c r="E788" s="5">
        <v>-28687</v>
      </c>
      <c r="F788" s="3" t="s">
        <v>851</v>
      </c>
      <c r="G788" s="3" t="s">
        <v>88</v>
      </c>
      <c r="H788" s="2" t="s">
        <v>21</v>
      </c>
      <c r="I788" s="2" t="s">
        <v>1848</v>
      </c>
      <c r="J788" s="3" t="str">
        <f>HYPERLINK("https://www.boe.es/gazeta/dias/1821/06/15/pdfs/GMD-1821-168.pdf#page=4","Abrir facsímil")</f>
        <v>Abrir facsímil</v>
      </c>
      <c r="K788" s="3" t="s">
        <v>23</v>
      </c>
    </row>
    <row r="789" spans="1:11" ht="42" customHeight="1">
      <c r="A789" s="2" t="s">
        <v>1832</v>
      </c>
      <c r="B789" s="2" t="s">
        <v>1833</v>
      </c>
      <c r="C789" s="2" t="s">
        <v>40</v>
      </c>
      <c r="D789" s="2" t="s">
        <v>41</v>
      </c>
      <c r="E789" s="5">
        <v>-28641</v>
      </c>
      <c r="F789" s="3" t="s">
        <v>398</v>
      </c>
      <c r="G789" s="3" t="s">
        <v>88</v>
      </c>
      <c r="H789" s="2" t="s">
        <v>21</v>
      </c>
      <c r="I789" s="2" t="s">
        <v>1849</v>
      </c>
      <c r="J789" s="3" t="str">
        <f>HYPERLINK("https://www.boe.es/gazeta/dias/1821/07/31/pdfs/GMD-1821-216.pdf#page=4","Abrir facsímil")</f>
        <v>Abrir facsímil</v>
      </c>
      <c r="K789" s="3" t="s">
        <v>23</v>
      </c>
    </row>
    <row r="790" spans="1:11" ht="42" customHeight="1">
      <c r="A790" s="2" t="s">
        <v>1832</v>
      </c>
      <c r="B790" s="2" t="s">
        <v>1833</v>
      </c>
      <c r="C790" s="2" t="s">
        <v>17</v>
      </c>
      <c r="D790" s="2" t="s">
        <v>18</v>
      </c>
      <c r="E790" s="5">
        <v>-28615</v>
      </c>
      <c r="F790" s="3" t="s">
        <v>427</v>
      </c>
      <c r="G790" s="3" t="s">
        <v>88</v>
      </c>
      <c r="H790" s="2" t="s">
        <v>21</v>
      </c>
      <c r="I790" s="2" t="s">
        <v>1850</v>
      </c>
      <c r="J790" s="3" t="str">
        <f>HYPERLINK("https://www.boe.es/gazeta/dias/1821/08/26/pdfs/GMD-1821-243.pdf#page=4","Abrir facsímil")</f>
        <v>Abrir facsímil</v>
      </c>
      <c r="K790" s="3" t="s">
        <v>23</v>
      </c>
    </row>
    <row r="791" spans="1:11" ht="42" customHeight="1">
      <c r="A791" s="2" t="s">
        <v>1851</v>
      </c>
      <c r="B791" s="2" t="s">
        <v>1852</v>
      </c>
      <c r="C791" s="2" t="s">
        <v>40</v>
      </c>
      <c r="D791" s="2" t="s">
        <v>41</v>
      </c>
      <c r="E791" s="5">
        <v>-28715</v>
      </c>
      <c r="F791" s="3" t="s">
        <v>1046</v>
      </c>
      <c r="G791" s="3" t="s">
        <v>88</v>
      </c>
      <c r="H791" s="2" t="s">
        <v>21</v>
      </c>
      <c r="I791" s="2" t="s">
        <v>1853</v>
      </c>
      <c r="J791" s="3" t="str">
        <f>HYPERLINK("https://www.boe.es/gazeta/dias/1821/05/18/pdfs/GMD-1821-140.pdf#page=4","Abrir facsímil")</f>
        <v>Abrir facsímil</v>
      </c>
      <c r="K791" s="3" t="s">
        <v>23</v>
      </c>
    </row>
    <row r="792" spans="1:11" ht="42" customHeight="1">
      <c r="A792" s="2" t="s">
        <v>1854</v>
      </c>
      <c r="B792" s="2" t="s">
        <v>1855</v>
      </c>
      <c r="C792" s="2" t="s">
        <v>26</v>
      </c>
      <c r="D792" s="2" t="s">
        <v>27</v>
      </c>
      <c r="E792" s="5">
        <v>-28510</v>
      </c>
      <c r="F792" s="3" t="s">
        <v>83</v>
      </c>
      <c r="G792" s="3" t="s">
        <v>52</v>
      </c>
      <c r="H792" s="2" t="s">
        <v>21</v>
      </c>
      <c r="I792" s="2" t="s">
        <v>1856</v>
      </c>
      <c r="J792" s="3" t="str">
        <f>HYPERLINK("https://www.boe.es/gazeta/dias/1821/12/09/pdfs/GMD-1821-351.pdf#page=2","Abrir facsímil")</f>
        <v>Abrir facsímil</v>
      </c>
      <c r="K792" s="3" t="s">
        <v>23</v>
      </c>
    </row>
    <row r="793" spans="1:11" ht="42" customHeight="1">
      <c r="A793" s="2" t="s">
        <v>1857</v>
      </c>
      <c r="B793" s="2" t="s">
        <v>1857</v>
      </c>
      <c r="C793" s="2" t="s">
        <v>17</v>
      </c>
      <c r="D793" s="2" t="s">
        <v>18</v>
      </c>
      <c r="E793" s="5">
        <v>-28788</v>
      </c>
      <c r="F793" s="3" t="s">
        <v>996</v>
      </c>
      <c r="G793" s="3" t="s">
        <v>52</v>
      </c>
      <c r="H793" s="2" t="s">
        <v>21</v>
      </c>
      <c r="I793" s="2" t="s">
        <v>1858</v>
      </c>
      <c r="J793" s="3" t="str">
        <f>HYPERLINK("https://www.boe.es/gazeta/dias/1821/03/06/pdfs/GGB-1821-65.pdf#page=2","Abrir facsímil")</f>
        <v>Abrir facsímil</v>
      </c>
      <c r="K793" s="3" t="s">
        <v>23</v>
      </c>
    </row>
    <row r="794" spans="1:11" ht="42" customHeight="1">
      <c r="A794" s="2" t="s">
        <v>1859</v>
      </c>
      <c r="B794" s="2" t="s">
        <v>1860</v>
      </c>
      <c r="C794" s="2" t="s">
        <v>26</v>
      </c>
      <c r="D794" s="2" t="s">
        <v>27</v>
      </c>
      <c r="E794" s="5">
        <v>-28824</v>
      </c>
      <c r="F794" s="3" t="s">
        <v>1227</v>
      </c>
      <c r="G794" s="3" t="s">
        <v>88</v>
      </c>
      <c r="H794" s="2" t="s">
        <v>21</v>
      </c>
      <c r="I794" s="2" t="s">
        <v>1861</v>
      </c>
      <c r="J794" s="3" t="str">
        <f>HYPERLINK("https://www.boe.es/gazeta/dias/1821/01/29/pdfs/GGB-1821-29.pdf#page=4","Abrir facsímil")</f>
        <v>Abrir facsímil</v>
      </c>
      <c r="K794" s="3" t="s">
        <v>23</v>
      </c>
    </row>
    <row r="795" spans="1:11" ht="42" customHeight="1">
      <c r="A795" s="2" t="s">
        <v>1862</v>
      </c>
      <c r="B795" s="2" t="s">
        <v>1863</v>
      </c>
      <c r="C795" s="2" t="s">
        <v>26</v>
      </c>
      <c r="D795" s="2" t="s">
        <v>27</v>
      </c>
      <c r="E795" s="5">
        <v>-28828</v>
      </c>
      <c r="F795" s="3" t="s">
        <v>1864</v>
      </c>
      <c r="G795" s="3" t="s">
        <v>88</v>
      </c>
      <c r="H795" s="2" t="s">
        <v>21</v>
      </c>
      <c r="I795" s="2" t="s">
        <v>1865</v>
      </c>
      <c r="J795" s="3" t="str">
        <f>HYPERLINK("https://www.boe.es/gazeta/dias/1821/01/25/pdfs/GGB-1821-25.pdf#page=4","Abrir facsímil")</f>
        <v>Abrir facsímil</v>
      </c>
      <c r="K795" s="3" t="s">
        <v>23</v>
      </c>
    </row>
    <row r="796" spans="1:11" ht="42" customHeight="1">
      <c r="A796" s="2" t="s">
        <v>1866</v>
      </c>
      <c r="B796" s="2" t="s">
        <v>1867</v>
      </c>
      <c r="C796" s="2" t="s">
        <v>40</v>
      </c>
      <c r="D796" s="2" t="s">
        <v>41</v>
      </c>
      <c r="E796" s="5">
        <v>-28833</v>
      </c>
      <c r="F796" s="3" t="s">
        <v>1868</v>
      </c>
      <c r="G796" s="3" t="s">
        <v>20</v>
      </c>
      <c r="H796" s="2" t="s">
        <v>21</v>
      </c>
      <c r="I796" s="2" t="s">
        <v>1869</v>
      </c>
      <c r="J796" s="3" t="str">
        <f>HYPERLINK("https://www.boe.es/gazeta/dias/1821/01/20/pdfs/GGB-1821-20.pdf#page=3","Abrir facsímil")</f>
        <v>Abrir facsímil</v>
      </c>
      <c r="K796" s="3" t="s">
        <v>23</v>
      </c>
    </row>
    <row r="797" spans="1:11" ht="42" customHeight="1">
      <c r="A797" s="2" t="s">
        <v>1870</v>
      </c>
      <c r="B797" s="2" t="s">
        <v>1871</v>
      </c>
      <c r="C797" s="2" t="s">
        <v>17</v>
      </c>
      <c r="D797" s="2" t="s">
        <v>18</v>
      </c>
      <c r="E797" s="5">
        <v>-28528</v>
      </c>
      <c r="F797" s="3" t="s">
        <v>1872</v>
      </c>
      <c r="G797" s="3" t="s">
        <v>52</v>
      </c>
      <c r="H797" s="2" t="s">
        <v>21</v>
      </c>
      <c r="I797" s="2" t="s">
        <v>1873</v>
      </c>
      <c r="J797" s="3" t="str">
        <f>HYPERLINK("https://www.boe.es/gazeta/dias/1821/11/21/pdfs/GMD-1821-332.pdf#page=2","Abrir facsímil")</f>
        <v>Abrir facsímil</v>
      </c>
      <c r="K797" s="3" t="s">
        <v>23</v>
      </c>
    </row>
    <row r="798" spans="1:11" ht="42" customHeight="1">
      <c r="A798" s="2" t="s">
        <v>1874</v>
      </c>
      <c r="B798" s="2" t="s">
        <v>1875</v>
      </c>
      <c r="C798" s="2" t="s">
        <v>35</v>
      </c>
      <c r="D798" s="2" t="s">
        <v>27</v>
      </c>
      <c r="E798" s="5">
        <v>-28791</v>
      </c>
      <c r="F798" s="3" t="s">
        <v>47</v>
      </c>
      <c r="G798" s="3" t="s">
        <v>88</v>
      </c>
      <c r="H798" s="2" t="s">
        <v>21</v>
      </c>
      <c r="I798" s="2" t="s">
        <v>1876</v>
      </c>
      <c r="J798" s="3" t="str">
        <f>HYPERLINK("https://www.boe.es/gazeta/dias/1821/03/03/pdfs/GGB-1821-62.pdf#page=4","Abrir facsímil")</f>
        <v>Abrir facsímil</v>
      </c>
      <c r="K798" s="3" t="s">
        <v>23</v>
      </c>
    </row>
    <row r="799" spans="1:11" ht="42" customHeight="1">
      <c r="A799" s="2" t="s">
        <v>1877</v>
      </c>
      <c r="B799" s="2" t="s">
        <v>1877</v>
      </c>
      <c r="C799" s="2" t="s">
        <v>35</v>
      </c>
      <c r="D799" s="2" t="s">
        <v>27</v>
      </c>
      <c r="E799" s="5">
        <v>-28684</v>
      </c>
      <c r="F799" s="3" t="s">
        <v>208</v>
      </c>
      <c r="G799" s="3" t="s">
        <v>20</v>
      </c>
      <c r="H799" s="2" t="s">
        <v>21</v>
      </c>
      <c r="I799" s="2" t="s">
        <v>1878</v>
      </c>
      <c r="J799" s="3" t="str">
        <f>HYPERLINK("https://www.boe.es/gazeta/dias/1821/06/18/pdfs/GMD-1821-171.pdf#page=3","Abrir facsímil")</f>
        <v>Abrir facsímil</v>
      </c>
      <c r="K799" s="3" t="s">
        <v>23</v>
      </c>
    </row>
    <row r="800" spans="1:11" ht="42" customHeight="1">
      <c r="A800" s="2" t="s">
        <v>1879</v>
      </c>
      <c r="B800" s="2" t="s">
        <v>1880</v>
      </c>
      <c r="C800" s="2" t="s">
        <v>17</v>
      </c>
      <c r="D800" s="2" t="s">
        <v>18</v>
      </c>
      <c r="E800" s="5">
        <v>-28712</v>
      </c>
      <c r="F800" s="3" t="s">
        <v>695</v>
      </c>
      <c r="G800" s="3" t="s">
        <v>52</v>
      </c>
      <c r="H800" s="2" t="s">
        <v>21</v>
      </c>
      <c r="I800" s="2" t="s">
        <v>1881</v>
      </c>
      <c r="J800" s="3" t="str">
        <f>HYPERLINK("https://www.boe.es/gazeta/dias/1821/05/21/pdfs/GMD-1821-143.pdf#page=2","Abrir facsímil")</f>
        <v>Abrir facsímil</v>
      </c>
      <c r="K800" s="3" t="s">
        <v>23</v>
      </c>
    </row>
    <row r="801" spans="1:11" ht="42" customHeight="1">
      <c r="A801" s="2" t="s">
        <v>1882</v>
      </c>
      <c r="B801" s="2" t="s">
        <v>1882</v>
      </c>
      <c r="C801" s="2" t="s">
        <v>26</v>
      </c>
      <c r="D801" s="2" t="s">
        <v>27</v>
      </c>
      <c r="E801" s="5">
        <v>-28774</v>
      </c>
      <c r="F801" s="3" t="s">
        <v>1221</v>
      </c>
      <c r="G801" s="3" t="s">
        <v>29</v>
      </c>
      <c r="H801" s="2" t="s">
        <v>21</v>
      </c>
      <c r="I801" s="2" t="s">
        <v>1883</v>
      </c>
      <c r="J801" s="3" t="str">
        <f>HYPERLINK("https://www.boe.es/gazeta/dias/1821/03/20/pdfs/GMD-1821-79.pdf#page=6","Abrir facsímil")</f>
        <v>Abrir facsímil</v>
      </c>
      <c r="K801" s="3" t="s">
        <v>23</v>
      </c>
    </row>
    <row r="802" spans="1:11" ht="42" customHeight="1">
      <c r="A802" s="2" t="s">
        <v>1884</v>
      </c>
      <c r="B802" s="2" t="s">
        <v>1885</v>
      </c>
      <c r="C802" s="2" t="s">
        <v>26</v>
      </c>
      <c r="D802" s="2" t="s">
        <v>27</v>
      </c>
      <c r="E802" s="5">
        <v>-28842</v>
      </c>
      <c r="F802" s="3" t="s">
        <v>660</v>
      </c>
      <c r="G802" s="3" t="s">
        <v>88</v>
      </c>
      <c r="H802" s="2" t="s">
        <v>21</v>
      </c>
      <c r="I802" s="2" t="s">
        <v>1886</v>
      </c>
      <c r="J802" s="3" t="str">
        <f>HYPERLINK("https://www.boe.es/gazeta/dias/1821/01/11/pdfs/GGB-1821-11.pdf#page=4","Abrir facsímil")</f>
        <v>Abrir facsímil</v>
      </c>
      <c r="K802" s="3" t="s">
        <v>23</v>
      </c>
    </row>
    <row r="803" spans="1:11" ht="42" customHeight="1">
      <c r="A803" s="2" t="s">
        <v>1887</v>
      </c>
      <c r="B803" s="2" t="s">
        <v>1888</v>
      </c>
      <c r="C803" s="2" t="s">
        <v>17</v>
      </c>
      <c r="D803" s="2" t="s">
        <v>18</v>
      </c>
      <c r="E803" s="5">
        <v>-28832</v>
      </c>
      <c r="F803" s="3" t="s">
        <v>353</v>
      </c>
      <c r="G803" s="3" t="s">
        <v>29</v>
      </c>
      <c r="H803" s="2" t="s">
        <v>21</v>
      </c>
      <c r="I803" s="2" t="s">
        <v>1889</v>
      </c>
      <c r="J803" s="3" t="str">
        <f>HYPERLINK("https://www.boe.es/gazeta/dias/1821/01/21/pdfs/GGB-1821-21.pdf#page=6","Abrir facsímil")</f>
        <v>Abrir facsímil</v>
      </c>
      <c r="K803" s="3" t="s">
        <v>23</v>
      </c>
    </row>
    <row r="804" spans="1:11" ht="42" customHeight="1">
      <c r="A804" s="2" t="s">
        <v>1887</v>
      </c>
      <c r="B804" s="2" t="s">
        <v>1888</v>
      </c>
      <c r="C804" s="2" t="s">
        <v>40</v>
      </c>
      <c r="D804" s="2" t="s">
        <v>41</v>
      </c>
      <c r="E804" s="5">
        <v>-28823</v>
      </c>
      <c r="F804" s="3" t="s">
        <v>1890</v>
      </c>
      <c r="G804" s="3" t="s">
        <v>1891</v>
      </c>
      <c r="H804" s="2" t="s">
        <v>21</v>
      </c>
      <c r="I804" s="2" t="s">
        <v>1892</v>
      </c>
      <c r="J804" s="3" t="str">
        <f>HYPERLINK("https://www.boe.es/gazeta/dias/1821/01/30/pdfs/GGB-1821-30.pdf#page=4","Abrir facsímil")</f>
        <v>Abrir facsímil</v>
      </c>
      <c r="K804" s="3" t="s">
        <v>23</v>
      </c>
    </row>
    <row r="805" spans="1:11" ht="42" customHeight="1">
      <c r="A805" s="2" t="s">
        <v>1887</v>
      </c>
      <c r="B805" s="2" t="s">
        <v>1888</v>
      </c>
      <c r="C805" s="2" t="s">
        <v>17</v>
      </c>
      <c r="D805" s="2" t="s">
        <v>18</v>
      </c>
      <c r="E805" s="5">
        <v>-28727</v>
      </c>
      <c r="F805" s="3" t="s">
        <v>200</v>
      </c>
      <c r="G805" s="3" t="s">
        <v>88</v>
      </c>
      <c r="H805" s="2" t="s">
        <v>21</v>
      </c>
      <c r="I805" s="2" t="s">
        <v>1893</v>
      </c>
      <c r="J805" s="3" t="str">
        <f>HYPERLINK("https://www.boe.es/gazeta/dias/1821/05/06/pdfs/GMD-1821-128.pdf#page=4","Abrir facsímil")</f>
        <v>Abrir facsímil</v>
      </c>
      <c r="K805" s="3" t="s">
        <v>23</v>
      </c>
    </row>
    <row r="806" spans="1:11" ht="42" customHeight="1">
      <c r="A806" s="2" t="s">
        <v>1894</v>
      </c>
      <c r="B806" s="2" t="s">
        <v>1895</v>
      </c>
      <c r="C806" s="2" t="s">
        <v>17</v>
      </c>
      <c r="D806" s="2" t="s">
        <v>18</v>
      </c>
      <c r="E806" s="5">
        <v>-28535</v>
      </c>
      <c r="F806" s="3" t="s">
        <v>96</v>
      </c>
      <c r="G806" s="3" t="s">
        <v>29</v>
      </c>
      <c r="H806" s="2" t="s">
        <v>21</v>
      </c>
      <c r="I806" s="2" t="s">
        <v>1896</v>
      </c>
      <c r="J806" s="3" t="str">
        <f>HYPERLINK("https://www.boe.es/gazeta/dias/1821/11/14/pdfs/GMD-1821-325.pdf#page=6","Abrir facsímil")</f>
        <v>Abrir facsímil</v>
      </c>
      <c r="K806" s="3" t="s">
        <v>23</v>
      </c>
    </row>
    <row r="807" spans="1:11" ht="42" customHeight="1">
      <c r="A807" s="2" t="s">
        <v>1897</v>
      </c>
      <c r="B807" s="2" t="s">
        <v>1898</v>
      </c>
      <c r="C807" s="2" t="s">
        <v>17</v>
      </c>
      <c r="D807" s="2" t="s">
        <v>18</v>
      </c>
      <c r="E807" s="5">
        <v>-28531</v>
      </c>
      <c r="F807" s="3" t="s">
        <v>365</v>
      </c>
      <c r="G807" s="3" t="s">
        <v>20</v>
      </c>
      <c r="H807" s="2" t="s">
        <v>21</v>
      </c>
      <c r="I807" s="2" t="s">
        <v>1899</v>
      </c>
      <c r="J807" s="3" t="str">
        <f>HYPERLINK("https://www.boe.es/gazeta/dias/1821/11/18/pdfs/GMD-1821-329.pdf#page=3","Abrir facsímil")</f>
        <v>Abrir facsímil</v>
      </c>
      <c r="K807" s="3" t="s">
        <v>23</v>
      </c>
    </row>
    <row r="808" spans="1:11" ht="42" customHeight="1">
      <c r="A808" s="2" t="s">
        <v>1900</v>
      </c>
      <c r="B808" s="2" t="s">
        <v>1901</v>
      </c>
      <c r="C808" s="2" t="s">
        <v>17</v>
      </c>
      <c r="D808" s="2" t="s">
        <v>18</v>
      </c>
      <c r="E808" s="5">
        <v>-28612</v>
      </c>
      <c r="F808" s="3" t="s">
        <v>1902</v>
      </c>
      <c r="G808" s="3" t="s">
        <v>20</v>
      </c>
      <c r="H808" s="2" t="s">
        <v>21</v>
      </c>
      <c r="I808" s="2" t="s">
        <v>1903</v>
      </c>
      <c r="J808" s="3" t="str">
        <f>HYPERLINK("https://www.boe.es/gazeta/dias/1821/08/29/pdfs/GMD-1821-246.pdf#page=3","Abrir facsímil")</f>
        <v>Abrir facsímil</v>
      </c>
      <c r="K808" s="3" t="s">
        <v>23</v>
      </c>
    </row>
    <row r="809" spans="1:11" ht="42" customHeight="1">
      <c r="A809" s="2" t="s">
        <v>1904</v>
      </c>
      <c r="B809" s="2" t="s">
        <v>1905</v>
      </c>
      <c r="C809" s="2" t="s">
        <v>40</v>
      </c>
      <c r="D809" s="2" t="s">
        <v>41</v>
      </c>
      <c r="E809" s="5">
        <v>-28667</v>
      </c>
      <c r="F809" s="3" t="s">
        <v>107</v>
      </c>
      <c r="G809" s="3" t="s">
        <v>52</v>
      </c>
      <c r="H809" s="2" t="s">
        <v>21</v>
      </c>
      <c r="I809" s="2" t="s">
        <v>1906</v>
      </c>
      <c r="J809" s="3" t="str">
        <f>HYPERLINK("https://www.boe.es/gazeta/dias/1821/07/05/pdfs/GMD-1821-189.pdf#page=2","Abrir facsímil")</f>
        <v>Abrir facsímil</v>
      </c>
      <c r="K809" s="3" t="s">
        <v>23</v>
      </c>
    </row>
    <row r="810" spans="1:11" ht="42" customHeight="1">
      <c r="A810" s="2" t="s">
        <v>1907</v>
      </c>
      <c r="B810" s="2" t="s">
        <v>1908</v>
      </c>
      <c r="C810" s="2" t="s">
        <v>114</v>
      </c>
      <c r="D810" s="2" t="s">
        <v>27</v>
      </c>
      <c r="E810" s="5">
        <v>-28495</v>
      </c>
      <c r="F810" s="3" t="s">
        <v>227</v>
      </c>
      <c r="G810" s="3" t="s">
        <v>333</v>
      </c>
      <c r="H810" s="2" t="s">
        <v>21</v>
      </c>
      <c r="I810" s="2" t="s">
        <v>1909</v>
      </c>
      <c r="J810" s="3" t="str">
        <f>HYPERLINK("https://www.boe.es/gazeta/dias/1821/12/24/pdfs/GMD-1821-367.pdf#page=8","Abrir facsímil")</f>
        <v>Abrir facsímil</v>
      </c>
      <c r="K810" s="3" t="s">
        <v>23</v>
      </c>
    </row>
    <row r="811" spans="1:11" ht="42" customHeight="1">
      <c r="A811" s="2" t="s">
        <v>1910</v>
      </c>
      <c r="B811" s="2" t="s">
        <v>1911</v>
      </c>
      <c r="C811" s="2" t="s">
        <v>40</v>
      </c>
      <c r="D811" s="2" t="s">
        <v>41</v>
      </c>
      <c r="E811" s="5">
        <v>-28616</v>
      </c>
      <c r="F811" s="3" t="s">
        <v>1912</v>
      </c>
      <c r="G811" s="3" t="s">
        <v>1913</v>
      </c>
      <c r="H811" s="2" t="s">
        <v>21</v>
      </c>
      <c r="I811" s="2" t="s">
        <v>1914</v>
      </c>
      <c r="J811" s="3" t="str">
        <f>HYPERLINK("https://www.boe.es/gazeta/dias/1821/08/25/pdfs/GMD-1821-242.pdf#page=3","Abrir facsímil")</f>
        <v>Abrir facsímil</v>
      </c>
      <c r="K811" s="3" t="s">
        <v>23</v>
      </c>
    </row>
    <row r="812" spans="1:11" ht="42" customHeight="1">
      <c r="A812" s="2" t="s">
        <v>1915</v>
      </c>
      <c r="B812" s="2" t="s">
        <v>1916</v>
      </c>
      <c r="C812" s="2" t="s">
        <v>26</v>
      </c>
      <c r="D812" s="2" t="s">
        <v>27</v>
      </c>
      <c r="E812" s="5">
        <v>-28651</v>
      </c>
      <c r="F812" s="3" t="s">
        <v>1518</v>
      </c>
      <c r="G812" s="3" t="s">
        <v>1917</v>
      </c>
      <c r="H812" s="2" t="s">
        <v>30</v>
      </c>
      <c r="I812" s="2" t="s">
        <v>1918</v>
      </c>
      <c r="J812" s="3" t="str">
        <f>HYPERLINK("https://www.boe.es/gazeta/dias/1821/07/21/pdfs/GMD-1821-206.pdf#page=3","Abrir facsímil")</f>
        <v>Abrir facsímil</v>
      </c>
      <c r="K812" s="3" t="s">
        <v>32</v>
      </c>
    </row>
    <row r="813" spans="1:11" ht="42" customHeight="1">
      <c r="A813" s="2" t="s">
        <v>1919</v>
      </c>
      <c r="B813" s="2" t="s">
        <v>1919</v>
      </c>
      <c r="C813" s="2" t="s">
        <v>40</v>
      </c>
      <c r="D813" s="2" t="s">
        <v>41</v>
      </c>
      <c r="E813" s="5">
        <v>-28690</v>
      </c>
      <c r="F813" s="3" t="s">
        <v>846</v>
      </c>
      <c r="G813" s="3" t="s">
        <v>20</v>
      </c>
      <c r="H813" s="2" t="s">
        <v>21</v>
      </c>
      <c r="I813" s="2" t="s">
        <v>1920</v>
      </c>
      <c r="J813" s="3" t="str">
        <f>HYPERLINK("https://www.boe.es/gazeta/dias/1821/06/12/pdfs/GMD-1821-165.pdf#page=3","Abrir facsímil")</f>
        <v>Abrir facsímil</v>
      </c>
      <c r="K813" s="3" t="s">
        <v>23</v>
      </c>
    </row>
    <row r="814" spans="1:11" ht="42" customHeight="1">
      <c r="A814" s="2" t="s">
        <v>1921</v>
      </c>
      <c r="B814" s="2" t="s">
        <v>1922</v>
      </c>
      <c r="C814" s="2" t="s">
        <v>17</v>
      </c>
      <c r="D814" s="2" t="s">
        <v>18</v>
      </c>
      <c r="E814" s="5">
        <v>-28673</v>
      </c>
      <c r="F814" s="3" t="s">
        <v>1069</v>
      </c>
      <c r="G814" s="3" t="s">
        <v>52</v>
      </c>
      <c r="H814" s="2" t="s">
        <v>21</v>
      </c>
      <c r="I814" s="2" t="s">
        <v>1923</v>
      </c>
      <c r="J814" s="3" t="str">
        <f>HYPERLINK("https://www.boe.es/gazeta/dias/1821/06/29/pdfs/GMD-1821-182.pdf#page=2","Abrir facsímil")</f>
        <v>Abrir facsímil</v>
      </c>
      <c r="K814" s="3" t="s">
        <v>23</v>
      </c>
    </row>
    <row r="815" spans="1:11" ht="42" customHeight="1">
      <c r="A815" s="2" t="s">
        <v>1921</v>
      </c>
      <c r="B815" s="2" t="s">
        <v>1922</v>
      </c>
      <c r="C815" s="2" t="s">
        <v>17</v>
      </c>
      <c r="D815" s="2" t="s">
        <v>18</v>
      </c>
      <c r="E815" s="5">
        <v>-28576</v>
      </c>
      <c r="F815" s="3" t="s">
        <v>1924</v>
      </c>
      <c r="G815" s="3" t="s">
        <v>52</v>
      </c>
      <c r="H815" s="2" t="s">
        <v>21</v>
      </c>
      <c r="I815" s="2" t="s">
        <v>1925</v>
      </c>
      <c r="J815" s="3" t="str">
        <f>HYPERLINK("https://www.boe.es/gazeta/dias/1821/10/04/pdfs/GMD-1821-283.pdf#page=2","Abrir facsímil")</f>
        <v>Abrir facsímil</v>
      </c>
      <c r="K815" s="3" t="s">
        <v>23</v>
      </c>
    </row>
    <row r="816" spans="1:11" ht="42" customHeight="1">
      <c r="A816" s="2" t="s">
        <v>1926</v>
      </c>
      <c r="B816" s="2" t="s">
        <v>1927</v>
      </c>
      <c r="C816" s="2" t="s">
        <v>17</v>
      </c>
      <c r="D816" s="2" t="s">
        <v>18</v>
      </c>
      <c r="E816" s="5">
        <v>-28696</v>
      </c>
      <c r="F816" s="3" t="s">
        <v>497</v>
      </c>
      <c r="G816" s="3" t="s">
        <v>88</v>
      </c>
      <c r="H816" s="2" t="s">
        <v>21</v>
      </c>
      <c r="I816" s="2" t="s">
        <v>1928</v>
      </c>
      <c r="J816" s="3" t="str">
        <f>HYPERLINK("https://www.boe.es/gazeta/dias/1821/06/06/pdfs/GMD-1821-159.pdf#page=4","Abrir facsímil")</f>
        <v>Abrir facsímil</v>
      </c>
      <c r="K816" s="3" t="s">
        <v>23</v>
      </c>
    </row>
    <row r="817" spans="1:11" ht="42" customHeight="1">
      <c r="A817" s="2" t="s">
        <v>1929</v>
      </c>
      <c r="B817" s="2" t="s">
        <v>1930</v>
      </c>
      <c r="C817" s="2" t="s">
        <v>26</v>
      </c>
      <c r="D817" s="2" t="s">
        <v>27</v>
      </c>
      <c r="E817" s="5">
        <v>-28798</v>
      </c>
      <c r="F817" s="3" t="s">
        <v>60</v>
      </c>
      <c r="G817" s="3" t="s">
        <v>20</v>
      </c>
      <c r="H817" s="2" t="s">
        <v>21</v>
      </c>
      <c r="I817" s="2" t="s">
        <v>1931</v>
      </c>
      <c r="J817" s="3" t="str">
        <f>HYPERLINK("https://www.boe.es/gazeta/dias/1821/02/24/pdfs/GGB-1821-55.pdf#page=3","Abrir facsímil")</f>
        <v>Abrir facsímil</v>
      </c>
      <c r="K817" s="3" t="s">
        <v>23</v>
      </c>
    </row>
    <row r="818" spans="1:11" ht="42" customHeight="1">
      <c r="A818" s="2" t="s">
        <v>1929</v>
      </c>
      <c r="B818" s="2" t="s">
        <v>1930</v>
      </c>
      <c r="C818" s="2" t="s">
        <v>17</v>
      </c>
      <c r="D818" s="2" t="s">
        <v>18</v>
      </c>
      <c r="E818" s="5">
        <v>-28789</v>
      </c>
      <c r="F818" s="3" t="s">
        <v>36</v>
      </c>
      <c r="G818" s="3" t="s">
        <v>20</v>
      </c>
      <c r="H818" s="2" t="s">
        <v>21</v>
      </c>
      <c r="I818" s="2" t="s">
        <v>1932</v>
      </c>
      <c r="J818" s="3" t="str">
        <f>HYPERLINK("https://www.boe.es/gazeta/dias/1821/03/05/pdfs/GGB-1821-64.pdf#page=3","Abrir facsímil")</f>
        <v>Abrir facsímil</v>
      </c>
      <c r="K818" s="3" t="s">
        <v>23</v>
      </c>
    </row>
    <row r="819" spans="1:11" ht="42" customHeight="1">
      <c r="A819" s="2" t="s">
        <v>1929</v>
      </c>
      <c r="B819" s="2" t="s">
        <v>1930</v>
      </c>
      <c r="C819" s="2" t="s">
        <v>17</v>
      </c>
      <c r="D819" s="2" t="s">
        <v>18</v>
      </c>
      <c r="E819" s="5">
        <v>-28786</v>
      </c>
      <c r="F819" s="3" t="s">
        <v>1933</v>
      </c>
      <c r="G819" s="3" t="s">
        <v>20</v>
      </c>
      <c r="H819" s="2" t="s">
        <v>21</v>
      </c>
      <c r="I819" s="2" t="s">
        <v>1934</v>
      </c>
      <c r="J819" s="3" t="str">
        <f>HYPERLINK("https://www.boe.es/gazeta/dias/1821/03/08/pdfs/GGB-1821-67.pdf#page=3","Abrir facsímil")</f>
        <v>Abrir facsímil</v>
      </c>
      <c r="K819" s="3" t="s">
        <v>23</v>
      </c>
    </row>
    <row r="820" spans="1:11" ht="42" customHeight="1">
      <c r="A820" s="2" t="s">
        <v>1929</v>
      </c>
      <c r="B820" s="2" t="s">
        <v>1930</v>
      </c>
      <c r="C820" s="2" t="s">
        <v>35</v>
      </c>
      <c r="D820" s="2" t="s">
        <v>27</v>
      </c>
      <c r="E820" s="5">
        <v>-28785</v>
      </c>
      <c r="F820" s="3" t="s">
        <v>1935</v>
      </c>
      <c r="G820" s="3" t="s">
        <v>20</v>
      </c>
      <c r="H820" s="2" t="s">
        <v>21</v>
      </c>
      <c r="I820" s="2" t="s">
        <v>1936</v>
      </c>
      <c r="J820" s="3" t="str">
        <f>HYPERLINK("https://www.boe.es/gazeta/dias/1821/03/09/pdfs/GGB-1821-68.pdf#page=3","Abrir facsímil")</f>
        <v>Abrir facsímil</v>
      </c>
      <c r="K820" s="3" t="s">
        <v>23</v>
      </c>
    </row>
    <row r="821" spans="1:11" ht="42" customHeight="1">
      <c r="A821" s="2" t="s">
        <v>1929</v>
      </c>
      <c r="B821" s="2" t="s">
        <v>1930</v>
      </c>
      <c r="C821" s="2" t="s">
        <v>17</v>
      </c>
      <c r="D821" s="2" t="s">
        <v>18</v>
      </c>
      <c r="E821" s="5">
        <v>-28783</v>
      </c>
      <c r="F821" s="3" t="s">
        <v>198</v>
      </c>
      <c r="G821" s="3" t="s">
        <v>20</v>
      </c>
      <c r="H821" s="2" t="s">
        <v>21</v>
      </c>
      <c r="I821" s="2" t="s">
        <v>1937</v>
      </c>
      <c r="J821" s="3" t="str">
        <f>HYPERLINK("https://www.boe.es/gazeta/dias/1821/03/11/pdfs/GGB-1821-70.pdf#page=3","Abrir facsímil")</f>
        <v>Abrir facsímil</v>
      </c>
      <c r="K821" s="3" t="s">
        <v>23</v>
      </c>
    </row>
    <row r="822" spans="1:11" ht="42" customHeight="1">
      <c r="A822" s="2" t="s">
        <v>1929</v>
      </c>
      <c r="B822" s="2" t="s">
        <v>1930</v>
      </c>
      <c r="C822" s="2" t="s">
        <v>17</v>
      </c>
      <c r="D822" s="2" t="s">
        <v>18</v>
      </c>
      <c r="E822" s="5">
        <v>-28779</v>
      </c>
      <c r="F822" s="3" t="s">
        <v>1002</v>
      </c>
      <c r="G822" s="3" t="s">
        <v>52</v>
      </c>
      <c r="H822" s="2" t="s">
        <v>21</v>
      </c>
      <c r="I822" s="2" t="s">
        <v>1938</v>
      </c>
      <c r="J822" s="3" t="str">
        <f>HYPERLINK("https://www.boe.es/gazeta/dias/1821/03/15/pdfs/GMD-1821-74.pdf#page=2","Abrir facsímil")</f>
        <v>Abrir facsímil</v>
      </c>
      <c r="K822" s="3" t="s">
        <v>23</v>
      </c>
    </row>
    <row r="823" spans="1:11" ht="42" customHeight="1">
      <c r="A823" s="2" t="s">
        <v>1929</v>
      </c>
      <c r="B823" s="2" t="s">
        <v>1930</v>
      </c>
      <c r="C823" s="2" t="s">
        <v>35</v>
      </c>
      <c r="D823" s="2" t="s">
        <v>27</v>
      </c>
      <c r="E823" s="5">
        <v>-28770</v>
      </c>
      <c r="F823" s="3" t="s">
        <v>1009</v>
      </c>
      <c r="G823" s="3" t="s">
        <v>88</v>
      </c>
      <c r="H823" s="2" t="s">
        <v>21</v>
      </c>
      <c r="I823" s="2" t="s">
        <v>1939</v>
      </c>
      <c r="J823" s="3" t="str">
        <f>HYPERLINK("https://www.boe.es/gazeta/dias/1821/03/24/pdfs/GMD-1821-84.pdf#page=4","Abrir facsímil")</f>
        <v>Abrir facsímil</v>
      </c>
      <c r="K823" s="3" t="s">
        <v>23</v>
      </c>
    </row>
    <row r="824" spans="1:11" ht="42" customHeight="1">
      <c r="A824" s="2" t="s">
        <v>1929</v>
      </c>
      <c r="B824" s="2" t="s">
        <v>1930</v>
      </c>
      <c r="C824" s="2" t="s">
        <v>40</v>
      </c>
      <c r="D824" s="2" t="s">
        <v>41</v>
      </c>
      <c r="E824" s="5">
        <v>-28759</v>
      </c>
      <c r="F824" s="3" t="s">
        <v>71</v>
      </c>
      <c r="G824" s="3" t="s">
        <v>52</v>
      </c>
      <c r="H824" s="2" t="s">
        <v>21</v>
      </c>
      <c r="I824" s="2" t="s">
        <v>1940</v>
      </c>
      <c r="J824" s="3" t="str">
        <f>HYPERLINK("https://www.boe.es/gazeta/dias/1821/04/04/pdfs/GMD-1821-96.pdf#page=2","Abrir facsímil")</f>
        <v>Abrir facsímil</v>
      </c>
      <c r="K824" s="3" t="s">
        <v>23</v>
      </c>
    </row>
    <row r="825" spans="1:11" ht="42" customHeight="1">
      <c r="A825" s="2" t="s">
        <v>1929</v>
      </c>
      <c r="B825" s="2" t="s">
        <v>1930</v>
      </c>
      <c r="C825" s="2" t="s">
        <v>17</v>
      </c>
      <c r="D825" s="2" t="s">
        <v>18</v>
      </c>
      <c r="E825" s="5">
        <v>-28755</v>
      </c>
      <c r="F825" s="3" t="s">
        <v>906</v>
      </c>
      <c r="G825" s="3" t="s">
        <v>20</v>
      </c>
      <c r="H825" s="2" t="s">
        <v>21</v>
      </c>
      <c r="I825" s="2" t="s">
        <v>1941</v>
      </c>
      <c r="J825" s="3" t="str">
        <f>HYPERLINK("https://www.boe.es/gazeta/dias/1821/04/08/pdfs/GMD-1821-100.pdf#page=3","Abrir facsímil")</f>
        <v>Abrir facsímil</v>
      </c>
      <c r="K825" s="3" t="s">
        <v>23</v>
      </c>
    </row>
    <row r="826" spans="1:11" ht="42" customHeight="1">
      <c r="A826" s="2" t="s">
        <v>1929</v>
      </c>
      <c r="B826" s="2" t="s">
        <v>1930</v>
      </c>
      <c r="C826" s="2" t="s">
        <v>40</v>
      </c>
      <c r="D826" s="2" t="s">
        <v>41</v>
      </c>
      <c r="E826" s="5">
        <v>-28754</v>
      </c>
      <c r="F826" s="3" t="s">
        <v>1942</v>
      </c>
      <c r="G826" s="3" t="s">
        <v>20</v>
      </c>
      <c r="H826" s="2" t="s">
        <v>21</v>
      </c>
      <c r="I826" s="2" t="s">
        <v>1943</v>
      </c>
      <c r="J826" s="3" t="str">
        <f>HYPERLINK("https://www.boe.es/gazeta/dias/1821/04/09/pdfs/GMD-1821-101.pdf#page=3","Abrir facsímil")</f>
        <v>Abrir facsímil</v>
      </c>
      <c r="K826" s="3" t="s">
        <v>23</v>
      </c>
    </row>
    <row r="827" spans="1:11" ht="42" customHeight="1">
      <c r="A827" s="2" t="s">
        <v>1929</v>
      </c>
      <c r="B827" s="2" t="s">
        <v>1930</v>
      </c>
      <c r="C827" s="2" t="s">
        <v>17</v>
      </c>
      <c r="D827" s="2" t="s">
        <v>18</v>
      </c>
      <c r="E827" s="5">
        <v>-28738</v>
      </c>
      <c r="F827" s="3" t="s">
        <v>359</v>
      </c>
      <c r="G827" s="3" t="s">
        <v>20</v>
      </c>
      <c r="H827" s="2" t="s">
        <v>21</v>
      </c>
      <c r="I827" s="2" t="s">
        <v>1944</v>
      </c>
      <c r="J827" s="3" t="str">
        <f>HYPERLINK("https://www.boe.es/gazeta/dias/1821/04/25/pdfs/GMD-1821-117.pdf#page=3","Abrir facsímil")</f>
        <v>Abrir facsímil</v>
      </c>
      <c r="K827" s="3" t="s">
        <v>23</v>
      </c>
    </row>
    <row r="828" spans="1:11" ht="42" customHeight="1">
      <c r="A828" s="2" t="s">
        <v>1929</v>
      </c>
      <c r="B828" s="2" t="s">
        <v>1930</v>
      </c>
      <c r="C828" s="2" t="s">
        <v>35</v>
      </c>
      <c r="D828" s="2" t="s">
        <v>27</v>
      </c>
      <c r="E828" s="5">
        <v>-28728</v>
      </c>
      <c r="F828" s="3" t="s">
        <v>1038</v>
      </c>
      <c r="G828" s="3" t="s">
        <v>20</v>
      </c>
      <c r="H828" s="2" t="s">
        <v>21</v>
      </c>
      <c r="I828" s="2" t="s">
        <v>1945</v>
      </c>
      <c r="J828" s="3" t="str">
        <f>HYPERLINK("https://www.boe.es/gazeta/dias/1821/05/05/pdfs/GMD-1821-127.pdf#page=3","Abrir facsímil")</f>
        <v>Abrir facsímil</v>
      </c>
      <c r="K828" s="3" t="s">
        <v>23</v>
      </c>
    </row>
    <row r="829" spans="1:11" ht="42" customHeight="1">
      <c r="A829" s="2" t="s">
        <v>1929</v>
      </c>
      <c r="B829" s="2" t="s">
        <v>1930</v>
      </c>
      <c r="C829" s="2" t="s">
        <v>17</v>
      </c>
      <c r="D829" s="2" t="s">
        <v>18</v>
      </c>
      <c r="E829" s="5">
        <v>-28722</v>
      </c>
      <c r="F829" s="3" t="s">
        <v>623</v>
      </c>
      <c r="G829" s="3" t="s">
        <v>52</v>
      </c>
      <c r="H829" s="2" t="s">
        <v>21</v>
      </c>
      <c r="I829" s="2" t="s">
        <v>1946</v>
      </c>
      <c r="J829" s="3" t="str">
        <f>HYPERLINK("https://www.boe.es/gazeta/dias/1821/05/11/pdfs/GMD-1821-133.pdf#page=2","Abrir facsímil")</f>
        <v>Abrir facsímil</v>
      </c>
      <c r="K829" s="3" t="s">
        <v>23</v>
      </c>
    </row>
    <row r="830" spans="1:11" ht="42" customHeight="1">
      <c r="A830" s="2" t="s">
        <v>1929</v>
      </c>
      <c r="B830" s="2" t="s">
        <v>1930</v>
      </c>
      <c r="C830" s="2" t="s">
        <v>26</v>
      </c>
      <c r="D830" s="2" t="s">
        <v>27</v>
      </c>
      <c r="E830" s="5">
        <v>-28685</v>
      </c>
      <c r="F830" s="3" t="s">
        <v>303</v>
      </c>
      <c r="G830" s="3" t="s">
        <v>162</v>
      </c>
      <c r="H830" s="2" t="s">
        <v>21</v>
      </c>
      <c r="I830" s="2" t="s">
        <v>1947</v>
      </c>
      <c r="J830" s="3" t="str">
        <f>HYPERLINK("https://www.boe.es/gazeta/dias/1821/06/17/pdfs/GMD-1821-170.pdf#page=5","Abrir facsímil")</f>
        <v>Abrir facsímil</v>
      </c>
      <c r="K830" s="3" t="s">
        <v>23</v>
      </c>
    </row>
    <row r="831" spans="1:11" ht="42" customHeight="1">
      <c r="A831" s="2" t="s">
        <v>1929</v>
      </c>
      <c r="B831" s="2" t="s">
        <v>1930</v>
      </c>
      <c r="C831" s="2" t="s">
        <v>17</v>
      </c>
      <c r="D831" s="2" t="s">
        <v>18</v>
      </c>
      <c r="E831" s="5">
        <v>-28682</v>
      </c>
      <c r="F831" s="3" t="s">
        <v>1064</v>
      </c>
      <c r="G831" s="3" t="s">
        <v>162</v>
      </c>
      <c r="H831" s="2" t="s">
        <v>21</v>
      </c>
      <c r="I831" s="2" t="s">
        <v>1948</v>
      </c>
      <c r="J831" s="3" t="str">
        <f>HYPERLINK("https://www.boe.es/gazeta/dias/1821/06/20/pdfs/GMD-1821-173.pdf#page=5","Abrir facsímil")</f>
        <v>Abrir facsímil</v>
      </c>
      <c r="K831" s="3" t="s">
        <v>23</v>
      </c>
    </row>
    <row r="832" spans="1:11" ht="42" customHeight="1">
      <c r="A832" s="2" t="s">
        <v>1929</v>
      </c>
      <c r="B832" s="2" t="s">
        <v>1930</v>
      </c>
      <c r="C832" s="2" t="s">
        <v>35</v>
      </c>
      <c r="D832" s="2" t="s">
        <v>27</v>
      </c>
      <c r="E832" s="5">
        <v>-28672</v>
      </c>
      <c r="F832" s="3" t="s">
        <v>964</v>
      </c>
      <c r="G832" s="3" t="s">
        <v>52</v>
      </c>
      <c r="H832" s="2" t="s">
        <v>21</v>
      </c>
      <c r="I832" s="2" t="s">
        <v>1949</v>
      </c>
      <c r="J832" s="3" t="str">
        <f>HYPERLINK("https://www.boe.es/gazeta/dias/1821/06/30/pdfs/GMD-1821-183.pdf#page=2","Abrir facsímil")</f>
        <v>Abrir facsímil</v>
      </c>
      <c r="K832" s="3" t="s">
        <v>23</v>
      </c>
    </row>
    <row r="833" spans="1:11" ht="42" customHeight="1">
      <c r="A833" s="2" t="s">
        <v>1950</v>
      </c>
      <c r="B833" s="2" t="s">
        <v>1951</v>
      </c>
      <c r="C833" s="2" t="s">
        <v>40</v>
      </c>
      <c r="D833" s="2" t="s">
        <v>41</v>
      </c>
      <c r="E833" s="5">
        <v>-28688</v>
      </c>
      <c r="F833" s="3" t="s">
        <v>1504</v>
      </c>
      <c r="G833" s="3" t="s">
        <v>20</v>
      </c>
      <c r="H833" s="2" t="s">
        <v>21</v>
      </c>
      <c r="I833" s="2" t="s">
        <v>1952</v>
      </c>
      <c r="J833" s="3" t="str">
        <f>HYPERLINK("https://www.boe.es/gazeta/dias/1821/06/14/pdfs/GMD-1821-167.pdf#page=3","Abrir facsímil")</f>
        <v>Abrir facsímil</v>
      </c>
      <c r="K833" s="3" t="s">
        <v>23</v>
      </c>
    </row>
    <row r="834" spans="1:11" ht="42" customHeight="1">
      <c r="A834" s="2" t="s">
        <v>1953</v>
      </c>
      <c r="B834" s="2" t="s">
        <v>1954</v>
      </c>
      <c r="C834" s="2" t="s">
        <v>114</v>
      </c>
      <c r="D834" s="2" t="s">
        <v>27</v>
      </c>
      <c r="E834" s="5">
        <v>-28629</v>
      </c>
      <c r="F834" s="3" t="s">
        <v>235</v>
      </c>
      <c r="G834" s="3" t="s">
        <v>88</v>
      </c>
      <c r="H834" s="2" t="s">
        <v>21</v>
      </c>
      <c r="I834" s="2" t="s">
        <v>1955</v>
      </c>
      <c r="J834" s="3" t="str">
        <f>HYPERLINK("https://www.boe.es/gazeta/dias/1821/08/12/pdfs/GMD-1821-229.pdf#page=4","Abrir facsímil")</f>
        <v>Abrir facsímil</v>
      </c>
      <c r="K834" s="3" t="s">
        <v>23</v>
      </c>
    </row>
    <row r="835" spans="1:11" ht="42" customHeight="1">
      <c r="A835" s="2" t="s">
        <v>1956</v>
      </c>
      <c r="B835" s="2" t="s">
        <v>1957</v>
      </c>
      <c r="C835" s="2" t="s">
        <v>35</v>
      </c>
      <c r="D835" s="2" t="s">
        <v>27</v>
      </c>
      <c r="E835" s="5">
        <v>-28636</v>
      </c>
      <c r="F835" s="3" t="s">
        <v>122</v>
      </c>
      <c r="G835" s="3" t="s">
        <v>20</v>
      </c>
      <c r="H835" s="2" t="s">
        <v>21</v>
      </c>
      <c r="I835" s="2" t="s">
        <v>1958</v>
      </c>
      <c r="J835" s="3" t="str">
        <f>HYPERLINK("https://www.boe.es/gazeta/dias/1821/08/05/pdfs/GMD-1821-221.pdf#page=3","Abrir facsímil")</f>
        <v>Abrir facsímil</v>
      </c>
      <c r="K835" s="3" t="s">
        <v>23</v>
      </c>
    </row>
    <row r="836" spans="1:11" ht="42" customHeight="1">
      <c r="A836" s="2" t="s">
        <v>1959</v>
      </c>
      <c r="B836" s="2" t="s">
        <v>1960</v>
      </c>
      <c r="C836" s="2" t="s">
        <v>40</v>
      </c>
      <c r="D836" s="2" t="s">
        <v>41</v>
      </c>
      <c r="E836" s="5">
        <v>-28508</v>
      </c>
      <c r="F836" s="3" t="s">
        <v>42</v>
      </c>
      <c r="G836" s="3" t="s">
        <v>88</v>
      </c>
      <c r="H836" s="2" t="s">
        <v>21</v>
      </c>
      <c r="I836" s="2" t="s">
        <v>1961</v>
      </c>
      <c r="J836" s="3" t="str">
        <f>HYPERLINK("https://www.boe.es/gazeta/dias/1821/12/11/pdfs/GMD-1821-353.pdf#page=4","Abrir facsímil")</f>
        <v>Abrir facsímil</v>
      </c>
      <c r="K836" s="3" t="s">
        <v>23</v>
      </c>
    </row>
    <row r="837" spans="1:11" ht="42" customHeight="1">
      <c r="A837" s="2" t="s">
        <v>1962</v>
      </c>
      <c r="B837" s="2" t="s">
        <v>1963</v>
      </c>
      <c r="C837" s="2" t="s">
        <v>114</v>
      </c>
      <c r="D837" s="2" t="s">
        <v>27</v>
      </c>
      <c r="E837" s="5">
        <v>-28847</v>
      </c>
      <c r="F837" s="3" t="s">
        <v>288</v>
      </c>
      <c r="G837" s="3" t="s">
        <v>289</v>
      </c>
      <c r="H837" s="2" t="s">
        <v>21</v>
      </c>
      <c r="I837" s="2" t="s">
        <v>1964</v>
      </c>
      <c r="J837" s="3" t="str">
        <f>HYPERLINK("https://www.boe.es/gazeta/dias/1821/01/06/pdfs/GGB-1821-6.pdf#page=4","Abrir facsímil")</f>
        <v>Abrir facsímil</v>
      </c>
      <c r="K837" s="3" t="s">
        <v>23</v>
      </c>
    </row>
    <row r="838" spans="1:11" ht="42" customHeight="1">
      <c r="A838" s="2" t="s">
        <v>1965</v>
      </c>
      <c r="B838" s="2" t="s">
        <v>1965</v>
      </c>
      <c r="C838" s="2" t="s">
        <v>40</v>
      </c>
      <c r="D838" s="2" t="s">
        <v>41</v>
      </c>
      <c r="E838" s="5">
        <v>-28544</v>
      </c>
      <c r="F838" s="3" t="s">
        <v>139</v>
      </c>
      <c r="G838" s="3" t="s">
        <v>43</v>
      </c>
      <c r="H838" s="2" t="s">
        <v>21</v>
      </c>
      <c r="I838" s="2" t="s">
        <v>1966</v>
      </c>
      <c r="J838" s="3" t="str">
        <f>HYPERLINK("https://www.boe.es/gazeta/dias/1821/11/05/pdfs/GMD-1821-316.pdf#page=1","Abrir facsímil")</f>
        <v>Abrir facsímil</v>
      </c>
      <c r="K838" s="3" t="s">
        <v>23</v>
      </c>
    </row>
    <row r="839" spans="1:11" ht="42" customHeight="1">
      <c r="A839" s="2" t="s">
        <v>1967</v>
      </c>
      <c r="B839" s="2" t="s">
        <v>1968</v>
      </c>
      <c r="C839" s="2" t="s">
        <v>17</v>
      </c>
      <c r="D839" s="2" t="s">
        <v>18</v>
      </c>
      <c r="E839" s="5">
        <v>-28501</v>
      </c>
      <c r="F839" s="3" t="s">
        <v>456</v>
      </c>
      <c r="G839" s="3" t="s">
        <v>1253</v>
      </c>
      <c r="H839" s="2" t="s">
        <v>21</v>
      </c>
      <c r="I839" s="2" t="s">
        <v>1969</v>
      </c>
      <c r="J839" s="3" t="str">
        <f>HYPERLINK("https://www.boe.es/gazeta/dias/1821/12/18/pdfs/GMD-1821-361.pdf#page=6","Abrir facsímil")</f>
        <v>Abrir facsímil</v>
      </c>
      <c r="K839" s="3" t="s">
        <v>23</v>
      </c>
    </row>
    <row r="840" spans="1:11" ht="42" customHeight="1">
      <c r="A840" s="2" t="s">
        <v>1970</v>
      </c>
      <c r="B840" s="2" t="s">
        <v>1970</v>
      </c>
      <c r="C840" s="2" t="s">
        <v>26</v>
      </c>
      <c r="D840" s="2" t="s">
        <v>27</v>
      </c>
      <c r="E840" s="5">
        <v>-28804</v>
      </c>
      <c r="F840" s="3" t="s">
        <v>1580</v>
      </c>
      <c r="G840" s="3" t="s">
        <v>20</v>
      </c>
      <c r="H840" s="2" t="s">
        <v>21</v>
      </c>
      <c r="I840" s="2" t="s">
        <v>1971</v>
      </c>
      <c r="J840" s="3" t="str">
        <f>HYPERLINK("https://www.boe.es/gazeta/dias/1821/02/18/pdfs/GGB-1821-49.pdf#page=3","Abrir facsímil")</f>
        <v>Abrir facsímil</v>
      </c>
      <c r="K840" s="3" t="s">
        <v>23</v>
      </c>
    </row>
    <row r="841" spans="1:11" ht="42" customHeight="1">
      <c r="A841" s="2" t="s">
        <v>1970</v>
      </c>
      <c r="B841" s="2" t="s">
        <v>1970</v>
      </c>
      <c r="C841" s="2" t="s">
        <v>35</v>
      </c>
      <c r="D841" s="2" t="s">
        <v>27</v>
      </c>
      <c r="E841" s="5">
        <v>-28648</v>
      </c>
      <c r="F841" s="3" t="s">
        <v>1520</v>
      </c>
      <c r="G841" s="3" t="s">
        <v>52</v>
      </c>
      <c r="H841" s="2" t="s">
        <v>21</v>
      </c>
      <c r="I841" s="2" t="s">
        <v>1972</v>
      </c>
      <c r="J841" s="3" t="str">
        <f>HYPERLINK("https://www.boe.es/gazeta/dias/1821/07/24/pdfs/GMD-1821-209.pdf#page=2","Abrir facsímil")</f>
        <v>Abrir facsímil</v>
      </c>
      <c r="K841" s="3" t="s">
        <v>23</v>
      </c>
    </row>
    <row r="842" spans="1:11" ht="42" customHeight="1">
      <c r="A842" s="2" t="s">
        <v>1973</v>
      </c>
      <c r="B842" s="2" t="s">
        <v>1973</v>
      </c>
      <c r="C842" s="2" t="s">
        <v>40</v>
      </c>
      <c r="D842" s="2" t="s">
        <v>41</v>
      </c>
      <c r="E842" s="5">
        <v>-28727</v>
      </c>
      <c r="F842" s="3" t="s">
        <v>200</v>
      </c>
      <c r="G842" s="3" t="s">
        <v>20</v>
      </c>
      <c r="H842" s="2" t="s">
        <v>21</v>
      </c>
      <c r="I842" s="2" t="s">
        <v>1974</v>
      </c>
      <c r="J842" s="3" t="str">
        <f>HYPERLINK("https://www.boe.es/gazeta/dias/1821/05/06/pdfs/GMD-1821-128.pdf#page=3","Abrir facsímil")</f>
        <v>Abrir facsímil</v>
      </c>
      <c r="K842" s="3" t="s">
        <v>23</v>
      </c>
    </row>
    <row r="843" spans="1:11" ht="42" customHeight="1">
      <c r="A843" s="2" t="s">
        <v>1973</v>
      </c>
      <c r="B843" s="2" t="s">
        <v>1973</v>
      </c>
      <c r="C843" s="2" t="s">
        <v>26</v>
      </c>
      <c r="D843" s="2" t="s">
        <v>27</v>
      </c>
      <c r="E843" s="5">
        <v>-28722</v>
      </c>
      <c r="F843" s="3" t="s">
        <v>623</v>
      </c>
      <c r="G843" s="3" t="s">
        <v>52</v>
      </c>
      <c r="H843" s="2" t="s">
        <v>21</v>
      </c>
      <c r="I843" s="2" t="s">
        <v>1975</v>
      </c>
      <c r="J843" s="3" t="str">
        <f>HYPERLINK("https://www.boe.es/gazeta/dias/1821/05/11/pdfs/GMD-1821-133.pdf#page=2","Abrir facsímil")</f>
        <v>Abrir facsímil</v>
      </c>
      <c r="K843" s="3" t="s">
        <v>23</v>
      </c>
    </row>
    <row r="844" spans="1:11" ht="42" customHeight="1">
      <c r="A844" s="2" t="s">
        <v>1973</v>
      </c>
      <c r="B844" s="2" t="s">
        <v>1973</v>
      </c>
      <c r="C844" s="2" t="s">
        <v>17</v>
      </c>
      <c r="D844" s="2" t="s">
        <v>18</v>
      </c>
      <c r="E844" s="5">
        <v>-28713</v>
      </c>
      <c r="F844" s="3" t="s">
        <v>1976</v>
      </c>
      <c r="G844" s="3" t="s">
        <v>1977</v>
      </c>
      <c r="H844" s="2" t="s">
        <v>21</v>
      </c>
      <c r="I844" s="2" t="s">
        <v>1978</v>
      </c>
      <c r="J844" s="3" t="str">
        <f>HYPERLINK("https://www.boe.es/gazeta/dias/1821/05/20/pdfs/GMD-1821-142.pdf#page=3","Abrir facsímil")</f>
        <v>Abrir facsímil</v>
      </c>
      <c r="K844" s="3" t="s">
        <v>23</v>
      </c>
    </row>
    <row r="845" spans="1:11" ht="42" customHeight="1">
      <c r="A845" s="2" t="s">
        <v>1973</v>
      </c>
      <c r="B845" s="2" t="s">
        <v>1973</v>
      </c>
      <c r="C845" s="2" t="s">
        <v>26</v>
      </c>
      <c r="D845" s="2" t="s">
        <v>27</v>
      </c>
      <c r="E845" s="5">
        <v>-28681</v>
      </c>
      <c r="F845" s="3" t="s">
        <v>210</v>
      </c>
      <c r="G845" s="3" t="s">
        <v>88</v>
      </c>
      <c r="H845" s="2" t="s">
        <v>21</v>
      </c>
      <c r="I845" s="2" t="s">
        <v>1979</v>
      </c>
      <c r="J845" s="3" t="str">
        <f>HYPERLINK("https://www.boe.es/gazeta/dias/1821/06/21/pdfs/GMD-1821-174.pdf#page=4","Abrir facsímil")</f>
        <v>Abrir facsímil</v>
      </c>
      <c r="K845" s="3" t="s">
        <v>23</v>
      </c>
    </row>
    <row r="846" spans="1:11" ht="42" customHeight="1">
      <c r="A846" s="2" t="s">
        <v>1973</v>
      </c>
      <c r="B846" s="2" t="s">
        <v>1973</v>
      </c>
      <c r="C846" s="2" t="s">
        <v>17</v>
      </c>
      <c r="D846" s="2" t="s">
        <v>18</v>
      </c>
      <c r="E846" s="5">
        <v>-28554</v>
      </c>
      <c r="F846" s="3" t="s">
        <v>433</v>
      </c>
      <c r="G846" s="3" t="s">
        <v>20</v>
      </c>
      <c r="H846" s="2" t="s">
        <v>21</v>
      </c>
      <c r="I846" s="2" t="s">
        <v>1980</v>
      </c>
      <c r="J846" s="3" t="str">
        <f>HYPERLINK("https://www.boe.es/gazeta/dias/1821/10/26/pdfs/GMD-1821-305.pdf#page=3","Abrir facsímil")</f>
        <v>Abrir facsímil</v>
      </c>
      <c r="K846" s="3" t="s">
        <v>23</v>
      </c>
    </row>
    <row r="847" spans="1:11" ht="42" customHeight="1">
      <c r="A847" s="2" t="s">
        <v>1981</v>
      </c>
      <c r="B847" s="2" t="s">
        <v>1982</v>
      </c>
      <c r="C847" s="2" t="s">
        <v>26</v>
      </c>
      <c r="D847" s="2" t="s">
        <v>27</v>
      </c>
      <c r="E847" s="5">
        <v>-28747</v>
      </c>
      <c r="F847" s="3" t="s">
        <v>1016</v>
      </c>
      <c r="G847" s="3" t="s">
        <v>43</v>
      </c>
      <c r="H847" s="2" t="s">
        <v>21</v>
      </c>
      <c r="I847" s="2" t="s">
        <v>1983</v>
      </c>
      <c r="J847" s="3" t="str">
        <f>HYPERLINK("https://www.boe.es/gazeta/dias/1821/04/16/pdfs/GMD-1821-108.pdf#page=1","Abrir facsímil")</f>
        <v>Abrir facsímil</v>
      </c>
      <c r="K847" s="3" t="s">
        <v>23</v>
      </c>
    </row>
    <row r="848" spans="1:11" ht="42" customHeight="1">
      <c r="A848" s="2" t="s">
        <v>1984</v>
      </c>
      <c r="B848" s="2" t="s">
        <v>1984</v>
      </c>
      <c r="C848" s="2" t="s">
        <v>40</v>
      </c>
      <c r="D848" s="2" t="s">
        <v>41</v>
      </c>
      <c r="E848" s="5">
        <v>-28715</v>
      </c>
      <c r="F848" s="3" t="s">
        <v>1046</v>
      </c>
      <c r="G848" s="3" t="s">
        <v>52</v>
      </c>
      <c r="H848" s="2" t="s">
        <v>21</v>
      </c>
      <c r="I848" s="2" t="s">
        <v>1985</v>
      </c>
      <c r="J848" s="3" t="str">
        <f>HYPERLINK("https://www.boe.es/gazeta/dias/1821/05/18/pdfs/GMD-1821-140.pdf#page=2","Abrir facsímil")</f>
        <v>Abrir facsímil</v>
      </c>
      <c r="K848" s="3" t="s">
        <v>23</v>
      </c>
    </row>
    <row r="849" spans="1:11" ht="42" customHeight="1">
      <c r="A849" s="2" t="s">
        <v>1986</v>
      </c>
      <c r="B849" s="2" t="s">
        <v>1986</v>
      </c>
      <c r="C849" s="2" t="s">
        <v>70</v>
      </c>
      <c r="D849" s="2" t="s">
        <v>27</v>
      </c>
      <c r="E849" s="5">
        <v>-28700</v>
      </c>
      <c r="F849" s="3" t="s">
        <v>701</v>
      </c>
      <c r="G849" s="3" t="s">
        <v>43</v>
      </c>
      <c r="H849" s="2" t="s">
        <v>21</v>
      </c>
      <c r="I849" s="2" t="s">
        <v>1987</v>
      </c>
      <c r="J849" s="3" t="str">
        <f>HYPERLINK("https://www.boe.es/gazeta/dias/1821/06/02/pdfs/GMD-1821-155.pdf#page=1","Abrir facsímil")</f>
        <v>Abrir facsímil</v>
      </c>
      <c r="K849" s="3" t="s">
        <v>23</v>
      </c>
    </row>
    <row r="850" spans="1:11" ht="42" customHeight="1">
      <c r="A850" s="2" t="s">
        <v>1988</v>
      </c>
      <c r="B850" s="2" t="s">
        <v>1988</v>
      </c>
      <c r="C850" s="2" t="s">
        <v>40</v>
      </c>
      <c r="D850" s="2" t="s">
        <v>41</v>
      </c>
      <c r="E850" s="5">
        <v>-28849</v>
      </c>
      <c r="F850" s="3" t="s">
        <v>1989</v>
      </c>
      <c r="G850" s="3" t="s">
        <v>52</v>
      </c>
      <c r="H850" s="2" t="s">
        <v>21</v>
      </c>
      <c r="I850" s="2" t="s">
        <v>1990</v>
      </c>
      <c r="J850" s="3" t="str">
        <f>HYPERLINK("https://www.boe.es/gazeta/dias/1821/01/04/pdfs/GGB-1821-4.pdf#page=2","Abrir facsímil")</f>
        <v>Abrir facsímil</v>
      </c>
      <c r="K850" s="3" t="s">
        <v>23</v>
      </c>
    </row>
    <row r="851" spans="1:11" ht="42" customHeight="1">
      <c r="A851" s="2" t="s">
        <v>1991</v>
      </c>
      <c r="B851" s="2" t="s">
        <v>1992</v>
      </c>
      <c r="C851" s="2" t="s">
        <v>279</v>
      </c>
      <c r="D851" s="2" t="s">
        <v>27</v>
      </c>
      <c r="E851" s="5">
        <v>-28527</v>
      </c>
      <c r="F851" s="3" t="s">
        <v>328</v>
      </c>
      <c r="G851" s="3" t="s">
        <v>88</v>
      </c>
      <c r="H851" s="2" t="s">
        <v>21</v>
      </c>
      <c r="I851" s="2" t="s">
        <v>1993</v>
      </c>
      <c r="J851" s="3" t="str">
        <f>HYPERLINK("https://www.boe.es/gazeta/dias/1821/11/22/pdfs/GMD-1821-333.pdf#page=4","Abrir facsímil")</f>
        <v>Abrir facsímil</v>
      </c>
      <c r="K851" s="3" t="s">
        <v>23</v>
      </c>
    </row>
    <row r="852" spans="1:11" ht="42" customHeight="1">
      <c r="A852" s="2" t="s">
        <v>1994</v>
      </c>
      <c r="B852" s="2" t="s">
        <v>1995</v>
      </c>
      <c r="C852" s="2" t="s">
        <v>279</v>
      </c>
      <c r="D852" s="2" t="s">
        <v>27</v>
      </c>
      <c r="E852" s="5">
        <v>-28686</v>
      </c>
      <c r="F852" s="3" t="s">
        <v>115</v>
      </c>
      <c r="G852" s="3" t="s">
        <v>88</v>
      </c>
      <c r="H852" s="2" t="s">
        <v>21</v>
      </c>
      <c r="I852" s="2" t="s">
        <v>1996</v>
      </c>
      <c r="J852" s="3" t="str">
        <f>HYPERLINK("https://www.boe.es/gazeta/dias/1821/06/16/pdfs/GMD-1821-169.pdf#page=4","Abrir facsímil")</f>
        <v>Abrir facsímil</v>
      </c>
      <c r="K852" s="3" t="s">
        <v>23</v>
      </c>
    </row>
    <row r="853" spans="1:11" ht="42" customHeight="1">
      <c r="A853" s="2" t="s">
        <v>1994</v>
      </c>
      <c r="B853" s="2" t="s">
        <v>1995</v>
      </c>
      <c r="C853" s="2" t="s">
        <v>279</v>
      </c>
      <c r="D853" s="2" t="s">
        <v>27</v>
      </c>
      <c r="E853" s="5">
        <v>-28608</v>
      </c>
      <c r="F853" s="3" t="s">
        <v>805</v>
      </c>
      <c r="G853" s="3" t="s">
        <v>88</v>
      </c>
      <c r="H853" s="2" t="s">
        <v>21</v>
      </c>
      <c r="I853" s="2" t="s">
        <v>1997</v>
      </c>
      <c r="J853" s="3" t="str">
        <f>HYPERLINK("https://www.boe.es/gazeta/dias/1821/09/02/pdfs/GMD-1821-250.pdf#page=4","Abrir facsímil")</f>
        <v>Abrir facsímil</v>
      </c>
      <c r="K853" s="3" t="s">
        <v>23</v>
      </c>
    </row>
    <row r="854" spans="1:11" ht="42" customHeight="1">
      <c r="A854" s="2" t="s">
        <v>1994</v>
      </c>
      <c r="B854" s="2" t="s">
        <v>1995</v>
      </c>
      <c r="C854" s="2" t="s">
        <v>70</v>
      </c>
      <c r="D854" s="2" t="s">
        <v>27</v>
      </c>
      <c r="E854" s="5">
        <v>-28499</v>
      </c>
      <c r="F854" s="3" t="s">
        <v>954</v>
      </c>
      <c r="G854" s="3" t="s">
        <v>88</v>
      </c>
      <c r="H854" s="2" t="s">
        <v>21</v>
      </c>
      <c r="I854" s="2" t="s">
        <v>1998</v>
      </c>
      <c r="J854" s="3" t="str">
        <f>HYPERLINK("https://www.boe.es/gazeta/dias/1821/12/20/pdfs/GMD-1821-363.pdf#page=4","Abrir facsímil")</f>
        <v>Abrir facsímil</v>
      </c>
      <c r="K854" s="3" t="s">
        <v>23</v>
      </c>
    </row>
    <row r="855" spans="1:11" ht="42" customHeight="1">
      <c r="A855" s="2" t="s">
        <v>1999</v>
      </c>
      <c r="B855" s="2" t="s">
        <v>2000</v>
      </c>
      <c r="C855" s="2" t="s">
        <v>114</v>
      </c>
      <c r="D855" s="2" t="s">
        <v>27</v>
      </c>
      <c r="E855" s="5">
        <v>-28568</v>
      </c>
      <c r="F855" s="3" t="s">
        <v>539</v>
      </c>
      <c r="G855" s="3" t="s">
        <v>333</v>
      </c>
      <c r="H855" s="2" t="s">
        <v>30</v>
      </c>
      <c r="I855" s="2" t="s">
        <v>2001</v>
      </c>
      <c r="J855" s="3" t="str">
        <f>HYPERLINK("https://www.boe.es/gazeta/dias/1821/10/12/pdfs/GMD-1821-291.pdf#page=8","Abrir facsímil")</f>
        <v>Abrir facsímil</v>
      </c>
      <c r="K855" s="3" t="s">
        <v>32</v>
      </c>
    </row>
    <row r="856" spans="1:11" ht="42" customHeight="1">
      <c r="A856" s="2" t="s">
        <v>2002</v>
      </c>
      <c r="B856" s="2" t="s">
        <v>2003</v>
      </c>
      <c r="C856" s="2" t="s">
        <v>26</v>
      </c>
      <c r="D856" s="2" t="s">
        <v>27</v>
      </c>
      <c r="E856" s="5">
        <v>-28547</v>
      </c>
      <c r="F856" s="3" t="s">
        <v>247</v>
      </c>
      <c r="G856" s="3" t="s">
        <v>248</v>
      </c>
      <c r="H856" s="2" t="s">
        <v>30</v>
      </c>
      <c r="I856" s="2" t="s">
        <v>2004</v>
      </c>
      <c r="J856" s="3" t="str">
        <f>HYPERLINK("https://www.boe.es/gazeta/dias/1821/11/02/pdfs/GMD-1821-312.pdf#page=2","Abrir facsímil")</f>
        <v>Abrir facsímil</v>
      </c>
      <c r="K856" s="3" t="s">
        <v>32</v>
      </c>
    </row>
    <row r="857" spans="1:11" ht="42" customHeight="1">
      <c r="A857" s="2" t="s">
        <v>2005</v>
      </c>
      <c r="B857" s="2" t="s">
        <v>2006</v>
      </c>
      <c r="C857" s="2" t="s">
        <v>26</v>
      </c>
      <c r="D857" s="2" t="s">
        <v>27</v>
      </c>
      <c r="E857" s="5">
        <v>-28641</v>
      </c>
      <c r="F857" s="3" t="s">
        <v>398</v>
      </c>
      <c r="G857" s="3" t="s">
        <v>88</v>
      </c>
      <c r="H857" s="2" t="s">
        <v>21</v>
      </c>
      <c r="I857" s="2" t="s">
        <v>2007</v>
      </c>
      <c r="J857" s="3" t="str">
        <f>HYPERLINK("https://www.boe.es/gazeta/dias/1821/07/31/pdfs/GMD-1821-216.pdf#page=4","Abrir facsímil")</f>
        <v>Abrir facsímil</v>
      </c>
      <c r="K857" s="3" t="s">
        <v>23</v>
      </c>
    </row>
    <row r="858" spans="1:11" ht="42" customHeight="1">
      <c r="A858" s="2" t="s">
        <v>2008</v>
      </c>
      <c r="B858" s="2" t="s">
        <v>2008</v>
      </c>
      <c r="C858" s="2" t="s">
        <v>40</v>
      </c>
      <c r="D858" s="2" t="s">
        <v>41</v>
      </c>
      <c r="E858" s="5">
        <v>-28682</v>
      </c>
      <c r="F858" s="3" t="s">
        <v>1064</v>
      </c>
      <c r="G858" s="3" t="s">
        <v>29</v>
      </c>
      <c r="H858" s="2" t="s">
        <v>21</v>
      </c>
      <c r="I858" s="2" t="s">
        <v>2009</v>
      </c>
      <c r="J858" s="3" t="str">
        <f>HYPERLINK("https://www.boe.es/gazeta/dias/1821/06/20/pdfs/GMD-1821-173.pdf#page=6","Abrir facsímil")</f>
        <v>Abrir facsímil</v>
      </c>
      <c r="K858" s="3" t="s">
        <v>23</v>
      </c>
    </row>
    <row r="859" spans="1:11" ht="42" customHeight="1">
      <c r="A859" s="2" t="s">
        <v>2008</v>
      </c>
      <c r="B859" s="2" t="s">
        <v>2008</v>
      </c>
      <c r="C859" s="2" t="s">
        <v>35</v>
      </c>
      <c r="D859" s="2" t="s">
        <v>27</v>
      </c>
      <c r="E859" s="5">
        <v>-28561</v>
      </c>
      <c r="F859" s="3" t="s">
        <v>240</v>
      </c>
      <c r="G859" s="3" t="s">
        <v>88</v>
      </c>
      <c r="H859" s="2" t="s">
        <v>21</v>
      </c>
      <c r="I859" s="2" t="s">
        <v>2010</v>
      </c>
      <c r="J859" s="3" t="str">
        <f>HYPERLINK("https://www.boe.es/gazeta/dias/1821/10/19/pdfs/GMD-1821-298.pdf#page=4","Abrir facsímil")</f>
        <v>Abrir facsímil</v>
      </c>
      <c r="K859" s="3" t="s">
        <v>23</v>
      </c>
    </row>
    <row r="860" spans="1:11" ht="42" customHeight="1">
      <c r="A860" s="2" t="s">
        <v>2011</v>
      </c>
      <c r="B860" s="2" t="s">
        <v>2011</v>
      </c>
      <c r="C860" s="2" t="s">
        <v>40</v>
      </c>
      <c r="D860" s="2" t="s">
        <v>41</v>
      </c>
      <c r="E860" s="5">
        <v>-28752</v>
      </c>
      <c r="F860" s="3" t="s">
        <v>1012</v>
      </c>
      <c r="G860" s="3" t="s">
        <v>1013</v>
      </c>
      <c r="H860" s="2" t="s">
        <v>21</v>
      </c>
      <c r="I860" s="2" t="s">
        <v>2012</v>
      </c>
      <c r="J860" s="3" t="str">
        <f>HYPERLINK("https://www.boe.es/gazeta/dias/1821/04/11/pdfs/GMD-1821-103.pdf#page=3","Abrir facsímil")</f>
        <v>Abrir facsímil</v>
      </c>
      <c r="K860" s="3" t="s">
        <v>23</v>
      </c>
    </row>
    <row r="861" spans="1:11" ht="42" customHeight="1">
      <c r="A861" s="2" t="s">
        <v>2011</v>
      </c>
      <c r="B861" s="2" t="s">
        <v>2011</v>
      </c>
      <c r="C861" s="2" t="s">
        <v>17</v>
      </c>
      <c r="D861" s="2" t="s">
        <v>18</v>
      </c>
      <c r="E861" s="5">
        <v>-28681</v>
      </c>
      <c r="F861" s="3" t="s">
        <v>210</v>
      </c>
      <c r="G861" s="3" t="s">
        <v>52</v>
      </c>
      <c r="H861" s="2" t="s">
        <v>21</v>
      </c>
      <c r="I861" s="2" t="s">
        <v>2013</v>
      </c>
      <c r="J861" s="3" t="str">
        <f>HYPERLINK("https://www.boe.es/gazeta/dias/1821/06/21/pdfs/GMD-1821-174.pdf#page=2","Abrir facsímil")</f>
        <v>Abrir facsímil</v>
      </c>
      <c r="K861" s="3" t="s">
        <v>23</v>
      </c>
    </row>
    <row r="862" spans="1:11" ht="42" customHeight="1">
      <c r="A862" s="2" t="s">
        <v>2014</v>
      </c>
      <c r="B862" s="2" t="s">
        <v>2014</v>
      </c>
      <c r="C862" s="2" t="s">
        <v>26</v>
      </c>
      <c r="D862" s="2" t="s">
        <v>27</v>
      </c>
      <c r="E862" s="5">
        <v>-28774</v>
      </c>
      <c r="F862" s="3" t="s">
        <v>1221</v>
      </c>
      <c r="G862" s="3" t="s">
        <v>88</v>
      </c>
      <c r="H862" s="2" t="s">
        <v>21</v>
      </c>
      <c r="I862" s="2" t="s">
        <v>2015</v>
      </c>
      <c r="J862" s="3" t="str">
        <f>HYPERLINK("https://www.boe.es/gazeta/dias/1821/03/20/pdfs/GMD-1821-79.pdf#page=4","Abrir facsímil")</f>
        <v>Abrir facsímil</v>
      </c>
      <c r="K862" s="3" t="s">
        <v>23</v>
      </c>
    </row>
    <row r="863" spans="1:11" ht="42" customHeight="1">
      <c r="A863" s="2" t="s">
        <v>2014</v>
      </c>
      <c r="B863" s="2" t="s">
        <v>2014</v>
      </c>
      <c r="C863" s="2" t="s">
        <v>35</v>
      </c>
      <c r="D863" s="2" t="s">
        <v>27</v>
      </c>
      <c r="E863" s="5">
        <v>-28757</v>
      </c>
      <c r="F863" s="3" t="s">
        <v>472</v>
      </c>
      <c r="G863" s="3" t="s">
        <v>20</v>
      </c>
      <c r="H863" s="2" t="s">
        <v>21</v>
      </c>
      <c r="I863" s="2" t="s">
        <v>2016</v>
      </c>
      <c r="J863" s="3" t="str">
        <f>HYPERLINK("https://www.boe.es/gazeta/dias/1821/04/06/pdfs/GMD-1821-98.pdf#page=3","Abrir facsímil")</f>
        <v>Abrir facsímil</v>
      </c>
      <c r="K863" s="3" t="s">
        <v>23</v>
      </c>
    </row>
    <row r="864" spans="1:11" ht="42" customHeight="1">
      <c r="A864" s="2" t="s">
        <v>2014</v>
      </c>
      <c r="B864" s="2" t="s">
        <v>2014</v>
      </c>
      <c r="C864" s="2" t="s">
        <v>17</v>
      </c>
      <c r="D864" s="2" t="s">
        <v>18</v>
      </c>
      <c r="E864" s="5">
        <v>-28684</v>
      </c>
      <c r="F864" s="3" t="s">
        <v>208</v>
      </c>
      <c r="G864" s="3" t="s">
        <v>52</v>
      </c>
      <c r="H864" s="2" t="s">
        <v>21</v>
      </c>
      <c r="I864" s="2" t="s">
        <v>2017</v>
      </c>
      <c r="J864" s="3" t="str">
        <f>HYPERLINK("https://www.boe.es/gazeta/dias/1821/06/18/pdfs/GMD-1821-171.pdf#page=2","Abrir facsímil")</f>
        <v>Abrir facsímil</v>
      </c>
      <c r="K864" s="3" t="s">
        <v>23</v>
      </c>
    </row>
    <row r="865" spans="1:11" ht="42" customHeight="1">
      <c r="A865" s="2" t="s">
        <v>2014</v>
      </c>
      <c r="B865" s="2" t="s">
        <v>2014</v>
      </c>
      <c r="C865" s="2" t="s">
        <v>35</v>
      </c>
      <c r="D865" s="2" t="s">
        <v>27</v>
      </c>
      <c r="E865" s="5">
        <v>-28681</v>
      </c>
      <c r="F865" s="3" t="s">
        <v>210</v>
      </c>
      <c r="G865" s="3" t="s">
        <v>88</v>
      </c>
      <c r="H865" s="2" t="s">
        <v>21</v>
      </c>
      <c r="I865" s="2" t="s">
        <v>2018</v>
      </c>
      <c r="J865" s="3" t="str">
        <f>HYPERLINK("https://www.boe.es/gazeta/dias/1821/06/21/pdfs/GMD-1821-174.pdf#page=4","Abrir facsímil")</f>
        <v>Abrir facsímil</v>
      </c>
      <c r="K865" s="3" t="s">
        <v>23</v>
      </c>
    </row>
    <row r="866" spans="1:11" ht="42" customHeight="1">
      <c r="A866" s="2" t="s">
        <v>2014</v>
      </c>
      <c r="B866" s="2" t="s">
        <v>2014</v>
      </c>
      <c r="C866" s="2" t="s">
        <v>35</v>
      </c>
      <c r="D866" s="2" t="s">
        <v>27</v>
      </c>
      <c r="E866" s="5">
        <v>-28514</v>
      </c>
      <c r="F866" s="3" t="s">
        <v>103</v>
      </c>
      <c r="G866" s="3" t="s">
        <v>52</v>
      </c>
      <c r="H866" s="2" t="s">
        <v>21</v>
      </c>
      <c r="I866" s="2" t="s">
        <v>2019</v>
      </c>
      <c r="J866" s="3" t="str">
        <f>HYPERLINK("https://www.boe.es/gazeta/dias/1821/12/05/pdfs/GMD-1821-347.pdf#page=2","Abrir facsímil")</f>
        <v>Abrir facsímil</v>
      </c>
      <c r="K866" s="3" t="s">
        <v>23</v>
      </c>
    </row>
    <row r="867" spans="1:11" ht="42" customHeight="1">
      <c r="A867" s="2" t="s">
        <v>2020</v>
      </c>
      <c r="B867" s="2" t="s">
        <v>2020</v>
      </c>
      <c r="C867" s="2" t="s">
        <v>26</v>
      </c>
      <c r="D867" s="2" t="s">
        <v>27</v>
      </c>
      <c r="E867" s="5">
        <v>-28677</v>
      </c>
      <c r="F867" s="3" t="s">
        <v>361</v>
      </c>
      <c r="G867" s="3" t="s">
        <v>88</v>
      </c>
      <c r="H867" s="2" t="s">
        <v>21</v>
      </c>
      <c r="I867" s="2" t="s">
        <v>2021</v>
      </c>
      <c r="J867" s="3" t="str">
        <f>HYPERLINK("https://www.boe.es/gazeta/dias/1821/06/25/pdfs/GMD-1821-178.pdf#page=4","Abrir facsímil")</f>
        <v>Abrir facsímil</v>
      </c>
      <c r="K867" s="3" t="s">
        <v>23</v>
      </c>
    </row>
    <row r="868" spans="1:11" ht="42" customHeight="1">
      <c r="A868" s="2" t="s">
        <v>2020</v>
      </c>
      <c r="B868" s="2" t="s">
        <v>2020</v>
      </c>
      <c r="C868" s="2" t="s">
        <v>17</v>
      </c>
      <c r="D868" s="2" t="s">
        <v>18</v>
      </c>
      <c r="E868" s="5">
        <v>-28676</v>
      </c>
      <c r="F868" s="3" t="s">
        <v>534</v>
      </c>
      <c r="G868" s="3" t="s">
        <v>52</v>
      </c>
      <c r="H868" s="2" t="s">
        <v>21</v>
      </c>
      <c r="I868" s="2" t="s">
        <v>2022</v>
      </c>
      <c r="J868" s="3" t="str">
        <f>HYPERLINK("https://www.boe.es/gazeta/dias/1821/06/26/pdfs/GMD-1821-179.pdf#page=2","Abrir facsímil")</f>
        <v>Abrir facsímil</v>
      </c>
      <c r="K868" s="3" t="s">
        <v>23</v>
      </c>
    </row>
    <row r="869" spans="1:11" ht="42" customHeight="1">
      <c r="A869" s="2" t="s">
        <v>2023</v>
      </c>
      <c r="B869" s="2" t="s">
        <v>2024</v>
      </c>
      <c r="C869" s="2" t="s">
        <v>17</v>
      </c>
      <c r="D869" s="2" t="s">
        <v>18</v>
      </c>
      <c r="E869" s="5">
        <v>-28755</v>
      </c>
      <c r="F869" s="3" t="s">
        <v>906</v>
      </c>
      <c r="G869" s="3" t="s">
        <v>907</v>
      </c>
      <c r="H869" s="2" t="s">
        <v>21</v>
      </c>
      <c r="I869" s="2" t="s">
        <v>2025</v>
      </c>
      <c r="J869" s="3" t="str">
        <f>HYPERLINK("https://www.boe.es/gazeta/dias/1821/04/08/pdfs/GMD-1821-100.pdf#page=4","Abrir facsímil")</f>
        <v>Abrir facsímil</v>
      </c>
      <c r="K869" s="3" t="s">
        <v>23</v>
      </c>
    </row>
    <row r="870" spans="1:11" ht="42" customHeight="1">
      <c r="A870" s="2" t="s">
        <v>2026</v>
      </c>
      <c r="B870" s="2" t="s">
        <v>2027</v>
      </c>
      <c r="C870" s="2" t="s">
        <v>17</v>
      </c>
      <c r="D870" s="2" t="s">
        <v>18</v>
      </c>
      <c r="E870" s="5">
        <v>-28532</v>
      </c>
      <c r="F870" s="3" t="s">
        <v>1415</v>
      </c>
      <c r="G870" s="3" t="s">
        <v>52</v>
      </c>
      <c r="H870" s="2" t="s">
        <v>21</v>
      </c>
      <c r="I870" s="2" t="s">
        <v>2028</v>
      </c>
      <c r="J870" s="3" t="str">
        <f>HYPERLINK("https://www.boe.es/gazeta/dias/1821/11/17/pdfs/GMD-1821-328.pdf#page=2","Abrir facsímil")</f>
        <v>Abrir facsímil</v>
      </c>
      <c r="K870" s="3" t="s">
        <v>23</v>
      </c>
    </row>
    <row r="871" spans="1:11" ht="42" customHeight="1">
      <c r="A871" s="2" t="s">
        <v>2029</v>
      </c>
      <c r="B871" s="2" t="s">
        <v>2030</v>
      </c>
      <c r="C871" s="2" t="s">
        <v>26</v>
      </c>
      <c r="D871" s="2" t="s">
        <v>27</v>
      </c>
      <c r="E871" s="5">
        <v>-28521</v>
      </c>
      <c r="F871" s="3" t="s">
        <v>499</v>
      </c>
      <c r="G871" s="3" t="s">
        <v>43</v>
      </c>
      <c r="H871" s="2" t="s">
        <v>21</v>
      </c>
      <c r="I871" s="2" t="s">
        <v>2031</v>
      </c>
      <c r="J871" s="3" t="str">
        <f>HYPERLINK("https://www.boe.es/gazeta/dias/1821/11/28/pdfs/GMD-1821-340.pdf#page=1","Abrir facsímil")</f>
        <v>Abrir facsímil</v>
      </c>
      <c r="K871" s="3" t="s">
        <v>23</v>
      </c>
    </row>
    <row r="872" spans="1:11" ht="42" customHeight="1">
      <c r="A872" s="2" t="s">
        <v>2032</v>
      </c>
      <c r="B872" s="2" t="s">
        <v>2033</v>
      </c>
      <c r="C872" s="2" t="s">
        <v>17</v>
      </c>
      <c r="D872" s="2" t="s">
        <v>18</v>
      </c>
      <c r="E872" s="5">
        <v>-28676</v>
      </c>
      <c r="F872" s="3" t="s">
        <v>534</v>
      </c>
      <c r="G872" s="3" t="s">
        <v>29</v>
      </c>
      <c r="H872" s="2" t="s">
        <v>21</v>
      </c>
      <c r="I872" s="2" t="s">
        <v>2034</v>
      </c>
      <c r="J872" s="3" t="str">
        <f>HYPERLINK("https://www.boe.es/gazeta/dias/1821/06/26/pdfs/GMD-1821-179.pdf#page=6","Abrir facsímil")</f>
        <v>Abrir facsímil</v>
      </c>
      <c r="K872" s="3" t="s">
        <v>23</v>
      </c>
    </row>
    <row r="873" spans="1:11" ht="42" customHeight="1">
      <c r="A873" s="2" t="s">
        <v>2035</v>
      </c>
      <c r="B873" s="2" t="s">
        <v>2036</v>
      </c>
      <c r="C873" s="2" t="s">
        <v>17</v>
      </c>
      <c r="D873" s="2" t="s">
        <v>18</v>
      </c>
      <c r="E873" s="5">
        <v>-28766</v>
      </c>
      <c r="F873" s="3" t="s">
        <v>1481</v>
      </c>
      <c r="G873" s="3" t="s">
        <v>52</v>
      </c>
      <c r="H873" s="2" t="s">
        <v>21</v>
      </c>
      <c r="I873" s="2" t="s">
        <v>2037</v>
      </c>
      <c r="J873" s="3" t="str">
        <f>HYPERLINK("https://www.boe.es/gazeta/dias/1821/03/28/pdfs/GMD-1821-88.pdf#page=2","Abrir facsímil")</f>
        <v>Abrir facsímil</v>
      </c>
      <c r="K873" s="3" t="s">
        <v>23</v>
      </c>
    </row>
    <row r="874" spans="1:11" ht="42" customHeight="1">
      <c r="A874" s="2" t="s">
        <v>2035</v>
      </c>
      <c r="B874" s="2" t="s">
        <v>2036</v>
      </c>
      <c r="C874" s="2" t="s">
        <v>40</v>
      </c>
      <c r="D874" s="2" t="s">
        <v>41</v>
      </c>
      <c r="E874" s="5">
        <v>-28750</v>
      </c>
      <c r="F874" s="3" t="s">
        <v>917</v>
      </c>
      <c r="G874" s="3" t="s">
        <v>52</v>
      </c>
      <c r="H874" s="2" t="s">
        <v>21</v>
      </c>
      <c r="I874" s="2" t="s">
        <v>2038</v>
      </c>
      <c r="J874" s="3" t="str">
        <f>HYPERLINK("https://www.boe.es/gazeta/dias/1821/04/13/pdfs/GMD-1821-105.pdf#page=2","Abrir facsímil")</f>
        <v>Abrir facsímil</v>
      </c>
      <c r="K874" s="3" t="s">
        <v>23</v>
      </c>
    </row>
    <row r="875" spans="1:11" ht="42" customHeight="1">
      <c r="A875" s="2" t="s">
        <v>2039</v>
      </c>
      <c r="B875" s="2" t="s">
        <v>2039</v>
      </c>
      <c r="C875" s="2" t="s">
        <v>40</v>
      </c>
      <c r="D875" s="2" t="s">
        <v>41</v>
      </c>
      <c r="E875" s="5">
        <v>-28793</v>
      </c>
      <c r="F875" s="3" t="s">
        <v>157</v>
      </c>
      <c r="G875" s="3" t="s">
        <v>20</v>
      </c>
      <c r="H875" s="2" t="s">
        <v>21</v>
      </c>
      <c r="I875" s="2" t="s">
        <v>2040</v>
      </c>
      <c r="J875" s="3" t="str">
        <f>HYPERLINK("https://www.boe.es/gazeta/dias/1821/03/01/pdfs/GGB-1821-60.pdf#page=3","Abrir facsímil")</f>
        <v>Abrir facsímil</v>
      </c>
      <c r="K875" s="3" t="s">
        <v>23</v>
      </c>
    </row>
    <row r="876" spans="1:11" ht="42" customHeight="1">
      <c r="A876" s="2" t="s">
        <v>2039</v>
      </c>
      <c r="B876" s="2" t="s">
        <v>2039</v>
      </c>
      <c r="C876" s="2" t="s">
        <v>40</v>
      </c>
      <c r="D876" s="2" t="s">
        <v>41</v>
      </c>
      <c r="E876" s="5">
        <v>-28727</v>
      </c>
      <c r="F876" s="3" t="s">
        <v>200</v>
      </c>
      <c r="G876" s="3" t="s">
        <v>52</v>
      </c>
      <c r="H876" s="2" t="s">
        <v>21</v>
      </c>
      <c r="I876" s="2" t="s">
        <v>2041</v>
      </c>
      <c r="J876" s="3" t="str">
        <f>HYPERLINK("https://www.boe.es/gazeta/dias/1821/05/06/pdfs/GMD-1821-128.pdf#page=2","Abrir facsímil")</f>
        <v>Abrir facsímil</v>
      </c>
      <c r="K876" s="3" t="s">
        <v>23</v>
      </c>
    </row>
    <row r="877" spans="1:11" ht="42" customHeight="1">
      <c r="A877" s="2" t="s">
        <v>2039</v>
      </c>
      <c r="B877" s="2" t="s">
        <v>2039</v>
      </c>
      <c r="C877" s="2" t="s">
        <v>35</v>
      </c>
      <c r="D877" s="2" t="s">
        <v>27</v>
      </c>
      <c r="E877" s="5">
        <v>-28709</v>
      </c>
      <c r="F877" s="3" t="s">
        <v>1434</v>
      </c>
      <c r="G877" s="3" t="s">
        <v>20</v>
      </c>
      <c r="H877" s="2" t="s">
        <v>21</v>
      </c>
      <c r="I877" s="2" t="s">
        <v>2042</v>
      </c>
      <c r="J877" s="3" t="str">
        <f>HYPERLINK("https://www.boe.es/gazeta/dias/1821/05/24/pdfs/GMD-1821-146.pdf#page=3","Abrir facsímil")</f>
        <v>Abrir facsímil</v>
      </c>
      <c r="K877" s="3" t="s">
        <v>23</v>
      </c>
    </row>
    <row r="878" spans="1:11" ht="42" customHeight="1">
      <c r="A878" s="2" t="s">
        <v>2039</v>
      </c>
      <c r="B878" s="2" t="s">
        <v>2039</v>
      </c>
      <c r="C878" s="2" t="s">
        <v>17</v>
      </c>
      <c r="D878" s="2" t="s">
        <v>18</v>
      </c>
      <c r="E878" s="5">
        <v>-28672</v>
      </c>
      <c r="F878" s="3" t="s">
        <v>964</v>
      </c>
      <c r="G878" s="3" t="s">
        <v>20</v>
      </c>
      <c r="H878" s="2" t="s">
        <v>21</v>
      </c>
      <c r="I878" s="2" t="s">
        <v>2043</v>
      </c>
      <c r="J878" s="3" t="str">
        <f>HYPERLINK("https://www.boe.es/gazeta/dias/1821/06/30/pdfs/GMD-1821-183.pdf#page=3","Abrir facsímil")</f>
        <v>Abrir facsímil</v>
      </c>
      <c r="K878" s="3" t="s">
        <v>23</v>
      </c>
    </row>
    <row r="879" spans="1:11" ht="42" customHeight="1">
      <c r="A879" s="2" t="s">
        <v>2039</v>
      </c>
      <c r="B879" s="2" t="s">
        <v>2039</v>
      </c>
      <c r="C879" s="2" t="s">
        <v>35</v>
      </c>
      <c r="D879" s="2" t="s">
        <v>27</v>
      </c>
      <c r="E879" s="5">
        <v>-28559</v>
      </c>
      <c r="F879" s="3" t="s">
        <v>1078</v>
      </c>
      <c r="G879" s="3" t="s">
        <v>162</v>
      </c>
      <c r="H879" s="2" t="s">
        <v>21</v>
      </c>
      <c r="I879" s="2" t="s">
        <v>2044</v>
      </c>
      <c r="J879" s="3" t="str">
        <f>HYPERLINK("https://www.boe.es/gazeta/dias/1821/10/21/pdfs/GMD-1821-300.pdf#page=5","Abrir facsímil")</f>
        <v>Abrir facsímil</v>
      </c>
      <c r="K879" s="3" t="s">
        <v>23</v>
      </c>
    </row>
    <row r="880" spans="1:11" ht="42" customHeight="1">
      <c r="A880" s="2" t="s">
        <v>2039</v>
      </c>
      <c r="B880" s="2" t="s">
        <v>2039</v>
      </c>
      <c r="C880" s="2" t="s">
        <v>40</v>
      </c>
      <c r="D880" s="2" t="s">
        <v>41</v>
      </c>
      <c r="E880" s="5">
        <v>-28555</v>
      </c>
      <c r="F880" s="3" t="s">
        <v>219</v>
      </c>
      <c r="G880" s="3" t="s">
        <v>88</v>
      </c>
      <c r="H880" s="2" t="s">
        <v>21</v>
      </c>
      <c r="I880" s="2" t="s">
        <v>2045</v>
      </c>
      <c r="J880" s="3" t="str">
        <f>HYPERLINK("https://www.boe.es/gazeta/dias/1821/10/25/pdfs/GMD-1821-304.pdf#page=4","Abrir facsímil")</f>
        <v>Abrir facsímil</v>
      </c>
      <c r="K880" s="3" t="s">
        <v>23</v>
      </c>
    </row>
    <row r="881" spans="1:11" ht="42" customHeight="1">
      <c r="A881" s="2" t="s">
        <v>2039</v>
      </c>
      <c r="B881" s="2" t="s">
        <v>2039</v>
      </c>
      <c r="C881" s="2" t="s">
        <v>40</v>
      </c>
      <c r="D881" s="2" t="s">
        <v>41</v>
      </c>
      <c r="E881" s="5">
        <v>-28495</v>
      </c>
      <c r="F881" s="3" t="s">
        <v>227</v>
      </c>
      <c r="G881" s="3" t="s">
        <v>52</v>
      </c>
      <c r="H881" s="2" t="s">
        <v>21</v>
      </c>
      <c r="I881" s="2" t="s">
        <v>2046</v>
      </c>
      <c r="J881" s="3" t="str">
        <f>HYPERLINK("https://www.boe.es/gazeta/dias/1821/12/24/pdfs/GMD-1821-367.pdf#page=2","Abrir facsímil")</f>
        <v>Abrir facsímil</v>
      </c>
      <c r="K881" s="3" t="s">
        <v>23</v>
      </c>
    </row>
    <row r="882" spans="1:11" ht="42" customHeight="1">
      <c r="A882" s="2" t="s">
        <v>2047</v>
      </c>
      <c r="B882" s="2" t="s">
        <v>2048</v>
      </c>
      <c r="C882" s="2" t="s">
        <v>17</v>
      </c>
      <c r="D882" s="2" t="s">
        <v>18</v>
      </c>
      <c r="E882" s="5">
        <v>-28696</v>
      </c>
      <c r="F882" s="3" t="s">
        <v>497</v>
      </c>
      <c r="G882" s="3" t="s">
        <v>88</v>
      </c>
      <c r="H882" s="2" t="s">
        <v>21</v>
      </c>
      <c r="I882" s="2" t="s">
        <v>2049</v>
      </c>
      <c r="J882" s="3" t="str">
        <f>HYPERLINK("https://www.boe.es/gazeta/dias/1821/06/06/pdfs/GMD-1821-159.pdf#page=4","Abrir facsímil")</f>
        <v>Abrir facsímil</v>
      </c>
      <c r="K882" s="3" t="s">
        <v>23</v>
      </c>
    </row>
    <row r="883" spans="1:11" ht="42" customHeight="1">
      <c r="A883" s="2" t="s">
        <v>2050</v>
      </c>
      <c r="B883" s="2" t="s">
        <v>2051</v>
      </c>
      <c r="C883" s="2" t="s">
        <v>17</v>
      </c>
      <c r="D883" s="2" t="s">
        <v>18</v>
      </c>
      <c r="E883" s="5">
        <v>-28696</v>
      </c>
      <c r="F883" s="3" t="s">
        <v>497</v>
      </c>
      <c r="G883" s="3" t="s">
        <v>88</v>
      </c>
      <c r="H883" s="2" t="s">
        <v>21</v>
      </c>
      <c r="I883" s="2" t="s">
        <v>2052</v>
      </c>
      <c r="J883" s="3" t="str">
        <f>HYPERLINK("https://www.boe.es/gazeta/dias/1821/06/06/pdfs/GMD-1821-159.pdf#page=4","Abrir facsímil")</f>
        <v>Abrir facsímil</v>
      </c>
      <c r="K883" s="3" t="s">
        <v>23</v>
      </c>
    </row>
    <row r="884" spans="1:11" ht="42" customHeight="1">
      <c r="A884" s="2" t="s">
        <v>2053</v>
      </c>
      <c r="B884" s="2" t="s">
        <v>2054</v>
      </c>
      <c r="C884" s="2" t="s">
        <v>40</v>
      </c>
      <c r="D884" s="2" t="s">
        <v>41</v>
      </c>
      <c r="E884" s="5">
        <v>-28531</v>
      </c>
      <c r="F884" s="3" t="s">
        <v>365</v>
      </c>
      <c r="G884" s="3" t="s">
        <v>20</v>
      </c>
      <c r="H884" s="2" t="s">
        <v>21</v>
      </c>
      <c r="I884" s="2" t="s">
        <v>2055</v>
      </c>
      <c r="J884" s="3" t="str">
        <f>HYPERLINK("https://www.boe.es/gazeta/dias/1821/11/18/pdfs/GMD-1821-329.pdf#page=3","Abrir facsímil")</f>
        <v>Abrir facsímil</v>
      </c>
      <c r="K884" s="3" t="s">
        <v>23</v>
      </c>
    </row>
    <row r="885" spans="1:11" ht="42" customHeight="1">
      <c r="A885" s="2" t="s">
        <v>2056</v>
      </c>
      <c r="B885" s="2" t="s">
        <v>2057</v>
      </c>
      <c r="C885" s="2" t="s">
        <v>17</v>
      </c>
      <c r="D885" s="2" t="s">
        <v>18</v>
      </c>
      <c r="E885" s="5">
        <v>-28696</v>
      </c>
      <c r="F885" s="3" t="s">
        <v>497</v>
      </c>
      <c r="G885" s="3" t="s">
        <v>88</v>
      </c>
      <c r="H885" s="2" t="s">
        <v>21</v>
      </c>
      <c r="I885" s="2" t="s">
        <v>2058</v>
      </c>
      <c r="J885" s="3" t="str">
        <f>HYPERLINK("https://www.boe.es/gazeta/dias/1821/06/06/pdfs/GMD-1821-159.pdf#page=4","Abrir facsímil")</f>
        <v>Abrir facsímil</v>
      </c>
      <c r="K885" s="3" t="s">
        <v>23</v>
      </c>
    </row>
    <row r="886" spans="1:11" ht="42" customHeight="1">
      <c r="A886" s="2" t="s">
        <v>2059</v>
      </c>
      <c r="B886" s="2" t="s">
        <v>2060</v>
      </c>
      <c r="C886" s="2" t="s">
        <v>40</v>
      </c>
      <c r="D886" s="2" t="s">
        <v>41</v>
      </c>
      <c r="E886" s="5">
        <v>-28541</v>
      </c>
      <c r="F886" s="3" t="s">
        <v>275</v>
      </c>
      <c r="G886" s="3" t="s">
        <v>29</v>
      </c>
      <c r="H886" s="2" t="s">
        <v>21</v>
      </c>
      <c r="I886" s="2" t="s">
        <v>2061</v>
      </c>
      <c r="J886" s="3" t="str">
        <f>HYPERLINK("https://www.boe.es/gazeta/dias/1821/11/08/pdfs/GMD-1821-319.pdf#page=6","Abrir facsímil")</f>
        <v>Abrir facsímil</v>
      </c>
      <c r="K886" s="3" t="s">
        <v>23</v>
      </c>
    </row>
    <row r="887" spans="1:11" ht="42" customHeight="1">
      <c r="A887" s="2" t="s">
        <v>2062</v>
      </c>
      <c r="B887" s="2" t="s">
        <v>2063</v>
      </c>
      <c r="C887" s="2" t="s">
        <v>40</v>
      </c>
      <c r="D887" s="2" t="s">
        <v>41</v>
      </c>
      <c r="E887" s="5">
        <v>-28510</v>
      </c>
      <c r="F887" s="3" t="s">
        <v>83</v>
      </c>
      <c r="G887" s="3" t="s">
        <v>52</v>
      </c>
      <c r="H887" s="2" t="s">
        <v>21</v>
      </c>
      <c r="I887" s="2" t="s">
        <v>2064</v>
      </c>
      <c r="J887" s="3" t="str">
        <f>HYPERLINK("https://www.boe.es/gazeta/dias/1821/12/09/pdfs/GMD-1821-351.pdf#page=2","Abrir facsímil")</f>
        <v>Abrir facsímil</v>
      </c>
      <c r="K887" s="3" t="s">
        <v>23</v>
      </c>
    </row>
    <row r="888" spans="1:11" ht="42" customHeight="1">
      <c r="A888" s="2" t="s">
        <v>2065</v>
      </c>
      <c r="B888" s="2" t="s">
        <v>2066</v>
      </c>
      <c r="C888" s="2" t="s">
        <v>35</v>
      </c>
      <c r="D888" s="2" t="s">
        <v>27</v>
      </c>
      <c r="E888" s="5">
        <v>-28698</v>
      </c>
      <c r="F888" s="3" t="s">
        <v>2067</v>
      </c>
      <c r="G888" s="3" t="s">
        <v>20</v>
      </c>
      <c r="H888" s="2" t="s">
        <v>21</v>
      </c>
      <c r="I888" s="2" t="s">
        <v>2068</v>
      </c>
      <c r="J888" s="3" t="str">
        <f>HYPERLINK("https://www.boe.es/gazeta/dias/1821/06/04/pdfs/GMD-1821-157.pdf#page=3","Abrir facsímil")</f>
        <v>Abrir facsímil</v>
      </c>
      <c r="K888" s="3" t="s">
        <v>23</v>
      </c>
    </row>
    <row r="889" spans="1:11" ht="42" customHeight="1">
      <c r="A889" s="2" t="s">
        <v>2069</v>
      </c>
      <c r="B889" s="2" t="s">
        <v>2070</v>
      </c>
      <c r="C889" s="2" t="s">
        <v>174</v>
      </c>
      <c r="D889" s="2" t="s">
        <v>27</v>
      </c>
      <c r="E889" s="5">
        <v>-28541</v>
      </c>
      <c r="F889" s="3" t="s">
        <v>275</v>
      </c>
      <c r="G889" s="3" t="s">
        <v>52</v>
      </c>
      <c r="H889" s="2" t="s">
        <v>21</v>
      </c>
      <c r="I889" s="2" t="s">
        <v>2071</v>
      </c>
      <c r="J889" s="3" t="str">
        <f>HYPERLINK("https://www.boe.es/gazeta/dias/1821/11/08/pdfs/GMD-1821-319.pdf#page=2","Abrir facsímil")</f>
        <v>Abrir facsímil</v>
      </c>
      <c r="K889" s="3" t="s">
        <v>23</v>
      </c>
    </row>
    <row r="890" spans="1:11" ht="42" customHeight="1">
      <c r="A890" s="2" t="s">
        <v>2072</v>
      </c>
      <c r="B890" s="2" t="s">
        <v>2073</v>
      </c>
      <c r="C890" s="2" t="s">
        <v>279</v>
      </c>
      <c r="D890" s="2" t="s">
        <v>27</v>
      </c>
      <c r="E890" s="5">
        <v>-28500</v>
      </c>
      <c r="F890" s="3" t="s">
        <v>298</v>
      </c>
      <c r="G890" s="3" t="s">
        <v>20</v>
      </c>
      <c r="H890" s="2" t="s">
        <v>21</v>
      </c>
      <c r="I890" s="2" t="s">
        <v>2074</v>
      </c>
      <c r="J890" s="3" t="str">
        <f>HYPERLINK("https://www.boe.es/gazeta/dias/1821/12/19/pdfs/GMD-1821-362.pdf#page=3","Abrir facsímil")</f>
        <v>Abrir facsímil</v>
      </c>
      <c r="K890" s="3" t="s">
        <v>23</v>
      </c>
    </row>
    <row r="891" spans="1:11" ht="42" customHeight="1">
      <c r="A891" s="2" t="s">
        <v>2075</v>
      </c>
      <c r="B891" s="2" t="s">
        <v>2076</v>
      </c>
      <c r="C891" s="2" t="s">
        <v>17</v>
      </c>
      <c r="D891" s="2" t="s">
        <v>18</v>
      </c>
      <c r="E891" s="5">
        <v>-28727</v>
      </c>
      <c r="F891" s="3" t="s">
        <v>200</v>
      </c>
      <c r="G891" s="3" t="s">
        <v>43</v>
      </c>
      <c r="H891" s="2" t="s">
        <v>21</v>
      </c>
      <c r="I891" s="2" t="s">
        <v>2077</v>
      </c>
      <c r="J891" s="3" t="str">
        <f>HYPERLINK("https://www.boe.es/gazeta/dias/1821/05/06/pdfs/GMD-1821-128.pdf#page=1","Abrir facsímil")</f>
        <v>Abrir facsímil</v>
      </c>
      <c r="K891" s="3" t="s">
        <v>23</v>
      </c>
    </row>
    <row r="892" spans="1:11" ht="42" customHeight="1">
      <c r="A892" s="2" t="s">
        <v>2078</v>
      </c>
      <c r="B892" s="2" t="s">
        <v>2079</v>
      </c>
      <c r="C892" s="2" t="s">
        <v>17</v>
      </c>
      <c r="D892" s="2" t="s">
        <v>18</v>
      </c>
      <c r="E892" s="5">
        <v>-28674</v>
      </c>
      <c r="F892" s="3" t="s">
        <v>536</v>
      </c>
      <c r="G892" s="3" t="s">
        <v>162</v>
      </c>
      <c r="H892" s="2" t="s">
        <v>21</v>
      </c>
      <c r="I892" s="2" t="s">
        <v>2080</v>
      </c>
      <c r="J892" s="3" t="str">
        <f>HYPERLINK("https://www.boe.es/gazeta/dias/1821/06/28/pdfs/GMD-1821-181.pdf#page=5","Abrir facsímil")</f>
        <v>Abrir facsímil</v>
      </c>
      <c r="K892" s="3" t="s">
        <v>23</v>
      </c>
    </row>
    <row r="893" spans="1:11" ht="42" customHeight="1">
      <c r="A893" s="2" t="s">
        <v>2081</v>
      </c>
      <c r="B893" s="2" t="s">
        <v>2082</v>
      </c>
      <c r="C893" s="2" t="s">
        <v>40</v>
      </c>
      <c r="D893" s="2" t="s">
        <v>41</v>
      </c>
      <c r="E893" s="5">
        <v>-28770</v>
      </c>
      <c r="F893" s="3" t="s">
        <v>1009</v>
      </c>
      <c r="G893" s="3" t="s">
        <v>20</v>
      </c>
      <c r="H893" s="2" t="s">
        <v>21</v>
      </c>
      <c r="I893" s="2" t="s">
        <v>2083</v>
      </c>
      <c r="J893" s="3" t="str">
        <f>HYPERLINK("https://www.boe.es/gazeta/dias/1821/03/24/pdfs/GMD-1821-84.pdf#page=3","Abrir facsímil")</f>
        <v>Abrir facsímil</v>
      </c>
      <c r="K893" s="3" t="s">
        <v>23</v>
      </c>
    </row>
    <row r="894" spans="1:11" ht="42" customHeight="1">
      <c r="A894" s="2" t="s">
        <v>2084</v>
      </c>
      <c r="B894" s="2" t="s">
        <v>2085</v>
      </c>
      <c r="C894" s="2" t="s">
        <v>17</v>
      </c>
      <c r="D894" s="2" t="s">
        <v>18</v>
      </c>
      <c r="E894" s="5">
        <v>-28790</v>
      </c>
      <c r="F894" s="3" t="s">
        <v>991</v>
      </c>
      <c r="G894" s="3" t="s">
        <v>52</v>
      </c>
      <c r="H894" s="2" t="s">
        <v>21</v>
      </c>
      <c r="I894" s="2" t="s">
        <v>2086</v>
      </c>
      <c r="J894" s="3" t="str">
        <f>HYPERLINK("https://www.boe.es/gazeta/dias/1821/03/04/pdfs/GGB-1821-63.pdf#page=2","Abrir facsímil")</f>
        <v>Abrir facsímil</v>
      </c>
      <c r="K894" s="3" t="s">
        <v>23</v>
      </c>
    </row>
    <row r="895" spans="1:11" ht="42" customHeight="1">
      <c r="A895" s="2" t="s">
        <v>2084</v>
      </c>
      <c r="B895" s="2" t="s">
        <v>2085</v>
      </c>
      <c r="C895" s="2" t="s">
        <v>17</v>
      </c>
      <c r="D895" s="2" t="s">
        <v>18</v>
      </c>
      <c r="E895" s="5">
        <v>-28770</v>
      </c>
      <c r="F895" s="3" t="s">
        <v>1009</v>
      </c>
      <c r="G895" s="3" t="s">
        <v>88</v>
      </c>
      <c r="H895" s="2" t="s">
        <v>21</v>
      </c>
      <c r="I895" s="2" t="s">
        <v>2087</v>
      </c>
      <c r="J895" s="3" t="str">
        <f>HYPERLINK("https://www.boe.es/gazeta/dias/1821/03/24/pdfs/GMD-1821-84.pdf#page=4","Abrir facsímil")</f>
        <v>Abrir facsímil</v>
      </c>
      <c r="K895" s="3" t="s">
        <v>23</v>
      </c>
    </row>
    <row r="896" spans="1:11" ht="42" customHeight="1">
      <c r="A896" s="2" t="s">
        <v>2088</v>
      </c>
      <c r="B896" s="2" t="s">
        <v>2089</v>
      </c>
      <c r="C896" s="2" t="s">
        <v>40</v>
      </c>
      <c r="D896" s="2" t="s">
        <v>41</v>
      </c>
      <c r="E896" s="5">
        <v>-28814</v>
      </c>
      <c r="F896" s="3" t="s">
        <v>2090</v>
      </c>
      <c r="G896" s="3" t="s">
        <v>43</v>
      </c>
      <c r="H896" s="2" t="s">
        <v>30</v>
      </c>
      <c r="I896" s="2" t="s">
        <v>2091</v>
      </c>
      <c r="J896" s="3" t="str">
        <f>HYPERLINK("https://www.boe.es/gazeta/dias/1821/02/08/pdfs/GGB-1821-39.pdf#page=1","Abrir facsímil")</f>
        <v>Abrir facsímil</v>
      </c>
      <c r="K896" s="3" t="s">
        <v>32</v>
      </c>
    </row>
    <row r="897" spans="1:11" ht="42" customHeight="1">
      <c r="A897" s="2" t="s">
        <v>2092</v>
      </c>
      <c r="B897" s="2" t="s">
        <v>2093</v>
      </c>
      <c r="C897" s="2" t="s">
        <v>40</v>
      </c>
      <c r="D897" s="2" t="s">
        <v>41</v>
      </c>
      <c r="E897" s="5">
        <v>-28721</v>
      </c>
      <c r="F897" s="3" t="s">
        <v>92</v>
      </c>
      <c r="G897" s="3" t="s">
        <v>88</v>
      </c>
      <c r="H897" s="2" t="s">
        <v>21</v>
      </c>
      <c r="I897" s="2" t="s">
        <v>2094</v>
      </c>
      <c r="J897" s="3" t="str">
        <f>HYPERLINK("https://www.boe.es/gazeta/dias/1821/05/12/pdfs/GMD-1821-134.pdf#page=4","Abrir facsímil")</f>
        <v>Abrir facsímil</v>
      </c>
      <c r="K897" s="3" t="s">
        <v>23</v>
      </c>
    </row>
    <row r="898" spans="1:11" ht="42" customHeight="1">
      <c r="A898" s="2" t="s">
        <v>2095</v>
      </c>
      <c r="B898" s="2" t="s">
        <v>2096</v>
      </c>
      <c r="C898" s="2" t="s">
        <v>40</v>
      </c>
      <c r="D898" s="2" t="s">
        <v>41</v>
      </c>
      <c r="E898" s="5">
        <v>-28654</v>
      </c>
      <c r="F898" s="3" t="s">
        <v>674</v>
      </c>
      <c r="G898" s="3" t="s">
        <v>88</v>
      </c>
      <c r="H898" s="2" t="s">
        <v>21</v>
      </c>
      <c r="I898" s="2" t="s">
        <v>2097</v>
      </c>
      <c r="J898" s="3" t="str">
        <f>HYPERLINK("https://www.boe.es/gazeta/dias/1821/07/18/pdfs/GMD-1821-203.pdf#page=4","Abrir facsímil")</f>
        <v>Abrir facsímil</v>
      </c>
      <c r="K898" s="3" t="s">
        <v>23</v>
      </c>
    </row>
    <row r="899" spans="1:11" ht="42" customHeight="1">
      <c r="A899" s="2" t="s">
        <v>2098</v>
      </c>
      <c r="B899" s="2" t="s">
        <v>2098</v>
      </c>
      <c r="C899" s="2" t="s">
        <v>40</v>
      </c>
      <c r="D899" s="2" t="s">
        <v>41</v>
      </c>
      <c r="E899" s="5">
        <v>-28687</v>
      </c>
      <c r="F899" s="3" t="s">
        <v>851</v>
      </c>
      <c r="G899" s="3" t="s">
        <v>88</v>
      </c>
      <c r="H899" s="2" t="s">
        <v>21</v>
      </c>
      <c r="I899" s="2" t="s">
        <v>2099</v>
      </c>
      <c r="J899" s="3" t="str">
        <f>HYPERLINK("https://www.boe.es/gazeta/dias/1821/06/15/pdfs/GMD-1821-168.pdf#page=4","Abrir facsímil")</f>
        <v>Abrir facsímil</v>
      </c>
      <c r="K899" s="3" t="s">
        <v>23</v>
      </c>
    </row>
    <row r="900" spans="1:11" ht="42" customHeight="1">
      <c r="A900" s="2" t="s">
        <v>2100</v>
      </c>
      <c r="B900" s="2" t="s">
        <v>2101</v>
      </c>
      <c r="C900" s="2" t="s">
        <v>40</v>
      </c>
      <c r="D900" s="2" t="s">
        <v>41</v>
      </c>
      <c r="E900" s="5">
        <v>-28757</v>
      </c>
      <c r="F900" s="3" t="s">
        <v>472</v>
      </c>
      <c r="G900" s="3" t="s">
        <v>52</v>
      </c>
      <c r="H900" s="2" t="s">
        <v>21</v>
      </c>
      <c r="I900" s="2" t="s">
        <v>2102</v>
      </c>
      <c r="J900" s="3" t="str">
        <f>HYPERLINK("https://www.boe.es/gazeta/dias/1821/04/06/pdfs/GMD-1821-98.pdf#page=2","Abrir facsímil")</f>
        <v>Abrir facsímil</v>
      </c>
      <c r="K900" s="3" t="s">
        <v>23</v>
      </c>
    </row>
    <row r="901" spans="1:11" ht="42" customHeight="1">
      <c r="A901" s="2" t="s">
        <v>2100</v>
      </c>
      <c r="B901" s="2" t="s">
        <v>2101</v>
      </c>
      <c r="C901" s="2" t="s">
        <v>70</v>
      </c>
      <c r="D901" s="2" t="s">
        <v>27</v>
      </c>
      <c r="E901" s="5">
        <v>-28694</v>
      </c>
      <c r="F901" s="3" t="s">
        <v>1057</v>
      </c>
      <c r="G901" s="3" t="s">
        <v>20</v>
      </c>
      <c r="H901" s="2" t="s">
        <v>21</v>
      </c>
      <c r="I901" s="2" t="s">
        <v>2103</v>
      </c>
      <c r="J901" s="3" t="str">
        <f>HYPERLINK("https://www.boe.es/gazeta/dias/1821/06/08/pdfs/GMD-1821-161.pdf#page=3","Abrir facsímil")</f>
        <v>Abrir facsímil</v>
      </c>
      <c r="K901" s="3" t="s">
        <v>23</v>
      </c>
    </row>
    <row r="902" spans="1:11" ht="42" customHeight="1">
      <c r="A902" s="2" t="s">
        <v>2104</v>
      </c>
      <c r="B902" s="2" t="s">
        <v>2105</v>
      </c>
      <c r="C902" s="2" t="s">
        <v>40</v>
      </c>
      <c r="D902" s="2" t="s">
        <v>41</v>
      </c>
      <c r="E902" s="5">
        <v>-28512</v>
      </c>
      <c r="F902" s="3" t="s">
        <v>66</v>
      </c>
      <c r="G902" s="3" t="s">
        <v>43</v>
      </c>
      <c r="H902" s="2" t="s">
        <v>30</v>
      </c>
      <c r="I902" s="2" t="s">
        <v>2106</v>
      </c>
      <c r="J902" s="3" t="str">
        <f>HYPERLINK("https://www.boe.es/gazeta/dias/1821/12/07/pdfs/GMD-1821-349.pdf#page=1","Abrir facsímil")</f>
        <v>Abrir facsímil</v>
      </c>
      <c r="K902" s="3" t="s">
        <v>32</v>
      </c>
    </row>
    <row r="903" spans="1:11" ht="42" customHeight="1">
      <c r="A903" s="2" t="s">
        <v>2107</v>
      </c>
      <c r="B903" s="2" t="s">
        <v>2107</v>
      </c>
      <c r="C903" s="2" t="s">
        <v>40</v>
      </c>
      <c r="D903" s="2" t="s">
        <v>41</v>
      </c>
      <c r="E903" s="5">
        <v>-28737</v>
      </c>
      <c r="F903" s="3" t="s">
        <v>732</v>
      </c>
      <c r="G903" s="3" t="s">
        <v>88</v>
      </c>
      <c r="H903" s="2" t="s">
        <v>21</v>
      </c>
      <c r="I903" s="2" t="s">
        <v>2108</v>
      </c>
      <c r="J903" s="3" t="str">
        <f>HYPERLINK("https://www.boe.es/gazeta/dias/1821/04/26/pdfs/GMD-1821-118.pdf#page=4","Abrir facsímil")</f>
        <v>Abrir facsímil</v>
      </c>
      <c r="K903" s="3" t="s">
        <v>23</v>
      </c>
    </row>
    <row r="904" spans="1:11" ht="42" customHeight="1">
      <c r="A904" s="2" t="s">
        <v>2109</v>
      </c>
      <c r="B904" s="2" t="s">
        <v>2110</v>
      </c>
      <c r="C904" s="2" t="s">
        <v>70</v>
      </c>
      <c r="D904" s="2" t="s">
        <v>27</v>
      </c>
      <c r="E904" s="5">
        <v>-28587</v>
      </c>
      <c r="F904" s="3" t="s">
        <v>392</v>
      </c>
      <c r="G904" s="3" t="s">
        <v>88</v>
      </c>
      <c r="H904" s="2" t="s">
        <v>21</v>
      </c>
      <c r="I904" s="2" t="s">
        <v>2111</v>
      </c>
      <c r="J904" s="3" t="str">
        <f>HYPERLINK("https://www.boe.es/gazeta/dias/1821/09/23/pdfs/GMD-1821-271.pdf#page=4","Abrir facsímil")</f>
        <v>Abrir facsímil</v>
      </c>
      <c r="K904" s="3" t="s">
        <v>23</v>
      </c>
    </row>
    <row r="905" spans="1:11" ht="42" customHeight="1">
      <c r="A905" s="2" t="s">
        <v>2112</v>
      </c>
      <c r="B905" s="2" t="s">
        <v>2113</v>
      </c>
      <c r="C905" s="2" t="s">
        <v>26</v>
      </c>
      <c r="D905" s="2" t="s">
        <v>27</v>
      </c>
      <c r="E905" s="5">
        <v>-28640</v>
      </c>
      <c r="F905" s="3" t="s">
        <v>1590</v>
      </c>
      <c r="G905" s="3" t="s">
        <v>20</v>
      </c>
      <c r="H905" s="2" t="s">
        <v>21</v>
      </c>
      <c r="I905" s="2" t="s">
        <v>2114</v>
      </c>
      <c r="J905" s="3" t="str">
        <f>HYPERLINK("https://www.boe.es/gazeta/dias/1821/08/01/pdfs/GMD-1821-217.pdf#page=3","Abrir facsímil")</f>
        <v>Abrir facsímil</v>
      </c>
      <c r="K905" s="3" t="s">
        <v>23</v>
      </c>
    </row>
    <row r="906" spans="1:11" ht="42" customHeight="1">
      <c r="A906" s="2" t="s">
        <v>2115</v>
      </c>
      <c r="B906" s="2" t="s">
        <v>2116</v>
      </c>
      <c r="C906" s="2" t="s">
        <v>26</v>
      </c>
      <c r="D906" s="2" t="s">
        <v>27</v>
      </c>
      <c r="E906" s="5">
        <v>-28636</v>
      </c>
      <c r="F906" s="3" t="s">
        <v>122</v>
      </c>
      <c r="G906" s="3" t="s">
        <v>20</v>
      </c>
      <c r="H906" s="2" t="s">
        <v>21</v>
      </c>
      <c r="I906" s="2" t="s">
        <v>2117</v>
      </c>
      <c r="J906" s="3" t="str">
        <f>HYPERLINK("https://www.boe.es/gazeta/dias/1821/08/05/pdfs/GMD-1821-221.pdf#page=3","Abrir facsímil")</f>
        <v>Abrir facsímil</v>
      </c>
      <c r="K906" s="3" t="s">
        <v>23</v>
      </c>
    </row>
    <row r="907" spans="1:11" ht="42" customHeight="1">
      <c r="A907" s="2" t="s">
        <v>2118</v>
      </c>
      <c r="B907" s="2" t="s">
        <v>2119</v>
      </c>
      <c r="C907" s="2" t="s">
        <v>17</v>
      </c>
      <c r="D907" s="2" t="s">
        <v>18</v>
      </c>
      <c r="E907" s="5">
        <v>-28741</v>
      </c>
      <c r="F907" s="3" t="s">
        <v>1841</v>
      </c>
      <c r="G907" s="3" t="s">
        <v>88</v>
      </c>
      <c r="H907" s="2" t="s">
        <v>21</v>
      </c>
      <c r="I907" s="2" t="s">
        <v>2120</v>
      </c>
      <c r="J907" s="3" t="str">
        <f>HYPERLINK("https://www.boe.es/gazeta/dias/1821/04/22/pdfs/GMD-1821-114.pdf#page=4","Abrir facsímil")</f>
        <v>Abrir facsímil</v>
      </c>
      <c r="K907" s="3" t="s">
        <v>23</v>
      </c>
    </row>
    <row r="908" spans="1:11" ht="42" customHeight="1">
      <c r="A908" s="2" t="s">
        <v>2121</v>
      </c>
      <c r="B908" s="2" t="s">
        <v>2122</v>
      </c>
      <c r="C908" s="2" t="s">
        <v>40</v>
      </c>
      <c r="D908" s="2" t="s">
        <v>41</v>
      </c>
      <c r="E908" s="5">
        <v>-28766</v>
      </c>
      <c r="F908" s="3" t="s">
        <v>1481</v>
      </c>
      <c r="G908" s="3" t="s">
        <v>52</v>
      </c>
      <c r="H908" s="2" t="s">
        <v>21</v>
      </c>
      <c r="I908" s="2" t="s">
        <v>2123</v>
      </c>
      <c r="J908" s="3" t="str">
        <f>HYPERLINK("https://www.boe.es/gazeta/dias/1821/03/28/pdfs/GMD-1821-88.pdf#page=2","Abrir facsímil")</f>
        <v>Abrir facsímil</v>
      </c>
      <c r="K908" s="3" t="s">
        <v>23</v>
      </c>
    </row>
    <row r="909" spans="1:11" ht="42" customHeight="1">
      <c r="A909" s="2" t="s">
        <v>2124</v>
      </c>
      <c r="B909" s="2" t="s">
        <v>2125</v>
      </c>
      <c r="C909" s="2" t="s">
        <v>26</v>
      </c>
      <c r="D909" s="2" t="s">
        <v>27</v>
      </c>
      <c r="E909" s="5">
        <v>-28813</v>
      </c>
      <c r="F909" s="3" t="s">
        <v>268</v>
      </c>
      <c r="G909" s="3" t="s">
        <v>20</v>
      </c>
      <c r="H909" s="2" t="s">
        <v>21</v>
      </c>
      <c r="I909" s="2" t="s">
        <v>2126</v>
      </c>
      <c r="J909" s="3" t="str">
        <f>HYPERLINK("https://www.boe.es/gazeta/dias/1821/02/09/pdfs/GGB-1821-40.pdf#page=3","Abrir facsímil")</f>
        <v>Abrir facsímil</v>
      </c>
      <c r="K909" s="3" t="s">
        <v>23</v>
      </c>
    </row>
    <row r="910" spans="1:11" ht="42" customHeight="1">
      <c r="A910" s="2" t="s">
        <v>2127</v>
      </c>
      <c r="B910" s="2" t="s">
        <v>2127</v>
      </c>
      <c r="C910" s="2" t="s">
        <v>26</v>
      </c>
      <c r="D910" s="2" t="s">
        <v>27</v>
      </c>
      <c r="E910" s="5">
        <v>-28548</v>
      </c>
      <c r="F910" s="3" t="s">
        <v>782</v>
      </c>
      <c r="G910" s="3" t="s">
        <v>20</v>
      </c>
      <c r="H910" s="2" t="s">
        <v>21</v>
      </c>
      <c r="I910" s="2" t="s">
        <v>2128</v>
      </c>
      <c r="J910" s="3" t="str">
        <f>HYPERLINK("https://www.boe.es/gazeta/dias/1821/11/01/pdfs/GMD-1821-311.pdf#page=3","Abrir facsímil")</f>
        <v>Abrir facsímil</v>
      </c>
      <c r="K910" s="3" t="s">
        <v>23</v>
      </c>
    </row>
    <row r="911" spans="1:11" ht="42" customHeight="1">
      <c r="A911" s="2" t="s">
        <v>2129</v>
      </c>
      <c r="B911" s="2" t="s">
        <v>2129</v>
      </c>
      <c r="C911" s="2" t="s">
        <v>35</v>
      </c>
      <c r="D911" s="2" t="s">
        <v>27</v>
      </c>
      <c r="E911" s="5">
        <v>-28668</v>
      </c>
      <c r="F911" s="3" t="s">
        <v>2130</v>
      </c>
      <c r="G911" s="3" t="s">
        <v>52</v>
      </c>
      <c r="H911" s="2" t="s">
        <v>21</v>
      </c>
      <c r="I911" s="2" t="s">
        <v>2131</v>
      </c>
      <c r="J911" s="3" t="str">
        <f>HYPERLINK("https://www.boe.es/gazeta/dias/1821/07/04/pdfs/GMD-1821-188.pdf#page=2","Abrir facsímil")</f>
        <v>Abrir facsímil</v>
      </c>
      <c r="K911" s="3" t="s">
        <v>23</v>
      </c>
    </row>
    <row r="912" spans="1:11" ht="42" customHeight="1">
      <c r="A912" s="2" t="s">
        <v>2132</v>
      </c>
      <c r="B912" s="2" t="s">
        <v>2132</v>
      </c>
      <c r="C912" s="2" t="s">
        <v>40</v>
      </c>
      <c r="D912" s="2" t="s">
        <v>41</v>
      </c>
      <c r="E912" s="5">
        <v>-28563</v>
      </c>
      <c r="F912" s="3" t="s">
        <v>118</v>
      </c>
      <c r="G912" s="3" t="s">
        <v>52</v>
      </c>
      <c r="H912" s="2" t="s">
        <v>21</v>
      </c>
      <c r="I912" s="2" t="s">
        <v>2133</v>
      </c>
      <c r="J912" s="3" t="str">
        <f>HYPERLINK("https://www.boe.es/gazeta/dias/1821/10/17/pdfs/GMD-1821-296.pdf#page=2","Abrir facsímil")</f>
        <v>Abrir facsímil</v>
      </c>
      <c r="K912" s="3" t="s">
        <v>23</v>
      </c>
    </row>
    <row r="913" spans="1:11" ht="42" customHeight="1">
      <c r="A913" s="2" t="s">
        <v>2134</v>
      </c>
      <c r="B913" s="2" t="s">
        <v>2135</v>
      </c>
      <c r="C913" s="2" t="s">
        <v>35</v>
      </c>
      <c r="D913" s="2" t="s">
        <v>27</v>
      </c>
      <c r="E913" s="5">
        <v>-28513</v>
      </c>
      <c r="F913" s="3" t="s">
        <v>502</v>
      </c>
      <c r="G913" s="3" t="s">
        <v>52</v>
      </c>
      <c r="H913" s="2" t="s">
        <v>21</v>
      </c>
      <c r="I913" s="2" t="s">
        <v>2136</v>
      </c>
      <c r="J913" s="3" t="str">
        <f>HYPERLINK("https://www.boe.es/gazeta/dias/1821/12/06/pdfs/GMD-1821-348.pdf#page=2","Abrir facsímil")</f>
        <v>Abrir facsímil</v>
      </c>
      <c r="K913" s="3" t="s">
        <v>23</v>
      </c>
    </row>
    <row r="914" spans="1:11" ht="42" customHeight="1">
      <c r="A914" s="2" t="s">
        <v>2137</v>
      </c>
      <c r="B914" s="2" t="s">
        <v>2138</v>
      </c>
      <c r="C914" s="2" t="s">
        <v>35</v>
      </c>
      <c r="D914" s="2" t="s">
        <v>27</v>
      </c>
      <c r="E914" s="5">
        <v>-28537</v>
      </c>
      <c r="F914" s="3" t="s">
        <v>56</v>
      </c>
      <c r="G914" s="3" t="s">
        <v>52</v>
      </c>
      <c r="H914" s="2" t="s">
        <v>21</v>
      </c>
      <c r="I914" s="2" t="s">
        <v>2139</v>
      </c>
      <c r="J914" s="3" t="str">
        <f>HYPERLINK("https://www.boe.es/gazeta/dias/1821/11/12/pdfs/GMD-1821-323.pdf#page=2","Abrir facsímil")</f>
        <v>Abrir facsímil</v>
      </c>
      <c r="K914" s="3" t="s">
        <v>23</v>
      </c>
    </row>
    <row r="915" spans="1:11" ht="42" customHeight="1">
      <c r="A915" s="2" t="s">
        <v>2140</v>
      </c>
      <c r="B915" s="2" t="s">
        <v>2141</v>
      </c>
      <c r="C915" s="2" t="s">
        <v>40</v>
      </c>
      <c r="D915" s="2" t="s">
        <v>41</v>
      </c>
      <c r="E915" s="5">
        <v>-28760</v>
      </c>
      <c r="F915" s="3" t="s">
        <v>170</v>
      </c>
      <c r="G915" s="3" t="s">
        <v>88</v>
      </c>
      <c r="H915" s="2" t="s">
        <v>21</v>
      </c>
      <c r="I915" s="2" t="s">
        <v>2142</v>
      </c>
      <c r="J915" s="3" t="str">
        <f>HYPERLINK("https://www.boe.es/gazeta/dias/1821/04/03/pdfs/GMD-1821-95.pdf#page=4","Abrir facsímil")</f>
        <v>Abrir facsímil</v>
      </c>
      <c r="K915" s="3" t="s">
        <v>23</v>
      </c>
    </row>
    <row r="916" spans="1:11" ht="42" customHeight="1">
      <c r="A916" s="2" t="s">
        <v>2143</v>
      </c>
      <c r="B916" s="2" t="s">
        <v>2144</v>
      </c>
      <c r="C916" s="2" t="s">
        <v>174</v>
      </c>
      <c r="D916" s="2" t="s">
        <v>27</v>
      </c>
      <c r="E916" s="5">
        <v>-28528</v>
      </c>
      <c r="F916" s="3" t="s">
        <v>1872</v>
      </c>
      <c r="G916" s="3" t="s">
        <v>52</v>
      </c>
      <c r="H916" s="2" t="s">
        <v>21</v>
      </c>
      <c r="I916" s="2" t="s">
        <v>2145</v>
      </c>
      <c r="J916" s="3" t="str">
        <f>HYPERLINK("https://www.boe.es/gazeta/dias/1821/11/21/pdfs/GMD-1821-332.pdf#page=2","Abrir facsímil")</f>
        <v>Abrir facsímil</v>
      </c>
      <c r="K916" s="3" t="s">
        <v>23</v>
      </c>
    </row>
    <row r="917" spans="1:11" ht="42" customHeight="1">
      <c r="A917" s="2" t="s">
        <v>2146</v>
      </c>
      <c r="B917" s="2" t="s">
        <v>2147</v>
      </c>
      <c r="C917" s="2" t="s">
        <v>26</v>
      </c>
      <c r="D917" s="2" t="s">
        <v>27</v>
      </c>
      <c r="E917" s="5">
        <v>-28689</v>
      </c>
      <c r="F917" s="3" t="s">
        <v>194</v>
      </c>
      <c r="G917" s="3" t="s">
        <v>88</v>
      </c>
      <c r="H917" s="2" t="s">
        <v>21</v>
      </c>
      <c r="I917" s="2" t="s">
        <v>2148</v>
      </c>
      <c r="J917" s="3" t="str">
        <f>HYPERLINK("https://www.boe.es/gazeta/dias/1821/06/13/pdfs/GMD-1821-166.pdf#page=4","Abrir facsímil")</f>
        <v>Abrir facsímil</v>
      </c>
      <c r="K917" s="3" t="s">
        <v>23</v>
      </c>
    </row>
    <row r="918" spans="1:11" ht="42" customHeight="1">
      <c r="A918" s="2" t="s">
        <v>2149</v>
      </c>
      <c r="B918" s="2" t="s">
        <v>2149</v>
      </c>
      <c r="C918" s="2" t="s">
        <v>40</v>
      </c>
      <c r="D918" s="2" t="s">
        <v>41</v>
      </c>
      <c r="E918" s="5">
        <v>-28643</v>
      </c>
      <c r="F918" s="3" t="s">
        <v>1569</v>
      </c>
      <c r="G918" s="3" t="s">
        <v>43</v>
      </c>
      <c r="H918" s="2" t="s">
        <v>21</v>
      </c>
      <c r="I918" s="2" t="s">
        <v>2150</v>
      </c>
      <c r="J918" s="3" t="str">
        <f>HYPERLINK("https://www.boe.es/gazeta/dias/1821/07/29/pdfs/GMD-1821-214.pdf#page=1","Abrir facsímil")</f>
        <v>Abrir facsímil</v>
      </c>
      <c r="K918" s="3" t="s">
        <v>23</v>
      </c>
    </row>
    <row r="919" spans="1:11" ht="42" customHeight="1">
      <c r="A919" s="2" t="s">
        <v>2151</v>
      </c>
      <c r="B919" s="2" t="s">
        <v>2152</v>
      </c>
      <c r="C919" s="2" t="s">
        <v>26</v>
      </c>
      <c r="D919" s="2" t="s">
        <v>27</v>
      </c>
      <c r="E919" s="5">
        <v>-28696</v>
      </c>
      <c r="F919" s="3" t="s">
        <v>497</v>
      </c>
      <c r="G919" s="3" t="s">
        <v>88</v>
      </c>
      <c r="H919" s="2" t="s">
        <v>21</v>
      </c>
      <c r="I919" s="2" t="s">
        <v>2153</v>
      </c>
      <c r="J919" s="3" t="str">
        <f>HYPERLINK("https://www.boe.es/gazeta/dias/1821/06/06/pdfs/GMD-1821-159.pdf#page=4","Abrir facsímil")</f>
        <v>Abrir facsímil</v>
      </c>
      <c r="K919" s="3" t="s">
        <v>23</v>
      </c>
    </row>
    <row r="920" spans="1:11" ht="42" customHeight="1">
      <c r="A920" s="2" t="s">
        <v>2154</v>
      </c>
      <c r="B920" s="2" t="s">
        <v>2155</v>
      </c>
      <c r="C920" s="2" t="s">
        <v>70</v>
      </c>
      <c r="D920" s="2" t="s">
        <v>27</v>
      </c>
      <c r="E920" s="5">
        <v>-28539</v>
      </c>
      <c r="F920" s="3" t="s">
        <v>153</v>
      </c>
      <c r="G920" s="3" t="s">
        <v>43</v>
      </c>
      <c r="H920" s="2" t="s">
        <v>21</v>
      </c>
      <c r="I920" s="2" t="s">
        <v>2156</v>
      </c>
      <c r="J920" s="3" t="str">
        <f>HYPERLINK("https://www.boe.es/gazeta/dias/1821/11/10/pdfs/GMD-1821-321.pdf#page=1","Abrir facsímil")</f>
        <v>Abrir facsímil</v>
      </c>
      <c r="K920" s="3" t="s">
        <v>23</v>
      </c>
    </row>
    <row r="921" spans="1:11" ht="42" customHeight="1">
      <c r="A921" s="2" t="s">
        <v>2157</v>
      </c>
      <c r="B921" s="2" t="s">
        <v>2158</v>
      </c>
      <c r="C921" s="2" t="s">
        <v>40</v>
      </c>
      <c r="D921" s="2" t="s">
        <v>41</v>
      </c>
      <c r="E921" s="5">
        <v>-28641</v>
      </c>
      <c r="F921" s="3" t="s">
        <v>398</v>
      </c>
      <c r="G921" s="3" t="s">
        <v>20</v>
      </c>
      <c r="H921" s="2" t="s">
        <v>21</v>
      </c>
      <c r="I921" s="2" t="s">
        <v>2159</v>
      </c>
      <c r="J921" s="3" t="str">
        <f>HYPERLINK("https://www.boe.es/gazeta/dias/1821/07/31/pdfs/GMD-1821-216.pdf#page=3","Abrir facsímil")</f>
        <v>Abrir facsímil</v>
      </c>
      <c r="K921" s="3" t="s">
        <v>23</v>
      </c>
    </row>
    <row r="922" spans="1:11" ht="42" customHeight="1">
      <c r="A922" s="2" t="s">
        <v>2160</v>
      </c>
      <c r="B922" s="2" t="s">
        <v>2160</v>
      </c>
      <c r="C922" s="2" t="s">
        <v>40</v>
      </c>
      <c r="D922" s="2" t="s">
        <v>41</v>
      </c>
      <c r="E922" s="5">
        <v>-28643</v>
      </c>
      <c r="F922" s="3" t="s">
        <v>1569</v>
      </c>
      <c r="G922" s="3" t="s">
        <v>43</v>
      </c>
      <c r="H922" s="2" t="s">
        <v>21</v>
      </c>
      <c r="I922" s="2" t="s">
        <v>2161</v>
      </c>
      <c r="J922" s="3" t="str">
        <f>HYPERLINK("https://www.boe.es/gazeta/dias/1821/07/29/pdfs/GMD-1821-214.pdf#page=1","Abrir facsímil")</f>
        <v>Abrir facsímil</v>
      </c>
      <c r="K922" s="3" t="s">
        <v>23</v>
      </c>
    </row>
    <row r="923" spans="1:11" ht="42" customHeight="1">
      <c r="A923" s="2" t="s">
        <v>2162</v>
      </c>
      <c r="B923" s="2" t="s">
        <v>2163</v>
      </c>
      <c r="C923" s="2" t="s">
        <v>40</v>
      </c>
      <c r="D923" s="2" t="s">
        <v>41</v>
      </c>
      <c r="E923" s="5">
        <v>-28712</v>
      </c>
      <c r="F923" s="3" t="s">
        <v>695</v>
      </c>
      <c r="G923" s="3" t="s">
        <v>20</v>
      </c>
      <c r="H923" s="2" t="s">
        <v>21</v>
      </c>
      <c r="I923" s="2" t="s">
        <v>2164</v>
      </c>
      <c r="J923" s="3" t="str">
        <f>HYPERLINK("https://www.boe.es/gazeta/dias/1821/05/21/pdfs/GMD-1821-143.pdf#page=3","Abrir facsímil")</f>
        <v>Abrir facsímil</v>
      </c>
      <c r="K923" s="3" t="s">
        <v>23</v>
      </c>
    </row>
    <row r="924" spans="1:11" ht="42" customHeight="1">
      <c r="A924" s="2" t="s">
        <v>2165</v>
      </c>
      <c r="B924" s="2" t="s">
        <v>2166</v>
      </c>
      <c r="C924" s="2" t="s">
        <v>26</v>
      </c>
      <c r="D924" s="2" t="s">
        <v>27</v>
      </c>
      <c r="E924" s="5">
        <v>-28764</v>
      </c>
      <c r="F924" s="3" t="s">
        <v>924</v>
      </c>
      <c r="G924" s="3" t="s">
        <v>52</v>
      </c>
      <c r="H924" s="2" t="s">
        <v>21</v>
      </c>
      <c r="I924" s="2" t="s">
        <v>2167</v>
      </c>
      <c r="J924" s="3" t="str">
        <f>HYPERLINK("https://www.boe.es/gazeta/dias/1821/03/30/pdfs/GMD-1821-91.pdf#page=2","Abrir facsímil")</f>
        <v>Abrir facsímil</v>
      </c>
      <c r="K924" s="3" t="s">
        <v>23</v>
      </c>
    </row>
    <row r="925" spans="1:11" ht="42" customHeight="1">
      <c r="A925" s="2" t="s">
        <v>2168</v>
      </c>
      <c r="B925" s="2" t="s">
        <v>2169</v>
      </c>
      <c r="C925" s="2" t="s">
        <v>40</v>
      </c>
      <c r="D925" s="2" t="s">
        <v>41</v>
      </c>
      <c r="E925" s="5">
        <v>-28606</v>
      </c>
      <c r="F925" s="3" t="s">
        <v>1799</v>
      </c>
      <c r="G925" s="3" t="s">
        <v>88</v>
      </c>
      <c r="H925" s="2" t="s">
        <v>21</v>
      </c>
      <c r="I925" s="2" t="s">
        <v>2170</v>
      </c>
      <c r="J925" s="3" t="str">
        <f>HYPERLINK("https://www.boe.es/gazeta/dias/1821/09/04/pdfs/GMD-1821-252.pdf#page=4","Abrir facsímil")</f>
        <v>Abrir facsímil</v>
      </c>
      <c r="K925" s="3" t="s">
        <v>23</v>
      </c>
    </row>
    <row r="926" spans="1:11" ht="42" customHeight="1">
      <c r="A926" s="2" t="s">
        <v>2171</v>
      </c>
      <c r="B926" s="2" t="s">
        <v>2172</v>
      </c>
      <c r="C926" s="2" t="s">
        <v>40</v>
      </c>
      <c r="D926" s="2" t="s">
        <v>41</v>
      </c>
      <c r="E926" s="5">
        <v>-28599</v>
      </c>
      <c r="F926" s="3" t="s">
        <v>902</v>
      </c>
      <c r="G926" s="3" t="s">
        <v>88</v>
      </c>
      <c r="H926" s="2" t="s">
        <v>21</v>
      </c>
      <c r="I926" s="2" t="s">
        <v>2173</v>
      </c>
      <c r="J926" s="3" t="str">
        <f>HYPERLINK("https://www.boe.es/gazeta/dias/1821/09/11/pdfs/GMD-1821-259.pdf#page=4","Abrir facsímil")</f>
        <v>Abrir facsímil</v>
      </c>
      <c r="K926" s="3" t="s">
        <v>23</v>
      </c>
    </row>
    <row r="927" spans="1:11" ht="42" customHeight="1">
      <c r="A927" s="2" t="s">
        <v>2174</v>
      </c>
      <c r="B927" s="2" t="s">
        <v>2175</v>
      </c>
      <c r="C927" s="2" t="s">
        <v>26</v>
      </c>
      <c r="D927" s="2" t="s">
        <v>27</v>
      </c>
      <c r="E927" s="5">
        <v>-28682</v>
      </c>
      <c r="F927" s="3" t="s">
        <v>1064</v>
      </c>
      <c r="G927" s="3" t="s">
        <v>29</v>
      </c>
      <c r="H927" s="2" t="s">
        <v>30</v>
      </c>
      <c r="I927" s="2" t="s">
        <v>2176</v>
      </c>
      <c r="J927" s="3" t="str">
        <f>HYPERLINK("https://www.boe.es/gazeta/dias/1821/06/20/pdfs/GMD-1821-173.pdf#page=6","Abrir facsímil")</f>
        <v>Abrir facsímil</v>
      </c>
      <c r="K927" s="3" t="s">
        <v>32</v>
      </c>
    </row>
    <row r="928" spans="1:11" ht="42" customHeight="1">
      <c r="A928" s="2" t="s">
        <v>2177</v>
      </c>
      <c r="B928" s="2" t="s">
        <v>2178</v>
      </c>
      <c r="C928" s="2" t="s">
        <v>174</v>
      </c>
      <c r="D928" s="2" t="s">
        <v>27</v>
      </c>
      <c r="E928" s="5">
        <v>-28499</v>
      </c>
      <c r="F928" s="3" t="s">
        <v>954</v>
      </c>
      <c r="G928" s="3" t="s">
        <v>88</v>
      </c>
      <c r="H928" s="2" t="s">
        <v>21</v>
      </c>
      <c r="I928" s="2" t="s">
        <v>2179</v>
      </c>
      <c r="J928" s="3" t="str">
        <f>HYPERLINK("https://www.boe.es/gazeta/dias/1821/12/20/pdfs/GMD-1821-363.pdf#page=4","Abrir facsímil")</f>
        <v>Abrir facsímil</v>
      </c>
      <c r="K928" s="3" t="s">
        <v>23</v>
      </c>
    </row>
    <row r="929" spans="1:11" ht="42" customHeight="1">
      <c r="A929" s="2" t="s">
        <v>2180</v>
      </c>
      <c r="B929" s="2" t="s">
        <v>2181</v>
      </c>
      <c r="C929" s="2" t="s">
        <v>26</v>
      </c>
      <c r="D929" s="2" t="s">
        <v>27</v>
      </c>
      <c r="E929" s="5">
        <v>-28820</v>
      </c>
      <c r="F929" s="3" t="s">
        <v>1430</v>
      </c>
      <c r="G929" s="3" t="s">
        <v>88</v>
      </c>
      <c r="H929" s="2" t="s">
        <v>21</v>
      </c>
      <c r="I929" s="2" t="s">
        <v>2182</v>
      </c>
      <c r="J929" s="3" t="str">
        <f>HYPERLINK("https://www.boe.es/gazeta/dias/1821/02/02/pdfs/GGB-1821-33.pdf#page=4","Abrir facsímil")</f>
        <v>Abrir facsímil</v>
      </c>
      <c r="K929" s="3" t="s">
        <v>23</v>
      </c>
    </row>
    <row r="930" spans="1:11" ht="42" customHeight="1">
      <c r="A930" s="2" t="s">
        <v>2183</v>
      </c>
      <c r="B930" s="2" t="s">
        <v>2183</v>
      </c>
      <c r="C930" s="2" t="s">
        <v>40</v>
      </c>
      <c r="D930" s="2" t="s">
        <v>41</v>
      </c>
      <c r="E930" s="5">
        <v>-28609</v>
      </c>
      <c r="F930" s="3" t="s">
        <v>2184</v>
      </c>
      <c r="G930" s="3" t="s">
        <v>20</v>
      </c>
      <c r="H930" s="2" t="s">
        <v>21</v>
      </c>
      <c r="I930" s="2" t="s">
        <v>2185</v>
      </c>
      <c r="J930" s="3" t="str">
        <f>HYPERLINK("https://www.boe.es/gazeta/dias/1821/09/01/pdfs/GMD-1821-249.pdf#page=3","Abrir facsímil")</f>
        <v>Abrir facsímil</v>
      </c>
      <c r="K930" s="3" t="s">
        <v>23</v>
      </c>
    </row>
    <row r="931" spans="1:11" ht="42" customHeight="1">
      <c r="A931" s="2" t="s">
        <v>2186</v>
      </c>
      <c r="B931" s="2" t="s">
        <v>2186</v>
      </c>
      <c r="C931" s="2" t="s">
        <v>40</v>
      </c>
      <c r="D931" s="2" t="s">
        <v>41</v>
      </c>
      <c r="E931" s="5">
        <v>-28606</v>
      </c>
      <c r="F931" s="3" t="s">
        <v>1799</v>
      </c>
      <c r="G931" s="3" t="s">
        <v>52</v>
      </c>
      <c r="H931" s="2" t="s">
        <v>21</v>
      </c>
      <c r="I931" s="2" t="s">
        <v>2187</v>
      </c>
      <c r="J931" s="3" t="str">
        <f>HYPERLINK("https://www.boe.es/gazeta/dias/1821/09/04/pdfs/GMD-1821-252.pdf#page=2","Abrir facsímil")</f>
        <v>Abrir facsímil</v>
      </c>
      <c r="K931" s="3" t="s">
        <v>23</v>
      </c>
    </row>
    <row r="932" spans="1:11" ht="42" customHeight="1">
      <c r="A932" s="2" t="s">
        <v>2188</v>
      </c>
      <c r="B932" s="2" t="s">
        <v>2189</v>
      </c>
      <c r="C932" s="2" t="s">
        <v>174</v>
      </c>
      <c r="D932" s="2" t="s">
        <v>27</v>
      </c>
      <c r="E932" s="5">
        <v>-28840</v>
      </c>
      <c r="F932" s="3" t="s">
        <v>161</v>
      </c>
      <c r="G932" s="3" t="s">
        <v>88</v>
      </c>
      <c r="H932" s="2" t="s">
        <v>21</v>
      </c>
      <c r="I932" s="2" t="s">
        <v>2190</v>
      </c>
      <c r="J932" s="3" t="str">
        <f>HYPERLINK("https://www.boe.es/gazeta/dias/1821/01/13/pdfs/GGB-1821-13.pdf#page=4","Abrir facsímil")</f>
        <v>Abrir facsímil</v>
      </c>
      <c r="K932" s="3" t="s">
        <v>23</v>
      </c>
    </row>
    <row r="933" spans="1:11" ht="42" customHeight="1">
      <c r="A933" s="2" t="s">
        <v>2191</v>
      </c>
      <c r="B933" s="2" t="s">
        <v>2191</v>
      </c>
      <c r="C933" s="2" t="s">
        <v>17</v>
      </c>
      <c r="D933" s="2" t="s">
        <v>18</v>
      </c>
      <c r="E933" s="5">
        <v>-28730</v>
      </c>
      <c r="F933" s="3" t="s">
        <v>747</v>
      </c>
      <c r="G933" s="3" t="s">
        <v>20</v>
      </c>
      <c r="H933" s="2" t="s">
        <v>21</v>
      </c>
      <c r="I933" s="2" t="s">
        <v>2192</v>
      </c>
      <c r="J933" s="3" t="str">
        <f>HYPERLINK("https://www.boe.es/gazeta/dias/1821/05/03/pdfs/GMD-1821-125.pdf#page=3","Abrir facsímil")</f>
        <v>Abrir facsímil</v>
      </c>
      <c r="K933" s="3" t="s">
        <v>23</v>
      </c>
    </row>
    <row r="934" spans="1:11" ht="42" customHeight="1">
      <c r="A934" s="2" t="s">
        <v>2191</v>
      </c>
      <c r="B934" s="2" t="s">
        <v>2191</v>
      </c>
      <c r="C934" s="2" t="s">
        <v>35</v>
      </c>
      <c r="D934" s="2" t="s">
        <v>27</v>
      </c>
      <c r="E934" s="5">
        <v>-28534</v>
      </c>
      <c r="F934" s="3" t="s">
        <v>414</v>
      </c>
      <c r="G934" s="3" t="s">
        <v>88</v>
      </c>
      <c r="H934" s="2" t="s">
        <v>21</v>
      </c>
      <c r="I934" s="2" t="s">
        <v>2193</v>
      </c>
      <c r="J934" s="3" t="str">
        <f>HYPERLINK("https://www.boe.es/gazeta/dias/1821/11/15/pdfs/GMD-1821-326.pdf#page=4","Abrir facsímil")</f>
        <v>Abrir facsímil</v>
      </c>
      <c r="K934" s="3" t="s">
        <v>23</v>
      </c>
    </row>
    <row r="935" spans="1:11" ht="42" customHeight="1">
      <c r="A935" s="2" t="s">
        <v>2194</v>
      </c>
      <c r="B935" s="2" t="s">
        <v>2194</v>
      </c>
      <c r="C935" s="2" t="s">
        <v>26</v>
      </c>
      <c r="D935" s="2" t="s">
        <v>27</v>
      </c>
      <c r="E935" s="5">
        <v>-28737</v>
      </c>
      <c r="F935" s="3" t="s">
        <v>732</v>
      </c>
      <c r="G935" s="3" t="s">
        <v>52</v>
      </c>
      <c r="H935" s="2" t="s">
        <v>21</v>
      </c>
      <c r="I935" s="2" t="s">
        <v>2195</v>
      </c>
      <c r="J935" s="3" t="str">
        <f>HYPERLINK("https://www.boe.es/gazeta/dias/1821/04/26/pdfs/GMD-1821-118.pdf#page=2","Abrir facsímil")</f>
        <v>Abrir facsímil</v>
      </c>
      <c r="K935" s="3" t="s">
        <v>23</v>
      </c>
    </row>
    <row r="936" spans="1:11" ht="42" customHeight="1">
      <c r="A936" s="2" t="s">
        <v>2194</v>
      </c>
      <c r="B936" s="2" t="s">
        <v>2194</v>
      </c>
      <c r="C936" s="2" t="s">
        <v>70</v>
      </c>
      <c r="D936" s="2" t="s">
        <v>27</v>
      </c>
      <c r="E936" s="5">
        <v>-28737</v>
      </c>
      <c r="F936" s="3" t="s">
        <v>732</v>
      </c>
      <c r="G936" s="3" t="s">
        <v>20</v>
      </c>
      <c r="H936" s="2" t="s">
        <v>21</v>
      </c>
      <c r="I936" s="2" t="s">
        <v>2196</v>
      </c>
      <c r="J936" s="3" t="str">
        <f>HYPERLINK("https://www.boe.es/gazeta/dias/1821/04/26/pdfs/GMD-1821-118.pdf#page=3","Abrir facsímil")</f>
        <v>Abrir facsímil</v>
      </c>
      <c r="K936" s="3" t="s">
        <v>23</v>
      </c>
    </row>
    <row r="937" spans="1:11" ht="42" customHeight="1">
      <c r="A937" s="2" t="s">
        <v>2194</v>
      </c>
      <c r="B937" s="2" t="s">
        <v>2194</v>
      </c>
      <c r="C937" s="2" t="s">
        <v>70</v>
      </c>
      <c r="D937" s="2" t="s">
        <v>27</v>
      </c>
      <c r="E937" s="5">
        <v>-28731</v>
      </c>
      <c r="F937" s="3" t="s">
        <v>577</v>
      </c>
      <c r="G937" s="3" t="s">
        <v>20</v>
      </c>
      <c r="H937" s="2" t="s">
        <v>21</v>
      </c>
      <c r="I937" s="2" t="s">
        <v>2197</v>
      </c>
      <c r="J937" s="3" t="str">
        <f>HYPERLINK("https://www.boe.es/gazeta/dias/1821/05/02/pdfs/GMD-1821-124.pdf#page=3","Abrir facsímil")</f>
        <v>Abrir facsímil</v>
      </c>
      <c r="K937" s="3" t="s">
        <v>23</v>
      </c>
    </row>
    <row r="938" spans="1:11" ht="42" customHeight="1">
      <c r="A938" s="2" t="s">
        <v>2194</v>
      </c>
      <c r="B938" s="2" t="s">
        <v>2194</v>
      </c>
      <c r="C938" s="2" t="s">
        <v>35</v>
      </c>
      <c r="D938" s="2" t="s">
        <v>27</v>
      </c>
      <c r="E938" s="5">
        <v>-28730</v>
      </c>
      <c r="F938" s="3" t="s">
        <v>747</v>
      </c>
      <c r="G938" s="3" t="s">
        <v>88</v>
      </c>
      <c r="H938" s="2" t="s">
        <v>21</v>
      </c>
      <c r="I938" s="2" t="s">
        <v>2198</v>
      </c>
      <c r="J938" s="3" t="str">
        <f>HYPERLINK("https://www.boe.es/gazeta/dias/1821/05/03/pdfs/GMD-1821-125.pdf#page=4","Abrir facsímil")</f>
        <v>Abrir facsímil</v>
      </c>
      <c r="K938" s="3" t="s">
        <v>23</v>
      </c>
    </row>
    <row r="939" spans="1:11" ht="42" customHeight="1">
      <c r="A939" s="2" t="s">
        <v>2194</v>
      </c>
      <c r="B939" s="2" t="s">
        <v>2194</v>
      </c>
      <c r="C939" s="2" t="s">
        <v>17</v>
      </c>
      <c r="D939" s="2" t="s">
        <v>18</v>
      </c>
      <c r="E939" s="5">
        <v>-28729</v>
      </c>
      <c r="F939" s="3" t="s">
        <v>838</v>
      </c>
      <c r="G939" s="3" t="s">
        <v>20</v>
      </c>
      <c r="H939" s="2" t="s">
        <v>21</v>
      </c>
      <c r="I939" s="2" t="s">
        <v>2199</v>
      </c>
      <c r="J939" s="3" t="str">
        <f>HYPERLINK("https://www.boe.es/gazeta/dias/1821/05/04/pdfs/GMD-1821-126.pdf#page=3","Abrir facsímil")</f>
        <v>Abrir facsímil</v>
      </c>
      <c r="K939" s="3" t="s">
        <v>23</v>
      </c>
    </row>
    <row r="940" spans="1:11" ht="42" customHeight="1">
      <c r="A940" s="2" t="s">
        <v>2194</v>
      </c>
      <c r="B940" s="2" t="s">
        <v>2194</v>
      </c>
      <c r="C940" s="2" t="s">
        <v>114</v>
      </c>
      <c r="D940" s="2" t="s">
        <v>27</v>
      </c>
      <c r="E940" s="5">
        <v>-28702</v>
      </c>
      <c r="F940" s="3" t="s">
        <v>1176</v>
      </c>
      <c r="G940" s="3" t="s">
        <v>20</v>
      </c>
      <c r="H940" s="2" t="s">
        <v>21</v>
      </c>
      <c r="I940" s="2" t="s">
        <v>2200</v>
      </c>
      <c r="J940" s="3" t="str">
        <f>HYPERLINK("https://www.boe.es/gazeta/dias/1821/05/31/pdfs/GMD-1821-153.pdf#page=3","Abrir facsímil")</f>
        <v>Abrir facsímil</v>
      </c>
      <c r="K940" s="3" t="s">
        <v>23</v>
      </c>
    </row>
    <row r="941" spans="1:11" ht="42" customHeight="1">
      <c r="A941" s="2" t="s">
        <v>2194</v>
      </c>
      <c r="B941" s="2" t="s">
        <v>2194</v>
      </c>
      <c r="C941" s="2" t="s">
        <v>114</v>
      </c>
      <c r="D941" s="2" t="s">
        <v>27</v>
      </c>
      <c r="E941" s="5">
        <v>-28686</v>
      </c>
      <c r="F941" s="3" t="s">
        <v>115</v>
      </c>
      <c r="G941" s="3" t="s">
        <v>20</v>
      </c>
      <c r="H941" s="2" t="s">
        <v>21</v>
      </c>
      <c r="I941" s="2" t="s">
        <v>2201</v>
      </c>
      <c r="J941" s="3" t="str">
        <f>HYPERLINK("https://www.boe.es/gazeta/dias/1821/06/16/pdfs/GMD-1821-169.pdf#page=3","Abrir facsímil")</f>
        <v>Abrir facsímil</v>
      </c>
      <c r="K941" s="3" t="s">
        <v>23</v>
      </c>
    </row>
    <row r="942" spans="1:11" ht="42" customHeight="1">
      <c r="A942" s="2" t="s">
        <v>2194</v>
      </c>
      <c r="B942" s="2" t="s">
        <v>2194</v>
      </c>
      <c r="C942" s="2" t="s">
        <v>40</v>
      </c>
      <c r="D942" s="2" t="s">
        <v>41</v>
      </c>
      <c r="E942" s="5">
        <v>-28674</v>
      </c>
      <c r="F942" s="3" t="s">
        <v>536</v>
      </c>
      <c r="G942" s="3" t="s">
        <v>20</v>
      </c>
      <c r="H942" s="2" t="s">
        <v>21</v>
      </c>
      <c r="I942" s="2" t="s">
        <v>2202</v>
      </c>
      <c r="J942" s="3" t="str">
        <f>HYPERLINK("https://www.boe.es/gazeta/dias/1821/06/28/pdfs/GMD-1821-181.pdf#page=3","Abrir facsímil")</f>
        <v>Abrir facsímil</v>
      </c>
      <c r="K942" s="3" t="s">
        <v>23</v>
      </c>
    </row>
    <row r="943" spans="1:11" ht="42" customHeight="1">
      <c r="A943" s="2" t="s">
        <v>2194</v>
      </c>
      <c r="B943" s="2" t="s">
        <v>2194</v>
      </c>
      <c r="C943" s="2" t="s">
        <v>26</v>
      </c>
      <c r="D943" s="2" t="s">
        <v>27</v>
      </c>
      <c r="E943" s="5">
        <v>-28547</v>
      </c>
      <c r="F943" s="3" t="s">
        <v>247</v>
      </c>
      <c r="G943" s="3" t="s">
        <v>29</v>
      </c>
      <c r="H943" s="2" t="s">
        <v>21</v>
      </c>
      <c r="I943" s="2" t="s">
        <v>2203</v>
      </c>
      <c r="J943" s="3" t="str">
        <f>HYPERLINK("https://www.boe.es/gazeta/dias/1821/11/02/pdfs/GMD-1821-312.pdf#page=6","Abrir facsímil")</f>
        <v>Abrir facsímil</v>
      </c>
      <c r="K943" s="3" t="s">
        <v>23</v>
      </c>
    </row>
    <row r="944" spans="1:11" ht="42" customHeight="1">
      <c r="A944" s="2" t="s">
        <v>2194</v>
      </c>
      <c r="B944" s="2" t="s">
        <v>2194</v>
      </c>
      <c r="C944" s="2" t="s">
        <v>26</v>
      </c>
      <c r="D944" s="2" t="s">
        <v>27</v>
      </c>
      <c r="E944" s="5">
        <v>-28535</v>
      </c>
      <c r="F944" s="3" t="s">
        <v>96</v>
      </c>
      <c r="G944" s="3" t="s">
        <v>88</v>
      </c>
      <c r="H944" s="2" t="s">
        <v>21</v>
      </c>
      <c r="I944" s="2" t="s">
        <v>2204</v>
      </c>
      <c r="J944" s="3" t="str">
        <f>HYPERLINK("https://www.boe.es/gazeta/dias/1821/11/14/pdfs/GMD-1821-325.pdf#page=4","Abrir facsímil")</f>
        <v>Abrir facsímil</v>
      </c>
      <c r="K944" s="3" t="s">
        <v>23</v>
      </c>
    </row>
    <row r="945" spans="1:11" ht="42" customHeight="1">
      <c r="A945" s="2" t="s">
        <v>2194</v>
      </c>
      <c r="B945" s="2" t="s">
        <v>2194</v>
      </c>
      <c r="C945" s="2" t="s">
        <v>35</v>
      </c>
      <c r="D945" s="2" t="s">
        <v>27</v>
      </c>
      <c r="E945" s="5">
        <v>-28534</v>
      </c>
      <c r="F945" s="3" t="s">
        <v>414</v>
      </c>
      <c r="G945" s="3" t="s">
        <v>20</v>
      </c>
      <c r="H945" s="2" t="s">
        <v>21</v>
      </c>
      <c r="I945" s="2" t="s">
        <v>2205</v>
      </c>
      <c r="J945" s="3" t="str">
        <f>HYPERLINK("https://www.boe.es/gazeta/dias/1821/11/15/pdfs/GMD-1821-326.pdf#page=3","Abrir facsímil")</f>
        <v>Abrir facsímil</v>
      </c>
      <c r="K945" s="3" t="s">
        <v>23</v>
      </c>
    </row>
    <row r="946" spans="1:11" ht="42" customHeight="1">
      <c r="A946" s="2" t="s">
        <v>2194</v>
      </c>
      <c r="B946" s="2" t="s">
        <v>2194</v>
      </c>
      <c r="C946" s="2" t="s">
        <v>70</v>
      </c>
      <c r="D946" s="2" t="s">
        <v>27</v>
      </c>
      <c r="E946" s="5">
        <v>-28534</v>
      </c>
      <c r="F946" s="3" t="s">
        <v>414</v>
      </c>
      <c r="G946" s="3" t="s">
        <v>88</v>
      </c>
      <c r="H946" s="2" t="s">
        <v>21</v>
      </c>
      <c r="I946" s="2" t="s">
        <v>2206</v>
      </c>
      <c r="J946" s="3" t="str">
        <f>HYPERLINK("https://www.boe.es/gazeta/dias/1821/11/15/pdfs/GMD-1821-326.pdf#page=4","Abrir facsímil")</f>
        <v>Abrir facsímil</v>
      </c>
      <c r="K946" s="3" t="s">
        <v>23</v>
      </c>
    </row>
    <row r="947" spans="1:11" ht="42" customHeight="1">
      <c r="A947" s="2" t="s">
        <v>2194</v>
      </c>
      <c r="B947" s="2" t="s">
        <v>2194</v>
      </c>
      <c r="C947" s="2" t="s">
        <v>26</v>
      </c>
      <c r="D947" s="2" t="s">
        <v>27</v>
      </c>
      <c r="E947" s="5">
        <v>-28533</v>
      </c>
      <c r="F947" s="3" t="s">
        <v>559</v>
      </c>
      <c r="G947" s="3" t="s">
        <v>162</v>
      </c>
      <c r="H947" s="2" t="s">
        <v>21</v>
      </c>
      <c r="I947" s="2" t="s">
        <v>2207</v>
      </c>
      <c r="J947" s="3" t="str">
        <f>HYPERLINK("https://www.boe.es/gazeta/dias/1821/11/16/pdfs/GMD-1821-327.pdf#page=5","Abrir facsímil")</f>
        <v>Abrir facsímil</v>
      </c>
      <c r="K947" s="3" t="s">
        <v>23</v>
      </c>
    </row>
    <row r="948" spans="1:11" ht="42" customHeight="1">
      <c r="A948" s="2" t="s">
        <v>2194</v>
      </c>
      <c r="B948" s="2" t="s">
        <v>2194</v>
      </c>
      <c r="C948" s="2" t="s">
        <v>17</v>
      </c>
      <c r="D948" s="2" t="s">
        <v>18</v>
      </c>
      <c r="E948" s="5">
        <v>-28533</v>
      </c>
      <c r="F948" s="3" t="s">
        <v>559</v>
      </c>
      <c r="G948" s="3" t="s">
        <v>29</v>
      </c>
      <c r="H948" s="2" t="s">
        <v>21</v>
      </c>
      <c r="I948" s="2" t="s">
        <v>2208</v>
      </c>
      <c r="J948" s="3" t="str">
        <f>HYPERLINK("https://www.boe.es/gazeta/dias/1821/11/16/pdfs/GMD-1821-327.pdf#page=6","Abrir facsímil")</f>
        <v>Abrir facsímil</v>
      </c>
      <c r="K948" s="3" t="s">
        <v>23</v>
      </c>
    </row>
    <row r="949" spans="1:11" ht="42" customHeight="1">
      <c r="A949" s="2" t="s">
        <v>2194</v>
      </c>
      <c r="B949" s="2" t="s">
        <v>2194</v>
      </c>
      <c r="C949" s="2" t="s">
        <v>40</v>
      </c>
      <c r="D949" s="2" t="s">
        <v>41</v>
      </c>
      <c r="E949" s="5">
        <v>-28528</v>
      </c>
      <c r="F949" s="3" t="s">
        <v>1872</v>
      </c>
      <c r="G949" s="3" t="s">
        <v>2209</v>
      </c>
      <c r="H949" s="2" t="s">
        <v>21</v>
      </c>
      <c r="I949" s="2" t="s">
        <v>2210</v>
      </c>
      <c r="J949" s="3" t="str">
        <f>HYPERLINK("https://www.boe.es/gazeta/dias/1821/11/21/pdfs/GMD-1821-332.pdf#page=3","Abrir facsímil")</f>
        <v>Abrir facsímil</v>
      </c>
      <c r="K949" s="3" t="s">
        <v>23</v>
      </c>
    </row>
    <row r="950" spans="1:11" ht="42" customHeight="1">
      <c r="A950" s="2" t="s">
        <v>2194</v>
      </c>
      <c r="B950" s="2" t="s">
        <v>2194</v>
      </c>
      <c r="C950" s="2" t="s">
        <v>40</v>
      </c>
      <c r="D950" s="2" t="s">
        <v>41</v>
      </c>
      <c r="E950" s="5">
        <v>-28528</v>
      </c>
      <c r="F950" s="3" t="s">
        <v>1872</v>
      </c>
      <c r="G950" s="3" t="s">
        <v>88</v>
      </c>
      <c r="H950" s="2" t="s">
        <v>21</v>
      </c>
      <c r="I950" s="2" t="s">
        <v>2211</v>
      </c>
      <c r="J950" s="3" t="str">
        <f>HYPERLINK("https://www.boe.es/gazeta/dias/1821/11/21/pdfs/GMD-1821-332.pdf#page=4","Abrir facsímil")</f>
        <v>Abrir facsímil</v>
      </c>
      <c r="K950" s="3" t="s">
        <v>23</v>
      </c>
    </row>
    <row r="951" spans="1:11" ht="42" customHeight="1">
      <c r="A951" s="2" t="s">
        <v>2194</v>
      </c>
      <c r="B951" s="2" t="s">
        <v>2194</v>
      </c>
      <c r="C951" s="2" t="s">
        <v>35</v>
      </c>
      <c r="D951" s="2" t="s">
        <v>27</v>
      </c>
      <c r="E951" s="5">
        <v>-28519</v>
      </c>
      <c r="F951" s="3" t="s">
        <v>880</v>
      </c>
      <c r="G951" s="3" t="s">
        <v>52</v>
      </c>
      <c r="H951" s="2" t="s">
        <v>21</v>
      </c>
      <c r="I951" s="2" t="s">
        <v>2212</v>
      </c>
      <c r="J951" s="3" t="str">
        <f>HYPERLINK("https://www.boe.es/gazeta/dias/1821/11/30/pdfs/GMD-1821-342.pdf#page=2","Abrir facsímil")</f>
        <v>Abrir facsímil</v>
      </c>
      <c r="K951" s="3" t="s">
        <v>23</v>
      </c>
    </row>
    <row r="952" spans="1:11" ht="42" customHeight="1">
      <c r="A952" s="2" t="s">
        <v>2194</v>
      </c>
      <c r="B952" s="2" t="s">
        <v>2194</v>
      </c>
      <c r="C952" s="2" t="s">
        <v>40</v>
      </c>
      <c r="D952" s="2" t="s">
        <v>41</v>
      </c>
      <c r="E952" s="5">
        <v>-28518</v>
      </c>
      <c r="F952" s="3" t="s">
        <v>410</v>
      </c>
      <c r="G952" s="3" t="s">
        <v>29</v>
      </c>
      <c r="H952" s="2" t="s">
        <v>21</v>
      </c>
      <c r="I952" s="2" t="s">
        <v>2213</v>
      </c>
      <c r="J952" s="3" t="str">
        <f>HYPERLINK("https://www.boe.es/gazeta/dias/1821/12/01/pdfs/GMD-1821-343.pdf#page=6","Abrir facsímil")</f>
        <v>Abrir facsímil</v>
      </c>
      <c r="K952" s="3" t="s">
        <v>23</v>
      </c>
    </row>
    <row r="953" spans="1:11" ht="42" customHeight="1">
      <c r="A953" s="2" t="s">
        <v>2194</v>
      </c>
      <c r="B953" s="2" t="s">
        <v>2194</v>
      </c>
      <c r="C953" s="2" t="s">
        <v>40</v>
      </c>
      <c r="D953" s="2" t="s">
        <v>41</v>
      </c>
      <c r="E953" s="5">
        <v>-28499</v>
      </c>
      <c r="F953" s="3" t="s">
        <v>954</v>
      </c>
      <c r="G953" s="3" t="s">
        <v>20</v>
      </c>
      <c r="H953" s="2" t="s">
        <v>21</v>
      </c>
      <c r="I953" s="2" t="s">
        <v>2214</v>
      </c>
      <c r="J953" s="3" t="str">
        <f>HYPERLINK("https://www.boe.es/gazeta/dias/1821/12/20/pdfs/GMD-1821-363.pdf#page=3","Abrir facsímil")</f>
        <v>Abrir facsímil</v>
      </c>
      <c r="K953" s="3" t="s">
        <v>23</v>
      </c>
    </row>
    <row r="954" spans="1:11" ht="42" customHeight="1">
      <c r="A954" s="2" t="s">
        <v>2194</v>
      </c>
      <c r="B954" s="2" t="s">
        <v>2194</v>
      </c>
      <c r="C954" s="2" t="s">
        <v>17</v>
      </c>
      <c r="D954" s="2" t="s">
        <v>18</v>
      </c>
      <c r="E954" s="5">
        <v>-28495</v>
      </c>
      <c r="F954" s="3" t="s">
        <v>227</v>
      </c>
      <c r="G954" s="3" t="s">
        <v>88</v>
      </c>
      <c r="H954" s="2" t="s">
        <v>21</v>
      </c>
      <c r="I954" s="2" t="s">
        <v>2215</v>
      </c>
      <c r="J954" s="3" t="str">
        <f>HYPERLINK("https://www.boe.es/gazeta/dias/1821/12/24/pdfs/GMD-1821-367.pdf#page=4","Abrir facsímil")</f>
        <v>Abrir facsímil</v>
      </c>
      <c r="K954" s="3" t="s">
        <v>23</v>
      </c>
    </row>
    <row r="955" spans="1:11" ht="42" customHeight="1">
      <c r="A955" s="2" t="s">
        <v>2216</v>
      </c>
      <c r="B955" s="2" t="s">
        <v>2217</v>
      </c>
      <c r="C955" s="2" t="s">
        <v>40</v>
      </c>
      <c r="D955" s="2" t="s">
        <v>41</v>
      </c>
      <c r="E955" s="5">
        <v>-28551</v>
      </c>
      <c r="F955" s="3" t="s">
        <v>542</v>
      </c>
      <c r="G955" s="3" t="s">
        <v>88</v>
      </c>
      <c r="H955" s="2" t="s">
        <v>21</v>
      </c>
      <c r="I955" s="2" t="s">
        <v>2218</v>
      </c>
      <c r="J955" s="3" t="str">
        <f>HYPERLINK("https://www.boe.es/gazeta/dias/1821/10/29/pdfs/GMD-1821-308.pdf#page=4","Abrir facsímil")</f>
        <v>Abrir facsímil</v>
      </c>
      <c r="K955" s="3" t="s">
        <v>23</v>
      </c>
    </row>
    <row r="956" spans="1:11" ht="42" customHeight="1">
      <c r="A956" s="2" t="s">
        <v>2219</v>
      </c>
      <c r="B956" s="2" t="s">
        <v>2220</v>
      </c>
      <c r="C956" s="2" t="s">
        <v>35</v>
      </c>
      <c r="D956" s="2" t="s">
        <v>27</v>
      </c>
      <c r="E956" s="5">
        <v>-28621</v>
      </c>
      <c r="F956" s="3" t="s">
        <v>1317</v>
      </c>
      <c r="G956" s="3" t="s">
        <v>88</v>
      </c>
      <c r="H956" s="2" t="s">
        <v>21</v>
      </c>
      <c r="I956" s="2" t="s">
        <v>2221</v>
      </c>
      <c r="J956" s="3" t="str">
        <f>HYPERLINK("https://www.boe.es/gazeta/dias/1821/08/20/pdfs/GMD-1821-237.pdf#page=4","Abrir facsímil")</f>
        <v>Abrir facsímil</v>
      </c>
      <c r="K956" s="3" t="s">
        <v>23</v>
      </c>
    </row>
    <row r="957" spans="1:11" ht="42" customHeight="1">
      <c r="A957" s="2" t="s">
        <v>2222</v>
      </c>
      <c r="B957" s="2" t="s">
        <v>2223</v>
      </c>
      <c r="C957" s="2" t="s">
        <v>17</v>
      </c>
      <c r="D957" s="2" t="s">
        <v>18</v>
      </c>
      <c r="E957" s="5">
        <v>-28674</v>
      </c>
      <c r="F957" s="3" t="s">
        <v>536</v>
      </c>
      <c r="G957" s="3" t="s">
        <v>29</v>
      </c>
      <c r="H957" s="2" t="s">
        <v>21</v>
      </c>
      <c r="I957" s="2" t="s">
        <v>2224</v>
      </c>
      <c r="J957" s="3" t="str">
        <f>HYPERLINK("https://www.boe.es/gazeta/dias/1821/06/28/pdfs/GMD-1821-181.pdf#page=6","Abrir facsímil")</f>
        <v>Abrir facsímil</v>
      </c>
      <c r="K957" s="3" t="s">
        <v>23</v>
      </c>
    </row>
    <row r="958" spans="1:11" ht="42" customHeight="1">
      <c r="A958" s="2" t="s">
        <v>2225</v>
      </c>
      <c r="B958" s="2" t="s">
        <v>2225</v>
      </c>
      <c r="C958" s="2" t="s">
        <v>26</v>
      </c>
      <c r="D958" s="2" t="s">
        <v>27</v>
      </c>
      <c r="E958" s="5">
        <v>-28520</v>
      </c>
      <c r="F958" s="3" t="s">
        <v>878</v>
      </c>
      <c r="G958" s="3" t="s">
        <v>43</v>
      </c>
      <c r="H958" s="2" t="s">
        <v>21</v>
      </c>
      <c r="I958" s="2" t="s">
        <v>2226</v>
      </c>
      <c r="J958" s="3" t="str">
        <f>HYPERLINK("https://www.boe.es/gazeta/dias/1821/11/29/pdfs/GMD-1821-341.pdf#page=1","Abrir facsímil")</f>
        <v>Abrir facsímil</v>
      </c>
      <c r="K958" s="3" t="s">
        <v>23</v>
      </c>
    </row>
    <row r="959" spans="1:11" ht="42" customHeight="1">
      <c r="A959" s="2" t="s">
        <v>2227</v>
      </c>
      <c r="B959" s="2" t="s">
        <v>2227</v>
      </c>
      <c r="C959" s="2" t="s">
        <v>40</v>
      </c>
      <c r="D959" s="2" t="s">
        <v>41</v>
      </c>
      <c r="E959" s="5">
        <v>-28765</v>
      </c>
      <c r="F959" s="3" t="s">
        <v>974</v>
      </c>
      <c r="G959" s="3" t="s">
        <v>1483</v>
      </c>
      <c r="H959" s="2" t="s">
        <v>21</v>
      </c>
      <c r="I959" s="2" t="s">
        <v>2228</v>
      </c>
      <c r="J959" s="3" t="str">
        <f>HYPERLINK("https://www.boe.es/gazeta/dias/1821/03/29/pdfs/GMD-1821-90.pdf#page=4","Abrir facsímil")</f>
        <v>Abrir facsímil</v>
      </c>
      <c r="K959" s="3" t="s">
        <v>23</v>
      </c>
    </row>
    <row r="960" spans="1:11" ht="42" customHeight="1">
      <c r="A960" s="2" t="s">
        <v>2229</v>
      </c>
      <c r="B960" s="2" t="s">
        <v>2230</v>
      </c>
      <c r="C960" s="2" t="s">
        <v>35</v>
      </c>
      <c r="D960" s="2" t="s">
        <v>27</v>
      </c>
      <c r="E960" s="5">
        <v>-28536</v>
      </c>
      <c r="F960" s="3" t="s">
        <v>553</v>
      </c>
      <c r="G960" s="3" t="s">
        <v>52</v>
      </c>
      <c r="H960" s="2" t="s">
        <v>21</v>
      </c>
      <c r="I960" s="2" t="s">
        <v>2231</v>
      </c>
      <c r="J960" s="3" t="str">
        <f>HYPERLINK("https://www.boe.es/gazeta/dias/1821/11/13/pdfs/GMD-1821-324.pdf#page=2","Abrir facsímil")</f>
        <v>Abrir facsímil</v>
      </c>
      <c r="K960" s="3" t="s">
        <v>23</v>
      </c>
    </row>
    <row r="961" spans="1:11" ht="42" customHeight="1">
      <c r="A961" s="2" t="s">
        <v>2232</v>
      </c>
      <c r="B961" s="2" t="s">
        <v>2233</v>
      </c>
      <c r="C961" s="2" t="s">
        <v>40</v>
      </c>
      <c r="D961" s="2" t="s">
        <v>41</v>
      </c>
      <c r="E961" s="5">
        <v>-28770</v>
      </c>
      <c r="F961" s="3" t="s">
        <v>1009</v>
      </c>
      <c r="G961" s="3" t="s">
        <v>20</v>
      </c>
      <c r="H961" s="2" t="s">
        <v>21</v>
      </c>
      <c r="I961" s="2" t="s">
        <v>2234</v>
      </c>
      <c r="J961" s="3" t="str">
        <f>HYPERLINK("https://www.boe.es/gazeta/dias/1821/03/24/pdfs/GMD-1821-84.pdf#page=3","Abrir facsímil")</f>
        <v>Abrir facsímil</v>
      </c>
      <c r="K961" s="3" t="s">
        <v>23</v>
      </c>
    </row>
    <row r="962" spans="1:11" ht="42" customHeight="1">
      <c r="A962" s="2" t="s">
        <v>2235</v>
      </c>
      <c r="B962" s="2" t="s">
        <v>2236</v>
      </c>
      <c r="C962" s="2" t="s">
        <v>26</v>
      </c>
      <c r="D962" s="2" t="s">
        <v>27</v>
      </c>
      <c r="E962" s="5">
        <v>-28541</v>
      </c>
      <c r="F962" s="3" t="s">
        <v>275</v>
      </c>
      <c r="G962" s="3" t="s">
        <v>52</v>
      </c>
      <c r="H962" s="2" t="s">
        <v>21</v>
      </c>
      <c r="I962" s="2" t="s">
        <v>2237</v>
      </c>
      <c r="J962" s="3" t="str">
        <f>HYPERLINK("https://www.boe.es/gazeta/dias/1821/11/08/pdfs/GMD-1821-319.pdf#page=2","Abrir facsímil")</f>
        <v>Abrir facsímil</v>
      </c>
      <c r="K962" s="3" t="s">
        <v>23</v>
      </c>
    </row>
    <row r="963" spans="1:11" ht="42" customHeight="1">
      <c r="A963" s="2" t="s">
        <v>2238</v>
      </c>
      <c r="B963" s="2" t="s">
        <v>2239</v>
      </c>
      <c r="C963" s="2" t="s">
        <v>40</v>
      </c>
      <c r="D963" s="2" t="s">
        <v>41</v>
      </c>
      <c r="E963" s="5">
        <v>-28780</v>
      </c>
      <c r="F963" s="3" t="s">
        <v>143</v>
      </c>
      <c r="G963" s="3" t="s">
        <v>88</v>
      </c>
      <c r="H963" s="2" t="s">
        <v>21</v>
      </c>
      <c r="I963" s="2" t="s">
        <v>2240</v>
      </c>
      <c r="J963" s="3" t="str">
        <f>HYPERLINK("https://www.boe.es/gazeta/dias/1821/03/14/pdfs/GMD-1821-73.pdf#page=4","Abrir facsímil")</f>
        <v>Abrir facsímil</v>
      </c>
      <c r="K963" s="3" t="s">
        <v>23</v>
      </c>
    </row>
    <row r="964" spans="1:11" ht="42" customHeight="1">
      <c r="A964" s="2" t="s">
        <v>2241</v>
      </c>
      <c r="B964" s="2" t="s">
        <v>2242</v>
      </c>
      <c r="C964" s="2" t="s">
        <v>26</v>
      </c>
      <c r="D964" s="2" t="s">
        <v>27</v>
      </c>
      <c r="E964" s="5">
        <v>-28654</v>
      </c>
      <c r="F964" s="3" t="s">
        <v>674</v>
      </c>
      <c r="G964" s="3" t="s">
        <v>88</v>
      </c>
      <c r="H964" s="2" t="s">
        <v>21</v>
      </c>
      <c r="I964" s="2" t="s">
        <v>2243</v>
      </c>
      <c r="J964" s="3" t="str">
        <f>HYPERLINK("https://www.boe.es/gazeta/dias/1821/07/18/pdfs/GMD-1821-203.pdf#page=4","Abrir facsímil")</f>
        <v>Abrir facsímil</v>
      </c>
      <c r="K964" s="3" t="s">
        <v>23</v>
      </c>
    </row>
    <row r="965" spans="1:11" ht="42" customHeight="1">
      <c r="A965" s="2" t="s">
        <v>2244</v>
      </c>
      <c r="B965" s="2" t="s">
        <v>2245</v>
      </c>
      <c r="C965" s="2" t="s">
        <v>40</v>
      </c>
      <c r="D965" s="2" t="s">
        <v>41</v>
      </c>
      <c r="E965" s="5">
        <v>-28745</v>
      </c>
      <c r="F965" s="3" t="s">
        <v>1020</v>
      </c>
      <c r="G965" s="3" t="s">
        <v>20</v>
      </c>
      <c r="H965" s="2" t="s">
        <v>30</v>
      </c>
      <c r="I965" s="2" t="s">
        <v>2246</v>
      </c>
      <c r="J965" s="3" t="str">
        <f>HYPERLINK("https://www.boe.es/gazeta/dias/1821/04/18/pdfs/GMD-1821-110.pdf#page=3","Abrir facsímil")</f>
        <v>Abrir facsímil</v>
      </c>
      <c r="K965" s="3" t="s">
        <v>32</v>
      </c>
    </row>
    <row r="966" spans="1:11" ht="42" customHeight="1">
      <c r="A966" s="2" t="s">
        <v>2247</v>
      </c>
      <c r="B966" s="2" t="s">
        <v>2248</v>
      </c>
      <c r="C966" s="2" t="s">
        <v>40</v>
      </c>
      <c r="D966" s="2" t="s">
        <v>41</v>
      </c>
      <c r="E966" s="5">
        <v>-28602</v>
      </c>
      <c r="F966" s="3" t="s">
        <v>1526</v>
      </c>
      <c r="G966" s="3" t="s">
        <v>20</v>
      </c>
      <c r="H966" s="2" t="s">
        <v>30</v>
      </c>
      <c r="I966" s="2" t="s">
        <v>2249</v>
      </c>
      <c r="J966" s="3" t="str">
        <f>HYPERLINK("https://www.boe.es/gazeta/dias/1821/09/08/pdfs/GMD-1821-256.pdf#page=3","Abrir facsímil")</f>
        <v>Abrir facsímil</v>
      </c>
      <c r="K966" s="3" t="s">
        <v>32</v>
      </c>
    </row>
    <row r="967" spans="1:11" ht="42" customHeight="1">
      <c r="A967" s="2" t="s">
        <v>2250</v>
      </c>
      <c r="B967" s="2" t="s">
        <v>2251</v>
      </c>
      <c r="C967" s="2" t="s">
        <v>26</v>
      </c>
      <c r="D967" s="2" t="s">
        <v>27</v>
      </c>
      <c r="E967" s="5">
        <v>-28652</v>
      </c>
      <c r="F967" s="3" t="s">
        <v>1314</v>
      </c>
      <c r="G967" s="3" t="s">
        <v>1315</v>
      </c>
      <c r="H967" s="2" t="s">
        <v>30</v>
      </c>
      <c r="I967" s="2" t="s">
        <v>2252</v>
      </c>
      <c r="J967" s="3" t="str">
        <f>HYPERLINK("https://www.boe.es/gazeta/dias/1821/07/20/pdfs/GMD-1821-205.pdf#page=4","Abrir facsímil")</f>
        <v>Abrir facsímil</v>
      </c>
      <c r="K967" s="3" t="s">
        <v>32</v>
      </c>
    </row>
    <row r="968" spans="1:11" ht="42" customHeight="1">
      <c r="A968" s="2" t="s">
        <v>2253</v>
      </c>
      <c r="B968" s="2" t="s">
        <v>2254</v>
      </c>
      <c r="C968" s="2" t="s">
        <v>26</v>
      </c>
      <c r="D968" s="2" t="s">
        <v>27</v>
      </c>
      <c r="E968" s="5">
        <v>-28531</v>
      </c>
      <c r="F968" s="3" t="s">
        <v>365</v>
      </c>
      <c r="G968" s="3" t="s">
        <v>20</v>
      </c>
      <c r="H968" s="2" t="s">
        <v>30</v>
      </c>
      <c r="I968" s="2" t="s">
        <v>2255</v>
      </c>
      <c r="J968" s="3" t="str">
        <f>HYPERLINK("https://www.boe.es/gazeta/dias/1821/11/18/pdfs/GMD-1821-329.pdf#page=3","Abrir facsímil")</f>
        <v>Abrir facsímil</v>
      </c>
      <c r="K968" s="3" t="s">
        <v>32</v>
      </c>
    </row>
    <row r="969" spans="1:11" ht="42" customHeight="1">
      <c r="A969" s="2" t="s">
        <v>2256</v>
      </c>
      <c r="B969" s="2" t="s">
        <v>2257</v>
      </c>
      <c r="C969" s="2" t="s">
        <v>17</v>
      </c>
      <c r="D969" s="2" t="s">
        <v>18</v>
      </c>
      <c r="E969" s="5">
        <v>-28757</v>
      </c>
      <c r="F969" s="3" t="s">
        <v>472</v>
      </c>
      <c r="G969" s="3" t="s">
        <v>88</v>
      </c>
      <c r="H969" s="2" t="s">
        <v>30</v>
      </c>
      <c r="I969" s="2" t="s">
        <v>2258</v>
      </c>
      <c r="J969" s="3" t="str">
        <f>HYPERLINK("https://www.boe.es/gazeta/dias/1821/04/06/pdfs/GMD-1821-98.pdf#page=4","Abrir facsímil")</f>
        <v>Abrir facsímil</v>
      </c>
      <c r="K969" s="3" t="s">
        <v>32</v>
      </c>
    </row>
    <row r="970" spans="1:11" ht="42" customHeight="1">
      <c r="A970" s="2" t="s">
        <v>2259</v>
      </c>
      <c r="B970" s="2" t="s">
        <v>2259</v>
      </c>
      <c r="C970" s="2" t="s">
        <v>35</v>
      </c>
      <c r="D970" s="2" t="s">
        <v>27</v>
      </c>
      <c r="E970" s="5">
        <v>-28569</v>
      </c>
      <c r="F970" s="3" t="s">
        <v>512</v>
      </c>
      <c r="G970" s="3" t="s">
        <v>29</v>
      </c>
      <c r="H970" s="2" t="s">
        <v>21</v>
      </c>
      <c r="I970" s="2" t="s">
        <v>2260</v>
      </c>
      <c r="J970" s="3" t="str">
        <f>HYPERLINK("https://www.boe.es/gazeta/dias/1821/10/11/pdfs/GMD-1821-290.pdf#page=6","Abrir facsímil")</f>
        <v>Abrir facsímil</v>
      </c>
      <c r="K970" s="3" t="s">
        <v>23</v>
      </c>
    </row>
    <row r="971" spans="1:11" ht="42" customHeight="1">
      <c r="A971" s="2" t="s">
        <v>2261</v>
      </c>
      <c r="B971" s="2" t="s">
        <v>2261</v>
      </c>
      <c r="C971" s="2" t="s">
        <v>174</v>
      </c>
      <c r="D971" s="2" t="s">
        <v>27</v>
      </c>
      <c r="E971" s="5">
        <v>-28646</v>
      </c>
      <c r="F971" s="3" t="s">
        <v>1457</v>
      </c>
      <c r="G971" s="3" t="s">
        <v>43</v>
      </c>
      <c r="H971" s="2" t="s">
        <v>21</v>
      </c>
      <c r="I971" s="2" t="s">
        <v>2262</v>
      </c>
      <c r="J971" s="3" t="str">
        <f>HYPERLINK("https://www.boe.es/gazeta/dias/1821/07/26/pdfs/GMD-1821-211.pdf#page=1","Abrir facsímil")</f>
        <v>Abrir facsímil</v>
      </c>
      <c r="K971" s="3" t="s">
        <v>23</v>
      </c>
    </row>
    <row r="972" spans="1:11" ht="42" customHeight="1">
      <c r="A972" s="2" t="s">
        <v>2261</v>
      </c>
      <c r="B972" s="2" t="s">
        <v>2261</v>
      </c>
      <c r="C972" s="2" t="s">
        <v>40</v>
      </c>
      <c r="D972" s="2" t="s">
        <v>41</v>
      </c>
      <c r="E972" s="5">
        <v>-28528</v>
      </c>
      <c r="F972" s="3" t="s">
        <v>1872</v>
      </c>
      <c r="G972" s="3" t="s">
        <v>88</v>
      </c>
      <c r="H972" s="2" t="s">
        <v>21</v>
      </c>
      <c r="I972" s="2" t="s">
        <v>2263</v>
      </c>
      <c r="J972" s="3" t="str">
        <f>HYPERLINK("https://www.boe.es/gazeta/dias/1821/11/21/pdfs/GMD-1821-332.pdf#page=4","Abrir facsímil")</f>
        <v>Abrir facsímil</v>
      </c>
      <c r="K972" s="3" t="s">
        <v>23</v>
      </c>
    </row>
    <row r="973" spans="1:11" ht="42" customHeight="1">
      <c r="A973" s="2" t="s">
        <v>2264</v>
      </c>
      <c r="B973" s="2" t="s">
        <v>2265</v>
      </c>
      <c r="C973" s="2" t="s">
        <v>40</v>
      </c>
      <c r="D973" s="2" t="s">
        <v>41</v>
      </c>
      <c r="E973" s="5">
        <v>-28580</v>
      </c>
      <c r="F973" s="3" t="s">
        <v>175</v>
      </c>
      <c r="G973" s="3" t="s">
        <v>20</v>
      </c>
      <c r="H973" s="2" t="s">
        <v>21</v>
      </c>
      <c r="I973" s="2" t="s">
        <v>2266</v>
      </c>
      <c r="J973" s="3" t="str">
        <f>HYPERLINK("https://www.boe.es/gazeta/dias/1821/09/30/pdfs/GMD-1821-279.pdf#page=3","Abrir facsímil")</f>
        <v>Abrir facsímil</v>
      </c>
      <c r="K973" s="3" t="s">
        <v>23</v>
      </c>
    </row>
    <row r="974" spans="1:11" ht="42" customHeight="1">
      <c r="A974" s="2" t="s">
        <v>2267</v>
      </c>
      <c r="B974" s="2" t="s">
        <v>2267</v>
      </c>
      <c r="C974" s="2" t="s">
        <v>17</v>
      </c>
      <c r="D974" s="2" t="s">
        <v>18</v>
      </c>
      <c r="E974" s="5">
        <v>-28566</v>
      </c>
      <c r="F974" s="3" t="s">
        <v>1529</v>
      </c>
      <c r="G974" s="3" t="s">
        <v>88</v>
      </c>
      <c r="H974" s="2" t="s">
        <v>21</v>
      </c>
      <c r="I974" s="2" t="s">
        <v>2268</v>
      </c>
      <c r="J974" s="3" t="str">
        <f>HYPERLINK("https://www.boe.es/gazeta/dias/1821/10/14/pdfs/GMD-1821-293.pdf#page=4","Abrir facsímil")</f>
        <v>Abrir facsímil</v>
      </c>
      <c r="K974" s="3" t="s">
        <v>23</v>
      </c>
    </row>
    <row r="975" spans="1:11" ht="42" customHeight="1">
      <c r="A975" s="2" t="s">
        <v>2269</v>
      </c>
      <c r="B975" s="2" t="s">
        <v>2270</v>
      </c>
      <c r="C975" s="2" t="s">
        <v>40</v>
      </c>
      <c r="D975" s="2" t="s">
        <v>41</v>
      </c>
      <c r="E975" s="5">
        <v>-28626</v>
      </c>
      <c r="F975" s="3" t="s">
        <v>468</v>
      </c>
      <c r="G975" s="3" t="s">
        <v>88</v>
      </c>
      <c r="H975" s="2" t="s">
        <v>21</v>
      </c>
      <c r="I975" s="2" t="s">
        <v>2271</v>
      </c>
      <c r="J975" s="3" t="str">
        <f>HYPERLINK("https://www.boe.es/gazeta/dias/1821/08/15/pdfs/GMD-1821-232.pdf#page=4","Abrir facsímil")</f>
        <v>Abrir facsímil</v>
      </c>
      <c r="K975" s="3" t="s">
        <v>23</v>
      </c>
    </row>
    <row r="976" spans="1:11" ht="42" customHeight="1">
      <c r="A976" s="2" t="s">
        <v>2272</v>
      </c>
      <c r="B976" s="2" t="s">
        <v>2273</v>
      </c>
      <c r="C976" s="2" t="s">
        <v>17</v>
      </c>
      <c r="D976" s="2" t="s">
        <v>18</v>
      </c>
      <c r="E976" s="5">
        <v>-28678</v>
      </c>
      <c r="F976" s="3" t="s">
        <v>215</v>
      </c>
      <c r="G976" s="3" t="s">
        <v>1445</v>
      </c>
      <c r="H976" s="2" t="s">
        <v>30</v>
      </c>
      <c r="I976" s="2" t="s">
        <v>2274</v>
      </c>
      <c r="J976" s="3" t="str">
        <f>HYPERLINK("https://www.boe.es/gazeta/dias/1821/06/24/pdfs/GMD-1821-177.pdf#page=3","Abrir facsímil")</f>
        <v>Abrir facsímil</v>
      </c>
      <c r="K976" s="3" t="s">
        <v>32</v>
      </c>
    </row>
    <row r="977" spans="1:11" ht="42" customHeight="1">
      <c r="A977" s="2" t="s">
        <v>2275</v>
      </c>
      <c r="B977" s="2" t="s">
        <v>2275</v>
      </c>
      <c r="C977" s="2" t="s">
        <v>35</v>
      </c>
      <c r="D977" s="2" t="s">
        <v>27</v>
      </c>
      <c r="E977" s="5">
        <v>-28679</v>
      </c>
      <c r="F977" s="3" t="s">
        <v>213</v>
      </c>
      <c r="G977" s="3" t="s">
        <v>52</v>
      </c>
      <c r="H977" s="2" t="s">
        <v>21</v>
      </c>
      <c r="I977" s="2" t="s">
        <v>2276</v>
      </c>
      <c r="J977" s="3" t="str">
        <f>HYPERLINK("https://www.boe.es/gazeta/dias/1821/06/23/pdfs/GMD-1821-176.pdf#page=2","Abrir facsímil")</f>
        <v>Abrir facsímil</v>
      </c>
      <c r="K977" s="3" t="s">
        <v>23</v>
      </c>
    </row>
    <row r="978" spans="1:11" ht="42" customHeight="1">
      <c r="A978" s="2" t="s">
        <v>2277</v>
      </c>
      <c r="B978" s="2" t="s">
        <v>2278</v>
      </c>
      <c r="C978" s="2" t="s">
        <v>40</v>
      </c>
      <c r="D978" s="2" t="s">
        <v>41</v>
      </c>
      <c r="E978" s="5">
        <v>-28508</v>
      </c>
      <c r="F978" s="3" t="s">
        <v>42</v>
      </c>
      <c r="G978" s="3" t="s">
        <v>88</v>
      </c>
      <c r="H978" s="2" t="s">
        <v>21</v>
      </c>
      <c r="I978" s="2" t="s">
        <v>2279</v>
      </c>
      <c r="J978" s="3" t="str">
        <f>HYPERLINK("https://www.boe.es/gazeta/dias/1821/12/11/pdfs/GMD-1821-353.pdf#page=4","Abrir facsímil")</f>
        <v>Abrir facsímil</v>
      </c>
      <c r="K978" s="3" t="s">
        <v>23</v>
      </c>
    </row>
    <row r="979" spans="1:11" ht="42" customHeight="1">
      <c r="A979" s="2" t="s">
        <v>2280</v>
      </c>
      <c r="B979" s="2" t="s">
        <v>2280</v>
      </c>
      <c r="C979" s="2" t="s">
        <v>26</v>
      </c>
      <c r="D979" s="2" t="s">
        <v>27</v>
      </c>
      <c r="E979" s="5">
        <v>-28797</v>
      </c>
      <c r="F979" s="3" t="s">
        <v>2281</v>
      </c>
      <c r="G979" s="3" t="s">
        <v>52</v>
      </c>
      <c r="H979" s="2" t="s">
        <v>21</v>
      </c>
      <c r="I979" s="2" t="s">
        <v>2282</v>
      </c>
      <c r="J979" s="3" t="str">
        <f>HYPERLINK("https://www.boe.es/gazeta/dias/1821/02/25/pdfs/GGB-1821-56.pdf#page=2","Abrir facsímil")</f>
        <v>Abrir facsímil</v>
      </c>
      <c r="K979" s="3" t="s">
        <v>23</v>
      </c>
    </row>
    <row r="980" spans="1:11" ht="42" customHeight="1">
      <c r="A980" s="2" t="s">
        <v>2280</v>
      </c>
      <c r="B980" s="2" t="s">
        <v>2280</v>
      </c>
      <c r="C980" s="2" t="s">
        <v>26</v>
      </c>
      <c r="D980" s="2" t="s">
        <v>27</v>
      </c>
      <c r="E980" s="5">
        <v>-28784</v>
      </c>
      <c r="F980" s="3" t="s">
        <v>451</v>
      </c>
      <c r="G980" s="3" t="s">
        <v>43</v>
      </c>
      <c r="H980" s="2" t="s">
        <v>21</v>
      </c>
      <c r="I980" s="2" t="s">
        <v>2283</v>
      </c>
      <c r="J980" s="3" t="str">
        <f>HYPERLINK("https://www.boe.es/gazeta/dias/1821/03/10/pdfs/GGB-1821-69.pdf#page=1","Abrir facsímil")</f>
        <v>Abrir facsímil</v>
      </c>
      <c r="K980" s="3" t="s">
        <v>23</v>
      </c>
    </row>
    <row r="981" spans="1:11" ht="42" customHeight="1">
      <c r="A981" s="2" t="s">
        <v>2284</v>
      </c>
      <c r="B981" s="2" t="s">
        <v>2284</v>
      </c>
      <c r="C981" s="2" t="s">
        <v>70</v>
      </c>
      <c r="D981" s="2" t="s">
        <v>27</v>
      </c>
      <c r="E981" s="5">
        <v>-28805</v>
      </c>
      <c r="F981" s="3" t="s">
        <v>382</v>
      </c>
      <c r="G981" s="3" t="s">
        <v>20</v>
      </c>
      <c r="H981" s="2" t="s">
        <v>21</v>
      </c>
      <c r="I981" s="2" t="s">
        <v>2285</v>
      </c>
      <c r="J981" s="3" t="str">
        <f>HYPERLINK("https://www.boe.es/gazeta/dias/1821/02/17/pdfs/GGB-1821-48.pdf#page=3","Abrir facsímil")</f>
        <v>Abrir facsímil</v>
      </c>
      <c r="K981" s="3" t="s">
        <v>23</v>
      </c>
    </row>
    <row r="982" spans="1:11" ht="42" customHeight="1">
      <c r="A982" s="2" t="s">
        <v>2284</v>
      </c>
      <c r="B982" s="2" t="s">
        <v>2284</v>
      </c>
      <c r="C982" s="2" t="s">
        <v>35</v>
      </c>
      <c r="D982" s="2" t="s">
        <v>27</v>
      </c>
      <c r="E982" s="5">
        <v>-28804</v>
      </c>
      <c r="F982" s="3" t="s">
        <v>1580</v>
      </c>
      <c r="G982" s="3" t="s">
        <v>20</v>
      </c>
      <c r="H982" s="2" t="s">
        <v>21</v>
      </c>
      <c r="I982" s="2" t="s">
        <v>2286</v>
      </c>
      <c r="J982" s="3" t="str">
        <f>HYPERLINK("https://www.boe.es/gazeta/dias/1821/02/18/pdfs/GGB-1821-49.pdf#page=3","Abrir facsímil")</f>
        <v>Abrir facsímil</v>
      </c>
      <c r="K982" s="3" t="s">
        <v>23</v>
      </c>
    </row>
    <row r="983" spans="1:11" ht="42" customHeight="1">
      <c r="A983" s="2" t="s">
        <v>2284</v>
      </c>
      <c r="B983" s="2" t="s">
        <v>2284</v>
      </c>
      <c r="C983" s="2" t="s">
        <v>35</v>
      </c>
      <c r="D983" s="2" t="s">
        <v>27</v>
      </c>
      <c r="E983" s="5">
        <v>-28795</v>
      </c>
      <c r="F983" s="3" t="s">
        <v>2287</v>
      </c>
      <c r="G983" s="3" t="s">
        <v>20</v>
      </c>
      <c r="H983" s="2" t="s">
        <v>21</v>
      </c>
      <c r="I983" s="2" t="s">
        <v>2288</v>
      </c>
      <c r="J983" s="3" t="str">
        <f>HYPERLINK("https://www.boe.es/gazeta/dias/1821/02/27/pdfs/GGB-1821-58.pdf#page=3","Abrir facsímil")</f>
        <v>Abrir facsímil</v>
      </c>
      <c r="K983" s="3" t="s">
        <v>23</v>
      </c>
    </row>
    <row r="984" spans="1:11" ht="42" customHeight="1">
      <c r="A984" s="2" t="s">
        <v>2284</v>
      </c>
      <c r="B984" s="2" t="s">
        <v>2284</v>
      </c>
      <c r="C984" s="2" t="s">
        <v>35</v>
      </c>
      <c r="D984" s="2" t="s">
        <v>27</v>
      </c>
      <c r="E984" s="5">
        <v>-28792</v>
      </c>
      <c r="F984" s="3" t="s">
        <v>2289</v>
      </c>
      <c r="G984" s="3" t="s">
        <v>2290</v>
      </c>
      <c r="H984" s="2" t="s">
        <v>21</v>
      </c>
      <c r="I984" s="2" t="s">
        <v>2291</v>
      </c>
      <c r="J984" s="3" t="str">
        <f>HYPERLINK("https://www.boe.es/gazeta/dias/1821/03/02/pdfs/GGB-1821-61.pdf#page=2","Abrir facsímil")</f>
        <v>Abrir facsímil</v>
      </c>
      <c r="K984" s="3" t="s">
        <v>23</v>
      </c>
    </row>
    <row r="985" spans="1:11" ht="42" customHeight="1">
      <c r="A985" s="2" t="s">
        <v>2284</v>
      </c>
      <c r="B985" s="2" t="s">
        <v>2284</v>
      </c>
      <c r="C985" s="2" t="s">
        <v>40</v>
      </c>
      <c r="D985" s="2" t="s">
        <v>41</v>
      </c>
      <c r="E985" s="5">
        <v>-28783</v>
      </c>
      <c r="F985" s="3" t="s">
        <v>198</v>
      </c>
      <c r="G985" s="3" t="s">
        <v>52</v>
      </c>
      <c r="H985" s="2" t="s">
        <v>21</v>
      </c>
      <c r="I985" s="2" t="s">
        <v>2292</v>
      </c>
      <c r="J985" s="3" t="str">
        <f>HYPERLINK("https://www.boe.es/gazeta/dias/1821/03/11/pdfs/GGB-1821-70.pdf#page=2","Abrir facsímil")</f>
        <v>Abrir facsímil</v>
      </c>
      <c r="K985" s="3" t="s">
        <v>23</v>
      </c>
    </row>
    <row r="986" spans="1:11" ht="42" customHeight="1">
      <c r="A986" s="2" t="s">
        <v>2284</v>
      </c>
      <c r="B986" s="2" t="s">
        <v>2284</v>
      </c>
      <c r="C986" s="2" t="s">
        <v>26</v>
      </c>
      <c r="D986" s="2" t="s">
        <v>27</v>
      </c>
      <c r="E986" s="5">
        <v>-28782</v>
      </c>
      <c r="F986" s="3" t="s">
        <v>508</v>
      </c>
      <c r="G986" s="3" t="s">
        <v>52</v>
      </c>
      <c r="H986" s="2" t="s">
        <v>21</v>
      </c>
      <c r="I986" s="2" t="s">
        <v>2293</v>
      </c>
      <c r="J986" s="3" t="str">
        <f>HYPERLINK("https://www.boe.es/gazeta/dias/1821/03/12/pdfs/GMD-1821-71.pdf#page=2","Abrir facsímil")</f>
        <v>Abrir facsímil</v>
      </c>
      <c r="K986" s="3" t="s">
        <v>23</v>
      </c>
    </row>
    <row r="987" spans="1:11" ht="42" customHeight="1">
      <c r="A987" s="2" t="s">
        <v>2284</v>
      </c>
      <c r="B987" s="2" t="s">
        <v>2284</v>
      </c>
      <c r="C987" s="2" t="s">
        <v>17</v>
      </c>
      <c r="D987" s="2" t="s">
        <v>18</v>
      </c>
      <c r="E987" s="5">
        <v>-28781</v>
      </c>
      <c r="F987" s="3" t="s">
        <v>149</v>
      </c>
      <c r="G987" s="3" t="s">
        <v>52</v>
      </c>
      <c r="H987" s="2" t="s">
        <v>21</v>
      </c>
      <c r="I987" s="2" t="s">
        <v>2294</v>
      </c>
      <c r="J987" s="3" t="str">
        <f>HYPERLINK("https://www.boe.es/gazeta/dias/1821/03/13/pdfs/GMD-1821-72.pdf#page=2","Abrir facsímil")</f>
        <v>Abrir facsímil</v>
      </c>
      <c r="K987" s="3" t="s">
        <v>23</v>
      </c>
    </row>
    <row r="988" spans="1:11" ht="42" customHeight="1">
      <c r="A988" s="2" t="s">
        <v>2284</v>
      </c>
      <c r="B988" s="2" t="s">
        <v>2284</v>
      </c>
      <c r="C988" s="2" t="s">
        <v>26</v>
      </c>
      <c r="D988" s="2" t="s">
        <v>27</v>
      </c>
      <c r="E988" s="5">
        <v>-28738</v>
      </c>
      <c r="F988" s="3" t="s">
        <v>359</v>
      </c>
      <c r="G988" s="3" t="s">
        <v>52</v>
      </c>
      <c r="H988" s="2" t="s">
        <v>21</v>
      </c>
      <c r="I988" s="2" t="s">
        <v>2295</v>
      </c>
      <c r="J988" s="3" t="str">
        <f>HYPERLINK("https://www.boe.es/gazeta/dias/1821/04/25/pdfs/GMD-1821-117.pdf#page=2","Abrir facsímil")</f>
        <v>Abrir facsímil</v>
      </c>
      <c r="K988" s="3" t="s">
        <v>23</v>
      </c>
    </row>
    <row r="989" spans="1:11" ht="42" customHeight="1">
      <c r="A989" s="2" t="s">
        <v>2296</v>
      </c>
      <c r="B989" s="2" t="s">
        <v>2296</v>
      </c>
      <c r="C989" s="2" t="s">
        <v>17</v>
      </c>
      <c r="D989" s="2" t="s">
        <v>18</v>
      </c>
      <c r="E989" s="5">
        <v>-28679</v>
      </c>
      <c r="F989" s="3" t="s">
        <v>213</v>
      </c>
      <c r="G989" s="3" t="s">
        <v>52</v>
      </c>
      <c r="H989" s="2" t="s">
        <v>21</v>
      </c>
      <c r="I989" s="2" t="s">
        <v>2297</v>
      </c>
      <c r="J989" s="3" t="str">
        <f>HYPERLINK("https://www.boe.es/gazeta/dias/1821/06/23/pdfs/GMD-1821-176.pdf#page=2","Abrir facsímil")</f>
        <v>Abrir facsímil</v>
      </c>
      <c r="K989" s="3" t="s">
        <v>23</v>
      </c>
    </row>
    <row r="990" spans="1:11" ht="42" customHeight="1">
      <c r="A990" s="2" t="s">
        <v>2284</v>
      </c>
      <c r="B990" s="2" t="s">
        <v>2284</v>
      </c>
      <c r="C990" s="2" t="s">
        <v>17</v>
      </c>
      <c r="D990" s="2" t="s">
        <v>18</v>
      </c>
      <c r="E990" s="5">
        <v>-28661</v>
      </c>
      <c r="F990" s="3" t="s">
        <v>2298</v>
      </c>
      <c r="G990" s="3" t="s">
        <v>162</v>
      </c>
      <c r="H990" s="2" t="s">
        <v>21</v>
      </c>
      <c r="I990" s="2" t="s">
        <v>2299</v>
      </c>
      <c r="J990" s="3" t="str">
        <f>HYPERLINK("https://www.boe.es/gazeta/dias/1821/07/11/pdfs/GMD-1821-196.pdf#page=5","Abrir facsímil")</f>
        <v>Abrir facsímil</v>
      </c>
      <c r="K990" s="3" t="s">
        <v>23</v>
      </c>
    </row>
    <row r="991" spans="1:11" ht="42" customHeight="1">
      <c r="A991" s="2" t="s">
        <v>2284</v>
      </c>
      <c r="B991" s="2" t="s">
        <v>2284</v>
      </c>
      <c r="C991" s="2" t="s">
        <v>40</v>
      </c>
      <c r="D991" s="2" t="s">
        <v>41</v>
      </c>
      <c r="E991" s="5">
        <v>-28570</v>
      </c>
      <c r="F991" s="3" t="s">
        <v>2300</v>
      </c>
      <c r="G991" s="3" t="s">
        <v>52</v>
      </c>
      <c r="H991" s="2" t="s">
        <v>21</v>
      </c>
      <c r="I991" s="2" t="s">
        <v>2301</v>
      </c>
      <c r="J991" s="3" t="str">
        <f>HYPERLINK("https://www.boe.es/gazeta/dias/1821/10/10/pdfs/GMD-1821-289.pdf#page=2","Abrir facsímil")</f>
        <v>Abrir facsímil</v>
      </c>
      <c r="K991" s="3" t="s">
        <v>23</v>
      </c>
    </row>
    <row r="992" spans="1:11" ht="42" customHeight="1">
      <c r="A992" s="2" t="s">
        <v>2302</v>
      </c>
      <c r="B992" s="2" t="s">
        <v>2303</v>
      </c>
      <c r="C992" s="2" t="s">
        <v>17</v>
      </c>
      <c r="D992" s="2" t="s">
        <v>18</v>
      </c>
      <c r="E992" s="5">
        <v>-28790</v>
      </c>
      <c r="F992" s="3" t="s">
        <v>991</v>
      </c>
      <c r="G992" s="3" t="s">
        <v>20</v>
      </c>
      <c r="H992" s="2" t="s">
        <v>21</v>
      </c>
      <c r="I992" s="2" t="s">
        <v>2304</v>
      </c>
      <c r="J992" s="3" t="str">
        <f>HYPERLINK("https://www.boe.es/gazeta/dias/1821/03/04/pdfs/GGB-1821-63.pdf#page=3","Abrir facsímil")</f>
        <v>Abrir facsímil</v>
      </c>
      <c r="K992" s="3" t="s">
        <v>23</v>
      </c>
    </row>
    <row r="993" spans="1:11" ht="42" customHeight="1">
      <c r="A993" s="2" t="s">
        <v>2305</v>
      </c>
      <c r="B993" s="2" t="s">
        <v>2306</v>
      </c>
      <c r="C993" s="2" t="s">
        <v>26</v>
      </c>
      <c r="D993" s="2" t="s">
        <v>27</v>
      </c>
      <c r="E993" s="5">
        <v>-28535</v>
      </c>
      <c r="F993" s="3" t="s">
        <v>96</v>
      </c>
      <c r="G993" s="3" t="s">
        <v>162</v>
      </c>
      <c r="H993" s="2" t="s">
        <v>21</v>
      </c>
      <c r="I993" s="2" t="s">
        <v>2307</v>
      </c>
      <c r="J993" s="3" t="str">
        <f>HYPERLINK("https://www.boe.es/gazeta/dias/1821/11/14/pdfs/GMD-1821-325.pdf#page=5","Abrir facsímil")</f>
        <v>Abrir facsímil</v>
      </c>
      <c r="K993" s="3" t="s">
        <v>23</v>
      </c>
    </row>
    <row r="994" spans="1:11" ht="42" customHeight="1">
      <c r="A994" s="2" t="s">
        <v>2308</v>
      </c>
      <c r="B994" s="2" t="s">
        <v>2308</v>
      </c>
      <c r="C994" s="2" t="s">
        <v>40</v>
      </c>
      <c r="D994" s="2" t="s">
        <v>41</v>
      </c>
      <c r="E994" s="5">
        <v>-28536</v>
      </c>
      <c r="F994" s="3" t="s">
        <v>553</v>
      </c>
      <c r="G994" s="3" t="s">
        <v>29</v>
      </c>
      <c r="H994" s="2" t="s">
        <v>21</v>
      </c>
      <c r="I994" s="2" t="s">
        <v>2309</v>
      </c>
      <c r="J994" s="3" t="str">
        <f>HYPERLINK("https://www.boe.es/gazeta/dias/1821/11/13/pdfs/GMD-1821-324.pdf#page=6","Abrir facsímil")</f>
        <v>Abrir facsímil</v>
      </c>
      <c r="K994" s="3" t="s">
        <v>23</v>
      </c>
    </row>
    <row r="995" spans="1:11" ht="42" customHeight="1">
      <c r="A995" s="2" t="s">
        <v>2310</v>
      </c>
      <c r="B995" s="2" t="s">
        <v>2310</v>
      </c>
      <c r="C995" s="2" t="s">
        <v>35</v>
      </c>
      <c r="D995" s="2" t="s">
        <v>27</v>
      </c>
      <c r="E995" s="5">
        <v>-28569</v>
      </c>
      <c r="F995" s="3" t="s">
        <v>512</v>
      </c>
      <c r="G995" s="3" t="s">
        <v>20</v>
      </c>
      <c r="H995" s="2" t="s">
        <v>21</v>
      </c>
      <c r="I995" s="2" t="s">
        <v>2311</v>
      </c>
      <c r="J995" s="3" t="str">
        <f>HYPERLINK("https://www.boe.es/gazeta/dias/1821/10/11/pdfs/GMD-1821-290.pdf#page=3","Abrir facsímil")</f>
        <v>Abrir facsímil</v>
      </c>
      <c r="K995" s="3" t="s">
        <v>23</v>
      </c>
    </row>
    <row r="996" spans="1:11" ht="42" customHeight="1">
      <c r="A996" s="2" t="s">
        <v>2312</v>
      </c>
      <c r="B996" s="2" t="s">
        <v>2313</v>
      </c>
      <c r="C996" s="2" t="s">
        <v>35</v>
      </c>
      <c r="D996" s="2" t="s">
        <v>27</v>
      </c>
      <c r="E996" s="5">
        <v>-28710</v>
      </c>
      <c r="F996" s="3" t="s">
        <v>375</v>
      </c>
      <c r="G996" s="3" t="s">
        <v>52</v>
      </c>
      <c r="H996" s="2" t="s">
        <v>21</v>
      </c>
      <c r="I996" s="2" t="s">
        <v>2314</v>
      </c>
      <c r="J996" s="3" t="str">
        <f>HYPERLINK("https://www.boe.es/gazeta/dias/1821/05/23/pdfs/GMD-1821-145.pdf#page=2","Abrir facsímil")</f>
        <v>Abrir facsímil</v>
      </c>
      <c r="K996" s="3" t="s">
        <v>23</v>
      </c>
    </row>
    <row r="997" spans="1:11" ht="42" customHeight="1">
      <c r="A997" s="2" t="s">
        <v>2315</v>
      </c>
      <c r="B997" s="2" t="s">
        <v>2315</v>
      </c>
      <c r="C997" s="2" t="s">
        <v>40</v>
      </c>
      <c r="D997" s="2" t="s">
        <v>41</v>
      </c>
      <c r="E997" s="5">
        <v>-28760</v>
      </c>
      <c r="F997" s="3" t="s">
        <v>170</v>
      </c>
      <c r="G997" s="3" t="s">
        <v>20</v>
      </c>
      <c r="H997" s="2" t="s">
        <v>21</v>
      </c>
      <c r="I997" s="2" t="s">
        <v>2316</v>
      </c>
      <c r="J997" s="3" t="str">
        <f>HYPERLINK("https://www.boe.es/gazeta/dias/1821/04/03/pdfs/GMD-1821-95.pdf#page=3","Abrir facsímil")</f>
        <v>Abrir facsímil</v>
      </c>
      <c r="K997" s="3" t="s">
        <v>23</v>
      </c>
    </row>
    <row r="998" spans="1:11" ht="42" customHeight="1">
      <c r="A998" s="2" t="s">
        <v>2315</v>
      </c>
      <c r="B998" s="2" t="s">
        <v>2315</v>
      </c>
      <c r="C998" s="2" t="s">
        <v>35</v>
      </c>
      <c r="D998" s="2" t="s">
        <v>27</v>
      </c>
      <c r="E998" s="5">
        <v>-28741</v>
      </c>
      <c r="F998" s="3" t="s">
        <v>1841</v>
      </c>
      <c r="G998" s="3" t="s">
        <v>20</v>
      </c>
      <c r="H998" s="2" t="s">
        <v>21</v>
      </c>
      <c r="I998" s="2" t="s">
        <v>2317</v>
      </c>
      <c r="J998" s="3" t="str">
        <f>HYPERLINK("https://www.boe.es/gazeta/dias/1821/04/22/pdfs/GMD-1821-114.pdf#page=3","Abrir facsímil")</f>
        <v>Abrir facsímil</v>
      </c>
      <c r="K998" s="3" t="s">
        <v>23</v>
      </c>
    </row>
    <row r="999" spans="1:11" ht="42" customHeight="1">
      <c r="A999" s="2" t="s">
        <v>2315</v>
      </c>
      <c r="B999" s="2" t="s">
        <v>2315</v>
      </c>
      <c r="C999" s="2" t="s">
        <v>17</v>
      </c>
      <c r="D999" s="2" t="s">
        <v>18</v>
      </c>
      <c r="E999" s="5">
        <v>-28696</v>
      </c>
      <c r="F999" s="3" t="s">
        <v>497</v>
      </c>
      <c r="G999" s="3" t="s">
        <v>88</v>
      </c>
      <c r="H999" s="2" t="s">
        <v>21</v>
      </c>
      <c r="I999" s="2" t="s">
        <v>2318</v>
      </c>
      <c r="J999" s="3" t="str">
        <f>HYPERLINK("https://www.boe.es/gazeta/dias/1821/06/06/pdfs/GMD-1821-159.pdf#page=4","Abrir facsímil")</f>
        <v>Abrir facsímil</v>
      </c>
      <c r="K999" s="3" t="s">
        <v>23</v>
      </c>
    </row>
    <row r="1000" spans="1:11" ht="42" customHeight="1">
      <c r="A1000" s="2" t="s">
        <v>2315</v>
      </c>
      <c r="B1000" s="2" t="s">
        <v>2315</v>
      </c>
      <c r="C1000" s="2" t="s">
        <v>494</v>
      </c>
      <c r="D1000" s="2" t="s">
        <v>18</v>
      </c>
      <c r="E1000" s="5">
        <v>-28673</v>
      </c>
      <c r="F1000" s="3" t="s">
        <v>1069</v>
      </c>
      <c r="G1000" s="3" t="s">
        <v>20</v>
      </c>
      <c r="H1000" s="2" t="s">
        <v>21</v>
      </c>
      <c r="I1000" s="2" t="s">
        <v>2319</v>
      </c>
      <c r="J1000" s="3" t="str">
        <f>HYPERLINK("https://www.boe.es/gazeta/dias/1821/06/29/pdfs/GMD-1821-182.pdf#page=3","Abrir facsímil")</f>
        <v>Abrir facsímil</v>
      </c>
      <c r="K1000" s="3" t="s">
        <v>23</v>
      </c>
    </row>
    <row r="1001" spans="1:11" ht="42" customHeight="1">
      <c r="A1001" s="2" t="s">
        <v>2315</v>
      </c>
      <c r="B1001" s="2" t="s">
        <v>2315</v>
      </c>
      <c r="C1001" s="2" t="s">
        <v>26</v>
      </c>
      <c r="D1001" s="2" t="s">
        <v>27</v>
      </c>
      <c r="E1001" s="5">
        <v>-28569</v>
      </c>
      <c r="F1001" s="3" t="s">
        <v>512</v>
      </c>
      <c r="G1001" s="3" t="s">
        <v>88</v>
      </c>
      <c r="H1001" s="2" t="s">
        <v>21</v>
      </c>
      <c r="I1001" s="2" t="s">
        <v>2320</v>
      </c>
      <c r="J1001" s="3" t="str">
        <f>HYPERLINK("https://www.boe.es/gazeta/dias/1821/10/11/pdfs/GMD-1821-290.pdf#page=4","Abrir facsímil")</f>
        <v>Abrir facsímil</v>
      </c>
      <c r="K1001" s="3" t="s">
        <v>23</v>
      </c>
    </row>
    <row r="1002" spans="1:11" ht="42" customHeight="1">
      <c r="A1002" s="2" t="s">
        <v>2315</v>
      </c>
      <c r="B1002" s="2" t="s">
        <v>2315</v>
      </c>
      <c r="C1002" s="2" t="s">
        <v>114</v>
      </c>
      <c r="D1002" s="2" t="s">
        <v>27</v>
      </c>
      <c r="E1002" s="5">
        <v>-28565</v>
      </c>
      <c r="F1002" s="3" t="s">
        <v>326</v>
      </c>
      <c r="G1002" s="3" t="s">
        <v>88</v>
      </c>
      <c r="H1002" s="2" t="s">
        <v>21</v>
      </c>
      <c r="I1002" s="2" t="s">
        <v>2321</v>
      </c>
      <c r="J1002" s="3" t="str">
        <f>HYPERLINK("https://www.boe.es/gazeta/dias/1821/10/15/pdfs/GMD-1821-294.pdf#page=4","Abrir facsímil")</f>
        <v>Abrir facsímil</v>
      </c>
      <c r="K1002" s="3" t="s">
        <v>23</v>
      </c>
    </row>
    <row r="1003" spans="1:11" ht="42" customHeight="1">
      <c r="A1003" s="2" t="s">
        <v>2315</v>
      </c>
      <c r="B1003" s="2" t="s">
        <v>2315</v>
      </c>
      <c r="C1003" s="2" t="s">
        <v>26</v>
      </c>
      <c r="D1003" s="2" t="s">
        <v>27</v>
      </c>
      <c r="E1003" s="5">
        <v>-28555</v>
      </c>
      <c r="F1003" s="3" t="s">
        <v>219</v>
      </c>
      <c r="G1003" s="3" t="s">
        <v>20</v>
      </c>
      <c r="H1003" s="2" t="s">
        <v>21</v>
      </c>
      <c r="I1003" s="2" t="s">
        <v>2322</v>
      </c>
      <c r="J1003" s="3" t="str">
        <f>HYPERLINK("https://www.boe.es/gazeta/dias/1821/10/25/pdfs/GMD-1821-304.pdf#page=3","Abrir facsímil")</f>
        <v>Abrir facsímil</v>
      </c>
      <c r="K1003" s="3" t="s">
        <v>23</v>
      </c>
    </row>
    <row r="1004" spans="1:11" ht="42" customHeight="1">
      <c r="A1004" s="2" t="s">
        <v>2315</v>
      </c>
      <c r="B1004" s="2" t="s">
        <v>2315</v>
      </c>
      <c r="C1004" s="2" t="s">
        <v>26</v>
      </c>
      <c r="D1004" s="2" t="s">
        <v>27</v>
      </c>
      <c r="E1004" s="5">
        <v>-28538</v>
      </c>
      <c r="F1004" s="3" t="s">
        <v>395</v>
      </c>
      <c r="G1004" s="3" t="s">
        <v>20</v>
      </c>
      <c r="H1004" s="2" t="s">
        <v>21</v>
      </c>
      <c r="I1004" s="2" t="s">
        <v>2323</v>
      </c>
      <c r="J1004" s="3" t="str">
        <f>HYPERLINK("https://www.boe.es/gazeta/dias/1821/11/11/pdfs/GMD-1821-322.pdf#page=3","Abrir facsímil")</f>
        <v>Abrir facsímil</v>
      </c>
      <c r="K1004" s="3" t="s">
        <v>23</v>
      </c>
    </row>
    <row r="1005" spans="1:11" ht="42" customHeight="1">
      <c r="A1005" s="2" t="s">
        <v>2315</v>
      </c>
      <c r="B1005" s="2" t="s">
        <v>2315</v>
      </c>
      <c r="C1005" s="2" t="s">
        <v>40</v>
      </c>
      <c r="D1005" s="2" t="s">
        <v>41</v>
      </c>
      <c r="E1005" s="5">
        <v>-28538</v>
      </c>
      <c r="F1005" s="3" t="s">
        <v>395</v>
      </c>
      <c r="G1005" s="3" t="s">
        <v>162</v>
      </c>
      <c r="H1005" s="2" t="s">
        <v>21</v>
      </c>
      <c r="I1005" s="2" t="s">
        <v>2324</v>
      </c>
      <c r="J1005" s="3" t="str">
        <f>HYPERLINK("https://www.boe.es/gazeta/dias/1821/11/11/pdfs/GMD-1821-322.pdf#page=5","Abrir facsímil")</f>
        <v>Abrir facsímil</v>
      </c>
      <c r="K1005" s="3" t="s">
        <v>23</v>
      </c>
    </row>
    <row r="1006" spans="1:11" ht="42" customHeight="1">
      <c r="A1006" s="2" t="s">
        <v>2315</v>
      </c>
      <c r="B1006" s="2" t="s">
        <v>2315</v>
      </c>
      <c r="C1006" s="2" t="s">
        <v>114</v>
      </c>
      <c r="D1006" s="2" t="s">
        <v>27</v>
      </c>
      <c r="E1006" s="5">
        <v>-28516</v>
      </c>
      <c r="F1006" s="3" t="s">
        <v>514</v>
      </c>
      <c r="G1006" s="3" t="s">
        <v>88</v>
      </c>
      <c r="H1006" s="2" t="s">
        <v>21</v>
      </c>
      <c r="I1006" s="2" t="s">
        <v>2325</v>
      </c>
      <c r="J1006" s="3" t="str">
        <f>HYPERLINK("https://www.boe.es/gazeta/dias/1821/12/03/pdfs/GMD-1821-345.pdf#page=4","Abrir facsímil")</f>
        <v>Abrir facsímil</v>
      </c>
      <c r="K1006" s="3" t="s">
        <v>23</v>
      </c>
    </row>
    <row r="1007" spans="1:11" ht="42" customHeight="1">
      <c r="A1007" s="2" t="s">
        <v>2315</v>
      </c>
      <c r="B1007" s="2" t="s">
        <v>2315</v>
      </c>
      <c r="C1007" s="2" t="s">
        <v>26</v>
      </c>
      <c r="D1007" s="2" t="s">
        <v>27</v>
      </c>
      <c r="E1007" s="5">
        <v>-28516</v>
      </c>
      <c r="F1007" s="3" t="s">
        <v>514</v>
      </c>
      <c r="G1007" s="3" t="s">
        <v>162</v>
      </c>
      <c r="H1007" s="2" t="s">
        <v>21</v>
      </c>
      <c r="I1007" s="2" t="s">
        <v>2326</v>
      </c>
      <c r="J1007" s="3" t="str">
        <f>HYPERLINK("https://www.boe.es/gazeta/dias/1821/12/03/pdfs/GMD-1821-345.pdf#page=5","Abrir facsímil")</f>
        <v>Abrir facsímil</v>
      </c>
      <c r="K1007" s="3" t="s">
        <v>23</v>
      </c>
    </row>
    <row r="1008" spans="1:11" ht="42" customHeight="1">
      <c r="A1008" s="2" t="s">
        <v>2327</v>
      </c>
      <c r="B1008" s="2" t="s">
        <v>2327</v>
      </c>
      <c r="C1008" s="2" t="s">
        <v>17</v>
      </c>
      <c r="D1008" s="2" t="s">
        <v>18</v>
      </c>
      <c r="E1008" s="5">
        <v>-28757</v>
      </c>
      <c r="F1008" s="3" t="s">
        <v>472</v>
      </c>
      <c r="G1008" s="3" t="s">
        <v>52</v>
      </c>
      <c r="H1008" s="2" t="s">
        <v>21</v>
      </c>
      <c r="I1008" s="2" t="s">
        <v>2328</v>
      </c>
      <c r="J1008" s="3" t="str">
        <f>HYPERLINK("https://www.boe.es/gazeta/dias/1821/04/06/pdfs/GMD-1821-98.pdf#page=2","Abrir facsímil")</f>
        <v>Abrir facsímil</v>
      </c>
      <c r="K1008" s="3" t="s">
        <v>23</v>
      </c>
    </row>
    <row r="1009" spans="1:11" ht="42" customHeight="1">
      <c r="A1009" s="2" t="s">
        <v>2329</v>
      </c>
      <c r="B1009" s="2" t="s">
        <v>2329</v>
      </c>
      <c r="C1009" s="2" t="s">
        <v>35</v>
      </c>
      <c r="D1009" s="2" t="s">
        <v>27</v>
      </c>
      <c r="E1009" s="5">
        <v>-28565</v>
      </c>
      <c r="F1009" s="3" t="s">
        <v>326</v>
      </c>
      <c r="G1009" s="3" t="s">
        <v>20</v>
      </c>
      <c r="H1009" s="2" t="s">
        <v>21</v>
      </c>
      <c r="I1009" s="2" t="s">
        <v>2330</v>
      </c>
      <c r="J1009" s="3" t="str">
        <f>HYPERLINK("https://www.boe.es/gazeta/dias/1821/10/15/pdfs/GMD-1821-294.pdf#page=3","Abrir facsímil")</f>
        <v>Abrir facsímil</v>
      </c>
      <c r="K1009" s="3" t="s">
        <v>23</v>
      </c>
    </row>
    <row r="1010" spans="1:11" ht="42" customHeight="1">
      <c r="A1010" s="2" t="s">
        <v>2331</v>
      </c>
      <c r="B1010" s="2" t="s">
        <v>2332</v>
      </c>
      <c r="C1010" s="2" t="s">
        <v>40</v>
      </c>
      <c r="D1010" s="2" t="s">
        <v>41</v>
      </c>
      <c r="E1010" s="5">
        <v>-28824</v>
      </c>
      <c r="F1010" s="3" t="s">
        <v>1227</v>
      </c>
      <c r="G1010" s="3" t="s">
        <v>20</v>
      </c>
      <c r="H1010" s="2" t="s">
        <v>21</v>
      </c>
      <c r="I1010" s="2" t="s">
        <v>2333</v>
      </c>
      <c r="J1010" s="3" t="str">
        <f>HYPERLINK("https://www.boe.es/gazeta/dias/1821/01/29/pdfs/GGB-1821-29.pdf#page=3","Abrir facsímil")</f>
        <v>Abrir facsímil</v>
      </c>
      <c r="K1010" s="3" t="s">
        <v>23</v>
      </c>
    </row>
    <row r="1011" spans="1:11" ht="42" customHeight="1">
      <c r="A1011" s="2" t="s">
        <v>2331</v>
      </c>
      <c r="B1011" s="2" t="s">
        <v>2332</v>
      </c>
      <c r="C1011" s="2" t="s">
        <v>279</v>
      </c>
      <c r="D1011" s="2" t="s">
        <v>27</v>
      </c>
      <c r="E1011" s="5">
        <v>-28538</v>
      </c>
      <c r="F1011" s="3" t="s">
        <v>395</v>
      </c>
      <c r="G1011" s="3" t="s">
        <v>52</v>
      </c>
      <c r="H1011" s="2" t="s">
        <v>21</v>
      </c>
      <c r="I1011" s="2" t="s">
        <v>2334</v>
      </c>
      <c r="J1011" s="3" t="str">
        <f>HYPERLINK("https://www.boe.es/gazeta/dias/1821/11/11/pdfs/GMD-1821-322.pdf#page=2","Abrir facsímil")</f>
        <v>Abrir facsímil</v>
      </c>
      <c r="K1011" s="3" t="s">
        <v>23</v>
      </c>
    </row>
    <row r="1012" spans="1:11" ht="42" customHeight="1">
      <c r="A1012" s="2" t="s">
        <v>2335</v>
      </c>
      <c r="B1012" s="2" t="s">
        <v>2336</v>
      </c>
      <c r="C1012" s="2" t="s">
        <v>17</v>
      </c>
      <c r="D1012" s="2" t="s">
        <v>18</v>
      </c>
      <c r="E1012" s="5">
        <v>-28818</v>
      </c>
      <c r="F1012" s="3" t="s">
        <v>2337</v>
      </c>
      <c r="G1012" s="3" t="s">
        <v>20</v>
      </c>
      <c r="H1012" s="2" t="s">
        <v>21</v>
      </c>
      <c r="I1012" s="2" t="s">
        <v>2338</v>
      </c>
      <c r="J1012" s="3" t="str">
        <f>HYPERLINK("https://www.boe.es/gazeta/dias/1821/02/04/pdfs/GGB-1821-35.pdf#page=3","Abrir facsímil")</f>
        <v>Abrir facsímil</v>
      </c>
      <c r="K1012" s="3" t="s">
        <v>23</v>
      </c>
    </row>
    <row r="1013" spans="1:11" ht="42" customHeight="1">
      <c r="A1013" s="2" t="s">
        <v>2339</v>
      </c>
      <c r="B1013" s="2" t="s">
        <v>2340</v>
      </c>
      <c r="C1013" s="2" t="s">
        <v>26</v>
      </c>
      <c r="D1013" s="2" t="s">
        <v>27</v>
      </c>
      <c r="E1013" s="5">
        <v>-28779</v>
      </c>
      <c r="F1013" s="3" t="s">
        <v>1002</v>
      </c>
      <c r="G1013" s="3" t="s">
        <v>43</v>
      </c>
      <c r="H1013" s="2" t="s">
        <v>21</v>
      </c>
      <c r="I1013" s="2" t="s">
        <v>2341</v>
      </c>
      <c r="J1013" s="3" t="str">
        <f>HYPERLINK("https://www.boe.es/gazeta/dias/1821/03/15/pdfs/GMD-1821-74.pdf#page=1","Abrir facsímil")</f>
        <v>Abrir facsímil</v>
      </c>
      <c r="K1013" s="3" t="s">
        <v>23</v>
      </c>
    </row>
    <row r="1014" spans="1:11" ht="42" customHeight="1">
      <c r="A1014" s="2" t="s">
        <v>2342</v>
      </c>
      <c r="B1014" s="2" t="s">
        <v>2343</v>
      </c>
      <c r="C1014" s="2" t="s">
        <v>26</v>
      </c>
      <c r="D1014" s="2" t="s">
        <v>27</v>
      </c>
      <c r="E1014" s="5">
        <v>-28629</v>
      </c>
      <c r="F1014" s="3" t="s">
        <v>235</v>
      </c>
      <c r="G1014" s="3" t="s">
        <v>88</v>
      </c>
      <c r="H1014" s="2" t="s">
        <v>21</v>
      </c>
      <c r="I1014" s="2" t="s">
        <v>2344</v>
      </c>
      <c r="J1014" s="3" t="str">
        <f>HYPERLINK("https://www.boe.es/gazeta/dias/1821/08/12/pdfs/GMD-1821-229.pdf#page=4","Abrir facsímil")</f>
        <v>Abrir facsímil</v>
      </c>
      <c r="K1014" s="3" t="s">
        <v>23</v>
      </c>
    </row>
    <row r="1015" spans="1:11" ht="42" customHeight="1">
      <c r="A1015" s="2" t="s">
        <v>2345</v>
      </c>
      <c r="B1015" s="2" t="s">
        <v>2345</v>
      </c>
      <c r="C1015" s="2" t="s">
        <v>26</v>
      </c>
      <c r="D1015" s="2" t="s">
        <v>27</v>
      </c>
      <c r="E1015" s="5">
        <v>-28617</v>
      </c>
      <c r="F1015" s="3" t="s">
        <v>436</v>
      </c>
      <c r="G1015" s="3" t="s">
        <v>52</v>
      </c>
      <c r="H1015" s="2" t="s">
        <v>21</v>
      </c>
      <c r="I1015" s="2" t="s">
        <v>2346</v>
      </c>
      <c r="J1015" s="3" t="str">
        <f>HYPERLINK("https://www.boe.es/gazeta/dias/1821/08/24/pdfs/GMD-1821-241.pdf#page=2","Abrir facsímil")</f>
        <v>Abrir facsímil</v>
      </c>
      <c r="K1015" s="3" t="s">
        <v>23</v>
      </c>
    </row>
    <row r="1016" spans="1:11" ht="42" customHeight="1">
      <c r="A1016" s="2" t="s">
        <v>2347</v>
      </c>
      <c r="B1016" s="2" t="s">
        <v>2348</v>
      </c>
      <c r="C1016" s="2" t="s">
        <v>35</v>
      </c>
      <c r="D1016" s="2" t="s">
        <v>27</v>
      </c>
      <c r="E1016" s="5">
        <v>-28813</v>
      </c>
      <c r="F1016" s="3" t="s">
        <v>268</v>
      </c>
      <c r="G1016" s="3" t="s">
        <v>20</v>
      </c>
      <c r="H1016" s="2" t="s">
        <v>21</v>
      </c>
      <c r="I1016" s="2" t="s">
        <v>2349</v>
      </c>
      <c r="J1016" s="3" t="str">
        <f>HYPERLINK("https://www.boe.es/gazeta/dias/1821/02/09/pdfs/GGB-1821-40.pdf#page=3","Abrir facsímil")</f>
        <v>Abrir facsímil</v>
      </c>
      <c r="K1016" s="3" t="s">
        <v>23</v>
      </c>
    </row>
    <row r="1017" spans="1:11" ht="42" customHeight="1">
      <c r="A1017" s="2" t="s">
        <v>2350</v>
      </c>
      <c r="B1017" s="2" t="s">
        <v>2351</v>
      </c>
      <c r="C1017" s="2" t="s">
        <v>40</v>
      </c>
      <c r="D1017" s="2" t="s">
        <v>41</v>
      </c>
      <c r="E1017" s="5">
        <v>-28788</v>
      </c>
      <c r="F1017" s="3" t="s">
        <v>996</v>
      </c>
      <c r="G1017" s="3" t="s">
        <v>20</v>
      </c>
      <c r="H1017" s="2" t="s">
        <v>21</v>
      </c>
      <c r="I1017" s="2" t="s">
        <v>2352</v>
      </c>
      <c r="J1017" s="3" t="str">
        <f>HYPERLINK("https://www.boe.es/gazeta/dias/1821/03/06/pdfs/GGB-1821-65.pdf#page=3","Abrir facsímil")</f>
        <v>Abrir facsímil</v>
      </c>
      <c r="K1017" s="3" t="s">
        <v>23</v>
      </c>
    </row>
    <row r="1018" spans="1:11" ht="42" customHeight="1">
      <c r="A1018" s="2" t="s">
        <v>2350</v>
      </c>
      <c r="B1018" s="2" t="s">
        <v>2351</v>
      </c>
      <c r="C1018" s="2" t="s">
        <v>40</v>
      </c>
      <c r="D1018" s="2" t="s">
        <v>41</v>
      </c>
      <c r="E1018" s="5">
        <v>-28788</v>
      </c>
      <c r="F1018" s="3" t="s">
        <v>996</v>
      </c>
      <c r="G1018" s="3" t="s">
        <v>88</v>
      </c>
      <c r="H1018" s="2" t="s">
        <v>21</v>
      </c>
      <c r="I1018" s="2" t="s">
        <v>2353</v>
      </c>
      <c r="J1018" s="3" t="str">
        <f>HYPERLINK("https://www.boe.es/gazeta/dias/1821/03/06/pdfs/GGB-1821-65.pdf#page=4","Abrir facsímil")</f>
        <v>Abrir facsímil</v>
      </c>
      <c r="K1018" s="3" t="s">
        <v>23</v>
      </c>
    </row>
    <row r="1019" spans="1:11" ht="42" customHeight="1">
      <c r="A1019" s="2" t="s">
        <v>2350</v>
      </c>
      <c r="B1019" s="2" t="s">
        <v>2351</v>
      </c>
      <c r="C1019" s="2" t="s">
        <v>40</v>
      </c>
      <c r="D1019" s="2" t="s">
        <v>41</v>
      </c>
      <c r="E1019" s="5">
        <v>-28765</v>
      </c>
      <c r="F1019" s="3" t="s">
        <v>974</v>
      </c>
      <c r="G1019" s="3" t="s">
        <v>1483</v>
      </c>
      <c r="H1019" s="2" t="s">
        <v>21</v>
      </c>
      <c r="I1019" s="2" t="s">
        <v>2354</v>
      </c>
      <c r="J1019" s="3" t="str">
        <f>HYPERLINK("https://www.boe.es/gazeta/dias/1821/03/29/pdfs/GMD-1821-90.pdf#page=4","Abrir facsímil")</f>
        <v>Abrir facsímil</v>
      </c>
      <c r="K1019" s="3" t="s">
        <v>23</v>
      </c>
    </row>
    <row r="1020" spans="1:11" ht="42" customHeight="1">
      <c r="A1020" s="2" t="s">
        <v>2355</v>
      </c>
      <c r="B1020" s="2" t="s">
        <v>2356</v>
      </c>
      <c r="C1020" s="2" t="s">
        <v>40</v>
      </c>
      <c r="D1020" s="2" t="s">
        <v>41</v>
      </c>
      <c r="E1020" s="5">
        <v>-28790</v>
      </c>
      <c r="F1020" s="3" t="s">
        <v>991</v>
      </c>
      <c r="G1020" s="3" t="s">
        <v>20</v>
      </c>
      <c r="H1020" s="2" t="s">
        <v>21</v>
      </c>
      <c r="I1020" s="2" t="s">
        <v>2357</v>
      </c>
      <c r="J1020" s="3" t="str">
        <f>HYPERLINK("https://www.boe.es/gazeta/dias/1821/03/04/pdfs/GGB-1821-63.pdf#page=3","Abrir facsímil")</f>
        <v>Abrir facsímil</v>
      </c>
      <c r="K1020" s="3" t="s">
        <v>23</v>
      </c>
    </row>
    <row r="1021" spans="1:11" ht="42" customHeight="1">
      <c r="A1021" s="2" t="s">
        <v>2358</v>
      </c>
      <c r="B1021" s="2" t="s">
        <v>2359</v>
      </c>
      <c r="C1021" s="2" t="s">
        <v>26</v>
      </c>
      <c r="D1021" s="2" t="s">
        <v>27</v>
      </c>
      <c r="E1021" s="5">
        <v>-28667</v>
      </c>
      <c r="F1021" s="3" t="s">
        <v>107</v>
      </c>
      <c r="G1021" s="3" t="s">
        <v>52</v>
      </c>
      <c r="H1021" s="2" t="s">
        <v>21</v>
      </c>
      <c r="I1021" s="2" t="s">
        <v>2360</v>
      </c>
      <c r="J1021" s="3" t="str">
        <f>HYPERLINK("https://www.boe.es/gazeta/dias/1821/07/05/pdfs/GMD-1821-189.pdf#page=2","Abrir facsímil")</f>
        <v>Abrir facsímil</v>
      </c>
      <c r="K1021" s="3" t="s">
        <v>23</v>
      </c>
    </row>
    <row r="1022" spans="1:11" ht="42" customHeight="1">
      <c r="A1022" s="2" t="s">
        <v>2361</v>
      </c>
      <c r="B1022" s="2" t="s">
        <v>2362</v>
      </c>
      <c r="C1022" s="2" t="s">
        <v>40</v>
      </c>
      <c r="D1022" s="2" t="s">
        <v>41</v>
      </c>
      <c r="E1022" s="5">
        <v>-28821</v>
      </c>
      <c r="F1022" s="3" t="s">
        <v>371</v>
      </c>
      <c r="G1022" s="3" t="s">
        <v>88</v>
      </c>
      <c r="H1022" s="2" t="s">
        <v>21</v>
      </c>
      <c r="I1022" s="2" t="s">
        <v>2363</v>
      </c>
      <c r="J1022" s="3" t="str">
        <f>HYPERLINK("https://www.boe.es/gazeta/dias/1821/02/01/pdfs/GGB-1821-32.pdf#page=4","Abrir facsímil")</f>
        <v>Abrir facsímil</v>
      </c>
      <c r="K1022" s="3" t="s">
        <v>23</v>
      </c>
    </row>
    <row r="1023" spans="1:11" ht="42" customHeight="1">
      <c r="A1023" s="2" t="s">
        <v>2364</v>
      </c>
      <c r="B1023" s="2" t="s">
        <v>2365</v>
      </c>
      <c r="C1023" s="2" t="s">
        <v>40</v>
      </c>
      <c r="D1023" s="2" t="s">
        <v>41</v>
      </c>
      <c r="E1023" s="5">
        <v>-28757</v>
      </c>
      <c r="F1023" s="3" t="s">
        <v>472</v>
      </c>
      <c r="G1023" s="3" t="s">
        <v>52</v>
      </c>
      <c r="H1023" s="2" t="s">
        <v>21</v>
      </c>
      <c r="I1023" s="2" t="s">
        <v>2366</v>
      </c>
      <c r="J1023" s="3" t="str">
        <f>HYPERLINK("https://www.boe.es/gazeta/dias/1821/04/06/pdfs/GMD-1821-98.pdf#page=2","Abrir facsímil")</f>
        <v>Abrir facsímil</v>
      </c>
      <c r="K1023" s="3" t="s">
        <v>23</v>
      </c>
    </row>
    <row r="1024" spans="1:11" ht="42" customHeight="1">
      <c r="A1024" s="2" t="s">
        <v>2367</v>
      </c>
      <c r="B1024" s="2" t="s">
        <v>2368</v>
      </c>
      <c r="C1024" s="2" t="s">
        <v>35</v>
      </c>
      <c r="D1024" s="2" t="s">
        <v>27</v>
      </c>
      <c r="E1024" s="5">
        <v>-28678</v>
      </c>
      <c r="F1024" s="3" t="s">
        <v>215</v>
      </c>
      <c r="G1024" s="3" t="s">
        <v>1445</v>
      </c>
      <c r="H1024" s="2" t="s">
        <v>21</v>
      </c>
      <c r="I1024" s="2" t="s">
        <v>2369</v>
      </c>
      <c r="J1024" s="3" t="str">
        <f>HYPERLINK("https://www.boe.es/gazeta/dias/1821/06/24/pdfs/GMD-1821-177.pdf#page=3","Abrir facsímil")</f>
        <v>Abrir facsímil</v>
      </c>
      <c r="K1024" s="3" t="s">
        <v>23</v>
      </c>
    </row>
    <row r="1025" spans="1:11" ht="42" customHeight="1">
      <c r="A1025" s="2" t="s">
        <v>2370</v>
      </c>
      <c r="B1025" s="2" t="s">
        <v>2370</v>
      </c>
      <c r="C1025" s="2" t="s">
        <v>26</v>
      </c>
      <c r="D1025" s="2" t="s">
        <v>27</v>
      </c>
      <c r="E1025" s="5">
        <v>-28573</v>
      </c>
      <c r="F1025" s="3" t="s">
        <v>19</v>
      </c>
      <c r="G1025" s="3" t="s">
        <v>88</v>
      </c>
      <c r="H1025" s="2" t="s">
        <v>21</v>
      </c>
      <c r="I1025" s="2" t="s">
        <v>2371</v>
      </c>
      <c r="J1025" s="3" t="str">
        <f>HYPERLINK("https://www.boe.es/gazeta/dias/1821/10/07/pdfs/GMD-1821-286.pdf#page=4","Abrir facsímil")</f>
        <v>Abrir facsímil</v>
      </c>
      <c r="K1025" s="3" t="s">
        <v>23</v>
      </c>
    </row>
    <row r="1026" spans="1:11" ht="42" customHeight="1">
      <c r="A1026" s="2" t="s">
        <v>2372</v>
      </c>
      <c r="B1026" s="2" t="s">
        <v>2373</v>
      </c>
      <c r="C1026" s="2" t="s">
        <v>174</v>
      </c>
      <c r="D1026" s="2" t="s">
        <v>27</v>
      </c>
      <c r="E1026" s="5">
        <v>-28833</v>
      </c>
      <c r="F1026" s="3" t="s">
        <v>1868</v>
      </c>
      <c r="G1026" s="3" t="s">
        <v>20</v>
      </c>
      <c r="H1026" s="2" t="s">
        <v>21</v>
      </c>
      <c r="I1026" s="2" t="s">
        <v>2374</v>
      </c>
      <c r="J1026" s="3" t="str">
        <f>HYPERLINK("https://www.boe.es/gazeta/dias/1821/01/20/pdfs/GGB-1821-20.pdf#page=3","Abrir facsímil")</f>
        <v>Abrir facsímil</v>
      </c>
      <c r="K1026" s="3" t="s">
        <v>23</v>
      </c>
    </row>
    <row r="1027" spans="1:11" ht="42" customHeight="1">
      <c r="A1027" s="2" t="s">
        <v>2375</v>
      </c>
      <c r="B1027" s="2" t="s">
        <v>2376</v>
      </c>
      <c r="C1027" s="2" t="s">
        <v>17</v>
      </c>
      <c r="D1027" s="2" t="s">
        <v>18</v>
      </c>
      <c r="E1027" s="5">
        <v>-28705</v>
      </c>
      <c r="F1027" s="3" t="s">
        <v>1844</v>
      </c>
      <c r="G1027" s="3" t="s">
        <v>52</v>
      </c>
      <c r="H1027" s="2" t="s">
        <v>21</v>
      </c>
      <c r="I1027" s="2" t="s">
        <v>2377</v>
      </c>
      <c r="J1027" s="3" t="str">
        <f>HYPERLINK("https://www.boe.es/gazeta/dias/1821/05/28/pdfs/GMD-1821-150.pdf#page=2","Abrir facsímil")</f>
        <v>Abrir facsímil</v>
      </c>
      <c r="K1027" s="3" t="s">
        <v>23</v>
      </c>
    </row>
    <row r="1028" spans="1:11" ht="42" customHeight="1">
      <c r="A1028" s="2" t="s">
        <v>2378</v>
      </c>
      <c r="B1028" s="2" t="s">
        <v>2379</v>
      </c>
      <c r="C1028" s="2" t="s">
        <v>17</v>
      </c>
      <c r="D1028" s="2" t="s">
        <v>18</v>
      </c>
      <c r="E1028" s="5">
        <v>-28666</v>
      </c>
      <c r="F1028" s="3" t="s">
        <v>1263</v>
      </c>
      <c r="G1028" s="3" t="s">
        <v>88</v>
      </c>
      <c r="H1028" s="2" t="s">
        <v>21</v>
      </c>
      <c r="I1028" s="2" t="s">
        <v>2380</v>
      </c>
      <c r="J1028" s="3" t="str">
        <f>HYPERLINK("https://www.boe.es/gazeta/dias/1821/07/06/pdfs/GMD-1821-190.pdf#page=4","Abrir facsímil")</f>
        <v>Abrir facsímil</v>
      </c>
      <c r="K1028" s="3" t="s">
        <v>23</v>
      </c>
    </row>
    <row r="1029" spans="1:11" ht="42" customHeight="1">
      <c r="A1029" s="2" t="s">
        <v>2381</v>
      </c>
      <c r="B1029" s="2" t="s">
        <v>2382</v>
      </c>
      <c r="C1029" s="2" t="s">
        <v>40</v>
      </c>
      <c r="D1029" s="2" t="s">
        <v>41</v>
      </c>
      <c r="E1029" s="5">
        <v>-28751</v>
      </c>
      <c r="F1029" s="3" t="s">
        <v>356</v>
      </c>
      <c r="G1029" s="3" t="s">
        <v>52</v>
      </c>
      <c r="H1029" s="2" t="s">
        <v>21</v>
      </c>
      <c r="I1029" s="2" t="s">
        <v>2383</v>
      </c>
      <c r="J1029" s="3" t="str">
        <f>HYPERLINK("https://www.boe.es/gazeta/dias/1821/04/12/pdfs/GMD-1821-104.pdf#page=2","Abrir facsímil")</f>
        <v>Abrir facsímil</v>
      </c>
      <c r="K1029" s="3" t="s">
        <v>23</v>
      </c>
    </row>
    <row r="1030" spans="1:11" ht="42" customHeight="1">
      <c r="A1030" s="2" t="s">
        <v>2384</v>
      </c>
      <c r="B1030" s="2" t="s">
        <v>2385</v>
      </c>
      <c r="C1030" s="2" t="s">
        <v>40</v>
      </c>
      <c r="D1030" s="2" t="s">
        <v>41</v>
      </c>
      <c r="E1030" s="5">
        <v>-28641</v>
      </c>
      <c r="F1030" s="3" t="s">
        <v>398</v>
      </c>
      <c r="G1030" s="3" t="s">
        <v>20</v>
      </c>
      <c r="H1030" s="2" t="s">
        <v>21</v>
      </c>
      <c r="I1030" s="2" t="s">
        <v>2386</v>
      </c>
      <c r="J1030" s="3" t="str">
        <f>HYPERLINK("https://www.boe.es/gazeta/dias/1821/07/31/pdfs/GMD-1821-216.pdf#page=3","Abrir facsímil")</f>
        <v>Abrir facsímil</v>
      </c>
      <c r="K1030" s="3" t="s">
        <v>23</v>
      </c>
    </row>
    <row r="1031" spans="1:11" ht="42" customHeight="1">
      <c r="A1031" s="2" t="s">
        <v>2387</v>
      </c>
      <c r="B1031" s="2" t="s">
        <v>2387</v>
      </c>
      <c r="C1031" s="2" t="s">
        <v>17</v>
      </c>
      <c r="D1031" s="2" t="s">
        <v>18</v>
      </c>
      <c r="E1031" s="5">
        <v>-28738</v>
      </c>
      <c r="F1031" s="3" t="s">
        <v>359</v>
      </c>
      <c r="G1031" s="3" t="s">
        <v>20</v>
      </c>
      <c r="H1031" s="2" t="s">
        <v>21</v>
      </c>
      <c r="I1031" s="2" t="s">
        <v>2388</v>
      </c>
      <c r="J1031" s="3" t="str">
        <f>HYPERLINK("https://www.boe.es/gazeta/dias/1821/04/25/pdfs/GMD-1821-117.pdf#page=3","Abrir facsímil")</f>
        <v>Abrir facsímil</v>
      </c>
      <c r="K1031" s="3" t="s">
        <v>23</v>
      </c>
    </row>
    <row r="1032" spans="1:11" ht="42" customHeight="1">
      <c r="A1032" s="2" t="s">
        <v>2389</v>
      </c>
      <c r="B1032" s="2" t="s">
        <v>2389</v>
      </c>
      <c r="C1032" s="2" t="s">
        <v>40</v>
      </c>
      <c r="D1032" s="2" t="s">
        <v>41</v>
      </c>
      <c r="E1032" s="5">
        <v>-28497</v>
      </c>
      <c r="F1032" s="3" t="s">
        <v>225</v>
      </c>
      <c r="G1032" s="3" t="s">
        <v>162</v>
      </c>
      <c r="H1032" s="2" t="s">
        <v>21</v>
      </c>
      <c r="I1032" s="2" t="s">
        <v>2390</v>
      </c>
      <c r="J1032" s="3" t="str">
        <f>HYPERLINK("https://www.boe.es/gazeta/dias/1821/12/22/pdfs/GMD-1821-365.pdf#page=5","Abrir facsímil")</f>
        <v>Abrir facsímil</v>
      </c>
      <c r="K1032" s="3" t="s">
        <v>23</v>
      </c>
    </row>
    <row r="1033" spans="1:11" ht="42" customHeight="1">
      <c r="A1033" s="2" t="s">
        <v>2391</v>
      </c>
      <c r="B1033" s="2" t="s">
        <v>2391</v>
      </c>
      <c r="C1033" s="2" t="s">
        <v>17</v>
      </c>
      <c r="D1033" s="2" t="s">
        <v>18</v>
      </c>
      <c r="E1033" s="5">
        <v>-28807</v>
      </c>
      <c r="F1033" s="3" t="s">
        <v>613</v>
      </c>
      <c r="G1033" s="3" t="s">
        <v>20</v>
      </c>
      <c r="H1033" s="2" t="s">
        <v>21</v>
      </c>
      <c r="I1033" s="2" t="s">
        <v>2392</v>
      </c>
      <c r="J1033" s="3" t="str">
        <f>HYPERLINK("https://www.boe.es/gazeta/dias/1821/02/15/pdfs/GGB-1821-46.pdf#page=3","Abrir facsímil")</f>
        <v>Abrir facsímil</v>
      </c>
      <c r="K1033" s="3" t="s">
        <v>23</v>
      </c>
    </row>
    <row r="1034" spans="1:11" ht="42" customHeight="1">
      <c r="A1034" s="2" t="s">
        <v>2393</v>
      </c>
      <c r="B1034" s="2" t="s">
        <v>2393</v>
      </c>
      <c r="C1034" s="2" t="s">
        <v>40</v>
      </c>
      <c r="D1034" s="2" t="s">
        <v>41</v>
      </c>
      <c r="E1034" s="5">
        <v>-28815</v>
      </c>
      <c r="F1034" s="3" t="s">
        <v>2394</v>
      </c>
      <c r="G1034" s="3" t="s">
        <v>88</v>
      </c>
      <c r="H1034" s="2" t="s">
        <v>21</v>
      </c>
      <c r="I1034" s="2" t="s">
        <v>2395</v>
      </c>
      <c r="J1034" s="3" t="str">
        <f>HYPERLINK("https://www.boe.es/gazeta/dias/1821/02/07/pdfs/GGB-1821-38.pdf#page=4","Abrir facsímil")</f>
        <v>Abrir facsímil</v>
      </c>
      <c r="K1034" s="3" t="s">
        <v>23</v>
      </c>
    </row>
    <row r="1035" spans="1:11" ht="42" customHeight="1">
      <c r="A1035" s="2" t="s">
        <v>2396</v>
      </c>
      <c r="B1035" s="2" t="s">
        <v>2396</v>
      </c>
      <c r="C1035" s="2" t="s">
        <v>40</v>
      </c>
      <c r="D1035" s="2" t="s">
        <v>41</v>
      </c>
      <c r="E1035" s="5">
        <v>-28536</v>
      </c>
      <c r="F1035" s="3" t="s">
        <v>553</v>
      </c>
      <c r="G1035" s="3" t="s">
        <v>43</v>
      </c>
      <c r="H1035" s="2" t="s">
        <v>21</v>
      </c>
      <c r="I1035" s="2" t="s">
        <v>2397</v>
      </c>
      <c r="J1035" s="3" t="str">
        <f>HYPERLINK("https://www.boe.es/gazeta/dias/1821/11/13/pdfs/GMD-1821-324.pdf#page=1","Abrir facsímil")</f>
        <v>Abrir facsímil</v>
      </c>
      <c r="K1035" s="3" t="s">
        <v>23</v>
      </c>
    </row>
    <row r="1036" spans="1:11" ht="42" customHeight="1">
      <c r="A1036" s="2" t="s">
        <v>2398</v>
      </c>
      <c r="B1036" s="2" t="s">
        <v>2398</v>
      </c>
      <c r="C1036" s="2" t="s">
        <v>26</v>
      </c>
      <c r="D1036" s="2" t="s">
        <v>27</v>
      </c>
      <c r="E1036" s="5">
        <v>-28656</v>
      </c>
      <c r="F1036" s="3" t="s">
        <v>2399</v>
      </c>
      <c r="G1036" s="3" t="s">
        <v>43</v>
      </c>
      <c r="H1036" s="2" t="s">
        <v>21</v>
      </c>
      <c r="I1036" s="2" t="s">
        <v>2400</v>
      </c>
      <c r="J1036" s="3" t="str">
        <f>HYPERLINK("https://www.boe.es/gazeta/dias/1821/07/16/pdfs/GMD-1821-201.pdf#page=1","Abrir facsímil")</f>
        <v>Abrir facsímil</v>
      </c>
      <c r="K1036" s="3" t="s">
        <v>23</v>
      </c>
    </row>
    <row r="1037" spans="1:11" ht="42" customHeight="1">
      <c r="A1037" s="2" t="s">
        <v>2401</v>
      </c>
      <c r="B1037" s="2" t="s">
        <v>2402</v>
      </c>
      <c r="C1037" s="2" t="s">
        <v>17</v>
      </c>
      <c r="D1037" s="2" t="s">
        <v>18</v>
      </c>
      <c r="E1037" s="5">
        <v>-28691</v>
      </c>
      <c r="F1037" s="3" t="s">
        <v>716</v>
      </c>
      <c r="G1037" s="3" t="s">
        <v>20</v>
      </c>
      <c r="H1037" s="2" t="s">
        <v>21</v>
      </c>
      <c r="I1037" s="2" t="s">
        <v>2403</v>
      </c>
      <c r="J1037" s="3" t="str">
        <f>HYPERLINK("https://www.boe.es/gazeta/dias/1821/06/11/pdfs/GMD-1821-164.pdf#page=3","Abrir facsímil")</f>
        <v>Abrir facsímil</v>
      </c>
      <c r="K1037" s="3" t="s">
        <v>23</v>
      </c>
    </row>
    <row r="1038" spans="1:11" ht="42" customHeight="1">
      <c r="A1038" s="2" t="s">
        <v>2404</v>
      </c>
      <c r="B1038" s="2" t="s">
        <v>2405</v>
      </c>
      <c r="C1038" s="2" t="s">
        <v>40</v>
      </c>
      <c r="D1038" s="2" t="s">
        <v>41</v>
      </c>
      <c r="E1038" s="5">
        <v>-28543</v>
      </c>
      <c r="F1038" s="3" t="s">
        <v>136</v>
      </c>
      <c r="G1038" s="3" t="s">
        <v>88</v>
      </c>
      <c r="H1038" s="2" t="s">
        <v>21</v>
      </c>
      <c r="I1038" s="2" t="s">
        <v>2406</v>
      </c>
      <c r="J1038" s="3" t="str">
        <f>HYPERLINK("https://www.boe.es/gazeta/dias/1821/11/06/pdfs/GMD-1821-317.pdf#page=4","Abrir facsímil")</f>
        <v>Abrir facsímil</v>
      </c>
      <c r="K1038" s="3" t="s">
        <v>23</v>
      </c>
    </row>
    <row r="1039" spans="1:11" ht="42" customHeight="1">
      <c r="A1039" s="2" t="s">
        <v>2407</v>
      </c>
      <c r="B1039" s="2" t="s">
        <v>2408</v>
      </c>
      <c r="C1039" s="2" t="s">
        <v>40</v>
      </c>
      <c r="D1039" s="2" t="s">
        <v>41</v>
      </c>
      <c r="E1039" s="5">
        <v>-28742</v>
      </c>
      <c r="F1039" s="3" t="s">
        <v>324</v>
      </c>
      <c r="G1039" s="3" t="s">
        <v>43</v>
      </c>
      <c r="H1039" s="2" t="s">
        <v>21</v>
      </c>
      <c r="I1039" s="2" t="s">
        <v>2409</v>
      </c>
      <c r="J1039" s="3" t="str">
        <f>HYPERLINK("https://www.boe.es/gazeta/dias/1821/04/21/pdfs/GMD-1821-113.pdf#page=1","Abrir facsímil")</f>
        <v>Abrir facsímil</v>
      </c>
      <c r="K1039" s="3" t="s">
        <v>23</v>
      </c>
    </row>
    <row r="1040" spans="1:11" ht="42" customHeight="1">
      <c r="A1040" s="2" t="s">
        <v>2410</v>
      </c>
      <c r="B1040" s="2" t="s">
        <v>2411</v>
      </c>
      <c r="C1040" s="2" t="s">
        <v>26</v>
      </c>
      <c r="D1040" s="2" t="s">
        <v>27</v>
      </c>
      <c r="E1040" s="5">
        <v>-28594</v>
      </c>
      <c r="F1040" s="3" t="s">
        <v>2412</v>
      </c>
      <c r="G1040" s="3" t="s">
        <v>88</v>
      </c>
      <c r="H1040" s="2" t="s">
        <v>21</v>
      </c>
      <c r="I1040" s="2" t="s">
        <v>2413</v>
      </c>
      <c r="J1040" s="3" t="str">
        <f>HYPERLINK("https://www.boe.es/gazeta/dias/1821/09/16/pdfs/GMD-1821-264.pdf#page=4","Abrir facsímil")</f>
        <v>Abrir facsímil</v>
      </c>
      <c r="K1040" s="3" t="s">
        <v>23</v>
      </c>
    </row>
    <row r="1041" spans="1:11" ht="42" customHeight="1">
      <c r="A1041" s="2" t="s">
        <v>2414</v>
      </c>
      <c r="B1041" s="2" t="s">
        <v>2415</v>
      </c>
      <c r="C1041" s="2" t="s">
        <v>40</v>
      </c>
      <c r="D1041" s="2" t="s">
        <v>41</v>
      </c>
      <c r="E1041" s="5">
        <v>-28772</v>
      </c>
      <c r="F1041" s="3" t="s">
        <v>62</v>
      </c>
      <c r="G1041" s="3" t="s">
        <v>52</v>
      </c>
      <c r="H1041" s="2" t="s">
        <v>21</v>
      </c>
      <c r="I1041" s="2" t="s">
        <v>2416</v>
      </c>
      <c r="J1041" s="3" t="str">
        <f>HYPERLINK("https://www.boe.es/gazeta/dias/1821/03/22/pdfs/GMD-1821-81.pdf#page=2","Abrir facsímil")</f>
        <v>Abrir facsímil</v>
      </c>
      <c r="K1041" s="3" t="s">
        <v>23</v>
      </c>
    </row>
    <row r="1042" spans="1:11" ht="42" customHeight="1">
      <c r="A1042" s="2" t="s">
        <v>2414</v>
      </c>
      <c r="B1042" s="2" t="s">
        <v>2415</v>
      </c>
      <c r="C1042" s="2" t="s">
        <v>40</v>
      </c>
      <c r="D1042" s="2" t="s">
        <v>41</v>
      </c>
      <c r="E1042" s="5">
        <v>-28574</v>
      </c>
      <c r="F1042" s="3" t="s">
        <v>779</v>
      </c>
      <c r="G1042" s="3" t="s">
        <v>162</v>
      </c>
      <c r="H1042" s="2" t="s">
        <v>21</v>
      </c>
      <c r="I1042" s="2" t="s">
        <v>2417</v>
      </c>
      <c r="J1042" s="3" t="str">
        <f>HYPERLINK("https://www.boe.es/gazeta/dias/1821/10/06/pdfs/GMD-1821-285.pdf#page=5","Abrir facsímil")</f>
        <v>Abrir facsímil</v>
      </c>
      <c r="K1042" s="3" t="s">
        <v>23</v>
      </c>
    </row>
    <row r="1043" spans="1:11" ht="42" customHeight="1">
      <c r="A1043" s="2" t="s">
        <v>2418</v>
      </c>
      <c r="B1043" s="2" t="s">
        <v>2419</v>
      </c>
      <c r="C1043" s="2" t="s">
        <v>40</v>
      </c>
      <c r="D1043" s="2" t="s">
        <v>41</v>
      </c>
      <c r="E1043" s="5">
        <v>-28835</v>
      </c>
      <c r="F1043" s="3" t="s">
        <v>1362</v>
      </c>
      <c r="G1043" s="3" t="s">
        <v>88</v>
      </c>
      <c r="H1043" s="2" t="s">
        <v>21</v>
      </c>
      <c r="I1043" s="2" t="s">
        <v>2420</v>
      </c>
      <c r="J1043" s="3" t="str">
        <f>HYPERLINK("https://www.boe.es/gazeta/dias/1821/01/18/pdfs/GGB-1821-18.pdf#page=4","Abrir facsímil")</f>
        <v>Abrir facsímil</v>
      </c>
      <c r="K1043" s="3" t="s">
        <v>23</v>
      </c>
    </row>
    <row r="1044" spans="1:11" ht="42" customHeight="1">
      <c r="A1044" s="2" t="s">
        <v>2418</v>
      </c>
      <c r="B1044" s="2" t="s">
        <v>2419</v>
      </c>
      <c r="C1044" s="2" t="s">
        <v>40</v>
      </c>
      <c r="D1044" s="2" t="s">
        <v>41</v>
      </c>
      <c r="E1044" s="5">
        <v>-28772</v>
      </c>
      <c r="F1044" s="3" t="s">
        <v>62</v>
      </c>
      <c r="G1044" s="3" t="s">
        <v>52</v>
      </c>
      <c r="H1044" s="2" t="s">
        <v>21</v>
      </c>
      <c r="I1044" s="2" t="s">
        <v>2421</v>
      </c>
      <c r="J1044" s="3" t="str">
        <f>HYPERLINK("https://www.boe.es/gazeta/dias/1821/03/22/pdfs/GMD-1821-81.pdf#page=2","Abrir facsímil")</f>
        <v>Abrir facsímil</v>
      </c>
      <c r="K1044" s="3" t="s">
        <v>23</v>
      </c>
    </row>
    <row r="1045" spans="1:11" ht="42" customHeight="1">
      <c r="A1045" s="2" t="s">
        <v>2418</v>
      </c>
      <c r="B1045" s="2" t="s">
        <v>2419</v>
      </c>
      <c r="C1045" s="2" t="s">
        <v>40</v>
      </c>
      <c r="D1045" s="2" t="s">
        <v>41</v>
      </c>
      <c r="E1045" s="5">
        <v>-28736</v>
      </c>
      <c r="F1045" s="3" t="s">
        <v>464</v>
      </c>
      <c r="G1045" s="3" t="s">
        <v>52</v>
      </c>
      <c r="H1045" s="2" t="s">
        <v>21</v>
      </c>
      <c r="I1045" s="2" t="s">
        <v>2422</v>
      </c>
      <c r="J1045" s="3" t="str">
        <f>HYPERLINK("https://www.boe.es/gazeta/dias/1821/04/27/pdfs/GMD-1821-119.pdf#page=2","Abrir facsímil")</f>
        <v>Abrir facsímil</v>
      </c>
      <c r="K1045" s="3" t="s">
        <v>23</v>
      </c>
    </row>
    <row r="1046" spans="1:11" ht="42" customHeight="1">
      <c r="A1046" s="2" t="s">
        <v>2418</v>
      </c>
      <c r="B1046" s="2" t="s">
        <v>2419</v>
      </c>
      <c r="C1046" s="2" t="s">
        <v>114</v>
      </c>
      <c r="D1046" s="2" t="s">
        <v>27</v>
      </c>
      <c r="E1046" s="5">
        <v>-28685</v>
      </c>
      <c r="F1046" s="3" t="s">
        <v>303</v>
      </c>
      <c r="G1046" s="3" t="s">
        <v>162</v>
      </c>
      <c r="H1046" s="2" t="s">
        <v>21</v>
      </c>
      <c r="I1046" s="2" t="s">
        <v>2423</v>
      </c>
      <c r="J1046" s="3" t="str">
        <f>HYPERLINK("https://www.boe.es/gazeta/dias/1821/06/17/pdfs/GMD-1821-170.pdf#page=5","Abrir facsímil")</f>
        <v>Abrir facsímil</v>
      </c>
      <c r="K1046" s="3" t="s">
        <v>23</v>
      </c>
    </row>
    <row r="1047" spans="1:11" ht="42" customHeight="1">
      <c r="A1047" s="2" t="s">
        <v>2418</v>
      </c>
      <c r="B1047" s="2" t="s">
        <v>2419</v>
      </c>
      <c r="C1047" s="2" t="s">
        <v>17</v>
      </c>
      <c r="D1047" s="2" t="s">
        <v>18</v>
      </c>
      <c r="E1047" s="5">
        <v>-28684</v>
      </c>
      <c r="F1047" s="3" t="s">
        <v>208</v>
      </c>
      <c r="G1047" s="3" t="s">
        <v>88</v>
      </c>
      <c r="H1047" s="2" t="s">
        <v>21</v>
      </c>
      <c r="I1047" s="2" t="s">
        <v>2424</v>
      </c>
      <c r="J1047" s="3" t="str">
        <f>HYPERLINK("https://www.boe.es/gazeta/dias/1821/06/18/pdfs/GMD-1821-171.pdf#page=4","Abrir facsímil")</f>
        <v>Abrir facsímil</v>
      </c>
      <c r="K1047" s="3" t="s">
        <v>23</v>
      </c>
    </row>
    <row r="1048" spans="1:11" ht="42" customHeight="1">
      <c r="A1048" s="2" t="s">
        <v>2418</v>
      </c>
      <c r="B1048" s="2" t="s">
        <v>2419</v>
      </c>
      <c r="C1048" s="2" t="s">
        <v>35</v>
      </c>
      <c r="D1048" s="2" t="s">
        <v>27</v>
      </c>
      <c r="E1048" s="5">
        <v>-28646</v>
      </c>
      <c r="F1048" s="3" t="s">
        <v>1457</v>
      </c>
      <c r="G1048" s="3" t="s">
        <v>20</v>
      </c>
      <c r="H1048" s="2" t="s">
        <v>21</v>
      </c>
      <c r="I1048" s="2" t="s">
        <v>2425</v>
      </c>
      <c r="J1048" s="3" t="str">
        <f>HYPERLINK("https://www.boe.es/gazeta/dias/1821/07/26/pdfs/GMD-1821-211.pdf#page=3","Abrir facsímil")</f>
        <v>Abrir facsímil</v>
      </c>
      <c r="K1048" s="3" t="s">
        <v>23</v>
      </c>
    </row>
    <row r="1049" spans="1:11" ht="42" customHeight="1">
      <c r="A1049" s="2" t="s">
        <v>2418</v>
      </c>
      <c r="B1049" s="2" t="s">
        <v>2419</v>
      </c>
      <c r="C1049" s="2" t="s">
        <v>40</v>
      </c>
      <c r="D1049" s="2" t="s">
        <v>41</v>
      </c>
      <c r="E1049" s="5">
        <v>-28512</v>
      </c>
      <c r="F1049" s="3" t="s">
        <v>66</v>
      </c>
      <c r="G1049" s="3" t="s">
        <v>43</v>
      </c>
      <c r="H1049" s="2" t="s">
        <v>21</v>
      </c>
      <c r="I1049" s="2" t="s">
        <v>2426</v>
      </c>
      <c r="J1049" s="3" t="str">
        <f>HYPERLINK("https://www.boe.es/gazeta/dias/1821/12/07/pdfs/GMD-1821-349.pdf#page=1","Abrir facsímil")</f>
        <v>Abrir facsímil</v>
      </c>
      <c r="K1049" s="3" t="s">
        <v>23</v>
      </c>
    </row>
    <row r="1050" spans="1:11" ht="42" customHeight="1">
      <c r="A1050" s="2" t="s">
        <v>2427</v>
      </c>
      <c r="B1050" s="2" t="s">
        <v>2427</v>
      </c>
      <c r="C1050" s="2" t="s">
        <v>35</v>
      </c>
      <c r="D1050" s="2" t="s">
        <v>27</v>
      </c>
      <c r="E1050" s="5">
        <v>-28526</v>
      </c>
      <c r="F1050" s="3" t="s">
        <v>223</v>
      </c>
      <c r="G1050" s="3" t="s">
        <v>1251</v>
      </c>
      <c r="H1050" s="2" t="s">
        <v>21</v>
      </c>
      <c r="I1050" s="2" t="s">
        <v>2428</v>
      </c>
      <c r="J1050" s="3" t="str">
        <f>HYPERLINK("https://www.boe.es/gazeta/dias/1821/11/23/pdfs/GMD-1821-334.pdf#page=3","Abrir facsímil")</f>
        <v>Abrir facsímil</v>
      </c>
      <c r="K1050" s="3" t="s">
        <v>23</v>
      </c>
    </row>
    <row r="1051" spans="1:11" ht="42" customHeight="1">
      <c r="A1051" s="2" t="s">
        <v>2429</v>
      </c>
      <c r="B1051" s="2" t="s">
        <v>2429</v>
      </c>
      <c r="C1051" s="2" t="s">
        <v>40</v>
      </c>
      <c r="D1051" s="2" t="s">
        <v>41</v>
      </c>
      <c r="E1051" s="5">
        <v>-28689</v>
      </c>
      <c r="F1051" s="3" t="s">
        <v>194</v>
      </c>
      <c r="G1051" s="3" t="s">
        <v>205</v>
      </c>
      <c r="H1051" s="2" t="s">
        <v>21</v>
      </c>
      <c r="I1051" s="2" t="s">
        <v>2430</v>
      </c>
      <c r="J1051" s="3" t="str">
        <f>HYPERLINK("https://www.boe.es/gazeta/dias/1821/06/13/pdfs/GMD-1821-166.pdf#page=6","Abrir facsímil")</f>
        <v>Abrir facsímil</v>
      </c>
      <c r="K1051" s="3" t="s">
        <v>23</v>
      </c>
    </row>
    <row r="1052" spans="1:11" ht="42" customHeight="1">
      <c r="A1052" s="2" t="s">
        <v>2431</v>
      </c>
      <c r="B1052" s="2" t="s">
        <v>2432</v>
      </c>
      <c r="C1052" s="2" t="s">
        <v>17</v>
      </c>
      <c r="D1052" s="2" t="s">
        <v>18</v>
      </c>
      <c r="E1052" s="5">
        <v>-28793</v>
      </c>
      <c r="F1052" s="3" t="s">
        <v>157</v>
      </c>
      <c r="G1052" s="3" t="s">
        <v>162</v>
      </c>
      <c r="H1052" s="2" t="s">
        <v>21</v>
      </c>
      <c r="I1052" s="2" t="s">
        <v>2433</v>
      </c>
      <c r="J1052" s="3" t="str">
        <f>HYPERLINK("https://www.boe.es/gazeta/dias/1821/03/01/pdfs/GGB-1821-60.pdf#page=5","Abrir facsímil")</f>
        <v>Abrir facsímil</v>
      </c>
      <c r="K1052" s="3" t="s">
        <v>23</v>
      </c>
    </row>
    <row r="1053" spans="1:11" ht="42" customHeight="1">
      <c r="A1053" s="2" t="s">
        <v>2434</v>
      </c>
      <c r="B1053" s="2" t="s">
        <v>2434</v>
      </c>
      <c r="C1053" s="2" t="s">
        <v>26</v>
      </c>
      <c r="D1053" s="2" t="s">
        <v>27</v>
      </c>
      <c r="E1053" s="5">
        <v>-28677</v>
      </c>
      <c r="F1053" s="3" t="s">
        <v>361</v>
      </c>
      <c r="G1053" s="3" t="s">
        <v>162</v>
      </c>
      <c r="H1053" s="2" t="s">
        <v>21</v>
      </c>
      <c r="I1053" s="2" t="s">
        <v>2435</v>
      </c>
      <c r="J1053" s="3" t="str">
        <f>HYPERLINK("https://www.boe.es/gazeta/dias/1821/06/25/pdfs/GMD-1821-178.pdf#page=5","Abrir facsímil")</f>
        <v>Abrir facsímil</v>
      </c>
      <c r="K1053" s="3" t="s">
        <v>23</v>
      </c>
    </row>
    <row r="1054" spans="1:11" ht="42" customHeight="1">
      <c r="A1054" s="2" t="s">
        <v>2434</v>
      </c>
      <c r="B1054" s="2" t="s">
        <v>2434</v>
      </c>
      <c r="C1054" s="2" t="s">
        <v>40</v>
      </c>
      <c r="D1054" s="2" t="s">
        <v>41</v>
      </c>
      <c r="E1054" s="5">
        <v>-28543</v>
      </c>
      <c r="F1054" s="3" t="s">
        <v>136</v>
      </c>
      <c r="G1054" s="3" t="s">
        <v>162</v>
      </c>
      <c r="H1054" s="2" t="s">
        <v>21</v>
      </c>
      <c r="I1054" s="2" t="s">
        <v>2436</v>
      </c>
      <c r="J1054" s="3" t="str">
        <f>HYPERLINK("https://www.boe.es/gazeta/dias/1821/11/06/pdfs/GMD-1821-317.pdf#page=5","Abrir facsímil")</f>
        <v>Abrir facsímil</v>
      </c>
      <c r="K1054" s="3" t="s">
        <v>23</v>
      </c>
    </row>
    <row r="1055" spans="1:11" ht="42" customHeight="1">
      <c r="A1055" s="2" t="s">
        <v>2434</v>
      </c>
      <c r="B1055" s="2" t="s">
        <v>2434</v>
      </c>
      <c r="C1055" s="2" t="s">
        <v>26</v>
      </c>
      <c r="D1055" s="2" t="s">
        <v>27</v>
      </c>
      <c r="E1055" s="5">
        <v>-28536</v>
      </c>
      <c r="F1055" s="3" t="s">
        <v>553</v>
      </c>
      <c r="G1055" s="3" t="s">
        <v>162</v>
      </c>
      <c r="H1055" s="2" t="s">
        <v>21</v>
      </c>
      <c r="I1055" s="2" t="s">
        <v>2437</v>
      </c>
      <c r="J1055" s="3" t="str">
        <f>HYPERLINK("https://www.boe.es/gazeta/dias/1821/11/13/pdfs/GMD-1821-324.pdf#page=5","Abrir facsímil")</f>
        <v>Abrir facsímil</v>
      </c>
      <c r="K1055" s="3" t="s">
        <v>23</v>
      </c>
    </row>
    <row r="1056" spans="1:11" ht="42" customHeight="1">
      <c r="A1056" s="2" t="s">
        <v>2434</v>
      </c>
      <c r="B1056" s="2" t="s">
        <v>2434</v>
      </c>
      <c r="C1056" s="2" t="s">
        <v>26</v>
      </c>
      <c r="D1056" s="2" t="s">
        <v>27</v>
      </c>
      <c r="E1056" s="5">
        <v>-28530</v>
      </c>
      <c r="F1056" s="3" t="s">
        <v>237</v>
      </c>
      <c r="G1056" s="3" t="s">
        <v>20</v>
      </c>
      <c r="H1056" s="2" t="s">
        <v>21</v>
      </c>
      <c r="I1056" s="2" t="s">
        <v>2438</v>
      </c>
      <c r="J1056" s="3" t="str">
        <f>HYPERLINK("https://www.boe.es/gazeta/dias/1821/11/19/pdfs/GMD-1821-330.pdf#page=3","Abrir facsímil")</f>
        <v>Abrir facsímil</v>
      </c>
      <c r="K1056" s="3" t="s">
        <v>23</v>
      </c>
    </row>
    <row r="1057" spans="1:11" ht="42" customHeight="1">
      <c r="A1057" s="2" t="s">
        <v>2434</v>
      </c>
      <c r="B1057" s="2" t="s">
        <v>2434</v>
      </c>
      <c r="C1057" s="2" t="s">
        <v>70</v>
      </c>
      <c r="D1057" s="2" t="s">
        <v>27</v>
      </c>
      <c r="E1057" s="5">
        <v>-28523</v>
      </c>
      <c r="F1057" s="3" t="s">
        <v>257</v>
      </c>
      <c r="G1057" s="3" t="s">
        <v>43</v>
      </c>
      <c r="H1057" s="2" t="s">
        <v>21</v>
      </c>
      <c r="I1057" s="2" t="s">
        <v>2439</v>
      </c>
      <c r="J1057" s="3" t="str">
        <f>HYPERLINK("https://www.boe.es/gazeta/dias/1821/11/26/pdfs/GMD-1821-337.pdf#page=1","Abrir facsímil")</f>
        <v>Abrir facsímil</v>
      </c>
      <c r="K1057" s="3" t="s">
        <v>23</v>
      </c>
    </row>
    <row r="1058" spans="1:11" ht="42" customHeight="1">
      <c r="A1058" s="2" t="s">
        <v>2434</v>
      </c>
      <c r="B1058" s="2" t="s">
        <v>2434</v>
      </c>
      <c r="C1058" s="2" t="s">
        <v>26</v>
      </c>
      <c r="D1058" s="2" t="s">
        <v>27</v>
      </c>
      <c r="E1058" s="5">
        <v>-28523</v>
      </c>
      <c r="F1058" s="3" t="s">
        <v>257</v>
      </c>
      <c r="G1058" s="3" t="s">
        <v>52</v>
      </c>
      <c r="H1058" s="2" t="s">
        <v>21</v>
      </c>
      <c r="I1058" s="2" t="s">
        <v>2440</v>
      </c>
      <c r="J1058" s="3" t="str">
        <f>HYPERLINK("https://www.boe.es/gazeta/dias/1821/11/26/pdfs/GMD-1821-337.pdf#page=2","Abrir facsímil")</f>
        <v>Abrir facsímil</v>
      </c>
      <c r="K1058" s="3" t="s">
        <v>23</v>
      </c>
    </row>
    <row r="1059" spans="1:11" ht="42" customHeight="1">
      <c r="A1059" s="2" t="s">
        <v>2434</v>
      </c>
      <c r="B1059" s="2" t="s">
        <v>2434</v>
      </c>
      <c r="C1059" s="2" t="s">
        <v>35</v>
      </c>
      <c r="D1059" s="2" t="s">
        <v>27</v>
      </c>
      <c r="E1059" s="5">
        <v>-28490</v>
      </c>
      <c r="F1059" s="3" t="s">
        <v>801</v>
      </c>
      <c r="G1059" s="3" t="s">
        <v>802</v>
      </c>
      <c r="H1059" s="2" t="s">
        <v>21</v>
      </c>
      <c r="I1059" s="2" t="s">
        <v>2441</v>
      </c>
      <c r="J1059" s="3" t="str">
        <f>HYPERLINK("https://www.boe.es/gazeta/dias/1821/12/29/pdfs/GMD-1821-372.pdf#page=3","Abrir facsímil")</f>
        <v>Abrir facsímil</v>
      </c>
      <c r="K1059" s="3" t="s">
        <v>23</v>
      </c>
    </row>
    <row r="1060" spans="1:11" ht="42" customHeight="1">
      <c r="A1060" s="2" t="s">
        <v>2442</v>
      </c>
      <c r="B1060" s="2" t="s">
        <v>2442</v>
      </c>
      <c r="C1060" s="2" t="s">
        <v>70</v>
      </c>
      <c r="D1060" s="2" t="s">
        <v>27</v>
      </c>
      <c r="E1060" s="5">
        <v>-28757</v>
      </c>
      <c r="F1060" s="3" t="s">
        <v>472</v>
      </c>
      <c r="G1060" s="3" t="s">
        <v>20</v>
      </c>
      <c r="H1060" s="2" t="s">
        <v>21</v>
      </c>
      <c r="I1060" s="2" t="s">
        <v>2443</v>
      </c>
      <c r="J1060" s="3" t="str">
        <f>HYPERLINK("https://www.boe.es/gazeta/dias/1821/04/06/pdfs/GMD-1821-98.pdf#page=3","Abrir facsímil")</f>
        <v>Abrir facsímil</v>
      </c>
      <c r="K1060" s="3" t="s">
        <v>23</v>
      </c>
    </row>
    <row r="1061" spans="1:11" ht="42" customHeight="1">
      <c r="A1061" s="2" t="s">
        <v>2442</v>
      </c>
      <c r="B1061" s="2" t="s">
        <v>2442</v>
      </c>
      <c r="C1061" s="2" t="s">
        <v>17</v>
      </c>
      <c r="D1061" s="2" t="s">
        <v>18</v>
      </c>
      <c r="E1061" s="5">
        <v>-28723</v>
      </c>
      <c r="F1061" s="3" t="s">
        <v>840</v>
      </c>
      <c r="G1061" s="3" t="s">
        <v>20</v>
      </c>
      <c r="H1061" s="2" t="s">
        <v>21</v>
      </c>
      <c r="I1061" s="2" t="s">
        <v>2444</v>
      </c>
      <c r="J1061" s="3" t="str">
        <f>HYPERLINK("https://www.boe.es/gazeta/dias/1821/05/10/pdfs/GMD-1821-132.pdf#page=3","Abrir facsímil")</f>
        <v>Abrir facsímil</v>
      </c>
      <c r="K1061" s="3" t="s">
        <v>23</v>
      </c>
    </row>
    <row r="1062" spans="1:11" ht="42" customHeight="1">
      <c r="A1062" s="2" t="s">
        <v>2442</v>
      </c>
      <c r="B1062" s="2" t="s">
        <v>2442</v>
      </c>
      <c r="C1062" s="2" t="s">
        <v>26</v>
      </c>
      <c r="D1062" s="2" t="s">
        <v>27</v>
      </c>
      <c r="E1062" s="5">
        <v>-28717</v>
      </c>
      <c r="F1062" s="3" t="s">
        <v>1044</v>
      </c>
      <c r="G1062" s="3" t="s">
        <v>52</v>
      </c>
      <c r="H1062" s="2" t="s">
        <v>21</v>
      </c>
      <c r="I1062" s="2" t="s">
        <v>2445</v>
      </c>
      <c r="J1062" s="3" t="str">
        <f>HYPERLINK("https://www.boe.es/gazeta/dias/1821/05/16/pdfs/GMD-1821-138.pdf#page=2","Abrir facsímil")</f>
        <v>Abrir facsímil</v>
      </c>
      <c r="K1062" s="3" t="s">
        <v>23</v>
      </c>
    </row>
    <row r="1063" spans="1:11" ht="42" customHeight="1">
      <c r="A1063" s="2" t="s">
        <v>2442</v>
      </c>
      <c r="B1063" s="2" t="s">
        <v>2442</v>
      </c>
      <c r="C1063" s="2" t="s">
        <v>70</v>
      </c>
      <c r="D1063" s="2" t="s">
        <v>27</v>
      </c>
      <c r="E1063" s="5">
        <v>-28715</v>
      </c>
      <c r="F1063" s="3" t="s">
        <v>1046</v>
      </c>
      <c r="G1063" s="3" t="s">
        <v>52</v>
      </c>
      <c r="H1063" s="2" t="s">
        <v>21</v>
      </c>
      <c r="I1063" s="2" t="s">
        <v>2446</v>
      </c>
      <c r="J1063" s="3" t="str">
        <f>HYPERLINK("https://www.boe.es/gazeta/dias/1821/05/18/pdfs/GMD-1821-140.pdf#page=2","Abrir facsímil")</f>
        <v>Abrir facsímil</v>
      </c>
      <c r="K1063" s="3" t="s">
        <v>23</v>
      </c>
    </row>
    <row r="1064" spans="1:11" ht="42" customHeight="1">
      <c r="A1064" s="2" t="s">
        <v>2442</v>
      </c>
      <c r="B1064" s="2" t="s">
        <v>2442</v>
      </c>
      <c r="C1064" s="2" t="s">
        <v>35</v>
      </c>
      <c r="D1064" s="2" t="s">
        <v>27</v>
      </c>
      <c r="E1064" s="5">
        <v>-28687</v>
      </c>
      <c r="F1064" s="3" t="s">
        <v>851</v>
      </c>
      <c r="G1064" s="3" t="s">
        <v>88</v>
      </c>
      <c r="H1064" s="2" t="s">
        <v>21</v>
      </c>
      <c r="I1064" s="2" t="s">
        <v>2447</v>
      </c>
      <c r="J1064" s="3" t="str">
        <f>HYPERLINK("https://www.boe.es/gazeta/dias/1821/06/15/pdfs/GMD-1821-168.pdf#page=4","Abrir facsímil")</f>
        <v>Abrir facsímil</v>
      </c>
      <c r="K1064" s="3" t="s">
        <v>23</v>
      </c>
    </row>
    <row r="1065" spans="1:11" ht="42" customHeight="1">
      <c r="A1065" s="2" t="s">
        <v>2442</v>
      </c>
      <c r="B1065" s="2" t="s">
        <v>2442</v>
      </c>
      <c r="C1065" s="2" t="s">
        <v>35</v>
      </c>
      <c r="D1065" s="2" t="s">
        <v>27</v>
      </c>
      <c r="E1065" s="5">
        <v>-28683</v>
      </c>
      <c r="F1065" s="3" t="s">
        <v>332</v>
      </c>
      <c r="G1065" s="3" t="s">
        <v>88</v>
      </c>
      <c r="H1065" s="2" t="s">
        <v>21</v>
      </c>
      <c r="I1065" s="2" t="s">
        <v>2448</v>
      </c>
      <c r="J1065" s="3" t="str">
        <f>HYPERLINK("https://www.boe.es/gazeta/dias/1821/06/19/pdfs/GMD-1821-172.pdf#page=4","Abrir facsímil")</f>
        <v>Abrir facsímil</v>
      </c>
      <c r="K1065" s="3" t="s">
        <v>23</v>
      </c>
    </row>
    <row r="1066" spans="1:11" ht="42" customHeight="1">
      <c r="A1066" s="2" t="s">
        <v>2442</v>
      </c>
      <c r="B1066" s="2" t="s">
        <v>2442</v>
      </c>
      <c r="C1066" s="2" t="s">
        <v>40</v>
      </c>
      <c r="D1066" s="2" t="s">
        <v>41</v>
      </c>
      <c r="E1066" s="5">
        <v>-28678</v>
      </c>
      <c r="F1066" s="3" t="s">
        <v>215</v>
      </c>
      <c r="G1066" s="3" t="s">
        <v>162</v>
      </c>
      <c r="H1066" s="2" t="s">
        <v>21</v>
      </c>
      <c r="I1066" s="2" t="s">
        <v>2449</v>
      </c>
      <c r="J1066" s="3" t="str">
        <f>HYPERLINK("https://www.boe.es/gazeta/dias/1821/06/24/pdfs/GMD-1821-177.pdf#page=5","Abrir facsímil")</f>
        <v>Abrir facsímil</v>
      </c>
      <c r="K1066" s="3" t="s">
        <v>23</v>
      </c>
    </row>
    <row r="1067" spans="1:11" ht="42" customHeight="1">
      <c r="A1067" s="2" t="s">
        <v>2442</v>
      </c>
      <c r="B1067" s="2" t="s">
        <v>2442</v>
      </c>
      <c r="C1067" s="2" t="s">
        <v>17</v>
      </c>
      <c r="D1067" s="2" t="s">
        <v>18</v>
      </c>
      <c r="E1067" s="5">
        <v>-28676</v>
      </c>
      <c r="F1067" s="3" t="s">
        <v>534</v>
      </c>
      <c r="G1067" s="3" t="s">
        <v>162</v>
      </c>
      <c r="H1067" s="2" t="s">
        <v>21</v>
      </c>
      <c r="I1067" s="2" t="s">
        <v>2450</v>
      </c>
      <c r="J1067" s="3" t="str">
        <f>HYPERLINK("https://www.boe.es/gazeta/dias/1821/06/26/pdfs/GMD-1821-179.pdf#page=5","Abrir facsímil")</f>
        <v>Abrir facsímil</v>
      </c>
      <c r="K1067" s="3" t="s">
        <v>23</v>
      </c>
    </row>
    <row r="1068" spans="1:11" ht="42" customHeight="1">
      <c r="A1068" s="2" t="s">
        <v>2442</v>
      </c>
      <c r="B1068" s="2" t="s">
        <v>2442</v>
      </c>
      <c r="C1068" s="2" t="s">
        <v>35</v>
      </c>
      <c r="D1068" s="2" t="s">
        <v>27</v>
      </c>
      <c r="E1068" s="5">
        <v>-28674</v>
      </c>
      <c r="F1068" s="3" t="s">
        <v>536</v>
      </c>
      <c r="G1068" s="3" t="s">
        <v>88</v>
      </c>
      <c r="H1068" s="2" t="s">
        <v>21</v>
      </c>
      <c r="I1068" s="2" t="s">
        <v>2451</v>
      </c>
      <c r="J1068" s="3" t="str">
        <f>HYPERLINK("https://www.boe.es/gazeta/dias/1821/06/28/pdfs/GMD-1821-181.pdf#page=4","Abrir facsímil")</f>
        <v>Abrir facsímil</v>
      </c>
      <c r="K1068" s="3" t="s">
        <v>23</v>
      </c>
    </row>
    <row r="1069" spans="1:11" ht="42" customHeight="1">
      <c r="A1069" s="2" t="s">
        <v>2442</v>
      </c>
      <c r="B1069" s="2" t="s">
        <v>2442</v>
      </c>
      <c r="C1069" s="2" t="s">
        <v>40</v>
      </c>
      <c r="D1069" s="2" t="s">
        <v>41</v>
      </c>
      <c r="E1069" s="5">
        <v>-28674</v>
      </c>
      <c r="F1069" s="3" t="s">
        <v>536</v>
      </c>
      <c r="G1069" s="3" t="s">
        <v>162</v>
      </c>
      <c r="H1069" s="2" t="s">
        <v>21</v>
      </c>
      <c r="I1069" s="2" t="s">
        <v>2452</v>
      </c>
      <c r="J1069" s="3" t="str">
        <f>HYPERLINK("https://www.boe.es/gazeta/dias/1821/06/28/pdfs/GMD-1821-181.pdf#page=5","Abrir facsímil")</f>
        <v>Abrir facsímil</v>
      </c>
      <c r="K1069" s="3" t="s">
        <v>23</v>
      </c>
    </row>
    <row r="1070" spans="1:11" ht="42" customHeight="1">
      <c r="A1070" s="2" t="s">
        <v>2442</v>
      </c>
      <c r="B1070" s="2" t="s">
        <v>2442</v>
      </c>
      <c r="C1070" s="2" t="s">
        <v>17</v>
      </c>
      <c r="D1070" s="2" t="s">
        <v>18</v>
      </c>
      <c r="E1070" s="5">
        <v>-28575</v>
      </c>
      <c r="F1070" s="3" t="s">
        <v>2453</v>
      </c>
      <c r="G1070" s="3" t="s">
        <v>20</v>
      </c>
      <c r="H1070" s="2" t="s">
        <v>21</v>
      </c>
      <c r="I1070" s="2" t="s">
        <v>2454</v>
      </c>
      <c r="J1070" s="3" t="str">
        <f>HYPERLINK("https://www.boe.es/gazeta/dias/1821/10/05/pdfs/GMD-1821-284.pdf#page=3","Abrir facsímil")</f>
        <v>Abrir facsímil</v>
      </c>
      <c r="K1070" s="3" t="s">
        <v>23</v>
      </c>
    </row>
    <row r="1071" spans="1:11" ht="42" customHeight="1">
      <c r="A1071" s="2" t="s">
        <v>2455</v>
      </c>
      <c r="B1071" s="2" t="s">
        <v>2455</v>
      </c>
      <c r="C1071" s="2" t="s">
        <v>26</v>
      </c>
      <c r="D1071" s="2" t="s">
        <v>27</v>
      </c>
      <c r="E1071" s="5">
        <v>-28574</v>
      </c>
      <c r="F1071" s="3" t="s">
        <v>779</v>
      </c>
      <c r="G1071" s="3" t="s">
        <v>333</v>
      </c>
      <c r="H1071" s="2" t="s">
        <v>21</v>
      </c>
      <c r="I1071" s="2" t="s">
        <v>2456</v>
      </c>
      <c r="J1071" s="3" t="str">
        <f>HYPERLINK("https://www.boe.es/gazeta/dias/1821/10/06/pdfs/GMD-1821-285.pdf#page=8","Abrir facsímil")</f>
        <v>Abrir facsímil</v>
      </c>
      <c r="K1071" s="3" t="s">
        <v>23</v>
      </c>
    </row>
    <row r="1072" spans="1:11" ht="42" customHeight="1">
      <c r="A1072" s="2" t="s">
        <v>2442</v>
      </c>
      <c r="B1072" s="2" t="s">
        <v>2442</v>
      </c>
      <c r="C1072" s="2" t="s">
        <v>26</v>
      </c>
      <c r="D1072" s="2" t="s">
        <v>27</v>
      </c>
      <c r="E1072" s="5">
        <v>-28552</v>
      </c>
      <c r="F1072" s="3" t="s">
        <v>28</v>
      </c>
      <c r="G1072" s="3" t="s">
        <v>2457</v>
      </c>
      <c r="H1072" s="2" t="s">
        <v>21</v>
      </c>
      <c r="I1072" s="2" t="s">
        <v>2458</v>
      </c>
      <c r="J1072" s="3" t="str">
        <f>HYPERLINK("https://www.boe.es/gazeta/dias/1821/10/28/pdfs/GMD-1821-307.pdf#page=4","Abrir facsímil")</f>
        <v>Abrir facsímil</v>
      </c>
      <c r="K1072" s="3" t="s">
        <v>23</v>
      </c>
    </row>
    <row r="1073" spans="1:11" ht="42" customHeight="1">
      <c r="A1073" s="2" t="s">
        <v>2442</v>
      </c>
      <c r="B1073" s="2" t="s">
        <v>2442</v>
      </c>
      <c r="C1073" s="2" t="s">
        <v>40</v>
      </c>
      <c r="D1073" s="2" t="s">
        <v>41</v>
      </c>
      <c r="E1073" s="5">
        <v>-28552</v>
      </c>
      <c r="F1073" s="3" t="s">
        <v>28</v>
      </c>
      <c r="G1073" s="3" t="s">
        <v>162</v>
      </c>
      <c r="H1073" s="2" t="s">
        <v>21</v>
      </c>
      <c r="I1073" s="2" t="s">
        <v>2459</v>
      </c>
      <c r="J1073" s="3" t="str">
        <f>HYPERLINK("https://www.boe.es/gazeta/dias/1821/10/28/pdfs/GMD-1821-307.pdf#page=5","Abrir facsímil")</f>
        <v>Abrir facsímil</v>
      </c>
      <c r="K1073" s="3" t="s">
        <v>23</v>
      </c>
    </row>
    <row r="1074" spans="1:11" ht="42" customHeight="1">
      <c r="A1074" s="2" t="s">
        <v>2442</v>
      </c>
      <c r="B1074" s="2" t="s">
        <v>2442</v>
      </c>
      <c r="C1074" s="2" t="s">
        <v>174</v>
      </c>
      <c r="D1074" s="2" t="s">
        <v>27</v>
      </c>
      <c r="E1074" s="5">
        <v>-28551</v>
      </c>
      <c r="F1074" s="3" t="s">
        <v>542</v>
      </c>
      <c r="G1074" s="3" t="s">
        <v>543</v>
      </c>
      <c r="H1074" s="2" t="s">
        <v>21</v>
      </c>
      <c r="I1074" s="2" t="s">
        <v>2460</v>
      </c>
      <c r="J1074" s="3" t="str">
        <f>HYPERLINK("https://www.boe.es/gazeta/dias/1821/10/29/pdfs/GMD-1821-308.pdf#page=3","Abrir facsímil")</f>
        <v>Abrir facsímil</v>
      </c>
      <c r="K1074" s="3" t="s">
        <v>23</v>
      </c>
    </row>
    <row r="1075" spans="1:11" ht="42" customHeight="1">
      <c r="A1075" s="2" t="s">
        <v>2442</v>
      </c>
      <c r="B1075" s="2" t="s">
        <v>2442</v>
      </c>
      <c r="C1075" s="2" t="s">
        <v>40</v>
      </c>
      <c r="D1075" s="2" t="s">
        <v>41</v>
      </c>
      <c r="E1075" s="5">
        <v>-28551</v>
      </c>
      <c r="F1075" s="3" t="s">
        <v>542</v>
      </c>
      <c r="G1075" s="3" t="s">
        <v>88</v>
      </c>
      <c r="H1075" s="2" t="s">
        <v>21</v>
      </c>
      <c r="I1075" s="2" t="s">
        <v>2461</v>
      </c>
      <c r="J1075" s="3" t="str">
        <f>HYPERLINK("https://www.boe.es/gazeta/dias/1821/10/29/pdfs/GMD-1821-308.pdf#page=4","Abrir facsímil")</f>
        <v>Abrir facsímil</v>
      </c>
      <c r="K1075" s="3" t="s">
        <v>23</v>
      </c>
    </row>
    <row r="1076" spans="1:11" ht="42" customHeight="1">
      <c r="A1076" s="2" t="s">
        <v>2442</v>
      </c>
      <c r="B1076" s="2" t="s">
        <v>2442</v>
      </c>
      <c r="C1076" s="2" t="s">
        <v>40</v>
      </c>
      <c r="D1076" s="2" t="s">
        <v>41</v>
      </c>
      <c r="E1076" s="5">
        <v>-28550</v>
      </c>
      <c r="F1076" s="3" t="s">
        <v>546</v>
      </c>
      <c r="G1076" s="3" t="s">
        <v>20</v>
      </c>
      <c r="H1076" s="2" t="s">
        <v>21</v>
      </c>
      <c r="I1076" s="2" t="s">
        <v>2462</v>
      </c>
      <c r="J1076" s="3" t="str">
        <f>HYPERLINK("https://www.boe.es/gazeta/dias/1821/10/30/pdfs/GMD-1821-309.pdf#page=3","Abrir facsímil")</f>
        <v>Abrir facsímil</v>
      </c>
      <c r="K1076" s="3" t="s">
        <v>23</v>
      </c>
    </row>
    <row r="1077" spans="1:11" ht="42" customHeight="1">
      <c r="A1077" s="2" t="s">
        <v>2442</v>
      </c>
      <c r="B1077" s="2" t="s">
        <v>2442</v>
      </c>
      <c r="C1077" s="2" t="s">
        <v>114</v>
      </c>
      <c r="D1077" s="2" t="s">
        <v>27</v>
      </c>
      <c r="E1077" s="5">
        <v>-28550</v>
      </c>
      <c r="F1077" s="3" t="s">
        <v>546</v>
      </c>
      <c r="G1077" s="3" t="s">
        <v>88</v>
      </c>
      <c r="H1077" s="2" t="s">
        <v>21</v>
      </c>
      <c r="I1077" s="2" t="s">
        <v>2463</v>
      </c>
      <c r="J1077" s="3" t="str">
        <f>HYPERLINK("https://www.boe.es/gazeta/dias/1821/10/30/pdfs/GMD-1821-309.pdf#page=4","Abrir facsímil")</f>
        <v>Abrir facsímil</v>
      </c>
      <c r="K1077" s="3" t="s">
        <v>23</v>
      </c>
    </row>
    <row r="1078" spans="1:11" ht="42" customHeight="1">
      <c r="A1078" s="2" t="s">
        <v>2442</v>
      </c>
      <c r="B1078" s="2" t="s">
        <v>2442</v>
      </c>
      <c r="C1078" s="2" t="s">
        <v>26</v>
      </c>
      <c r="D1078" s="2" t="s">
        <v>27</v>
      </c>
      <c r="E1078" s="5">
        <v>-28549</v>
      </c>
      <c r="F1078" s="3" t="s">
        <v>930</v>
      </c>
      <c r="G1078" s="3" t="s">
        <v>162</v>
      </c>
      <c r="H1078" s="2" t="s">
        <v>21</v>
      </c>
      <c r="I1078" s="2" t="s">
        <v>2464</v>
      </c>
      <c r="J1078" s="3" t="str">
        <f>HYPERLINK("https://www.boe.es/gazeta/dias/1821/10/31/pdfs/GMD-1821-310.pdf#page=5","Abrir facsímil")</f>
        <v>Abrir facsímil</v>
      </c>
      <c r="K1078" s="3" t="s">
        <v>23</v>
      </c>
    </row>
    <row r="1079" spans="1:11" ht="42" customHeight="1">
      <c r="A1079" s="2" t="s">
        <v>2442</v>
      </c>
      <c r="B1079" s="2" t="s">
        <v>2442</v>
      </c>
      <c r="C1079" s="2" t="s">
        <v>40</v>
      </c>
      <c r="D1079" s="2" t="s">
        <v>41</v>
      </c>
      <c r="E1079" s="5">
        <v>-28548</v>
      </c>
      <c r="F1079" s="3" t="s">
        <v>782</v>
      </c>
      <c r="G1079" s="3" t="s">
        <v>20</v>
      </c>
      <c r="H1079" s="2" t="s">
        <v>21</v>
      </c>
      <c r="I1079" s="2" t="s">
        <v>2465</v>
      </c>
      <c r="J1079" s="3" t="str">
        <f>HYPERLINK("https://www.boe.es/gazeta/dias/1821/11/01/pdfs/GMD-1821-311.pdf#page=3","Abrir facsímil")</f>
        <v>Abrir facsímil</v>
      </c>
      <c r="K1079" s="3" t="s">
        <v>23</v>
      </c>
    </row>
    <row r="1080" spans="1:11" ht="42" customHeight="1">
      <c r="A1080" s="2" t="s">
        <v>2442</v>
      </c>
      <c r="B1080" s="2" t="s">
        <v>2442</v>
      </c>
      <c r="C1080" s="2" t="s">
        <v>114</v>
      </c>
      <c r="D1080" s="2" t="s">
        <v>27</v>
      </c>
      <c r="E1080" s="5">
        <v>-28548</v>
      </c>
      <c r="F1080" s="3" t="s">
        <v>782</v>
      </c>
      <c r="G1080" s="3" t="s">
        <v>88</v>
      </c>
      <c r="H1080" s="2" t="s">
        <v>21</v>
      </c>
      <c r="I1080" s="2" t="s">
        <v>2466</v>
      </c>
      <c r="J1080" s="3" t="str">
        <f>HYPERLINK("https://www.boe.es/gazeta/dias/1821/11/01/pdfs/GMD-1821-311.pdf#page=4","Abrir facsímil")</f>
        <v>Abrir facsímil</v>
      </c>
      <c r="K1080" s="3" t="s">
        <v>23</v>
      </c>
    </row>
    <row r="1081" spans="1:11" ht="42" customHeight="1">
      <c r="A1081" s="2" t="s">
        <v>2442</v>
      </c>
      <c r="B1081" s="2" t="s">
        <v>2442</v>
      </c>
      <c r="C1081" s="2" t="s">
        <v>17</v>
      </c>
      <c r="D1081" s="2" t="s">
        <v>18</v>
      </c>
      <c r="E1081" s="5">
        <v>-28548</v>
      </c>
      <c r="F1081" s="3" t="s">
        <v>782</v>
      </c>
      <c r="G1081" s="3" t="s">
        <v>162</v>
      </c>
      <c r="H1081" s="2" t="s">
        <v>21</v>
      </c>
      <c r="I1081" s="2" t="s">
        <v>2467</v>
      </c>
      <c r="J1081" s="3" t="str">
        <f>HYPERLINK("https://www.boe.es/gazeta/dias/1821/11/01/pdfs/GMD-1821-311.pdf#page=5","Abrir facsímil")</f>
        <v>Abrir facsímil</v>
      </c>
      <c r="K1081" s="3" t="s">
        <v>23</v>
      </c>
    </row>
    <row r="1082" spans="1:11" ht="42" customHeight="1">
      <c r="A1082" s="2" t="s">
        <v>2468</v>
      </c>
      <c r="B1082" s="2" t="s">
        <v>2468</v>
      </c>
      <c r="C1082" s="2" t="s">
        <v>17</v>
      </c>
      <c r="D1082" s="2" t="s">
        <v>18</v>
      </c>
      <c r="E1082" s="5">
        <v>-28547</v>
      </c>
      <c r="F1082" s="3" t="s">
        <v>247</v>
      </c>
      <c r="G1082" s="3" t="s">
        <v>20</v>
      </c>
      <c r="H1082" s="2" t="s">
        <v>21</v>
      </c>
      <c r="I1082" s="2" t="s">
        <v>2469</v>
      </c>
      <c r="J1082" s="3" t="str">
        <f>HYPERLINK("https://www.boe.es/gazeta/dias/1821/11/02/pdfs/GMD-1821-312.pdf#page=3","Abrir facsímil")</f>
        <v>Abrir facsímil</v>
      </c>
      <c r="K1082" s="3" t="s">
        <v>23</v>
      </c>
    </row>
    <row r="1083" spans="1:11" ht="42" customHeight="1">
      <c r="A1083" s="2" t="s">
        <v>2442</v>
      </c>
      <c r="B1083" s="2" t="s">
        <v>2442</v>
      </c>
      <c r="C1083" s="2" t="s">
        <v>26</v>
      </c>
      <c r="D1083" s="2" t="s">
        <v>27</v>
      </c>
      <c r="E1083" s="5">
        <v>-28547</v>
      </c>
      <c r="F1083" s="3" t="s">
        <v>247</v>
      </c>
      <c r="G1083" s="3" t="s">
        <v>29</v>
      </c>
      <c r="H1083" s="2" t="s">
        <v>21</v>
      </c>
      <c r="I1083" s="2" t="s">
        <v>2470</v>
      </c>
      <c r="J1083" s="3" t="str">
        <f>HYPERLINK("https://www.boe.es/gazeta/dias/1821/11/02/pdfs/GMD-1821-312.pdf#page=6","Abrir facsímil")</f>
        <v>Abrir facsímil</v>
      </c>
      <c r="K1083" s="3" t="s">
        <v>23</v>
      </c>
    </row>
    <row r="1084" spans="1:11" ht="42" customHeight="1">
      <c r="A1084" s="2" t="s">
        <v>2442</v>
      </c>
      <c r="B1084" s="2" t="s">
        <v>2442</v>
      </c>
      <c r="C1084" s="2" t="s">
        <v>35</v>
      </c>
      <c r="D1084" s="2" t="s">
        <v>27</v>
      </c>
      <c r="E1084" s="5">
        <v>-28544</v>
      </c>
      <c r="F1084" s="3" t="s">
        <v>139</v>
      </c>
      <c r="G1084" s="3" t="s">
        <v>20</v>
      </c>
      <c r="H1084" s="2" t="s">
        <v>21</v>
      </c>
      <c r="I1084" s="2" t="s">
        <v>2471</v>
      </c>
      <c r="J1084" s="3" t="str">
        <f>HYPERLINK("https://www.boe.es/gazeta/dias/1821/11/05/pdfs/GMD-1821-316.pdf#page=3","Abrir facsímil")</f>
        <v>Abrir facsímil</v>
      </c>
      <c r="K1084" s="3" t="s">
        <v>23</v>
      </c>
    </row>
    <row r="1085" spans="1:11" ht="42" customHeight="1">
      <c r="A1085" s="2" t="s">
        <v>2442</v>
      </c>
      <c r="B1085" s="2" t="s">
        <v>2442</v>
      </c>
      <c r="C1085" s="2" t="s">
        <v>17</v>
      </c>
      <c r="D1085" s="2" t="s">
        <v>18</v>
      </c>
      <c r="E1085" s="5">
        <v>-28541</v>
      </c>
      <c r="F1085" s="3" t="s">
        <v>275</v>
      </c>
      <c r="G1085" s="3" t="s">
        <v>52</v>
      </c>
      <c r="H1085" s="2" t="s">
        <v>21</v>
      </c>
      <c r="I1085" s="2" t="s">
        <v>2472</v>
      </c>
      <c r="J1085" s="3" t="str">
        <f>HYPERLINK("https://www.boe.es/gazeta/dias/1821/11/08/pdfs/GMD-1821-319.pdf#page=2","Abrir facsímil")</f>
        <v>Abrir facsímil</v>
      </c>
      <c r="K1085" s="3" t="s">
        <v>23</v>
      </c>
    </row>
    <row r="1086" spans="1:11" ht="42" customHeight="1">
      <c r="A1086" s="2" t="s">
        <v>2442</v>
      </c>
      <c r="B1086" s="2" t="s">
        <v>2442</v>
      </c>
      <c r="C1086" s="2" t="s">
        <v>114</v>
      </c>
      <c r="D1086" s="2" t="s">
        <v>27</v>
      </c>
      <c r="E1086" s="5">
        <v>-28534</v>
      </c>
      <c r="F1086" s="3" t="s">
        <v>414</v>
      </c>
      <c r="G1086" s="3" t="s">
        <v>88</v>
      </c>
      <c r="H1086" s="2" t="s">
        <v>21</v>
      </c>
      <c r="I1086" s="2" t="s">
        <v>2473</v>
      </c>
      <c r="J1086" s="3" t="str">
        <f>HYPERLINK("https://www.boe.es/gazeta/dias/1821/11/15/pdfs/GMD-1821-326.pdf#page=4","Abrir facsímil")</f>
        <v>Abrir facsímil</v>
      </c>
      <c r="K1086" s="3" t="s">
        <v>23</v>
      </c>
    </row>
    <row r="1087" spans="1:11" ht="42" customHeight="1">
      <c r="A1087" s="2" t="s">
        <v>2442</v>
      </c>
      <c r="B1087" s="2" t="s">
        <v>2442</v>
      </c>
      <c r="C1087" s="2" t="s">
        <v>35</v>
      </c>
      <c r="D1087" s="2" t="s">
        <v>27</v>
      </c>
      <c r="E1087" s="5">
        <v>-28530</v>
      </c>
      <c r="F1087" s="3" t="s">
        <v>237</v>
      </c>
      <c r="G1087" s="3" t="s">
        <v>88</v>
      </c>
      <c r="H1087" s="2" t="s">
        <v>21</v>
      </c>
      <c r="I1087" s="2" t="s">
        <v>2474</v>
      </c>
      <c r="J1087" s="3" t="str">
        <f>HYPERLINK("https://www.boe.es/gazeta/dias/1821/11/19/pdfs/GMD-1821-330.pdf#page=4","Abrir facsímil")</f>
        <v>Abrir facsímil</v>
      </c>
      <c r="K1087" s="3" t="s">
        <v>23</v>
      </c>
    </row>
    <row r="1088" spans="1:11" ht="42" customHeight="1">
      <c r="A1088" s="2" t="s">
        <v>2442</v>
      </c>
      <c r="B1088" s="2" t="s">
        <v>2442</v>
      </c>
      <c r="C1088" s="2" t="s">
        <v>114</v>
      </c>
      <c r="D1088" s="2" t="s">
        <v>27</v>
      </c>
      <c r="E1088" s="5">
        <v>-28529</v>
      </c>
      <c r="F1088" s="3" t="s">
        <v>525</v>
      </c>
      <c r="G1088" s="3" t="s">
        <v>52</v>
      </c>
      <c r="H1088" s="2" t="s">
        <v>21</v>
      </c>
      <c r="I1088" s="2" t="s">
        <v>2475</v>
      </c>
      <c r="J1088" s="3" t="str">
        <f>HYPERLINK("https://www.boe.es/gazeta/dias/1821/11/20/pdfs/GMD-1821-331.pdf#page=2","Abrir facsímil")</f>
        <v>Abrir facsímil</v>
      </c>
      <c r="K1088" s="3" t="s">
        <v>23</v>
      </c>
    </row>
    <row r="1089" spans="1:11" ht="42" customHeight="1">
      <c r="A1089" s="2" t="s">
        <v>2442</v>
      </c>
      <c r="B1089" s="2" t="s">
        <v>2442</v>
      </c>
      <c r="C1089" s="2" t="s">
        <v>174</v>
      </c>
      <c r="D1089" s="2" t="s">
        <v>27</v>
      </c>
      <c r="E1089" s="5">
        <v>-28529</v>
      </c>
      <c r="F1089" s="3" t="s">
        <v>525</v>
      </c>
      <c r="G1089" s="3" t="s">
        <v>20</v>
      </c>
      <c r="H1089" s="2" t="s">
        <v>21</v>
      </c>
      <c r="I1089" s="2" t="s">
        <v>2476</v>
      </c>
      <c r="J1089" s="3" t="str">
        <f>HYPERLINK("https://www.boe.es/gazeta/dias/1821/11/20/pdfs/GMD-1821-331.pdf#page=3","Abrir facsímil")</f>
        <v>Abrir facsímil</v>
      </c>
      <c r="K1089" s="3" t="s">
        <v>23</v>
      </c>
    </row>
    <row r="1090" spans="1:11" ht="42" customHeight="1">
      <c r="A1090" s="2" t="s">
        <v>2442</v>
      </c>
      <c r="B1090" s="2" t="s">
        <v>2442</v>
      </c>
      <c r="C1090" s="2" t="s">
        <v>35</v>
      </c>
      <c r="D1090" s="2" t="s">
        <v>27</v>
      </c>
      <c r="E1090" s="5">
        <v>-28526</v>
      </c>
      <c r="F1090" s="3" t="s">
        <v>223</v>
      </c>
      <c r="G1090" s="3" t="s">
        <v>88</v>
      </c>
      <c r="H1090" s="2" t="s">
        <v>21</v>
      </c>
      <c r="I1090" s="2" t="s">
        <v>2477</v>
      </c>
      <c r="J1090" s="3" t="str">
        <f>HYPERLINK("https://www.boe.es/gazeta/dias/1821/11/23/pdfs/GMD-1821-334.pdf#page=4","Abrir facsímil")</f>
        <v>Abrir facsímil</v>
      </c>
      <c r="K1090" s="3" t="s">
        <v>23</v>
      </c>
    </row>
    <row r="1091" spans="1:11" ht="42" customHeight="1">
      <c r="A1091" s="2" t="s">
        <v>2442</v>
      </c>
      <c r="B1091" s="2" t="s">
        <v>2442</v>
      </c>
      <c r="C1091" s="2" t="s">
        <v>26</v>
      </c>
      <c r="D1091" s="2" t="s">
        <v>27</v>
      </c>
      <c r="E1091" s="5">
        <v>-28524</v>
      </c>
      <c r="F1091" s="3" t="s">
        <v>874</v>
      </c>
      <c r="G1091" s="3" t="s">
        <v>875</v>
      </c>
      <c r="H1091" s="2" t="s">
        <v>21</v>
      </c>
      <c r="I1091" s="2" t="s">
        <v>2478</v>
      </c>
      <c r="J1091" s="3" t="str">
        <f>HYPERLINK("https://www.boe.es/gazeta/dias/1821/11/25/pdfs/GMD-1821-336.pdf#page=3","Abrir facsímil")</f>
        <v>Abrir facsímil</v>
      </c>
      <c r="K1091" s="3" t="s">
        <v>23</v>
      </c>
    </row>
    <row r="1092" spans="1:11" ht="42" customHeight="1">
      <c r="A1092" s="2" t="s">
        <v>2442</v>
      </c>
      <c r="B1092" s="2" t="s">
        <v>2442</v>
      </c>
      <c r="C1092" s="2" t="s">
        <v>40</v>
      </c>
      <c r="D1092" s="2" t="s">
        <v>41</v>
      </c>
      <c r="E1092" s="5">
        <v>-28517</v>
      </c>
      <c r="F1092" s="3" t="s">
        <v>563</v>
      </c>
      <c r="G1092" s="3" t="s">
        <v>52</v>
      </c>
      <c r="H1092" s="2" t="s">
        <v>21</v>
      </c>
      <c r="I1092" s="2" t="s">
        <v>2479</v>
      </c>
      <c r="J1092" s="3" t="str">
        <f>HYPERLINK("https://www.boe.es/gazeta/dias/1821/12/02/pdfs/GMD-1821-344.pdf#page=2","Abrir facsímil")</f>
        <v>Abrir facsímil</v>
      </c>
      <c r="K1092" s="3" t="s">
        <v>23</v>
      </c>
    </row>
    <row r="1093" spans="1:11" ht="42" customHeight="1">
      <c r="A1093" s="2" t="s">
        <v>2442</v>
      </c>
      <c r="B1093" s="2" t="s">
        <v>2442</v>
      </c>
      <c r="C1093" s="2" t="s">
        <v>26</v>
      </c>
      <c r="D1093" s="2" t="s">
        <v>27</v>
      </c>
      <c r="E1093" s="5">
        <v>-28517</v>
      </c>
      <c r="F1093" s="3" t="s">
        <v>563</v>
      </c>
      <c r="G1093" s="3" t="s">
        <v>20</v>
      </c>
      <c r="H1093" s="2" t="s">
        <v>21</v>
      </c>
      <c r="I1093" s="2" t="s">
        <v>2480</v>
      </c>
      <c r="J1093" s="3" t="str">
        <f>HYPERLINK("https://www.boe.es/gazeta/dias/1821/12/02/pdfs/GMD-1821-344.pdf#page=3","Abrir facsímil")</f>
        <v>Abrir facsímil</v>
      </c>
      <c r="K1093" s="3" t="s">
        <v>23</v>
      </c>
    </row>
    <row r="1094" spans="1:11" ht="42" customHeight="1">
      <c r="A1094" s="2" t="s">
        <v>2442</v>
      </c>
      <c r="B1094" s="2" t="s">
        <v>2442</v>
      </c>
      <c r="C1094" s="2" t="s">
        <v>35</v>
      </c>
      <c r="D1094" s="2" t="s">
        <v>27</v>
      </c>
      <c r="E1094" s="5">
        <v>-28516</v>
      </c>
      <c r="F1094" s="3" t="s">
        <v>514</v>
      </c>
      <c r="G1094" s="3" t="s">
        <v>88</v>
      </c>
      <c r="H1094" s="2" t="s">
        <v>21</v>
      </c>
      <c r="I1094" s="2" t="s">
        <v>2481</v>
      </c>
      <c r="J1094" s="3" t="str">
        <f>HYPERLINK("https://www.boe.es/gazeta/dias/1821/12/03/pdfs/GMD-1821-345.pdf#page=4","Abrir facsímil")</f>
        <v>Abrir facsímil</v>
      </c>
      <c r="K1094" s="3" t="s">
        <v>23</v>
      </c>
    </row>
    <row r="1095" spans="1:11" ht="42" customHeight="1">
      <c r="A1095" s="2" t="s">
        <v>2482</v>
      </c>
      <c r="B1095" s="2" t="s">
        <v>2482</v>
      </c>
      <c r="C1095" s="2" t="s">
        <v>35</v>
      </c>
      <c r="D1095" s="2" t="s">
        <v>27</v>
      </c>
      <c r="E1095" s="5">
        <v>-28503</v>
      </c>
      <c r="F1095" s="3" t="s">
        <v>947</v>
      </c>
      <c r="G1095" s="3" t="s">
        <v>43</v>
      </c>
      <c r="H1095" s="2" t="s">
        <v>21</v>
      </c>
      <c r="I1095" s="2" t="s">
        <v>2483</v>
      </c>
      <c r="J1095" s="3" t="str">
        <f>HYPERLINK("https://www.boe.es/gazeta/dias/1821/12/16/pdfs/GMD-1821-359.pdf#page=1","Abrir facsímil")</f>
        <v>Abrir facsímil</v>
      </c>
      <c r="K1095" s="3" t="s">
        <v>23</v>
      </c>
    </row>
    <row r="1096" spans="1:11" ht="42" customHeight="1">
      <c r="A1096" s="2" t="s">
        <v>2484</v>
      </c>
      <c r="B1096" s="2" t="s">
        <v>2484</v>
      </c>
      <c r="C1096" s="2" t="s">
        <v>70</v>
      </c>
      <c r="D1096" s="2" t="s">
        <v>27</v>
      </c>
      <c r="E1096" s="5">
        <v>-28552</v>
      </c>
      <c r="F1096" s="3" t="s">
        <v>28</v>
      </c>
      <c r="G1096" s="3" t="s">
        <v>2457</v>
      </c>
      <c r="H1096" s="2" t="s">
        <v>21</v>
      </c>
      <c r="I1096" s="2" t="s">
        <v>2485</v>
      </c>
      <c r="J1096" s="3" t="str">
        <f>HYPERLINK("https://www.boe.es/gazeta/dias/1821/10/28/pdfs/GMD-1821-307.pdf#page=4","Abrir facsímil")</f>
        <v>Abrir facsímil</v>
      </c>
      <c r="K1096" s="3" t="s">
        <v>23</v>
      </c>
    </row>
    <row r="1097" spans="1:11" ht="42" customHeight="1">
      <c r="A1097" s="2" t="s">
        <v>2486</v>
      </c>
      <c r="B1097" s="2" t="s">
        <v>2486</v>
      </c>
      <c r="C1097" s="2" t="s">
        <v>26</v>
      </c>
      <c r="D1097" s="2" t="s">
        <v>27</v>
      </c>
      <c r="E1097" s="5">
        <v>-28778</v>
      </c>
      <c r="F1097" s="3" t="s">
        <v>1301</v>
      </c>
      <c r="G1097" s="3" t="s">
        <v>88</v>
      </c>
      <c r="H1097" s="2" t="s">
        <v>21</v>
      </c>
      <c r="I1097" s="2" t="s">
        <v>2487</v>
      </c>
      <c r="J1097" s="3" t="str">
        <f>HYPERLINK("https://www.boe.es/gazeta/dias/1821/03/16/pdfs/GMD-1821-75.pdf#page=4","Abrir facsímil")</f>
        <v>Abrir facsímil</v>
      </c>
      <c r="K1097" s="3" t="s">
        <v>23</v>
      </c>
    </row>
    <row r="1098" spans="1:11" ht="42" customHeight="1">
      <c r="A1098" s="2" t="s">
        <v>2488</v>
      </c>
      <c r="B1098" s="2" t="s">
        <v>2489</v>
      </c>
      <c r="C1098" s="2" t="s">
        <v>26</v>
      </c>
      <c r="D1098" s="2" t="s">
        <v>27</v>
      </c>
      <c r="E1098" s="5">
        <v>-28847</v>
      </c>
      <c r="F1098" s="3" t="s">
        <v>288</v>
      </c>
      <c r="G1098" s="3" t="s">
        <v>289</v>
      </c>
      <c r="H1098" s="2" t="s">
        <v>30</v>
      </c>
      <c r="I1098" s="2" t="s">
        <v>2490</v>
      </c>
      <c r="J1098" s="3" t="str">
        <f>HYPERLINK("https://www.boe.es/gazeta/dias/1821/01/06/pdfs/GGB-1821-6.pdf#page=4","Abrir facsímil")</f>
        <v>Abrir facsímil</v>
      </c>
      <c r="K1098" s="3" t="s">
        <v>32</v>
      </c>
    </row>
    <row r="1099" spans="1:11" ht="42" customHeight="1">
      <c r="A1099" s="2" t="s">
        <v>2491</v>
      </c>
      <c r="B1099" s="2" t="s">
        <v>2492</v>
      </c>
      <c r="C1099" s="2" t="s">
        <v>40</v>
      </c>
      <c r="D1099" s="2" t="s">
        <v>41</v>
      </c>
      <c r="E1099" s="5">
        <v>-28512</v>
      </c>
      <c r="F1099" s="3" t="s">
        <v>66</v>
      </c>
      <c r="G1099" s="3" t="s">
        <v>43</v>
      </c>
      <c r="H1099" s="2" t="s">
        <v>21</v>
      </c>
      <c r="I1099" s="2" t="s">
        <v>2493</v>
      </c>
      <c r="J1099" s="3" t="str">
        <f>HYPERLINK("https://www.boe.es/gazeta/dias/1821/12/07/pdfs/GMD-1821-349.pdf#page=1","Abrir facsímil")</f>
        <v>Abrir facsímil</v>
      </c>
      <c r="K1099" s="3" t="s">
        <v>23</v>
      </c>
    </row>
    <row r="1100" spans="1:11" ht="42" customHeight="1">
      <c r="A1100" s="2" t="s">
        <v>2494</v>
      </c>
      <c r="B1100" s="2" t="s">
        <v>2494</v>
      </c>
      <c r="C1100" s="2" t="s">
        <v>17</v>
      </c>
      <c r="D1100" s="2" t="s">
        <v>18</v>
      </c>
      <c r="E1100" s="5">
        <v>-28722</v>
      </c>
      <c r="F1100" s="3" t="s">
        <v>623</v>
      </c>
      <c r="G1100" s="3" t="s">
        <v>43</v>
      </c>
      <c r="H1100" s="2" t="s">
        <v>21</v>
      </c>
      <c r="I1100" s="2" t="s">
        <v>2495</v>
      </c>
      <c r="J1100" s="3" t="str">
        <f>HYPERLINK("https://www.boe.es/gazeta/dias/1821/05/11/pdfs/GMD-1821-133.pdf#page=1","Abrir facsímil")</f>
        <v>Abrir facsímil</v>
      </c>
      <c r="K1100" s="3" t="s">
        <v>23</v>
      </c>
    </row>
    <row r="1101" spans="1:11" ht="42" customHeight="1">
      <c r="A1101" s="2" t="s">
        <v>2496</v>
      </c>
      <c r="B1101" s="2" t="s">
        <v>2497</v>
      </c>
      <c r="C1101" s="2" t="s">
        <v>40</v>
      </c>
      <c r="D1101" s="2" t="s">
        <v>41</v>
      </c>
      <c r="E1101" s="5">
        <v>-28531</v>
      </c>
      <c r="F1101" s="3" t="s">
        <v>365</v>
      </c>
      <c r="G1101" s="3" t="s">
        <v>20</v>
      </c>
      <c r="H1101" s="2" t="s">
        <v>21</v>
      </c>
      <c r="I1101" s="2" t="s">
        <v>2498</v>
      </c>
      <c r="J1101" s="3" t="str">
        <f>HYPERLINK("https://www.boe.es/gazeta/dias/1821/11/18/pdfs/GMD-1821-329.pdf#page=3","Abrir facsímil")</f>
        <v>Abrir facsímil</v>
      </c>
      <c r="K1101" s="3" t="s">
        <v>23</v>
      </c>
    </row>
    <row r="1102" spans="1:11" ht="42" customHeight="1">
      <c r="A1102" s="2" t="s">
        <v>2499</v>
      </c>
      <c r="B1102" s="2" t="s">
        <v>2499</v>
      </c>
      <c r="C1102" s="2" t="s">
        <v>40</v>
      </c>
      <c r="D1102" s="2" t="s">
        <v>41</v>
      </c>
      <c r="E1102" s="5">
        <v>-28770</v>
      </c>
      <c r="F1102" s="3" t="s">
        <v>1009</v>
      </c>
      <c r="G1102" s="3" t="s">
        <v>20</v>
      </c>
      <c r="H1102" s="2" t="s">
        <v>21</v>
      </c>
      <c r="I1102" s="2" t="s">
        <v>2500</v>
      </c>
      <c r="J1102" s="3" t="str">
        <f>HYPERLINK("https://www.boe.es/gazeta/dias/1821/03/24/pdfs/GMD-1821-84.pdf#page=3","Abrir facsímil")</f>
        <v>Abrir facsímil</v>
      </c>
      <c r="K1102" s="3" t="s">
        <v>23</v>
      </c>
    </row>
    <row r="1103" spans="1:11" ht="42" customHeight="1">
      <c r="A1103" s="2" t="s">
        <v>2501</v>
      </c>
      <c r="B1103" s="2" t="s">
        <v>2502</v>
      </c>
      <c r="C1103" s="2" t="s">
        <v>40</v>
      </c>
      <c r="D1103" s="2" t="s">
        <v>41</v>
      </c>
      <c r="E1103" s="5">
        <v>-28492</v>
      </c>
      <c r="F1103" s="3" t="s">
        <v>1550</v>
      </c>
      <c r="G1103" s="3" t="s">
        <v>88</v>
      </c>
      <c r="H1103" s="2" t="s">
        <v>21</v>
      </c>
      <c r="I1103" s="2" t="s">
        <v>2503</v>
      </c>
      <c r="J1103" s="3" t="str">
        <f>HYPERLINK("https://www.boe.es/gazeta/dias/1821/12/27/pdfs/GMD-1821-370.pdf#page=4","Abrir facsímil")</f>
        <v>Abrir facsímil</v>
      </c>
      <c r="K1103" s="3" t="s">
        <v>23</v>
      </c>
    </row>
    <row r="1104" spans="1:11" ht="42" customHeight="1">
      <c r="A1104" s="2" t="s">
        <v>2504</v>
      </c>
      <c r="B1104" s="2" t="s">
        <v>2505</v>
      </c>
      <c r="C1104" s="2" t="s">
        <v>17</v>
      </c>
      <c r="D1104" s="2" t="s">
        <v>18</v>
      </c>
      <c r="E1104" s="5">
        <v>-28666</v>
      </c>
      <c r="F1104" s="3" t="s">
        <v>1263</v>
      </c>
      <c r="G1104" s="3" t="s">
        <v>88</v>
      </c>
      <c r="H1104" s="2" t="s">
        <v>21</v>
      </c>
      <c r="I1104" s="2" t="s">
        <v>2506</v>
      </c>
      <c r="J1104" s="3" t="str">
        <f>HYPERLINK("https://www.boe.es/gazeta/dias/1821/07/06/pdfs/GMD-1821-190.pdf#page=4","Abrir facsímil")</f>
        <v>Abrir facsímil</v>
      </c>
      <c r="K1104" s="3" t="s">
        <v>23</v>
      </c>
    </row>
    <row r="1105" spans="1:11" ht="42" customHeight="1">
      <c r="A1105" s="2" t="s">
        <v>2507</v>
      </c>
      <c r="B1105" s="2" t="s">
        <v>2508</v>
      </c>
      <c r="C1105" s="2" t="s">
        <v>35</v>
      </c>
      <c r="D1105" s="2" t="s">
        <v>27</v>
      </c>
      <c r="E1105" s="5">
        <v>-28716</v>
      </c>
      <c r="F1105" s="3" t="s">
        <v>842</v>
      </c>
      <c r="G1105" s="3" t="s">
        <v>52</v>
      </c>
      <c r="H1105" s="2" t="s">
        <v>21</v>
      </c>
      <c r="I1105" s="2" t="s">
        <v>2509</v>
      </c>
      <c r="J1105" s="3" t="str">
        <f>HYPERLINK("https://www.boe.es/gazeta/dias/1821/05/17/pdfs/GMD-1821-139.pdf#page=2","Abrir facsímil")</f>
        <v>Abrir facsímil</v>
      </c>
      <c r="K1105" s="3" t="s">
        <v>23</v>
      </c>
    </row>
    <row r="1106" spans="1:11" ht="42" customHeight="1">
      <c r="A1106" s="2" t="s">
        <v>2507</v>
      </c>
      <c r="B1106" s="2" t="s">
        <v>2508</v>
      </c>
      <c r="C1106" s="2" t="s">
        <v>17</v>
      </c>
      <c r="D1106" s="2" t="s">
        <v>18</v>
      </c>
      <c r="E1106" s="5">
        <v>-28704</v>
      </c>
      <c r="F1106" s="3" t="s">
        <v>1050</v>
      </c>
      <c r="G1106" s="3" t="s">
        <v>88</v>
      </c>
      <c r="H1106" s="2" t="s">
        <v>21</v>
      </c>
      <c r="I1106" s="2" t="s">
        <v>2510</v>
      </c>
      <c r="J1106" s="3" t="str">
        <f>HYPERLINK("https://www.boe.es/gazeta/dias/1821/05/29/pdfs/GMD-1821-151.pdf#page=4","Abrir facsímil")</f>
        <v>Abrir facsímil</v>
      </c>
      <c r="K1106" s="3" t="s">
        <v>23</v>
      </c>
    </row>
    <row r="1107" spans="1:11" ht="42" customHeight="1">
      <c r="A1107" s="2" t="s">
        <v>2511</v>
      </c>
      <c r="B1107" s="2" t="s">
        <v>2512</v>
      </c>
      <c r="C1107" s="2" t="s">
        <v>17</v>
      </c>
      <c r="D1107" s="2" t="s">
        <v>18</v>
      </c>
      <c r="E1107" s="5">
        <v>-28547</v>
      </c>
      <c r="F1107" s="3" t="s">
        <v>247</v>
      </c>
      <c r="G1107" s="3" t="s">
        <v>248</v>
      </c>
      <c r="H1107" s="2" t="s">
        <v>21</v>
      </c>
      <c r="I1107" s="2" t="s">
        <v>2513</v>
      </c>
      <c r="J1107" s="3" t="str">
        <f>HYPERLINK("https://www.boe.es/gazeta/dias/1821/11/02/pdfs/GMD-1821-312.pdf#page=2","Abrir facsímil")</f>
        <v>Abrir facsímil</v>
      </c>
      <c r="K1107" s="3" t="s">
        <v>23</v>
      </c>
    </row>
    <row r="1108" spans="1:11" ht="42" customHeight="1">
      <c r="A1108" s="2" t="s">
        <v>2514</v>
      </c>
      <c r="B1108" s="2" t="s">
        <v>2514</v>
      </c>
      <c r="C1108" s="2" t="s">
        <v>17</v>
      </c>
      <c r="D1108" s="2" t="s">
        <v>18</v>
      </c>
      <c r="E1108" s="5">
        <v>-28503</v>
      </c>
      <c r="F1108" s="3" t="s">
        <v>947</v>
      </c>
      <c r="G1108" s="3" t="s">
        <v>43</v>
      </c>
      <c r="H1108" s="2" t="s">
        <v>21</v>
      </c>
      <c r="I1108" s="2" t="s">
        <v>2515</v>
      </c>
      <c r="J1108" s="3" t="str">
        <f>HYPERLINK("https://www.boe.es/gazeta/dias/1821/12/16/pdfs/GMD-1821-359.pdf#page=1","Abrir facsímil")</f>
        <v>Abrir facsímil</v>
      </c>
      <c r="K1108" s="3" t="s">
        <v>23</v>
      </c>
    </row>
    <row r="1109" spans="1:11" ht="42" customHeight="1">
      <c r="A1109" s="2" t="s">
        <v>2514</v>
      </c>
      <c r="B1109" s="2" t="s">
        <v>2514</v>
      </c>
      <c r="C1109" s="2" t="s">
        <v>26</v>
      </c>
      <c r="D1109" s="2" t="s">
        <v>27</v>
      </c>
      <c r="E1109" s="5">
        <v>-28503</v>
      </c>
      <c r="F1109" s="3" t="s">
        <v>947</v>
      </c>
      <c r="G1109" s="3" t="s">
        <v>88</v>
      </c>
      <c r="H1109" s="2" t="s">
        <v>21</v>
      </c>
      <c r="I1109" s="2" t="s">
        <v>2516</v>
      </c>
      <c r="J1109" s="3" t="str">
        <f>HYPERLINK("https://www.boe.es/gazeta/dias/1821/12/16/pdfs/GMD-1821-359.pdf#page=4","Abrir facsímil")</f>
        <v>Abrir facsímil</v>
      </c>
      <c r="K1109" s="3" t="s">
        <v>23</v>
      </c>
    </row>
    <row r="1110" spans="1:11" ht="42" customHeight="1">
      <c r="A1110" s="2" t="s">
        <v>2517</v>
      </c>
      <c r="B1110" s="2" t="s">
        <v>2518</v>
      </c>
      <c r="C1110" s="2" t="s">
        <v>40</v>
      </c>
      <c r="D1110" s="2" t="s">
        <v>41</v>
      </c>
      <c r="E1110" s="5">
        <v>-28788</v>
      </c>
      <c r="F1110" s="3" t="s">
        <v>996</v>
      </c>
      <c r="G1110" s="3" t="s">
        <v>88</v>
      </c>
      <c r="H1110" s="2" t="s">
        <v>21</v>
      </c>
      <c r="I1110" s="2" t="s">
        <v>2519</v>
      </c>
      <c r="J1110" s="3" t="str">
        <f>HYPERLINK("https://www.boe.es/gazeta/dias/1821/03/06/pdfs/GGB-1821-65.pdf#page=4","Abrir facsímil")</f>
        <v>Abrir facsímil</v>
      </c>
      <c r="K1110" s="3" t="s">
        <v>23</v>
      </c>
    </row>
    <row r="1111" spans="1:11" ht="42" customHeight="1">
      <c r="A1111" s="2" t="s">
        <v>2517</v>
      </c>
      <c r="B1111" s="2" t="s">
        <v>2518</v>
      </c>
      <c r="C1111" s="2" t="s">
        <v>35</v>
      </c>
      <c r="D1111" s="2" t="s">
        <v>27</v>
      </c>
      <c r="E1111" s="5">
        <v>-28787</v>
      </c>
      <c r="F1111" s="3" t="s">
        <v>486</v>
      </c>
      <c r="G1111" s="3" t="s">
        <v>20</v>
      </c>
      <c r="H1111" s="2" t="s">
        <v>21</v>
      </c>
      <c r="I1111" s="2" t="s">
        <v>2520</v>
      </c>
      <c r="J1111" s="3" t="str">
        <f>HYPERLINK("https://www.boe.es/gazeta/dias/1821/03/07/pdfs/GGB-1821-66.pdf#page=3","Abrir facsímil")</f>
        <v>Abrir facsímil</v>
      </c>
      <c r="K1111" s="3" t="s">
        <v>23</v>
      </c>
    </row>
    <row r="1112" spans="1:11" ht="42" customHeight="1">
      <c r="A1112" s="2" t="s">
        <v>2517</v>
      </c>
      <c r="B1112" s="2" t="s">
        <v>2518</v>
      </c>
      <c r="C1112" s="2" t="s">
        <v>35</v>
      </c>
      <c r="D1112" s="2" t="s">
        <v>27</v>
      </c>
      <c r="E1112" s="5">
        <v>-28752</v>
      </c>
      <c r="F1112" s="3" t="s">
        <v>1012</v>
      </c>
      <c r="G1112" s="3" t="s">
        <v>88</v>
      </c>
      <c r="H1112" s="2" t="s">
        <v>21</v>
      </c>
      <c r="I1112" s="2" t="s">
        <v>2521</v>
      </c>
      <c r="J1112" s="3" t="str">
        <f>HYPERLINK("https://www.boe.es/gazeta/dias/1821/04/11/pdfs/GMD-1821-103.pdf#page=4","Abrir facsímil")</f>
        <v>Abrir facsímil</v>
      </c>
      <c r="K1112" s="3" t="s">
        <v>23</v>
      </c>
    </row>
    <row r="1113" spans="1:11" ht="42" customHeight="1">
      <c r="A1113" s="2" t="s">
        <v>2517</v>
      </c>
      <c r="B1113" s="2" t="s">
        <v>2518</v>
      </c>
      <c r="C1113" s="2" t="s">
        <v>17</v>
      </c>
      <c r="D1113" s="2" t="s">
        <v>18</v>
      </c>
      <c r="E1113" s="5">
        <v>-28718</v>
      </c>
      <c r="F1113" s="3" t="s">
        <v>583</v>
      </c>
      <c r="G1113" s="3" t="s">
        <v>88</v>
      </c>
      <c r="H1113" s="2" t="s">
        <v>21</v>
      </c>
      <c r="I1113" s="2" t="s">
        <v>2522</v>
      </c>
      <c r="J1113" s="3" t="str">
        <f>HYPERLINK("https://www.boe.es/gazeta/dias/1821/05/15/pdfs/GMD-1821-137.pdf#page=4","Abrir facsímil")</f>
        <v>Abrir facsímil</v>
      </c>
      <c r="K1113" s="3" t="s">
        <v>23</v>
      </c>
    </row>
    <row r="1114" spans="1:11" ht="42" customHeight="1">
      <c r="A1114" s="2" t="s">
        <v>2517</v>
      </c>
      <c r="B1114" s="2" t="s">
        <v>2518</v>
      </c>
      <c r="C1114" s="2" t="s">
        <v>17</v>
      </c>
      <c r="D1114" s="2" t="s">
        <v>18</v>
      </c>
      <c r="E1114" s="5">
        <v>-28697</v>
      </c>
      <c r="F1114" s="3" t="s">
        <v>166</v>
      </c>
      <c r="G1114" s="3" t="s">
        <v>1357</v>
      </c>
      <c r="H1114" s="2" t="s">
        <v>21</v>
      </c>
      <c r="I1114" s="2" t="s">
        <v>2523</v>
      </c>
      <c r="J1114" s="3" t="str">
        <f>HYPERLINK("https://www.boe.es/gazeta/dias/1821/06/05/pdfs/GMD-1821-158.pdf#page=4","Abrir facsímil")</f>
        <v>Abrir facsímil</v>
      </c>
      <c r="K1114" s="3" t="s">
        <v>23</v>
      </c>
    </row>
    <row r="1115" spans="1:11" ht="42" customHeight="1">
      <c r="A1115" s="2" t="s">
        <v>2517</v>
      </c>
      <c r="B1115" s="2" t="s">
        <v>2518</v>
      </c>
      <c r="C1115" s="2" t="s">
        <v>26</v>
      </c>
      <c r="D1115" s="2" t="s">
        <v>27</v>
      </c>
      <c r="E1115" s="5">
        <v>-28696</v>
      </c>
      <c r="F1115" s="3" t="s">
        <v>497</v>
      </c>
      <c r="G1115" s="3" t="s">
        <v>88</v>
      </c>
      <c r="H1115" s="2" t="s">
        <v>21</v>
      </c>
      <c r="I1115" s="2" t="s">
        <v>2524</v>
      </c>
      <c r="J1115" s="3" t="str">
        <f>HYPERLINK("https://www.boe.es/gazeta/dias/1821/06/06/pdfs/GMD-1821-159.pdf#page=4","Abrir facsímil")</f>
        <v>Abrir facsímil</v>
      </c>
      <c r="K1115" s="3" t="s">
        <v>23</v>
      </c>
    </row>
    <row r="1116" spans="1:11" ht="42" customHeight="1">
      <c r="A1116" s="2" t="s">
        <v>2517</v>
      </c>
      <c r="B1116" s="2" t="s">
        <v>2518</v>
      </c>
      <c r="C1116" s="2" t="s">
        <v>40</v>
      </c>
      <c r="D1116" s="2" t="s">
        <v>41</v>
      </c>
      <c r="E1116" s="5">
        <v>-28683</v>
      </c>
      <c r="F1116" s="3" t="s">
        <v>332</v>
      </c>
      <c r="G1116" s="3" t="s">
        <v>29</v>
      </c>
      <c r="H1116" s="2" t="s">
        <v>21</v>
      </c>
      <c r="I1116" s="2" t="s">
        <v>2525</v>
      </c>
      <c r="J1116" s="3" t="str">
        <f>HYPERLINK("https://www.boe.es/gazeta/dias/1821/06/19/pdfs/GMD-1821-172.pdf#page=6","Abrir facsímil")</f>
        <v>Abrir facsímil</v>
      </c>
      <c r="K1116" s="3" t="s">
        <v>23</v>
      </c>
    </row>
    <row r="1117" spans="1:11" ht="42" customHeight="1">
      <c r="A1117" s="2" t="s">
        <v>2517</v>
      </c>
      <c r="B1117" s="2" t="s">
        <v>2518</v>
      </c>
      <c r="C1117" s="2" t="s">
        <v>40</v>
      </c>
      <c r="D1117" s="2" t="s">
        <v>41</v>
      </c>
      <c r="E1117" s="5">
        <v>-28666</v>
      </c>
      <c r="F1117" s="3" t="s">
        <v>1263</v>
      </c>
      <c r="G1117" s="3" t="s">
        <v>88</v>
      </c>
      <c r="H1117" s="2" t="s">
        <v>21</v>
      </c>
      <c r="I1117" s="2" t="s">
        <v>2526</v>
      </c>
      <c r="J1117" s="3" t="str">
        <f>HYPERLINK("https://www.boe.es/gazeta/dias/1821/07/06/pdfs/GMD-1821-190.pdf#page=4","Abrir facsímil")</f>
        <v>Abrir facsímil</v>
      </c>
      <c r="K1117" s="3" t="s">
        <v>23</v>
      </c>
    </row>
    <row r="1118" spans="1:11" ht="42" customHeight="1">
      <c r="A1118" s="2" t="s">
        <v>2517</v>
      </c>
      <c r="B1118" s="2" t="s">
        <v>2518</v>
      </c>
      <c r="C1118" s="2" t="s">
        <v>17</v>
      </c>
      <c r="D1118" s="2" t="s">
        <v>18</v>
      </c>
      <c r="E1118" s="5">
        <v>-28665</v>
      </c>
      <c r="F1118" s="3" t="s">
        <v>789</v>
      </c>
      <c r="G1118" s="3" t="s">
        <v>20</v>
      </c>
      <c r="H1118" s="2" t="s">
        <v>21</v>
      </c>
      <c r="I1118" s="2" t="s">
        <v>2527</v>
      </c>
      <c r="J1118" s="3" t="str">
        <f>HYPERLINK("https://www.boe.es/gazeta/dias/1821/07/07/pdfs/GMD-1821-191.pdf#page=3","Abrir facsímil")</f>
        <v>Abrir facsímil</v>
      </c>
      <c r="K1118" s="3" t="s">
        <v>23</v>
      </c>
    </row>
    <row r="1119" spans="1:11" ht="42" customHeight="1">
      <c r="A1119" s="2" t="s">
        <v>2517</v>
      </c>
      <c r="B1119" s="2" t="s">
        <v>2518</v>
      </c>
      <c r="C1119" s="2" t="s">
        <v>35</v>
      </c>
      <c r="D1119" s="2" t="s">
        <v>27</v>
      </c>
      <c r="E1119" s="5">
        <v>-28658</v>
      </c>
      <c r="F1119" s="3" t="s">
        <v>2528</v>
      </c>
      <c r="G1119" s="3" t="s">
        <v>88</v>
      </c>
      <c r="H1119" s="2" t="s">
        <v>21</v>
      </c>
      <c r="I1119" s="2" t="s">
        <v>2529</v>
      </c>
      <c r="J1119" s="3" t="str">
        <f>HYPERLINK("https://www.boe.es/gazeta/dias/1821/07/14/pdfs/GMD-1821-199.pdf#page=4","Abrir facsímil")</f>
        <v>Abrir facsímil</v>
      </c>
      <c r="K1119" s="3" t="s">
        <v>23</v>
      </c>
    </row>
    <row r="1120" spans="1:11" ht="42" customHeight="1">
      <c r="A1120" s="2" t="s">
        <v>2517</v>
      </c>
      <c r="B1120" s="2" t="s">
        <v>2518</v>
      </c>
      <c r="C1120" s="2" t="s">
        <v>70</v>
      </c>
      <c r="D1120" s="2" t="s">
        <v>27</v>
      </c>
      <c r="E1120" s="5">
        <v>-28655</v>
      </c>
      <c r="F1120" s="3" t="s">
        <v>2530</v>
      </c>
      <c r="G1120" s="3" t="s">
        <v>88</v>
      </c>
      <c r="H1120" s="2" t="s">
        <v>21</v>
      </c>
      <c r="I1120" s="2" t="s">
        <v>2531</v>
      </c>
      <c r="J1120" s="3" t="str">
        <f>HYPERLINK("https://www.boe.es/gazeta/dias/1821/07/17/pdfs/GMD-1821-202.pdf#page=4","Abrir facsímil")</f>
        <v>Abrir facsímil</v>
      </c>
      <c r="K1120" s="3" t="s">
        <v>23</v>
      </c>
    </row>
    <row r="1121" spans="1:11" ht="42" customHeight="1">
      <c r="A1121" s="2" t="s">
        <v>2517</v>
      </c>
      <c r="B1121" s="2" t="s">
        <v>2518</v>
      </c>
      <c r="C1121" s="2" t="s">
        <v>26</v>
      </c>
      <c r="D1121" s="2" t="s">
        <v>27</v>
      </c>
      <c r="E1121" s="5">
        <v>-28640</v>
      </c>
      <c r="F1121" s="3" t="s">
        <v>1590</v>
      </c>
      <c r="G1121" s="3" t="s">
        <v>162</v>
      </c>
      <c r="H1121" s="2" t="s">
        <v>21</v>
      </c>
      <c r="I1121" s="2" t="s">
        <v>2532</v>
      </c>
      <c r="J1121" s="3" t="str">
        <f>HYPERLINK("https://www.boe.es/gazeta/dias/1821/08/01/pdfs/GMD-1821-217.pdf#page=5","Abrir facsímil")</f>
        <v>Abrir facsímil</v>
      </c>
      <c r="K1121" s="3" t="s">
        <v>23</v>
      </c>
    </row>
    <row r="1122" spans="1:11" ht="42" customHeight="1">
      <c r="A1122" s="2" t="s">
        <v>2517</v>
      </c>
      <c r="B1122" s="2" t="s">
        <v>2518</v>
      </c>
      <c r="C1122" s="2" t="s">
        <v>174</v>
      </c>
      <c r="D1122" s="2" t="s">
        <v>27</v>
      </c>
      <c r="E1122" s="5">
        <v>-28634</v>
      </c>
      <c r="F1122" s="3" t="s">
        <v>2533</v>
      </c>
      <c r="G1122" s="3" t="s">
        <v>88</v>
      </c>
      <c r="H1122" s="2" t="s">
        <v>21</v>
      </c>
      <c r="I1122" s="2" t="s">
        <v>2534</v>
      </c>
      <c r="J1122" s="3" t="str">
        <f>HYPERLINK("https://www.boe.es/gazeta/dias/1821/08/07/pdfs/GMD-1821-223.pdf#page=4","Abrir facsímil")</f>
        <v>Abrir facsímil</v>
      </c>
      <c r="K1122" s="3" t="s">
        <v>23</v>
      </c>
    </row>
    <row r="1123" spans="1:11" ht="42" customHeight="1">
      <c r="A1123" s="2" t="s">
        <v>2517</v>
      </c>
      <c r="B1123" s="2" t="s">
        <v>2518</v>
      </c>
      <c r="C1123" s="2" t="s">
        <v>17</v>
      </c>
      <c r="D1123" s="2" t="s">
        <v>18</v>
      </c>
      <c r="E1123" s="5">
        <v>-28616</v>
      </c>
      <c r="F1123" s="3" t="s">
        <v>1912</v>
      </c>
      <c r="G1123" s="3" t="s">
        <v>1913</v>
      </c>
      <c r="H1123" s="2" t="s">
        <v>21</v>
      </c>
      <c r="I1123" s="2" t="s">
        <v>2535</v>
      </c>
      <c r="J1123" s="3" t="str">
        <f>HYPERLINK("https://www.boe.es/gazeta/dias/1821/08/25/pdfs/GMD-1821-242.pdf#page=3","Abrir facsímil")</f>
        <v>Abrir facsímil</v>
      </c>
      <c r="K1123" s="3" t="s">
        <v>23</v>
      </c>
    </row>
    <row r="1124" spans="1:11" ht="42" customHeight="1">
      <c r="A1124" s="2" t="s">
        <v>2536</v>
      </c>
      <c r="B1124" s="2" t="s">
        <v>2537</v>
      </c>
      <c r="C1124" s="2" t="s">
        <v>17</v>
      </c>
      <c r="D1124" s="2" t="s">
        <v>18</v>
      </c>
      <c r="E1124" s="5">
        <v>-28548</v>
      </c>
      <c r="F1124" s="3" t="s">
        <v>782</v>
      </c>
      <c r="G1124" s="3" t="s">
        <v>162</v>
      </c>
      <c r="H1124" s="2" t="s">
        <v>30</v>
      </c>
      <c r="I1124" s="2" t="s">
        <v>2538</v>
      </c>
      <c r="J1124" s="3" t="str">
        <f>HYPERLINK("https://www.boe.es/gazeta/dias/1821/11/01/pdfs/GMD-1821-311.pdf#page=5","Abrir facsímil")</f>
        <v>Abrir facsímil</v>
      </c>
      <c r="K1124" s="3" t="s">
        <v>32</v>
      </c>
    </row>
    <row r="1125" spans="1:11" ht="42" customHeight="1">
      <c r="A1125" s="2" t="s">
        <v>2539</v>
      </c>
      <c r="B1125" s="2" t="s">
        <v>2540</v>
      </c>
      <c r="C1125" s="2" t="s">
        <v>174</v>
      </c>
      <c r="D1125" s="2" t="s">
        <v>27</v>
      </c>
      <c r="E1125" s="5">
        <v>-28810</v>
      </c>
      <c r="F1125" s="3" t="s">
        <v>308</v>
      </c>
      <c r="G1125" s="3" t="s">
        <v>88</v>
      </c>
      <c r="H1125" s="2" t="s">
        <v>21</v>
      </c>
      <c r="I1125" s="2" t="s">
        <v>2541</v>
      </c>
      <c r="J1125" s="3" t="str">
        <f>HYPERLINK("https://www.boe.es/gazeta/dias/1821/02/12/pdfs/GGB-1821-43.pdf#page=4","Abrir facsímil")</f>
        <v>Abrir facsímil</v>
      </c>
      <c r="K1125" s="3" t="s">
        <v>23</v>
      </c>
    </row>
    <row r="1126" spans="1:11" ht="42" customHeight="1">
      <c r="A1126" s="2" t="s">
        <v>2539</v>
      </c>
      <c r="B1126" s="2" t="s">
        <v>2540</v>
      </c>
      <c r="C1126" s="2" t="s">
        <v>40</v>
      </c>
      <c r="D1126" s="2" t="s">
        <v>41</v>
      </c>
      <c r="E1126" s="5">
        <v>-28531</v>
      </c>
      <c r="F1126" s="3" t="s">
        <v>365</v>
      </c>
      <c r="G1126" s="3" t="s">
        <v>20</v>
      </c>
      <c r="H1126" s="2" t="s">
        <v>21</v>
      </c>
      <c r="I1126" s="2" t="s">
        <v>2542</v>
      </c>
      <c r="J1126" s="3" t="str">
        <f>HYPERLINK("https://www.boe.es/gazeta/dias/1821/11/18/pdfs/GMD-1821-329.pdf#page=3","Abrir facsímil")</f>
        <v>Abrir facsímil</v>
      </c>
      <c r="K1126" s="3" t="s">
        <v>23</v>
      </c>
    </row>
    <row r="1127" spans="1:11" ht="42" customHeight="1">
      <c r="A1127" s="2" t="s">
        <v>2543</v>
      </c>
      <c r="B1127" s="2" t="s">
        <v>2544</v>
      </c>
      <c r="C1127" s="2" t="s">
        <v>17</v>
      </c>
      <c r="D1127" s="2" t="s">
        <v>18</v>
      </c>
      <c r="E1127" s="5">
        <v>-28606</v>
      </c>
      <c r="F1127" s="3" t="s">
        <v>1799</v>
      </c>
      <c r="G1127" s="3" t="s">
        <v>88</v>
      </c>
      <c r="H1127" s="2" t="s">
        <v>21</v>
      </c>
      <c r="I1127" s="2" t="s">
        <v>2545</v>
      </c>
      <c r="J1127" s="3" t="str">
        <f>HYPERLINK("https://www.boe.es/gazeta/dias/1821/09/04/pdfs/GMD-1821-252.pdf#page=4","Abrir facsímil")</f>
        <v>Abrir facsímil</v>
      </c>
      <c r="K1127" s="3" t="s">
        <v>23</v>
      </c>
    </row>
    <row r="1128" spans="1:11" ht="42" customHeight="1">
      <c r="A1128" s="2" t="s">
        <v>2546</v>
      </c>
      <c r="B1128" s="2" t="s">
        <v>2547</v>
      </c>
      <c r="C1128" s="2" t="s">
        <v>17</v>
      </c>
      <c r="D1128" s="2" t="s">
        <v>18</v>
      </c>
      <c r="E1128" s="5">
        <v>-28547</v>
      </c>
      <c r="F1128" s="3" t="s">
        <v>247</v>
      </c>
      <c r="G1128" s="3" t="s">
        <v>248</v>
      </c>
      <c r="H1128" s="2" t="s">
        <v>21</v>
      </c>
      <c r="I1128" s="2" t="s">
        <v>2548</v>
      </c>
      <c r="J1128" s="3" t="str">
        <f>HYPERLINK("https://www.boe.es/gazeta/dias/1821/11/02/pdfs/GMD-1821-312.pdf#page=2","Abrir facsímil")</f>
        <v>Abrir facsímil</v>
      </c>
      <c r="K1128" s="3" t="s">
        <v>23</v>
      </c>
    </row>
    <row r="1129" spans="1:11" ht="42" customHeight="1">
      <c r="A1129" s="2" t="s">
        <v>2549</v>
      </c>
      <c r="B1129" s="2" t="s">
        <v>2549</v>
      </c>
      <c r="C1129" s="2" t="s">
        <v>40</v>
      </c>
      <c r="D1129" s="2" t="s">
        <v>41</v>
      </c>
      <c r="E1129" s="5">
        <v>-28595</v>
      </c>
      <c r="F1129" s="3" t="s">
        <v>1621</v>
      </c>
      <c r="G1129" s="3" t="s">
        <v>20</v>
      </c>
      <c r="H1129" s="2" t="s">
        <v>21</v>
      </c>
      <c r="I1129" s="2" t="s">
        <v>2550</v>
      </c>
      <c r="J1129" s="3" t="str">
        <f>HYPERLINK("https://www.boe.es/gazeta/dias/1821/09/15/pdfs/GMD-1821-263.pdf#page=3","Abrir facsímil")</f>
        <v>Abrir facsímil</v>
      </c>
      <c r="K1129" s="3" t="s">
        <v>23</v>
      </c>
    </row>
    <row r="1130" spans="1:11" ht="42" customHeight="1">
      <c r="A1130" s="2" t="s">
        <v>2551</v>
      </c>
      <c r="B1130" s="2" t="s">
        <v>2552</v>
      </c>
      <c r="C1130" s="2" t="s">
        <v>40</v>
      </c>
      <c r="D1130" s="2" t="s">
        <v>41</v>
      </c>
      <c r="E1130" s="5">
        <v>-28492</v>
      </c>
      <c r="F1130" s="3" t="s">
        <v>1550</v>
      </c>
      <c r="G1130" s="3" t="s">
        <v>88</v>
      </c>
      <c r="H1130" s="2" t="s">
        <v>21</v>
      </c>
      <c r="I1130" s="2" t="s">
        <v>2553</v>
      </c>
      <c r="J1130" s="3" t="str">
        <f>HYPERLINK("https://www.boe.es/gazeta/dias/1821/12/27/pdfs/GMD-1821-370.pdf#page=4","Abrir facsímil")</f>
        <v>Abrir facsímil</v>
      </c>
      <c r="K1130" s="3" t="s">
        <v>23</v>
      </c>
    </row>
    <row r="1131" spans="1:11" ht="42" customHeight="1">
      <c r="A1131" s="2" t="s">
        <v>2554</v>
      </c>
      <c r="B1131" s="2" t="s">
        <v>2555</v>
      </c>
      <c r="C1131" s="2" t="s">
        <v>35</v>
      </c>
      <c r="D1131" s="2" t="s">
        <v>27</v>
      </c>
      <c r="E1131" s="5">
        <v>-28725</v>
      </c>
      <c r="F1131" s="3" t="s">
        <v>440</v>
      </c>
      <c r="G1131" s="3" t="s">
        <v>88</v>
      </c>
      <c r="H1131" s="2" t="s">
        <v>21</v>
      </c>
      <c r="I1131" s="2" t="s">
        <v>2556</v>
      </c>
      <c r="J1131" s="3" t="str">
        <f>HYPERLINK("https://www.boe.es/gazeta/dias/1821/05/08/pdfs/GMD-1821-130.pdf#page=4","Abrir facsímil")</f>
        <v>Abrir facsímil</v>
      </c>
      <c r="K1131" s="3" t="s">
        <v>23</v>
      </c>
    </row>
    <row r="1132" spans="1:11" ht="42" customHeight="1">
      <c r="A1132" s="2" t="s">
        <v>2557</v>
      </c>
      <c r="B1132" s="2" t="s">
        <v>2558</v>
      </c>
      <c r="C1132" s="2" t="s">
        <v>17</v>
      </c>
      <c r="D1132" s="2" t="s">
        <v>18</v>
      </c>
      <c r="E1132" s="5">
        <v>-28788</v>
      </c>
      <c r="F1132" s="3" t="s">
        <v>996</v>
      </c>
      <c r="G1132" s="3" t="s">
        <v>20</v>
      </c>
      <c r="H1132" s="2" t="s">
        <v>21</v>
      </c>
      <c r="I1132" s="2" t="s">
        <v>2559</v>
      </c>
      <c r="J1132" s="3" t="str">
        <f>HYPERLINK("https://www.boe.es/gazeta/dias/1821/03/06/pdfs/GGB-1821-65.pdf#page=3","Abrir facsímil")</f>
        <v>Abrir facsímil</v>
      </c>
      <c r="K1132" s="3" t="s">
        <v>23</v>
      </c>
    </row>
    <row r="1133" spans="1:11" ht="42" customHeight="1">
      <c r="A1133" s="2" t="s">
        <v>2560</v>
      </c>
      <c r="B1133" s="2" t="s">
        <v>2560</v>
      </c>
      <c r="C1133" s="2" t="s">
        <v>40</v>
      </c>
      <c r="D1133" s="2" t="s">
        <v>41</v>
      </c>
      <c r="E1133" s="5">
        <v>-28573</v>
      </c>
      <c r="F1133" s="3" t="s">
        <v>19</v>
      </c>
      <c r="G1133" s="3" t="s">
        <v>88</v>
      </c>
      <c r="H1133" s="2" t="s">
        <v>21</v>
      </c>
      <c r="I1133" s="2" t="s">
        <v>2561</v>
      </c>
      <c r="J1133" s="3" t="str">
        <f>HYPERLINK("https://www.boe.es/gazeta/dias/1821/10/07/pdfs/GMD-1821-286.pdf#page=4","Abrir facsímil")</f>
        <v>Abrir facsímil</v>
      </c>
      <c r="K1133" s="3" t="s">
        <v>23</v>
      </c>
    </row>
    <row r="1134" spans="1:11" ht="42" customHeight="1">
      <c r="A1134" s="2" t="s">
        <v>2562</v>
      </c>
      <c r="B1134" s="2" t="s">
        <v>2562</v>
      </c>
      <c r="C1134" s="2" t="s">
        <v>40</v>
      </c>
      <c r="D1134" s="2" t="s">
        <v>41</v>
      </c>
      <c r="E1134" s="5">
        <v>-28677</v>
      </c>
      <c r="F1134" s="3" t="s">
        <v>361</v>
      </c>
      <c r="G1134" s="3" t="s">
        <v>88</v>
      </c>
      <c r="H1134" s="2" t="s">
        <v>21</v>
      </c>
      <c r="I1134" s="2" t="s">
        <v>2563</v>
      </c>
      <c r="J1134" s="3" t="str">
        <f>HYPERLINK("https://www.boe.es/gazeta/dias/1821/06/25/pdfs/GMD-1821-178.pdf#page=4","Abrir facsímil")</f>
        <v>Abrir facsímil</v>
      </c>
      <c r="K1134" s="3" t="s">
        <v>23</v>
      </c>
    </row>
    <row r="1135" spans="1:11" ht="42" customHeight="1">
      <c r="A1135" s="2" t="s">
        <v>2564</v>
      </c>
      <c r="B1135" s="2" t="s">
        <v>2565</v>
      </c>
      <c r="C1135" s="2" t="s">
        <v>17</v>
      </c>
      <c r="D1135" s="2" t="s">
        <v>18</v>
      </c>
      <c r="E1135" s="5">
        <v>-28813</v>
      </c>
      <c r="F1135" s="3" t="s">
        <v>268</v>
      </c>
      <c r="G1135" s="3" t="s">
        <v>20</v>
      </c>
      <c r="H1135" s="2" t="s">
        <v>21</v>
      </c>
      <c r="I1135" s="2" t="s">
        <v>2566</v>
      </c>
      <c r="J1135" s="3" t="str">
        <f>HYPERLINK("https://www.boe.es/gazeta/dias/1821/02/09/pdfs/GGB-1821-40.pdf#page=3","Abrir facsímil")</f>
        <v>Abrir facsímil</v>
      </c>
      <c r="K1135" s="3" t="s">
        <v>23</v>
      </c>
    </row>
    <row r="1136" spans="1:11" ht="42" customHeight="1">
      <c r="A1136" s="2" t="s">
        <v>2567</v>
      </c>
      <c r="B1136" s="2" t="s">
        <v>2568</v>
      </c>
      <c r="C1136" s="2" t="s">
        <v>40</v>
      </c>
      <c r="D1136" s="2" t="s">
        <v>41</v>
      </c>
      <c r="E1136" s="5">
        <v>-28667</v>
      </c>
      <c r="F1136" s="3" t="s">
        <v>107</v>
      </c>
      <c r="G1136" s="3" t="s">
        <v>52</v>
      </c>
      <c r="H1136" s="2" t="s">
        <v>21</v>
      </c>
      <c r="I1136" s="2" t="s">
        <v>2569</v>
      </c>
      <c r="J1136" s="3" t="str">
        <f>HYPERLINK("https://www.boe.es/gazeta/dias/1821/07/05/pdfs/GMD-1821-189.pdf#page=2","Abrir facsímil")</f>
        <v>Abrir facsímil</v>
      </c>
      <c r="K1136" s="3" t="s">
        <v>23</v>
      </c>
    </row>
    <row r="1137" spans="1:11" ht="42" customHeight="1">
      <c r="A1137" s="2" t="s">
        <v>2570</v>
      </c>
      <c r="B1137" s="2" t="s">
        <v>2571</v>
      </c>
      <c r="C1137" s="2" t="s">
        <v>26</v>
      </c>
      <c r="D1137" s="2" t="s">
        <v>27</v>
      </c>
      <c r="E1137" s="5">
        <v>-28667</v>
      </c>
      <c r="F1137" s="3" t="s">
        <v>107</v>
      </c>
      <c r="G1137" s="3" t="s">
        <v>52</v>
      </c>
      <c r="H1137" s="2" t="s">
        <v>21</v>
      </c>
      <c r="I1137" s="2" t="s">
        <v>2572</v>
      </c>
      <c r="J1137" s="3" t="str">
        <f>HYPERLINK("https://www.boe.es/gazeta/dias/1821/07/05/pdfs/GMD-1821-189.pdf#page=2","Abrir facsímil")</f>
        <v>Abrir facsímil</v>
      </c>
      <c r="K1137" s="3" t="s">
        <v>23</v>
      </c>
    </row>
    <row r="1138" spans="1:11" ht="42" customHeight="1">
      <c r="A1138" s="2" t="s">
        <v>2573</v>
      </c>
      <c r="B1138" s="2" t="s">
        <v>2574</v>
      </c>
      <c r="C1138" s="2" t="s">
        <v>26</v>
      </c>
      <c r="D1138" s="2" t="s">
        <v>27</v>
      </c>
      <c r="E1138" s="5">
        <v>-28640</v>
      </c>
      <c r="F1138" s="3" t="s">
        <v>1590</v>
      </c>
      <c r="G1138" s="3" t="s">
        <v>162</v>
      </c>
      <c r="H1138" s="2" t="s">
        <v>21</v>
      </c>
      <c r="I1138" s="2" t="s">
        <v>2575</v>
      </c>
      <c r="J1138" s="3" t="str">
        <f>HYPERLINK("https://www.boe.es/gazeta/dias/1821/08/01/pdfs/GMD-1821-217.pdf#page=5","Abrir facsímil")</f>
        <v>Abrir facsímil</v>
      </c>
      <c r="K1138" s="3" t="s">
        <v>23</v>
      </c>
    </row>
    <row r="1139" spans="1:11" ht="42" customHeight="1">
      <c r="A1139" s="2" t="s">
        <v>2576</v>
      </c>
      <c r="B1139" s="2" t="s">
        <v>2577</v>
      </c>
      <c r="C1139" s="2" t="s">
        <v>17</v>
      </c>
      <c r="D1139" s="2" t="s">
        <v>18</v>
      </c>
      <c r="E1139" s="5">
        <v>-28793</v>
      </c>
      <c r="F1139" s="3" t="s">
        <v>157</v>
      </c>
      <c r="G1139" s="3" t="s">
        <v>29</v>
      </c>
      <c r="H1139" s="2" t="s">
        <v>21</v>
      </c>
      <c r="I1139" s="2" t="s">
        <v>2578</v>
      </c>
      <c r="J1139" s="3" t="str">
        <f>HYPERLINK("https://www.boe.es/gazeta/dias/1821/03/01/pdfs/GGB-1821-60.pdf#page=6","Abrir facsímil")</f>
        <v>Abrir facsímil</v>
      </c>
      <c r="K1139" s="3" t="s">
        <v>23</v>
      </c>
    </row>
    <row r="1140" spans="1:11" ht="42" customHeight="1">
      <c r="A1140" s="2" t="s">
        <v>2576</v>
      </c>
      <c r="B1140" s="2" t="s">
        <v>2577</v>
      </c>
      <c r="C1140" s="2" t="s">
        <v>17</v>
      </c>
      <c r="D1140" s="2" t="s">
        <v>18</v>
      </c>
      <c r="E1140" s="5">
        <v>-28645</v>
      </c>
      <c r="F1140" s="3" t="s">
        <v>2579</v>
      </c>
      <c r="G1140" s="3" t="s">
        <v>88</v>
      </c>
      <c r="H1140" s="2" t="s">
        <v>21</v>
      </c>
      <c r="I1140" s="2" t="s">
        <v>2580</v>
      </c>
      <c r="J1140" s="3" t="str">
        <f>HYPERLINK("https://www.boe.es/gazeta/dias/1821/07/27/pdfs/GMD-1821-212.pdf#page=4","Abrir facsímil")</f>
        <v>Abrir facsímil</v>
      </c>
      <c r="K1140" s="3" t="s">
        <v>23</v>
      </c>
    </row>
    <row r="1141" spans="1:11" ht="42" customHeight="1">
      <c r="A1141" s="2" t="s">
        <v>2581</v>
      </c>
      <c r="B1141" s="2" t="s">
        <v>2582</v>
      </c>
      <c r="C1141" s="2" t="s">
        <v>70</v>
      </c>
      <c r="D1141" s="2" t="s">
        <v>27</v>
      </c>
      <c r="E1141" s="5">
        <v>-28550</v>
      </c>
      <c r="F1141" s="3" t="s">
        <v>546</v>
      </c>
      <c r="G1141" s="3" t="s">
        <v>29</v>
      </c>
      <c r="H1141" s="2" t="s">
        <v>21</v>
      </c>
      <c r="I1141" s="2" t="s">
        <v>2583</v>
      </c>
      <c r="J1141" s="3" t="str">
        <f>HYPERLINK("https://www.boe.es/gazeta/dias/1821/10/30/pdfs/GMD-1821-309.pdf#page=6","Abrir facsímil")</f>
        <v>Abrir facsímil</v>
      </c>
      <c r="K1141" s="3" t="s">
        <v>23</v>
      </c>
    </row>
    <row r="1142" spans="1:11" ht="42" customHeight="1">
      <c r="A1142" s="2" t="s">
        <v>2584</v>
      </c>
      <c r="B1142" s="2" t="s">
        <v>2585</v>
      </c>
      <c r="C1142" s="2" t="s">
        <v>40</v>
      </c>
      <c r="D1142" s="2" t="s">
        <v>41</v>
      </c>
      <c r="E1142" s="5">
        <v>-28813</v>
      </c>
      <c r="F1142" s="3" t="s">
        <v>268</v>
      </c>
      <c r="G1142" s="3" t="s">
        <v>20</v>
      </c>
      <c r="H1142" s="2" t="s">
        <v>21</v>
      </c>
      <c r="I1142" s="2" t="s">
        <v>2586</v>
      </c>
      <c r="J1142" s="3" t="str">
        <f>HYPERLINK("https://www.boe.es/gazeta/dias/1821/02/09/pdfs/GGB-1821-40.pdf#page=3","Abrir facsímil")</f>
        <v>Abrir facsímil</v>
      </c>
      <c r="K1142" s="3" t="s">
        <v>23</v>
      </c>
    </row>
    <row r="1143" spans="1:11" ht="42" customHeight="1">
      <c r="A1143" s="2" t="s">
        <v>2587</v>
      </c>
      <c r="B1143" s="2" t="s">
        <v>2588</v>
      </c>
      <c r="C1143" s="2" t="s">
        <v>114</v>
      </c>
      <c r="D1143" s="2" t="s">
        <v>27</v>
      </c>
      <c r="E1143" s="5">
        <v>-28641</v>
      </c>
      <c r="F1143" s="3" t="s">
        <v>398</v>
      </c>
      <c r="G1143" s="3" t="s">
        <v>88</v>
      </c>
      <c r="H1143" s="2" t="s">
        <v>21</v>
      </c>
      <c r="I1143" s="2" t="s">
        <v>2589</v>
      </c>
      <c r="J1143" s="3" t="str">
        <f>HYPERLINK("https://www.boe.es/gazeta/dias/1821/07/31/pdfs/GMD-1821-216.pdf#page=4","Abrir facsímil")</f>
        <v>Abrir facsímil</v>
      </c>
      <c r="K1143" s="3" t="s">
        <v>23</v>
      </c>
    </row>
    <row r="1144" spans="1:11" ht="42" customHeight="1">
      <c r="A1144" s="2" t="s">
        <v>2590</v>
      </c>
      <c r="B1144" s="2" t="s">
        <v>2591</v>
      </c>
      <c r="C1144" s="2" t="s">
        <v>114</v>
      </c>
      <c r="D1144" s="2" t="s">
        <v>27</v>
      </c>
      <c r="E1144" s="5">
        <v>-28560</v>
      </c>
      <c r="F1144" s="3" t="s">
        <v>363</v>
      </c>
      <c r="G1144" s="3" t="s">
        <v>162</v>
      </c>
      <c r="H1144" s="2" t="s">
        <v>21</v>
      </c>
      <c r="I1144" s="2" t="s">
        <v>2592</v>
      </c>
      <c r="J1144" s="3" t="str">
        <f>HYPERLINK("https://www.boe.es/gazeta/dias/1821/10/20/pdfs/GMD-1821-299.pdf#page=5","Abrir facsímil")</f>
        <v>Abrir facsímil</v>
      </c>
      <c r="K1144" s="3" t="s">
        <v>23</v>
      </c>
    </row>
    <row r="1145" spans="1:11" ht="42" customHeight="1">
      <c r="A1145" s="2" t="s">
        <v>2593</v>
      </c>
      <c r="B1145" s="2" t="s">
        <v>2594</v>
      </c>
      <c r="C1145" s="2" t="s">
        <v>26</v>
      </c>
      <c r="D1145" s="2" t="s">
        <v>27</v>
      </c>
      <c r="E1145" s="5">
        <v>-28547</v>
      </c>
      <c r="F1145" s="3" t="s">
        <v>247</v>
      </c>
      <c r="G1145" s="3" t="s">
        <v>248</v>
      </c>
      <c r="H1145" s="2" t="s">
        <v>21</v>
      </c>
      <c r="I1145" s="2" t="s">
        <v>2595</v>
      </c>
      <c r="J1145" s="3" t="str">
        <f>HYPERLINK("https://www.boe.es/gazeta/dias/1821/11/02/pdfs/GMD-1821-312.pdf#page=2","Abrir facsímil")</f>
        <v>Abrir facsímil</v>
      </c>
      <c r="K1145" s="3" t="s">
        <v>23</v>
      </c>
    </row>
    <row r="1146" spans="1:11" ht="42" customHeight="1">
      <c r="A1146" s="2" t="s">
        <v>2596</v>
      </c>
      <c r="B1146" s="2" t="s">
        <v>2597</v>
      </c>
      <c r="C1146" s="2" t="s">
        <v>40</v>
      </c>
      <c r="D1146" s="2" t="s">
        <v>41</v>
      </c>
      <c r="E1146" s="5">
        <v>-28766</v>
      </c>
      <c r="F1146" s="3" t="s">
        <v>1481</v>
      </c>
      <c r="G1146" s="3" t="s">
        <v>88</v>
      </c>
      <c r="H1146" s="2" t="s">
        <v>21</v>
      </c>
      <c r="I1146" s="2" t="s">
        <v>2598</v>
      </c>
      <c r="J1146" s="3" t="str">
        <f>HYPERLINK("https://www.boe.es/gazeta/dias/1821/03/28/pdfs/GMD-1821-88.pdf#page=4","Abrir facsímil")</f>
        <v>Abrir facsímil</v>
      </c>
      <c r="K1146" s="3" t="s">
        <v>23</v>
      </c>
    </row>
    <row r="1147" spans="1:11" ht="42" customHeight="1">
      <c r="A1147" s="2" t="s">
        <v>2599</v>
      </c>
      <c r="B1147" s="2" t="s">
        <v>2600</v>
      </c>
      <c r="C1147" s="2" t="s">
        <v>17</v>
      </c>
      <c r="D1147" s="2" t="s">
        <v>18</v>
      </c>
      <c r="E1147" s="5">
        <v>-28633</v>
      </c>
      <c r="F1147" s="3" t="s">
        <v>2601</v>
      </c>
      <c r="G1147" s="3" t="s">
        <v>20</v>
      </c>
      <c r="H1147" s="2" t="s">
        <v>21</v>
      </c>
      <c r="I1147" s="2" t="s">
        <v>2602</v>
      </c>
      <c r="J1147" s="3" t="str">
        <f>HYPERLINK("https://www.boe.es/gazeta/dias/1821/08/08/pdfs/GMD-1821-224.pdf#page=3","Abrir facsímil")</f>
        <v>Abrir facsímil</v>
      </c>
      <c r="K1147" s="3" t="s">
        <v>23</v>
      </c>
    </row>
    <row r="1148" spans="1:11" ht="42" customHeight="1">
      <c r="A1148" s="2" t="s">
        <v>2603</v>
      </c>
      <c r="B1148" s="2" t="s">
        <v>2604</v>
      </c>
      <c r="C1148" s="2" t="s">
        <v>26</v>
      </c>
      <c r="D1148" s="2" t="s">
        <v>27</v>
      </c>
      <c r="E1148" s="5">
        <v>-28574</v>
      </c>
      <c r="F1148" s="3" t="s">
        <v>779</v>
      </c>
      <c r="G1148" s="3" t="s">
        <v>333</v>
      </c>
      <c r="H1148" s="2" t="s">
        <v>21</v>
      </c>
      <c r="I1148" s="2" t="s">
        <v>2605</v>
      </c>
      <c r="J1148" s="3" t="str">
        <f>HYPERLINK("https://www.boe.es/gazeta/dias/1821/10/06/pdfs/GMD-1821-285.pdf#page=8","Abrir facsímil")</f>
        <v>Abrir facsímil</v>
      </c>
      <c r="K1148" s="3" t="s">
        <v>23</v>
      </c>
    </row>
    <row r="1149" spans="1:11" ht="42" customHeight="1">
      <c r="A1149" s="2" t="s">
        <v>2606</v>
      </c>
      <c r="B1149" s="2" t="s">
        <v>2607</v>
      </c>
      <c r="C1149" s="2" t="s">
        <v>17</v>
      </c>
      <c r="D1149" s="2" t="s">
        <v>18</v>
      </c>
      <c r="E1149" s="5">
        <v>-28683</v>
      </c>
      <c r="F1149" s="3" t="s">
        <v>332</v>
      </c>
      <c r="G1149" s="3" t="s">
        <v>29</v>
      </c>
      <c r="H1149" s="2" t="s">
        <v>21</v>
      </c>
      <c r="I1149" s="2" t="s">
        <v>2608</v>
      </c>
      <c r="J1149" s="3" t="str">
        <f>HYPERLINK("https://www.boe.es/gazeta/dias/1821/06/19/pdfs/GMD-1821-172.pdf#page=6","Abrir facsímil")</f>
        <v>Abrir facsímil</v>
      </c>
      <c r="K1149" s="3" t="s">
        <v>23</v>
      </c>
    </row>
    <row r="1150" spans="1:11" ht="42" customHeight="1">
      <c r="A1150" s="2" t="s">
        <v>2609</v>
      </c>
      <c r="B1150" s="2" t="s">
        <v>2609</v>
      </c>
      <c r="C1150" s="2" t="s">
        <v>40</v>
      </c>
      <c r="D1150" s="2" t="s">
        <v>41</v>
      </c>
      <c r="E1150" s="5">
        <v>-28812</v>
      </c>
      <c r="F1150" s="3" t="s">
        <v>2610</v>
      </c>
      <c r="G1150" s="3" t="s">
        <v>20</v>
      </c>
      <c r="H1150" s="2" t="s">
        <v>21</v>
      </c>
      <c r="I1150" s="2" t="s">
        <v>2611</v>
      </c>
      <c r="J1150" s="3" t="str">
        <f>HYPERLINK("https://www.boe.es/gazeta/dias/1821/02/10/pdfs/GGB-1821-41.pdf#page=3","Abrir facsímil")</f>
        <v>Abrir facsímil</v>
      </c>
      <c r="K1150" s="3" t="s">
        <v>23</v>
      </c>
    </row>
    <row r="1151" spans="1:11" ht="42" customHeight="1">
      <c r="A1151" s="2" t="s">
        <v>2612</v>
      </c>
      <c r="B1151" s="2" t="s">
        <v>2613</v>
      </c>
      <c r="C1151" s="2" t="s">
        <v>40</v>
      </c>
      <c r="D1151" s="2" t="s">
        <v>41</v>
      </c>
      <c r="E1151" s="5">
        <v>-28812</v>
      </c>
      <c r="F1151" s="3" t="s">
        <v>2610</v>
      </c>
      <c r="G1151" s="3" t="s">
        <v>20</v>
      </c>
      <c r="H1151" s="2" t="s">
        <v>21</v>
      </c>
      <c r="I1151" s="2" t="s">
        <v>2614</v>
      </c>
      <c r="J1151" s="3" t="str">
        <f>HYPERLINK("https://www.boe.es/gazeta/dias/1821/02/10/pdfs/GGB-1821-41.pdf#page=3","Abrir facsímil")</f>
        <v>Abrir facsímil</v>
      </c>
      <c r="K1151" s="3" t="s">
        <v>23</v>
      </c>
    </row>
    <row r="1152" spans="1:11" ht="42" customHeight="1">
      <c r="A1152" s="2" t="s">
        <v>2615</v>
      </c>
      <c r="B1152" s="2" t="s">
        <v>2616</v>
      </c>
      <c r="C1152" s="2" t="s">
        <v>17</v>
      </c>
      <c r="D1152" s="2" t="s">
        <v>18</v>
      </c>
      <c r="E1152" s="5">
        <v>-28741</v>
      </c>
      <c r="F1152" s="3" t="s">
        <v>1841</v>
      </c>
      <c r="G1152" s="3" t="s">
        <v>88</v>
      </c>
      <c r="H1152" s="2" t="s">
        <v>21</v>
      </c>
      <c r="I1152" s="2" t="s">
        <v>2617</v>
      </c>
      <c r="J1152" s="3" t="str">
        <f>HYPERLINK("https://www.boe.es/gazeta/dias/1821/04/22/pdfs/GMD-1821-114.pdf#page=4","Abrir facsímil")</f>
        <v>Abrir facsímil</v>
      </c>
      <c r="K1152" s="3" t="s">
        <v>23</v>
      </c>
    </row>
    <row r="1153" spans="1:11" ht="42" customHeight="1">
      <c r="A1153" s="2" t="s">
        <v>2618</v>
      </c>
      <c r="B1153" s="2" t="s">
        <v>2619</v>
      </c>
      <c r="C1153" s="2" t="s">
        <v>26</v>
      </c>
      <c r="D1153" s="2" t="s">
        <v>27</v>
      </c>
      <c r="E1153" s="5">
        <v>-28547</v>
      </c>
      <c r="F1153" s="3" t="s">
        <v>247</v>
      </c>
      <c r="G1153" s="3" t="s">
        <v>248</v>
      </c>
      <c r="H1153" s="2" t="s">
        <v>21</v>
      </c>
      <c r="I1153" s="2" t="s">
        <v>2620</v>
      </c>
      <c r="J1153" s="3" t="str">
        <f>HYPERLINK("https://www.boe.es/gazeta/dias/1821/11/02/pdfs/GMD-1821-312.pdf#page=2","Abrir facsímil")</f>
        <v>Abrir facsímil</v>
      </c>
      <c r="K1153" s="3" t="s">
        <v>23</v>
      </c>
    </row>
    <row r="1154" spans="1:11" ht="42" customHeight="1">
      <c r="A1154" s="2" t="s">
        <v>2621</v>
      </c>
      <c r="B1154" s="2" t="s">
        <v>2622</v>
      </c>
      <c r="C1154" s="2" t="s">
        <v>40</v>
      </c>
      <c r="D1154" s="2" t="s">
        <v>41</v>
      </c>
      <c r="E1154" s="5">
        <v>-28531</v>
      </c>
      <c r="F1154" s="3" t="s">
        <v>365</v>
      </c>
      <c r="G1154" s="3" t="s">
        <v>20</v>
      </c>
      <c r="H1154" s="2" t="s">
        <v>21</v>
      </c>
      <c r="I1154" s="2" t="s">
        <v>2623</v>
      </c>
      <c r="J1154" s="3" t="str">
        <f>HYPERLINK("https://www.boe.es/gazeta/dias/1821/11/18/pdfs/GMD-1821-329.pdf#page=3","Abrir facsímil")</f>
        <v>Abrir facsímil</v>
      </c>
      <c r="K1154" s="3" t="s">
        <v>23</v>
      </c>
    </row>
    <row r="1155" spans="1:11" ht="42" customHeight="1">
      <c r="A1155" s="2" t="s">
        <v>2624</v>
      </c>
      <c r="B1155" s="2" t="s">
        <v>2624</v>
      </c>
      <c r="C1155" s="2" t="s">
        <v>26</v>
      </c>
      <c r="D1155" s="2" t="s">
        <v>27</v>
      </c>
      <c r="E1155" s="5">
        <v>-28734</v>
      </c>
      <c r="F1155" s="3" t="s">
        <v>1553</v>
      </c>
      <c r="G1155" s="3" t="s">
        <v>2625</v>
      </c>
      <c r="H1155" s="2" t="s">
        <v>21</v>
      </c>
      <c r="I1155" s="2" t="s">
        <v>2626</v>
      </c>
      <c r="J1155" s="3" t="str">
        <f>HYPERLINK("https://www.boe.es/gazeta/dias/1821/04/29/pdfs/GMD-1821-121.pdf#page=2","Abrir facsímil")</f>
        <v>Abrir facsímil</v>
      </c>
      <c r="K1155" s="3" t="s">
        <v>23</v>
      </c>
    </row>
    <row r="1156" spans="1:11" ht="42" customHeight="1">
      <c r="A1156" s="2" t="s">
        <v>2624</v>
      </c>
      <c r="B1156" s="2" t="s">
        <v>2624</v>
      </c>
      <c r="C1156" s="2" t="s">
        <v>26</v>
      </c>
      <c r="D1156" s="2" t="s">
        <v>27</v>
      </c>
      <c r="E1156" s="5">
        <v>-28733</v>
      </c>
      <c r="F1156" s="3" t="s">
        <v>1033</v>
      </c>
      <c r="G1156" s="3" t="s">
        <v>52</v>
      </c>
      <c r="H1156" s="2" t="s">
        <v>21</v>
      </c>
      <c r="I1156" s="2" t="s">
        <v>2627</v>
      </c>
      <c r="J1156" s="3" t="str">
        <f>HYPERLINK("https://www.boe.es/gazeta/dias/1821/04/30/pdfs/GMD-1821-122.pdf#page=2","Abrir facsímil")</f>
        <v>Abrir facsímil</v>
      </c>
      <c r="K1156" s="3" t="s">
        <v>23</v>
      </c>
    </row>
    <row r="1157" spans="1:11" ht="42" customHeight="1">
      <c r="A1157" s="2" t="s">
        <v>2624</v>
      </c>
      <c r="B1157" s="2" t="s">
        <v>2624</v>
      </c>
      <c r="C1157" s="2" t="s">
        <v>17</v>
      </c>
      <c r="D1157" s="2" t="s">
        <v>18</v>
      </c>
      <c r="E1157" s="5">
        <v>-28732</v>
      </c>
      <c r="F1157" s="3" t="s">
        <v>2628</v>
      </c>
      <c r="G1157" s="3" t="s">
        <v>43</v>
      </c>
      <c r="H1157" s="2" t="s">
        <v>21</v>
      </c>
      <c r="I1157" s="2" t="s">
        <v>2629</v>
      </c>
      <c r="J1157" s="3" t="str">
        <f>HYPERLINK("https://www.boe.es/gazeta/dias/1821/05/01/pdfs/GMD-1821-123.pdf#page=1","Abrir facsímil")</f>
        <v>Abrir facsímil</v>
      </c>
      <c r="K1157" s="3" t="s">
        <v>23</v>
      </c>
    </row>
    <row r="1158" spans="1:11" ht="42" customHeight="1">
      <c r="A1158" s="2" t="s">
        <v>2624</v>
      </c>
      <c r="B1158" s="2" t="s">
        <v>2624</v>
      </c>
      <c r="C1158" s="2" t="s">
        <v>26</v>
      </c>
      <c r="D1158" s="2" t="s">
        <v>27</v>
      </c>
      <c r="E1158" s="5">
        <v>-28702</v>
      </c>
      <c r="F1158" s="3" t="s">
        <v>1176</v>
      </c>
      <c r="G1158" s="3" t="s">
        <v>1177</v>
      </c>
      <c r="H1158" s="2" t="s">
        <v>21</v>
      </c>
      <c r="I1158" s="2" t="s">
        <v>2630</v>
      </c>
      <c r="J1158" s="3" t="str">
        <f>HYPERLINK("https://www.boe.es/gazeta/dias/1821/05/31/pdfs/GMD-1821-153.pdf#page=2","Abrir facsímil")</f>
        <v>Abrir facsímil</v>
      </c>
      <c r="K1158" s="3" t="s">
        <v>23</v>
      </c>
    </row>
    <row r="1159" spans="1:11" ht="42" customHeight="1">
      <c r="A1159" s="2" t="s">
        <v>2631</v>
      </c>
      <c r="B1159" s="2" t="s">
        <v>2631</v>
      </c>
      <c r="C1159" s="2" t="s">
        <v>40</v>
      </c>
      <c r="D1159" s="2" t="s">
        <v>41</v>
      </c>
      <c r="E1159" s="5">
        <v>-28783</v>
      </c>
      <c r="F1159" s="3" t="s">
        <v>198</v>
      </c>
      <c r="G1159" s="3" t="s">
        <v>52</v>
      </c>
      <c r="H1159" s="2" t="s">
        <v>21</v>
      </c>
      <c r="I1159" s="2" t="s">
        <v>2632</v>
      </c>
      <c r="J1159" s="3" t="str">
        <f>HYPERLINK("https://www.boe.es/gazeta/dias/1821/03/11/pdfs/GGB-1821-70.pdf#page=2","Abrir facsímil")</f>
        <v>Abrir facsímil</v>
      </c>
      <c r="K1159" s="3" t="s">
        <v>23</v>
      </c>
    </row>
    <row r="1160" spans="1:11" ht="42" customHeight="1">
      <c r="A1160" s="2" t="s">
        <v>2633</v>
      </c>
      <c r="B1160" s="2" t="s">
        <v>2633</v>
      </c>
      <c r="C1160" s="2" t="s">
        <v>40</v>
      </c>
      <c r="D1160" s="2" t="s">
        <v>41</v>
      </c>
      <c r="E1160" s="5">
        <v>-28598</v>
      </c>
      <c r="F1160" s="3" t="s">
        <v>1206</v>
      </c>
      <c r="G1160" s="3" t="s">
        <v>52</v>
      </c>
      <c r="H1160" s="2" t="s">
        <v>21</v>
      </c>
      <c r="I1160" s="2" t="s">
        <v>2634</v>
      </c>
      <c r="J1160" s="3" t="str">
        <f>HYPERLINK("https://www.boe.es/gazeta/dias/1821/09/12/pdfs/GMD-1821-260.pdf#page=2","Abrir facsímil")</f>
        <v>Abrir facsímil</v>
      </c>
      <c r="K1160" s="3" t="s">
        <v>23</v>
      </c>
    </row>
    <row r="1161" spans="1:11" ht="42" customHeight="1">
      <c r="A1161" s="2" t="s">
        <v>2635</v>
      </c>
      <c r="B1161" s="2" t="s">
        <v>2635</v>
      </c>
      <c r="C1161" s="2" t="s">
        <v>17</v>
      </c>
      <c r="D1161" s="2" t="s">
        <v>18</v>
      </c>
      <c r="E1161" s="5">
        <v>-28731</v>
      </c>
      <c r="F1161" s="3" t="s">
        <v>577</v>
      </c>
      <c r="G1161" s="3" t="s">
        <v>88</v>
      </c>
      <c r="H1161" s="2" t="s">
        <v>21</v>
      </c>
      <c r="I1161" s="2" t="s">
        <v>2636</v>
      </c>
      <c r="J1161" s="3" t="str">
        <f>HYPERLINK("https://www.boe.es/gazeta/dias/1821/05/02/pdfs/GMD-1821-124.pdf#page=4","Abrir facsímil")</f>
        <v>Abrir facsímil</v>
      </c>
      <c r="K1161" s="3" t="s">
        <v>23</v>
      </c>
    </row>
    <row r="1162" spans="1:11" ht="42" customHeight="1">
      <c r="A1162" s="2" t="s">
        <v>2635</v>
      </c>
      <c r="B1162" s="2" t="s">
        <v>2635</v>
      </c>
      <c r="C1162" s="2" t="s">
        <v>40</v>
      </c>
      <c r="D1162" s="2" t="s">
        <v>41</v>
      </c>
      <c r="E1162" s="5">
        <v>-28723</v>
      </c>
      <c r="F1162" s="3" t="s">
        <v>840</v>
      </c>
      <c r="G1162" s="3" t="s">
        <v>52</v>
      </c>
      <c r="H1162" s="2" t="s">
        <v>21</v>
      </c>
      <c r="I1162" s="2" t="s">
        <v>2637</v>
      </c>
      <c r="J1162" s="3" t="str">
        <f>HYPERLINK("https://www.boe.es/gazeta/dias/1821/05/10/pdfs/GMD-1821-132.pdf#page=2","Abrir facsímil")</f>
        <v>Abrir facsímil</v>
      </c>
      <c r="K1162" s="3" t="s">
        <v>23</v>
      </c>
    </row>
    <row r="1163" spans="1:11" ht="42" customHeight="1">
      <c r="A1163" s="2" t="s">
        <v>2635</v>
      </c>
      <c r="B1163" s="2" t="s">
        <v>2635</v>
      </c>
      <c r="C1163" s="2" t="s">
        <v>17</v>
      </c>
      <c r="D1163" s="2" t="s">
        <v>18</v>
      </c>
      <c r="E1163" s="5">
        <v>-28675</v>
      </c>
      <c r="F1163" s="3" t="s">
        <v>943</v>
      </c>
      <c r="G1163" s="3" t="s">
        <v>29</v>
      </c>
      <c r="H1163" s="2" t="s">
        <v>21</v>
      </c>
      <c r="I1163" s="2" t="s">
        <v>2638</v>
      </c>
      <c r="J1163" s="3" t="str">
        <f>HYPERLINK("https://www.boe.es/gazeta/dias/1821/06/27/pdfs/GMD-1821-180.pdf#page=6","Abrir facsímil")</f>
        <v>Abrir facsímil</v>
      </c>
      <c r="K1163" s="3" t="s">
        <v>23</v>
      </c>
    </row>
    <row r="1164" spans="1:11" ht="42" customHeight="1">
      <c r="A1164" s="2" t="s">
        <v>2635</v>
      </c>
      <c r="B1164" s="2" t="s">
        <v>2635</v>
      </c>
      <c r="C1164" s="2" t="s">
        <v>17</v>
      </c>
      <c r="D1164" s="2" t="s">
        <v>18</v>
      </c>
      <c r="E1164" s="5">
        <v>-28491</v>
      </c>
      <c r="F1164" s="3" t="s">
        <v>573</v>
      </c>
      <c r="G1164" s="3" t="s">
        <v>88</v>
      </c>
      <c r="H1164" s="2" t="s">
        <v>21</v>
      </c>
      <c r="I1164" s="2" t="s">
        <v>2639</v>
      </c>
      <c r="J1164" s="3" t="str">
        <f>HYPERLINK("https://www.boe.es/gazeta/dias/1821/12/28/pdfs/GMD-1821-371.pdf#page=4","Abrir facsímil")</f>
        <v>Abrir facsímil</v>
      </c>
      <c r="K1164" s="3" t="s">
        <v>23</v>
      </c>
    </row>
    <row r="1165" spans="1:11" ht="42" customHeight="1">
      <c r="A1165" s="2" t="s">
        <v>2640</v>
      </c>
      <c r="B1165" s="2" t="s">
        <v>2640</v>
      </c>
      <c r="C1165" s="2" t="s">
        <v>17</v>
      </c>
      <c r="D1165" s="2" t="s">
        <v>18</v>
      </c>
      <c r="E1165" s="5">
        <v>-28553</v>
      </c>
      <c r="F1165" s="3" t="s">
        <v>182</v>
      </c>
      <c r="G1165" s="3" t="s">
        <v>43</v>
      </c>
      <c r="H1165" s="2" t="s">
        <v>21</v>
      </c>
      <c r="I1165" s="2" t="s">
        <v>2641</v>
      </c>
      <c r="J1165" s="3" t="str">
        <f>HYPERLINK("https://www.boe.es/gazeta/dias/1821/10/27/pdfs/GMD-1821-306.pdf#page=1","Abrir facsímil")</f>
        <v>Abrir facsímil</v>
      </c>
      <c r="K1165" s="3" t="s">
        <v>23</v>
      </c>
    </row>
    <row r="1166" spans="1:11" ht="42" customHeight="1">
      <c r="A1166" s="2" t="s">
        <v>2642</v>
      </c>
      <c r="B1166" s="2" t="s">
        <v>2642</v>
      </c>
      <c r="C1166" s="2" t="s">
        <v>40</v>
      </c>
      <c r="D1166" s="2" t="s">
        <v>41</v>
      </c>
      <c r="E1166" s="5">
        <v>-28729</v>
      </c>
      <c r="F1166" s="3" t="s">
        <v>838</v>
      </c>
      <c r="G1166" s="3" t="s">
        <v>43</v>
      </c>
      <c r="H1166" s="2" t="s">
        <v>21</v>
      </c>
      <c r="I1166" s="2" t="s">
        <v>2643</v>
      </c>
      <c r="J1166" s="3" t="str">
        <f>HYPERLINK("https://www.boe.es/gazeta/dias/1821/05/04/pdfs/GMD-1821-126.pdf#page=1","Abrir facsímil")</f>
        <v>Abrir facsímil</v>
      </c>
      <c r="K1166" s="3" t="s">
        <v>23</v>
      </c>
    </row>
    <row r="1167" spans="1:11" ht="42" customHeight="1">
      <c r="A1167" s="2" t="s">
        <v>2644</v>
      </c>
      <c r="B1167" s="2" t="s">
        <v>2644</v>
      </c>
      <c r="C1167" s="2" t="s">
        <v>40</v>
      </c>
      <c r="D1167" s="2" t="s">
        <v>41</v>
      </c>
      <c r="E1167" s="5">
        <v>-28661</v>
      </c>
      <c r="F1167" s="3" t="s">
        <v>2298</v>
      </c>
      <c r="G1167" s="3" t="s">
        <v>162</v>
      </c>
      <c r="H1167" s="2" t="s">
        <v>21</v>
      </c>
      <c r="I1167" s="2" t="s">
        <v>2645</v>
      </c>
      <c r="J1167" s="3" t="str">
        <f>HYPERLINK("https://www.boe.es/gazeta/dias/1821/07/11/pdfs/GMD-1821-196.pdf#page=5","Abrir facsímil")</f>
        <v>Abrir facsímil</v>
      </c>
      <c r="K1167" s="3" t="s">
        <v>23</v>
      </c>
    </row>
    <row r="1168" spans="1:11" ht="42" customHeight="1">
      <c r="A1168" s="2" t="s">
        <v>2644</v>
      </c>
      <c r="B1168" s="2" t="s">
        <v>2644</v>
      </c>
      <c r="C1168" s="2" t="s">
        <v>40</v>
      </c>
      <c r="D1168" s="2" t="s">
        <v>41</v>
      </c>
      <c r="E1168" s="5">
        <v>-28517</v>
      </c>
      <c r="F1168" s="3" t="s">
        <v>563</v>
      </c>
      <c r="G1168" s="3" t="s">
        <v>52</v>
      </c>
      <c r="H1168" s="2" t="s">
        <v>21</v>
      </c>
      <c r="I1168" s="2" t="s">
        <v>2646</v>
      </c>
      <c r="J1168" s="3" t="str">
        <f>HYPERLINK("https://www.boe.es/gazeta/dias/1821/12/02/pdfs/GMD-1821-344.pdf#page=2","Abrir facsímil")</f>
        <v>Abrir facsímil</v>
      </c>
      <c r="K1168" s="3" t="s">
        <v>23</v>
      </c>
    </row>
    <row r="1169" spans="1:11" ht="42" customHeight="1">
      <c r="A1169" s="2" t="s">
        <v>2644</v>
      </c>
      <c r="B1169" s="2" t="s">
        <v>2644</v>
      </c>
      <c r="C1169" s="2" t="s">
        <v>40</v>
      </c>
      <c r="D1169" s="2" t="s">
        <v>41</v>
      </c>
      <c r="E1169" s="5">
        <v>-28500</v>
      </c>
      <c r="F1169" s="3" t="s">
        <v>298</v>
      </c>
      <c r="G1169" s="3" t="s">
        <v>43</v>
      </c>
      <c r="H1169" s="2" t="s">
        <v>21</v>
      </c>
      <c r="I1169" s="2" t="s">
        <v>2647</v>
      </c>
      <c r="J1169" s="3" t="str">
        <f>HYPERLINK("https://www.boe.es/gazeta/dias/1821/12/19/pdfs/GMD-1821-362.pdf#page=1","Abrir facsímil")</f>
        <v>Abrir facsímil</v>
      </c>
      <c r="K1169" s="3" t="s">
        <v>23</v>
      </c>
    </row>
    <row r="1170" spans="1:11" ht="42" customHeight="1">
      <c r="A1170" s="2" t="s">
        <v>2648</v>
      </c>
      <c r="B1170" s="2" t="s">
        <v>2649</v>
      </c>
      <c r="C1170" s="2" t="s">
        <v>40</v>
      </c>
      <c r="D1170" s="2" t="s">
        <v>41</v>
      </c>
      <c r="E1170" s="5">
        <v>-28514</v>
      </c>
      <c r="F1170" s="3" t="s">
        <v>103</v>
      </c>
      <c r="G1170" s="3" t="s">
        <v>52</v>
      </c>
      <c r="H1170" s="2" t="s">
        <v>21</v>
      </c>
      <c r="I1170" s="2" t="s">
        <v>2650</v>
      </c>
      <c r="J1170" s="3" t="str">
        <f>HYPERLINK("https://www.boe.es/gazeta/dias/1821/12/05/pdfs/GMD-1821-347.pdf#page=2","Abrir facsímil")</f>
        <v>Abrir facsímil</v>
      </c>
      <c r="K1170" s="3" t="s">
        <v>23</v>
      </c>
    </row>
    <row r="1171" spans="1:11" ht="42" customHeight="1">
      <c r="A1171" s="2" t="s">
        <v>2648</v>
      </c>
      <c r="B1171" s="2" t="s">
        <v>2649</v>
      </c>
      <c r="C1171" s="2" t="s">
        <v>40</v>
      </c>
      <c r="D1171" s="2" t="s">
        <v>41</v>
      </c>
      <c r="E1171" s="5">
        <v>-28509</v>
      </c>
      <c r="F1171" s="3" t="s">
        <v>388</v>
      </c>
      <c r="G1171" s="3" t="s">
        <v>52</v>
      </c>
      <c r="H1171" s="2" t="s">
        <v>21</v>
      </c>
      <c r="I1171" s="2" t="s">
        <v>2651</v>
      </c>
      <c r="J1171" s="3" t="str">
        <f>HYPERLINK("https://www.boe.es/gazeta/dias/1821/12/10/pdfs/GMD-1821-352.pdf#page=2","Abrir facsímil")</f>
        <v>Abrir facsímil</v>
      </c>
      <c r="K1171" s="3" t="s">
        <v>23</v>
      </c>
    </row>
    <row r="1172" spans="1:11" ht="42" customHeight="1">
      <c r="A1172" s="2" t="s">
        <v>2648</v>
      </c>
      <c r="B1172" s="2" t="s">
        <v>2649</v>
      </c>
      <c r="C1172" s="2" t="s">
        <v>40</v>
      </c>
      <c r="D1172" s="2" t="s">
        <v>41</v>
      </c>
      <c r="E1172" s="5">
        <v>-28505</v>
      </c>
      <c r="F1172" s="3" t="s">
        <v>567</v>
      </c>
      <c r="G1172" s="3" t="s">
        <v>43</v>
      </c>
      <c r="H1172" s="2" t="s">
        <v>21</v>
      </c>
      <c r="I1172" s="2" t="s">
        <v>2652</v>
      </c>
      <c r="J1172" s="3" t="str">
        <f>HYPERLINK("https://www.boe.es/gazeta/dias/1821/12/14/pdfs/GMD-1821-357.pdf#page=1","Abrir facsímil")</f>
        <v>Abrir facsímil</v>
      </c>
      <c r="K1172" s="3" t="s">
        <v>23</v>
      </c>
    </row>
    <row r="1173" spans="1:11" ht="42" customHeight="1">
      <c r="A1173" s="2" t="s">
        <v>2648</v>
      </c>
      <c r="B1173" s="2" t="s">
        <v>2649</v>
      </c>
      <c r="C1173" s="2" t="s">
        <v>40</v>
      </c>
      <c r="D1173" s="2" t="s">
        <v>41</v>
      </c>
      <c r="E1173" s="5">
        <v>-28503</v>
      </c>
      <c r="F1173" s="3" t="s">
        <v>947</v>
      </c>
      <c r="G1173" s="3" t="s">
        <v>29</v>
      </c>
      <c r="H1173" s="2" t="s">
        <v>21</v>
      </c>
      <c r="I1173" s="2" t="s">
        <v>2653</v>
      </c>
      <c r="J1173" s="3" t="str">
        <f>HYPERLINK("https://www.boe.es/gazeta/dias/1821/12/16/pdfs/GMD-1821-359.pdf#page=6","Abrir facsímil")</f>
        <v>Abrir facsímil</v>
      </c>
      <c r="K1173" s="3" t="s">
        <v>23</v>
      </c>
    </row>
    <row r="1174" spans="1:11" ht="42" customHeight="1">
      <c r="A1174" s="2" t="s">
        <v>2648</v>
      </c>
      <c r="B1174" s="2" t="s">
        <v>2649</v>
      </c>
      <c r="C1174" s="2" t="s">
        <v>40</v>
      </c>
      <c r="D1174" s="2" t="s">
        <v>41</v>
      </c>
      <c r="E1174" s="5">
        <v>-28495</v>
      </c>
      <c r="F1174" s="3" t="s">
        <v>227</v>
      </c>
      <c r="G1174" s="3" t="s">
        <v>333</v>
      </c>
      <c r="H1174" s="2" t="s">
        <v>21</v>
      </c>
      <c r="I1174" s="2" t="s">
        <v>2654</v>
      </c>
      <c r="J1174" s="3" t="str">
        <f>HYPERLINK("https://www.boe.es/gazeta/dias/1821/12/24/pdfs/GMD-1821-367.pdf#page=8","Abrir facsímil")</f>
        <v>Abrir facsímil</v>
      </c>
      <c r="K1174" s="3" t="s">
        <v>23</v>
      </c>
    </row>
    <row r="1175" spans="1:11" ht="42" customHeight="1">
      <c r="A1175" s="2" t="s">
        <v>2655</v>
      </c>
      <c r="B1175" s="2" t="s">
        <v>2655</v>
      </c>
      <c r="C1175" s="2" t="s">
        <v>40</v>
      </c>
      <c r="D1175" s="2" t="s">
        <v>41</v>
      </c>
      <c r="E1175" s="5">
        <v>-28733</v>
      </c>
      <c r="F1175" s="3" t="s">
        <v>1033</v>
      </c>
      <c r="G1175" s="3" t="s">
        <v>52</v>
      </c>
      <c r="H1175" s="2" t="s">
        <v>21</v>
      </c>
      <c r="I1175" s="2" t="s">
        <v>2656</v>
      </c>
      <c r="J1175" s="3" t="str">
        <f>HYPERLINK("https://www.boe.es/gazeta/dias/1821/04/30/pdfs/GMD-1821-122.pdf#page=2","Abrir facsímil")</f>
        <v>Abrir facsímil</v>
      </c>
      <c r="K1175" s="3" t="s">
        <v>23</v>
      </c>
    </row>
    <row r="1176" spans="1:11" ht="42" customHeight="1">
      <c r="A1176" s="2" t="s">
        <v>2657</v>
      </c>
      <c r="B1176" s="2" t="s">
        <v>2657</v>
      </c>
      <c r="C1176" s="2" t="s">
        <v>40</v>
      </c>
      <c r="D1176" s="2" t="s">
        <v>41</v>
      </c>
      <c r="E1176" s="5">
        <v>-28735</v>
      </c>
      <c r="F1176" s="3" t="s">
        <v>836</v>
      </c>
      <c r="G1176" s="3" t="s">
        <v>88</v>
      </c>
      <c r="H1176" s="2" t="s">
        <v>21</v>
      </c>
      <c r="I1176" s="2" t="s">
        <v>2658</v>
      </c>
      <c r="J1176" s="3" t="str">
        <f>HYPERLINK("https://www.boe.es/gazeta/dias/1821/04/28/pdfs/GMD-1821-120.pdf#page=4","Abrir facsímil")</f>
        <v>Abrir facsímil</v>
      </c>
      <c r="K1176" s="3" t="s">
        <v>23</v>
      </c>
    </row>
    <row r="1177" spans="1:11" ht="42" customHeight="1">
      <c r="A1177" s="2" t="s">
        <v>2659</v>
      </c>
      <c r="B1177" s="2" t="s">
        <v>2660</v>
      </c>
      <c r="C1177" s="2" t="s">
        <v>17</v>
      </c>
      <c r="D1177" s="2" t="s">
        <v>18</v>
      </c>
      <c r="E1177" s="5">
        <v>-28782</v>
      </c>
      <c r="F1177" s="3" t="s">
        <v>508</v>
      </c>
      <c r="G1177" s="3" t="s">
        <v>88</v>
      </c>
      <c r="H1177" s="2" t="s">
        <v>21</v>
      </c>
      <c r="I1177" s="2" t="s">
        <v>2661</v>
      </c>
      <c r="J1177" s="3" t="str">
        <f>HYPERLINK("https://www.boe.es/gazeta/dias/1821/03/12/pdfs/GMD-1821-71.pdf#page=4","Abrir facsímil")</f>
        <v>Abrir facsímil</v>
      </c>
      <c r="K1177" s="3" t="s">
        <v>23</v>
      </c>
    </row>
    <row r="1178" spans="1:11" ht="42" customHeight="1">
      <c r="A1178" s="2" t="s">
        <v>2662</v>
      </c>
      <c r="B1178" s="2" t="s">
        <v>2662</v>
      </c>
      <c r="C1178" s="2" t="s">
        <v>17</v>
      </c>
      <c r="D1178" s="2" t="s">
        <v>18</v>
      </c>
      <c r="E1178" s="5">
        <v>-28697</v>
      </c>
      <c r="F1178" s="3" t="s">
        <v>166</v>
      </c>
      <c r="G1178" s="3" t="s">
        <v>43</v>
      </c>
      <c r="H1178" s="2" t="s">
        <v>21</v>
      </c>
      <c r="I1178" s="2" t="s">
        <v>2663</v>
      </c>
      <c r="J1178" s="3" t="str">
        <f>HYPERLINK("https://www.boe.es/gazeta/dias/1821/06/05/pdfs/GMD-1821-158.pdf#page=1","Abrir facsímil")</f>
        <v>Abrir facsímil</v>
      </c>
      <c r="K1178" s="3" t="s">
        <v>23</v>
      </c>
    </row>
    <row r="1179" spans="1:11" ht="42" customHeight="1">
      <c r="A1179" s="2" t="s">
        <v>2662</v>
      </c>
      <c r="B1179" s="2" t="s">
        <v>2662</v>
      </c>
      <c r="C1179" s="2" t="s">
        <v>174</v>
      </c>
      <c r="D1179" s="2" t="s">
        <v>27</v>
      </c>
      <c r="E1179" s="5">
        <v>-28693</v>
      </c>
      <c r="F1179" s="3" t="s">
        <v>74</v>
      </c>
      <c r="G1179" s="3" t="s">
        <v>43</v>
      </c>
      <c r="H1179" s="2" t="s">
        <v>21</v>
      </c>
      <c r="I1179" s="2" t="s">
        <v>2664</v>
      </c>
      <c r="J1179" s="3" t="str">
        <f>HYPERLINK("https://www.boe.es/gazeta/dias/1821/06/09/pdfs/GMD-1821-162.pdf#page=1","Abrir facsímil")</f>
        <v>Abrir facsímil</v>
      </c>
      <c r="K1179" s="3" t="s">
        <v>23</v>
      </c>
    </row>
    <row r="1180" spans="1:11" ht="42" customHeight="1">
      <c r="A1180" s="2" t="s">
        <v>2662</v>
      </c>
      <c r="B1180" s="2" t="s">
        <v>2662</v>
      </c>
      <c r="C1180" s="2" t="s">
        <v>40</v>
      </c>
      <c r="D1180" s="2" t="s">
        <v>41</v>
      </c>
      <c r="E1180" s="5">
        <v>-28666</v>
      </c>
      <c r="F1180" s="3" t="s">
        <v>1263</v>
      </c>
      <c r="G1180" s="3" t="s">
        <v>20</v>
      </c>
      <c r="H1180" s="2" t="s">
        <v>21</v>
      </c>
      <c r="I1180" s="2" t="s">
        <v>2665</v>
      </c>
      <c r="J1180" s="3" t="str">
        <f>HYPERLINK("https://www.boe.es/gazeta/dias/1821/07/06/pdfs/GMD-1821-190.pdf#page=3","Abrir facsímil")</f>
        <v>Abrir facsímil</v>
      </c>
      <c r="K1180" s="3" t="s">
        <v>23</v>
      </c>
    </row>
    <row r="1181" spans="1:11" ht="42" customHeight="1">
      <c r="A1181" s="2" t="s">
        <v>2662</v>
      </c>
      <c r="B1181" s="2" t="s">
        <v>2662</v>
      </c>
      <c r="C1181" s="2" t="s">
        <v>40</v>
      </c>
      <c r="D1181" s="2" t="s">
        <v>41</v>
      </c>
      <c r="E1181" s="5">
        <v>-28652</v>
      </c>
      <c r="F1181" s="3" t="s">
        <v>1314</v>
      </c>
      <c r="G1181" s="3" t="s">
        <v>52</v>
      </c>
      <c r="H1181" s="2" t="s">
        <v>21</v>
      </c>
      <c r="I1181" s="2" t="s">
        <v>2666</v>
      </c>
      <c r="J1181" s="3" t="str">
        <f>HYPERLINK("https://www.boe.es/gazeta/dias/1821/07/20/pdfs/GMD-1821-205.pdf#page=2","Abrir facsímil")</f>
        <v>Abrir facsímil</v>
      </c>
      <c r="K1181" s="3" t="s">
        <v>23</v>
      </c>
    </row>
    <row r="1182" spans="1:11" ht="42" customHeight="1">
      <c r="A1182" s="2" t="s">
        <v>2662</v>
      </c>
      <c r="B1182" s="2" t="s">
        <v>2662</v>
      </c>
      <c r="C1182" s="2" t="s">
        <v>35</v>
      </c>
      <c r="D1182" s="2" t="s">
        <v>27</v>
      </c>
      <c r="E1182" s="5">
        <v>-28608</v>
      </c>
      <c r="F1182" s="3" t="s">
        <v>805</v>
      </c>
      <c r="G1182" s="3" t="s">
        <v>806</v>
      </c>
      <c r="H1182" s="2" t="s">
        <v>21</v>
      </c>
      <c r="I1182" s="2" t="s">
        <v>2667</v>
      </c>
      <c r="J1182" s="3" t="str">
        <f>HYPERLINK("https://www.boe.es/gazeta/dias/1821/09/02/pdfs/GMD-1821-250.pdf#page=2","Abrir facsímil")</f>
        <v>Abrir facsímil</v>
      </c>
      <c r="K1182" s="3" t="s">
        <v>23</v>
      </c>
    </row>
    <row r="1183" spans="1:11" ht="42" customHeight="1">
      <c r="A1183" s="2" t="s">
        <v>2662</v>
      </c>
      <c r="B1183" s="2" t="s">
        <v>2662</v>
      </c>
      <c r="C1183" s="2" t="s">
        <v>17</v>
      </c>
      <c r="D1183" s="2" t="s">
        <v>18</v>
      </c>
      <c r="E1183" s="5">
        <v>-28583</v>
      </c>
      <c r="F1183" s="3" t="s">
        <v>2668</v>
      </c>
      <c r="G1183" s="3" t="s">
        <v>20</v>
      </c>
      <c r="H1183" s="2" t="s">
        <v>21</v>
      </c>
      <c r="I1183" s="2" t="s">
        <v>2669</v>
      </c>
      <c r="J1183" s="3" t="str">
        <f>HYPERLINK("https://www.boe.es/gazeta/dias/1821/09/27/pdfs/GMD-1821-275.pdf#page=3","Abrir facsímil")</f>
        <v>Abrir facsímil</v>
      </c>
      <c r="K1183" s="3" t="s">
        <v>23</v>
      </c>
    </row>
    <row r="1184" spans="1:11" ht="42" customHeight="1">
      <c r="A1184" s="2" t="s">
        <v>2662</v>
      </c>
      <c r="B1184" s="2" t="s">
        <v>2662</v>
      </c>
      <c r="C1184" s="2" t="s">
        <v>26</v>
      </c>
      <c r="D1184" s="2" t="s">
        <v>27</v>
      </c>
      <c r="E1184" s="5">
        <v>-28553</v>
      </c>
      <c r="F1184" s="3" t="s">
        <v>182</v>
      </c>
      <c r="G1184" s="3" t="s">
        <v>1413</v>
      </c>
      <c r="H1184" s="2" t="s">
        <v>21</v>
      </c>
      <c r="I1184" s="2" t="s">
        <v>2670</v>
      </c>
      <c r="J1184" s="3" t="str">
        <f>HYPERLINK("https://www.boe.es/gazeta/dias/1821/10/27/pdfs/GMD-1821-306.pdf#page=2","Abrir facsímil")</f>
        <v>Abrir facsímil</v>
      </c>
      <c r="K1184" s="3" t="s">
        <v>23</v>
      </c>
    </row>
    <row r="1185" spans="1:11" ht="42" customHeight="1">
      <c r="A1185" s="2" t="s">
        <v>2662</v>
      </c>
      <c r="B1185" s="2" t="s">
        <v>2662</v>
      </c>
      <c r="C1185" s="2" t="s">
        <v>17</v>
      </c>
      <c r="D1185" s="2" t="s">
        <v>18</v>
      </c>
      <c r="E1185" s="5">
        <v>-28545</v>
      </c>
      <c r="F1185" s="3" t="s">
        <v>284</v>
      </c>
      <c r="G1185" s="3" t="s">
        <v>52</v>
      </c>
      <c r="H1185" s="2" t="s">
        <v>21</v>
      </c>
      <c r="I1185" s="2" t="s">
        <v>2671</v>
      </c>
      <c r="J1185" s="3" t="str">
        <f>HYPERLINK("https://www.boe.es/gazeta/dias/1821/11/04/pdfs/GMD-1821-315.pdf#page=2","Abrir facsímil")</f>
        <v>Abrir facsímil</v>
      </c>
      <c r="K1185" s="3" t="s">
        <v>23</v>
      </c>
    </row>
    <row r="1186" spans="1:11" ht="42" customHeight="1">
      <c r="A1186" s="2" t="s">
        <v>2662</v>
      </c>
      <c r="B1186" s="2" t="s">
        <v>2662</v>
      </c>
      <c r="C1186" s="2" t="s">
        <v>17</v>
      </c>
      <c r="D1186" s="2" t="s">
        <v>18</v>
      </c>
      <c r="E1186" s="5">
        <v>-28540</v>
      </c>
      <c r="F1186" s="3" t="s">
        <v>2672</v>
      </c>
      <c r="G1186" s="3" t="s">
        <v>52</v>
      </c>
      <c r="H1186" s="2" t="s">
        <v>21</v>
      </c>
      <c r="I1186" s="2" t="s">
        <v>2673</v>
      </c>
      <c r="J1186" s="3" t="str">
        <f>HYPERLINK("https://www.boe.es/gazeta/dias/1821/11/09/pdfs/GMD-1821-320.pdf#page=2","Abrir facsímil")</f>
        <v>Abrir facsímil</v>
      </c>
      <c r="K1186" s="3" t="s">
        <v>23</v>
      </c>
    </row>
    <row r="1187" spans="1:11" ht="42" customHeight="1">
      <c r="A1187" s="2" t="s">
        <v>2662</v>
      </c>
      <c r="B1187" s="2" t="s">
        <v>2662</v>
      </c>
      <c r="C1187" s="2" t="s">
        <v>17</v>
      </c>
      <c r="D1187" s="2" t="s">
        <v>18</v>
      </c>
      <c r="E1187" s="5">
        <v>-28524</v>
      </c>
      <c r="F1187" s="3" t="s">
        <v>874</v>
      </c>
      <c r="G1187" s="3" t="s">
        <v>52</v>
      </c>
      <c r="H1187" s="2" t="s">
        <v>21</v>
      </c>
      <c r="I1187" s="2" t="s">
        <v>2674</v>
      </c>
      <c r="J1187" s="3" t="str">
        <f>HYPERLINK("https://www.boe.es/gazeta/dias/1821/11/25/pdfs/GMD-1821-336.pdf#page=2","Abrir facsímil")</f>
        <v>Abrir facsímil</v>
      </c>
      <c r="K1187" s="3" t="s">
        <v>23</v>
      </c>
    </row>
    <row r="1188" spans="1:11" ht="42" customHeight="1">
      <c r="A1188" s="2" t="s">
        <v>2675</v>
      </c>
      <c r="B1188" s="2" t="s">
        <v>2676</v>
      </c>
      <c r="C1188" s="2" t="s">
        <v>17</v>
      </c>
      <c r="D1188" s="2" t="s">
        <v>18</v>
      </c>
      <c r="E1188" s="5">
        <v>-28819</v>
      </c>
      <c r="F1188" s="3" t="s">
        <v>1830</v>
      </c>
      <c r="G1188" s="3" t="s">
        <v>20</v>
      </c>
      <c r="H1188" s="2" t="s">
        <v>21</v>
      </c>
      <c r="I1188" s="2" t="s">
        <v>2677</v>
      </c>
      <c r="J1188" s="3" t="str">
        <f>HYPERLINK("https://www.boe.es/gazeta/dias/1821/02/03/pdfs/GGB-1821-34.pdf#page=3","Abrir facsímil")</f>
        <v>Abrir facsímil</v>
      </c>
      <c r="K1188" s="3" t="s">
        <v>23</v>
      </c>
    </row>
    <row r="1189" spans="1:11" ht="42" customHeight="1">
      <c r="A1189" s="2" t="s">
        <v>2678</v>
      </c>
      <c r="B1189" s="2" t="s">
        <v>2679</v>
      </c>
      <c r="C1189" s="2" t="s">
        <v>40</v>
      </c>
      <c r="D1189" s="2" t="s">
        <v>41</v>
      </c>
      <c r="E1189" s="5">
        <v>-28616</v>
      </c>
      <c r="F1189" s="3" t="s">
        <v>1912</v>
      </c>
      <c r="G1189" s="3" t="s">
        <v>1913</v>
      </c>
      <c r="H1189" s="2" t="s">
        <v>21</v>
      </c>
      <c r="I1189" s="2" t="s">
        <v>2680</v>
      </c>
      <c r="J1189" s="3" t="str">
        <f>HYPERLINK("https://www.boe.es/gazeta/dias/1821/08/25/pdfs/GMD-1821-242.pdf#page=3","Abrir facsímil")</f>
        <v>Abrir facsímil</v>
      </c>
      <c r="K1189" s="3" t="s">
        <v>23</v>
      </c>
    </row>
    <row r="1190" spans="1:11" ht="42" customHeight="1">
      <c r="A1190" s="2" t="s">
        <v>2681</v>
      </c>
      <c r="B1190" s="2" t="s">
        <v>2682</v>
      </c>
      <c r="C1190" s="2" t="s">
        <v>17</v>
      </c>
      <c r="D1190" s="2" t="s">
        <v>18</v>
      </c>
      <c r="E1190" s="5">
        <v>-28636</v>
      </c>
      <c r="F1190" s="3" t="s">
        <v>122</v>
      </c>
      <c r="G1190" s="3" t="s">
        <v>20</v>
      </c>
      <c r="H1190" s="2" t="s">
        <v>21</v>
      </c>
      <c r="I1190" s="2" t="s">
        <v>2683</v>
      </c>
      <c r="J1190" s="3" t="str">
        <f>HYPERLINK("https://www.boe.es/gazeta/dias/1821/08/05/pdfs/GMD-1821-221.pdf#page=3","Abrir facsímil")</f>
        <v>Abrir facsímil</v>
      </c>
      <c r="K1190" s="3" t="s">
        <v>23</v>
      </c>
    </row>
    <row r="1191" spans="1:11" ht="42" customHeight="1">
      <c r="A1191" s="2" t="s">
        <v>2684</v>
      </c>
      <c r="B1191" s="2" t="s">
        <v>2684</v>
      </c>
      <c r="C1191" s="2" t="s">
        <v>35</v>
      </c>
      <c r="D1191" s="2" t="s">
        <v>27</v>
      </c>
      <c r="E1191" s="5">
        <v>-28819</v>
      </c>
      <c r="F1191" s="3" t="s">
        <v>1830</v>
      </c>
      <c r="G1191" s="3" t="s">
        <v>20</v>
      </c>
      <c r="H1191" s="2" t="s">
        <v>21</v>
      </c>
      <c r="I1191" s="2" t="s">
        <v>2685</v>
      </c>
      <c r="J1191" s="3" t="str">
        <f>HYPERLINK("https://www.boe.es/gazeta/dias/1821/02/03/pdfs/GGB-1821-34.pdf#page=3","Abrir facsímil")</f>
        <v>Abrir facsímil</v>
      </c>
      <c r="K1191" s="3" t="s">
        <v>23</v>
      </c>
    </row>
    <row r="1192" spans="1:11" ht="42" customHeight="1">
      <c r="A1192" s="2" t="s">
        <v>2684</v>
      </c>
      <c r="B1192" s="2" t="s">
        <v>2684</v>
      </c>
      <c r="C1192" s="2" t="s">
        <v>40</v>
      </c>
      <c r="D1192" s="2" t="s">
        <v>41</v>
      </c>
      <c r="E1192" s="5">
        <v>-28597</v>
      </c>
      <c r="F1192" s="3" t="s">
        <v>811</v>
      </c>
      <c r="G1192" s="3" t="s">
        <v>52</v>
      </c>
      <c r="H1192" s="2" t="s">
        <v>21</v>
      </c>
      <c r="I1192" s="2" t="s">
        <v>2686</v>
      </c>
      <c r="J1192" s="3" t="str">
        <f>HYPERLINK("https://www.boe.es/gazeta/dias/1821/09/13/pdfs/GMD-1821-261.pdf#page=2","Abrir facsímil")</f>
        <v>Abrir facsímil</v>
      </c>
      <c r="K1192" s="3" t="s">
        <v>23</v>
      </c>
    </row>
    <row r="1193" spans="1:11" ht="42" customHeight="1">
      <c r="A1193" s="2" t="s">
        <v>2684</v>
      </c>
      <c r="B1193" s="2" t="s">
        <v>2684</v>
      </c>
      <c r="C1193" s="2" t="s">
        <v>174</v>
      </c>
      <c r="D1193" s="2" t="s">
        <v>27</v>
      </c>
      <c r="E1193" s="5">
        <v>-28594</v>
      </c>
      <c r="F1193" s="3" t="s">
        <v>2412</v>
      </c>
      <c r="G1193" s="3" t="s">
        <v>2687</v>
      </c>
      <c r="H1193" s="2" t="s">
        <v>21</v>
      </c>
      <c r="I1193" s="2" t="s">
        <v>2688</v>
      </c>
      <c r="J1193" s="3" t="str">
        <f>HYPERLINK("https://www.boe.es/gazeta/dias/1821/09/16/pdfs/GMD-1821-264.pdf#page=2","Abrir facsímil")</f>
        <v>Abrir facsímil</v>
      </c>
      <c r="K1193" s="3" t="s">
        <v>23</v>
      </c>
    </row>
    <row r="1194" spans="1:11" ht="42" customHeight="1">
      <c r="A1194" s="2" t="s">
        <v>2684</v>
      </c>
      <c r="B1194" s="2" t="s">
        <v>2684</v>
      </c>
      <c r="C1194" s="2" t="s">
        <v>40</v>
      </c>
      <c r="D1194" s="2" t="s">
        <v>41</v>
      </c>
      <c r="E1194" s="5">
        <v>-28575</v>
      </c>
      <c r="F1194" s="3" t="s">
        <v>2453</v>
      </c>
      <c r="G1194" s="3" t="s">
        <v>43</v>
      </c>
      <c r="H1194" s="2" t="s">
        <v>21</v>
      </c>
      <c r="I1194" s="2" t="s">
        <v>2689</v>
      </c>
      <c r="J1194" s="3" t="str">
        <f>HYPERLINK("https://www.boe.es/gazeta/dias/1821/10/05/pdfs/GMD-1821-284.pdf#page=1","Abrir facsímil")</f>
        <v>Abrir facsímil</v>
      </c>
      <c r="K1194" s="3" t="s">
        <v>23</v>
      </c>
    </row>
    <row r="1195" spans="1:11" ht="42" customHeight="1">
      <c r="A1195" s="2" t="s">
        <v>2690</v>
      </c>
      <c r="B1195" s="2" t="s">
        <v>2691</v>
      </c>
      <c r="C1195" s="2" t="s">
        <v>17</v>
      </c>
      <c r="D1195" s="2" t="s">
        <v>18</v>
      </c>
      <c r="E1195" s="5">
        <v>-28577</v>
      </c>
      <c r="F1195" s="3" t="s">
        <v>858</v>
      </c>
      <c r="G1195" s="3" t="s">
        <v>88</v>
      </c>
      <c r="H1195" s="2" t="s">
        <v>30</v>
      </c>
      <c r="I1195" s="2" t="s">
        <v>2692</v>
      </c>
      <c r="J1195" s="3" t="str">
        <f>HYPERLINK("https://www.boe.es/gazeta/dias/1821/10/03/pdfs/GMD-1821-282.pdf#page=4","Abrir facsímil")</f>
        <v>Abrir facsímil</v>
      </c>
      <c r="K1195" s="3" t="s">
        <v>32</v>
      </c>
    </row>
    <row r="1196" spans="1:11" ht="42" customHeight="1">
      <c r="A1196" s="2" t="s">
        <v>2693</v>
      </c>
      <c r="B1196" s="2" t="s">
        <v>2693</v>
      </c>
      <c r="C1196" s="2" t="s">
        <v>26</v>
      </c>
      <c r="D1196" s="2" t="s">
        <v>27</v>
      </c>
      <c r="E1196" s="5">
        <v>-28834</v>
      </c>
      <c r="F1196" s="3" t="s">
        <v>369</v>
      </c>
      <c r="G1196" s="3" t="s">
        <v>52</v>
      </c>
      <c r="H1196" s="2" t="s">
        <v>21</v>
      </c>
      <c r="I1196" s="2" t="s">
        <v>2694</v>
      </c>
      <c r="J1196" s="3" t="str">
        <f>HYPERLINK("https://www.boe.es/gazeta/dias/1821/01/19/pdfs/GGB-1821-19.pdf#page=2","Abrir facsímil")</f>
        <v>Abrir facsímil</v>
      </c>
      <c r="K1196" s="3" t="s">
        <v>23</v>
      </c>
    </row>
    <row r="1197" spans="1:11" ht="42" customHeight="1">
      <c r="A1197" s="2" t="s">
        <v>2695</v>
      </c>
      <c r="B1197" s="2" t="s">
        <v>2696</v>
      </c>
      <c r="C1197" s="2" t="s">
        <v>26</v>
      </c>
      <c r="D1197" s="2" t="s">
        <v>27</v>
      </c>
      <c r="E1197" s="5">
        <v>-28531</v>
      </c>
      <c r="F1197" s="3" t="s">
        <v>365</v>
      </c>
      <c r="G1197" s="3" t="s">
        <v>20</v>
      </c>
      <c r="H1197" s="2" t="s">
        <v>21</v>
      </c>
      <c r="I1197" s="2" t="s">
        <v>2697</v>
      </c>
      <c r="J1197" s="3" t="str">
        <f>HYPERLINK("https://www.boe.es/gazeta/dias/1821/11/18/pdfs/GMD-1821-329.pdf#page=3","Abrir facsímil")</f>
        <v>Abrir facsímil</v>
      </c>
      <c r="K1197" s="3" t="s">
        <v>23</v>
      </c>
    </row>
    <row r="1198" spans="1:11" ht="42" customHeight="1">
      <c r="A1198" s="2" t="s">
        <v>2698</v>
      </c>
      <c r="B1198" s="2" t="s">
        <v>2698</v>
      </c>
      <c r="C1198" s="2" t="s">
        <v>35</v>
      </c>
      <c r="D1198" s="2" t="s">
        <v>27</v>
      </c>
      <c r="E1198" s="5">
        <v>-28697</v>
      </c>
      <c r="F1198" s="3" t="s">
        <v>166</v>
      </c>
      <c r="G1198" s="3" t="s">
        <v>20</v>
      </c>
      <c r="H1198" s="2" t="s">
        <v>21</v>
      </c>
      <c r="I1198" s="2" t="s">
        <v>2699</v>
      </c>
      <c r="J1198" s="3" t="str">
        <f>HYPERLINK("https://www.boe.es/gazeta/dias/1821/06/05/pdfs/GMD-1821-158.pdf#page=3","Abrir facsímil")</f>
        <v>Abrir facsímil</v>
      </c>
      <c r="K1198" s="3" t="s">
        <v>23</v>
      </c>
    </row>
    <row r="1199" spans="1:11" ht="42" customHeight="1">
      <c r="A1199" s="2" t="s">
        <v>2698</v>
      </c>
      <c r="B1199" s="2" t="s">
        <v>2698</v>
      </c>
      <c r="C1199" s="2" t="s">
        <v>35</v>
      </c>
      <c r="D1199" s="2" t="s">
        <v>27</v>
      </c>
      <c r="E1199" s="5">
        <v>-28687</v>
      </c>
      <c r="F1199" s="3" t="s">
        <v>851</v>
      </c>
      <c r="G1199" s="3" t="s">
        <v>20</v>
      </c>
      <c r="H1199" s="2" t="s">
        <v>21</v>
      </c>
      <c r="I1199" s="2" t="s">
        <v>2700</v>
      </c>
      <c r="J1199" s="3" t="str">
        <f>HYPERLINK("https://www.boe.es/gazeta/dias/1821/06/15/pdfs/GMD-1821-168.pdf#page=3","Abrir facsímil")</f>
        <v>Abrir facsímil</v>
      </c>
      <c r="K1199" s="3" t="s">
        <v>23</v>
      </c>
    </row>
    <row r="1200" spans="1:11" ht="42" customHeight="1">
      <c r="A1200" s="2" t="s">
        <v>2701</v>
      </c>
      <c r="B1200" s="2" t="s">
        <v>2702</v>
      </c>
      <c r="C1200" s="2" t="s">
        <v>40</v>
      </c>
      <c r="D1200" s="2" t="s">
        <v>41</v>
      </c>
      <c r="E1200" s="5">
        <v>-28817</v>
      </c>
      <c r="F1200" s="3" t="s">
        <v>2703</v>
      </c>
      <c r="G1200" s="3" t="s">
        <v>20</v>
      </c>
      <c r="H1200" s="2" t="s">
        <v>21</v>
      </c>
      <c r="I1200" s="2" t="s">
        <v>2704</v>
      </c>
      <c r="J1200" s="3" t="str">
        <f>HYPERLINK("https://www.boe.es/gazeta/dias/1821/02/05/pdfs/GGB-1821-36.pdf#page=3","Abrir facsímil")</f>
        <v>Abrir facsímil</v>
      </c>
      <c r="K1200" s="3" t="s">
        <v>23</v>
      </c>
    </row>
    <row r="1201" spans="1:11" ht="42" customHeight="1">
      <c r="A1201" s="2" t="s">
        <v>2705</v>
      </c>
      <c r="B1201" s="2" t="s">
        <v>2705</v>
      </c>
      <c r="C1201" s="2" t="s">
        <v>40</v>
      </c>
      <c r="D1201" s="2" t="s">
        <v>41</v>
      </c>
      <c r="E1201" s="5">
        <v>-28826</v>
      </c>
      <c r="F1201" s="3" t="s">
        <v>2706</v>
      </c>
      <c r="G1201" s="3" t="s">
        <v>2707</v>
      </c>
      <c r="H1201" s="2" t="s">
        <v>21</v>
      </c>
      <c r="I1201" s="2" t="s">
        <v>2708</v>
      </c>
      <c r="J1201" s="3" t="str">
        <f>HYPERLINK("https://www.boe.es/gazeta/dias/1821/01/27/pdfs/GGB-1821-27.pdf#page=3","Abrir facsímil")</f>
        <v>Abrir facsímil</v>
      </c>
      <c r="K1201" s="3" t="s">
        <v>23</v>
      </c>
    </row>
    <row r="1202" spans="1:11" ht="42" customHeight="1">
      <c r="A1202" s="2" t="s">
        <v>2709</v>
      </c>
      <c r="B1202" s="2" t="s">
        <v>2710</v>
      </c>
      <c r="C1202" s="2" t="s">
        <v>17</v>
      </c>
      <c r="D1202" s="2" t="s">
        <v>18</v>
      </c>
      <c r="E1202" s="5">
        <v>-28819</v>
      </c>
      <c r="F1202" s="3" t="s">
        <v>1830</v>
      </c>
      <c r="G1202" s="3" t="s">
        <v>20</v>
      </c>
      <c r="H1202" s="2" t="s">
        <v>21</v>
      </c>
      <c r="I1202" s="2" t="s">
        <v>2711</v>
      </c>
      <c r="J1202" s="3" t="str">
        <f>HYPERLINK("https://www.boe.es/gazeta/dias/1821/02/03/pdfs/GGB-1821-34.pdf#page=3","Abrir facsímil")</f>
        <v>Abrir facsímil</v>
      </c>
      <c r="K1202" s="3" t="s">
        <v>23</v>
      </c>
    </row>
    <row r="1203" spans="1:11" ht="42" customHeight="1">
      <c r="A1203" s="2" t="s">
        <v>2709</v>
      </c>
      <c r="B1203" s="2" t="s">
        <v>2710</v>
      </c>
      <c r="C1203" s="2" t="s">
        <v>40</v>
      </c>
      <c r="D1203" s="2" t="s">
        <v>41</v>
      </c>
      <c r="E1203" s="5">
        <v>-28783</v>
      </c>
      <c r="F1203" s="3" t="s">
        <v>198</v>
      </c>
      <c r="G1203" s="3" t="s">
        <v>52</v>
      </c>
      <c r="H1203" s="2" t="s">
        <v>21</v>
      </c>
      <c r="I1203" s="2" t="s">
        <v>2712</v>
      </c>
      <c r="J1203" s="3" t="str">
        <f>HYPERLINK("https://www.boe.es/gazeta/dias/1821/03/11/pdfs/GGB-1821-70.pdf#page=2","Abrir facsímil")</f>
        <v>Abrir facsímil</v>
      </c>
      <c r="K1203" s="3" t="s">
        <v>23</v>
      </c>
    </row>
    <row r="1204" spans="1:11" ht="42" customHeight="1">
      <c r="A1204" s="2" t="s">
        <v>2709</v>
      </c>
      <c r="B1204" s="2" t="s">
        <v>2710</v>
      </c>
      <c r="C1204" s="2" t="s">
        <v>70</v>
      </c>
      <c r="D1204" s="2" t="s">
        <v>27</v>
      </c>
      <c r="E1204" s="5">
        <v>-28769</v>
      </c>
      <c r="F1204" s="3" t="s">
        <v>489</v>
      </c>
      <c r="G1204" s="3" t="s">
        <v>88</v>
      </c>
      <c r="H1204" s="2" t="s">
        <v>21</v>
      </c>
      <c r="I1204" s="2" t="s">
        <v>2713</v>
      </c>
      <c r="J1204" s="3" t="str">
        <f>HYPERLINK("https://www.boe.es/gazeta/dias/1821/03/25/pdfs/GMD-1821-85.pdf#page=4","Abrir facsímil")</f>
        <v>Abrir facsímil</v>
      </c>
      <c r="K1204" s="3" t="s">
        <v>23</v>
      </c>
    </row>
    <row r="1205" spans="1:11" ht="42" customHeight="1">
      <c r="A1205" s="2" t="s">
        <v>2709</v>
      </c>
      <c r="B1205" s="2" t="s">
        <v>2710</v>
      </c>
      <c r="C1205" s="2" t="s">
        <v>17</v>
      </c>
      <c r="D1205" s="2" t="s">
        <v>18</v>
      </c>
      <c r="E1205" s="5">
        <v>-28708</v>
      </c>
      <c r="F1205" s="3" t="s">
        <v>528</v>
      </c>
      <c r="G1205" s="3" t="s">
        <v>20</v>
      </c>
      <c r="H1205" s="2" t="s">
        <v>21</v>
      </c>
      <c r="I1205" s="2" t="s">
        <v>2714</v>
      </c>
      <c r="J1205" s="3" t="str">
        <f>HYPERLINK("https://www.boe.es/gazeta/dias/1821/05/25/pdfs/GMD-1821-147.pdf#page=3","Abrir facsímil")</f>
        <v>Abrir facsímil</v>
      </c>
      <c r="K1205" s="3" t="s">
        <v>23</v>
      </c>
    </row>
    <row r="1206" spans="1:11" ht="42" customHeight="1">
      <c r="A1206" s="2" t="s">
        <v>2715</v>
      </c>
      <c r="B1206" s="2" t="s">
        <v>2715</v>
      </c>
      <c r="C1206" s="2" t="s">
        <v>35</v>
      </c>
      <c r="D1206" s="2" t="s">
        <v>27</v>
      </c>
      <c r="E1206" s="5">
        <v>-28571</v>
      </c>
      <c r="F1206" s="3" t="s">
        <v>482</v>
      </c>
      <c r="G1206" s="3" t="s">
        <v>162</v>
      </c>
      <c r="H1206" s="2" t="s">
        <v>21</v>
      </c>
      <c r="I1206" s="2" t="s">
        <v>2716</v>
      </c>
      <c r="J1206" s="3" t="str">
        <f>HYPERLINK("https://www.boe.es/gazeta/dias/1821/10/09/pdfs/GMD-1821-288.pdf#page=5","Abrir facsímil")</f>
        <v>Abrir facsímil</v>
      </c>
      <c r="K1206" s="3" t="s">
        <v>23</v>
      </c>
    </row>
    <row r="1207" spans="1:11" ht="42" customHeight="1">
      <c r="A1207" s="2" t="s">
        <v>2717</v>
      </c>
      <c r="B1207" s="2" t="s">
        <v>2718</v>
      </c>
      <c r="C1207" s="2" t="s">
        <v>17</v>
      </c>
      <c r="D1207" s="2" t="s">
        <v>18</v>
      </c>
      <c r="E1207" s="5">
        <v>-28679</v>
      </c>
      <c r="F1207" s="3" t="s">
        <v>213</v>
      </c>
      <c r="G1207" s="3" t="s">
        <v>20</v>
      </c>
      <c r="H1207" s="2" t="s">
        <v>21</v>
      </c>
      <c r="I1207" s="2" t="s">
        <v>2719</v>
      </c>
      <c r="J1207" s="3" t="str">
        <f>HYPERLINK("https://www.boe.es/gazeta/dias/1821/06/23/pdfs/GMD-1821-176.pdf#page=3","Abrir facsímil")</f>
        <v>Abrir facsímil</v>
      </c>
      <c r="K1207" s="3" t="s">
        <v>23</v>
      </c>
    </row>
    <row r="1208" spans="1:11" ht="42" customHeight="1">
      <c r="A1208" s="2" t="s">
        <v>2720</v>
      </c>
      <c r="B1208" s="2" t="s">
        <v>2721</v>
      </c>
      <c r="C1208" s="2" t="s">
        <v>26</v>
      </c>
      <c r="D1208" s="2" t="s">
        <v>27</v>
      </c>
      <c r="E1208" s="5">
        <v>-28572</v>
      </c>
      <c r="F1208" s="3" t="s">
        <v>1072</v>
      </c>
      <c r="G1208" s="3" t="s">
        <v>88</v>
      </c>
      <c r="H1208" s="2" t="s">
        <v>21</v>
      </c>
      <c r="I1208" s="2" t="s">
        <v>2722</v>
      </c>
      <c r="J1208" s="3" t="str">
        <f>HYPERLINK("https://www.boe.es/gazeta/dias/1821/10/08/pdfs/GMD-1821-287.pdf#page=4","Abrir facsímil")</f>
        <v>Abrir facsímil</v>
      </c>
      <c r="K1208" s="3" t="s">
        <v>23</v>
      </c>
    </row>
    <row r="1209" spans="1:11" ht="42" customHeight="1">
      <c r="A1209" s="2" t="s">
        <v>2720</v>
      </c>
      <c r="B1209" s="2" t="s">
        <v>2721</v>
      </c>
      <c r="C1209" s="2" t="s">
        <v>70</v>
      </c>
      <c r="D1209" s="2" t="s">
        <v>27</v>
      </c>
      <c r="E1209" s="5">
        <v>-28571</v>
      </c>
      <c r="F1209" s="3" t="s">
        <v>482</v>
      </c>
      <c r="G1209" s="3" t="s">
        <v>162</v>
      </c>
      <c r="H1209" s="2" t="s">
        <v>21</v>
      </c>
      <c r="I1209" s="2" t="s">
        <v>2723</v>
      </c>
      <c r="J1209" s="3" t="str">
        <f>HYPERLINK("https://www.boe.es/gazeta/dias/1821/10/09/pdfs/GMD-1821-288.pdf#page=5","Abrir facsímil")</f>
        <v>Abrir facsímil</v>
      </c>
      <c r="K1209" s="3" t="s">
        <v>23</v>
      </c>
    </row>
    <row r="1210" spans="1:11" ht="42" customHeight="1">
      <c r="A1210" s="2" t="s">
        <v>2720</v>
      </c>
      <c r="B1210" s="2" t="s">
        <v>2721</v>
      </c>
      <c r="C1210" s="2" t="s">
        <v>174</v>
      </c>
      <c r="D1210" s="2" t="s">
        <v>27</v>
      </c>
      <c r="E1210" s="5">
        <v>-28569</v>
      </c>
      <c r="F1210" s="3" t="s">
        <v>512</v>
      </c>
      <c r="G1210" s="3" t="s">
        <v>29</v>
      </c>
      <c r="H1210" s="2" t="s">
        <v>21</v>
      </c>
      <c r="I1210" s="2" t="s">
        <v>2724</v>
      </c>
      <c r="J1210" s="3" t="str">
        <f>HYPERLINK("https://www.boe.es/gazeta/dias/1821/10/11/pdfs/GMD-1821-290.pdf#page=6","Abrir facsímil")</f>
        <v>Abrir facsímil</v>
      </c>
      <c r="K1210" s="3" t="s">
        <v>23</v>
      </c>
    </row>
    <row r="1211" spans="1:11" ht="42" customHeight="1">
      <c r="A1211" s="2" t="s">
        <v>2720</v>
      </c>
      <c r="B1211" s="2" t="s">
        <v>2721</v>
      </c>
      <c r="C1211" s="2" t="s">
        <v>17</v>
      </c>
      <c r="D1211" s="2" t="s">
        <v>18</v>
      </c>
      <c r="E1211" s="5">
        <v>-28547</v>
      </c>
      <c r="F1211" s="3" t="s">
        <v>247</v>
      </c>
      <c r="G1211" s="3" t="s">
        <v>248</v>
      </c>
      <c r="H1211" s="2" t="s">
        <v>21</v>
      </c>
      <c r="I1211" s="2" t="s">
        <v>2725</v>
      </c>
      <c r="J1211" s="3" t="str">
        <f>HYPERLINK("https://www.boe.es/gazeta/dias/1821/11/02/pdfs/GMD-1821-312.pdf#page=2","Abrir facsímil")</f>
        <v>Abrir facsímil</v>
      </c>
      <c r="K1211" s="3" t="s">
        <v>23</v>
      </c>
    </row>
    <row r="1212" spans="1:11" ht="42" customHeight="1">
      <c r="A1212" s="2" t="s">
        <v>2720</v>
      </c>
      <c r="B1212" s="2" t="s">
        <v>2721</v>
      </c>
      <c r="C1212" s="2" t="s">
        <v>35</v>
      </c>
      <c r="D1212" s="2" t="s">
        <v>27</v>
      </c>
      <c r="E1212" s="5">
        <v>-28543</v>
      </c>
      <c r="F1212" s="3" t="s">
        <v>136</v>
      </c>
      <c r="G1212" s="3" t="s">
        <v>52</v>
      </c>
      <c r="H1212" s="2" t="s">
        <v>21</v>
      </c>
      <c r="I1212" s="2" t="s">
        <v>2726</v>
      </c>
      <c r="J1212" s="3" t="str">
        <f>HYPERLINK("https://www.boe.es/gazeta/dias/1821/11/06/pdfs/GMD-1821-317.pdf#page=2","Abrir facsímil")</f>
        <v>Abrir facsímil</v>
      </c>
      <c r="K1212" s="3" t="s">
        <v>23</v>
      </c>
    </row>
    <row r="1213" spans="1:11" ht="42" customHeight="1">
      <c r="A1213" s="2" t="s">
        <v>2727</v>
      </c>
      <c r="B1213" s="2" t="s">
        <v>2728</v>
      </c>
      <c r="C1213" s="2" t="s">
        <v>114</v>
      </c>
      <c r="D1213" s="2" t="s">
        <v>27</v>
      </c>
      <c r="E1213" s="5">
        <v>-28501</v>
      </c>
      <c r="F1213" s="3" t="s">
        <v>456</v>
      </c>
      <c r="G1213" s="3" t="s">
        <v>1253</v>
      </c>
      <c r="H1213" s="2" t="s">
        <v>21</v>
      </c>
      <c r="I1213" s="2" t="s">
        <v>2729</v>
      </c>
      <c r="J1213" s="3" t="str">
        <f>HYPERLINK("https://www.boe.es/gazeta/dias/1821/12/18/pdfs/GMD-1821-361.pdf#page=6","Abrir facsímil")</f>
        <v>Abrir facsímil</v>
      </c>
      <c r="K1213" s="3" t="s">
        <v>23</v>
      </c>
    </row>
    <row r="1214" spans="1:11" ht="42" customHeight="1">
      <c r="A1214" s="2" t="s">
        <v>2730</v>
      </c>
      <c r="B1214" s="2" t="s">
        <v>2731</v>
      </c>
      <c r="C1214" s="2" t="s">
        <v>26</v>
      </c>
      <c r="D1214" s="2" t="s">
        <v>27</v>
      </c>
      <c r="E1214" s="5">
        <v>-28610</v>
      </c>
      <c r="F1214" s="3" t="s">
        <v>190</v>
      </c>
      <c r="G1214" s="3" t="s">
        <v>20</v>
      </c>
      <c r="H1214" s="2" t="s">
        <v>21</v>
      </c>
      <c r="I1214" s="2" t="s">
        <v>2732</v>
      </c>
      <c r="J1214" s="3" t="str">
        <f>HYPERLINK("https://www.boe.es/gazeta/dias/1821/08/31/pdfs/GMD-1821-248.pdf#page=3","Abrir facsímil")</f>
        <v>Abrir facsímil</v>
      </c>
      <c r="K1214" s="3" t="s">
        <v>23</v>
      </c>
    </row>
    <row r="1215" spans="1:11" ht="42" customHeight="1">
      <c r="A1215" s="2" t="s">
        <v>2733</v>
      </c>
      <c r="B1215" s="2" t="s">
        <v>2734</v>
      </c>
      <c r="C1215" s="2" t="s">
        <v>26</v>
      </c>
      <c r="D1215" s="2" t="s">
        <v>27</v>
      </c>
      <c r="E1215" s="5">
        <v>-28528</v>
      </c>
      <c r="F1215" s="3" t="s">
        <v>1872</v>
      </c>
      <c r="G1215" s="3" t="s">
        <v>52</v>
      </c>
      <c r="H1215" s="2" t="s">
        <v>21</v>
      </c>
      <c r="I1215" s="2" t="s">
        <v>2735</v>
      </c>
      <c r="J1215" s="3" t="str">
        <f>HYPERLINK("https://www.boe.es/gazeta/dias/1821/11/21/pdfs/GMD-1821-332.pdf#page=2","Abrir facsímil")</f>
        <v>Abrir facsímil</v>
      </c>
      <c r="K1215" s="3" t="s">
        <v>23</v>
      </c>
    </row>
    <row r="1216" spans="1:11" ht="42" customHeight="1">
      <c r="A1216" s="2" t="s">
        <v>2736</v>
      </c>
      <c r="B1216" s="2" t="s">
        <v>2737</v>
      </c>
      <c r="C1216" s="2" t="s">
        <v>40</v>
      </c>
      <c r="D1216" s="2" t="s">
        <v>41</v>
      </c>
      <c r="E1216" s="5">
        <v>-28615</v>
      </c>
      <c r="F1216" s="3" t="s">
        <v>427</v>
      </c>
      <c r="G1216" s="3" t="s">
        <v>52</v>
      </c>
      <c r="H1216" s="2" t="s">
        <v>21</v>
      </c>
      <c r="I1216" s="2" t="s">
        <v>2738</v>
      </c>
      <c r="J1216" s="3" t="str">
        <f>HYPERLINK("https://www.boe.es/gazeta/dias/1821/08/26/pdfs/GMD-1821-243.pdf#page=2","Abrir facsímil")</f>
        <v>Abrir facsímil</v>
      </c>
      <c r="K1216" s="3" t="s">
        <v>23</v>
      </c>
    </row>
    <row r="1217" spans="1:11" ht="42" customHeight="1">
      <c r="A1217" s="2" t="s">
        <v>2739</v>
      </c>
      <c r="B1217" s="2" t="s">
        <v>2740</v>
      </c>
      <c r="C1217" s="2" t="s">
        <v>17</v>
      </c>
      <c r="D1217" s="2" t="s">
        <v>18</v>
      </c>
      <c r="E1217" s="5">
        <v>-28719</v>
      </c>
      <c r="F1217" s="3" t="s">
        <v>647</v>
      </c>
      <c r="G1217" s="3" t="s">
        <v>20</v>
      </c>
      <c r="H1217" s="2" t="s">
        <v>21</v>
      </c>
      <c r="I1217" s="2" t="s">
        <v>2741</v>
      </c>
      <c r="J1217" s="3" t="str">
        <f>HYPERLINK("https://www.boe.es/gazeta/dias/1821/05/14/pdfs/GMD-1821-136.pdf#page=3","Abrir facsímil")</f>
        <v>Abrir facsímil</v>
      </c>
      <c r="K1217" s="3" t="s">
        <v>23</v>
      </c>
    </row>
    <row r="1218" spans="1:11" ht="42" customHeight="1">
      <c r="A1218" s="2" t="s">
        <v>2742</v>
      </c>
      <c r="B1218" s="2" t="s">
        <v>2743</v>
      </c>
      <c r="C1218" s="2" t="s">
        <v>26</v>
      </c>
      <c r="D1218" s="2" t="s">
        <v>27</v>
      </c>
      <c r="E1218" s="5">
        <v>-28535</v>
      </c>
      <c r="F1218" s="3" t="s">
        <v>96</v>
      </c>
      <c r="G1218" s="3" t="s">
        <v>162</v>
      </c>
      <c r="H1218" s="2" t="s">
        <v>30</v>
      </c>
      <c r="I1218" s="2" t="s">
        <v>2744</v>
      </c>
      <c r="J1218" s="3" t="str">
        <f>HYPERLINK("https://www.boe.es/gazeta/dias/1821/11/14/pdfs/GMD-1821-325.pdf#page=5","Abrir facsímil")</f>
        <v>Abrir facsímil</v>
      </c>
      <c r="K1218" s="3" t="s">
        <v>32</v>
      </c>
    </row>
    <row r="1219" spans="1:11" ht="42" customHeight="1">
      <c r="A1219" s="2" t="s">
        <v>2745</v>
      </c>
      <c r="B1219" s="2" t="s">
        <v>2746</v>
      </c>
      <c r="C1219" s="2" t="s">
        <v>17</v>
      </c>
      <c r="D1219" s="2" t="s">
        <v>18</v>
      </c>
      <c r="E1219" s="5">
        <v>-28537</v>
      </c>
      <c r="F1219" s="3" t="s">
        <v>56</v>
      </c>
      <c r="G1219" s="3" t="s">
        <v>52</v>
      </c>
      <c r="H1219" s="2" t="s">
        <v>21</v>
      </c>
      <c r="I1219" s="2" t="s">
        <v>2747</v>
      </c>
      <c r="J1219" s="3" t="str">
        <f>HYPERLINK("https://www.boe.es/gazeta/dias/1821/11/12/pdfs/GMD-1821-323.pdf#page=2","Abrir facsímil")</f>
        <v>Abrir facsímil</v>
      </c>
      <c r="K1219" s="3" t="s">
        <v>23</v>
      </c>
    </row>
    <row r="1220" spans="1:11" ht="42" customHeight="1">
      <c r="A1220" s="2" t="s">
        <v>2748</v>
      </c>
      <c r="B1220" s="2" t="s">
        <v>2748</v>
      </c>
      <c r="C1220" s="2" t="s">
        <v>40</v>
      </c>
      <c r="D1220" s="2" t="s">
        <v>41</v>
      </c>
      <c r="E1220" s="5">
        <v>-28610</v>
      </c>
      <c r="F1220" s="3" t="s">
        <v>190</v>
      </c>
      <c r="G1220" s="3" t="s">
        <v>52</v>
      </c>
      <c r="H1220" s="2" t="s">
        <v>21</v>
      </c>
      <c r="I1220" s="2" t="s">
        <v>2749</v>
      </c>
      <c r="J1220" s="3" t="str">
        <f>HYPERLINK("https://www.boe.es/gazeta/dias/1821/08/31/pdfs/GMD-1821-248.pdf#page=2","Abrir facsímil")</f>
        <v>Abrir facsímil</v>
      </c>
      <c r="K1220" s="3" t="s">
        <v>23</v>
      </c>
    </row>
    <row r="1221" spans="1:11" ht="42" customHeight="1">
      <c r="A1221" s="2" t="s">
        <v>2750</v>
      </c>
      <c r="B1221" s="2" t="s">
        <v>2751</v>
      </c>
      <c r="C1221" s="2" t="s">
        <v>174</v>
      </c>
      <c r="D1221" s="2" t="s">
        <v>27</v>
      </c>
      <c r="E1221" s="5">
        <v>-28500</v>
      </c>
      <c r="F1221" s="3" t="s">
        <v>298</v>
      </c>
      <c r="G1221" s="3" t="s">
        <v>20</v>
      </c>
      <c r="H1221" s="2" t="s">
        <v>21</v>
      </c>
      <c r="I1221" s="2" t="s">
        <v>2752</v>
      </c>
      <c r="J1221" s="3" t="str">
        <f>HYPERLINK("https://www.boe.es/gazeta/dias/1821/12/19/pdfs/GMD-1821-362.pdf#page=3","Abrir facsímil")</f>
        <v>Abrir facsímil</v>
      </c>
      <c r="K1221" s="3" t="s">
        <v>23</v>
      </c>
    </row>
    <row r="1222" spans="1:11" ht="42" customHeight="1">
      <c r="A1222" s="2" t="s">
        <v>2753</v>
      </c>
      <c r="B1222" s="2" t="s">
        <v>2753</v>
      </c>
      <c r="C1222" s="2" t="s">
        <v>70</v>
      </c>
      <c r="D1222" s="2" t="s">
        <v>27</v>
      </c>
      <c r="E1222" s="5">
        <v>-28681</v>
      </c>
      <c r="F1222" s="3" t="s">
        <v>210</v>
      </c>
      <c r="G1222" s="3" t="s">
        <v>52</v>
      </c>
      <c r="H1222" s="2" t="s">
        <v>21</v>
      </c>
      <c r="I1222" s="2" t="s">
        <v>2754</v>
      </c>
      <c r="J1222" s="3" t="str">
        <f>HYPERLINK("https://www.boe.es/gazeta/dias/1821/06/21/pdfs/GMD-1821-174.pdf#page=2","Abrir facsímil")</f>
        <v>Abrir facsímil</v>
      </c>
      <c r="K1222" s="3" t="s">
        <v>23</v>
      </c>
    </row>
    <row r="1223" spans="1:11" ht="42" customHeight="1">
      <c r="A1223" s="2" t="s">
        <v>2755</v>
      </c>
      <c r="B1223" s="2" t="s">
        <v>2756</v>
      </c>
      <c r="C1223" s="2" t="s">
        <v>40</v>
      </c>
      <c r="D1223" s="2" t="s">
        <v>41</v>
      </c>
      <c r="E1223" s="5">
        <v>-28492</v>
      </c>
      <c r="F1223" s="3" t="s">
        <v>1550</v>
      </c>
      <c r="G1223" s="3" t="s">
        <v>88</v>
      </c>
      <c r="H1223" s="2" t="s">
        <v>21</v>
      </c>
      <c r="I1223" s="2" t="s">
        <v>2757</v>
      </c>
      <c r="J1223" s="3" t="str">
        <f>HYPERLINK("https://www.boe.es/gazeta/dias/1821/12/27/pdfs/GMD-1821-370.pdf#page=4","Abrir facsímil")</f>
        <v>Abrir facsímil</v>
      </c>
      <c r="K1223" s="3" t="s">
        <v>23</v>
      </c>
    </row>
    <row r="1224" spans="1:11" ht="42" customHeight="1">
      <c r="A1224" s="2" t="s">
        <v>2758</v>
      </c>
      <c r="B1224" s="2" t="s">
        <v>2758</v>
      </c>
      <c r="C1224" s="2" t="s">
        <v>40</v>
      </c>
      <c r="D1224" s="2" t="s">
        <v>41</v>
      </c>
      <c r="E1224" s="5">
        <v>-28847</v>
      </c>
      <c r="F1224" s="3" t="s">
        <v>288</v>
      </c>
      <c r="G1224" s="3" t="s">
        <v>20</v>
      </c>
      <c r="H1224" s="2" t="s">
        <v>21</v>
      </c>
      <c r="I1224" s="2" t="s">
        <v>2759</v>
      </c>
      <c r="J1224" s="3" t="str">
        <f>HYPERLINK("https://www.boe.es/gazeta/dias/1821/01/06/pdfs/GGB-1821-6.pdf#page=3","Abrir facsímil")</f>
        <v>Abrir facsímil</v>
      </c>
      <c r="K1224" s="3" t="s">
        <v>23</v>
      </c>
    </row>
    <row r="1225" spans="1:11" ht="42" customHeight="1">
      <c r="A1225" s="2" t="s">
        <v>2760</v>
      </c>
      <c r="B1225" s="2" t="s">
        <v>2761</v>
      </c>
      <c r="C1225" s="2" t="s">
        <v>174</v>
      </c>
      <c r="D1225" s="2" t="s">
        <v>27</v>
      </c>
      <c r="E1225" s="5">
        <v>-28762</v>
      </c>
      <c r="F1225" s="3" t="s">
        <v>608</v>
      </c>
      <c r="G1225" s="3" t="s">
        <v>609</v>
      </c>
      <c r="H1225" s="2" t="s">
        <v>21</v>
      </c>
      <c r="I1225" s="2" t="s">
        <v>2762</v>
      </c>
      <c r="J1225" s="3" t="str">
        <f>HYPERLINK("https://www.boe.es/gazeta/dias/1821/04/01/pdfs/GMD-1821-93.pdf#page=7","Abrir facsímil")</f>
        <v>Abrir facsímil</v>
      </c>
      <c r="K1225" s="3" t="s">
        <v>23</v>
      </c>
    </row>
    <row r="1226" spans="1:11" ht="42" customHeight="1">
      <c r="A1226" s="2" t="s">
        <v>2763</v>
      </c>
      <c r="B1226" s="2" t="s">
        <v>2763</v>
      </c>
      <c r="C1226" s="2" t="s">
        <v>114</v>
      </c>
      <c r="D1226" s="2" t="s">
        <v>27</v>
      </c>
      <c r="E1226" s="5">
        <v>-28793</v>
      </c>
      <c r="F1226" s="3" t="s">
        <v>157</v>
      </c>
      <c r="G1226" s="3" t="s">
        <v>29</v>
      </c>
      <c r="H1226" s="2" t="s">
        <v>21</v>
      </c>
      <c r="I1226" s="2" t="s">
        <v>2764</v>
      </c>
      <c r="J1226" s="3" t="str">
        <f>HYPERLINK("https://www.boe.es/gazeta/dias/1821/03/01/pdfs/GGB-1821-60.pdf#page=6","Abrir facsímil")</f>
        <v>Abrir facsímil</v>
      </c>
      <c r="K1226" s="3" t="s">
        <v>23</v>
      </c>
    </row>
    <row r="1227" spans="1:11" ht="42" customHeight="1">
      <c r="A1227" s="2" t="s">
        <v>2765</v>
      </c>
      <c r="B1227" s="2" t="s">
        <v>2766</v>
      </c>
      <c r="C1227" s="2" t="s">
        <v>26</v>
      </c>
      <c r="D1227" s="2" t="s">
        <v>27</v>
      </c>
      <c r="E1227" s="5">
        <v>-28623</v>
      </c>
      <c r="F1227" s="3" t="s">
        <v>2767</v>
      </c>
      <c r="G1227" s="3" t="s">
        <v>52</v>
      </c>
      <c r="H1227" s="2" t="s">
        <v>30</v>
      </c>
      <c r="I1227" s="2" t="s">
        <v>2768</v>
      </c>
      <c r="J1227" s="3" t="str">
        <f>HYPERLINK("https://www.boe.es/gazeta/dias/1821/08/18/pdfs/GMD-1821-235.pdf#page=2","Abrir facsímil")</f>
        <v>Abrir facsímil</v>
      </c>
      <c r="K1227" s="3" t="s">
        <v>32</v>
      </c>
    </row>
    <row r="1228" spans="1:11" ht="42" customHeight="1">
      <c r="A1228" s="2" t="s">
        <v>2769</v>
      </c>
      <c r="B1228" s="2" t="s">
        <v>2770</v>
      </c>
      <c r="C1228" s="2" t="s">
        <v>26</v>
      </c>
      <c r="D1228" s="2" t="s">
        <v>27</v>
      </c>
      <c r="E1228" s="5">
        <v>-28622</v>
      </c>
      <c r="F1228" s="3" t="s">
        <v>2771</v>
      </c>
      <c r="G1228" s="3" t="s">
        <v>29</v>
      </c>
      <c r="H1228" s="2" t="s">
        <v>21</v>
      </c>
      <c r="I1228" s="2" t="s">
        <v>2772</v>
      </c>
      <c r="J1228" s="3" t="str">
        <f>HYPERLINK("https://www.boe.es/gazeta/dias/1821/08/19/pdfs/GMD-1821-236.pdf#page=6","Abrir facsímil")</f>
        <v>Abrir facsímil</v>
      </c>
      <c r="K1228" s="3" t="s">
        <v>23</v>
      </c>
    </row>
    <row r="1229" spans="1:11" ht="42" customHeight="1">
      <c r="A1229" s="2" t="s">
        <v>2773</v>
      </c>
      <c r="B1229" s="2" t="s">
        <v>2773</v>
      </c>
      <c r="C1229" s="2" t="s">
        <v>26</v>
      </c>
      <c r="D1229" s="2" t="s">
        <v>27</v>
      </c>
      <c r="E1229" s="5">
        <v>-28588</v>
      </c>
      <c r="F1229" s="3" t="s">
        <v>2774</v>
      </c>
      <c r="G1229" s="3" t="s">
        <v>88</v>
      </c>
      <c r="H1229" s="2" t="s">
        <v>21</v>
      </c>
      <c r="I1229" s="2" t="s">
        <v>2775</v>
      </c>
      <c r="J1229" s="3" t="str">
        <f>HYPERLINK("https://www.boe.es/gazeta/dias/1821/09/22/pdfs/GMD-1821-270.pdf#page=4","Abrir facsímil")</f>
        <v>Abrir facsímil</v>
      </c>
      <c r="K1229" s="3" t="s">
        <v>23</v>
      </c>
    </row>
    <row r="1230" spans="1:11" ht="42" customHeight="1">
      <c r="A1230" s="2" t="s">
        <v>2776</v>
      </c>
      <c r="B1230" s="2" t="s">
        <v>2777</v>
      </c>
      <c r="C1230" s="2" t="s">
        <v>114</v>
      </c>
      <c r="D1230" s="2" t="s">
        <v>27</v>
      </c>
      <c r="E1230" s="5">
        <v>-28646</v>
      </c>
      <c r="F1230" s="3" t="s">
        <v>1457</v>
      </c>
      <c r="G1230" s="3" t="s">
        <v>79</v>
      </c>
      <c r="H1230" s="2" t="s">
        <v>21</v>
      </c>
      <c r="I1230" s="2" t="s">
        <v>2778</v>
      </c>
      <c r="J1230" s="3" t="str">
        <f>HYPERLINK("https://www.boe.es/gazeta/dias/1821/07/26/pdfs/GMD-1821-211.pdf#page=4","Abrir facsímil")</f>
        <v>Abrir facsímil</v>
      </c>
      <c r="K1230" s="3" t="s">
        <v>23</v>
      </c>
    </row>
    <row r="1231" spans="1:11" ht="42" customHeight="1">
      <c r="A1231" s="2" t="s">
        <v>2779</v>
      </c>
      <c r="B1231" s="2" t="s">
        <v>2780</v>
      </c>
      <c r="C1231" s="2" t="s">
        <v>35</v>
      </c>
      <c r="D1231" s="2" t="s">
        <v>27</v>
      </c>
      <c r="E1231" s="5">
        <v>-28731</v>
      </c>
      <c r="F1231" s="3" t="s">
        <v>577</v>
      </c>
      <c r="G1231" s="3" t="s">
        <v>88</v>
      </c>
      <c r="H1231" s="2" t="s">
        <v>21</v>
      </c>
      <c r="I1231" s="2" t="s">
        <v>2781</v>
      </c>
      <c r="J1231" s="3" t="str">
        <f>HYPERLINK("https://www.boe.es/gazeta/dias/1821/05/02/pdfs/GMD-1821-124.pdf#page=4","Abrir facsímil")</f>
        <v>Abrir facsímil</v>
      </c>
      <c r="K1231" s="3" t="s">
        <v>23</v>
      </c>
    </row>
    <row r="1232" spans="1:11" ht="42" customHeight="1">
      <c r="A1232" s="2" t="s">
        <v>2782</v>
      </c>
      <c r="B1232" s="2" t="s">
        <v>2783</v>
      </c>
      <c r="C1232" s="2" t="s">
        <v>26</v>
      </c>
      <c r="D1232" s="2" t="s">
        <v>27</v>
      </c>
      <c r="E1232" s="5">
        <v>-28547</v>
      </c>
      <c r="F1232" s="3" t="s">
        <v>247</v>
      </c>
      <c r="G1232" s="3" t="s">
        <v>248</v>
      </c>
      <c r="H1232" s="2" t="s">
        <v>21</v>
      </c>
      <c r="I1232" s="2" t="s">
        <v>2784</v>
      </c>
      <c r="J1232" s="3" t="str">
        <f>HYPERLINK("https://www.boe.es/gazeta/dias/1821/11/02/pdfs/GMD-1821-312.pdf#page=2","Abrir facsímil")</f>
        <v>Abrir facsímil</v>
      </c>
      <c r="K1232" s="3" t="s">
        <v>23</v>
      </c>
    </row>
    <row r="1233" spans="1:11" ht="42" customHeight="1">
      <c r="A1233" s="2" t="s">
        <v>2785</v>
      </c>
      <c r="B1233" s="2" t="s">
        <v>2786</v>
      </c>
      <c r="C1233" s="2" t="s">
        <v>40</v>
      </c>
      <c r="D1233" s="2" t="s">
        <v>41</v>
      </c>
      <c r="E1233" s="5">
        <v>-28590</v>
      </c>
      <c r="F1233" s="3" t="s">
        <v>2787</v>
      </c>
      <c r="G1233" s="3" t="s">
        <v>88</v>
      </c>
      <c r="H1233" s="2" t="s">
        <v>21</v>
      </c>
      <c r="I1233" s="2" t="s">
        <v>2788</v>
      </c>
      <c r="J1233" s="3" t="str">
        <f>HYPERLINK("https://www.boe.es/gazeta/dias/1821/09/20/pdfs/GMD-1821-268.pdf#page=4","Abrir facsímil")</f>
        <v>Abrir facsímil</v>
      </c>
      <c r="K1233" s="3" t="s">
        <v>23</v>
      </c>
    </row>
    <row r="1234" spans="1:11" ht="42" customHeight="1">
      <c r="A1234" s="2" t="s">
        <v>2789</v>
      </c>
      <c r="B1234" s="2" t="s">
        <v>2790</v>
      </c>
      <c r="C1234" s="2" t="s">
        <v>17</v>
      </c>
      <c r="D1234" s="2" t="s">
        <v>18</v>
      </c>
      <c r="E1234" s="5">
        <v>-28606</v>
      </c>
      <c r="F1234" s="3" t="s">
        <v>1799</v>
      </c>
      <c r="G1234" s="3" t="s">
        <v>88</v>
      </c>
      <c r="H1234" s="2" t="s">
        <v>21</v>
      </c>
      <c r="I1234" s="2" t="s">
        <v>2791</v>
      </c>
      <c r="J1234" s="3" t="str">
        <f>HYPERLINK("https://www.boe.es/gazeta/dias/1821/09/04/pdfs/GMD-1821-252.pdf#page=4","Abrir facsímil")</f>
        <v>Abrir facsímil</v>
      </c>
      <c r="K1234" s="3" t="s">
        <v>23</v>
      </c>
    </row>
    <row r="1235" spans="1:11" ht="42" customHeight="1">
      <c r="A1235" s="2" t="s">
        <v>2792</v>
      </c>
      <c r="B1235" s="2" t="s">
        <v>2792</v>
      </c>
      <c r="C1235" s="2" t="s">
        <v>40</v>
      </c>
      <c r="D1235" s="2" t="s">
        <v>41</v>
      </c>
      <c r="E1235" s="5">
        <v>-28765</v>
      </c>
      <c r="F1235" s="3" t="s">
        <v>974</v>
      </c>
      <c r="G1235" s="3" t="s">
        <v>1483</v>
      </c>
      <c r="H1235" s="2" t="s">
        <v>21</v>
      </c>
      <c r="I1235" s="2" t="s">
        <v>2793</v>
      </c>
      <c r="J1235" s="3" t="str">
        <f>HYPERLINK("https://www.boe.es/gazeta/dias/1821/03/29/pdfs/GMD-1821-90.pdf#page=4","Abrir facsímil")</f>
        <v>Abrir facsímil</v>
      </c>
      <c r="K1235" s="3" t="s">
        <v>23</v>
      </c>
    </row>
    <row r="1236" spans="1:11" ht="42" customHeight="1">
      <c r="A1236" s="2" t="s">
        <v>2794</v>
      </c>
      <c r="B1236" s="2" t="s">
        <v>2794</v>
      </c>
      <c r="C1236" s="2" t="s">
        <v>40</v>
      </c>
      <c r="D1236" s="2" t="s">
        <v>41</v>
      </c>
      <c r="E1236" s="5">
        <v>-28820</v>
      </c>
      <c r="F1236" s="3" t="s">
        <v>1430</v>
      </c>
      <c r="G1236" s="3" t="s">
        <v>43</v>
      </c>
      <c r="H1236" s="2" t="s">
        <v>21</v>
      </c>
      <c r="I1236" s="2" t="s">
        <v>2795</v>
      </c>
      <c r="J1236" s="3" t="str">
        <f>HYPERLINK("https://www.boe.es/gazeta/dias/1821/02/02/pdfs/GGB-1821-33.pdf#page=1","Abrir facsímil")</f>
        <v>Abrir facsímil</v>
      </c>
      <c r="K1236" s="3" t="s">
        <v>23</v>
      </c>
    </row>
    <row r="1237" spans="1:11" ht="42" customHeight="1">
      <c r="A1237" s="2" t="s">
        <v>2796</v>
      </c>
      <c r="B1237" s="2" t="s">
        <v>2796</v>
      </c>
      <c r="C1237" s="2" t="s">
        <v>40</v>
      </c>
      <c r="D1237" s="2" t="s">
        <v>41</v>
      </c>
      <c r="E1237" s="5">
        <v>-28775</v>
      </c>
      <c r="F1237" s="3" t="s">
        <v>132</v>
      </c>
      <c r="G1237" s="3" t="s">
        <v>20</v>
      </c>
      <c r="H1237" s="2" t="s">
        <v>21</v>
      </c>
      <c r="I1237" s="2" t="s">
        <v>2797</v>
      </c>
      <c r="J1237" s="3" t="str">
        <f>HYPERLINK("https://www.boe.es/gazeta/dias/1821/03/19/pdfs/GMD-1821-78.pdf#page=3","Abrir facsímil")</f>
        <v>Abrir facsímil</v>
      </c>
      <c r="K1237" s="3" t="s">
        <v>23</v>
      </c>
    </row>
    <row r="1238" spans="1:11" ht="42" customHeight="1">
      <c r="A1238" s="2" t="s">
        <v>2794</v>
      </c>
      <c r="B1238" s="2" t="s">
        <v>2794</v>
      </c>
      <c r="C1238" s="2" t="s">
        <v>40</v>
      </c>
      <c r="D1238" s="2" t="s">
        <v>41</v>
      </c>
      <c r="E1238" s="5">
        <v>-28765</v>
      </c>
      <c r="F1238" s="3" t="s">
        <v>974</v>
      </c>
      <c r="G1238" s="3" t="s">
        <v>1483</v>
      </c>
      <c r="H1238" s="2" t="s">
        <v>21</v>
      </c>
      <c r="I1238" s="2" t="s">
        <v>2798</v>
      </c>
      <c r="J1238" s="3" t="str">
        <f>HYPERLINK("https://www.boe.es/gazeta/dias/1821/03/29/pdfs/GMD-1821-90.pdf#page=4","Abrir facsímil")</f>
        <v>Abrir facsímil</v>
      </c>
      <c r="K1238" s="3" t="s">
        <v>23</v>
      </c>
    </row>
    <row r="1239" spans="1:11" ht="42" customHeight="1">
      <c r="A1239" s="2" t="s">
        <v>2799</v>
      </c>
      <c r="B1239" s="2" t="s">
        <v>2799</v>
      </c>
      <c r="C1239" s="2" t="s">
        <v>40</v>
      </c>
      <c r="D1239" s="2" t="s">
        <v>41</v>
      </c>
      <c r="E1239" s="5">
        <v>-28740</v>
      </c>
      <c r="F1239" s="3" t="s">
        <v>2800</v>
      </c>
      <c r="G1239" s="3" t="s">
        <v>43</v>
      </c>
      <c r="H1239" s="2" t="s">
        <v>21</v>
      </c>
      <c r="I1239" s="2" t="s">
        <v>2801</v>
      </c>
      <c r="J1239" s="3" t="str">
        <f>HYPERLINK("https://www.boe.es/gazeta/dias/1821/04/23/pdfs/GMD-1821-115.pdf#page=1","Abrir facsímil")</f>
        <v>Abrir facsímil</v>
      </c>
      <c r="K1239" s="3" t="s">
        <v>23</v>
      </c>
    </row>
    <row r="1240" spans="1:11" ht="42" customHeight="1">
      <c r="A1240" s="2" t="s">
        <v>2802</v>
      </c>
      <c r="B1240" s="2" t="s">
        <v>2802</v>
      </c>
      <c r="C1240" s="2" t="s">
        <v>114</v>
      </c>
      <c r="D1240" s="2" t="s">
        <v>27</v>
      </c>
      <c r="E1240" s="5">
        <v>-28494</v>
      </c>
      <c r="F1240" s="3" t="s">
        <v>1665</v>
      </c>
      <c r="G1240" s="3" t="s">
        <v>2803</v>
      </c>
      <c r="H1240" s="2" t="s">
        <v>21</v>
      </c>
      <c r="I1240" s="2" t="s">
        <v>2804</v>
      </c>
      <c r="J1240" s="3" t="str">
        <f>HYPERLINK("https://www.boe.es/gazeta/dias/1821/12/25/pdfs/GMD-1821-368.pdf#page=2","Abrir facsímil")</f>
        <v>Abrir facsímil</v>
      </c>
      <c r="K1240" s="3" t="s">
        <v>23</v>
      </c>
    </row>
    <row r="1241" spans="1:11" ht="42" customHeight="1">
      <c r="A1241" s="2" t="s">
        <v>2805</v>
      </c>
      <c r="B1241" s="2" t="s">
        <v>2806</v>
      </c>
      <c r="C1241" s="2" t="s">
        <v>17</v>
      </c>
      <c r="D1241" s="2" t="s">
        <v>18</v>
      </c>
      <c r="E1241" s="5">
        <v>-28672</v>
      </c>
      <c r="F1241" s="3" t="s">
        <v>964</v>
      </c>
      <c r="G1241" s="3" t="s">
        <v>43</v>
      </c>
      <c r="H1241" s="2" t="s">
        <v>21</v>
      </c>
      <c r="I1241" s="2" t="s">
        <v>2807</v>
      </c>
      <c r="J1241" s="3" t="str">
        <f>HYPERLINK("https://www.boe.es/gazeta/dias/1821/06/30/pdfs/GMD-1821-183.pdf#page=1","Abrir facsímil")</f>
        <v>Abrir facsímil</v>
      </c>
      <c r="K1241" s="3" t="s">
        <v>23</v>
      </c>
    </row>
    <row r="1242" spans="1:11" ht="42" customHeight="1">
      <c r="A1242" s="2" t="s">
        <v>2808</v>
      </c>
      <c r="B1242" s="2" t="s">
        <v>2809</v>
      </c>
      <c r="C1242" s="2" t="s">
        <v>40</v>
      </c>
      <c r="D1242" s="2" t="s">
        <v>41</v>
      </c>
      <c r="E1242" s="5">
        <v>-28780</v>
      </c>
      <c r="F1242" s="3" t="s">
        <v>143</v>
      </c>
      <c r="G1242" s="3" t="s">
        <v>20</v>
      </c>
      <c r="H1242" s="2" t="s">
        <v>21</v>
      </c>
      <c r="I1242" s="2" t="s">
        <v>2810</v>
      </c>
      <c r="J1242" s="3" t="str">
        <f>HYPERLINK("https://www.boe.es/gazeta/dias/1821/03/14/pdfs/GMD-1821-73.pdf#page=3","Abrir facsímil")</f>
        <v>Abrir facsímil</v>
      </c>
      <c r="K1242" s="3" t="s">
        <v>23</v>
      </c>
    </row>
    <row r="1243" spans="1:11" ht="42" customHeight="1">
      <c r="A1243" s="2" t="s">
        <v>2811</v>
      </c>
      <c r="B1243" s="2" t="s">
        <v>2812</v>
      </c>
      <c r="C1243" s="2" t="s">
        <v>17</v>
      </c>
      <c r="D1243" s="2" t="s">
        <v>18</v>
      </c>
      <c r="E1243" s="5">
        <v>-28779</v>
      </c>
      <c r="F1243" s="3" t="s">
        <v>1002</v>
      </c>
      <c r="G1243" s="3" t="s">
        <v>52</v>
      </c>
      <c r="H1243" s="2" t="s">
        <v>21</v>
      </c>
      <c r="I1243" s="2" t="s">
        <v>2813</v>
      </c>
      <c r="J1243" s="3" t="str">
        <f>HYPERLINK("https://www.boe.es/gazeta/dias/1821/03/15/pdfs/GMD-1821-74.pdf#page=2","Abrir facsímil")</f>
        <v>Abrir facsímil</v>
      </c>
      <c r="K1243" s="3" t="s">
        <v>23</v>
      </c>
    </row>
    <row r="1244" spans="1:11" ht="42" customHeight="1">
      <c r="A1244" s="2" t="s">
        <v>2814</v>
      </c>
      <c r="B1244" s="2" t="s">
        <v>2815</v>
      </c>
      <c r="C1244" s="2" t="s">
        <v>26</v>
      </c>
      <c r="D1244" s="2" t="s">
        <v>27</v>
      </c>
      <c r="E1244" s="5">
        <v>-28669</v>
      </c>
      <c r="F1244" s="3" t="s">
        <v>2816</v>
      </c>
      <c r="G1244" s="3" t="s">
        <v>20</v>
      </c>
      <c r="H1244" s="2" t="s">
        <v>21</v>
      </c>
      <c r="I1244" s="2" t="s">
        <v>2817</v>
      </c>
      <c r="J1244" s="3" t="str">
        <f>HYPERLINK("https://www.boe.es/gazeta/dias/1821/07/03/pdfs/GMD-1821-187.pdf#page=3","Abrir facsímil")</f>
        <v>Abrir facsímil</v>
      </c>
      <c r="K1244" s="3" t="s">
        <v>23</v>
      </c>
    </row>
    <row r="1245" spans="1:11" ht="42" customHeight="1">
      <c r="A1245" s="2" t="s">
        <v>2818</v>
      </c>
      <c r="B1245" s="2" t="s">
        <v>2819</v>
      </c>
      <c r="C1245" s="2" t="s">
        <v>17</v>
      </c>
      <c r="D1245" s="2" t="s">
        <v>18</v>
      </c>
      <c r="E1245" s="5">
        <v>-28532</v>
      </c>
      <c r="F1245" s="3" t="s">
        <v>1415</v>
      </c>
      <c r="G1245" s="3" t="s">
        <v>52</v>
      </c>
      <c r="H1245" s="2" t="s">
        <v>21</v>
      </c>
      <c r="I1245" s="2" t="s">
        <v>2820</v>
      </c>
      <c r="J1245" s="3" t="str">
        <f>HYPERLINK("https://www.boe.es/gazeta/dias/1821/11/17/pdfs/GMD-1821-328.pdf#page=2","Abrir facsímil")</f>
        <v>Abrir facsímil</v>
      </c>
      <c r="K1245" s="3" t="s">
        <v>23</v>
      </c>
    </row>
    <row r="1246" spans="1:11" ht="42" customHeight="1">
      <c r="A1246" s="2" t="s">
        <v>2818</v>
      </c>
      <c r="B1246" s="2" t="s">
        <v>2819</v>
      </c>
      <c r="C1246" s="2" t="s">
        <v>17</v>
      </c>
      <c r="D1246" s="2" t="s">
        <v>18</v>
      </c>
      <c r="E1246" s="5">
        <v>-28518</v>
      </c>
      <c r="F1246" s="3" t="s">
        <v>410</v>
      </c>
      <c r="G1246" s="3" t="s">
        <v>52</v>
      </c>
      <c r="H1246" s="2" t="s">
        <v>21</v>
      </c>
      <c r="I1246" s="2" t="s">
        <v>2821</v>
      </c>
      <c r="J1246" s="3" t="str">
        <f>HYPERLINK("https://www.boe.es/gazeta/dias/1821/12/01/pdfs/GMD-1821-343.pdf#page=2","Abrir facsímil")</f>
        <v>Abrir facsímil</v>
      </c>
      <c r="K1246" s="3" t="s">
        <v>23</v>
      </c>
    </row>
    <row r="1247" spans="1:11" ht="42" customHeight="1">
      <c r="A1247" s="2" t="s">
        <v>2822</v>
      </c>
      <c r="B1247" s="2" t="s">
        <v>2823</v>
      </c>
      <c r="C1247" s="2" t="s">
        <v>17</v>
      </c>
      <c r="D1247" s="2" t="s">
        <v>18</v>
      </c>
      <c r="E1247" s="5">
        <v>-28669</v>
      </c>
      <c r="F1247" s="3" t="s">
        <v>2816</v>
      </c>
      <c r="G1247" s="3" t="s">
        <v>88</v>
      </c>
      <c r="H1247" s="2" t="s">
        <v>21</v>
      </c>
      <c r="I1247" s="2" t="s">
        <v>2824</v>
      </c>
      <c r="J1247" s="3" t="str">
        <f>HYPERLINK("https://www.boe.es/gazeta/dias/1821/07/03/pdfs/GMD-1821-187.pdf#page=4","Abrir facsímil")</f>
        <v>Abrir facsímil</v>
      </c>
      <c r="K1247" s="3" t="s">
        <v>23</v>
      </c>
    </row>
    <row r="1248" spans="1:11" ht="42" customHeight="1">
      <c r="A1248" s="2" t="s">
        <v>2825</v>
      </c>
      <c r="B1248" s="2" t="s">
        <v>2826</v>
      </c>
      <c r="C1248" s="2" t="s">
        <v>17</v>
      </c>
      <c r="D1248" s="2" t="s">
        <v>18</v>
      </c>
      <c r="E1248" s="5">
        <v>-28669</v>
      </c>
      <c r="F1248" s="3" t="s">
        <v>2816</v>
      </c>
      <c r="G1248" s="3" t="s">
        <v>88</v>
      </c>
      <c r="H1248" s="2" t="s">
        <v>21</v>
      </c>
      <c r="I1248" s="2" t="s">
        <v>2827</v>
      </c>
      <c r="J1248" s="3" t="str">
        <f>HYPERLINK("https://www.boe.es/gazeta/dias/1821/07/03/pdfs/GMD-1821-187.pdf#page=4","Abrir facsímil")</f>
        <v>Abrir facsímil</v>
      </c>
      <c r="K1248" s="3" t="s">
        <v>23</v>
      </c>
    </row>
    <row r="1249" spans="1:11" ht="42" customHeight="1">
      <c r="A1249" s="2" t="s">
        <v>2825</v>
      </c>
      <c r="B1249" s="2" t="s">
        <v>2826</v>
      </c>
      <c r="C1249" s="2" t="s">
        <v>17</v>
      </c>
      <c r="D1249" s="2" t="s">
        <v>18</v>
      </c>
      <c r="E1249" s="5">
        <v>-28668</v>
      </c>
      <c r="F1249" s="3" t="s">
        <v>2130</v>
      </c>
      <c r="G1249" s="3" t="s">
        <v>88</v>
      </c>
      <c r="H1249" s="2" t="s">
        <v>21</v>
      </c>
      <c r="I1249" s="2" t="s">
        <v>2828</v>
      </c>
      <c r="J1249" s="3" t="str">
        <f>HYPERLINK("https://www.boe.es/gazeta/dias/1821/07/04/pdfs/GMD-1821-188.pdf#page=4","Abrir facsímil")</f>
        <v>Abrir facsímil</v>
      </c>
      <c r="K1249" s="3" t="s">
        <v>23</v>
      </c>
    </row>
    <row r="1250" spans="1:11" ht="42" customHeight="1">
      <c r="A1250" s="2" t="s">
        <v>2829</v>
      </c>
      <c r="B1250" s="2" t="s">
        <v>2829</v>
      </c>
      <c r="C1250" s="2" t="s">
        <v>17</v>
      </c>
      <c r="D1250" s="2" t="s">
        <v>18</v>
      </c>
      <c r="E1250" s="5">
        <v>-28814</v>
      </c>
      <c r="F1250" s="3" t="s">
        <v>2090</v>
      </c>
      <c r="G1250" s="3" t="s">
        <v>52</v>
      </c>
      <c r="H1250" s="2" t="s">
        <v>21</v>
      </c>
      <c r="I1250" s="2" t="s">
        <v>2830</v>
      </c>
      <c r="J1250" s="3" t="str">
        <f>HYPERLINK("https://www.boe.es/gazeta/dias/1821/02/08/pdfs/GGB-1821-39.pdf#page=2","Abrir facsímil")</f>
        <v>Abrir facsímil</v>
      </c>
      <c r="K1250" s="3" t="s">
        <v>23</v>
      </c>
    </row>
    <row r="1251" spans="1:11" ht="42" customHeight="1">
      <c r="A1251" s="2" t="s">
        <v>2831</v>
      </c>
      <c r="B1251" s="2" t="s">
        <v>2832</v>
      </c>
      <c r="C1251" s="2" t="s">
        <v>70</v>
      </c>
      <c r="D1251" s="2" t="s">
        <v>27</v>
      </c>
      <c r="E1251" s="5">
        <v>-28696</v>
      </c>
      <c r="F1251" s="3" t="s">
        <v>497</v>
      </c>
      <c r="G1251" s="3" t="s">
        <v>88</v>
      </c>
      <c r="H1251" s="2" t="s">
        <v>21</v>
      </c>
      <c r="I1251" s="2" t="s">
        <v>2833</v>
      </c>
      <c r="J1251" s="3" t="str">
        <f>HYPERLINK("https://www.boe.es/gazeta/dias/1821/06/06/pdfs/GMD-1821-159.pdf#page=4","Abrir facsímil")</f>
        <v>Abrir facsímil</v>
      </c>
      <c r="K1251" s="3" t="s">
        <v>23</v>
      </c>
    </row>
    <row r="1252" spans="1:11" ht="42" customHeight="1">
      <c r="A1252" s="2" t="s">
        <v>2834</v>
      </c>
      <c r="B1252" s="2" t="s">
        <v>2835</v>
      </c>
      <c r="C1252" s="2" t="s">
        <v>40</v>
      </c>
      <c r="D1252" s="2" t="s">
        <v>41</v>
      </c>
      <c r="E1252" s="5">
        <v>-28850</v>
      </c>
      <c r="F1252" s="3" t="s">
        <v>664</v>
      </c>
      <c r="G1252" s="3" t="s">
        <v>20</v>
      </c>
      <c r="H1252" s="2" t="s">
        <v>21</v>
      </c>
      <c r="I1252" s="2" t="s">
        <v>2836</v>
      </c>
      <c r="J1252" s="3" t="str">
        <f>HYPERLINK("https://www.boe.es/gazeta/dias/1821/01/03/pdfs/GGB-1821-3.pdf#page=3","Abrir facsímil")</f>
        <v>Abrir facsímil</v>
      </c>
      <c r="K1252" s="3" t="s">
        <v>23</v>
      </c>
    </row>
    <row r="1253" spans="1:11" ht="42" customHeight="1">
      <c r="A1253" s="2" t="s">
        <v>2834</v>
      </c>
      <c r="B1253" s="2" t="s">
        <v>2835</v>
      </c>
      <c r="C1253" s="2" t="s">
        <v>40</v>
      </c>
      <c r="D1253" s="2" t="s">
        <v>41</v>
      </c>
      <c r="E1253" s="5">
        <v>-28839</v>
      </c>
      <c r="F1253" s="3" t="s">
        <v>1686</v>
      </c>
      <c r="G1253" s="3" t="s">
        <v>20</v>
      </c>
      <c r="H1253" s="2" t="s">
        <v>21</v>
      </c>
      <c r="I1253" s="2" t="s">
        <v>2837</v>
      </c>
      <c r="J1253" s="3" t="str">
        <f>HYPERLINK("https://www.boe.es/gazeta/dias/1821/01/14/pdfs/GGB-1821-14.pdf#page=3","Abrir facsímil")</f>
        <v>Abrir facsímil</v>
      </c>
      <c r="K1253" s="3" t="s">
        <v>23</v>
      </c>
    </row>
    <row r="1254" spans="1:11" ht="42" customHeight="1">
      <c r="A1254" s="2" t="s">
        <v>2838</v>
      </c>
      <c r="B1254" s="2" t="s">
        <v>2838</v>
      </c>
      <c r="C1254" s="2" t="s">
        <v>40</v>
      </c>
      <c r="D1254" s="2" t="s">
        <v>41</v>
      </c>
      <c r="E1254" s="5">
        <v>-28717</v>
      </c>
      <c r="F1254" s="3" t="s">
        <v>1044</v>
      </c>
      <c r="G1254" s="3" t="s">
        <v>43</v>
      </c>
      <c r="H1254" s="2" t="s">
        <v>21</v>
      </c>
      <c r="I1254" s="2" t="s">
        <v>2839</v>
      </c>
      <c r="J1254" s="3" t="str">
        <f>HYPERLINK("https://www.boe.es/gazeta/dias/1821/05/16/pdfs/GMD-1821-138.pdf#page=1","Abrir facsímil")</f>
        <v>Abrir facsímil</v>
      </c>
      <c r="K1254" s="3" t="s">
        <v>23</v>
      </c>
    </row>
    <row r="1255" spans="1:11" ht="42" customHeight="1">
      <c r="A1255" s="2" t="s">
        <v>2840</v>
      </c>
      <c r="B1255" s="2" t="s">
        <v>2841</v>
      </c>
      <c r="C1255" s="2" t="s">
        <v>26</v>
      </c>
      <c r="D1255" s="2" t="s">
        <v>27</v>
      </c>
      <c r="E1255" s="5">
        <v>-28744</v>
      </c>
      <c r="F1255" s="3" t="s">
        <v>834</v>
      </c>
      <c r="G1255" s="3" t="s">
        <v>52</v>
      </c>
      <c r="H1255" s="2" t="s">
        <v>21</v>
      </c>
      <c r="I1255" s="2" t="s">
        <v>2842</v>
      </c>
      <c r="J1255" s="3" t="str">
        <f>HYPERLINK("https://www.boe.es/gazeta/dias/1821/04/19/pdfs/GMD-1821-111.pdf#page=2","Abrir facsímil")</f>
        <v>Abrir facsímil</v>
      </c>
      <c r="K1255" s="3" t="s">
        <v>23</v>
      </c>
    </row>
    <row r="1256" spans="1:11" ht="42" customHeight="1">
      <c r="A1256" s="2" t="s">
        <v>2843</v>
      </c>
      <c r="B1256" s="2" t="s">
        <v>2844</v>
      </c>
      <c r="C1256" s="2" t="s">
        <v>40</v>
      </c>
      <c r="D1256" s="2" t="s">
        <v>41</v>
      </c>
      <c r="E1256" s="5">
        <v>-28531</v>
      </c>
      <c r="F1256" s="3" t="s">
        <v>365</v>
      </c>
      <c r="G1256" s="3" t="s">
        <v>20</v>
      </c>
      <c r="H1256" s="2" t="s">
        <v>30</v>
      </c>
      <c r="I1256" s="2" t="s">
        <v>2845</v>
      </c>
      <c r="J1256" s="3" t="str">
        <f>HYPERLINK("https://www.boe.es/gazeta/dias/1821/11/18/pdfs/GMD-1821-329.pdf#page=3","Abrir facsímil")</f>
        <v>Abrir facsímil</v>
      </c>
      <c r="K1256" s="3" t="s">
        <v>32</v>
      </c>
    </row>
    <row r="1257" spans="1:11" ht="42" customHeight="1">
      <c r="A1257" s="2" t="s">
        <v>2846</v>
      </c>
      <c r="B1257" s="2" t="s">
        <v>2846</v>
      </c>
      <c r="C1257" s="2" t="s">
        <v>114</v>
      </c>
      <c r="D1257" s="2" t="s">
        <v>27</v>
      </c>
      <c r="E1257" s="5">
        <v>-28571</v>
      </c>
      <c r="F1257" s="3" t="s">
        <v>482</v>
      </c>
      <c r="G1257" s="3" t="s">
        <v>162</v>
      </c>
      <c r="H1257" s="2" t="s">
        <v>21</v>
      </c>
      <c r="I1257" s="2" t="s">
        <v>2847</v>
      </c>
      <c r="J1257" s="3" t="str">
        <f>HYPERLINK("https://www.boe.es/gazeta/dias/1821/10/09/pdfs/GMD-1821-288.pdf#page=5","Abrir facsímil")</f>
        <v>Abrir facsímil</v>
      </c>
      <c r="K1257" s="3" t="s">
        <v>23</v>
      </c>
    </row>
    <row r="1258" spans="1:11" ht="42" customHeight="1">
      <c r="A1258" s="2" t="s">
        <v>2848</v>
      </c>
      <c r="B1258" s="2" t="s">
        <v>2849</v>
      </c>
      <c r="C1258" s="2" t="s">
        <v>40</v>
      </c>
      <c r="D1258" s="2" t="s">
        <v>41</v>
      </c>
      <c r="E1258" s="5">
        <v>-28659</v>
      </c>
      <c r="F1258" s="3" t="s">
        <v>2850</v>
      </c>
      <c r="G1258" s="3" t="s">
        <v>52</v>
      </c>
      <c r="H1258" s="2" t="s">
        <v>21</v>
      </c>
      <c r="I1258" s="2" t="s">
        <v>2851</v>
      </c>
      <c r="J1258" s="3" t="str">
        <f>HYPERLINK("https://www.boe.es/gazeta/dias/1821/07/13/pdfs/GMD-1821-198.pdf#page=2","Abrir facsímil")</f>
        <v>Abrir facsímil</v>
      </c>
      <c r="K1258" s="3" t="s">
        <v>23</v>
      </c>
    </row>
    <row r="1259" spans="1:11" ht="42" customHeight="1">
      <c r="A1259" s="2" t="s">
        <v>2852</v>
      </c>
      <c r="B1259" s="2" t="s">
        <v>2853</v>
      </c>
      <c r="C1259" s="2" t="s">
        <v>26</v>
      </c>
      <c r="D1259" s="2" t="s">
        <v>27</v>
      </c>
      <c r="E1259" s="5">
        <v>-28676</v>
      </c>
      <c r="F1259" s="3" t="s">
        <v>534</v>
      </c>
      <c r="G1259" s="3" t="s">
        <v>29</v>
      </c>
      <c r="H1259" s="2" t="s">
        <v>30</v>
      </c>
      <c r="I1259" s="2" t="s">
        <v>2854</v>
      </c>
      <c r="J1259" s="3" t="str">
        <f>HYPERLINK("https://www.boe.es/gazeta/dias/1821/06/26/pdfs/GMD-1821-179.pdf#page=6","Abrir facsímil")</f>
        <v>Abrir facsímil</v>
      </c>
      <c r="K1259" s="3" t="s">
        <v>32</v>
      </c>
    </row>
    <row r="1260" spans="1:11" ht="42" customHeight="1">
      <c r="A1260" s="2" t="s">
        <v>2855</v>
      </c>
      <c r="B1260" s="2" t="s">
        <v>2855</v>
      </c>
      <c r="C1260" s="2" t="s">
        <v>40</v>
      </c>
      <c r="D1260" s="2" t="s">
        <v>41</v>
      </c>
      <c r="E1260" s="5">
        <v>-28673</v>
      </c>
      <c r="F1260" s="3" t="s">
        <v>1069</v>
      </c>
      <c r="G1260" s="3" t="s">
        <v>88</v>
      </c>
      <c r="H1260" s="2" t="s">
        <v>21</v>
      </c>
      <c r="I1260" s="2" t="s">
        <v>2856</v>
      </c>
      <c r="J1260" s="3" t="str">
        <f>HYPERLINK("https://www.boe.es/gazeta/dias/1821/06/29/pdfs/GMD-1821-182.pdf#page=4","Abrir facsímil")</f>
        <v>Abrir facsímil</v>
      </c>
      <c r="K1260" s="3" t="s">
        <v>23</v>
      </c>
    </row>
    <row r="1261" spans="1:11" ht="42" customHeight="1">
      <c r="A1261" s="2" t="s">
        <v>2857</v>
      </c>
      <c r="B1261" s="2" t="s">
        <v>2857</v>
      </c>
      <c r="C1261" s="2" t="s">
        <v>114</v>
      </c>
      <c r="D1261" s="2" t="s">
        <v>27</v>
      </c>
      <c r="E1261" s="5">
        <v>-28677</v>
      </c>
      <c r="F1261" s="3" t="s">
        <v>361</v>
      </c>
      <c r="G1261" s="3" t="s">
        <v>88</v>
      </c>
      <c r="H1261" s="2" t="s">
        <v>21</v>
      </c>
      <c r="I1261" s="2" t="s">
        <v>2858</v>
      </c>
      <c r="J1261" s="3" t="str">
        <f>HYPERLINK("https://www.boe.es/gazeta/dias/1821/06/25/pdfs/GMD-1821-178.pdf#page=4","Abrir facsímil")</f>
        <v>Abrir facsímil</v>
      </c>
      <c r="K1261" s="3" t="s">
        <v>23</v>
      </c>
    </row>
    <row r="1262" spans="1:11" ht="42" customHeight="1">
      <c r="A1262" s="2" t="s">
        <v>2857</v>
      </c>
      <c r="B1262" s="2" t="s">
        <v>2857</v>
      </c>
      <c r="C1262" s="2" t="s">
        <v>17</v>
      </c>
      <c r="D1262" s="2" t="s">
        <v>18</v>
      </c>
      <c r="E1262" s="5">
        <v>-28508</v>
      </c>
      <c r="F1262" s="3" t="s">
        <v>42</v>
      </c>
      <c r="G1262" s="3" t="s">
        <v>52</v>
      </c>
      <c r="H1262" s="2" t="s">
        <v>21</v>
      </c>
      <c r="I1262" s="2" t="s">
        <v>2859</v>
      </c>
      <c r="J1262" s="3" t="str">
        <f>HYPERLINK("https://www.boe.es/gazeta/dias/1821/12/11/pdfs/GMD-1821-353.pdf#page=2","Abrir facsímil")</f>
        <v>Abrir facsímil</v>
      </c>
      <c r="K1262" s="3" t="s">
        <v>23</v>
      </c>
    </row>
    <row r="1263" spans="1:11" ht="42" customHeight="1">
      <c r="A1263" s="2" t="s">
        <v>2857</v>
      </c>
      <c r="B1263" s="2" t="s">
        <v>2857</v>
      </c>
      <c r="C1263" s="2" t="s">
        <v>40</v>
      </c>
      <c r="D1263" s="2" t="s">
        <v>41</v>
      </c>
      <c r="E1263" s="5">
        <v>-28501</v>
      </c>
      <c r="F1263" s="3" t="s">
        <v>456</v>
      </c>
      <c r="G1263" s="3" t="s">
        <v>20</v>
      </c>
      <c r="H1263" s="2" t="s">
        <v>21</v>
      </c>
      <c r="I1263" s="2" t="s">
        <v>2860</v>
      </c>
      <c r="J1263" s="3" t="str">
        <f>HYPERLINK("https://www.boe.es/gazeta/dias/1821/12/18/pdfs/GMD-1821-361.pdf#page=3","Abrir facsímil")</f>
        <v>Abrir facsímil</v>
      </c>
      <c r="K1263" s="3" t="s">
        <v>23</v>
      </c>
    </row>
    <row r="1264" spans="1:11" ht="42" customHeight="1">
      <c r="A1264" s="2" t="s">
        <v>2861</v>
      </c>
      <c r="B1264" s="2" t="s">
        <v>2862</v>
      </c>
      <c r="C1264" s="2" t="s">
        <v>114</v>
      </c>
      <c r="D1264" s="2" t="s">
        <v>27</v>
      </c>
      <c r="E1264" s="5">
        <v>-28667</v>
      </c>
      <c r="F1264" s="3" t="s">
        <v>107</v>
      </c>
      <c r="G1264" s="3" t="s">
        <v>52</v>
      </c>
      <c r="H1264" s="2" t="s">
        <v>21</v>
      </c>
      <c r="I1264" s="2" t="s">
        <v>2863</v>
      </c>
      <c r="J1264" s="3" t="str">
        <f>HYPERLINK("https://www.boe.es/gazeta/dias/1821/07/05/pdfs/GMD-1821-189.pdf#page=2","Abrir facsímil")</f>
        <v>Abrir facsímil</v>
      </c>
      <c r="K1264" s="3" t="s">
        <v>23</v>
      </c>
    </row>
    <row r="1265" spans="1:11" ht="42" customHeight="1">
      <c r="A1265" s="2" t="s">
        <v>2864</v>
      </c>
      <c r="B1265" s="2" t="s">
        <v>2865</v>
      </c>
      <c r="C1265" s="2" t="s">
        <v>114</v>
      </c>
      <c r="D1265" s="2" t="s">
        <v>27</v>
      </c>
      <c r="E1265" s="5">
        <v>-28667</v>
      </c>
      <c r="F1265" s="3" t="s">
        <v>107</v>
      </c>
      <c r="G1265" s="3" t="s">
        <v>52</v>
      </c>
      <c r="H1265" s="2" t="s">
        <v>21</v>
      </c>
      <c r="I1265" s="2" t="s">
        <v>2866</v>
      </c>
      <c r="J1265" s="3" t="str">
        <f>HYPERLINK("https://www.boe.es/gazeta/dias/1821/07/05/pdfs/GMD-1821-189.pdf#page=2","Abrir facsímil")</f>
        <v>Abrir facsímil</v>
      </c>
      <c r="K1265" s="3" t="s">
        <v>23</v>
      </c>
    </row>
    <row r="1266" spans="1:11" ht="42" customHeight="1">
      <c r="A1266" s="2" t="s">
        <v>2867</v>
      </c>
      <c r="B1266" s="2" t="s">
        <v>2868</v>
      </c>
      <c r="C1266" s="2" t="s">
        <v>40</v>
      </c>
      <c r="D1266" s="2" t="s">
        <v>41</v>
      </c>
      <c r="E1266" s="5">
        <v>-28513</v>
      </c>
      <c r="F1266" s="3" t="s">
        <v>502</v>
      </c>
      <c r="G1266" s="3" t="s">
        <v>20</v>
      </c>
      <c r="H1266" s="2" t="s">
        <v>21</v>
      </c>
      <c r="I1266" s="2" t="s">
        <v>2869</v>
      </c>
      <c r="J1266" s="3" t="str">
        <f>HYPERLINK("https://www.boe.es/gazeta/dias/1821/12/06/pdfs/GMD-1821-348.pdf#page=3","Abrir facsímil")</f>
        <v>Abrir facsímil</v>
      </c>
      <c r="K1266" s="3" t="s">
        <v>23</v>
      </c>
    </row>
    <row r="1267" spans="1:11" ht="42" customHeight="1">
      <c r="A1267" s="2" t="s">
        <v>2870</v>
      </c>
      <c r="B1267" s="2" t="s">
        <v>2871</v>
      </c>
      <c r="C1267" s="2" t="s">
        <v>114</v>
      </c>
      <c r="D1267" s="2" t="s">
        <v>27</v>
      </c>
      <c r="E1267" s="5">
        <v>-28667</v>
      </c>
      <c r="F1267" s="3" t="s">
        <v>107</v>
      </c>
      <c r="G1267" s="3" t="s">
        <v>52</v>
      </c>
      <c r="H1267" s="2" t="s">
        <v>21</v>
      </c>
      <c r="I1267" s="2" t="s">
        <v>2872</v>
      </c>
      <c r="J1267" s="3" t="str">
        <f>HYPERLINK("https://www.boe.es/gazeta/dias/1821/07/05/pdfs/GMD-1821-189.pdf#page=2","Abrir facsímil")</f>
        <v>Abrir facsímil</v>
      </c>
      <c r="K1267" s="3" t="s">
        <v>23</v>
      </c>
    </row>
    <row r="1268" spans="1:11" ht="42" customHeight="1">
      <c r="A1268" s="2" t="s">
        <v>2873</v>
      </c>
      <c r="B1268" s="2" t="s">
        <v>2874</v>
      </c>
      <c r="C1268" s="2" t="s">
        <v>40</v>
      </c>
      <c r="D1268" s="2" t="s">
        <v>41</v>
      </c>
      <c r="E1268" s="5">
        <v>-28515</v>
      </c>
      <c r="F1268" s="3" t="s">
        <v>260</v>
      </c>
      <c r="G1268" s="3" t="s">
        <v>52</v>
      </c>
      <c r="H1268" s="2" t="s">
        <v>21</v>
      </c>
      <c r="I1268" s="2" t="s">
        <v>2875</v>
      </c>
      <c r="J1268" s="3" t="str">
        <f>HYPERLINK("https://www.boe.es/gazeta/dias/1821/12/04/pdfs/GMD-1821-346.pdf#page=2","Abrir facsímil")</f>
        <v>Abrir facsímil</v>
      </c>
      <c r="K1268" s="3" t="s">
        <v>23</v>
      </c>
    </row>
    <row r="1269" spans="1:11" ht="42" customHeight="1">
      <c r="A1269" s="2" t="s">
        <v>2876</v>
      </c>
      <c r="B1269" s="2" t="s">
        <v>2877</v>
      </c>
      <c r="C1269" s="2" t="s">
        <v>17</v>
      </c>
      <c r="D1269" s="2" t="s">
        <v>18</v>
      </c>
      <c r="E1269" s="5">
        <v>-28775</v>
      </c>
      <c r="F1269" s="3" t="s">
        <v>132</v>
      </c>
      <c r="G1269" s="3" t="s">
        <v>52</v>
      </c>
      <c r="H1269" s="2" t="s">
        <v>21</v>
      </c>
      <c r="I1269" s="2" t="s">
        <v>2878</v>
      </c>
      <c r="J1269" s="3" t="str">
        <f>HYPERLINK("https://www.boe.es/gazeta/dias/1821/03/19/pdfs/GMD-1821-78.pdf#page=2","Abrir facsímil")</f>
        <v>Abrir facsímil</v>
      </c>
      <c r="K1269" s="3" t="s">
        <v>23</v>
      </c>
    </row>
    <row r="1270" spans="1:11" ht="42" customHeight="1">
      <c r="A1270" s="2" t="s">
        <v>2876</v>
      </c>
      <c r="B1270" s="2" t="s">
        <v>2877</v>
      </c>
      <c r="C1270" s="2" t="s">
        <v>279</v>
      </c>
      <c r="D1270" s="2" t="s">
        <v>27</v>
      </c>
      <c r="E1270" s="5">
        <v>-28736</v>
      </c>
      <c r="F1270" s="3" t="s">
        <v>464</v>
      </c>
      <c r="G1270" s="3" t="s">
        <v>88</v>
      </c>
      <c r="H1270" s="2" t="s">
        <v>21</v>
      </c>
      <c r="I1270" s="2" t="s">
        <v>2879</v>
      </c>
      <c r="J1270" s="3" t="str">
        <f>HYPERLINK("https://www.boe.es/gazeta/dias/1821/04/27/pdfs/GMD-1821-119.pdf#page=4","Abrir facsímil")</f>
        <v>Abrir facsímil</v>
      </c>
      <c r="K1270" s="3" t="s">
        <v>23</v>
      </c>
    </row>
    <row r="1271" spans="1:11" ht="42" customHeight="1">
      <c r="A1271" s="2" t="s">
        <v>2880</v>
      </c>
      <c r="B1271" s="2" t="s">
        <v>2881</v>
      </c>
      <c r="C1271" s="2" t="s">
        <v>35</v>
      </c>
      <c r="D1271" s="2" t="s">
        <v>27</v>
      </c>
      <c r="E1271" s="5">
        <v>-28791</v>
      </c>
      <c r="F1271" s="3" t="s">
        <v>47</v>
      </c>
      <c r="G1271" s="3" t="s">
        <v>20</v>
      </c>
      <c r="H1271" s="2" t="s">
        <v>21</v>
      </c>
      <c r="I1271" s="2" t="s">
        <v>2882</v>
      </c>
      <c r="J1271" s="3" t="str">
        <f>HYPERLINK("https://www.boe.es/gazeta/dias/1821/03/03/pdfs/GGB-1821-62.pdf#page=3","Abrir facsímil")</f>
        <v>Abrir facsímil</v>
      </c>
      <c r="K1271" s="3" t="s">
        <v>23</v>
      </c>
    </row>
    <row r="1272" spans="1:11" ht="42" customHeight="1">
      <c r="A1272" s="2" t="s">
        <v>2883</v>
      </c>
      <c r="B1272" s="2" t="s">
        <v>2884</v>
      </c>
      <c r="C1272" s="2" t="s">
        <v>40</v>
      </c>
      <c r="D1272" s="2" t="s">
        <v>41</v>
      </c>
      <c r="E1272" s="5">
        <v>-28536</v>
      </c>
      <c r="F1272" s="3" t="s">
        <v>553</v>
      </c>
      <c r="G1272" s="3" t="s">
        <v>52</v>
      </c>
      <c r="H1272" s="2" t="s">
        <v>21</v>
      </c>
      <c r="I1272" s="2" t="s">
        <v>2885</v>
      </c>
      <c r="J1272" s="3" t="str">
        <f>HYPERLINK("https://www.boe.es/gazeta/dias/1821/11/13/pdfs/GMD-1821-324.pdf#page=2","Abrir facsímil")</f>
        <v>Abrir facsímil</v>
      </c>
      <c r="K1272" s="3" t="s">
        <v>23</v>
      </c>
    </row>
    <row r="1273" spans="1:11" ht="42" customHeight="1">
      <c r="A1273" s="2" t="s">
        <v>2886</v>
      </c>
      <c r="B1273" s="2" t="s">
        <v>2886</v>
      </c>
      <c r="C1273" s="2" t="s">
        <v>26</v>
      </c>
      <c r="D1273" s="2" t="s">
        <v>27</v>
      </c>
      <c r="E1273" s="5">
        <v>-28677</v>
      </c>
      <c r="F1273" s="3" t="s">
        <v>361</v>
      </c>
      <c r="G1273" s="3" t="s">
        <v>52</v>
      </c>
      <c r="H1273" s="2" t="s">
        <v>21</v>
      </c>
      <c r="I1273" s="2" t="s">
        <v>2887</v>
      </c>
      <c r="J1273" s="3" t="str">
        <f>HYPERLINK("https://www.boe.es/gazeta/dias/1821/06/25/pdfs/GMD-1821-178.pdf#page=2","Abrir facsímil")</f>
        <v>Abrir facsímil</v>
      </c>
      <c r="K1273" s="3" t="s">
        <v>23</v>
      </c>
    </row>
    <row r="1274" spans="1:11" ht="42" customHeight="1">
      <c r="A1274" s="2" t="s">
        <v>2886</v>
      </c>
      <c r="B1274" s="2" t="s">
        <v>2886</v>
      </c>
      <c r="C1274" s="2" t="s">
        <v>40</v>
      </c>
      <c r="D1274" s="2" t="s">
        <v>41</v>
      </c>
      <c r="E1274" s="5">
        <v>-28664</v>
      </c>
      <c r="F1274" s="3" t="s">
        <v>1365</v>
      </c>
      <c r="G1274" s="3" t="s">
        <v>43</v>
      </c>
      <c r="H1274" s="2" t="s">
        <v>21</v>
      </c>
      <c r="I1274" s="2" t="s">
        <v>2888</v>
      </c>
      <c r="J1274" s="3" t="str">
        <f>HYPERLINK("https://www.boe.es/gazeta/dias/1821/07/08/pdfs/GMD-1821-193.pdf#page=1","Abrir facsímil")</f>
        <v>Abrir facsímil</v>
      </c>
      <c r="K1274" s="3" t="s">
        <v>23</v>
      </c>
    </row>
    <row r="1275" spans="1:11" ht="42" customHeight="1">
      <c r="A1275" s="2" t="s">
        <v>2886</v>
      </c>
      <c r="B1275" s="2" t="s">
        <v>2886</v>
      </c>
      <c r="C1275" s="2" t="s">
        <v>35</v>
      </c>
      <c r="D1275" s="2" t="s">
        <v>27</v>
      </c>
      <c r="E1275" s="5">
        <v>-28664</v>
      </c>
      <c r="F1275" s="3" t="s">
        <v>1365</v>
      </c>
      <c r="G1275" s="3" t="s">
        <v>20</v>
      </c>
      <c r="H1275" s="2" t="s">
        <v>21</v>
      </c>
      <c r="I1275" s="2" t="s">
        <v>2889</v>
      </c>
      <c r="J1275" s="3" t="str">
        <f>HYPERLINK("https://www.boe.es/gazeta/dias/1821/07/08/pdfs/GMD-1821-193.pdf#page=3","Abrir facsímil")</f>
        <v>Abrir facsímil</v>
      </c>
      <c r="K1275" s="3" t="s">
        <v>23</v>
      </c>
    </row>
    <row r="1276" spans="1:11" ht="42" customHeight="1">
      <c r="A1276" s="2" t="s">
        <v>2890</v>
      </c>
      <c r="B1276" s="2" t="s">
        <v>2891</v>
      </c>
      <c r="C1276" s="2" t="s">
        <v>35</v>
      </c>
      <c r="D1276" s="2" t="s">
        <v>27</v>
      </c>
      <c r="E1276" s="5">
        <v>-28664</v>
      </c>
      <c r="F1276" s="3" t="s">
        <v>1365</v>
      </c>
      <c r="G1276" s="3" t="s">
        <v>88</v>
      </c>
      <c r="H1276" s="2" t="s">
        <v>30</v>
      </c>
      <c r="I1276" s="2" t="s">
        <v>2892</v>
      </c>
      <c r="J1276" s="3" t="str">
        <f>HYPERLINK("https://www.boe.es/gazeta/dias/1821/07/08/pdfs/GMD-1821-193.pdf#page=4","Abrir facsímil")</f>
        <v>Abrir facsímil</v>
      </c>
      <c r="K1276" s="3" t="s">
        <v>32</v>
      </c>
    </row>
    <row r="1277" spans="1:11" ht="42" customHeight="1">
      <c r="A1277" s="2" t="s">
        <v>2893</v>
      </c>
      <c r="B1277" s="2" t="s">
        <v>2893</v>
      </c>
      <c r="C1277" s="2" t="s">
        <v>26</v>
      </c>
      <c r="D1277" s="2" t="s">
        <v>27</v>
      </c>
      <c r="E1277" s="5">
        <v>-28729</v>
      </c>
      <c r="F1277" s="3" t="s">
        <v>838</v>
      </c>
      <c r="G1277" s="3" t="s">
        <v>88</v>
      </c>
      <c r="H1277" s="2" t="s">
        <v>21</v>
      </c>
      <c r="I1277" s="2" t="s">
        <v>2894</v>
      </c>
      <c r="J1277" s="3" t="str">
        <f>HYPERLINK("https://www.boe.es/gazeta/dias/1821/05/04/pdfs/GMD-1821-126.pdf#page=4","Abrir facsímil")</f>
        <v>Abrir facsímil</v>
      </c>
      <c r="K1277" s="3" t="s">
        <v>23</v>
      </c>
    </row>
    <row r="1278" spans="1:11" ht="42" customHeight="1">
      <c r="A1278" s="2" t="s">
        <v>2895</v>
      </c>
      <c r="B1278" s="2" t="s">
        <v>2896</v>
      </c>
      <c r="C1278" s="2" t="s">
        <v>26</v>
      </c>
      <c r="D1278" s="2" t="s">
        <v>27</v>
      </c>
      <c r="E1278" s="5">
        <v>-28664</v>
      </c>
      <c r="F1278" s="3" t="s">
        <v>1365</v>
      </c>
      <c r="G1278" s="3" t="s">
        <v>43</v>
      </c>
      <c r="H1278" s="2" t="s">
        <v>30</v>
      </c>
      <c r="I1278" s="2" t="s">
        <v>2897</v>
      </c>
      <c r="J1278" s="3" t="str">
        <f>HYPERLINK("https://www.boe.es/gazeta/dias/1821/07/08/pdfs/GMD-1821-193.pdf#page=1","Abrir facsímil")</f>
        <v>Abrir facsímil</v>
      </c>
      <c r="K1278" s="3" t="s">
        <v>32</v>
      </c>
    </row>
    <row r="1279" spans="1:11" ht="42" customHeight="1">
      <c r="A1279" s="2" t="s">
        <v>2898</v>
      </c>
      <c r="B1279" s="2" t="s">
        <v>2899</v>
      </c>
      <c r="C1279" s="2" t="s">
        <v>26</v>
      </c>
      <c r="D1279" s="2" t="s">
        <v>27</v>
      </c>
      <c r="E1279" s="5">
        <v>-28626</v>
      </c>
      <c r="F1279" s="3" t="s">
        <v>468</v>
      </c>
      <c r="G1279" s="3" t="s">
        <v>88</v>
      </c>
      <c r="H1279" s="2" t="s">
        <v>21</v>
      </c>
      <c r="I1279" s="2" t="s">
        <v>2900</v>
      </c>
      <c r="J1279" s="3" t="str">
        <f>HYPERLINK("https://www.boe.es/gazeta/dias/1821/08/15/pdfs/GMD-1821-232.pdf#page=4","Abrir facsímil")</f>
        <v>Abrir facsímil</v>
      </c>
      <c r="K1279" s="3" t="s">
        <v>23</v>
      </c>
    </row>
    <row r="1280" spans="1:11" ht="42" customHeight="1">
      <c r="A1280" s="2" t="s">
        <v>2901</v>
      </c>
      <c r="B1280" s="2" t="s">
        <v>2902</v>
      </c>
      <c r="C1280" s="2" t="s">
        <v>70</v>
      </c>
      <c r="D1280" s="2" t="s">
        <v>27</v>
      </c>
      <c r="E1280" s="5">
        <v>-28684</v>
      </c>
      <c r="F1280" s="3" t="s">
        <v>208</v>
      </c>
      <c r="G1280" s="3" t="s">
        <v>20</v>
      </c>
      <c r="H1280" s="2" t="s">
        <v>21</v>
      </c>
      <c r="I1280" s="2" t="s">
        <v>2903</v>
      </c>
      <c r="J1280" s="3" t="str">
        <f>HYPERLINK("https://www.boe.es/gazeta/dias/1821/06/18/pdfs/GMD-1821-171.pdf#page=3","Abrir facsímil")</f>
        <v>Abrir facsímil</v>
      </c>
      <c r="K1280" s="3" t="s">
        <v>23</v>
      </c>
    </row>
    <row r="1281" spans="1:11" ht="42" customHeight="1">
      <c r="A1281" s="2" t="s">
        <v>2904</v>
      </c>
      <c r="B1281" s="2" t="s">
        <v>2904</v>
      </c>
      <c r="C1281" s="2" t="s">
        <v>114</v>
      </c>
      <c r="D1281" s="2" t="s">
        <v>27</v>
      </c>
      <c r="E1281" s="5">
        <v>-28674</v>
      </c>
      <c r="F1281" s="3" t="s">
        <v>536</v>
      </c>
      <c r="G1281" s="3" t="s">
        <v>162</v>
      </c>
      <c r="H1281" s="2" t="s">
        <v>21</v>
      </c>
      <c r="I1281" s="2" t="s">
        <v>2905</v>
      </c>
      <c r="J1281" s="3" t="str">
        <f>HYPERLINK("https://www.boe.es/gazeta/dias/1821/06/28/pdfs/GMD-1821-181.pdf#page=5","Abrir facsímil")</f>
        <v>Abrir facsímil</v>
      </c>
      <c r="K1281" s="3" t="s">
        <v>23</v>
      </c>
    </row>
    <row r="1282" spans="1:11" ht="42" customHeight="1">
      <c r="A1282" s="2" t="s">
        <v>2906</v>
      </c>
      <c r="B1282" s="2" t="s">
        <v>2906</v>
      </c>
      <c r="C1282" s="2" t="s">
        <v>17</v>
      </c>
      <c r="D1282" s="2" t="s">
        <v>18</v>
      </c>
      <c r="E1282" s="5">
        <v>-28775</v>
      </c>
      <c r="F1282" s="3" t="s">
        <v>132</v>
      </c>
      <c r="G1282" s="3" t="s">
        <v>52</v>
      </c>
      <c r="H1282" s="2" t="s">
        <v>21</v>
      </c>
      <c r="I1282" s="2" t="s">
        <v>2907</v>
      </c>
      <c r="J1282" s="3" t="str">
        <f>HYPERLINK("https://www.boe.es/gazeta/dias/1821/03/19/pdfs/GMD-1821-78.pdf#page=2","Abrir facsímil")</f>
        <v>Abrir facsímil</v>
      </c>
      <c r="K1282" s="3" t="s">
        <v>23</v>
      </c>
    </row>
    <row r="1283" spans="1:11" ht="42" customHeight="1">
      <c r="A1283" s="2" t="s">
        <v>2908</v>
      </c>
      <c r="B1283" s="2" t="s">
        <v>2909</v>
      </c>
      <c r="C1283" s="2" t="s">
        <v>26</v>
      </c>
      <c r="D1283" s="2" t="s">
        <v>27</v>
      </c>
      <c r="E1283" s="5">
        <v>-28755</v>
      </c>
      <c r="F1283" s="3" t="s">
        <v>906</v>
      </c>
      <c r="G1283" s="3" t="s">
        <v>907</v>
      </c>
      <c r="H1283" s="2" t="s">
        <v>21</v>
      </c>
      <c r="I1283" s="2" t="s">
        <v>2910</v>
      </c>
      <c r="J1283" s="3" t="str">
        <f>HYPERLINK("https://www.boe.es/gazeta/dias/1821/04/08/pdfs/GMD-1821-100.pdf#page=4","Abrir facsímil")</f>
        <v>Abrir facsímil</v>
      </c>
      <c r="K1283" s="3" t="s">
        <v>23</v>
      </c>
    </row>
    <row r="1284" spans="1:11" ht="42" customHeight="1">
      <c r="A1284" s="2" t="s">
        <v>2911</v>
      </c>
      <c r="B1284" s="2" t="s">
        <v>2911</v>
      </c>
      <c r="C1284" s="2" t="s">
        <v>70</v>
      </c>
      <c r="D1284" s="2" t="s">
        <v>27</v>
      </c>
      <c r="E1284" s="5">
        <v>-28746</v>
      </c>
      <c r="F1284" s="3" t="s">
        <v>687</v>
      </c>
      <c r="G1284" s="3" t="s">
        <v>162</v>
      </c>
      <c r="H1284" s="2" t="s">
        <v>21</v>
      </c>
      <c r="I1284" s="2" t="s">
        <v>2912</v>
      </c>
      <c r="J1284" s="3" t="str">
        <f>HYPERLINK("https://www.boe.es/gazeta/dias/1821/04/17/pdfs/GMD-1821-109.pdf#page=5","Abrir facsímil")</f>
        <v>Abrir facsímil</v>
      </c>
      <c r="K1284" s="3" t="s">
        <v>23</v>
      </c>
    </row>
    <row r="1285" spans="1:11" ht="42" customHeight="1">
      <c r="A1285" s="2" t="s">
        <v>2911</v>
      </c>
      <c r="B1285" s="2" t="s">
        <v>2911</v>
      </c>
      <c r="C1285" s="2" t="s">
        <v>17</v>
      </c>
      <c r="D1285" s="2" t="s">
        <v>18</v>
      </c>
      <c r="E1285" s="5">
        <v>-28686</v>
      </c>
      <c r="F1285" s="3" t="s">
        <v>115</v>
      </c>
      <c r="G1285" s="3" t="s">
        <v>52</v>
      </c>
      <c r="H1285" s="2" t="s">
        <v>21</v>
      </c>
      <c r="I1285" s="2" t="s">
        <v>2913</v>
      </c>
      <c r="J1285" s="3" t="str">
        <f>HYPERLINK("https://www.boe.es/gazeta/dias/1821/06/16/pdfs/GMD-1821-169.pdf#page=2","Abrir facsímil")</f>
        <v>Abrir facsímil</v>
      </c>
      <c r="K1285" s="3" t="s">
        <v>23</v>
      </c>
    </row>
    <row r="1286" spans="1:11" ht="42" customHeight="1">
      <c r="A1286" s="2" t="s">
        <v>2914</v>
      </c>
      <c r="B1286" s="2" t="s">
        <v>2915</v>
      </c>
      <c r="C1286" s="2" t="s">
        <v>17</v>
      </c>
      <c r="D1286" s="2" t="s">
        <v>18</v>
      </c>
      <c r="E1286" s="5">
        <v>-28676</v>
      </c>
      <c r="F1286" s="3" t="s">
        <v>534</v>
      </c>
      <c r="G1286" s="3" t="s">
        <v>29</v>
      </c>
      <c r="H1286" s="2" t="s">
        <v>21</v>
      </c>
      <c r="I1286" s="2" t="s">
        <v>2916</v>
      </c>
      <c r="J1286" s="3" t="str">
        <f>HYPERLINK("https://www.boe.es/gazeta/dias/1821/06/26/pdfs/GMD-1821-179.pdf#page=6","Abrir facsímil")</f>
        <v>Abrir facsímil</v>
      </c>
      <c r="K1286" s="3" t="s">
        <v>23</v>
      </c>
    </row>
    <row r="1287" spans="1:11" ht="42" customHeight="1">
      <c r="A1287" s="2" t="s">
        <v>2917</v>
      </c>
      <c r="B1287" s="2" t="s">
        <v>2917</v>
      </c>
      <c r="C1287" s="2" t="s">
        <v>40</v>
      </c>
      <c r="D1287" s="2" t="s">
        <v>41</v>
      </c>
      <c r="E1287" s="5">
        <v>-28844</v>
      </c>
      <c r="F1287" s="3" t="s">
        <v>1743</v>
      </c>
      <c r="G1287" s="3" t="s">
        <v>20</v>
      </c>
      <c r="H1287" s="2" t="s">
        <v>21</v>
      </c>
      <c r="I1287" s="2" t="s">
        <v>2918</v>
      </c>
      <c r="J1287" s="3" t="str">
        <f>HYPERLINK("https://www.boe.es/gazeta/dias/1821/01/09/pdfs/GGB-1821-9.pdf#page=3","Abrir facsímil")</f>
        <v>Abrir facsímil</v>
      </c>
      <c r="K1287" s="3" t="s">
        <v>23</v>
      </c>
    </row>
    <row r="1288" spans="1:11" ht="42" customHeight="1">
      <c r="A1288" s="2" t="s">
        <v>2917</v>
      </c>
      <c r="B1288" s="2" t="s">
        <v>2917</v>
      </c>
      <c r="C1288" s="2" t="s">
        <v>40</v>
      </c>
      <c r="D1288" s="2" t="s">
        <v>41</v>
      </c>
      <c r="E1288" s="5">
        <v>-28626</v>
      </c>
      <c r="F1288" s="3" t="s">
        <v>468</v>
      </c>
      <c r="G1288" s="3" t="s">
        <v>20</v>
      </c>
      <c r="H1288" s="2" t="s">
        <v>21</v>
      </c>
      <c r="I1288" s="2" t="s">
        <v>2919</v>
      </c>
      <c r="J1288" s="3" t="str">
        <f>HYPERLINK("https://www.boe.es/gazeta/dias/1821/08/15/pdfs/GMD-1821-232.pdf#page=3","Abrir facsímil")</f>
        <v>Abrir facsímil</v>
      </c>
      <c r="K1288" s="3" t="s">
        <v>23</v>
      </c>
    </row>
    <row r="1289" spans="1:11" ht="42" customHeight="1">
      <c r="A1289" s="2" t="s">
        <v>2920</v>
      </c>
      <c r="B1289" s="2" t="s">
        <v>2921</v>
      </c>
      <c r="C1289" s="2" t="s">
        <v>26</v>
      </c>
      <c r="D1289" s="2" t="s">
        <v>27</v>
      </c>
      <c r="E1289" s="5">
        <v>-28718</v>
      </c>
      <c r="F1289" s="3" t="s">
        <v>583</v>
      </c>
      <c r="G1289" s="3" t="s">
        <v>88</v>
      </c>
      <c r="H1289" s="2" t="s">
        <v>21</v>
      </c>
      <c r="I1289" s="2" t="s">
        <v>2922</v>
      </c>
      <c r="J1289" s="3" t="str">
        <f>HYPERLINK("https://www.boe.es/gazeta/dias/1821/05/15/pdfs/GMD-1821-137.pdf#page=4","Abrir facsímil")</f>
        <v>Abrir facsímil</v>
      </c>
      <c r="K1289" s="3" t="s">
        <v>23</v>
      </c>
    </row>
    <row r="1290" spans="1:11" ht="42" customHeight="1">
      <c r="A1290" s="2" t="s">
        <v>2923</v>
      </c>
      <c r="B1290" s="2" t="s">
        <v>2923</v>
      </c>
      <c r="C1290" s="2" t="s">
        <v>174</v>
      </c>
      <c r="D1290" s="2" t="s">
        <v>27</v>
      </c>
      <c r="E1290" s="5">
        <v>-28601</v>
      </c>
      <c r="F1290" s="3" t="s">
        <v>2924</v>
      </c>
      <c r="G1290" s="3" t="s">
        <v>52</v>
      </c>
      <c r="H1290" s="2" t="s">
        <v>21</v>
      </c>
      <c r="I1290" s="2" t="s">
        <v>2925</v>
      </c>
      <c r="J1290" s="3" t="str">
        <f>HYPERLINK("https://www.boe.es/gazeta/dias/1821/09/09/pdfs/GMD-1821-257.pdf#page=2","Abrir facsímil")</f>
        <v>Abrir facsímil</v>
      </c>
      <c r="K1290" s="3" t="s">
        <v>23</v>
      </c>
    </row>
    <row r="1291" spans="1:11" ht="42" customHeight="1">
      <c r="A1291" s="2" t="s">
        <v>2926</v>
      </c>
      <c r="B1291" s="2" t="s">
        <v>2927</v>
      </c>
      <c r="C1291" s="2" t="s">
        <v>26</v>
      </c>
      <c r="D1291" s="2" t="s">
        <v>27</v>
      </c>
      <c r="E1291" s="5">
        <v>-28603</v>
      </c>
      <c r="F1291" s="3" t="s">
        <v>2928</v>
      </c>
      <c r="G1291" s="3" t="s">
        <v>52</v>
      </c>
      <c r="H1291" s="2" t="s">
        <v>21</v>
      </c>
      <c r="I1291" s="2" t="s">
        <v>2929</v>
      </c>
      <c r="J1291" s="3" t="str">
        <f>HYPERLINK("https://www.boe.es/gazeta/dias/1821/09/07/pdfs/GMD-1821-255.pdf#page=2","Abrir facsímil")</f>
        <v>Abrir facsímil</v>
      </c>
      <c r="K1291" s="3" t="s">
        <v>23</v>
      </c>
    </row>
    <row r="1292" spans="1:11" ht="42" customHeight="1">
      <c r="A1292" s="2" t="s">
        <v>2930</v>
      </c>
      <c r="B1292" s="2" t="s">
        <v>2931</v>
      </c>
      <c r="C1292" s="2" t="s">
        <v>35</v>
      </c>
      <c r="D1292" s="2" t="s">
        <v>27</v>
      </c>
      <c r="E1292" s="5">
        <v>-28560</v>
      </c>
      <c r="F1292" s="3" t="s">
        <v>363</v>
      </c>
      <c r="G1292" s="3" t="s">
        <v>162</v>
      </c>
      <c r="H1292" s="2" t="s">
        <v>21</v>
      </c>
      <c r="I1292" s="2" t="s">
        <v>2932</v>
      </c>
      <c r="J1292" s="3" t="str">
        <f>HYPERLINK("https://www.boe.es/gazeta/dias/1821/10/20/pdfs/GMD-1821-299.pdf#page=5","Abrir facsímil")</f>
        <v>Abrir facsímil</v>
      </c>
      <c r="K1292" s="3" t="s">
        <v>23</v>
      </c>
    </row>
    <row r="1293" spans="1:11" ht="42" customHeight="1">
      <c r="A1293" s="2" t="s">
        <v>2933</v>
      </c>
      <c r="B1293" s="2" t="s">
        <v>2934</v>
      </c>
      <c r="C1293" s="2" t="s">
        <v>35</v>
      </c>
      <c r="D1293" s="2" t="s">
        <v>27</v>
      </c>
      <c r="E1293" s="5">
        <v>-28847</v>
      </c>
      <c r="F1293" s="3" t="s">
        <v>288</v>
      </c>
      <c r="G1293" s="3" t="s">
        <v>289</v>
      </c>
      <c r="H1293" s="2" t="s">
        <v>30</v>
      </c>
      <c r="I1293" s="2" t="s">
        <v>2935</v>
      </c>
      <c r="J1293" s="3" t="str">
        <f>HYPERLINK("https://www.boe.es/gazeta/dias/1821/01/06/pdfs/GGB-1821-6.pdf#page=4","Abrir facsímil")</f>
        <v>Abrir facsímil</v>
      </c>
      <c r="K1293" s="3" t="s">
        <v>32</v>
      </c>
    </row>
    <row r="1294" spans="1:11" ht="42" customHeight="1">
      <c r="A1294" s="2" t="s">
        <v>2936</v>
      </c>
      <c r="B1294" s="2" t="s">
        <v>2937</v>
      </c>
      <c r="C1294" s="2" t="s">
        <v>40</v>
      </c>
      <c r="D1294" s="2" t="s">
        <v>41</v>
      </c>
      <c r="E1294" s="5">
        <v>-28779</v>
      </c>
      <c r="F1294" s="3" t="s">
        <v>1002</v>
      </c>
      <c r="G1294" s="3" t="s">
        <v>52</v>
      </c>
      <c r="H1294" s="2" t="s">
        <v>21</v>
      </c>
      <c r="I1294" s="2" t="s">
        <v>2938</v>
      </c>
      <c r="J1294" s="3" t="str">
        <f>HYPERLINK("https://www.boe.es/gazeta/dias/1821/03/15/pdfs/GMD-1821-74.pdf#page=2","Abrir facsímil")</f>
        <v>Abrir facsímil</v>
      </c>
      <c r="K1294" s="3" t="s">
        <v>23</v>
      </c>
    </row>
    <row r="1295" spans="1:11" ht="42" customHeight="1">
      <c r="A1295" s="2" t="s">
        <v>2939</v>
      </c>
      <c r="B1295" s="2" t="s">
        <v>2940</v>
      </c>
      <c r="C1295" s="2" t="s">
        <v>17</v>
      </c>
      <c r="D1295" s="2" t="s">
        <v>18</v>
      </c>
      <c r="E1295" s="5">
        <v>-28803</v>
      </c>
      <c r="F1295" s="3" t="s">
        <v>320</v>
      </c>
      <c r="G1295" s="3" t="s">
        <v>43</v>
      </c>
      <c r="H1295" s="2" t="s">
        <v>30</v>
      </c>
      <c r="I1295" s="2" t="s">
        <v>2941</v>
      </c>
      <c r="J1295" s="3" t="str">
        <f>HYPERLINK("https://www.boe.es/gazeta/dias/1821/02/19/pdfs/GGB-1821-50.pdf#page=1","Abrir facsímil")</f>
        <v>Abrir facsímil</v>
      </c>
      <c r="K1295" s="3" t="s">
        <v>32</v>
      </c>
    </row>
    <row r="1296" spans="1:11" ht="42" customHeight="1">
      <c r="A1296" s="2" t="s">
        <v>2942</v>
      </c>
      <c r="B1296" s="2" t="s">
        <v>2943</v>
      </c>
      <c r="C1296" s="2" t="s">
        <v>17</v>
      </c>
      <c r="D1296" s="2" t="s">
        <v>18</v>
      </c>
      <c r="E1296" s="5">
        <v>-28565</v>
      </c>
      <c r="F1296" s="3" t="s">
        <v>326</v>
      </c>
      <c r="G1296" s="3" t="s">
        <v>88</v>
      </c>
      <c r="H1296" s="2" t="s">
        <v>21</v>
      </c>
      <c r="I1296" s="2" t="s">
        <v>2944</v>
      </c>
      <c r="J1296" s="3" t="str">
        <f>HYPERLINK("https://www.boe.es/gazeta/dias/1821/10/15/pdfs/GMD-1821-294.pdf#page=4","Abrir facsímil")</f>
        <v>Abrir facsímil</v>
      </c>
      <c r="K1296" s="3" t="s">
        <v>23</v>
      </c>
    </row>
    <row r="1297" spans="1:11" ht="42" customHeight="1">
      <c r="A1297" s="2" t="s">
        <v>2945</v>
      </c>
      <c r="B1297" s="2" t="s">
        <v>2946</v>
      </c>
      <c r="C1297" s="2" t="s">
        <v>17</v>
      </c>
      <c r="D1297" s="2" t="s">
        <v>18</v>
      </c>
      <c r="E1297" s="5">
        <v>-28565</v>
      </c>
      <c r="F1297" s="3" t="s">
        <v>326</v>
      </c>
      <c r="G1297" s="3" t="s">
        <v>88</v>
      </c>
      <c r="H1297" s="2" t="s">
        <v>21</v>
      </c>
      <c r="I1297" s="2" t="s">
        <v>2947</v>
      </c>
      <c r="J1297" s="3" t="str">
        <f>HYPERLINK("https://www.boe.es/gazeta/dias/1821/10/15/pdfs/GMD-1821-294.pdf#page=4","Abrir facsímil")</f>
        <v>Abrir facsímil</v>
      </c>
      <c r="K1297" s="3" t="s">
        <v>23</v>
      </c>
    </row>
    <row r="1298" spans="1:11" ht="42" customHeight="1">
      <c r="A1298" s="2" t="s">
        <v>2948</v>
      </c>
      <c r="B1298" s="2" t="s">
        <v>2949</v>
      </c>
      <c r="C1298" s="2" t="s">
        <v>35</v>
      </c>
      <c r="D1298" s="2" t="s">
        <v>27</v>
      </c>
      <c r="E1298" s="5">
        <v>-28570</v>
      </c>
      <c r="F1298" s="3" t="s">
        <v>2300</v>
      </c>
      <c r="G1298" s="3" t="s">
        <v>43</v>
      </c>
      <c r="H1298" s="2" t="s">
        <v>21</v>
      </c>
      <c r="I1298" s="2" t="s">
        <v>2950</v>
      </c>
      <c r="J1298" s="3" t="str">
        <f>HYPERLINK("https://www.boe.es/gazeta/dias/1821/10/10/pdfs/GMD-1821-289.pdf#page=1","Abrir facsímil")</f>
        <v>Abrir facsímil</v>
      </c>
      <c r="K1298" s="3" t="s">
        <v>23</v>
      </c>
    </row>
    <row r="1299" spans="1:11" ht="42" customHeight="1">
      <c r="A1299" s="2" t="s">
        <v>2951</v>
      </c>
      <c r="B1299" s="2" t="s">
        <v>2951</v>
      </c>
      <c r="C1299" s="2" t="s">
        <v>17</v>
      </c>
      <c r="D1299" s="2" t="s">
        <v>18</v>
      </c>
      <c r="E1299" s="5">
        <v>-28801</v>
      </c>
      <c r="F1299" s="3" t="s">
        <v>378</v>
      </c>
      <c r="G1299" s="3" t="s">
        <v>20</v>
      </c>
      <c r="H1299" s="2" t="s">
        <v>21</v>
      </c>
      <c r="I1299" s="2" t="s">
        <v>2952</v>
      </c>
      <c r="J1299" s="3" t="str">
        <f>HYPERLINK("https://www.boe.es/gazeta/dias/1821/02/21/pdfs/GGB-1821-52.pdf#page=3","Abrir facsímil")</f>
        <v>Abrir facsímil</v>
      </c>
      <c r="K1299" s="3" t="s">
        <v>23</v>
      </c>
    </row>
    <row r="1300" spans="1:11" ht="42" customHeight="1">
      <c r="A1300" s="2" t="s">
        <v>2953</v>
      </c>
      <c r="B1300" s="2" t="s">
        <v>2953</v>
      </c>
      <c r="C1300" s="2" t="s">
        <v>40</v>
      </c>
      <c r="D1300" s="2" t="s">
        <v>41</v>
      </c>
      <c r="E1300" s="5">
        <v>-28777</v>
      </c>
      <c r="F1300" s="3" t="s">
        <v>1004</v>
      </c>
      <c r="G1300" s="3" t="s">
        <v>1005</v>
      </c>
      <c r="H1300" s="2" t="s">
        <v>21</v>
      </c>
      <c r="I1300" s="2" t="s">
        <v>2954</v>
      </c>
      <c r="J1300" s="3" t="str">
        <f>HYPERLINK("https://www.boe.es/gazeta/dias/1821/03/17/pdfs/GMD-1821-76.pdf#page=2","Abrir facsímil")</f>
        <v>Abrir facsímil</v>
      </c>
      <c r="K1300" s="3" t="s">
        <v>23</v>
      </c>
    </row>
    <row r="1301" spans="1:11" ht="42" customHeight="1">
      <c r="A1301" s="2" t="s">
        <v>2953</v>
      </c>
      <c r="B1301" s="2" t="s">
        <v>2953</v>
      </c>
      <c r="C1301" s="2" t="s">
        <v>35</v>
      </c>
      <c r="D1301" s="2" t="s">
        <v>27</v>
      </c>
      <c r="E1301" s="5">
        <v>-28749</v>
      </c>
      <c r="F1301" s="3" t="s">
        <v>832</v>
      </c>
      <c r="G1301" s="3" t="s">
        <v>43</v>
      </c>
      <c r="H1301" s="2" t="s">
        <v>21</v>
      </c>
      <c r="I1301" s="2" t="s">
        <v>2955</v>
      </c>
      <c r="J1301" s="3" t="str">
        <f>HYPERLINK("https://www.boe.es/gazeta/dias/1821/04/14/pdfs/GMD-1821-106.pdf#page=1","Abrir facsímil")</f>
        <v>Abrir facsímil</v>
      </c>
      <c r="K1301" s="3" t="s">
        <v>23</v>
      </c>
    </row>
    <row r="1302" spans="1:11" ht="42" customHeight="1">
      <c r="A1302" s="2" t="s">
        <v>2953</v>
      </c>
      <c r="B1302" s="2" t="s">
        <v>2953</v>
      </c>
      <c r="C1302" s="2" t="s">
        <v>26</v>
      </c>
      <c r="D1302" s="2" t="s">
        <v>27</v>
      </c>
      <c r="E1302" s="5">
        <v>-28739</v>
      </c>
      <c r="F1302" s="3" t="s">
        <v>1024</v>
      </c>
      <c r="G1302" s="3" t="s">
        <v>52</v>
      </c>
      <c r="H1302" s="2" t="s">
        <v>21</v>
      </c>
      <c r="I1302" s="2" t="s">
        <v>2956</v>
      </c>
      <c r="J1302" s="3" t="str">
        <f>HYPERLINK("https://www.boe.es/gazeta/dias/1821/04/24/pdfs/GMD-1821-116.pdf#page=2","Abrir facsímil")</f>
        <v>Abrir facsímil</v>
      </c>
      <c r="K1302" s="3" t="s">
        <v>23</v>
      </c>
    </row>
    <row r="1303" spans="1:11" ht="42" customHeight="1">
      <c r="A1303" s="2" t="s">
        <v>2953</v>
      </c>
      <c r="B1303" s="2" t="s">
        <v>2953</v>
      </c>
      <c r="C1303" s="2" t="s">
        <v>40</v>
      </c>
      <c r="D1303" s="2" t="s">
        <v>41</v>
      </c>
      <c r="E1303" s="5">
        <v>-28736</v>
      </c>
      <c r="F1303" s="3" t="s">
        <v>464</v>
      </c>
      <c r="G1303" s="3" t="s">
        <v>52</v>
      </c>
      <c r="H1303" s="2" t="s">
        <v>21</v>
      </c>
      <c r="I1303" s="2" t="s">
        <v>2957</v>
      </c>
      <c r="J1303" s="3" t="str">
        <f>HYPERLINK("https://www.boe.es/gazeta/dias/1821/04/27/pdfs/GMD-1821-119.pdf#page=2","Abrir facsímil")</f>
        <v>Abrir facsímil</v>
      </c>
      <c r="K1303" s="3" t="s">
        <v>23</v>
      </c>
    </row>
    <row r="1304" spans="1:11" ht="42" customHeight="1">
      <c r="A1304" s="2" t="s">
        <v>2953</v>
      </c>
      <c r="B1304" s="2" t="s">
        <v>2953</v>
      </c>
      <c r="C1304" s="2" t="s">
        <v>17</v>
      </c>
      <c r="D1304" s="2" t="s">
        <v>18</v>
      </c>
      <c r="E1304" s="5">
        <v>-28720</v>
      </c>
      <c r="F1304" s="3" t="s">
        <v>492</v>
      </c>
      <c r="G1304" s="3" t="s">
        <v>52</v>
      </c>
      <c r="H1304" s="2" t="s">
        <v>21</v>
      </c>
      <c r="I1304" s="2" t="s">
        <v>2958</v>
      </c>
      <c r="J1304" s="3" t="str">
        <f>HYPERLINK("https://www.boe.es/gazeta/dias/1821/05/13/pdfs/GMD-1821-135.pdf#page=2","Abrir facsímil")</f>
        <v>Abrir facsímil</v>
      </c>
      <c r="K1304" s="3" t="s">
        <v>23</v>
      </c>
    </row>
    <row r="1305" spans="1:11" ht="42" customHeight="1">
      <c r="A1305" s="2" t="s">
        <v>2953</v>
      </c>
      <c r="B1305" s="2" t="s">
        <v>2953</v>
      </c>
      <c r="C1305" s="2" t="s">
        <v>35</v>
      </c>
      <c r="D1305" s="2" t="s">
        <v>27</v>
      </c>
      <c r="E1305" s="5">
        <v>-28567</v>
      </c>
      <c r="F1305" s="3" t="s">
        <v>217</v>
      </c>
      <c r="G1305" s="3" t="s">
        <v>20</v>
      </c>
      <c r="H1305" s="2" t="s">
        <v>21</v>
      </c>
      <c r="I1305" s="2" t="s">
        <v>2959</v>
      </c>
      <c r="J1305" s="3" t="str">
        <f>HYPERLINK("https://www.boe.es/gazeta/dias/1821/10/13/pdfs/GMD-1821-292.pdf#page=3","Abrir facsímil")</f>
        <v>Abrir facsímil</v>
      </c>
      <c r="K1305" s="3" t="s">
        <v>23</v>
      </c>
    </row>
    <row r="1306" spans="1:11" ht="42" customHeight="1">
      <c r="A1306" s="2" t="s">
        <v>2960</v>
      </c>
      <c r="B1306" s="2" t="s">
        <v>2961</v>
      </c>
      <c r="C1306" s="2" t="s">
        <v>70</v>
      </c>
      <c r="D1306" s="2" t="s">
        <v>27</v>
      </c>
      <c r="E1306" s="5">
        <v>-28691</v>
      </c>
      <c r="F1306" s="3" t="s">
        <v>716</v>
      </c>
      <c r="G1306" s="3" t="s">
        <v>52</v>
      </c>
      <c r="H1306" s="2" t="s">
        <v>21</v>
      </c>
      <c r="I1306" s="2" t="s">
        <v>2962</v>
      </c>
      <c r="J1306" s="3" t="str">
        <f>HYPERLINK("https://www.boe.es/gazeta/dias/1821/06/11/pdfs/GMD-1821-164.pdf#page=2","Abrir facsímil")</f>
        <v>Abrir facsímil</v>
      </c>
      <c r="K1306" s="3" t="s">
        <v>23</v>
      </c>
    </row>
    <row r="1307" spans="1:11" ht="42" customHeight="1">
      <c r="A1307" s="2" t="s">
        <v>2963</v>
      </c>
      <c r="B1307" s="2" t="s">
        <v>2964</v>
      </c>
      <c r="C1307" s="2" t="s">
        <v>40</v>
      </c>
      <c r="D1307" s="2" t="s">
        <v>41</v>
      </c>
      <c r="E1307" s="5">
        <v>-28557</v>
      </c>
      <c r="F1307" s="3" t="s">
        <v>316</v>
      </c>
      <c r="G1307" s="3" t="s">
        <v>29</v>
      </c>
      <c r="H1307" s="2" t="s">
        <v>21</v>
      </c>
      <c r="I1307" s="2" t="s">
        <v>2965</v>
      </c>
      <c r="J1307" s="3" t="str">
        <f>HYPERLINK("https://www.boe.es/gazeta/dias/1821/10/23/pdfs/GMD-1821-302.pdf#page=6","Abrir facsímil")</f>
        <v>Abrir facsímil</v>
      </c>
      <c r="K1307" s="3" t="s">
        <v>23</v>
      </c>
    </row>
    <row r="1308" spans="1:11" ht="42" customHeight="1">
      <c r="A1308" s="2" t="s">
        <v>2966</v>
      </c>
      <c r="B1308" s="2" t="s">
        <v>2967</v>
      </c>
      <c r="C1308" s="2" t="s">
        <v>40</v>
      </c>
      <c r="D1308" s="2" t="s">
        <v>41</v>
      </c>
      <c r="E1308" s="5">
        <v>-28610</v>
      </c>
      <c r="F1308" s="3" t="s">
        <v>190</v>
      </c>
      <c r="G1308" s="3" t="s">
        <v>20</v>
      </c>
      <c r="H1308" s="2" t="s">
        <v>30</v>
      </c>
      <c r="I1308" s="2" t="s">
        <v>2968</v>
      </c>
      <c r="J1308" s="3" t="str">
        <f>HYPERLINK("https://www.boe.es/gazeta/dias/1821/08/31/pdfs/GMD-1821-248.pdf#page=3","Abrir facsímil")</f>
        <v>Abrir facsímil</v>
      </c>
      <c r="K1308" s="3" t="s">
        <v>32</v>
      </c>
    </row>
    <row r="1309" spans="1:11" ht="42" customHeight="1">
      <c r="A1309" s="2" t="s">
        <v>2969</v>
      </c>
      <c r="B1309" s="2" t="s">
        <v>2970</v>
      </c>
      <c r="C1309" s="2" t="s">
        <v>26</v>
      </c>
      <c r="D1309" s="2" t="s">
        <v>27</v>
      </c>
      <c r="E1309" s="5">
        <v>-28672</v>
      </c>
      <c r="F1309" s="3" t="s">
        <v>964</v>
      </c>
      <c r="G1309" s="3" t="s">
        <v>20</v>
      </c>
      <c r="H1309" s="2" t="s">
        <v>21</v>
      </c>
      <c r="I1309" s="2" t="s">
        <v>2971</v>
      </c>
      <c r="J1309" s="3" t="str">
        <f>HYPERLINK("https://www.boe.es/gazeta/dias/1821/06/30/pdfs/GMD-1821-183.pdf#page=3","Abrir facsímil")</f>
        <v>Abrir facsímil</v>
      </c>
      <c r="K1309" s="3" t="s">
        <v>23</v>
      </c>
    </row>
    <row r="1310" spans="1:11" ht="42" customHeight="1">
      <c r="A1310" s="2" t="s">
        <v>2972</v>
      </c>
      <c r="B1310" s="2" t="s">
        <v>2972</v>
      </c>
      <c r="C1310" s="2" t="s">
        <v>40</v>
      </c>
      <c r="D1310" s="2" t="s">
        <v>41</v>
      </c>
      <c r="E1310" s="5">
        <v>-28764</v>
      </c>
      <c r="F1310" s="3" t="s">
        <v>924</v>
      </c>
      <c r="G1310" s="3" t="s">
        <v>52</v>
      </c>
      <c r="H1310" s="2" t="s">
        <v>21</v>
      </c>
      <c r="I1310" s="2" t="s">
        <v>2973</v>
      </c>
      <c r="J1310" s="3" t="str">
        <f>HYPERLINK("https://www.boe.es/gazeta/dias/1821/03/30/pdfs/GMD-1821-91.pdf#page=2","Abrir facsímil")</f>
        <v>Abrir facsímil</v>
      </c>
      <c r="K1310" s="3" t="s">
        <v>23</v>
      </c>
    </row>
    <row r="1311" spans="1:11" ht="42" customHeight="1">
      <c r="A1311" s="2" t="s">
        <v>2972</v>
      </c>
      <c r="B1311" s="2" t="s">
        <v>2972</v>
      </c>
      <c r="C1311" s="2" t="s">
        <v>40</v>
      </c>
      <c r="D1311" s="2" t="s">
        <v>41</v>
      </c>
      <c r="E1311" s="5">
        <v>-28655</v>
      </c>
      <c r="F1311" s="3" t="s">
        <v>2530</v>
      </c>
      <c r="G1311" s="3" t="s">
        <v>88</v>
      </c>
      <c r="H1311" s="2" t="s">
        <v>21</v>
      </c>
      <c r="I1311" s="2" t="s">
        <v>2974</v>
      </c>
      <c r="J1311" s="3" t="str">
        <f>HYPERLINK("https://www.boe.es/gazeta/dias/1821/07/17/pdfs/GMD-1821-202.pdf#page=4","Abrir facsímil")</f>
        <v>Abrir facsímil</v>
      </c>
      <c r="K1311" s="3" t="s">
        <v>23</v>
      </c>
    </row>
    <row r="1312" spans="1:11" ht="42" customHeight="1">
      <c r="A1312" s="2" t="s">
        <v>2975</v>
      </c>
      <c r="B1312" s="2" t="s">
        <v>2976</v>
      </c>
      <c r="C1312" s="2" t="s">
        <v>35</v>
      </c>
      <c r="D1312" s="2" t="s">
        <v>27</v>
      </c>
      <c r="E1312" s="5">
        <v>-28698</v>
      </c>
      <c r="F1312" s="3" t="s">
        <v>2067</v>
      </c>
      <c r="G1312" s="3" t="s">
        <v>88</v>
      </c>
      <c r="H1312" s="2" t="s">
        <v>21</v>
      </c>
      <c r="I1312" s="2" t="s">
        <v>2977</v>
      </c>
      <c r="J1312" s="3" t="str">
        <f>HYPERLINK("https://www.boe.es/gazeta/dias/1821/06/04/pdfs/GMD-1821-157.pdf#page=4","Abrir facsímil")</f>
        <v>Abrir facsímil</v>
      </c>
      <c r="K1312" s="3" t="s">
        <v>23</v>
      </c>
    </row>
    <row r="1313" spans="1:11" ht="42" customHeight="1">
      <c r="A1313" s="2" t="s">
        <v>2978</v>
      </c>
      <c r="B1313" s="2" t="s">
        <v>2978</v>
      </c>
      <c r="C1313" s="2" t="s">
        <v>35</v>
      </c>
      <c r="D1313" s="2" t="s">
        <v>27</v>
      </c>
      <c r="E1313" s="5">
        <v>-28833</v>
      </c>
      <c r="F1313" s="3" t="s">
        <v>1868</v>
      </c>
      <c r="G1313" s="3" t="s">
        <v>43</v>
      </c>
      <c r="H1313" s="2" t="s">
        <v>21</v>
      </c>
      <c r="I1313" s="2" t="s">
        <v>2979</v>
      </c>
      <c r="J1313" s="3" t="str">
        <f>HYPERLINK("https://www.boe.es/gazeta/dias/1821/01/20/pdfs/GGB-1821-20.pdf#page=1","Abrir facsímil")</f>
        <v>Abrir facsímil</v>
      </c>
      <c r="K1313" s="3" t="s">
        <v>23</v>
      </c>
    </row>
    <row r="1314" spans="1:11" ht="42" customHeight="1">
      <c r="A1314" s="2" t="s">
        <v>2978</v>
      </c>
      <c r="B1314" s="2" t="s">
        <v>2978</v>
      </c>
      <c r="C1314" s="2" t="s">
        <v>40</v>
      </c>
      <c r="D1314" s="2" t="s">
        <v>41</v>
      </c>
      <c r="E1314" s="5">
        <v>-28829</v>
      </c>
      <c r="F1314" s="3" t="s">
        <v>2980</v>
      </c>
      <c r="G1314" s="3" t="s">
        <v>43</v>
      </c>
      <c r="H1314" s="2" t="s">
        <v>21</v>
      </c>
      <c r="I1314" s="2" t="s">
        <v>2981</v>
      </c>
      <c r="J1314" s="3" t="str">
        <f>HYPERLINK("https://www.boe.es/gazeta/dias/1821/01/24/pdfs/GGB-1821-24.pdf#page=1","Abrir facsímil")</f>
        <v>Abrir facsímil</v>
      </c>
      <c r="K1314" s="3" t="s">
        <v>23</v>
      </c>
    </row>
    <row r="1315" spans="1:11" ht="42" customHeight="1">
      <c r="A1315" s="2" t="s">
        <v>2982</v>
      </c>
      <c r="B1315" s="2" t="s">
        <v>2982</v>
      </c>
      <c r="C1315" s="2" t="s">
        <v>17</v>
      </c>
      <c r="D1315" s="2" t="s">
        <v>18</v>
      </c>
      <c r="E1315" s="5">
        <v>-28820</v>
      </c>
      <c r="F1315" s="3" t="s">
        <v>1430</v>
      </c>
      <c r="G1315" s="3" t="s">
        <v>52</v>
      </c>
      <c r="H1315" s="2" t="s">
        <v>21</v>
      </c>
      <c r="I1315" s="2" t="s">
        <v>2983</v>
      </c>
      <c r="J1315" s="3" t="str">
        <f>HYPERLINK("https://www.boe.es/gazeta/dias/1821/02/02/pdfs/GGB-1821-33.pdf#page=2","Abrir facsímil")</f>
        <v>Abrir facsímil</v>
      </c>
      <c r="K1315" s="3" t="s">
        <v>23</v>
      </c>
    </row>
    <row r="1316" spans="1:11" ht="42" customHeight="1">
      <c r="A1316" s="2" t="s">
        <v>2984</v>
      </c>
      <c r="B1316" s="2" t="s">
        <v>2984</v>
      </c>
      <c r="C1316" s="2" t="s">
        <v>17</v>
      </c>
      <c r="D1316" s="2" t="s">
        <v>18</v>
      </c>
      <c r="E1316" s="5">
        <v>-28540</v>
      </c>
      <c r="F1316" s="3" t="s">
        <v>2672</v>
      </c>
      <c r="G1316" s="3" t="s">
        <v>20</v>
      </c>
      <c r="H1316" s="2" t="s">
        <v>21</v>
      </c>
      <c r="I1316" s="2" t="s">
        <v>2985</v>
      </c>
      <c r="J1316" s="3" t="str">
        <f>HYPERLINK("https://www.boe.es/gazeta/dias/1821/11/09/pdfs/GMD-1821-320.pdf#page=3","Abrir facsímil")</f>
        <v>Abrir facsímil</v>
      </c>
      <c r="K1316" s="3" t="s">
        <v>23</v>
      </c>
    </row>
    <row r="1317" spans="1:11" ht="42" customHeight="1">
      <c r="A1317" s="2" t="s">
        <v>2986</v>
      </c>
      <c r="B1317" s="2" t="s">
        <v>2987</v>
      </c>
      <c r="C1317" s="2" t="s">
        <v>17</v>
      </c>
      <c r="D1317" s="2" t="s">
        <v>18</v>
      </c>
      <c r="E1317" s="5">
        <v>-28539</v>
      </c>
      <c r="F1317" s="3" t="s">
        <v>153</v>
      </c>
      <c r="G1317" s="3" t="s">
        <v>52</v>
      </c>
      <c r="H1317" s="2" t="s">
        <v>21</v>
      </c>
      <c r="I1317" s="2" t="s">
        <v>2988</v>
      </c>
      <c r="J1317" s="3" t="str">
        <f>HYPERLINK("https://www.boe.es/gazeta/dias/1821/11/10/pdfs/GMD-1821-321.pdf#page=2","Abrir facsímil")</f>
        <v>Abrir facsímil</v>
      </c>
      <c r="K1317" s="3" t="s">
        <v>23</v>
      </c>
    </row>
    <row r="1318" spans="1:11" ht="42" customHeight="1">
      <c r="A1318" s="2" t="s">
        <v>2989</v>
      </c>
      <c r="B1318" s="2" t="s">
        <v>2990</v>
      </c>
      <c r="C1318" s="2" t="s">
        <v>35</v>
      </c>
      <c r="D1318" s="2" t="s">
        <v>27</v>
      </c>
      <c r="E1318" s="5">
        <v>-28813</v>
      </c>
      <c r="F1318" s="3" t="s">
        <v>268</v>
      </c>
      <c r="G1318" s="3" t="s">
        <v>20</v>
      </c>
      <c r="H1318" s="2" t="s">
        <v>21</v>
      </c>
      <c r="I1318" s="2" t="s">
        <v>2991</v>
      </c>
      <c r="J1318" s="3" t="str">
        <f>HYPERLINK("https://www.boe.es/gazeta/dias/1821/02/09/pdfs/GGB-1821-40.pdf#page=3","Abrir facsímil")</f>
        <v>Abrir facsímil</v>
      </c>
      <c r="K1318" s="3" t="s">
        <v>23</v>
      </c>
    </row>
    <row r="1319" spans="1:11" ht="42" customHeight="1">
      <c r="A1319" s="2" t="s">
        <v>2992</v>
      </c>
      <c r="B1319" s="2" t="s">
        <v>2992</v>
      </c>
      <c r="C1319" s="2" t="s">
        <v>40</v>
      </c>
      <c r="D1319" s="2" t="s">
        <v>41</v>
      </c>
      <c r="E1319" s="5">
        <v>-28646</v>
      </c>
      <c r="F1319" s="3" t="s">
        <v>1457</v>
      </c>
      <c r="G1319" s="3" t="s">
        <v>43</v>
      </c>
      <c r="H1319" s="2" t="s">
        <v>21</v>
      </c>
      <c r="I1319" s="2" t="s">
        <v>2993</v>
      </c>
      <c r="J1319" s="3" t="str">
        <f>HYPERLINK("https://www.boe.es/gazeta/dias/1821/07/26/pdfs/GMD-1821-211.pdf#page=1","Abrir facsímil")</f>
        <v>Abrir facsímil</v>
      </c>
      <c r="K1319" s="3" t="s">
        <v>23</v>
      </c>
    </row>
    <row r="1320" spans="1:11" ht="42" customHeight="1">
      <c r="A1320" s="2" t="s">
        <v>2992</v>
      </c>
      <c r="B1320" s="2" t="s">
        <v>2992</v>
      </c>
      <c r="C1320" s="2" t="s">
        <v>26</v>
      </c>
      <c r="D1320" s="2" t="s">
        <v>27</v>
      </c>
      <c r="E1320" s="5">
        <v>-28644</v>
      </c>
      <c r="F1320" s="3" t="s">
        <v>1340</v>
      </c>
      <c r="G1320" s="3" t="s">
        <v>52</v>
      </c>
      <c r="H1320" s="2" t="s">
        <v>21</v>
      </c>
      <c r="I1320" s="2" t="s">
        <v>2994</v>
      </c>
      <c r="J1320" s="3" t="str">
        <f>HYPERLINK("https://www.boe.es/gazeta/dias/1821/07/28/pdfs/GMD-1821-213.pdf#page=2","Abrir facsímil")</f>
        <v>Abrir facsímil</v>
      </c>
      <c r="K1320" s="3" t="s">
        <v>23</v>
      </c>
    </row>
    <row r="1321" spans="1:11" ht="42" customHeight="1">
      <c r="A1321" s="2" t="s">
        <v>2992</v>
      </c>
      <c r="B1321" s="2" t="s">
        <v>2992</v>
      </c>
      <c r="C1321" s="2" t="s">
        <v>40</v>
      </c>
      <c r="D1321" s="2" t="s">
        <v>41</v>
      </c>
      <c r="E1321" s="5">
        <v>-28626</v>
      </c>
      <c r="F1321" s="3" t="s">
        <v>468</v>
      </c>
      <c r="G1321" s="3" t="s">
        <v>43</v>
      </c>
      <c r="H1321" s="2" t="s">
        <v>21</v>
      </c>
      <c r="I1321" s="2" t="s">
        <v>2995</v>
      </c>
      <c r="J1321" s="3" t="str">
        <f>HYPERLINK("https://www.boe.es/gazeta/dias/1821/08/15/pdfs/GMD-1821-232.pdf#page=1","Abrir facsímil")</f>
        <v>Abrir facsímil</v>
      </c>
      <c r="K1321" s="3" t="s">
        <v>23</v>
      </c>
    </row>
    <row r="1322" spans="1:11" ht="42" customHeight="1">
      <c r="A1322" s="2" t="s">
        <v>2992</v>
      </c>
      <c r="B1322" s="2" t="s">
        <v>2992</v>
      </c>
      <c r="C1322" s="2" t="s">
        <v>26</v>
      </c>
      <c r="D1322" s="2" t="s">
        <v>27</v>
      </c>
      <c r="E1322" s="5">
        <v>-28624</v>
      </c>
      <c r="F1322" s="3" t="s">
        <v>78</v>
      </c>
      <c r="G1322" s="3" t="s">
        <v>20</v>
      </c>
      <c r="H1322" s="2" t="s">
        <v>21</v>
      </c>
      <c r="I1322" s="2" t="s">
        <v>2996</v>
      </c>
      <c r="J1322" s="3" t="str">
        <f>HYPERLINK("https://www.boe.es/gazeta/dias/1821/08/17/pdfs/GMD-1821-234.pdf#page=3","Abrir facsímil")</f>
        <v>Abrir facsímil</v>
      </c>
      <c r="K1322" s="3" t="s">
        <v>23</v>
      </c>
    </row>
    <row r="1323" spans="1:11" ht="42" customHeight="1">
      <c r="A1323" s="2" t="s">
        <v>2997</v>
      </c>
      <c r="B1323" s="2" t="s">
        <v>2998</v>
      </c>
      <c r="C1323" s="2" t="s">
        <v>40</v>
      </c>
      <c r="D1323" s="2" t="s">
        <v>41</v>
      </c>
      <c r="E1323" s="5">
        <v>-28572</v>
      </c>
      <c r="F1323" s="3" t="s">
        <v>1072</v>
      </c>
      <c r="G1323" s="3" t="s">
        <v>43</v>
      </c>
      <c r="H1323" s="2" t="s">
        <v>21</v>
      </c>
      <c r="I1323" s="2" t="s">
        <v>2999</v>
      </c>
      <c r="J1323" s="3" t="str">
        <f>HYPERLINK("https://www.boe.es/gazeta/dias/1821/10/08/pdfs/GMD-1821-287.pdf#page=1","Abrir facsímil")</f>
        <v>Abrir facsímil</v>
      </c>
      <c r="K1323" s="3" t="s">
        <v>23</v>
      </c>
    </row>
    <row r="1324" spans="1:11" ht="42" customHeight="1">
      <c r="A1324" s="2" t="s">
        <v>3000</v>
      </c>
      <c r="B1324" s="2" t="s">
        <v>3001</v>
      </c>
      <c r="C1324" s="2" t="s">
        <v>40</v>
      </c>
      <c r="D1324" s="2" t="s">
        <v>41</v>
      </c>
      <c r="E1324" s="5">
        <v>-28595</v>
      </c>
      <c r="F1324" s="3" t="s">
        <v>1621</v>
      </c>
      <c r="G1324" s="3" t="s">
        <v>88</v>
      </c>
      <c r="H1324" s="2" t="s">
        <v>21</v>
      </c>
      <c r="I1324" s="2" t="s">
        <v>3002</v>
      </c>
      <c r="J1324" s="3" t="str">
        <f>HYPERLINK("https://www.boe.es/gazeta/dias/1821/09/15/pdfs/GMD-1821-263.pdf#page=4","Abrir facsímil")</f>
        <v>Abrir facsímil</v>
      </c>
      <c r="K1324" s="3" t="s">
        <v>23</v>
      </c>
    </row>
    <row r="1325" spans="1:11" ht="42" customHeight="1">
      <c r="A1325" s="2" t="s">
        <v>3003</v>
      </c>
      <c r="B1325" s="2" t="s">
        <v>3003</v>
      </c>
      <c r="C1325" s="2" t="s">
        <v>114</v>
      </c>
      <c r="D1325" s="2" t="s">
        <v>27</v>
      </c>
      <c r="E1325" s="5">
        <v>-28742</v>
      </c>
      <c r="F1325" s="3" t="s">
        <v>324</v>
      </c>
      <c r="G1325" s="3" t="s">
        <v>52</v>
      </c>
      <c r="H1325" s="2" t="s">
        <v>21</v>
      </c>
      <c r="I1325" s="2" t="s">
        <v>3004</v>
      </c>
      <c r="J1325" s="3" t="str">
        <f>HYPERLINK("https://www.boe.es/gazeta/dias/1821/04/21/pdfs/GMD-1821-113.pdf#page=2","Abrir facsímil")</f>
        <v>Abrir facsímil</v>
      </c>
      <c r="K1325" s="3" t="s">
        <v>23</v>
      </c>
    </row>
    <row r="1326" spans="1:11" ht="42" customHeight="1">
      <c r="A1326" s="2" t="s">
        <v>3005</v>
      </c>
      <c r="B1326" s="2" t="s">
        <v>3005</v>
      </c>
      <c r="C1326" s="2" t="s">
        <v>17</v>
      </c>
      <c r="D1326" s="2" t="s">
        <v>18</v>
      </c>
      <c r="E1326" s="5">
        <v>-28718</v>
      </c>
      <c r="F1326" s="3" t="s">
        <v>583</v>
      </c>
      <c r="G1326" s="3" t="s">
        <v>52</v>
      </c>
      <c r="H1326" s="2" t="s">
        <v>21</v>
      </c>
      <c r="I1326" s="2" t="s">
        <v>3006</v>
      </c>
      <c r="J1326" s="3" t="str">
        <f>HYPERLINK("https://www.boe.es/gazeta/dias/1821/05/15/pdfs/GMD-1821-137.pdf#page=2","Abrir facsímil")</f>
        <v>Abrir facsímil</v>
      </c>
      <c r="K1326" s="3" t="s">
        <v>23</v>
      </c>
    </row>
    <row r="1327" spans="1:11" ht="42" customHeight="1">
      <c r="A1327" s="2" t="s">
        <v>3007</v>
      </c>
      <c r="B1327" s="2" t="s">
        <v>3007</v>
      </c>
      <c r="C1327" s="2" t="s">
        <v>174</v>
      </c>
      <c r="D1327" s="2" t="s">
        <v>27</v>
      </c>
      <c r="E1327" s="5">
        <v>-28590</v>
      </c>
      <c r="F1327" s="3" t="s">
        <v>2787</v>
      </c>
      <c r="G1327" s="3" t="s">
        <v>20</v>
      </c>
      <c r="H1327" s="2" t="s">
        <v>21</v>
      </c>
      <c r="I1327" s="2" t="s">
        <v>3008</v>
      </c>
      <c r="J1327" s="3" t="str">
        <f>HYPERLINK("https://www.boe.es/gazeta/dias/1821/09/20/pdfs/GMD-1821-268.pdf#page=3","Abrir facsímil")</f>
        <v>Abrir facsímil</v>
      </c>
      <c r="K1327" s="3" t="s">
        <v>23</v>
      </c>
    </row>
    <row r="1328" spans="1:11" ht="42" customHeight="1">
      <c r="A1328" s="2" t="s">
        <v>3009</v>
      </c>
      <c r="B1328" s="2" t="s">
        <v>3009</v>
      </c>
      <c r="C1328" s="2" t="s">
        <v>40</v>
      </c>
      <c r="D1328" s="2" t="s">
        <v>41</v>
      </c>
      <c r="E1328" s="5">
        <v>-28493</v>
      </c>
      <c r="F1328" s="3" t="s">
        <v>3010</v>
      </c>
      <c r="G1328" s="3" t="s">
        <v>52</v>
      </c>
      <c r="H1328" s="2" t="s">
        <v>21</v>
      </c>
      <c r="I1328" s="2" t="s">
        <v>3011</v>
      </c>
      <c r="J1328" s="3" t="str">
        <f>HYPERLINK("https://www.boe.es/gazeta/dias/1821/12/26/pdfs/GMD-1821-369.pdf#page=2","Abrir facsímil")</f>
        <v>Abrir facsímil</v>
      </c>
      <c r="K1328" s="3" t="s">
        <v>23</v>
      </c>
    </row>
    <row r="1329" spans="1:11" ht="42" customHeight="1">
      <c r="A1329" s="2" t="s">
        <v>3012</v>
      </c>
      <c r="B1329" s="2" t="s">
        <v>3012</v>
      </c>
      <c r="C1329" s="2" t="s">
        <v>40</v>
      </c>
      <c r="D1329" s="2" t="s">
        <v>41</v>
      </c>
      <c r="E1329" s="5">
        <v>-28608</v>
      </c>
      <c r="F1329" s="3" t="s">
        <v>805</v>
      </c>
      <c r="G1329" s="3" t="s">
        <v>43</v>
      </c>
      <c r="H1329" s="2" t="s">
        <v>21</v>
      </c>
      <c r="I1329" s="2" t="s">
        <v>3013</v>
      </c>
      <c r="J1329" s="3" t="str">
        <f>HYPERLINK("https://www.boe.es/gazeta/dias/1821/09/02/pdfs/GMD-1821-250.pdf#page=1","Abrir facsímil")</f>
        <v>Abrir facsímil</v>
      </c>
      <c r="K1329" s="3" t="s">
        <v>23</v>
      </c>
    </row>
    <row r="1330" spans="1:11" ht="42" customHeight="1">
      <c r="A1330" s="2" t="s">
        <v>3012</v>
      </c>
      <c r="B1330" s="2" t="s">
        <v>3012</v>
      </c>
      <c r="C1330" s="2" t="s">
        <v>40</v>
      </c>
      <c r="D1330" s="2" t="s">
        <v>41</v>
      </c>
      <c r="E1330" s="5">
        <v>-28583</v>
      </c>
      <c r="F1330" s="3" t="s">
        <v>2668</v>
      </c>
      <c r="G1330" s="3" t="s">
        <v>43</v>
      </c>
      <c r="H1330" s="2" t="s">
        <v>21</v>
      </c>
      <c r="I1330" s="2" t="s">
        <v>3014</v>
      </c>
      <c r="J1330" s="3" t="str">
        <f>HYPERLINK("https://www.boe.es/gazeta/dias/1821/09/27/pdfs/GMD-1821-275.pdf#page=1","Abrir facsímil")</f>
        <v>Abrir facsímil</v>
      </c>
      <c r="K1330" s="3" t="s">
        <v>23</v>
      </c>
    </row>
    <row r="1331" spans="1:11" ht="42" customHeight="1">
      <c r="A1331" s="2" t="s">
        <v>3015</v>
      </c>
      <c r="B1331" s="2" t="s">
        <v>3015</v>
      </c>
      <c r="C1331" s="2" t="s">
        <v>40</v>
      </c>
      <c r="D1331" s="2" t="s">
        <v>41</v>
      </c>
      <c r="E1331" s="5">
        <v>-28826</v>
      </c>
      <c r="F1331" s="3" t="s">
        <v>2706</v>
      </c>
      <c r="G1331" s="3" t="s">
        <v>2707</v>
      </c>
      <c r="H1331" s="2" t="s">
        <v>21</v>
      </c>
      <c r="I1331" s="2" t="s">
        <v>3016</v>
      </c>
      <c r="J1331" s="3" t="str">
        <f>HYPERLINK("https://www.boe.es/gazeta/dias/1821/01/27/pdfs/GGB-1821-27.pdf#page=3","Abrir facsímil")</f>
        <v>Abrir facsímil</v>
      </c>
      <c r="K1331" s="3" t="s">
        <v>23</v>
      </c>
    </row>
    <row r="1332" spans="1:11" ht="42" customHeight="1">
      <c r="A1332" s="2" t="s">
        <v>3017</v>
      </c>
      <c r="B1332" s="2" t="s">
        <v>3018</v>
      </c>
      <c r="C1332" s="2" t="s">
        <v>40</v>
      </c>
      <c r="D1332" s="2" t="s">
        <v>41</v>
      </c>
      <c r="E1332" s="5">
        <v>-28813</v>
      </c>
      <c r="F1332" s="3" t="s">
        <v>268</v>
      </c>
      <c r="G1332" s="3" t="s">
        <v>52</v>
      </c>
      <c r="H1332" s="2" t="s">
        <v>21</v>
      </c>
      <c r="I1332" s="2" t="s">
        <v>3019</v>
      </c>
      <c r="J1332" s="3" t="str">
        <f>HYPERLINK("https://www.boe.es/gazeta/dias/1821/02/09/pdfs/GGB-1821-40.pdf#page=2","Abrir facsímil")</f>
        <v>Abrir facsímil</v>
      </c>
      <c r="K1332" s="3" t="s">
        <v>23</v>
      </c>
    </row>
    <row r="1333" spans="1:11" ht="42" customHeight="1">
      <c r="A1333" s="2" t="s">
        <v>3020</v>
      </c>
      <c r="B1333" s="2" t="s">
        <v>3021</v>
      </c>
      <c r="C1333" s="2" t="s">
        <v>40</v>
      </c>
      <c r="D1333" s="2" t="s">
        <v>41</v>
      </c>
      <c r="E1333" s="5">
        <v>-28531</v>
      </c>
      <c r="F1333" s="3" t="s">
        <v>365</v>
      </c>
      <c r="G1333" s="3" t="s">
        <v>20</v>
      </c>
      <c r="H1333" s="2" t="s">
        <v>21</v>
      </c>
      <c r="I1333" s="2" t="s">
        <v>3022</v>
      </c>
      <c r="J1333" s="3" t="str">
        <f>HYPERLINK("https://www.boe.es/gazeta/dias/1821/11/18/pdfs/GMD-1821-329.pdf#page=3","Abrir facsímil")</f>
        <v>Abrir facsímil</v>
      </c>
      <c r="K1333" s="3" t="s">
        <v>23</v>
      </c>
    </row>
    <row r="1334" spans="1:11" ht="42" customHeight="1">
      <c r="A1334" s="2" t="s">
        <v>3023</v>
      </c>
      <c r="B1334" s="2" t="s">
        <v>3023</v>
      </c>
      <c r="C1334" s="2" t="s">
        <v>26</v>
      </c>
      <c r="D1334" s="2" t="s">
        <v>27</v>
      </c>
      <c r="E1334" s="5">
        <v>-28554</v>
      </c>
      <c r="F1334" s="3" t="s">
        <v>433</v>
      </c>
      <c r="G1334" s="3" t="s">
        <v>52</v>
      </c>
      <c r="H1334" s="2" t="s">
        <v>21</v>
      </c>
      <c r="I1334" s="2" t="s">
        <v>3024</v>
      </c>
      <c r="J1334" s="3" t="str">
        <f>HYPERLINK("https://www.boe.es/gazeta/dias/1821/10/26/pdfs/GMD-1821-305.pdf#page=2","Abrir facsímil")</f>
        <v>Abrir facsímil</v>
      </c>
      <c r="K1334" s="3" t="s">
        <v>23</v>
      </c>
    </row>
    <row r="1335" spans="1:11" ht="42" customHeight="1">
      <c r="A1335" s="2" t="s">
        <v>3025</v>
      </c>
      <c r="B1335" s="2" t="s">
        <v>3026</v>
      </c>
      <c r="C1335" s="2" t="s">
        <v>26</v>
      </c>
      <c r="D1335" s="2" t="s">
        <v>27</v>
      </c>
      <c r="E1335" s="5">
        <v>-28551</v>
      </c>
      <c r="F1335" s="3" t="s">
        <v>542</v>
      </c>
      <c r="G1335" s="3" t="s">
        <v>52</v>
      </c>
      <c r="H1335" s="2" t="s">
        <v>21</v>
      </c>
      <c r="I1335" s="2" t="s">
        <v>3027</v>
      </c>
      <c r="J1335" s="3" t="str">
        <f>HYPERLINK("https://www.boe.es/gazeta/dias/1821/10/29/pdfs/GMD-1821-308.pdf#page=2","Abrir facsímil")</f>
        <v>Abrir facsímil</v>
      </c>
      <c r="K1335" s="3" t="s">
        <v>23</v>
      </c>
    </row>
    <row r="1336" spans="1:11" ht="42" customHeight="1">
      <c r="A1336" s="2" t="s">
        <v>3028</v>
      </c>
      <c r="B1336" s="2" t="s">
        <v>3029</v>
      </c>
      <c r="C1336" s="2" t="s">
        <v>40</v>
      </c>
      <c r="D1336" s="2" t="s">
        <v>41</v>
      </c>
      <c r="E1336" s="5">
        <v>-28725</v>
      </c>
      <c r="F1336" s="3" t="s">
        <v>440</v>
      </c>
      <c r="G1336" s="3" t="s">
        <v>88</v>
      </c>
      <c r="H1336" s="2" t="s">
        <v>21</v>
      </c>
      <c r="I1336" s="2" t="s">
        <v>3030</v>
      </c>
      <c r="J1336" s="3" t="str">
        <f>HYPERLINK("https://www.boe.es/gazeta/dias/1821/05/08/pdfs/GMD-1821-130.pdf#page=4","Abrir facsímil")</f>
        <v>Abrir facsímil</v>
      </c>
      <c r="K1336" s="3" t="s">
        <v>23</v>
      </c>
    </row>
    <row r="1337" spans="1:11" ht="42" customHeight="1">
      <c r="A1337" s="2" t="s">
        <v>3031</v>
      </c>
      <c r="B1337" s="2" t="s">
        <v>3031</v>
      </c>
      <c r="C1337" s="2" t="s">
        <v>70</v>
      </c>
      <c r="D1337" s="2" t="s">
        <v>27</v>
      </c>
      <c r="E1337" s="5">
        <v>-28663</v>
      </c>
      <c r="F1337" s="3" t="s">
        <v>3032</v>
      </c>
      <c r="G1337" s="3" t="s">
        <v>88</v>
      </c>
      <c r="H1337" s="2" t="s">
        <v>21</v>
      </c>
      <c r="I1337" s="2" t="s">
        <v>3033</v>
      </c>
      <c r="J1337" s="3" t="str">
        <f>HYPERLINK("https://www.boe.es/gazeta/dias/1821/07/09/pdfs/GMD-1821-194.pdf#page=4","Abrir facsímil")</f>
        <v>Abrir facsímil</v>
      </c>
      <c r="K1337" s="3" t="s">
        <v>23</v>
      </c>
    </row>
    <row r="1338" spans="1:11" ht="42" customHeight="1">
      <c r="A1338" s="2" t="s">
        <v>3031</v>
      </c>
      <c r="B1338" s="2" t="s">
        <v>3031</v>
      </c>
      <c r="C1338" s="2" t="s">
        <v>40</v>
      </c>
      <c r="D1338" s="2" t="s">
        <v>41</v>
      </c>
      <c r="E1338" s="5">
        <v>-28636</v>
      </c>
      <c r="F1338" s="3" t="s">
        <v>122</v>
      </c>
      <c r="G1338" s="3" t="s">
        <v>20</v>
      </c>
      <c r="H1338" s="2" t="s">
        <v>21</v>
      </c>
      <c r="I1338" s="2" t="s">
        <v>3034</v>
      </c>
      <c r="J1338" s="3" t="str">
        <f>HYPERLINK("https://www.boe.es/gazeta/dias/1821/08/05/pdfs/GMD-1821-221.pdf#page=3","Abrir facsímil")</f>
        <v>Abrir facsímil</v>
      </c>
      <c r="K1338" s="3" t="s">
        <v>23</v>
      </c>
    </row>
    <row r="1339" spans="1:11" ht="42" customHeight="1">
      <c r="A1339" s="2" t="s">
        <v>3035</v>
      </c>
      <c r="B1339" s="2" t="s">
        <v>3036</v>
      </c>
      <c r="C1339" s="2" t="s">
        <v>40</v>
      </c>
      <c r="D1339" s="2" t="s">
        <v>41</v>
      </c>
      <c r="E1339" s="5">
        <v>-28641</v>
      </c>
      <c r="F1339" s="3" t="s">
        <v>398</v>
      </c>
      <c r="G1339" s="3" t="s">
        <v>20</v>
      </c>
      <c r="H1339" s="2" t="s">
        <v>21</v>
      </c>
      <c r="I1339" s="2" t="s">
        <v>3037</v>
      </c>
      <c r="J1339" s="3" t="str">
        <f>HYPERLINK("https://www.boe.es/gazeta/dias/1821/07/31/pdfs/GMD-1821-216.pdf#page=3","Abrir facsímil")</f>
        <v>Abrir facsímil</v>
      </c>
      <c r="K1339" s="3" t="s">
        <v>23</v>
      </c>
    </row>
    <row r="1340" spans="1:11" ht="42" customHeight="1">
      <c r="A1340" s="2" t="s">
        <v>3038</v>
      </c>
      <c r="B1340" s="2" t="s">
        <v>3038</v>
      </c>
      <c r="C1340" s="2" t="s">
        <v>70</v>
      </c>
      <c r="D1340" s="2" t="s">
        <v>27</v>
      </c>
      <c r="E1340" s="5">
        <v>-28582</v>
      </c>
      <c r="F1340" s="3" t="s">
        <v>3039</v>
      </c>
      <c r="G1340" s="3" t="s">
        <v>88</v>
      </c>
      <c r="H1340" s="2" t="s">
        <v>21</v>
      </c>
      <c r="I1340" s="2" t="s">
        <v>3040</v>
      </c>
      <c r="J1340" s="3" t="str">
        <f>HYPERLINK("https://www.boe.es/gazeta/dias/1821/09/28/pdfs/GMD-1821-276.pdf#page=4","Abrir facsímil")</f>
        <v>Abrir facsímil</v>
      </c>
      <c r="K1340" s="3" t="s">
        <v>23</v>
      </c>
    </row>
    <row r="1341" spans="1:11" ht="42" customHeight="1">
      <c r="A1341" s="2" t="s">
        <v>3041</v>
      </c>
      <c r="B1341" s="2" t="s">
        <v>3042</v>
      </c>
      <c r="C1341" s="2" t="s">
        <v>40</v>
      </c>
      <c r="D1341" s="2" t="s">
        <v>41</v>
      </c>
      <c r="E1341" s="5">
        <v>-28508</v>
      </c>
      <c r="F1341" s="3" t="s">
        <v>42</v>
      </c>
      <c r="G1341" s="3" t="s">
        <v>88</v>
      </c>
      <c r="H1341" s="2" t="s">
        <v>21</v>
      </c>
      <c r="I1341" s="2" t="s">
        <v>3043</v>
      </c>
      <c r="J1341" s="3" t="str">
        <f>HYPERLINK("https://www.boe.es/gazeta/dias/1821/12/11/pdfs/GMD-1821-353.pdf#page=4","Abrir facsímil")</f>
        <v>Abrir facsímil</v>
      </c>
      <c r="K1341" s="3" t="s">
        <v>23</v>
      </c>
    </row>
    <row r="1342" spans="1:11" ht="42" customHeight="1">
      <c r="A1342" s="2" t="s">
        <v>3044</v>
      </c>
      <c r="B1342" s="2" t="s">
        <v>3044</v>
      </c>
      <c r="C1342" s="2" t="s">
        <v>40</v>
      </c>
      <c r="D1342" s="2" t="s">
        <v>41</v>
      </c>
      <c r="E1342" s="5">
        <v>-28841</v>
      </c>
      <c r="F1342" s="3" t="s">
        <v>765</v>
      </c>
      <c r="G1342" s="3" t="s">
        <v>43</v>
      </c>
      <c r="H1342" s="2" t="s">
        <v>21</v>
      </c>
      <c r="I1342" s="2" t="s">
        <v>3045</v>
      </c>
      <c r="J1342" s="3" t="str">
        <f>HYPERLINK("https://www.boe.es/gazeta/dias/1821/01/12/pdfs/GGB-1821-12.pdf#page=1","Abrir facsímil")</f>
        <v>Abrir facsímil</v>
      </c>
      <c r="K1342" s="3" t="s">
        <v>23</v>
      </c>
    </row>
    <row r="1343" spans="1:11" ht="42" customHeight="1">
      <c r="A1343" s="2" t="s">
        <v>3046</v>
      </c>
      <c r="B1343" s="2" t="s">
        <v>3046</v>
      </c>
      <c r="C1343" s="2" t="s">
        <v>114</v>
      </c>
      <c r="D1343" s="2" t="s">
        <v>27</v>
      </c>
      <c r="E1343" s="5">
        <v>-28777</v>
      </c>
      <c r="F1343" s="3" t="s">
        <v>1004</v>
      </c>
      <c r="G1343" s="3" t="s">
        <v>43</v>
      </c>
      <c r="H1343" s="2" t="s">
        <v>21</v>
      </c>
      <c r="I1343" s="2" t="s">
        <v>3047</v>
      </c>
      <c r="J1343" s="3" t="str">
        <f>HYPERLINK("https://www.boe.es/gazeta/dias/1821/03/17/pdfs/GMD-1821-76.pdf#page=1","Abrir facsímil")</f>
        <v>Abrir facsímil</v>
      </c>
      <c r="K1343" s="3" t="s">
        <v>23</v>
      </c>
    </row>
    <row r="1344" spans="1:11" ht="42" customHeight="1">
      <c r="A1344" s="2" t="s">
        <v>3048</v>
      </c>
      <c r="B1344" s="2" t="s">
        <v>3048</v>
      </c>
      <c r="C1344" s="2" t="s">
        <v>26</v>
      </c>
      <c r="D1344" s="2" t="s">
        <v>27</v>
      </c>
      <c r="E1344" s="5">
        <v>-28637</v>
      </c>
      <c r="F1344" s="3" t="s">
        <v>3049</v>
      </c>
      <c r="G1344" s="3" t="s">
        <v>52</v>
      </c>
      <c r="H1344" s="2" t="s">
        <v>21</v>
      </c>
      <c r="I1344" s="2" t="s">
        <v>3050</v>
      </c>
      <c r="J1344" s="3" t="str">
        <f>HYPERLINK("https://www.boe.es/gazeta/dias/1821/08/04/pdfs/GMD-1821-220.pdf#page=2","Abrir facsímil")</f>
        <v>Abrir facsímil</v>
      </c>
      <c r="K1344" s="3" t="s">
        <v>23</v>
      </c>
    </row>
    <row r="1345" spans="1:11" ht="42" customHeight="1">
      <c r="A1345" s="2" t="s">
        <v>3048</v>
      </c>
      <c r="B1345" s="2" t="s">
        <v>3048</v>
      </c>
      <c r="C1345" s="2" t="s">
        <v>35</v>
      </c>
      <c r="D1345" s="2" t="s">
        <v>27</v>
      </c>
      <c r="E1345" s="5">
        <v>-28623</v>
      </c>
      <c r="F1345" s="3" t="s">
        <v>2767</v>
      </c>
      <c r="G1345" s="3" t="s">
        <v>52</v>
      </c>
      <c r="H1345" s="2" t="s">
        <v>21</v>
      </c>
      <c r="I1345" s="2" t="s">
        <v>3051</v>
      </c>
      <c r="J1345" s="3" t="str">
        <f>HYPERLINK("https://www.boe.es/gazeta/dias/1821/08/18/pdfs/GMD-1821-235.pdf#page=2","Abrir facsímil")</f>
        <v>Abrir facsímil</v>
      </c>
      <c r="K1345" s="3" t="s">
        <v>23</v>
      </c>
    </row>
    <row r="1346" spans="1:11" ht="42" customHeight="1">
      <c r="A1346" s="2" t="s">
        <v>3052</v>
      </c>
      <c r="B1346" s="2" t="s">
        <v>3052</v>
      </c>
      <c r="C1346" s="2" t="s">
        <v>35</v>
      </c>
      <c r="D1346" s="2" t="s">
        <v>27</v>
      </c>
      <c r="E1346" s="5">
        <v>-28814</v>
      </c>
      <c r="F1346" s="3" t="s">
        <v>2090</v>
      </c>
      <c r="G1346" s="3" t="s">
        <v>3053</v>
      </c>
      <c r="H1346" s="2" t="s">
        <v>21</v>
      </c>
      <c r="I1346" s="2" t="s">
        <v>3054</v>
      </c>
      <c r="J1346" s="3" t="str">
        <f>HYPERLINK("https://www.boe.es/gazeta/dias/1821/02/08/pdfs/GGB-1821-39.pdf#page=3","Abrir facsímil")</f>
        <v>Abrir facsímil</v>
      </c>
      <c r="K1346" s="3" t="s">
        <v>23</v>
      </c>
    </row>
    <row r="1347" spans="1:11" ht="42" customHeight="1">
      <c r="A1347" s="2" t="s">
        <v>3055</v>
      </c>
      <c r="B1347" s="2" t="s">
        <v>3056</v>
      </c>
      <c r="C1347" s="2" t="s">
        <v>40</v>
      </c>
      <c r="D1347" s="2" t="s">
        <v>41</v>
      </c>
      <c r="E1347" s="5">
        <v>-28725</v>
      </c>
      <c r="F1347" s="3" t="s">
        <v>440</v>
      </c>
      <c r="G1347" s="3" t="s">
        <v>88</v>
      </c>
      <c r="H1347" s="2" t="s">
        <v>21</v>
      </c>
      <c r="I1347" s="2" t="s">
        <v>3057</v>
      </c>
      <c r="J1347" s="3" t="str">
        <f>HYPERLINK("https://www.boe.es/gazeta/dias/1821/05/08/pdfs/GMD-1821-130.pdf#page=4","Abrir facsímil")</f>
        <v>Abrir facsímil</v>
      </c>
      <c r="K1347" s="3" t="s">
        <v>23</v>
      </c>
    </row>
    <row r="1348" spans="1:11" ht="42" customHeight="1">
      <c r="A1348" s="2" t="s">
        <v>3058</v>
      </c>
      <c r="B1348" s="2" t="s">
        <v>3059</v>
      </c>
      <c r="C1348" s="2" t="s">
        <v>17</v>
      </c>
      <c r="D1348" s="2" t="s">
        <v>18</v>
      </c>
      <c r="E1348" s="5">
        <v>-28700</v>
      </c>
      <c r="F1348" s="3" t="s">
        <v>701</v>
      </c>
      <c r="G1348" s="3" t="s">
        <v>43</v>
      </c>
      <c r="H1348" s="2" t="s">
        <v>21</v>
      </c>
      <c r="I1348" s="2" t="s">
        <v>3060</v>
      </c>
      <c r="J1348" s="3" t="str">
        <f>HYPERLINK("https://www.boe.es/gazeta/dias/1821/06/02/pdfs/GMD-1821-155.pdf#page=1","Abrir facsímil")</f>
        <v>Abrir facsímil</v>
      </c>
      <c r="K1348" s="3" t="s">
        <v>23</v>
      </c>
    </row>
    <row r="1349" spans="1:11" ht="42" customHeight="1">
      <c r="A1349" s="2" t="s">
        <v>3061</v>
      </c>
      <c r="B1349" s="2" t="s">
        <v>3062</v>
      </c>
      <c r="C1349" s="2" t="s">
        <v>26</v>
      </c>
      <c r="D1349" s="2" t="s">
        <v>27</v>
      </c>
      <c r="E1349" s="5">
        <v>-28531</v>
      </c>
      <c r="F1349" s="3" t="s">
        <v>365</v>
      </c>
      <c r="G1349" s="3" t="s">
        <v>20</v>
      </c>
      <c r="H1349" s="2" t="s">
        <v>21</v>
      </c>
      <c r="I1349" s="2" t="s">
        <v>3063</v>
      </c>
      <c r="J1349" s="3" t="str">
        <f>HYPERLINK("https://www.boe.es/gazeta/dias/1821/11/18/pdfs/GMD-1821-329.pdf#page=3","Abrir facsímil")</f>
        <v>Abrir facsímil</v>
      </c>
      <c r="K1349" s="3" t="s">
        <v>23</v>
      </c>
    </row>
    <row r="1350" spans="1:11" ht="42" customHeight="1">
      <c r="A1350" s="2" t="s">
        <v>3064</v>
      </c>
      <c r="B1350" s="2" t="s">
        <v>3065</v>
      </c>
      <c r="C1350" s="2" t="s">
        <v>40</v>
      </c>
      <c r="D1350" s="2" t="s">
        <v>41</v>
      </c>
      <c r="E1350" s="5">
        <v>-28667</v>
      </c>
      <c r="F1350" s="3" t="s">
        <v>107</v>
      </c>
      <c r="G1350" s="3" t="s">
        <v>20</v>
      </c>
      <c r="H1350" s="2" t="s">
        <v>21</v>
      </c>
      <c r="I1350" s="2" t="s">
        <v>3066</v>
      </c>
      <c r="J1350" s="3" t="str">
        <f>HYPERLINK("https://www.boe.es/gazeta/dias/1821/07/05/pdfs/GMD-1821-189.pdf#page=3","Abrir facsímil")</f>
        <v>Abrir facsímil</v>
      </c>
      <c r="K1350" s="3" t="s">
        <v>23</v>
      </c>
    </row>
    <row r="1351" spans="1:11" ht="42" customHeight="1">
      <c r="A1351" s="2" t="s">
        <v>3067</v>
      </c>
      <c r="B1351" s="2" t="s">
        <v>3068</v>
      </c>
      <c r="C1351" s="2" t="s">
        <v>17</v>
      </c>
      <c r="D1351" s="2" t="s">
        <v>18</v>
      </c>
      <c r="E1351" s="5">
        <v>-28667</v>
      </c>
      <c r="F1351" s="3" t="s">
        <v>107</v>
      </c>
      <c r="G1351" s="3" t="s">
        <v>3069</v>
      </c>
      <c r="H1351" s="2" t="s">
        <v>21</v>
      </c>
      <c r="I1351" s="2" t="s">
        <v>3070</v>
      </c>
      <c r="J1351" s="3" t="str">
        <f>HYPERLINK("https://www.boe.es/gazeta/dias/1821/07/05/pdfs/GMD-1821-189.pdf#page=4","Abrir facsímil")</f>
        <v>Abrir facsímil</v>
      </c>
      <c r="K1351" s="3" t="s">
        <v>23</v>
      </c>
    </row>
    <row r="1352" spans="1:11" ht="42" customHeight="1">
      <c r="A1352" s="2" t="s">
        <v>3071</v>
      </c>
      <c r="B1352" s="2" t="s">
        <v>3072</v>
      </c>
      <c r="C1352" s="2" t="s">
        <v>26</v>
      </c>
      <c r="D1352" s="2" t="s">
        <v>27</v>
      </c>
      <c r="E1352" s="5">
        <v>-28626</v>
      </c>
      <c r="F1352" s="3" t="s">
        <v>468</v>
      </c>
      <c r="G1352" s="3" t="s">
        <v>88</v>
      </c>
      <c r="H1352" s="2" t="s">
        <v>21</v>
      </c>
      <c r="I1352" s="2" t="s">
        <v>3073</v>
      </c>
      <c r="J1352" s="3" t="str">
        <f>HYPERLINK("https://www.boe.es/gazeta/dias/1821/08/15/pdfs/GMD-1821-232.pdf#page=4","Abrir facsímil")</f>
        <v>Abrir facsímil</v>
      </c>
      <c r="K1352" s="3" t="s">
        <v>23</v>
      </c>
    </row>
    <row r="1353" spans="1:11" ht="42" customHeight="1">
      <c r="A1353" s="2" t="s">
        <v>3074</v>
      </c>
      <c r="B1353" s="2" t="s">
        <v>3075</v>
      </c>
      <c r="C1353" s="2" t="s">
        <v>26</v>
      </c>
      <c r="D1353" s="2" t="s">
        <v>27</v>
      </c>
      <c r="E1353" s="5">
        <v>-28547</v>
      </c>
      <c r="F1353" s="3" t="s">
        <v>247</v>
      </c>
      <c r="G1353" s="3" t="s">
        <v>248</v>
      </c>
      <c r="H1353" s="2" t="s">
        <v>21</v>
      </c>
      <c r="I1353" s="2" t="s">
        <v>3076</v>
      </c>
      <c r="J1353" s="3" t="str">
        <f>HYPERLINK("https://www.boe.es/gazeta/dias/1821/11/02/pdfs/GMD-1821-312.pdf#page=2","Abrir facsímil")</f>
        <v>Abrir facsímil</v>
      </c>
      <c r="K1353" s="3" t="s">
        <v>23</v>
      </c>
    </row>
    <row r="1354" spans="1:11" ht="42" customHeight="1">
      <c r="A1354" s="2" t="s">
        <v>3077</v>
      </c>
      <c r="B1354" s="2" t="s">
        <v>3078</v>
      </c>
      <c r="C1354" s="2" t="s">
        <v>279</v>
      </c>
      <c r="D1354" s="2" t="s">
        <v>27</v>
      </c>
      <c r="E1354" s="5">
        <v>-28571</v>
      </c>
      <c r="F1354" s="3" t="s">
        <v>482</v>
      </c>
      <c r="G1354" s="3" t="s">
        <v>29</v>
      </c>
      <c r="H1354" s="2" t="s">
        <v>30</v>
      </c>
      <c r="I1354" s="2" t="s">
        <v>3079</v>
      </c>
      <c r="J1354" s="3" t="str">
        <f>HYPERLINK("https://www.boe.es/gazeta/dias/1821/10/09/pdfs/GMD-1821-288.pdf#page=6","Abrir facsímil")</f>
        <v>Abrir facsímil</v>
      </c>
      <c r="K1354" s="3" t="s">
        <v>32</v>
      </c>
    </row>
    <row r="1355" spans="1:11" ht="42" customHeight="1">
      <c r="A1355" s="2" t="s">
        <v>3080</v>
      </c>
      <c r="B1355" s="2" t="s">
        <v>3081</v>
      </c>
      <c r="C1355" s="2" t="s">
        <v>17</v>
      </c>
      <c r="D1355" s="2" t="s">
        <v>18</v>
      </c>
      <c r="E1355" s="5">
        <v>-28677</v>
      </c>
      <c r="F1355" s="3" t="s">
        <v>361</v>
      </c>
      <c r="G1355" s="3" t="s">
        <v>29</v>
      </c>
      <c r="H1355" s="2" t="s">
        <v>21</v>
      </c>
      <c r="I1355" s="2" t="s">
        <v>3082</v>
      </c>
      <c r="J1355" s="3" t="str">
        <f>HYPERLINK("https://www.boe.es/gazeta/dias/1821/06/25/pdfs/GMD-1821-178.pdf#page=6","Abrir facsímil")</f>
        <v>Abrir facsímil</v>
      </c>
      <c r="K1355" s="3" t="s">
        <v>23</v>
      </c>
    </row>
    <row r="1356" spans="1:11" ht="42" customHeight="1">
      <c r="A1356" s="2" t="s">
        <v>3083</v>
      </c>
      <c r="B1356" s="2" t="s">
        <v>3084</v>
      </c>
      <c r="C1356" s="2" t="s">
        <v>40</v>
      </c>
      <c r="D1356" s="2" t="s">
        <v>41</v>
      </c>
      <c r="E1356" s="5">
        <v>-28743</v>
      </c>
      <c r="F1356" s="3" t="s">
        <v>51</v>
      </c>
      <c r="G1356" s="3" t="s">
        <v>52</v>
      </c>
      <c r="H1356" s="2" t="s">
        <v>21</v>
      </c>
      <c r="I1356" s="2" t="s">
        <v>3085</v>
      </c>
      <c r="J1356" s="3" t="str">
        <f>HYPERLINK("https://www.boe.es/gazeta/dias/1821/04/20/pdfs/GMD-1821-112.pdf#page=2","Abrir facsímil")</f>
        <v>Abrir facsímil</v>
      </c>
      <c r="K1356" s="3" t="s">
        <v>23</v>
      </c>
    </row>
    <row r="1357" spans="1:11" ht="42" customHeight="1">
      <c r="A1357" s="2" t="s">
        <v>3086</v>
      </c>
      <c r="B1357" s="2" t="s">
        <v>3087</v>
      </c>
      <c r="C1357" s="2" t="s">
        <v>40</v>
      </c>
      <c r="D1357" s="2" t="s">
        <v>41</v>
      </c>
      <c r="E1357" s="5">
        <v>-28783</v>
      </c>
      <c r="F1357" s="3" t="s">
        <v>198</v>
      </c>
      <c r="G1357" s="3" t="s">
        <v>88</v>
      </c>
      <c r="H1357" s="2" t="s">
        <v>21</v>
      </c>
      <c r="I1357" s="2" t="s">
        <v>3088</v>
      </c>
      <c r="J1357" s="3" t="str">
        <f>HYPERLINK("https://www.boe.es/gazeta/dias/1821/03/11/pdfs/GGB-1821-70.pdf#page=4","Abrir facsímil")</f>
        <v>Abrir facsímil</v>
      </c>
      <c r="K1357" s="3" t="s">
        <v>23</v>
      </c>
    </row>
    <row r="1358" spans="1:11" ht="42" customHeight="1">
      <c r="A1358" s="2" t="s">
        <v>3089</v>
      </c>
      <c r="B1358" s="2" t="s">
        <v>3090</v>
      </c>
      <c r="C1358" s="2" t="s">
        <v>17</v>
      </c>
      <c r="D1358" s="2" t="s">
        <v>18</v>
      </c>
      <c r="E1358" s="5">
        <v>-28532</v>
      </c>
      <c r="F1358" s="3" t="s">
        <v>1415</v>
      </c>
      <c r="G1358" s="3" t="s">
        <v>162</v>
      </c>
      <c r="H1358" s="2" t="s">
        <v>30</v>
      </c>
      <c r="I1358" s="2" t="s">
        <v>3091</v>
      </c>
      <c r="J1358" s="3" t="str">
        <f>HYPERLINK("https://www.boe.es/gazeta/dias/1821/11/17/pdfs/GMD-1821-328.pdf#page=5","Abrir facsímil")</f>
        <v>Abrir facsímil</v>
      </c>
      <c r="K1358" s="3" t="s">
        <v>32</v>
      </c>
    </row>
    <row r="1359" spans="1:11" ht="42" customHeight="1">
      <c r="A1359" s="2" t="s">
        <v>3092</v>
      </c>
      <c r="B1359" s="2" t="s">
        <v>3092</v>
      </c>
      <c r="C1359" s="2" t="s">
        <v>40</v>
      </c>
      <c r="D1359" s="2" t="s">
        <v>41</v>
      </c>
      <c r="E1359" s="5">
        <v>-28562</v>
      </c>
      <c r="F1359" s="3" t="s">
        <v>3093</v>
      </c>
      <c r="G1359" s="3" t="s">
        <v>43</v>
      </c>
      <c r="H1359" s="2" t="s">
        <v>21</v>
      </c>
      <c r="I1359" s="2" t="s">
        <v>3094</v>
      </c>
      <c r="J1359" s="3" t="str">
        <f>HYPERLINK("https://www.boe.es/gazeta/dias/1821/10/18/pdfs/GMD-1821-297.pdf#page=1","Abrir facsímil")</f>
        <v>Abrir facsímil</v>
      </c>
      <c r="K1359" s="3" t="s">
        <v>23</v>
      </c>
    </row>
    <row r="1360" spans="1:11" ht="42" customHeight="1">
      <c r="A1360" s="2" t="s">
        <v>3095</v>
      </c>
      <c r="B1360" s="2" t="s">
        <v>3096</v>
      </c>
      <c r="C1360" s="2" t="s">
        <v>26</v>
      </c>
      <c r="D1360" s="2" t="s">
        <v>27</v>
      </c>
      <c r="E1360" s="5">
        <v>-28637</v>
      </c>
      <c r="F1360" s="3" t="s">
        <v>3049</v>
      </c>
      <c r="G1360" s="3" t="s">
        <v>88</v>
      </c>
      <c r="H1360" s="2" t="s">
        <v>21</v>
      </c>
      <c r="I1360" s="2" t="s">
        <v>3097</v>
      </c>
      <c r="J1360" s="3" t="str">
        <f>HYPERLINK("https://www.boe.es/gazeta/dias/1821/08/04/pdfs/GMD-1821-220.pdf#page=4","Abrir facsímil")</f>
        <v>Abrir facsímil</v>
      </c>
      <c r="K1360" s="3" t="s">
        <v>23</v>
      </c>
    </row>
    <row r="1361" spans="1:11" ht="42" customHeight="1">
      <c r="A1361" s="2" t="s">
        <v>3098</v>
      </c>
      <c r="B1361" s="2" t="s">
        <v>3098</v>
      </c>
      <c r="C1361" s="2" t="s">
        <v>26</v>
      </c>
      <c r="D1361" s="2" t="s">
        <v>27</v>
      </c>
      <c r="E1361" s="5">
        <v>-28548</v>
      </c>
      <c r="F1361" s="3" t="s">
        <v>782</v>
      </c>
      <c r="G1361" s="3" t="s">
        <v>20</v>
      </c>
      <c r="H1361" s="2" t="s">
        <v>21</v>
      </c>
      <c r="I1361" s="2" t="s">
        <v>3099</v>
      </c>
      <c r="J1361" s="3" t="str">
        <f>HYPERLINK("https://www.boe.es/gazeta/dias/1821/11/01/pdfs/GMD-1821-311.pdf#page=3","Abrir facsímil")</f>
        <v>Abrir facsímil</v>
      </c>
      <c r="K1361" s="3" t="s">
        <v>23</v>
      </c>
    </row>
    <row r="1362" spans="1:11" ht="42" customHeight="1">
      <c r="A1362" s="2" t="s">
        <v>3100</v>
      </c>
      <c r="B1362" s="2" t="s">
        <v>3101</v>
      </c>
      <c r="C1362" s="2" t="s">
        <v>40</v>
      </c>
      <c r="D1362" s="2" t="s">
        <v>41</v>
      </c>
      <c r="E1362" s="5">
        <v>-28528</v>
      </c>
      <c r="F1362" s="3" t="s">
        <v>1872</v>
      </c>
      <c r="G1362" s="3" t="s">
        <v>52</v>
      </c>
      <c r="H1362" s="2" t="s">
        <v>21</v>
      </c>
      <c r="I1362" s="2" t="s">
        <v>3102</v>
      </c>
      <c r="J1362" s="3" t="str">
        <f>HYPERLINK("https://www.boe.es/gazeta/dias/1821/11/21/pdfs/GMD-1821-332.pdf#page=2","Abrir facsímil")</f>
        <v>Abrir facsímil</v>
      </c>
      <c r="K1362" s="3" t="s">
        <v>23</v>
      </c>
    </row>
    <row r="1363" spans="1:11" ht="42" customHeight="1">
      <c r="A1363" s="2" t="s">
        <v>3103</v>
      </c>
      <c r="B1363" s="2" t="s">
        <v>3104</v>
      </c>
      <c r="C1363" s="2" t="s">
        <v>40</v>
      </c>
      <c r="D1363" s="2" t="s">
        <v>41</v>
      </c>
      <c r="E1363" s="5">
        <v>-28655</v>
      </c>
      <c r="F1363" s="3" t="s">
        <v>2530</v>
      </c>
      <c r="G1363" s="3" t="s">
        <v>52</v>
      </c>
      <c r="H1363" s="2" t="s">
        <v>21</v>
      </c>
      <c r="I1363" s="2" t="s">
        <v>3105</v>
      </c>
      <c r="J1363" s="3" t="str">
        <f>HYPERLINK("https://www.boe.es/gazeta/dias/1821/07/17/pdfs/GMD-1821-202.pdf#page=2","Abrir facsímil")</f>
        <v>Abrir facsímil</v>
      </c>
      <c r="K1363" s="3" t="s">
        <v>23</v>
      </c>
    </row>
    <row r="1364" spans="1:11" ht="42" customHeight="1">
      <c r="A1364" s="2" t="s">
        <v>3106</v>
      </c>
      <c r="B1364" s="2" t="s">
        <v>3106</v>
      </c>
      <c r="C1364" s="2" t="s">
        <v>26</v>
      </c>
      <c r="D1364" s="2" t="s">
        <v>27</v>
      </c>
      <c r="E1364" s="5">
        <v>-28798</v>
      </c>
      <c r="F1364" s="3" t="s">
        <v>60</v>
      </c>
      <c r="G1364" s="3" t="s">
        <v>20</v>
      </c>
      <c r="H1364" s="2" t="s">
        <v>21</v>
      </c>
      <c r="I1364" s="2" t="s">
        <v>3107</v>
      </c>
      <c r="J1364" s="3" t="str">
        <f>HYPERLINK("https://www.boe.es/gazeta/dias/1821/02/24/pdfs/GGB-1821-55.pdf#page=3","Abrir facsímil")</f>
        <v>Abrir facsímil</v>
      </c>
      <c r="K1364" s="3" t="s">
        <v>23</v>
      </c>
    </row>
    <row r="1365" spans="1:11" ht="42" customHeight="1">
      <c r="A1365" s="2" t="s">
        <v>3106</v>
      </c>
      <c r="B1365" s="2" t="s">
        <v>3106</v>
      </c>
      <c r="C1365" s="2" t="s">
        <v>35</v>
      </c>
      <c r="D1365" s="2" t="s">
        <v>27</v>
      </c>
      <c r="E1365" s="5">
        <v>-28778</v>
      </c>
      <c r="F1365" s="3" t="s">
        <v>1301</v>
      </c>
      <c r="G1365" s="3" t="s">
        <v>162</v>
      </c>
      <c r="H1365" s="2" t="s">
        <v>21</v>
      </c>
      <c r="I1365" s="2" t="s">
        <v>3108</v>
      </c>
      <c r="J1365" s="3" t="str">
        <f>HYPERLINK("https://www.boe.es/gazeta/dias/1821/03/16/pdfs/GMD-1821-75.pdf#page=5","Abrir facsímil")</f>
        <v>Abrir facsímil</v>
      </c>
      <c r="K1365" s="3" t="s">
        <v>23</v>
      </c>
    </row>
    <row r="1366" spans="1:11" ht="42" customHeight="1">
      <c r="A1366" s="2" t="s">
        <v>3106</v>
      </c>
      <c r="B1366" s="2" t="s">
        <v>3106</v>
      </c>
      <c r="C1366" s="2" t="s">
        <v>40</v>
      </c>
      <c r="D1366" s="2" t="s">
        <v>41</v>
      </c>
      <c r="E1366" s="5">
        <v>-28747</v>
      </c>
      <c r="F1366" s="3" t="s">
        <v>1016</v>
      </c>
      <c r="G1366" s="3" t="s">
        <v>20</v>
      </c>
      <c r="H1366" s="2" t="s">
        <v>21</v>
      </c>
      <c r="I1366" s="2" t="s">
        <v>3109</v>
      </c>
      <c r="J1366" s="3" t="str">
        <f>HYPERLINK("https://www.boe.es/gazeta/dias/1821/04/16/pdfs/GMD-1821-108.pdf#page=3","Abrir facsímil")</f>
        <v>Abrir facsímil</v>
      </c>
      <c r="K1366" s="3" t="s">
        <v>23</v>
      </c>
    </row>
    <row r="1367" spans="1:11" ht="42" customHeight="1">
      <c r="A1367" s="2" t="s">
        <v>3106</v>
      </c>
      <c r="B1367" s="2" t="s">
        <v>3106</v>
      </c>
      <c r="C1367" s="2" t="s">
        <v>17</v>
      </c>
      <c r="D1367" s="2" t="s">
        <v>18</v>
      </c>
      <c r="E1367" s="5">
        <v>-28722</v>
      </c>
      <c r="F1367" s="3" t="s">
        <v>623</v>
      </c>
      <c r="G1367" s="3" t="s">
        <v>52</v>
      </c>
      <c r="H1367" s="2" t="s">
        <v>21</v>
      </c>
      <c r="I1367" s="2" t="s">
        <v>3110</v>
      </c>
      <c r="J1367" s="3" t="str">
        <f>HYPERLINK("https://www.boe.es/gazeta/dias/1821/05/11/pdfs/GMD-1821-133.pdf#page=2","Abrir facsímil")</f>
        <v>Abrir facsímil</v>
      </c>
      <c r="K1367" s="3" t="s">
        <v>23</v>
      </c>
    </row>
    <row r="1368" spans="1:11" ht="42" customHeight="1">
      <c r="A1368" s="2" t="s">
        <v>3106</v>
      </c>
      <c r="B1368" s="2" t="s">
        <v>3106</v>
      </c>
      <c r="C1368" s="2" t="s">
        <v>17</v>
      </c>
      <c r="D1368" s="2" t="s">
        <v>18</v>
      </c>
      <c r="E1368" s="5">
        <v>-28722</v>
      </c>
      <c r="F1368" s="3" t="s">
        <v>623</v>
      </c>
      <c r="G1368" s="3" t="s">
        <v>20</v>
      </c>
      <c r="H1368" s="2" t="s">
        <v>21</v>
      </c>
      <c r="I1368" s="2" t="s">
        <v>3111</v>
      </c>
      <c r="J1368" s="3" t="str">
        <f>HYPERLINK("https://www.boe.es/gazeta/dias/1821/05/11/pdfs/GMD-1821-133.pdf#page=3","Abrir facsímil")</f>
        <v>Abrir facsímil</v>
      </c>
      <c r="K1368" s="3" t="s">
        <v>23</v>
      </c>
    </row>
    <row r="1369" spans="1:11" ht="42" customHeight="1">
      <c r="A1369" s="2" t="s">
        <v>3112</v>
      </c>
      <c r="B1369" s="2" t="s">
        <v>3113</v>
      </c>
      <c r="C1369" s="2" t="s">
        <v>40</v>
      </c>
      <c r="D1369" s="2" t="s">
        <v>41</v>
      </c>
      <c r="E1369" s="5">
        <v>-28745</v>
      </c>
      <c r="F1369" s="3" t="s">
        <v>1020</v>
      </c>
      <c r="G1369" s="3" t="s">
        <v>88</v>
      </c>
      <c r="H1369" s="2" t="s">
        <v>21</v>
      </c>
      <c r="I1369" s="2" t="s">
        <v>3114</v>
      </c>
      <c r="J1369" s="3" t="str">
        <f>HYPERLINK("https://www.boe.es/gazeta/dias/1821/04/18/pdfs/GMD-1821-110.pdf#page=4","Abrir facsímil")</f>
        <v>Abrir facsímil</v>
      </c>
      <c r="K1369" s="3" t="s">
        <v>23</v>
      </c>
    </row>
    <row r="1370" spans="1:11" ht="42" customHeight="1">
      <c r="A1370" s="2" t="s">
        <v>3115</v>
      </c>
      <c r="B1370" s="2" t="s">
        <v>3116</v>
      </c>
      <c r="C1370" s="2" t="s">
        <v>26</v>
      </c>
      <c r="D1370" s="2" t="s">
        <v>27</v>
      </c>
      <c r="E1370" s="5">
        <v>-28641</v>
      </c>
      <c r="F1370" s="3" t="s">
        <v>398</v>
      </c>
      <c r="G1370" s="3" t="s">
        <v>20</v>
      </c>
      <c r="H1370" s="2" t="s">
        <v>21</v>
      </c>
      <c r="I1370" s="2" t="s">
        <v>3117</v>
      </c>
      <c r="J1370" s="3" t="str">
        <f>HYPERLINK("https://www.boe.es/gazeta/dias/1821/07/31/pdfs/GMD-1821-216.pdf#page=3","Abrir facsímil")</f>
        <v>Abrir facsímil</v>
      </c>
      <c r="K1370" s="3" t="s">
        <v>23</v>
      </c>
    </row>
    <row r="1371" spans="1:11" ht="42" customHeight="1">
      <c r="A1371" s="2" t="s">
        <v>3118</v>
      </c>
      <c r="B1371" s="2" t="s">
        <v>3119</v>
      </c>
      <c r="C1371" s="2" t="s">
        <v>70</v>
      </c>
      <c r="D1371" s="2" t="s">
        <v>27</v>
      </c>
      <c r="E1371" s="5">
        <v>-28739</v>
      </c>
      <c r="F1371" s="3" t="s">
        <v>1024</v>
      </c>
      <c r="G1371" s="3" t="s">
        <v>88</v>
      </c>
      <c r="H1371" s="2" t="s">
        <v>21</v>
      </c>
      <c r="I1371" s="2" t="s">
        <v>3120</v>
      </c>
      <c r="J1371" s="3" t="str">
        <f>HYPERLINK("https://www.boe.es/gazeta/dias/1821/04/24/pdfs/GMD-1821-116.pdf#page=4","Abrir facsímil")</f>
        <v>Abrir facsímil</v>
      </c>
      <c r="K1371" s="3" t="s">
        <v>23</v>
      </c>
    </row>
    <row r="1372" spans="1:11" ht="42" customHeight="1">
      <c r="A1372" s="2" t="s">
        <v>3121</v>
      </c>
      <c r="B1372" s="2" t="s">
        <v>3122</v>
      </c>
      <c r="C1372" s="2" t="s">
        <v>114</v>
      </c>
      <c r="D1372" s="2" t="s">
        <v>27</v>
      </c>
      <c r="E1372" s="5">
        <v>-28646</v>
      </c>
      <c r="F1372" s="3" t="s">
        <v>1457</v>
      </c>
      <c r="G1372" s="3" t="s">
        <v>79</v>
      </c>
      <c r="H1372" s="2" t="s">
        <v>21</v>
      </c>
      <c r="I1372" s="2" t="s">
        <v>3123</v>
      </c>
      <c r="J1372" s="3" t="str">
        <f>HYPERLINK("https://www.boe.es/gazeta/dias/1821/07/26/pdfs/GMD-1821-211.pdf#page=4","Abrir facsímil")</f>
        <v>Abrir facsímil</v>
      </c>
      <c r="K1372" s="3" t="s">
        <v>23</v>
      </c>
    </row>
    <row r="1373" spans="1:11" ht="42" customHeight="1">
      <c r="A1373" s="2" t="s">
        <v>3124</v>
      </c>
      <c r="B1373" s="2" t="s">
        <v>3125</v>
      </c>
      <c r="C1373" s="2" t="s">
        <v>26</v>
      </c>
      <c r="D1373" s="2" t="s">
        <v>27</v>
      </c>
      <c r="E1373" s="5">
        <v>-28565</v>
      </c>
      <c r="F1373" s="3" t="s">
        <v>326</v>
      </c>
      <c r="G1373" s="3" t="s">
        <v>162</v>
      </c>
      <c r="H1373" s="2" t="s">
        <v>21</v>
      </c>
      <c r="I1373" s="2" t="s">
        <v>3126</v>
      </c>
      <c r="J1373" s="3" t="str">
        <f>HYPERLINK("https://www.boe.es/gazeta/dias/1821/10/15/pdfs/GMD-1821-294.pdf#page=5","Abrir facsímil")</f>
        <v>Abrir facsímil</v>
      </c>
      <c r="K1373" s="3" t="s">
        <v>23</v>
      </c>
    </row>
    <row r="1374" spans="1:11" ht="42" customHeight="1">
      <c r="A1374" s="2" t="s">
        <v>3127</v>
      </c>
      <c r="B1374" s="2" t="s">
        <v>3127</v>
      </c>
      <c r="C1374" s="2" t="s">
        <v>40</v>
      </c>
      <c r="D1374" s="2" t="s">
        <v>41</v>
      </c>
      <c r="E1374" s="5">
        <v>-28710</v>
      </c>
      <c r="F1374" s="3" t="s">
        <v>375</v>
      </c>
      <c r="G1374" s="3" t="s">
        <v>52</v>
      </c>
      <c r="H1374" s="2" t="s">
        <v>21</v>
      </c>
      <c r="I1374" s="2" t="s">
        <v>3128</v>
      </c>
      <c r="J1374" s="3" t="str">
        <f>HYPERLINK("https://www.boe.es/gazeta/dias/1821/05/23/pdfs/GMD-1821-145.pdf#page=2","Abrir facsímil")</f>
        <v>Abrir facsímil</v>
      </c>
      <c r="K1374" s="3" t="s">
        <v>23</v>
      </c>
    </row>
    <row r="1375" spans="1:11" ht="42" customHeight="1">
      <c r="A1375" s="2" t="s">
        <v>3127</v>
      </c>
      <c r="B1375" s="2" t="s">
        <v>3127</v>
      </c>
      <c r="C1375" s="2" t="s">
        <v>40</v>
      </c>
      <c r="D1375" s="2" t="s">
        <v>41</v>
      </c>
      <c r="E1375" s="5">
        <v>-28637</v>
      </c>
      <c r="F1375" s="3" t="s">
        <v>3049</v>
      </c>
      <c r="G1375" s="3" t="s">
        <v>20</v>
      </c>
      <c r="H1375" s="2" t="s">
        <v>21</v>
      </c>
      <c r="I1375" s="2" t="s">
        <v>3129</v>
      </c>
      <c r="J1375" s="3" t="str">
        <f>HYPERLINK("https://www.boe.es/gazeta/dias/1821/08/04/pdfs/GMD-1821-220.pdf#page=3","Abrir facsímil")</f>
        <v>Abrir facsímil</v>
      </c>
      <c r="K1375" s="3" t="s">
        <v>23</v>
      </c>
    </row>
    <row r="1376" spans="1:11" ht="42" customHeight="1">
      <c r="A1376" s="2" t="s">
        <v>3127</v>
      </c>
      <c r="B1376" s="2" t="s">
        <v>3127</v>
      </c>
      <c r="C1376" s="2" t="s">
        <v>40</v>
      </c>
      <c r="D1376" s="2" t="s">
        <v>41</v>
      </c>
      <c r="E1376" s="5">
        <v>-28589</v>
      </c>
      <c r="F1376" s="3" t="s">
        <v>3130</v>
      </c>
      <c r="G1376" s="3" t="s">
        <v>52</v>
      </c>
      <c r="H1376" s="2" t="s">
        <v>21</v>
      </c>
      <c r="I1376" s="2" t="s">
        <v>3131</v>
      </c>
      <c r="J1376" s="3" t="str">
        <f>HYPERLINK("https://www.boe.es/gazeta/dias/1821/09/21/pdfs/GMD-1821-269.pdf#page=2","Abrir facsímil")</f>
        <v>Abrir facsímil</v>
      </c>
      <c r="K1376" s="3" t="s">
        <v>23</v>
      </c>
    </row>
    <row r="1377" spans="1:11" ht="42" customHeight="1">
      <c r="A1377" s="2" t="s">
        <v>3127</v>
      </c>
      <c r="B1377" s="2" t="s">
        <v>3127</v>
      </c>
      <c r="C1377" s="2" t="s">
        <v>40</v>
      </c>
      <c r="D1377" s="2" t="s">
        <v>41</v>
      </c>
      <c r="E1377" s="5">
        <v>-28565</v>
      </c>
      <c r="F1377" s="3" t="s">
        <v>326</v>
      </c>
      <c r="G1377" s="3" t="s">
        <v>162</v>
      </c>
      <c r="H1377" s="2" t="s">
        <v>21</v>
      </c>
      <c r="I1377" s="2" t="s">
        <v>3132</v>
      </c>
      <c r="J1377" s="3" t="str">
        <f>HYPERLINK("https://www.boe.es/gazeta/dias/1821/10/15/pdfs/GMD-1821-294.pdf#page=5","Abrir facsímil")</f>
        <v>Abrir facsímil</v>
      </c>
      <c r="K1377" s="3" t="s">
        <v>23</v>
      </c>
    </row>
    <row r="1378" spans="1:11" ht="42" customHeight="1">
      <c r="A1378" s="2" t="s">
        <v>3133</v>
      </c>
      <c r="B1378" s="2" t="s">
        <v>3134</v>
      </c>
      <c r="C1378" s="2" t="s">
        <v>40</v>
      </c>
      <c r="D1378" s="2" t="s">
        <v>41</v>
      </c>
      <c r="E1378" s="5">
        <v>-28817</v>
      </c>
      <c r="F1378" s="3" t="s">
        <v>2703</v>
      </c>
      <c r="G1378" s="3" t="s">
        <v>88</v>
      </c>
      <c r="H1378" s="2" t="s">
        <v>30</v>
      </c>
      <c r="I1378" s="2" t="s">
        <v>3135</v>
      </c>
      <c r="J1378" s="3" t="str">
        <f>HYPERLINK("https://www.boe.es/gazeta/dias/1821/02/05/pdfs/GGB-1821-36.pdf#page=4","Abrir facsímil")</f>
        <v>Abrir facsímil</v>
      </c>
      <c r="K1378" s="3" t="s">
        <v>32</v>
      </c>
    </row>
    <row r="1379" spans="1:11" ht="42" customHeight="1">
      <c r="A1379" s="2" t="s">
        <v>3136</v>
      </c>
      <c r="B1379" s="2" t="s">
        <v>3137</v>
      </c>
      <c r="C1379" s="2" t="s">
        <v>40</v>
      </c>
      <c r="D1379" s="2" t="s">
        <v>41</v>
      </c>
      <c r="E1379" s="5">
        <v>-28817</v>
      </c>
      <c r="F1379" s="3" t="s">
        <v>2703</v>
      </c>
      <c r="G1379" s="3" t="s">
        <v>20</v>
      </c>
      <c r="H1379" s="2" t="s">
        <v>21</v>
      </c>
      <c r="I1379" s="2" t="s">
        <v>3138</v>
      </c>
      <c r="J1379" s="3" t="str">
        <f>HYPERLINK("https://www.boe.es/gazeta/dias/1821/02/05/pdfs/GGB-1821-36.pdf#page=3","Abrir facsímil")</f>
        <v>Abrir facsímil</v>
      </c>
      <c r="K1379" s="3" t="s">
        <v>23</v>
      </c>
    </row>
    <row r="1380" spans="1:11" ht="42" customHeight="1">
      <c r="A1380" s="2" t="s">
        <v>3136</v>
      </c>
      <c r="B1380" s="2" t="s">
        <v>3137</v>
      </c>
      <c r="C1380" s="2" t="s">
        <v>17</v>
      </c>
      <c r="D1380" s="2" t="s">
        <v>18</v>
      </c>
      <c r="E1380" s="5">
        <v>-28675</v>
      </c>
      <c r="F1380" s="3" t="s">
        <v>943</v>
      </c>
      <c r="G1380" s="3" t="s">
        <v>333</v>
      </c>
      <c r="H1380" s="2" t="s">
        <v>21</v>
      </c>
      <c r="I1380" s="2" t="s">
        <v>3139</v>
      </c>
      <c r="J1380" s="3" t="str">
        <f>HYPERLINK("https://www.boe.es/gazeta/dias/1821/06/27/pdfs/GMD-1821-180.pdf#page=8","Abrir facsímil")</f>
        <v>Abrir facsímil</v>
      </c>
      <c r="K1380" s="3" t="s">
        <v>23</v>
      </c>
    </row>
    <row r="1381" spans="1:11" ht="42" customHeight="1">
      <c r="A1381" s="2" t="s">
        <v>3140</v>
      </c>
      <c r="B1381" s="2" t="s">
        <v>3141</v>
      </c>
      <c r="C1381" s="2" t="s">
        <v>174</v>
      </c>
      <c r="D1381" s="2" t="s">
        <v>27</v>
      </c>
      <c r="E1381" s="5">
        <v>-28595</v>
      </c>
      <c r="F1381" s="3" t="s">
        <v>1621</v>
      </c>
      <c r="G1381" s="3" t="s">
        <v>20</v>
      </c>
      <c r="H1381" s="2" t="s">
        <v>21</v>
      </c>
      <c r="I1381" s="2" t="s">
        <v>3142</v>
      </c>
      <c r="J1381" s="3" t="str">
        <f>HYPERLINK("https://www.boe.es/gazeta/dias/1821/09/15/pdfs/GMD-1821-263.pdf#page=3","Abrir facsímil")</f>
        <v>Abrir facsímil</v>
      </c>
      <c r="K1381" s="3" t="s">
        <v>23</v>
      </c>
    </row>
    <row r="1382" spans="1:11" ht="42" customHeight="1">
      <c r="A1382" s="2" t="s">
        <v>3143</v>
      </c>
      <c r="B1382" s="2" t="s">
        <v>3144</v>
      </c>
      <c r="C1382" s="2" t="s">
        <v>17</v>
      </c>
      <c r="D1382" s="2" t="s">
        <v>18</v>
      </c>
      <c r="E1382" s="5">
        <v>-28756</v>
      </c>
      <c r="F1382" s="3" t="s">
        <v>3145</v>
      </c>
      <c r="G1382" s="3" t="s">
        <v>52</v>
      </c>
      <c r="H1382" s="2" t="s">
        <v>21</v>
      </c>
      <c r="I1382" s="2" t="s">
        <v>3146</v>
      </c>
      <c r="J1382" s="3" t="str">
        <f>HYPERLINK("https://www.boe.es/gazeta/dias/1821/04/07/pdfs/GMD-1821-99.pdf#page=2","Abrir facsímil")</f>
        <v>Abrir facsímil</v>
      </c>
      <c r="K1382" s="3" t="s">
        <v>23</v>
      </c>
    </row>
    <row r="1383" spans="1:11" ht="42" customHeight="1">
      <c r="A1383" s="2" t="s">
        <v>3143</v>
      </c>
      <c r="B1383" s="2" t="s">
        <v>3144</v>
      </c>
      <c r="C1383" s="2" t="s">
        <v>40</v>
      </c>
      <c r="D1383" s="2" t="s">
        <v>41</v>
      </c>
      <c r="E1383" s="5">
        <v>-28717</v>
      </c>
      <c r="F1383" s="3" t="s">
        <v>1044</v>
      </c>
      <c r="G1383" s="3" t="s">
        <v>52</v>
      </c>
      <c r="H1383" s="2" t="s">
        <v>21</v>
      </c>
      <c r="I1383" s="2" t="s">
        <v>3147</v>
      </c>
      <c r="J1383" s="3" t="str">
        <f>HYPERLINK("https://www.boe.es/gazeta/dias/1821/05/16/pdfs/GMD-1821-138.pdf#page=2","Abrir facsímil")</f>
        <v>Abrir facsímil</v>
      </c>
      <c r="K1383" s="3" t="s">
        <v>23</v>
      </c>
    </row>
    <row r="1384" spans="1:11" ht="42" customHeight="1">
      <c r="A1384" s="2" t="s">
        <v>3148</v>
      </c>
      <c r="B1384" s="2" t="s">
        <v>3148</v>
      </c>
      <c r="C1384" s="2" t="s">
        <v>40</v>
      </c>
      <c r="D1384" s="2" t="s">
        <v>41</v>
      </c>
      <c r="E1384" s="5">
        <v>-28621</v>
      </c>
      <c r="F1384" s="3" t="s">
        <v>1317</v>
      </c>
      <c r="G1384" s="3" t="s">
        <v>88</v>
      </c>
      <c r="H1384" s="2" t="s">
        <v>21</v>
      </c>
      <c r="I1384" s="2" t="s">
        <v>3149</v>
      </c>
      <c r="J1384" s="3" t="str">
        <f>HYPERLINK("https://www.boe.es/gazeta/dias/1821/08/20/pdfs/GMD-1821-237.pdf#page=4","Abrir facsímil")</f>
        <v>Abrir facsímil</v>
      </c>
      <c r="K1384" s="3" t="s">
        <v>23</v>
      </c>
    </row>
    <row r="1385" spans="1:11" ht="42" customHeight="1">
      <c r="A1385" s="2" t="s">
        <v>3150</v>
      </c>
      <c r="B1385" s="2" t="s">
        <v>3151</v>
      </c>
      <c r="C1385" s="2" t="s">
        <v>26</v>
      </c>
      <c r="D1385" s="2" t="s">
        <v>27</v>
      </c>
      <c r="E1385" s="5">
        <v>-28641</v>
      </c>
      <c r="F1385" s="3" t="s">
        <v>398</v>
      </c>
      <c r="G1385" s="3" t="s">
        <v>20</v>
      </c>
      <c r="H1385" s="2" t="s">
        <v>21</v>
      </c>
      <c r="I1385" s="2" t="s">
        <v>3152</v>
      </c>
      <c r="J1385" s="3" t="str">
        <f>HYPERLINK("https://www.boe.es/gazeta/dias/1821/07/31/pdfs/GMD-1821-216.pdf#page=3","Abrir facsímil")</f>
        <v>Abrir facsímil</v>
      </c>
      <c r="K1385" s="3" t="s">
        <v>23</v>
      </c>
    </row>
    <row r="1386" spans="1:11" ht="42" customHeight="1">
      <c r="A1386" s="2" t="s">
        <v>3153</v>
      </c>
      <c r="B1386" s="2" t="s">
        <v>3154</v>
      </c>
      <c r="C1386" s="2" t="s">
        <v>17</v>
      </c>
      <c r="D1386" s="2" t="s">
        <v>18</v>
      </c>
      <c r="E1386" s="5">
        <v>-28541</v>
      </c>
      <c r="F1386" s="3" t="s">
        <v>275</v>
      </c>
      <c r="G1386" s="3" t="s">
        <v>52</v>
      </c>
      <c r="H1386" s="2" t="s">
        <v>21</v>
      </c>
      <c r="I1386" s="2" t="s">
        <v>3155</v>
      </c>
      <c r="J1386" s="3" t="str">
        <f>HYPERLINK("https://www.boe.es/gazeta/dias/1821/11/08/pdfs/GMD-1821-319.pdf#page=2","Abrir facsímil")</f>
        <v>Abrir facsímil</v>
      </c>
      <c r="K1386" s="3" t="s">
        <v>23</v>
      </c>
    </row>
    <row r="1387" spans="1:11" ht="42" customHeight="1">
      <c r="A1387" s="2" t="s">
        <v>3156</v>
      </c>
      <c r="B1387" s="2" t="s">
        <v>3157</v>
      </c>
      <c r="C1387" s="2" t="s">
        <v>26</v>
      </c>
      <c r="D1387" s="2" t="s">
        <v>27</v>
      </c>
      <c r="E1387" s="5">
        <v>-28799</v>
      </c>
      <c r="F1387" s="3" t="s">
        <v>3158</v>
      </c>
      <c r="G1387" s="3" t="s">
        <v>88</v>
      </c>
      <c r="H1387" s="2" t="s">
        <v>21</v>
      </c>
      <c r="I1387" s="2" t="s">
        <v>3159</v>
      </c>
      <c r="J1387" s="3" t="str">
        <f>HYPERLINK("https://www.boe.es/gazeta/dias/1821/02/23/pdfs/GGB-1821-54.pdf#page=4","Abrir facsímil")</f>
        <v>Abrir facsímil</v>
      </c>
      <c r="K1387" s="3" t="s">
        <v>23</v>
      </c>
    </row>
    <row r="1388" spans="1:11" ht="42" customHeight="1">
      <c r="A1388" s="2" t="s">
        <v>3160</v>
      </c>
      <c r="B1388" s="2" t="s">
        <v>3161</v>
      </c>
      <c r="C1388" s="2" t="s">
        <v>174</v>
      </c>
      <c r="D1388" s="2" t="s">
        <v>27</v>
      </c>
      <c r="E1388" s="5">
        <v>-28824</v>
      </c>
      <c r="F1388" s="3" t="s">
        <v>1227</v>
      </c>
      <c r="G1388" s="3" t="s">
        <v>20</v>
      </c>
      <c r="H1388" s="2" t="s">
        <v>21</v>
      </c>
      <c r="I1388" s="2" t="s">
        <v>3162</v>
      </c>
      <c r="J1388" s="3" t="str">
        <f>HYPERLINK("https://www.boe.es/gazeta/dias/1821/01/29/pdfs/GGB-1821-29.pdf#page=3","Abrir facsímil")</f>
        <v>Abrir facsímil</v>
      </c>
      <c r="K1388" s="3" t="s">
        <v>23</v>
      </c>
    </row>
    <row r="1389" spans="1:11" ht="42" customHeight="1">
      <c r="A1389" s="2" t="s">
        <v>3163</v>
      </c>
      <c r="B1389" s="2" t="s">
        <v>3164</v>
      </c>
      <c r="C1389" s="2" t="s">
        <v>26</v>
      </c>
      <c r="D1389" s="2" t="s">
        <v>27</v>
      </c>
      <c r="E1389" s="5">
        <v>-28676</v>
      </c>
      <c r="F1389" s="3" t="s">
        <v>534</v>
      </c>
      <c r="G1389" s="3" t="s">
        <v>29</v>
      </c>
      <c r="H1389" s="2" t="s">
        <v>21</v>
      </c>
      <c r="I1389" s="2" t="s">
        <v>3165</v>
      </c>
      <c r="J1389" s="3" t="str">
        <f>HYPERLINK("https://www.boe.es/gazeta/dias/1821/06/26/pdfs/GMD-1821-179.pdf#page=6","Abrir facsímil")</f>
        <v>Abrir facsímil</v>
      </c>
      <c r="K1389" s="3" t="s">
        <v>23</v>
      </c>
    </row>
    <row r="1390" spans="1:11" ht="42" customHeight="1">
      <c r="A1390" s="2" t="s">
        <v>3166</v>
      </c>
      <c r="B1390" s="2" t="s">
        <v>3167</v>
      </c>
      <c r="C1390" s="2" t="s">
        <v>174</v>
      </c>
      <c r="D1390" s="2" t="s">
        <v>27</v>
      </c>
      <c r="E1390" s="5">
        <v>-28606</v>
      </c>
      <c r="F1390" s="3" t="s">
        <v>1799</v>
      </c>
      <c r="G1390" s="3" t="s">
        <v>88</v>
      </c>
      <c r="H1390" s="2" t="s">
        <v>21</v>
      </c>
      <c r="I1390" s="2" t="s">
        <v>3168</v>
      </c>
      <c r="J1390" s="3" t="str">
        <f>HYPERLINK("https://www.boe.es/gazeta/dias/1821/09/04/pdfs/GMD-1821-252.pdf#page=4","Abrir facsímil")</f>
        <v>Abrir facsímil</v>
      </c>
      <c r="K1390" s="3" t="s">
        <v>23</v>
      </c>
    </row>
    <row r="1391" spans="1:11" ht="42" customHeight="1">
      <c r="A1391" s="2" t="s">
        <v>3169</v>
      </c>
      <c r="B1391" s="2" t="s">
        <v>3170</v>
      </c>
      <c r="C1391" s="2" t="s">
        <v>35</v>
      </c>
      <c r="D1391" s="2" t="s">
        <v>27</v>
      </c>
      <c r="E1391" s="5">
        <v>-28672</v>
      </c>
      <c r="F1391" s="3" t="s">
        <v>964</v>
      </c>
      <c r="G1391" s="3" t="s">
        <v>20</v>
      </c>
      <c r="H1391" s="2" t="s">
        <v>21</v>
      </c>
      <c r="I1391" s="2" t="s">
        <v>3171</v>
      </c>
      <c r="J1391" s="3" t="str">
        <f>HYPERLINK("https://www.boe.es/gazeta/dias/1821/06/30/pdfs/GMD-1821-183.pdf#page=3","Abrir facsímil")</f>
        <v>Abrir facsímil</v>
      </c>
      <c r="K1391" s="3" t="s">
        <v>23</v>
      </c>
    </row>
    <row r="1392" spans="1:11" ht="42" customHeight="1">
      <c r="A1392" s="2" t="s">
        <v>3172</v>
      </c>
      <c r="B1392" s="2" t="s">
        <v>3172</v>
      </c>
      <c r="C1392" s="2" t="s">
        <v>40</v>
      </c>
      <c r="D1392" s="2" t="s">
        <v>41</v>
      </c>
      <c r="E1392" s="5">
        <v>-28605</v>
      </c>
      <c r="F1392" s="3" t="s">
        <v>3173</v>
      </c>
      <c r="G1392" s="3" t="s">
        <v>52</v>
      </c>
      <c r="H1392" s="2" t="s">
        <v>21</v>
      </c>
      <c r="I1392" s="2" t="s">
        <v>3174</v>
      </c>
      <c r="J1392" s="3" t="str">
        <f>HYPERLINK("https://www.boe.es/gazeta/dias/1821/09/05/pdfs/GMD-1821-253.pdf#page=2","Abrir facsímil")</f>
        <v>Abrir facsímil</v>
      </c>
      <c r="K1392" s="3" t="s">
        <v>23</v>
      </c>
    </row>
    <row r="1393" spans="1:11" ht="42" customHeight="1">
      <c r="A1393" s="2" t="s">
        <v>3175</v>
      </c>
      <c r="B1393" s="2" t="s">
        <v>3176</v>
      </c>
      <c r="C1393" s="2" t="s">
        <v>17</v>
      </c>
      <c r="D1393" s="2" t="s">
        <v>18</v>
      </c>
      <c r="E1393" s="5">
        <v>-28701</v>
      </c>
      <c r="F1393" s="3" t="s">
        <v>202</v>
      </c>
      <c r="G1393" s="3" t="s">
        <v>88</v>
      </c>
      <c r="H1393" s="2" t="s">
        <v>21</v>
      </c>
      <c r="I1393" s="2" t="s">
        <v>3177</v>
      </c>
      <c r="J1393" s="3" t="str">
        <f>HYPERLINK("https://www.boe.es/gazeta/dias/1821/06/01/pdfs/GMD-1821-154.pdf#page=4","Abrir facsímil")</f>
        <v>Abrir facsímil</v>
      </c>
      <c r="K1393" s="3" t="s">
        <v>23</v>
      </c>
    </row>
    <row r="1394" spans="1:11" ht="42" customHeight="1">
      <c r="A1394" s="2" t="s">
        <v>3178</v>
      </c>
      <c r="B1394" s="2" t="s">
        <v>3178</v>
      </c>
      <c r="C1394" s="2" t="s">
        <v>40</v>
      </c>
      <c r="D1394" s="2" t="s">
        <v>41</v>
      </c>
      <c r="E1394" s="5">
        <v>-28831</v>
      </c>
      <c r="F1394" s="3" t="s">
        <v>3179</v>
      </c>
      <c r="G1394" s="3" t="s">
        <v>52</v>
      </c>
      <c r="H1394" s="2" t="s">
        <v>21</v>
      </c>
      <c r="I1394" s="2" t="s">
        <v>3180</v>
      </c>
      <c r="J1394" s="3" t="str">
        <f>HYPERLINK("https://www.boe.es/gazeta/dias/1821/01/22/pdfs/GGB-1821-22.pdf#page=2","Abrir facsímil")</f>
        <v>Abrir facsímil</v>
      </c>
      <c r="K1394" s="3" t="s">
        <v>23</v>
      </c>
    </row>
    <row r="1395" spans="1:11" ht="42" customHeight="1">
      <c r="A1395" s="2" t="s">
        <v>3181</v>
      </c>
      <c r="B1395" s="2" t="s">
        <v>3181</v>
      </c>
      <c r="C1395" s="2" t="s">
        <v>17</v>
      </c>
      <c r="D1395" s="2" t="s">
        <v>18</v>
      </c>
      <c r="E1395" s="5">
        <v>-28831</v>
      </c>
      <c r="F1395" s="3" t="s">
        <v>3179</v>
      </c>
      <c r="G1395" s="3" t="s">
        <v>43</v>
      </c>
      <c r="H1395" s="2" t="s">
        <v>21</v>
      </c>
      <c r="I1395" s="2" t="s">
        <v>3182</v>
      </c>
      <c r="J1395" s="3" t="str">
        <f>HYPERLINK("https://www.boe.es/gazeta/dias/1821/01/22/pdfs/GGB-1821-22.pdf#page=1","Abrir facsímil")</f>
        <v>Abrir facsímil</v>
      </c>
      <c r="K1395" s="3" t="s">
        <v>23</v>
      </c>
    </row>
    <row r="1396" spans="1:11" ht="42" customHeight="1">
      <c r="A1396" s="2" t="s">
        <v>3181</v>
      </c>
      <c r="B1396" s="2" t="s">
        <v>3181</v>
      </c>
      <c r="C1396" s="2" t="s">
        <v>40</v>
      </c>
      <c r="D1396" s="2" t="s">
        <v>41</v>
      </c>
      <c r="E1396" s="5">
        <v>-28829</v>
      </c>
      <c r="F1396" s="3" t="s">
        <v>2980</v>
      </c>
      <c r="G1396" s="3" t="s">
        <v>43</v>
      </c>
      <c r="H1396" s="2" t="s">
        <v>21</v>
      </c>
      <c r="I1396" s="2" t="s">
        <v>3183</v>
      </c>
      <c r="J1396" s="3" t="str">
        <f>HYPERLINK("https://www.boe.es/gazeta/dias/1821/01/24/pdfs/GGB-1821-24.pdf#page=1","Abrir facsímil")</f>
        <v>Abrir facsímil</v>
      </c>
      <c r="K1396" s="3" t="s">
        <v>23</v>
      </c>
    </row>
    <row r="1397" spans="1:11" ht="42" customHeight="1">
      <c r="A1397" s="2" t="s">
        <v>3181</v>
      </c>
      <c r="B1397" s="2" t="s">
        <v>3181</v>
      </c>
      <c r="C1397" s="2" t="s">
        <v>35</v>
      </c>
      <c r="D1397" s="2" t="s">
        <v>27</v>
      </c>
      <c r="E1397" s="5">
        <v>-28773</v>
      </c>
      <c r="F1397" s="3" t="s">
        <v>1755</v>
      </c>
      <c r="G1397" s="3" t="s">
        <v>43</v>
      </c>
      <c r="H1397" s="2" t="s">
        <v>21</v>
      </c>
      <c r="I1397" s="2" t="s">
        <v>3184</v>
      </c>
      <c r="J1397" s="3" t="str">
        <f>HYPERLINK("https://www.boe.es/gazeta/dias/1821/03/21/pdfs/GMD-1821-80.pdf#page=1","Abrir facsímil")</f>
        <v>Abrir facsímil</v>
      </c>
      <c r="K1397" s="3" t="s">
        <v>23</v>
      </c>
    </row>
    <row r="1398" spans="1:11" ht="42" customHeight="1">
      <c r="A1398" s="2" t="s">
        <v>3181</v>
      </c>
      <c r="B1398" s="2" t="s">
        <v>3181</v>
      </c>
      <c r="C1398" s="2" t="s">
        <v>40</v>
      </c>
      <c r="D1398" s="2" t="s">
        <v>41</v>
      </c>
      <c r="E1398" s="5">
        <v>-28772</v>
      </c>
      <c r="F1398" s="3" t="s">
        <v>62</v>
      </c>
      <c r="G1398" s="3" t="s">
        <v>43</v>
      </c>
      <c r="H1398" s="2" t="s">
        <v>21</v>
      </c>
      <c r="I1398" s="2" t="s">
        <v>3185</v>
      </c>
      <c r="J1398" s="3" t="str">
        <f>HYPERLINK("https://www.boe.es/gazeta/dias/1821/03/22/pdfs/GMD-1821-81.pdf#page=1","Abrir facsímil")</f>
        <v>Abrir facsímil</v>
      </c>
      <c r="K1398" s="3" t="s">
        <v>23</v>
      </c>
    </row>
    <row r="1399" spans="1:11" ht="42" customHeight="1">
      <c r="A1399" s="2" t="s">
        <v>3186</v>
      </c>
      <c r="B1399" s="2" t="s">
        <v>3186</v>
      </c>
      <c r="C1399" s="2" t="s">
        <v>26</v>
      </c>
      <c r="D1399" s="2" t="s">
        <v>27</v>
      </c>
      <c r="E1399" s="5">
        <v>-28798</v>
      </c>
      <c r="F1399" s="3" t="s">
        <v>60</v>
      </c>
      <c r="G1399" s="3" t="s">
        <v>52</v>
      </c>
      <c r="H1399" s="2" t="s">
        <v>21</v>
      </c>
      <c r="I1399" s="2" t="s">
        <v>3187</v>
      </c>
      <c r="J1399" s="3" t="str">
        <f>HYPERLINK("https://www.boe.es/gazeta/dias/1821/02/24/pdfs/GGB-1821-55.pdf#page=2","Abrir facsímil")</f>
        <v>Abrir facsímil</v>
      </c>
      <c r="K1399" s="3" t="s">
        <v>23</v>
      </c>
    </row>
    <row r="1400" spans="1:11" ht="42" customHeight="1">
      <c r="A1400" s="2" t="s">
        <v>3186</v>
      </c>
      <c r="B1400" s="2" t="s">
        <v>3186</v>
      </c>
      <c r="C1400" s="2" t="s">
        <v>35</v>
      </c>
      <c r="D1400" s="2" t="s">
        <v>27</v>
      </c>
      <c r="E1400" s="5">
        <v>-28797</v>
      </c>
      <c r="F1400" s="3" t="s">
        <v>2281</v>
      </c>
      <c r="G1400" s="3" t="s">
        <v>52</v>
      </c>
      <c r="H1400" s="2" t="s">
        <v>21</v>
      </c>
      <c r="I1400" s="2" t="s">
        <v>3188</v>
      </c>
      <c r="J1400" s="3" t="str">
        <f>HYPERLINK("https://www.boe.es/gazeta/dias/1821/02/25/pdfs/GGB-1821-56.pdf#page=2","Abrir facsímil")</f>
        <v>Abrir facsímil</v>
      </c>
      <c r="K1400" s="3" t="s">
        <v>23</v>
      </c>
    </row>
    <row r="1401" spans="1:11" ht="42" customHeight="1">
      <c r="A1401" s="2" t="s">
        <v>3186</v>
      </c>
      <c r="B1401" s="2" t="s">
        <v>3186</v>
      </c>
      <c r="C1401" s="2" t="s">
        <v>17</v>
      </c>
      <c r="D1401" s="2" t="s">
        <v>18</v>
      </c>
      <c r="E1401" s="5">
        <v>-28793</v>
      </c>
      <c r="F1401" s="3" t="s">
        <v>157</v>
      </c>
      <c r="G1401" s="3" t="s">
        <v>52</v>
      </c>
      <c r="H1401" s="2" t="s">
        <v>21</v>
      </c>
      <c r="I1401" s="2" t="s">
        <v>3189</v>
      </c>
      <c r="J1401" s="3" t="str">
        <f>HYPERLINK("https://www.boe.es/gazeta/dias/1821/03/01/pdfs/GGB-1821-60.pdf#page=2","Abrir facsímil")</f>
        <v>Abrir facsímil</v>
      </c>
      <c r="K1401" s="3" t="s">
        <v>23</v>
      </c>
    </row>
    <row r="1402" spans="1:11" ht="42" customHeight="1">
      <c r="A1402" s="2" t="s">
        <v>3186</v>
      </c>
      <c r="B1402" s="2" t="s">
        <v>3186</v>
      </c>
      <c r="C1402" s="2" t="s">
        <v>40</v>
      </c>
      <c r="D1402" s="2" t="s">
        <v>41</v>
      </c>
      <c r="E1402" s="5">
        <v>-28645</v>
      </c>
      <c r="F1402" s="3" t="s">
        <v>2579</v>
      </c>
      <c r="G1402" s="3" t="s">
        <v>52</v>
      </c>
      <c r="H1402" s="2" t="s">
        <v>21</v>
      </c>
      <c r="I1402" s="2" t="s">
        <v>3190</v>
      </c>
      <c r="J1402" s="3" t="str">
        <f>HYPERLINK("https://www.boe.es/gazeta/dias/1821/07/27/pdfs/GMD-1821-212.pdf#page=2","Abrir facsímil")</f>
        <v>Abrir facsímil</v>
      </c>
      <c r="K1402" s="3" t="s">
        <v>23</v>
      </c>
    </row>
    <row r="1403" spans="1:11" ht="42" customHeight="1">
      <c r="A1403" s="2" t="s">
        <v>3191</v>
      </c>
      <c r="B1403" s="2" t="s">
        <v>3192</v>
      </c>
      <c r="C1403" s="2" t="s">
        <v>17</v>
      </c>
      <c r="D1403" s="2" t="s">
        <v>18</v>
      </c>
      <c r="E1403" s="5">
        <v>-28642</v>
      </c>
      <c r="F1403" s="3" t="s">
        <v>734</v>
      </c>
      <c r="G1403" s="3" t="s">
        <v>52</v>
      </c>
      <c r="H1403" s="2" t="s">
        <v>21</v>
      </c>
      <c r="I1403" s="2" t="s">
        <v>3193</v>
      </c>
      <c r="J1403" s="3" t="str">
        <f>HYPERLINK("https://www.boe.es/gazeta/dias/1821/07/30/pdfs/GMD-1821-215.pdf#page=2","Abrir facsímil")</f>
        <v>Abrir facsímil</v>
      </c>
      <c r="K1403" s="3" t="s">
        <v>23</v>
      </c>
    </row>
    <row r="1404" spans="1:11" ht="42" customHeight="1">
      <c r="A1404" s="2" t="s">
        <v>3194</v>
      </c>
      <c r="B1404" s="2" t="s">
        <v>3195</v>
      </c>
      <c r="C1404" s="2" t="s">
        <v>35</v>
      </c>
      <c r="D1404" s="2" t="s">
        <v>27</v>
      </c>
      <c r="E1404" s="5">
        <v>-28617</v>
      </c>
      <c r="F1404" s="3" t="s">
        <v>436</v>
      </c>
      <c r="G1404" s="3" t="s">
        <v>20</v>
      </c>
      <c r="H1404" s="2" t="s">
        <v>21</v>
      </c>
      <c r="I1404" s="2" t="s">
        <v>3196</v>
      </c>
      <c r="J1404" s="3" t="str">
        <f>HYPERLINK("https://www.boe.es/gazeta/dias/1821/08/24/pdfs/GMD-1821-241.pdf#page=3","Abrir facsímil")</f>
        <v>Abrir facsímil</v>
      </c>
      <c r="K1404" s="3" t="s">
        <v>23</v>
      </c>
    </row>
    <row r="1405" spans="1:11" ht="42" customHeight="1">
      <c r="A1405" s="2" t="s">
        <v>3197</v>
      </c>
      <c r="B1405" s="2" t="s">
        <v>3198</v>
      </c>
      <c r="C1405" s="2" t="s">
        <v>17</v>
      </c>
      <c r="D1405" s="2" t="s">
        <v>18</v>
      </c>
      <c r="E1405" s="5">
        <v>-28809</v>
      </c>
      <c r="F1405" s="3" t="s">
        <v>1173</v>
      </c>
      <c r="G1405" s="3" t="s">
        <v>52</v>
      </c>
      <c r="H1405" s="2" t="s">
        <v>21</v>
      </c>
      <c r="I1405" s="2" t="s">
        <v>3199</v>
      </c>
      <c r="J1405" s="3" t="str">
        <f>HYPERLINK("https://www.boe.es/gazeta/dias/1821/02/13/pdfs/GGB-1821-44.pdf#page=2","Abrir facsímil")</f>
        <v>Abrir facsímil</v>
      </c>
      <c r="K1405" s="3" t="s">
        <v>23</v>
      </c>
    </row>
    <row r="1406" spans="1:11" ht="42" customHeight="1">
      <c r="A1406" s="2" t="s">
        <v>3197</v>
      </c>
      <c r="B1406" s="2" t="s">
        <v>3198</v>
      </c>
      <c r="C1406" s="2" t="s">
        <v>17</v>
      </c>
      <c r="D1406" s="2" t="s">
        <v>18</v>
      </c>
      <c r="E1406" s="5">
        <v>-28806</v>
      </c>
      <c r="F1406" s="3" t="s">
        <v>1201</v>
      </c>
      <c r="G1406" s="3" t="s">
        <v>3200</v>
      </c>
      <c r="H1406" s="2" t="s">
        <v>21</v>
      </c>
      <c r="I1406" s="2" t="s">
        <v>3201</v>
      </c>
      <c r="J1406" s="3" t="str">
        <f>HYPERLINK("https://www.boe.es/gazeta/dias/1821/02/16/pdfs/GGB-1821-47.pdf#page=3","Abrir facsímil")</f>
        <v>Abrir facsímil</v>
      </c>
      <c r="K1406" s="3" t="s">
        <v>23</v>
      </c>
    </row>
    <row r="1407" spans="1:11" ht="42" customHeight="1">
      <c r="A1407" s="2" t="s">
        <v>3197</v>
      </c>
      <c r="B1407" s="2" t="s">
        <v>3198</v>
      </c>
      <c r="C1407" s="2" t="s">
        <v>40</v>
      </c>
      <c r="D1407" s="2" t="s">
        <v>41</v>
      </c>
      <c r="E1407" s="5">
        <v>-28806</v>
      </c>
      <c r="F1407" s="3" t="s">
        <v>1201</v>
      </c>
      <c r="G1407" s="3" t="s">
        <v>52</v>
      </c>
      <c r="H1407" s="2" t="s">
        <v>21</v>
      </c>
      <c r="I1407" s="2" t="s">
        <v>3202</v>
      </c>
      <c r="J1407" s="3" t="str">
        <f>HYPERLINK("https://www.boe.es/gazeta/dias/1821/02/16/pdfs/GGB-1821-47.pdf#page=2","Abrir facsímil")</f>
        <v>Abrir facsímil</v>
      </c>
      <c r="K1407" s="3" t="s">
        <v>23</v>
      </c>
    </row>
    <row r="1408" spans="1:11" ht="42" customHeight="1">
      <c r="A1408" s="2" t="s">
        <v>3197</v>
      </c>
      <c r="B1408" s="2" t="s">
        <v>3198</v>
      </c>
      <c r="C1408" s="2" t="s">
        <v>17</v>
      </c>
      <c r="D1408" s="2" t="s">
        <v>18</v>
      </c>
      <c r="E1408" s="5">
        <v>-28782</v>
      </c>
      <c r="F1408" s="3" t="s">
        <v>508</v>
      </c>
      <c r="G1408" s="3" t="s">
        <v>52</v>
      </c>
      <c r="H1408" s="2" t="s">
        <v>21</v>
      </c>
      <c r="I1408" s="2" t="s">
        <v>3203</v>
      </c>
      <c r="J1408" s="3" t="str">
        <f>HYPERLINK("https://www.boe.es/gazeta/dias/1821/03/12/pdfs/GMD-1821-71.pdf#page=2","Abrir facsímil")</f>
        <v>Abrir facsímil</v>
      </c>
      <c r="K1408" s="3" t="s">
        <v>23</v>
      </c>
    </row>
    <row r="1409" spans="1:11" ht="42" customHeight="1">
      <c r="A1409" s="2" t="s">
        <v>3197</v>
      </c>
      <c r="B1409" s="2" t="s">
        <v>3198</v>
      </c>
      <c r="C1409" s="2" t="s">
        <v>40</v>
      </c>
      <c r="D1409" s="2" t="s">
        <v>41</v>
      </c>
      <c r="E1409" s="5">
        <v>-28761</v>
      </c>
      <c r="F1409" s="3" t="s">
        <v>771</v>
      </c>
      <c r="G1409" s="3" t="s">
        <v>43</v>
      </c>
      <c r="H1409" s="2" t="s">
        <v>21</v>
      </c>
      <c r="I1409" s="2" t="s">
        <v>3204</v>
      </c>
      <c r="J1409" s="3" t="str">
        <f>HYPERLINK("https://www.boe.es/gazeta/dias/1821/04/02/pdfs/GMD-1821-94.pdf#page=1","Abrir facsímil")</f>
        <v>Abrir facsímil</v>
      </c>
      <c r="K1409" s="3" t="s">
        <v>23</v>
      </c>
    </row>
    <row r="1410" spans="1:11" ht="42" customHeight="1">
      <c r="A1410" s="2" t="s">
        <v>3197</v>
      </c>
      <c r="B1410" s="2" t="s">
        <v>3198</v>
      </c>
      <c r="C1410" s="2" t="s">
        <v>114</v>
      </c>
      <c r="D1410" s="2" t="s">
        <v>27</v>
      </c>
      <c r="E1410" s="5">
        <v>-28738</v>
      </c>
      <c r="F1410" s="3" t="s">
        <v>359</v>
      </c>
      <c r="G1410" s="3" t="s">
        <v>52</v>
      </c>
      <c r="H1410" s="2" t="s">
        <v>21</v>
      </c>
      <c r="I1410" s="2" t="s">
        <v>3205</v>
      </c>
      <c r="J1410" s="3" t="str">
        <f>HYPERLINK("https://www.boe.es/gazeta/dias/1821/04/25/pdfs/GMD-1821-117.pdf#page=2","Abrir facsímil")</f>
        <v>Abrir facsímil</v>
      </c>
      <c r="K1410" s="3" t="s">
        <v>23</v>
      </c>
    </row>
    <row r="1411" spans="1:11" ht="42" customHeight="1">
      <c r="A1411" s="2" t="s">
        <v>3197</v>
      </c>
      <c r="B1411" s="2" t="s">
        <v>3198</v>
      </c>
      <c r="C1411" s="2" t="s">
        <v>26</v>
      </c>
      <c r="D1411" s="2" t="s">
        <v>27</v>
      </c>
      <c r="E1411" s="5">
        <v>-28664</v>
      </c>
      <c r="F1411" s="3" t="s">
        <v>1365</v>
      </c>
      <c r="G1411" s="3" t="s">
        <v>20</v>
      </c>
      <c r="H1411" s="2" t="s">
        <v>21</v>
      </c>
      <c r="I1411" s="2" t="s">
        <v>3206</v>
      </c>
      <c r="J1411" s="3" t="str">
        <f>HYPERLINK("https://www.boe.es/gazeta/dias/1821/07/08/pdfs/GMD-1821-193.pdf#page=3","Abrir facsímil")</f>
        <v>Abrir facsímil</v>
      </c>
      <c r="K1411" s="3" t="s">
        <v>23</v>
      </c>
    </row>
    <row r="1412" spans="1:11" ht="42" customHeight="1">
      <c r="A1412" s="2" t="s">
        <v>3197</v>
      </c>
      <c r="B1412" s="2" t="s">
        <v>3198</v>
      </c>
      <c r="C1412" s="2" t="s">
        <v>40</v>
      </c>
      <c r="D1412" s="2" t="s">
        <v>41</v>
      </c>
      <c r="E1412" s="5">
        <v>-28661</v>
      </c>
      <c r="F1412" s="3" t="s">
        <v>2298</v>
      </c>
      <c r="G1412" s="3" t="s">
        <v>162</v>
      </c>
      <c r="H1412" s="2" t="s">
        <v>21</v>
      </c>
      <c r="I1412" s="2" t="s">
        <v>3207</v>
      </c>
      <c r="J1412" s="3" t="str">
        <f>HYPERLINK("https://www.boe.es/gazeta/dias/1821/07/11/pdfs/GMD-1821-196.pdf#page=5","Abrir facsímil")</f>
        <v>Abrir facsímil</v>
      </c>
      <c r="K1412" s="3" t="s">
        <v>23</v>
      </c>
    </row>
    <row r="1413" spans="1:11" ht="42" customHeight="1">
      <c r="A1413" s="2" t="s">
        <v>3197</v>
      </c>
      <c r="B1413" s="2" t="s">
        <v>3198</v>
      </c>
      <c r="C1413" s="2" t="s">
        <v>17</v>
      </c>
      <c r="D1413" s="2" t="s">
        <v>18</v>
      </c>
      <c r="E1413" s="5">
        <v>-28656</v>
      </c>
      <c r="F1413" s="3" t="s">
        <v>2399</v>
      </c>
      <c r="G1413" s="3" t="s">
        <v>3208</v>
      </c>
      <c r="H1413" s="2" t="s">
        <v>21</v>
      </c>
      <c r="I1413" s="2" t="s">
        <v>3209</v>
      </c>
      <c r="J1413" s="3" t="str">
        <f>HYPERLINK("https://www.boe.es/gazeta/dias/1821/07/16/pdfs/GMD-1821-201.pdf#page=3","Abrir facsímil")</f>
        <v>Abrir facsímil</v>
      </c>
      <c r="K1413" s="3" t="s">
        <v>23</v>
      </c>
    </row>
    <row r="1414" spans="1:11" ht="42" customHeight="1">
      <c r="A1414" s="2" t="s">
        <v>3197</v>
      </c>
      <c r="B1414" s="2" t="s">
        <v>3198</v>
      </c>
      <c r="C1414" s="2" t="s">
        <v>35</v>
      </c>
      <c r="D1414" s="2" t="s">
        <v>27</v>
      </c>
      <c r="E1414" s="5">
        <v>-28654</v>
      </c>
      <c r="F1414" s="3" t="s">
        <v>674</v>
      </c>
      <c r="G1414" s="3" t="s">
        <v>52</v>
      </c>
      <c r="H1414" s="2" t="s">
        <v>21</v>
      </c>
      <c r="I1414" s="2" t="s">
        <v>3210</v>
      </c>
      <c r="J1414" s="3" t="str">
        <f>HYPERLINK("https://www.boe.es/gazeta/dias/1821/07/18/pdfs/GMD-1821-203.pdf#page=2","Abrir facsímil")</f>
        <v>Abrir facsímil</v>
      </c>
      <c r="K1414" s="3" t="s">
        <v>23</v>
      </c>
    </row>
    <row r="1415" spans="1:11" ht="42" customHeight="1">
      <c r="A1415" s="2" t="s">
        <v>3211</v>
      </c>
      <c r="B1415" s="2" t="s">
        <v>3212</v>
      </c>
      <c r="C1415" s="2" t="s">
        <v>35</v>
      </c>
      <c r="D1415" s="2" t="s">
        <v>27</v>
      </c>
      <c r="E1415" s="5">
        <v>-28643</v>
      </c>
      <c r="F1415" s="3" t="s">
        <v>1569</v>
      </c>
      <c r="G1415" s="3" t="s">
        <v>52</v>
      </c>
      <c r="H1415" s="2" t="s">
        <v>21</v>
      </c>
      <c r="I1415" s="2" t="s">
        <v>3213</v>
      </c>
      <c r="J1415" s="3" t="str">
        <f>HYPERLINK("https://www.boe.es/gazeta/dias/1821/07/29/pdfs/GMD-1821-214.pdf#page=2","Abrir facsímil")</f>
        <v>Abrir facsímil</v>
      </c>
      <c r="K1415" s="3" t="s">
        <v>23</v>
      </c>
    </row>
    <row r="1416" spans="1:11" ht="42" customHeight="1">
      <c r="A1416" s="2" t="s">
        <v>3211</v>
      </c>
      <c r="B1416" s="2" t="s">
        <v>3212</v>
      </c>
      <c r="C1416" s="2" t="s">
        <v>17</v>
      </c>
      <c r="D1416" s="2" t="s">
        <v>18</v>
      </c>
      <c r="E1416" s="5">
        <v>-28643</v>
      </c>
      <c r="F1416" s="3" t="s">
        <v>1569</v>
      </c>
      <c r="G1416" s="3" t="s">
        <v>20</v>
      </c>
      <c r="H1416" s="2" t="s">
        <v>21</v>
      </c>
      <c r="I1416" s="2" t="s">
        <v>3214</v>
      </c>
      <c r="J1416" s="3" t="str">
        <f>HYPERLINK("https://www.boe.es/gazeta/dias/1821/07/29/pdfs/GMD-1821-214.pdf#page=3","Abrir facsímil")</f>
        <v>Abrir facsímil</v>
      </c>
      <c r="K1416" s="3" t="s">
        <v>23</v>
      </c>
    </row>
    <row r="1417" spans="1:11" ht="42" customHeight="1">
      <c r="A1417" s="2" t="s">
        <v>3197</v>
      </c>
      <c r="B1417" s="2" t="s">
        <v>3198</v>
      </c>
      <c r="C1417" s="2" t="s">
        <v>26</v>
      </c>
      <c r="D1417" s="2" t="s">
        <v>27</v>
      </c>
      <c r="E1417" s="5">
        <v>-28641</v>
      </c>
      <c r="F1417" s="3" t="s">
        <v>398</v>
      </c>
      <c r="G1417" s="3" t="s">
        <v>52</v>
      </c>
      <c r="H1417" s="2" t="s">
        <v>21</v>
      </c>
      <c r="I1417" s="2" t="s">
        <v>3215</v>
      </c>
      <c r="J1417" s="3" t="str">
        <f>HYPERLINK("https://www.boe.es/gazeta/dias/1821/07/31/pdfs/GMD-1821-216.pdf#page=2","Abrir facsímil")</f>
        <v>Abrir facsímil</v>
      </c>
      <c r="K1417" s="3" t="s">
        <v>23</v>
      </c>
    </row>
    <row r="1418" spans="1:11" ht="42" customHeight="1">
      <c r="A1418" s="2" t="s">
        <v>3197</v>
      </c>
      <c r="B1418" s="2" t="s">
        <v>3198</v>
      </c>
      <c r="C1418" s="2" t="s">
        <v>40</v>
      </c>
      <c r="D1418" s="2" t="s">
        <v>41</v>
      </c>
      <c r="E1418" s="5">
        <v>-28627</v>
      </c>
      <c r="F1418" s="3" t="s">
        <v>3216</v>
      </c>
      <c r="G1418" s="3" t="s">
        <v>20</v>
      </c>
      <c r="H1418" s="2" t="s">
        <v>21</v>
      </c>
      <c r="I1418" s="2" t="s">
        <v>3217</v>
      </c>
      <c r="J1418" s="3" t="str">
        <f>HYPERLINK("https://www.boe.es/gazeta/dias/1821/08/14/pdfs/GMD-1821-231.pdf#page=3","Abrir facsímil")</f>
        <v>Abrir facsímil</v>
      </c>
      <c r="K1418" s="3" t="s">
        <v>23</v>
      </c>
    </row>
    <row r="1419" spans="1:11" ht="42" customHeight="1">
      <c r="A1419" s="2" t="s">
        <v>3197</v>
      </c>
      <c r="B1419" s="2" t="s">
        <v>3198</v>
      </c>
      <c r="C1419" s="2" t="s">
        <v>17</v>
      </c>
      <c r="D1419" s="2" t="s">
        <v>18</v>
      </c>
      <c r="E1419" s="5">
        <v>-28607</v>
      </c>
      <c r="F1419" s="3" t="s">
        <v>740</v>
      </c>
      <c r="G1419" s="3" t="s">
        <v>52</v>
      </c>
      <c r="H1419" s="2" t="s">
        <v>21</v>
      </c>
      <c r="I1419" s="2" t="s">
        <v>3218</v>
      </c>
      <c r="J1419" s="3" t="str">
        <f>HYPERLINK("https://www.boe.es/gazeta/dias/1821/09/03/pdfs/GMD-1821-251.pdf#page=2","Abrir facsímil")</f>
        <v>Abrir facsímil</v>
      </c>
      <c r="K1419" s="3" t="s">
        <v>23</v>
      </c>
    </row>
    <row r="1420" spans="1:11" ht="42" customHeight="1">
      <c r="A1420" s="2" t="s">
        <v>3197</v>
      </c>
      <c r="B1420" s="2" t="s">
        <v>3198</v>
      </c>
      <c r="C1420" s="2" t="s">
        <v>35</v>
      </c>
      <c r="D1420" s="2" t="s">
        <v>27</v>
      </c>
      <c r="E1420" s="5">
        <v>-28541</v>
      </c>
      <c r="F1420" s="3" t="s">
        <v>275</v>
      </c>
      <c r="G1420" s="3" t="s">
        <v>43</v>
      </c>
      <c r="H1420" s="2" t="s">
        <v>21</v>
      </c>
      <c r="I1420" s="2" t="s">
        <v>3219</v>
      </c>
      <c r="J1420" s="3" t="str">
        <f>HYPERLINK("https://www.boe.es/gazeta/dias/1821/11/08/pdfs/GMD-1821-319.pdf#page=1","Abrir facsímil")</f>
        <v>Abrir facsímil</v>
      </c>
      <c r="K1420" s="3" t="s">
        <v>23</v>
      </c>
    </row>
    <row r="1421" spans="1:11" ht="42" customHeight="1">
      <c r="A1421" s="2" t="s">
        <v>3220</v>
      </c>
      <c r="B1421" s="2" t="s">
        <v>3220</v>
      </c>
      <c r="C1421" s="2" t="s">
        <v>17</v>
      </c>
      <c r="D1421" s="2" t="s">
        <v>18</v>
      </c>
      <c r="E1421" s="5">
        <v>-28718</v>
      </c>
      <c r="F1421" s="3" t="s">
        <v>583</v>
      </c>
      <c r="G1421" s="3" t="s">
        <v>43</v>
      </c>
      <c r="H1421" s="2" t="s">
        <v>21</v>
      </c>
      <c r="I1421" s="2" t="s">
        <v>3221</v>
      </c>
      <c r="J1421" s="3" t="str">
        <f>HYPERLINK("https://www.boe.es/gazeta/dias/1821/05/15/pdfs/GMD-1821-137.pdf#page=1","Abrir facsímil")</f>
        <v>Abrir facsímil</v>
      </c>
      <c r="K1421" s="3" t="s">
        <v>23</v>
      </c>
    </row>
    <row r="1422" spans="1:11" ht="42" customHeight="1">
      <c r="A1422" s="2" t="s">
        <v>3222</v>
      </c>
      <c r="B1422" s="2" t="s">
        <v>3223</v>
      </c>
      <c r="C1422" s="2" t="s">
        <v>17</v>
      </c>
      <c r="D1422" s="2" t="s">
        <v>18</v>
      </c>
      <c r="E1422" s="5">
        <v>-28765</v>
      </c>
      <c r="F1422" s="3" t="s">
        <v>974</v>
      </c>
      <c r="G1422" s="3" t="s">
        <v>1483</v>
      </c>
      <c r="H1422" s="2" t="s">
        <v>21</v>
      </c>
      <c r="I1422" s="2" t="s">
        <v>3224</v>
      </c>
      <c r="J1422" s="3" t="str">
        <f>HYPERLINK("https://www.boe.es/gazeta/dias/1821/03/29/pdfs/GMD-1821-90.pdf#page=4","Abrir facsímil")</f>
        <v>Abrir facsímil</v>
      </c>
      <c r="K1422" s="3" t="s">
        <v>23</v>
      </c>
    </row>
    <row r="1423" spans="1:11" ht="42" customHeight="1">
      <c r="A1423" s="2" t="s">
        <v>3225</v>
      </c>
      <c r="B1423" s="2" t="s">
        <v>3226</v>
      </c>
      <c r="C1423" s="2" t="s">
        <v>17</v>
      </c>
      <c r="D1423" s="2" t="s">
        <v>18</v>
      </c>
      <c r="E1423" s="5">
        <v>-28851</v>
      </c>
      <c r="F1423" s="3" t="s">
        <v>3227</v>
      </c>
      <c r="G1423" s="3" t="s">
        <v>43</v>
      </c>
      <c r="H1423" s="2" t="s">
        <v>21</v>
      </c>
      <c r="I1423" s="2" t="s">
        <v>3228</v>
      </c>
      <c r="J1423" s="3" t="str">
        <f>HYPERLINK("https://www.boe.es/gazeta/dias/1821/01/02/pdfs/GGB-1821-2.pdf#page=1","Abrir facsímil")</f>
        <v>Abrir facsímil</v>
      </c>
      <c r="K1423" s="3" t="s">
        <v>23</v>
      </c>
    </row>
    <row r="1424" spans="1:11" ht="42" customHeight="1">
      <c r="A1424" s="2" t="s">
        <v>3225</v>
      </c>
      <c r="B1424" s="2" t="s">
        <v>3226</v>
      </c>
      <c r="C1424" s="2" t="s">
        <v>40</v>
      </c>
      <c r="D1424" s="2" t="s">
        <v>41</v>
      </c>
      <c r="E1424" s="5">
        <v>-28841</v>
      </c>
      <c r="F1424" s="3" t="s">
        <v>765</v>
      </c>
      <c r="G1424" s="3" t="s">
        <v>43</v>
      </c>
      <c r="H1424" s="2" t="s">
        <v>21</v>
      </c>
      <c r="I1424" s="2" t="s">
        <v>3229</v>
      </c>
      <c r="J1424" s="3" t="str">
        <f>HYPERLINK("https://www.boe.es/gazeta/dias/1821/01/12/pdfs/GGB-1821-12.pdf#page=1","Abrir facsímil")</f>
        <v>Abrir facsímil</v>
      </c>
      <c r="K1424" s="3" t="s">
        <v>23</v>
      </c>
    </row>
    <row r="1425" spans="1:11" ht="42" customHeight="1">
      <c r="A1425" s="2" t="s">
        <v>3225</v>
      </c>
      <c r="B1425" s="2" t="s">
        <v>3226</v>
      </c>
      <c r="C1425" s="2" t="s">
        <v>40</v>
      </c>
      <c r="D1425" s="2" t="s">
        <v>41</v>
      </c>
      <c r="E1425" s="5">
        <v>-28830</v>
      </c>
      <c r="F1425" s="3" t="s">
        <v>3230</v>
      </c>
      <c r="G1425" s="3" t="s">
        <v>3231</v>
      </c>
      <c r="H1425" s="2" t="s">
        <v>21</v>
      </c>
      <c r="I1425" s="2" t="s">
        <v>3232</v>
      </c>
      <c r="J1425" s="3" t="str">
        <f>HYPERLINK("https://www.boe.es/gazeta/dias/1821/01/23/pdfs/GGB-1821-23.pdf#page=2","Abrir facsímil")</f>
        <v>Abrir facsímil</v>
      </c>
      <c r="K1425" s="3" t="s">
        <v>23</v>
      </c>
    </row>
    <row r="1426" spans="1:11" ht="42" customHeight="1">
      <c r="A1426" s="2" t="s">
        <v>3225</v>
      </c>
      <c r="B1426" s="2" t="s">
        <v>3226</v>
      </c>
      <c r="C1426" s="2" t="s">
        <v>40</v>
      </c>
      <c r="D1426" s="2" t="s">
        <v>41</v>
      </c>
      <c r="E1426" s="5">
        <v>-28770</v>
      </c>
      <c r="F1426" s="3" t="s">
        <v>1009</v>
      </c>
      <c r="G1426" s="3" t="s">
        <v>3233</v>
      </c>
      <c r="H1426" s="2" t="s">
        <v>21</v>
      </c>
      <c r="I1426" s="2" t="s">
        <v>3234</v>
      </c>
      <c r="J1426" s="3" t="str">
        <f>HYPERLINK("https://www.boe.es/gazeta/dias/1821/03/24/pdfs/GMD-1821-84.pdf#page=2","Abrir facsímil")</f>
        <v>Abrir facsímil</v>
      </c>
      <c r="K1426" s="3" t="s">
        <v>23</v>
      </c>
    </row>
    <row r="1427" spans="1:11" ht="42" customHeight="1">
      <c r="A1427" s="2" t="s">
        <v>3225</v>
      </c>
      <c r="B1427" s="2" t="s">
        <v>3226</v>
      </c>
      <c r="C1427" s="2" t="s">
        <v>17</v>
      </c>
      <c r="D1427" s="2" t="s">
        <v>18</v>
      </c>
      <c r="E1427" s="5">
        <v>-28770</v>
      </c>
      <c r="F1427" s="3" t="s">
        <v>1009</v>
      </c>
      <c r="G1427" s="3" t="s">
        <v>162</v>
      </c>
      <c r="H1427" s="2" t="s">
        <v>21</v>
      </c>
      <c r="I1427" s="2" t="s">
        <v>3235</v>
      </c>
      <c r="J1427" s="3" t="str">
        <f>HYPERLINK("https://www.boe.es/gazeta/dias/1821/03/24/pdfs/GMD-1821-84.pdf#page=5","Abrir facsímil")</f>
        <v>Abrir facsímil</v>
      </c>
      <c r="K1427" s="3" t="s">
        <v>23</v>
      </c>
    </row>
    <row r="1428" spans="1:11" ht="42" customHeight="1">
      <c r="A1428" s="2" t="s">
        <v>3225</v>
      </c>
      <c r="B1428" s="2" t="s">
        <v>3226</v>
      </c>
      <c r="C1428" s="2" t="s">
        <v>40</v>
      </c>
      <c r="D1428" s="2" t="s">
        <v>41</v>
      </c>
      <c r="E1428" s="5">
        <v>-28702</v>
      </c>
      <c r="F1428" s="3" t="s">
        <v>1176</v>
      </c>
      <c r="G1428" s="3" t="s">
        <v>43</v>
      </c>
      <c r="H1428" s="2" t="s">
        <v>21</v>
      </c>
      <c r="I1428" s="2" t="s">
        <v>3236</v>
      </c>
      <c r="J1428" s="3" t="str">
        <f>HYPERLINK("https://www.boe.es/gazeta/dias/1821/05/31/pdfs/GMD-1821-153.pdf#page=1","Abrir facsímil")</f>
        <v>Abrir facsímil</v>
      </c>
      <c r="K1428" s="3" t="s">
        <v>23</v>
      </c>
    </row>
    <row r="1429" spans="1:11" ht="42" customHeight="1">
      <c r="A1429" s="2" t="s">
        <v>3237</v>
      </c>
      <c r="B1429" s="2" t="s">
        <v>3238</v>
      </c>
      <c r="C1429" s="2" t="s">
        <v>17</v>
      </c>
      <c r="D1429" s="2" t="s">
        <v>18</v>
      </c>
      <c r="E1429" s="5">
        <v>-28672</v>
      </c>
      <c r="F1429" s="3" t="s">
        <v>964</v>
      </c>
      <c r="G1429" s="3" t="s">
        <v>52</v>
      </c>
      <c r="H1429" s="2" t="s">
        <v>21</v>
      </c>
      <c r="I1429" s="2" t="s">
        <v>3239</v>
      </c>
      <c r="J1429" s="3" t="str">
        <f>HYPERLINK("https://www.boe.es/gazeta/dias/1821/06/30/pdfs/GMD-1821-183.pdf#page=2","Abrir facsímil")</f>
        <v>Abrir facsímil</v>
      </c>
      <c r="K1429" s="3" t="s">
        <v>23</v>
      </c>
    </row>
    <row r="1430" spans="1:11" ht="42" customHeight="1">
      <c r="A1430" s="2" t="s">
        <v>3240</v>
      </c>
      <c r="B1430" s="2" t="s">
        <v>3241</v>
      </c>
      <c r="C1430" s="2" t="s">
        <v>40</v>
      </c>
      <c r="D1430" s="2" t="s">
        <v>41</v>
      </c>
      <c r="E1430" s="5">
        <v>-28507</v>
      </c>
      <c r="F1430" s="3" t="s">
        <v>1158</v>
      </c>
      <c r="G1430" s="3" t="s">
        <v>20</v>
      </c>
      <c r="H1430" s="2" t="s">
        <v>21</v>
      </c>
      <c r="I1430" s="2" t="s">
        <v>3242</v>
      </c>
      <c r="J1430" s="3" t="str">
        <f>HYPERLINK("https://www.boe.es/gazeta/dias/1821/12/12/pdfs/GMD-1821-354.pdf#page=3","Abrir facsímil")</f>
        <v>Abrir facsímil</v>
      </c>
      <c r="K1430" s="3" t="s">
        <v>23</v>
      </c>
    </row>
    <row r="1431" spans="1:11" ht="42" customHeight="1">
      <c r="A1431" s="2" t="s">
        <v>3243</v>
      </c>
      <c r="B1431" s="2" t="s">
        <v>3244</v>
      </c>
      <c r="C1431" s="2" t="s">
        <v>40</v>
      </c>
      <c r="D1431" s="2" t="s">
        <v>41</v>
      </c>
      <c r="E1431" s="5">
        <v>-28747</v>
      </c>
      <c r="F1431" s="3" t="s">
        <v>1016</v>
      </c>
      <c r="G1431" s="3" t="s">
        <v>52</v>
      </c>
      <c r="H1431" s="2" t="s">
        <v>21</v>
      </c>
      <c r="I1431" s="2" t="s">
        <v>3245</v>
      </c>
      <c r="J1431" s="3" t="str">
        <f>HYPERLINK("https://www.boe.es/gazeta/dias/1821/04/16/pdfs/GMD-1821-108.pdf#page=2","Abrir facsímil")</f>
        <v>Abrir facsímil</v>
      </c>
      <c r="K1431" s="3" t="s">
        <v>23</v>
      </c>
    </row>
    <row r="1432" spans="1:11" ht="42" customHeight="1">
      <c r="A1432" s="2" t="s">
        <v>3246</v>
      </c>
      <c r="B1432" s="2" t="s">
        <v>3247</v>
      </c>
      <c r="C1432" s="2" t="s">
        <v>174</v>
      </c>
      <c r="D1432" s="2" t="s">
        <v>27</v>
      </c>
      <c r="E1432" s="5">
        <v>-28668</v>
      </c>
      <c r="F1432" s="3" t="s">
        <v>2130</v>
      </c>
      <c r="G1432" s="3" t="s">
        <v>88</v>
      </c>
      <c r="H1432" s="2" t="s">
        <v>21</v>
      </c>
      <c r="I1432" s="2" t="s">
        <v>3248</v>
      </c>
      <c r="J1432" s="3" t="str">
        <f>HYPERLINK("https://www.boe.es/gazeta/dias/1821/07/04/pdfs/GMD-1821-188.pdf#page=4","Abrir facsímil")</f>
        <v>Abrir facsímil</v>
      </c>
      <c r="K1432" s="3" t="s">
        <v>23</v>
      </c>
    </row>
    <row r="1433" spans="1:11" ht="42" customHeight="1">
      <c r="A1433" s="2" t="s">
        <v>3249</v>
      </c>
      <c r="B1433" s="2" t="s">
        <v>3249</v>
      </c>
      <c r="C1433" s="2" t="s">
        <v>40</v>
      </c>
      <c r="D1433" s="2" t="s">
        <v>41</v>
      </c>
      <c r="E1433" s="5">
        <v>-28600</v>
      </c>
      <c r="F1433" s="3" t="s">
        <v>99</v>
      </c>
      <c r="G1433" s="3" t="s">
        <v>52</v>
      </c>
      <c r="H1433" s="2" t="s">
        <v>21</v>
      </c>
      <c r="I1433" s="2" t="s">
        <v>3250</v>
      </c>
      <c r="J1433" s="3" t="str">
        <f>HYPERLINK("https://www.boe.es/gazeta/dias/1821/09/10/pdfs/GMD-1821-258.pdf#page=2","Abrir facsímil")</f>
        <v>Abrir facsímil</v>
      </c>
      <c r="K1433" s="3" t="s">
        <v>23</v>
      </c>
    </row>
    <row r="1434" spans="1:11" ht="42" customHeight="1">
      <c r="A1434" s="2" t="s">
        <v>3251</v>
      </c>
      <c r="B1434" s="2" t="s">
        <v>3252</v>
      </c>
      <c r="C1434" s="2" t="s">
        <v>174</v>
      </c>
      <c r="D1434" s="2" t="s">
        <v>27</v>
      </c>
      <c r="E1434" s="5">
        <v>-28810</v>
      </c>
      <c r="F1434" s="3" t="s">
        <v>308</v>
      </c>
      <c r="G1434" s="3" t="s">
        <v>88</v>
      </c>
      <c r="H1434" s="2" t="s">
        <v>21</v>
      </c>
      <c r="I1434" s="2" t="s">
        <v>3253</v>
      </c>
      <c r="J1434" s="3" t="str">
        <f>HYPERLINK("https://www.boe.es/gazeta/dias/1821/02/12/pdfs/GGB-1821-43.pdf#page=4","Abrir facsímil")</f>
        <v>Abrir facsímil</v>
      </c>
      <c r="K1434" s="3" t="s">
        <v>23</v>
      </c>
    </row>
    <row r="1435" spans="1:11" ht="42" customHeight="1">
      <c r="A1435" s="2" t="s">
        <v>3254</v>
      </c>
      <c r="B1435" s="2" t="s">
        <v>3254</v>
      </c>
      <c r="C1435" s="2" t="s">
        <v>17</v>
      </c>
      <c r="D1435" s="2" t="s">
        <v>18</v>
      </c>
      <c r="E1435" s="5">
        <v>-28820</v>
      </c>
      <c r="F1435" s="3" t="s">
        <v>1430</v>
      </c>
      <c r="G1435" s="3" t="s">
        <v>52</v>
      </c>
      <c r="H1435" s="2" t="s">
        <v>21</v>
      </c>
      <c r="I1435" s="2" t="s">
        <v>3255</v>
      </c>
      <c r="J1435" s="3" t="str">
        <f>HYPERLINK("https://www.boe.es/gazeta/dias/1821/02/02/pdfs/GGB-1821-33.pdf#page=2","Abrir facsímil")</f>
        <v>Abrir facsímil</v>
      </c>
      <c r="K1435" s="3" t="s">
        <v>23</v>
      </c>
    </row>
    <row r="1436" spans="1:11" ht="42" customHeight="1">
      <c r="A1436" s="2" t="s">
        <v>3256</v>
      </c>
      <c r="B1436" s="2" t="s">
        <v>3256</v>
      </c>
      <c r="C1436" s="2" t="s">
        <v>17</v>
      </c>
      <c r="D1436" s="2" t="s">
        <v>18</v>
      </c>
      <c r="E1436" s="5">
        <v>-28827</v>
      </c>
      <c r="F1436" s="3" t="s">
        <v>1382</v>
      </c>
      <c r="G1436" s="3" t="s">
        <v>52</v>
      </c>
      <c r="H1436" s="2" t="s">
        <v>21</v>
      </c>
      <c r="I1436" s="2" t="s">
        <v>3257</v>
      </c>
      <c r="J1436" s="3" t="str">
        <f>HYPERLINK("https://www.boe.es/gazeta/dias/1821/01/26/pdfs/GGB-1821-26.pdf#page=2","Abrir facsímil")</f>
        <v>Abrir facsímil</v>
      </c>
      <c r="K1436" s="3" t="s">
        <v>23</v>
      </c>
    </row>
    <row r="1437" spans="1:11" ht="42" customHeight="1">
      <c r="A1437" s="2" t="s">
        <v>3256</v>
      </c>
      <c r="B1437" s="2" t="s">
        <v>3256</v>
      </c>
      <c r="C1437" s="2" t="s">
        <v>40</v>
      </c>
      <c r="D1437" s="2" t="s">
        <v>41</v>
      </c>
      <c r="E1437" s="5">
        <v>-28801</v>
      </c>
      <c r="F1437" s="3" t="s">
        <v>378</v>
      </c>
      <c r="G1437" s="3" t="s">
        <v>43</v>
      </c>
      <c r="H1437" s="2" t="s">
        <v>21</v>
      </c>
      <c r="I1437" s="2" t="s">
        <v>3258</v>
      </c>
      <c r="J1437" s="3" t="str">
        <f>HYPERLINK("https://www.boe.es/gazeta/dias/1821/02/21/pdfs/GGB-1821-52.pdf#page=1","Abrir facsímil")</f>
        <v>Abrir facsímil</v>
      </c>
      <c r="K1437" s="3" t="s">
        <v>23</v>
      </c>
    </row>
    <row r="1438" spans="1:11" ht="42" customHeight="1">
      <c r="A1438" s="2" t="s">
        <v>3256</v>
      </c>
      <c r="B1438" s="2" t="s">
        <v>3256</v>
      </c>
      <c r="C1438" s="2" t="s">
        <v>35</v>
      </c>
      <c r="D1438" s="2" t="s">
        <v>27</v>
      </c>
      <c r="E1438" s="5">
        <v>-28771</v>
      </c>
      <c r="F1438" s="3" t="s">
        <v>110</v>
      </c>
      <c r="G1438" s="3" t="s">
        <v>43</v>
      </c>
      <c r="H1438" s="2" t="s">
        <v>21</v>
      </c>
      <c r="I1438" s="2" t="s">
        <v>3259</v>
      </c>
      <c r="J1438" s="3" t="str">
        <f>HYPERLINK("https://www.boe.es/gazeta/dias/1821/03/23/pdfs/GMD-1821-83.pdf#page=1","Abrir facsímil")</f>
        <v>Abrir facsímil</v>
      </c>
      <c r="K1438" s="3" t="s">
        <v>23</v>
      </c>
    </row>
    <row r="1439" spans="1:11" ht="42" customHeight="1">
      <c r="A1439" s="2" t="s">
        <v>3260</v>
      </c>
      <c r="B1439" s="2" t="s">
        <v>3260</v>
      </c>
      <c r="C1439" s="2" t="s">
        <v>40</v>
      </c>
      <c r="D1439" s="2" t="s">
        <v>41</v>
      </c>
      <c r="E1439" s="5">
        <v>-28495</v>
      </c>
      <c r="F1439" s="3" t="s">
        <v>227</v>
      </c>
      <c r="G1439" s="3" t="s">
        <v>43</v>
      </c>
      <c r="H1439" s="2" t="s">
        <v>21</v>
      </c>
      <c r="I1439" s="2" t="s">
        <v>3261</v>
      </c>
      <c r="J1439" s="3" t="str">
        <f>HYPERLINK("https://www.boe.es/gazeta/dias/1821/12/24/pdfs/GMD-1821-367.pdf#page=1","Abrir facsímil")</f>
        <v>Abrir facsímil</v>
      </c>
      <c r="K1439" s="3" t="s">
        <v>23</v>
      </c>
    </row>
    <row r="1440" spans="1:11" ht="42" customHeight="1">
      <c r="A1440" s="2" t="s">
        <v>3262</v>
      </c>
      <c r="B1440" s="2" t="s">
        <v>3263</v>
      </c>
      <c r="C1440" s="2" t="s">
        <v>26</v>
      </c>
      <c r="D1440" s="2" t="s">
        <v>27</v>
      </c>
      <c r="E1440" s="5">
        <v>-28759</v>
      </c>
      <c r="F1440" s="3" t="s">
        <v>71</v>
      </c>
      <c r="G1440" s="3" t="s">
        <v>43</v>
      </c>
      <c r="H1440" s="2" t="s">
        <v>21</v>
      </c>
      <c r="I1440" s="2" t="s">
        <v>3264</v>
      </c>
      <c r="J1440" s="3" t="str">
        <f>HYPERLINK("https://www.boe.es/gazeta/dias/1821/04/04/pdfs/GMD-1821-96.pdf#page=1","Abrir facsímil")</f>
        <v>Abrir facsímil</v>
      </c>
      <c r="K1440" s="3" t="s">
        <v>23</v>
      </c>
    </row>
    <row r="1441" spans="1:11" ht="42" customHeight="1">
      <c r="A1441" s="2" t="s">
        <v>3265</v>
      </c>
      <c r="B1441" s="2" t="s">
        <v>3266</v>
      </c>
      <c r="C1441" s="2" t="s">
        <v>40</v>
      </c>
      <c r="D1441" s="2" t="s">
        <v>41</v>
      </c>
      <c r="E1441" s="5">
        <v>-28499</v>
      </c>
      <c r="F1441" s="3" t="s">
        <v>954</v>
      </c>
      <c r="G1441" s="3" t="s">
        <v>88</v>
      </c>
      <c r="H1441" s="2" t="s">
        <v>21</v>
      </c>
      <c r="I1441" s="2" t="s">
        <v>3267</v>
      </c>
      <c r="J1441" s="3" t="str">
        <f>HYPERLINK("https://www.boe.es/gazeta/dias/1821/12/20/pdfs/GMD-1821-363.pdf#page=4","Abrir facsímil")</f>
        <v>Abrir facsímil</v>
      </c>
      <c r="K1441" s="3" t="s">
        <v>23</v>
      </c>
    </row>
    <row r="1442" spans="1:11" ht="42" customHeight="1">
      <c r="A1442" s="2" t="s">
        <v>3268</v>
      </c>
      <c r="B1442" s="2" t="s">
        <v>3268</v>
      </c>
      <c r="C1442" s="2" t="s">
        <v>26</v>
      </c>
      <c r="D1442" s="2" t="s">
        <v>27</v>
      </c>
      <c r="E1442" s="5">
        <v>-28825</v>
      </c>
      <c r="F1442" s="3" t="s">
        <v>1199</v>
      </c>
      <c r="G1442" s="3" t="s">
        <v>43</v>
      </c>
      <c r="H1442" s="2" t="s">
        <v>21</v>
      </c>
      <c r="I1442" s="2" t="s">
        <v>3269</v>
      </c>
      <c r="J1442" s="3" t="str">
        <f>HYPERLINK("https://www.boe.es/gazeta/dias/1821/01/28/pdfs/GGB-1821-28.pdf#page=1","Abrir facsímil")</f>
        <v>Abrir facsímil</v>
      </c>
      <c r="K1442" s="3" t="s">
        <v>23</v>
      </c>
    </row>
    <row r="1443" spans="1:11" ht="42" customHeight="1">
      <c r="A1443" s="2" t="s">
        <v>3270</v>
      </c>
      <c r="B1443" s="2" t="s">
        <v>3271</v>
      </c>
      <c r="C1443" s="2" t="s">
        <v>40</v>
      </c>
      <c r="D1443" s="2" t="s">
        <v>41</v>
      </c>
      <c r="E1443" s="5">
        <v>-28612</v>
      </c>
      <c r="F1443" s="3" t="s">
        <v>1902</v>
      </c>
      <c r="G1443" s="3" t="s">
        <v>20</v>
      </c>
      <c r="H1443" s="2" t="s">
        <v>21</v>
      </c>
      <c r="I1443" s="2" t="s">
        <v>3272</v>
      </c>
      <c r="J1443" s="3" t="str">
        <f>HYPERLINK("https://www.boe.es/gazeta/dias/1821/08/29/pdfs/GMD-1821-246.pdf#page=3","Abrir facsímil")</f>
        <v>Abrir facsímil</v>
      </c>
      <c r="K1443" s="3" t="s">
        <v>23</v>
      </c>
    </row>
    <row r="1444" spans="1:11" ht="42" customHeight="1">
      <c r="A1444" s="2" t="s">
        <v>3273</v>
      </c>
      <c r="B1444" s="2" t="s">
        <v>3274</v>
      </c>
      <c r="C1444" s="2" t="s">
        <v>40</v>
      </c>
      <c r="D1444" s="2" t="s">
        <v>41</v>
      </c>
      <c r="E1444" s="5">
        <v>-28492</v>
      </c>
      <c r="F1444" s="3" t="s">
        <v>1550</v>
      </c>
      <c r="G1444" s="3" t="s">
        <v>88</v>
      </c>
      <c r="H1444" s="2" t="s">
        <v>21</v>
      </c>
      <c r="I1444" s="2" t="s">
        <v>3275</v>
      </c>
      <c r="J1444" s="3" t="str">
        <f>HYPERLINK("https://www.boe.es/gazeta/dias/1821/12/27/pdfs/GMD-1821-370.pdf#page=4","Abrir facsímil")</f>
        <v>Abrir facsímil</v>
      </c>
      <c r="K1444" s="3" t="s">
        <v>23</v>
      </c>
    </row>
    <row r="1445" spans="1:11" ht="42" customHeight="1">
      <c r="A1445" s="2" t="s">
        <v>3276</v>
      </c>
      <c r="B1445" s="2" t="s">
        <v>3277</v>
      </c>
      <c r="C1445" s="2" t="s">
        <v>40</v>
      </c>
      <c r="D1445" s="2" t="s">
        <v>41</v>
      </c>
      <c r="E1445" s="5">
        <v>-28755</v>
      </c>
      <c r="F1445" s="3" t="s">
        <v>906</v>
      </c>
      <c r="G1445" s="3" t="s">
        <v>52</v>
      </c>
      <c r="H1445" s="2" t="s">
        <v>21</v>
      </c>
      <c r="I1445" s="2" t="s">
        <v>3278</v>
      </c>
      <c r="J1445" s="3" t="str">
        <f>HYPERLINK("https://www.boe.es/gazeta/dias/1821/04/08/pdfs/GMD-1821-100.pdf#page=2","Abrir facsímil")</f>
        <v>Abrir facsímil</v>
      </c>
      <c r="K1445" s="3" t="s">
        <v>23</v>
      </c>
    </row>
    <row r="1446" spans="1:11" ht="42" customHeight="1">
      <c r="A1446" s="2" t="s">
        <v>3279</v>
      </c>
      <c r="B1446" s="2" t="s">
        <v>3280</v>
      </c>
      <c r="C1446" s="2" t="s">
        <v>174</v>
      </c>
      <c r="D1446" s="2" t="s">
        <v>27</v>
      </c>
      <c r="E1446" s="5">
        <v>-28495</v>
      </c>
      <c r="F1446" s="3" t="s">
        <v>227</v>
      </c>
      <c r="G1446" s="3" t="s">
        <v>333</v>
      </c>
      <c r="H1446" s="2" t="s">
        <v>21</v>
      </c>
      <c r="I1446" s="2" t="s">
        <v>3281</v>
      </c>
      <c r="J1446" s="3" t="str">
        <f>HYPERLINK("https://www.boe.es/gazeta/dias/1821/12/24/pdfs/GMD-1821-367.pdf#page=8","Abrir facsímil")</f>
        <v>Abrir facsímil</v>
      </c>
      <c r="K1446" s="3" t="s">
        <v>23</v>
      </c>
    </row>
    <row r="1447" spans="1:11" ht="42" customHeight="1">
      <c r="A1447" s="2" t="s">
        <v>3282</v>
      </c>
      <c r="B1447" s="2" t="s">
        <v>3283</v>
      </c>
      <c r="C1447" s="2" t="s">
        <v>35</v>
      </c>
      <c r="D1447" s="2" t="s">
        <v>27</v>
      </c>
      <c r="E1447" s="5">
        <v>-28651</v>
      </c>
      <c r="F1447" s="3" t="s">
        <v>1518</v>
      </c>
      <c r="G1447" s="3" t="s">
        <v>88</v>
      </c>
      <c r="H1447" s="2" t="s">
        <v>21</v>
      </c>
      <c r="I1447" s="2" t="s">
        <v>3284</v>
      </c>
      <c r="J1447" s="3" t="str">
        <f>HYPERLINK("https://www.boe.es/gazeta/dias/1821/07/21/pdfs/GMD-1821-206.pdf#page=4","Abrir facsímil")</f>
        <v>Abrir facsímil</v>
      </c>
      <c r="K1447" s="3" t="s">
        <v>23</v>
      </c>
    </row>
    <row r="1448" spans="1:11" ht="42" customHeight="1">
      <c r="A1448" s="2" t="s">
        <v>3282</v>
      </c>
      <c r="B1448" s="2" t="s">
        <v>3283</v>
      </c>
      <c r="C1448" s="2" t="s">
        <v>40</v>
      </c>
      <c r="D1448" s="2" t="s">
        <v>41</v>
      </c>
      <c r="E1448" s="5">
        <v>-28650</v>
      </c>
      <c r="F1448" s="3" t="s">
        <v>3285</v>
      </c>
      <c r="G1448" s="3" t="s">
        <v>88</v>
      </c>
      <c r="H1448" s="2" t="s">
        <v>21</v>
      </c>
      <c r="I1448" s="2" t="s">
        <v>3286</v>
      </c>
      <c r="J1448" s="3" t="str">
        <f>HYPERLINK("https://www.boe.es/gazeta/dias/1821/07/22/pdfs/GMD-1821-207.pdf#page=4","Abrir facsímil")</f>
        <v>Abrir facsímil</v>
      </c>
      <c r="K1448" s="3" t="s">
        <v>23</v>
      </c>
    </row>
    <row r="1449" spans="1:11" ht="42" customHeight="1">
      <c r="A1449" s="2" t="s">
        <v>3287</v>
      </c>
      <c r="B1449" s="2" t="s">
        <v>3288</v>
      </c>
      <c r="C1449" s="2" t="s">
        <v>17</v>
      </c>
      <c r="D1449" s="2" t="s">
        <v>18</v>
      </c>
      <c r="E1449" s="5">
        <v>-28662</v>
      </c>
      <c r="F1449" s="3" t="s">
        <v>3289</v>
      </c>
      <c r="G1449" s="3" t="s">
        <v>52</v>
      </c>
      <c r="H1449" s="2" t="s">
        <v>21</v>
      </c>
      <c r="I1449" s="2" t="s">
        <v>3290</v>
      </c>
      <c r="J1449" s="3" t="str">
        <f>HYPERLINK("https://www.boe.es/gazeta/dias/1821/07/10/pdfs/GMD-1821-195.pdf#page=2","Abrir facsímil")</f>
        <v>Abrir facsímil</v>
      </c>
      <c r="K1449" s="3" t="s">
        <v>23</v>
      </c>
    </row>
    <row r="1450" spans="1:11" ht="42" customHeight="1">
      <c r="A1450" s="2" t="s">
        <v>3291</v>
      </c>
      <c r="B1450" s="2" t="s">
        <v>3291</v>
      </c>
      <c r="C1450" s="2" t="s">
        <v>40</v>
      </c>
      <c r="D1450" s="2" t="s">
        <v>41</v>
      </c>
      <c r="E1450" s="5">
        <v>-28674</v>
      </c>
      <c r="F1450" s="3" t="s">
        <v>536</v>
      </c>
      <c r="G1450" s="3" t="s">
        <v>537</v>
      </c>
      <c r="H1450" s="2" t="s">
        <v>21</v>
      </c>
      <c r="I1450" s="2" t="s">
        <v>3292</v>
      </c>
      <c r="J1450" s="3" t="str">
        <f>HYPERLINK("https://www.boe.es/gazeta/dias/1821/06/28/pdfs/GMD-1821-181.pdf#page=2","Abrir facsímil")</f>
        <v>Abrir facsímil</v>
      </c>
      <c r="K1450" s="3" t="s">
        <v>23</v>
      </c>
    </row>
    <row r="1451" spans="1:11" ht="42" customHeight="1">
      <c r="A1451" s="2" t="s">
        <v>3293</v>
      </c>
      <c r="B1451" s="2" t="s">
        <v>3293</v>
      </c>
      <c r="C1451" s="2" t="s">
        <v>17</v>
      </c>
      <c r="D1451" s="2" t="s">
        <v>18</v>
      </c>
      <c r="E1451" s="5">
        <v>-28806</v>
      </c>
      <c r="F1451" s="3" t="s">
        <v>1201</v>
      </c>
      <c r="G1451" s="3" t="s">
        <v>3200</v>
      </c>
      <c r="H1451" s="2" t="s">
        <v>21</v>
      </c>
      <c r="I1451" s="2" t="s">
        <v>3294</v>
      </c>
      <c r="J1451" s="3" t="str">
        <f>HYPERLINK("https://www.boe.es/gazeta/dias/1821/02/16/pdfs/GGB-1821-47.pdf#page=3","Abrir facsímil")</f>
        <v>Abrir facsímil</v>
      </c>
      <c r="K1451" s="3" t="s">
        <v>23</v>
      </c>
    </row>
    <row r="1452" spans="1:11" ht="42" customHeight="1">
      <c r="A1452" s="2" t="s">
        <v>3293</v>
      </c>
      <c r="B1452" s="2" t="s">
        <v>3293</v>
      </c>
      <c r="C1452" s="2" t="s">
        <v>17</v>
      </c>
      <c r="D1452" s="2" t="s">
        <v>18</v>
      </c>
      <c r="E1452" s="5">
        <v>-28795</v>
      </c>
      <c r="F1452" s="3" t="s">
        <v>2287</v>
      </c>
      <c r="G1452" s="3" t="s">
        <v>52</v>
      </c>
      <c r="H1452" s="2" t="s">
        <v>21</v>
      </c>
      <c r="I1452" s="2" t="s">
        <v>3295</v>
      </c>
      <c r="J1452" s="3" t="str">
        <f>HYPERLINK("https://www.boe.es/gazeta/dias/1821/02/27/pdfs/GGB-1821-58.pdf#page=2","Abrir facsímil")</f>
        <v>Abrir facsímil</v>
      </c>
      <c r="K1452" s="3" t="s">
        <v>23</v>
      </c>
    </row>
    <row r="1453" spans="1:11" ht="42" customHeight="1">
      <c r="A1453" s="2" t="s">
        <v>3293</v>
      </c>
      <c r="B1453" s="2" t="s">
        <v>3293</v>
      </c>
      <c r="C1453" s="2" t="s">
        <v>279</v>
      </c>
      <c r="D1453" s="2" t="s">
        <v>27</v>
      </c>
      <c r="E1453" s="5">
        <v>-28795</v>
      </c>
      <c r="F1453" s="3" t="s">
        <v>2287</v>
      </c>
      <c r="G1453" s="3" t="s">
        <v>20</v>
      </c>
      <c r="H1453" s="2" t="s">
        <v>21</v>
      </c>
      <c r="I1453" s="2" t="s">
        <v>3296</v>
      </c>
      <c r="J1453" s="3" t="str">
        <f>HYPERLINK("https://www.boe.es/gazeta/dias/1821/02/27/pdfs/GGB-1821-58.pdf#page=3","Abrir facsímil")</f>
        <v>Abrir facsímil</v>
      </c>
      <c r="K1453" s="3" t="s">
        <v>23</v>
      </c>
    </row>
    <row r="1454" spans="1:11" ht="42" customHeight="1">
      <c r="A1454" s="2" t="s">
        <v>3293</v>
      </c>
      <c r="B1454" s="2" t="s">
        <v>3293</v>
      </c>
      <c r="C1454" s="2" t="s">
        <v>17</v>
      </c>
      <c r="D1454" s="2" t="s">
        <v>18</v>
      </c>
      <c r="E1454" s="5">
        <v>-28792</v>
      </c>
      <c r="F1454" s="3" t="s">
        <v>2289</v>
      </c>
      <c r="G1454" s="3" t="s">
        <v>2290</v>
      </c>
      <c r="H1454" s="2" t="s">
        <v>21</v>
      </c>
      <c r="I1454" s="2" t="s">
        <v>3297</v>
      </c>
      <c r="J1454" s="3" t="str">
        <f>HYPERLINK("https://www.boe.es/gazeta/dias/1821/03/02/pdfs/GGB-1821-61.pdf#page=2","Abrir facsímil")</f>
        <v>Abrir facsímil</v>
      </c>
      <c r="K1454" s="3" t="s">
        <v>23</v>
      </c>
    </row>
    <row r="1455" spans="1:11" ht="42" customHeight="1">
      <c r="A1455" s="2" t="s">
        <v>3293</v>
      </c>
      <c r="B1455" s="2" t="s">
        <v>3293</v>
      </c>
      <c r="C1455" s="2" t="s">
        <v>26</v>
      </c>
      <c r="D1455" s="2" t="s">
        <v>27</v>
      </c>
      <c r="E1455" s="5">
        <v>-28789</v>
      </c>
      <c r="F1455" s="3" t="s">
        <v>36</v>
      </c>
      <c r="G1455" s="3" t="s">
        <v>52</v>
      </c>
      <c r="H1455" s="2" t="s">
        <v>21</v>
      </c>
      <c r="I1455" s="2" t="s">
        <v>3298</v>
      </c>
      <c r="J1455" s="3" t="str">
        <f>HYPERLINK("https://www.boe.es/gazeta/dias/1821/03/05/pdfs/GGB-1821-64.pdf#page=2","Abrir facsímil")</f>
        <v>Abrir facsímil</v>
      </c>
      <c r="K1455" s="3" t="s">
        <v>23</v>
      </c>
    </row>
    <row r="1456" spans="1:11" ht="42" customHeight="1">
      <c r="A1456" s="2" t="s">
        <v>3293</v>
      </c>
      <c r="B1456" s="2" t="s">
        <v>3293</v>
      </c>
      <c r="C1456" s="2" t="s">
        <v>17</v>
      </c>
      <c r="D1456" s="2" t="s">
        <v>18</v>
      </c>
      <c r="E1456" s="5">
        <v>-28784</v>
      </c>
      <c r="F1456" s="3" t="s">
        <v>451</v>
      </c>
      <c r="G1456" s="3" t="s">
        <v>52</v>
      </c>
      <c r="H1456" s="2" t="s">
        <v>21</v>
      </c>
      <c r="I1456" s="2" t="s">
        <v>3299</v>
      </c>
      <c r="J1456" s="3" t="str">
        <f>HYPERLINK("https://www.boe.es/gazeta/dias/1821/03/10/pdfs/GGB-1821-69.pdf#page=2","Abrir facsímil")</f>
        <v>Abrir facsímil</v>
      </c>
      <c r="K1456" s="3" t="s">
        <v>23</v>
      </c>
    </row>
    <row r="1457" spans="1:11" ht="42" customHeight="1">
      <c r="A1457" s="2" t="s">
        <v>3293</v>
      </c>
      <c r="B1457" s="2" t="s">
        <v>3293</v>
      </c>
      <c r="C1457" s="2" t="s">
        <v>174</v>
      </c>
      <c r="D1457" s="2" t="s">
        <v>27</v>
      </c>
      <c r="E1457" s="5">
        <v>-28767</v>
      </c>
      <c r="F1457" s="3" t="s">
        <v>1439</v>
      </c>
      <c r="G1457" s="3" t="s">
        <v>52</v>
      </c>
      <c r="H1457" s="2" t="s">
        <v>21</v>
      </c>
      <c r="I1457" s="2" t="s">
        <v>3300</v>
      </c>
      <c r="J1457" s="3" t="str">
        <f>HYPERLINK("https://www.boe.es/gazeta/dias/1821/03/27/pdfs/GMD-1821-87.pdf#page=2","Abrir facsímil")</f>
        <v>Abrir facsímil</v>
      </c>
      <c r="K1457" s="3" t="s">
        <v>23</v>
      </c>
    </row>
    <row r="1458" spans="1:11" ht="42" customHeight="1">
      <c r="A1458" s="2" t="s">
        <v>3293</v>
      </c>
      <c r="B1458" s="2" t="s">
        <v>3293</v>
      </c>
      <c r="C1458" s="2" t="s">
        <v>17</v>
      </c>
      <c r="D1458" s="2" t="s">
        <v>18</v>
      </c>
      <c r="E1458" s="5">
        <v>-28722</v>
      </c>
      <c r="F1458" s="3" t="s">
        <v>623</v>
      </c>
      <c r="G1458" s="3" t="s">
        <v>43</v>
      </c>
      <c r="H1458" s="2" t="s">
        <v>21</v>
      </c>
      <c r="I1458" s="2" t="s">
        <v>3301</v>
      </c>
      <c r="J1458" s="3" t="str">
        <f>HYPERLINK("https://www.boe.es/gazeta/dias/1821/05/11/pdfs/GMD-1821-133.pdf#page=1","Abrir facsímil")</f>
        <v>Abrir facsímil</v>
      </c>
      <c r="K1458" s="3" t="s">
        <v>23</v>
      </c>
    </row>
    <row r="1459" spans="1:11" ht="42" customHeight="1">
      <c r="A1459" s="2" t="s">
        <v>3293</v>
      </c>
      <c r="B1459" s="2" t="s">
        <v>3293</v>
      </c>
      <c r="C1459" s="2" t="s">
        <v>35</v>
      </c>
      <c r="D1459" s="2" t="s">
        <v>27</v>
      </c>
      <c r="E1459" s="5">
        <v>-28677</v>
      </c>
      <c r="F1459" s="3" t="s">
        <v>361</v>
      </c>
      <c r="G1459" s="3" t="s">
        <v>52</v>
      </c>
      <c r="H1459" s="2" t="s">
        <v>21</v>
      </c>
      <c r="I1459" s="2" t="s">
        <v>3302</v>
      </c>
      <c r="J1459" s="3" t="str">
        <f>HYPERLINK("https://www.boe.es/gazeta/dias/1821/06/25/pdfs/GMD-1821-178.pdf#page=2","Abrir facsímil")</f>
        <v>Abrir facsímil</v>
      </c>
      <c r="K1459" s="3" t="s">
        <v>23</v>
      </c>
    </row>
    <row r="1460" spans="1:11" ht="42" customHeight="1">
      <c r="A1460" s="2" t="s">
        <v>3293</v>
      </c>
      <c r="B1460" s="2" t="s">
        <v>3293</v>
      </c>
      <c r="C1460" s="2" t="s">
        <v>35</v>
      </c>
      <c r="D1460" s="2" t="s">
        <v>27</v>
      </c>
      <c r="E1460" s="5">
        <v>-28662</v>
      </c>
      <c r="F1460" s="3" t="s">
        <v>3289</v>
      </c>
      <c r="G1460" s="3" t="s">
        <v>52</v>
      </c>
      <c r="H1460" s="2" t="s">
        <v>21</v>
      </c>
      <c r="I1460" s="2" t="s">
        <v>3303</v>
      </c>
      <c r="J1460" s="3" t="str">
        <f>HYPERLINK("https://www.boe.es/gazeta/dias/1821/07/10/pdfs/GMD-1821-195.pdf#page=2","Abrir facsímil")</f>
        <v>Abrir facsímil</v>
      </c>
      <c r="K1460" s="3" t="s">
        <v>23</v>
      </c>
    </row>
    <row r="1461" spans="1:11" ht="42" customHeight="1">
      <c r="A1461" s="2" t="s">
        <v>3293</v>
      </c>
      <c r="B1461" s="2" t="s">
        <v>3293</v>
      </c>
      <c r="C1461" s="2" t="s">
        <v>40</v>
      </c>
      <c r="D1461" s="2" t="s">
        <v>41</v>
      </c>
      <c r="E1461" s="5">
        <v>-28661</v>
      </c>
      <c r="F1461" s="3" t="s">
        <v>2298</v>
      </c>
      <c r="G1461" s="3" t="s">
        <v>162</v>
      </c>
      <c r="H1461" s="2" t="s">
        <v>21</v>
      </c>
      <c r="I1461" s="2" t="s">
        <v>3304</v>
      </c>
      <c r="J1461" s="3" t="str">
        <f>HYPERLINK("https://www.boe.es/gazeta/dias/1821/07/11/pdfs/GMD-1821-196.pdf#page=5","Abrir facsímil")</f>
        <v>Abrir facsímil</v>
      </c>
      <c r="K1461" s="3" t="s">
        <v>23</v>
      </c>
    </row>
    <row r="1462" spans="1:11" ht="42" customHeight="1">
      <c r="A1462" s="2" t="s">
        <v>3293</v>
      </c>
      <c r="B1462" s="2" t="s">
        <v>3293</v>
      </c>
      <c r="C1462" s="2" t="s">
        <v>35</v>
      </c>
      <c r="D1462" s="2" t="s">
        <v>27</v>
      </c>
      <c r="E1462" s="5">
        <v>-28645</v>
      </c>
      <c r="F1462" s="3" t="s">
        <v>2579</v>
      </c>
      <c r="G1462" s="3" t="s">
        <v>52</v>
      </c>
      <c r="H1462" s="2" t="s">
        <v>21</v>
      </c>
      <c r="I1462" s="2" t="s">
        <v>3305</v>
      </c>
      <c r="J1462" s="3" t="str">
        <f>HYPERLINK("https://www.boe.es/gazeta/dias/1821/07/27/pdfs/GMD-1821-212.pdf#page=2","Abrir facsímil")</f>
        <v>Abrir facsímil</v>
      </c>
      <c r="K1462" s="3" t="s">
        <v>23</v>
      </c>
    </row>
    <row r="1463" spans="1:11" ht="42" customHeight="1">
      <c r="A1463" s="2" t="s">
        <v>3293</v>
      </c>
      <c r="B1463" s="2" t="s">
        <v>3293</v>
      </c>
      <c r="C1463" s="2" t="s">
        <v>26</v>
      </c>
      <c r="D1463" s="2" t="s">
        <v>27</v>
      </c>
      <c r="E1463" s="5">
        <v>-28643</v>
      </c>
      <c r="F1463" s="3" t="s">
        <v>1569</v>
      </c>
      <c r="G1463" s="3" t="s">
        <v>52</v>
      </c>
      <c r="H1463" s="2" t="s">
        <v>21</v>
      </c>
      <c r="I1463" s="2" t="s">
        <v>3306</v>
      </c>
      <c r="J1463" s="3" t="str">
        <f>HYPERLINK("https://www.boe.es/gazeta/dias/1821/07/29/pdfs/GMD-1821-214.pdf#page=2","Abrir facsímil")</f>
        <v>Abrir facsímil</v>
      </c>
      <c r="K1463" s="3" t="s">
        <v>23</v>
      </c>
    </row>
    <row r="1464" spans="1:11" ht="42" customHeight="1">
      <c r="A1464" s="2" t="s">
        <v>3307</v>
      </c>
      <c r="B1464" s="2" t="s">
        <v>3307</v>
      </c>
      <c r="C1464" s="2" t="s">
        <v>17</v>
      </c>
      <c r="D1464" s="2" t="s">
        <v>18</v>
      </c>
      <c r="E1464" s="5">
        <v>-28641</v>
      </c>
      <c r="F1464" s="3" t="s">
        <v>398</v>
      </c>
      <c r="G1464" s="3" t="s">
        <v>52</v>
      </c>
      <c r="H1464" s="2" t="s">
        <v>21</v>
      </c>
      <c r="I1464" s="2" t="s">
        <v>3308</v>
      </c>
      <c r="J1464" s="3" t="str">
        <f>HYPERLINK("https://www.boe.es/gazeta/dias/1821/07/31/pdfs/GMD-1821-216.pdf#page=2","Abrir facsímil")</f>
        <v>Abrir facsímil</v>
      </c>
      <c r="K1464" s="3" t="s">
        <v>23</v>
      </c>
    </row>
    <row r="1465" spans="1:11" ht="42" customHeight="1">
      <c r="A1465" s="2" t="s">
        <v>3293</v>
      </c>
      <c r="B1465" s="2" t="s">
        <v>3293</v>
      </c>
      <c r="C1465" s="2" t="s">
        <v>26</v>
      </c>
      <c r="D1465" s="2" t="s">
        <v>27</v>
      </c>
      <c r="E1465" s="5">
        <v>-28637</v>
      </c>
      <c r="F1465" s="3" t="s">
        <v>3049</v>
      </c>
      <c r="G1465" s="3" t="s">
        <v>52</v>
      </c>
      <c r="H1465" s="2" t="s">
        <v>21</v>
      </c>
      <c r="I1465" s="2" t="s">
        <v>3309</v>
      </c>
      <c r="J1465" s="3" t="str">
        <f>HYPERLINK("https://www.boe.es/gazeta/dias/1821/08/04/pdfs/GMD-1821-220.pdf#page=2","Abrir facsímil")</f>
        <v>Abrir facsímil</v>
      </c>
      <c r="K1465" s="3" t="s">
        <v>23</v>
      </c>
    </row>
    <row r="1466" spans="1:11" ht="42" customHeight="1">
      <c r="A1466" s="2" t="s">
        <v>3293</v>
      </c>
      <c r="B1466" s="2" t="s">
        <v>3293</v>
      </c>
      <c r="C1466" s="2" t="s">
        <v>17</v>
      </c>
      <c r="D1466" s="2" t="s">
        <v>18</v>
      </c>
      <c r="E1466" s="5">
        <v>-28623</v>
      </c>
      <c r="F1466" s="3" t="s">
        <v>2767</v>
      </c>
      <c r="G1466" s="3" t="s">
        <v>52</v>
      </c>
      <c r="H1466" s="2" t="s">
        <v>21</v>
      </c>
      <c r="I1466" s="2" t="s">
        <v>3310</v>
      </c>
      <c r="J1466" s="3" t="str">
        <f>HYPERLINK("https://www.boe.es/gazeta/dias/1821/08/18/pdfs/GMD-1821-235.pdf#page=2","Abrir facsímil")</f>
        <v>Abrir facsímil</v>
      </c>
      <c r="K1466" s="3" t="s">
        <v>23</v>
      </c>
    </row>
    <row r="1467" spans="1:11" ht="42" customHeight="1">
      <c r="A1467" s="2" t="s">
        <v>3293</v>
      </c>
      <c r="B1467" s="2" t="s">
        <v>3293</v>
      </c>
      <c r="C1467" s="2" t="s">
        <v>17</v>
      </c>
      <c r="D1467" s="2" t="s">
        <v>18</v>
      </c>
      <c r="E1467" s="5">
        <v>-28594</v>
      </c>
      <c r="F1467" s="3" t="s">
        <v>2412</v>
      </c>
      <c r="G1467" s="3" t="s">
        <v>20</v>
      </c>
      <c r="H1467" s="2" t="s">
        <v>21</v>
      </c>
      <c r="I1467" s="2" t="s">
        <v>3311</v>
      </c>
      <c r="J1467" s="3" t="str">
        <f>HYPERLINK("https://www.boe.es/gazeta/dias/1821/09/16/pdfs/GMD-1821-264.pdf#page=3","Abrir facsímil")</f>
        <v>Abrir facsímil</v>
      </c>
      <c r="K1467" s="3" t="s">
        <v>23</v>
      </c>
    </row>
    <row r="1468" spans="1:11" ht="42" customHeight="1">
      <c r="A1468" s="2" t="s">
        <v>3293</v>
      </c>
      <c r="B1468" s="2" t="s">
        <v>3293</v>
      </c>
      <c r="C1468" s="2" t="s">
        <v>35</v>
      </c>
      <c r="D1468" s="2" t="s">
        <v>27</v>
      </c>
      <c r="E1468" s="5">
        <v>-28593</v>
      </c>
      <c r="F1468" s="3" t="s">
        <v>1635</v>
      </c>
      <c r="G1468" s="3" t="s">
        <v>52</v>
      </c>
      <c r="H1468" s="2" t="s">
        <v>21</v>
      </c>
      <c r="I1468" s="2" t="s">
        <v>3312</v>
      </c>
      <c r="J1468" s="3" t="str">
        <f>HYPERLINK("https://www.boe.es/gazeta/dias/1821/09/17/pdfs/GMD-1821-265.pdf#page=2","Abrir facsímil")</f>
        <v>Abrir facsímil</v>
      </c>
      <c r="K1468" s="3" t="s">
        <v>23</v>
      </c>
    </row>
    <row r="1469" spans="1:11" ht="42" customHeight="1">
      <c r="A1469" s="2" t="s">
        <v>3313</v>
      </c>
      <c r="B1469" s="2" t="s">
        <v>3313</v>
      </c>
      <c r="C1469" s="2" t="s">
        <v>40</v>
      </c>
      <c r="D1469" s="2" t="s">
        <v>41</v>
      </c>
      <c r="E1469" s="5">
        <v>-28767</v>
      </c>
      <c r="F1469" s="3" t="s">
        <v>1439</v>
      </c>
      <c r="G1469" s="3" t="s">
        <v>52</v>
      </c>
      <c r="H1469" s="2" t="s">
        <v>21</v>
      </c>
      <c r="I1469" s="2" t="s">
        <v>3314</v>
      </c>
      <c r="J1469" s="3" t="str">
        <f>HYPERLINK("https://www.boe.es/gazeta/dias/1821/03/27/pdfs/GMD-1821-87.pdf#page=2","Abrir facsímil")</f>
        <v>Abrir facsímil</v>
      </c>
      <c r="K1469" s="3" t="s">
        <v>23</v>
      </c>
    </row>
    <row r="1470" spans="1:11" ht="42" customHeight="1">
      <c r="A1470" s="2" t="s">
        <v>3315</v>
      </c>
      <c r="B1470" s="2" t="s">
        <v>3315</v>
      </c>
      <c r="C1470" s="2" t="s">
        <v>17</v>
      </c>
      <c r="D1470" s="2" t="s">
        <v>18</v>
      </c>
      <c r="E1470" s="5">
        <v>-28639</v>
      </c>
      <c r="F1470" s="3" t="s">
        <v>3316</v>
      </c>
      <c r="G1470" s="3" t="s">
        <v>52</v>
      </c>
      <c r="H1470" s="2" t="s">
        <v>21</v>
      </c>
      <c r="I1470" s="2" t="s">
        <v>3317</v>
      </c>
      <c r="J1470" s="3" t="str">
        <f>HYPERLINK("https://www.boe.es/gazeta/dias/1821/08/02/pdfs/GMD-1821-218.pdf#page=2","Abrir facsímil")</f>
        <v>Abrir facsímil</v>
      </c>
      <c r="K1470" s="3" t="s">
        <v>23</v>
      </c>
    </row>
    <row r="1471" spans="1:11" ht="42" customHeight="1">
      <c r="A1471" s="2" t="s">
        <v>3318</v>
      </c>
      <c r="B1471" s="2" t="s">
        <v>3318</v>
      </c>
      <c r="C1471" s="2" t="s">
        <v>17</v>
      </c>
      <c r="D1471" s="2" t="s">
        <v>18</v>
      </c>
      <c r="E1471" s="5">
        <v>-28809</v>
      </c>
      <c r="F1471" s="3" t="s">
        <v>1173</v>
      </c>
      <c r="G1471" s="3" t="s">
        <v>52</v>
      </c>
      <c r="H1471" s="2" t="s">
        <v>21</v>
      </c>
      <c r="I1471" s="2" t="s">
        <v>3319</v>
      </c>
      <c r="J1471" s="3" t="str">
        <f>HYPERLINK("https://www.boe.es/gazeta/dias/1821/02/13/pdfs/GGB-1821-44.pdf#page=2","Abrir facsímil")</f>
        <v>Abrir facsímil</v>
      </c>
      <c r="K1471" s="3" t="s">
        <v>23</v>
      </c>
    </row>
    <row r="1472" spans="1:11" ht="42" customHeight="1">
      <c r="A1472" s="2" t="s">
        <v>3320</v>
      </c>
      <c r="B1472" s="2" t="s">
        <v>3320</v>
      </c>
      <c r="C1472" s="2" t="s">
        <v>17</v>
      </c>
      <c r="D1472" s="2" t="s">
        <v>18</v>
      </c>
      <c r="E1472" s="5">
        <v>-28558</v>
      </c>
      <c r="F1472" s="3" t="s">
        <v>758</v>
      </c>
      <c r="G1472" s="3" t="s">
        <v>52</v>
      </c>
      <c r="H1472" s="2" t="s">
        <v>21</v>
      </c>
      <c r="I1472" s="2" t="s">
        <v>3321</v>
      </c>
      <c r="J1472" s="3" t="str">
        <f>HYPERLINK("https://www.boe.es/gazeta/dias/1821/10/22/pdfs/GMD-1821-301.pdf#page=2","Abrir facsímil")</f>
        <v>Abrir facsímil</v>
      </c>
      <c r="K1472" s="3" t="s">
        <v>23</v>
      </c>
    </row>
    <row r="1473" spans="1:11" ht="42" customHeight="1">
      <c r="A1473" s="2" t="s">
        <v>3322</v>
      </c>
      <c r="B1473" s="2" t="s">
        <v>3322</v>
      </c>
      <c r="C1473" s="2" t="s">
        <v>35</v>
      </c>
      <c r="D1473" s="2" t="s">
        <v>27</v>
      </c>
      <c r="E1473" s="5">
        <v>-28655</v>
      </c>
      <c r="F1473" s="3" t="s">
        <v>2530</v>
      </c>
      <c r="G1473" s="3" t="s">
        <v>43</v>
      </c>
      <c r="H1473" s="2" t="s">
        <v>21</v>
      </c>
      <c r="I1473" s="2" t="s">
        <v>3323</v>
      </c>
      <c r="J1473" s="3" t="str">
        <f>HYPERLINK("https://www.boe.es/gazeta/dias/1821/07/17/pdfs/GMD-1821-202.pdf#page=1","Abrir facsímil")</f>
        <v>Abrir facsímil</v>
      </c>
      <c r="K1473" s="3" t="s">
        <v>23</v>
      </c>
    </row>
    <row r="1474" spans="1:11" ht="42" customHeight="1">
      <c r="A1474" s="2" t="s">
        <v>3324</v>
      </c>
      <c r="B1474" s="2" t="s">
        <v>3324</v>
      </c>
      <c r="C1474" s="2" t="s">
        <v>17</v>
      </c>
      <c r="D1474" s="2" t="s">
        <v>18</v>
      </c>
      <c r="E1474" s="5">
        <v>-28557</v>
      </c>
      <c r="F1474" s="3" t="s">
        <v>316</v>
      </c>
      <c r="G1474" s="3" t="s">
        <v>20</v>
      </c>
      <c r="H1474" s="2" t="s">
        <v>21</v>
      </c>
      <c r="I1474" s="2" t="s">
        <v>3325</v>
      </c>
      <c r="J1474" s="3" t="str">
        <f>HYPERLINK("https://www.boe.es/gazeta/dias/1821/10/23/pdfs/GMD-1821-302.pdf#page=3","Abrir facsímil")</f>
        <v>Abrir facsímil</v>
      </c>
      <c r="K1474" s="3" t="s">
        <v>23</v>
      </c>
    </row>
    <row r="1475" spans="1:11" ht="42" customHeight="1">
      <c r="A1475" s="2" t="s">
        <v>3326</v>
      </c>
      <c r="B1475" s="2" t="s">
        <v>3326</v>
      </c>
      <c r="C1475" s="2" t="s">
        <v>26</v>
      </c>
      <c r="D1475" s="2" t="s">
        <v>27</v>
      </c>
      <c r="E1475" s="5">
        <v>-28654</v>
      </c>
      <c r="F1475" s="3" t="s">
        <v>674</v>
      </c>
      <c r="G1475" s="3" t="s">
        <v>88</v>
      </c>
      <c r="H1475" s="2" t="s">
        <v>21</v>
      </c>
      <c r="I1475" s="2" t="s">
        <v>3327</v>
      </c>
      <c r="J1475" s="3" t="str">
        <f>HYPERLINK("https://www.boe.es/gazeta/dias/1821/07/18/pdfs/GMD-1821-203.pdf#page=4","Abrir facsímil")</f>
        <v>Abrir facsímil</v>
      </c>
      <c r="K1475" s="3" t="s">
        <v>23</v>
      </c>
    </row>
    <row r="1476" spans="1:11" ht="42" customHeight="1">
      <c r="A1476" s="2" t="s">
        <v>3328</v>
      </c>
      <c r="B1476" s="2" t="s">
        <v>3328</v>
      </c>
      <c r="C1476" s="2" t="s">
        <v>17</v>
      </c>
      <c r="D1476" s="2" t="s">
        <v>18</v>
      </c>
      <c r="E1476" s="5">
        <v>-28831</v>
      </c>
      <c r="F1476" s="3" t="s">
        <v>3179</v>
      </c>
      <c r="G1476" s="3" t="s">
        <v>43</v>
      </c>
      <c r="H1476" s="2" t="s">
        <v>21</v>
      </c>
      <c r="I1476" s="2" t="s">
        <v>3329</v>
      </c>
      <c r="J1476" s="3" t="str">
        <f>HYPERLINK("https://www.boe.es/gazeta/dias/1821/01/22/pdfs/GGB-1821-22.pdf#page=1","Abrir facsímil")</f>
        <v>Abrir facsímil</v>
      </c>
      <c r="K1476" s="3" t="s">
        <v>23</v>
      </c>
    </row>
    <row r="1477" spans="1:11" ht="42" customHeight="1">
      <c r="A1477" s="2" t="s">
        <v>3330</v>
      </c>
      <c r="B1477" s="2" t="s">
        <v>3331</v>
      </c>
      <c r="C1477" s="2" t="s">
        <v>26</v>
      </c>
      <c r="D1477" s="2" t="s">
        <v>27</v>
      </c>
      <c r="E1477" s="5">
        <v>-28781</v>
      </c>
      <c r="F1477" s="3" t="s">
        <v>149</v>
      </c>
      <c r="G1477" s="3" t="s">
        <v>20</v>
      </c>
      <c r="H1477" s="2" t="s">
        <v>21</v>
      </c>
      <c r="I1477" s="2" t="s">
        <v>3332</v>
      </c>
      <c r="J1477" s="3" t="str">
        <f>HYPERLINK("https://www.boe.es/gazeta/dias/1821/03/13/pdfs/GMD-1821-72.pdf#page=3","Abrir facsímil")</f>
        <v>Abrir facsímil</v>
      </c>
      <c r="K1477" s="3" t="s">
        <v>23</v>
      </c>
    </row>
    <row r="1478" spans="1:11" ht="42" customHeight="1">
      <c r="A1478" s="2" t="s">
        <v>3333</v>
      </c>
      <c r="B1478" s="2" t="s">
        <v>3334</v>
      </c>
      <c r="C1478" s="2" t="s">
        <v>40</v>
      </c>
      <c r="D1478" s="2" t="s">
        <v>41</v>
      </c>
      <c r="E1478" s="5">
        <v>-28781</v>
      </c>
      <c r="F1478" s="3" t="s">
        <v>149</v>
      </c>
      <c r="G1478" s="3" t="s">
        <v>52</v>
      </c>
      <c r="H1478" s="2" t="s">
        <v>21</v>
      </c>
      <c r="I1478" s="2" t="s">
        <v>3335</v>
      </c>
      <c r="J1478" s="3" t="str">
        <f>HYPERLINK("https://www.boe.es/gazeta/dias/1821/03/13/pdfs/GMD-1821-72.pdf#page=2","Abrir facsímil")</f>
        <v>Abrir facsímil</v>
      </c>
      <c r="K1478" s="3" t="s">
        <v>23</v>
      </c>
    </row>
    <row r="1479" spans="1:11" ht="42" customHeight="1">
      <c r="A1479" s="2" t="s">
        <v>3333</v>
      </c>
      <c r="B1479" s="2" t="s">
        <v>3334</v>
      </c>
      <c r="C1479" s="2" t="s">
        <v>70</v>
      </c>
      <c r="D1479" s="2" t="s">
        <v>27</v>
      </c>
      <c r="E1479" s="5">
        <v>-28623</v>
      </c>
      <c r="F1479" s="3" t="s">
        <v>2767</v>
      </c>
      <c r="G1479" s="3" t="s">
        <v>52</v>
      </c>
      <c r="H1479" s="2" t="s">
        <v>21</v>
      </c>
      <c r="I1479" s="2" t="s">
        <v>3336</v>
      </c>
      <c r="J1479" s="3" t="str">
        <f>HYPERLINK("https://www.boe.es/gazeta/dias/1821/08/18/pdfs/GMD-1821-235.pdf#page=2","Abrir facsímil")</f>
        <v>Abrir facsímil</v>
      </c>
      <c r="K1479" s="3" t="s">
        <v>23</v>
      </c>
    </row>
    <row r="1480" spans="1:11" ht="42" customHeight="1">
      <c r="A1480" s="2" t="s">
        <v>3337</v>
      </c>
      <c r="B1480" s="2" t="s">
        <v>3338</v>
      </c>
      <c r="C1480" s="2" t="s">
        <v>17</v>
      </c>
      <c r="D1480" s="2" t="s">
        <v>18</v>
      </c>
      <c r="E1480" s="5">
        <v>-28814</v>
      </c>
      <c r="F1480" s="3" t="s">
        <v>2090</v>
      </c>
      <c r="G1480" s="3" t="s">
        <v>3053</v>
      </c>
      <c r="H1480" s="2" t="s">
        <v>21</v>
      </c>
      <c r="I1480" s="2" t="s">
        <v>3339</v>
      </c>
      <c r="J1480" s="3" t="str">
        <f>HYPERLINK("https://www.boe.es/gazeta/dias/1821/02/08/pdfs/GGB-1821-39.pdf#page=3","Abrir facsímil")</f>
        <v>Abrir facsímil</v>
      </c>
      <c r="K1480" s="3" t="s">
        <v>23</v>
      </c>
    </row>
    <row r="1481" spans="1:11" ht="42" customHeight="1">
      <c r="A1481" s="2" t="s">
        <v>3337</v>
      </c>
      <c r="B1481" s="2" t="s">
        <v>3338</v>
      </c>
      <c r="C1481" s="2" t="s">
        <v>40</v>
      </c>
      <c r="D1481" s="2" t="s">
        <v>41</v>
      </c>
      <c r="E1481" s="5">
        <v>-28639</v>
      </c>
      <c r="F1481" s="3" t="s">
        <v>3316</v>
      </c>
      <c r="G1481" s="3" t="s">
        <v>52</v>
      </c>
      <c r="H1481" s="2" t="s">
        <v>21</v>
      </c>
      <c r="I1481" s="2" t="s">
        <v>3340</v>
      </c>
      <c r="J1481" s="3" t="str">
        <f>HYPERLINK("https://www.boe.es/gazeta/dias/1821/08/02/pdfs/GMD-1821-218.pdf#page=2","Abrir facsímil")</f>
        <v>Abrir facsímil</v>
      </c>
      <c r="K1481" s="3" t="s">
        <v>23</v>
      </c>
    </row>
    <row r="1482" spans="1:11" ht="42" customHeight="1">
      <c r="A1482" s="2" t="s">
        <v>3337</v>
      </c>
      <c r="B1482" s="2" t="s">
        <v>3338</v>
      </c>
      <c r="C1482" s="2" t="s">
        <v>26</v>
      </c>
      <c r="D1482" s="2" t="s">
        <v>27</v>
      </c>
      <c r="E1482" s="5">
        <v>-28590</v>
      </c>
      <c r="F1482" s="3" t="s">
        <v>2787</v>
      </c>
      <c r="G1482" s="3" t="s">
        <v>52</v>
      </c>
      <c r="H1482" s="2" t="s">
        <v>21</v>
      </c>
      <c r="I1482" s="2" t="s">
        <v>3341</v>
      </c>
      <c r="J1482" s="3" t="str">
        <f>HYPERLINK("https://www.boe.es/gazeta/dias/1821/09/20/pdfs/GMD-1821-268.pdf#page=2","Abrir facsímil")</f>
        <v>Abrir facsímil</v>
      </c>
      <c r="K1482" s="3" t="s">
        <v>23</v>
      </c>
    </row>
    <row r="1483" spans="1:11" ht="42" customHeight="1">
      <c r="A1483" s="2" t="s">
        <v>3342</v>
      </c>
      <c r="B1483" s="2" t="s">
        <v>3343</v>
      </c>
      <c r="C1483" s="2" t="s">
        <v>26</v>
      </c>
      <c r="D1483" s="2" t="s">
        <v>27</v>
      </c>
      <c r="E1483" s="5">
        <v>-28809</v>
      </c>
      <c r="F1483" s="3" t="s">
        <v>1173</v>
      </c>
      <c r="G1483" s="3" t="s">
        <v>52</v>
      </c>
      <c r="H1483" s="2" t="s">
        <v>21</v>
      </c>
      <c r="I1483" s="2" t="s">
        <v>3344</v>
      </c>
      <c r="J1483" s="3" t="str">
        <f>HYPERLINK("https://www.boe.es/gazeta/dias/1821/02/13/pdfs/GGB-1821-44.pdf#page=2","Abrir facsímil")</f>
        <v>Abrir facsímil</v>
      </c>
      <c r="K1483" s="3" t="s">
        <v>23</v>
      </c>
    </row>
    <row r="1484" spans="1:11" ht="42" customHeight="1">
      <c r="A1484" s="2" t="s">
        <v>3342</v>
      </c>
      <c r="B1484" s="2" t="s">
        <v>3343</v>
      </c>
      <c r="C1484" s="2" t="s">
        <v>40</v>
      </c>
      <c r="D1484" s="2" t="s">
        <v>41</v>
      </c>
      <c r="E1484" s="5">
        <v>-28791</v>
      </c>
      <c r="F1484" s="3" t="s">
        <v>47</v>
      </c>
      <c r="G1484" s="3" t="s">
        <v>293</v>
      </c>
      <c r="H1484" s="2" t="s">
        <v>21</v>
      </c>
      <c r="I1484" s="2" t="s">
        <v>3345</v>
      </c>
      <c r="J1484" s="3" t="str">
        <f>HYPERLINK("https://www.boe.es/gazeta/dias/1821/03/03/pdfs/GGB-1821-62.pdf#page=2","Abrir facsímil")</f>
        <v>Abrir facsímil</v>
      </c>
      <c r="K1484" s="3" t="s">
        <v>23</v>
      </c>
    </row>
    <row r="1485" spans="1:11" ht="42" customHeight="1">
      <c r="A1485" s="2" t="s">
        <v>3342</v>
      </c>
      <c r="B1485" s="2" t="s">
        <v>3343</v>
      </c>
      <c r="C1485" s="2" t="s">
        <v>26</v>
      </c>
      <c r="D1485" s="2" t="s">
        <v>27</v>
      </c>
      <c r="E1485" s="5">
        <v>-28789</v>
      </c>
      <c r="F1485" s="3" t="s">
        <v>36</v>
      </c>
      <c r="G1485" s="3" t="s">
        <v>52</v>
      </c>
      <c r="H1485" s="2" t="s">
        <v>21</v>
      </c>
      <c r="I1485" s="2" t="s">
        <v>3346</v>
      </c>
      <c r="J1485" s="3" t="str">
        <f>HYPERLINK("https://www.boe.es/gazeta/dias/1821/03/05/pdfs/GGB-1821-64.pdf#page=2","Abrir facsímil")</f>
        <v>Abrir facsímil</v>
      </c>
      <c r="K1485" s="3" t="s">
        <v>23</v>
      </c>
    </row>
    <row r="1486" spans="1:11" ht="42" customHeight="1">
      <c r="A1486" s="2" t="s">
        <v>3342</v>
      </c>
      <c r="B1486" s="2" t="s">
        <v>3343</v>
      </c>
      <c r="C1486" s="2" t="s">
        <v>26</v>
      </c>
      <c r="D1486" s="2" t="s">
        <v>27</v>
      </c>
      <c r="E1486" s="5">
        <v>-28784</v>
      </c>
      <c r="F1486" s="3" t="s">
        <v>451</v>
      </c>
      <c r="G1486" s="3" t="s">
        <v>52</v>
      </c>
      <c r="H1486" s="2" t="s">
        <v>21</v>
      </c>
      <c r="I1486" s="2" t="s">
        <v>3347</v>
      </c>
      <c r="J1486" s="3" t="str">
        <f>HYPERLINK("https://www.boe.es/gazeta/dias/1821/03/10/pdfs/GGB-1821-69.pdf#page=2","Abrir facsímil")</f>
        <v>Abrir facsímil</v>
      </c>
      <c r="K1486" s="3" t="s">
        <v>23</v>
      </c>
    </row>
    <row r="1487" spans="1:11" ht="42" customHeight="1">
      <c r="A1487" s="2" t="s">
        <v>3342</v>
      </c>
      <c r="B1487" s="2" t="s">
        <v>3343</v>
      </c>
      <c r="C1487" s="2" t="s">
        <v>17</v>
      </c>
      <c r="D1487" s="2" t="s">
        <v>18</v>
      </c>
      <c r="E1487" s="5">
        <v>-28779</v>
      </c>
      <c r="F1487" s="3" t="s">
        <v>1002</v>
      </c>
      <c r="G1487" s="3" t="s">
        <v>43</v>
      </c>
      <c r="H1487" s="2" t="s">
        <v>21</v>
      </c>
      <c r="I1487" s="2" t="s">
        <v>3348</v>
      </c>
      <c r="J1487" s="3" t="str">
        <f>HYPERLINK("https://www.boe.es/gazeta/dias/1821/03/15/pdfs/GMD-1821-74.pdf#page=1","Abrir facsímil")</f>
        <v>Abrir facsímil</v>
      </c>
      <c r="K1487" s="3" t="s">
        <v>23</v>
      </c>
    </row>
    <row r="1488" spans="1:11" ht="42" customHeight="1">
      <c r="A1488" s="2" t="s">
        <v>3342</v>
      </c>
      <c r="B1488" s="2" t="s">
        <v>3343</v>
      </c>
      <c r="C1488" s="2" t="s">
        <v>40</v>
      </c>
      <c r="D1488" s="2" t="s">
        <v>41</v>
      </c>
      <c r="E1488" s="5">
        <v>-28774</v>
      </c>
      <c r="F1488" s="3" t="s">
        <v>1221</v>
      </c>
      <c r="G1488" s="3" t="s">
        <v>52</v>
      </c>
      <c r="H1488" s="2" t="s">
        <v>21</v>
      </c>
      <c r="I1488" s="2" t="s">
        <v>3349</v>
      </c>
      <c r="J1488" s="3" t="str">
        <f>HYPERLINK("https://www.boe.es/gazeta/dias/1821/03/20/pdfs/GMD-1821-79.pdf#page=2","Abrir facsímil")</f>
        <v>Abrir facsímil</v>
      </c>
      <c r="K1488" s="3" t="s">
        <v>23</v>
      </c>
    </row>
    <row r="1489" spans="1:11" ht="42" customHeight="1">
      <c r="A1489" s="2" t="s">
        <v>3350</v>
      </c>
      <c r="B1489" s="2" t="s">
        <v>3351</v>
      </c>
      <c r="C1489" s="2" t="s">
        <v>40</v>
      </c>
      <c r="D1489" s="2" t="s">
        <v>41</v>
      </c>
      <c r="E1489" s="5">
        <v>-28763</v>
      </c>
      <c r="F1489" s="3" t="s">
        <v>1145</v>
      </c>
      <c r="G1489" s="3" t="s">
        <v>52</v>
      </c>
      <c r="H1489" s="2" t="s">
        <v>21</v>
      </c>
      <c r="I1489" s="2" t="s">
        <v>3352</v>
      </c>
      <c r="J1489" s="3" t="str">
        <f>HYPERLINK("https://www.boe.es/gazeta/dias/1821/03/31/pdfs/GMD-1821-92.pdf#page=2","Abrir facsímil")</f>
        <v>Abrir facsímil</v>
      </c>
      <c r="K1489" s="3" t="s">
        <v>23</v>
      </c>
    </row>
    <row r="1490" spans="1:11" ht="42" customHeight="1">
      <c r="A1490" s="2" t="s">
        <v>3342</v>
      </c>
      <c r="B1490" s="2" t="s">
        <v>3343</v>
      </c>
      <c r="C1490" s="2" t="s">
        <v>26</v>
      </c>
      <c r="D1490" s="2" t="s">
        <v>27</v>
      </c>
      <c r="E1490" s="5">
        <v>-28755</v>
      </c>
      <c r="F1490" s="3" t="s">
        <v>906</v>
      </c>
      <c r="G1490" s="3" t="s">
        <v>52</v>
      </c>
      <c r="H1490" s="2" t="s">
        <v>21</v>
      </c>
      <c r="I1490" s="2" t="s">
        <v>3353</v>
      </c>
      <c r="J1490" s="3" t="str">
        <f>HYPERLINK("https://www.boe.es/gazeta/dias/1821/04/08/pdfs/GMD-1821-100.pdf#page=2","Abrir facsímil")</f>
        <v>Abrir facsímil</v>
      </c>
      <c r="K1490" s="3" t="s">
        <v>23</v>
      </c>
    </row>
    <row r="1491" spans="1:11" ht="42" customHeight="1">
      <c r="A1491" s="2" t="s">
        <v>3342</v>
      </c>
      <c r="B1491" s="2" t="s">
        <v>3343</v>
      </c>
      <c r="C1491" s="2" t="s">
        <v>17</v>
      </c>
      <c r="D1491" s="2" t="s">
        <v>18</v>
      </c>
      <c r="E1491" s="5">
        <v>-28746</v>
      </c>
      <c r="F1491" s="3" t="s">
        <v>687</v>
      </c>
      <c r="G1491" s="3" t="s">
        <v>52</v>
      </c>
      <c r="H1491" s="2" t="s">
        <v>21</v>
      </c>
      <c r="I1491" s="2" t="s">
        <v>3354</v>
      </c>
      <c r="J1491" s="3" t="str">
        <f>HYPERLINK("https://www.boe.es/gazeta/dias/1821/04/17/pdfs/GMD-1821-109.pdf#page=2","Abrir facsímil")</f>
        <v>Abrir facsímil</v>
      </c>
      <c r="K1491" s="3" t="s">
        <v>23</v>
      </c>
    </row>
    <row r="1492" spans="1:11" ht="42" customHeight="1">
      <c r="A1492" s="2" t="s">
        <v>3342</v>
      </c>
      <c r="B1492" s="2" t="s">
        <v>3343</v>
      </c>
      <c r="C1492" s="2" t="s">
        <v>17</v>
      </c>
      <c r="D1492" s="2" t="s">
        <v>18</v>
      </c>
      <c r="E1492" s="5">
        <v>-28746</v>
      </c>
      <c r="F1492" s="3" t="s">
        <v>687</v>
      </c>
      <c r="G1492" s="3" t="s">
        <v>20</v>
      </c>
      <c r="H1492" s="2" t="s">
        <v>21</v>
      </c>
      <c r="I1492" s="2" t="s">
        <v>3355</v>
      </c>
      <c r="J1492" s="3" t="str">
        <f>HYPERLINK("https://www.boe.es/gazeta/dias/1821/04/17/pdfs/GMD-1821-109.pdf#page=3","Abrir facsímil")</f>
        <v>Abrir facsímil</v>
      </c>
      <c r="K1492" s="3" t="s">
        <v>23</v>
      </c>
    </row>
    <row r="1493" spans="1:11" ht="42" customHeight="1">
      <c r="A1493" s="2" t="s">
        <v>3342</v>
      </c>
      <c r="B1493" s="2" t="s">
        <v>3343</v>
      </c>
      <c r="C1493" s="2" t="s">
        <v>40</v>
      </c>
      <c r="D1493" s="2" t="s">
        <v>41</v>
      </c>
      <c r="E1493" s="5">
        <v>-28710</v>
      </c>
      <c r="F1493" s="3" t="s">
        <v>375</v>
      </c>
      <c r="G1493" s="3" t="s">
        <v>43</v>
      </c>
      <c r="H1493" s="2" t="s">
        <v>21</v>
      </c>
      <c r="I1493" s="2" t="s">
        <v>3356</v>
      </c>
      <c r="J1493" s="3" t="str">
        <f>HYPERLINK("https://www.boe.es/gazeta/dias/1821/05/23/pdfs/GMD-1821-145.pdf#page=1","Abrir facsímil")</f>
        <v>Abrir facsímil</v>
      </c>
      <c r="K1493" s="3" t="s">
        <v>23</v>
      </c>
    </row>
    <row r="1494" spans="1:11" ht="42" customHeight="1">
      <c r="A1494" s="2" t="s">
        <v>3342</v>
      </c>
      <c r="B1494" s="2" t="s">
        <v>3343</v>
      </c>
      <c r="C1494" s="2" t="s">
        <v>26</v>
      </c>
      <c r="D1494" s="2" t="s">
        <v>27</v>
      </c>
      <c r="E1494" s="5">
        <v>-28700</v>
      </c>
      <c r="F1494" s="3" t="s">
        <v>701</v>
      </c>
      <c r="G1494" s="3" t="s">
        <v>43</v>
      </c>
      <c r="H1494" s="2" t="s">
        <v>21</v>
      </c>
      <c r="I1494" s="2" t="s">
        <v>3357</v>
      </c>
      <c r="J1494" s="3" t="str">
        <f>HYPERLINK("https://www.boe.es/gazeta/dias/1821/06/02/pdfs/GMD-1821-155.pdf#page=1","Abrir facsímil")</f>
        <v>Abrir facsímil</v>
      </c>
      <c r="K1494" s="3" t="s">
        <v>23</v>
      </c>
    </row>
    <row r="1495" spans="1:11" ht="42" customHeight="1">
      <c r="A1495" s="2" t="s">
        <v>3342</v>
      </c>
      <c r="B1495" s="2" t="s">
        <v>3343</v>
      </c>
      <c r="C1495" s="2" t="s">
        <v>26</v>
      </c>
      <c r="D1495" s="2" t="s">
        <v>27</v>
      </c>
      <c r="E1495" s="5">
        <v>-28699</v>
      </c>
      <c r="F1495" s="3" t="s">
        <v>280</v>
      </c>
      <c r="G1495" s="3" t="s">
        <v>52</v>
      </c>
      <c r="H1495" s="2" t="s">
        <v>21</v>
      </c>
      <c r="I1495" s="2" t="s">
        <v>3358</v>
      </c>
      <c r="J1495" s="3" t="str">
        <f>HYPERLINK("https://www.boe.es/gazeta/dias/1821/06/03/pdfs/GMD-1821-156.pdf#page=2","Abrir facsímil")</f>
        <v>Abrir facsímil</v>
      </c>
      <c r="K1495" s="3" t="s">
        <v>23</v>
      </c>
    </row>
    <row r="1496" spans="1:11" ht="42" customHeight="1">
      <c r="A1496" s="2" t="s">
        <v>3342</v>
      </c>
      <c r="B1496" s="2" t="s">
        <v>3343</v>
      </c>
      <c r="C1496" s="2" t="s">
        <v>26</v>
      </c>
      <c r="D1496" s="2" t="s">
        <v>27</v>
      </c>
      <c r="E1496" s="5">
        <v>-28674</v>
      </c>
      <c r="F1496" s="3" t="s">
        <v>536</v>
      </c>
      <c r="G1496" s="3" t="s">
        <v>537</v>
      </c>
      <c r="H1496" s="2" t="s">
        <v>21</v>
      </c>
      <c r="I1496" s="2" t="s">
        <v>3359</v>
      </c>
      <c r="J1496" s="3" t="str">
        <f>HYPERLINK("https://www.boe.es/gazeta/dias/1821/06/28/pdfs/GMD-1821-181.pdf#page=2","Abrir facsímil")</f>
        <v>Abrir facsímil</v>
      </c>
      <c r="K1496" s="3" t="s">
        <v>23</v>
      </c>
    </row>
    <row r="1497" spans="1:11" ht="42" customHeight="1">
      <c r="A1497" s="2" t="s">
        <v>3342</v>
      </c>
      <c r="B1497" s="2" t="s">
        <v>3343</v>
      </c>
      <c r="C1497" s="2" t="s">
        <v>35</v>
      </c>
      <c r="D1497" s="2" t="s">
        <v>27</v>
      </c>
      <c r="E1497" s="5">
        <v>-28656</v>
      </c>
      <c r="F1497" s="3" t="s">
        <v>2399</v>
      </c>
      <c r="G1497" s="3" t="s">
        <v>3208</v>
      </c>
      <c r="H1497" s="2" t="s">
        <v>21</v>
      </c>
      <c r="I1497" s="2" t="s">
        <v>3360</v>
      </c>
      <c r="J1497" s="3" t="str">
        <f>HYPERLINK("https://www.boe.es/gazeta/dias/1821/07/16/pdfs/GMD-1821-201.pdf#page=3","Abrir facsímil")</f>
        <v>Abrir facsímil</v>
      </c>
      <c r="K1497" s="3" t="s">
        <v>23</v>
      </c>
    </row>
    <row r="1498" spans="1:11" ht="42" customHeight="1">
      <c r="A1498" s="2" t="s">
        <v>3342</v>
      </c>
      <c r="B1498" s="2" t="s">
        <v>3343</v>
      </c>
      <c r="C1498" s="2" t="s">
        <v>40</v>
      </c>
      <c r="D1498" s="2" t="s">
        <v>41</v>
      </c>
      <c r="E1498" s="5">
        <v>-28637</v>
      </c>
      <c r="F1498" s="3" t="s">
        <v>3049</v>
      </c>
      <c r="G1498" s="3" t="s">
        <v>52</v>
      </c>
      <c r="H1498" s="2" t="s">
        <v>21</v>
      </c>
      <c r="I1498" s="2" t="s">
        <v>3361</v>
      </c>
      <c r="J1498" s="3" t="str">
        <f>HYPERLINK("https://www.boe.es/gazeta/dias/1821/08/04/pdfs/GMD-1821-220.pdf#page=2","Abrir facsímil")</f>
        <v>Abrir facsímil</v>
      </c>
      <c r="K1498" s="3" t="s">
        <v>23</v>
      </c>
    </row>
    <row r="1499" spans="1:11" ht="42" customHeight="1">
      <c r="A1499" s="2" t="s">
        <v>3342</v>
      </c>
      <c r="B1499" s="2" t="s">
        <v>3343</v>
      </c>
      <c r="C1499" s="2" t="s">
        <v>17</v>
      </c>
      <c r="D1499" s="2" t="s">
        <v>18</v>
      </c>
      <c r="E1499" s="5">
        <v>-28636</v>
      </c>
      <c r="F1499" s="3" t="s">
        <v>122</v>
      </c>
      <c r="G1499" s="3" t="s">
        <v>20</v>
      </c>
      <c r="H1499" s="2" t="s">
        <v>21</v>
      </c>
      <c r="I1499" s="2" t="s">
        <v>3362</v>
      </c>
      <c r="J1499" s="3" t="str">
        <f>HYPERLINK("https://www.boe.es/gazeta/dias/1821/08/05/pdfs/GMD-1821-221.pdf#page=3","Abrir facsímil")</f>
        <v>Abrir facsímil</v>
      </c>
      <c r="K1499" s="3" t="s">
        <v>23</v>
      </c>
    </row>
    <row r="1500" spans="1:11" ht="42" customHeight="1">
      <c r="A1500" s="2" t="s">
        <v>3342</v>
      </c>
      <c r="B1500" s="2" t="s">
        <v>3343</v>
      </c>
      <c r="C1500" s="2" t="s">
        <v>26</v>
      </c>
      <c r="D1500" s="2" t="s">
        <v>27</v>
      </c>
      <c r="E1500" s="5">
        <v>-28629</v>
      </c>
      <c r="F1500" s="3" t="s">
        <v>235</v>
      </c>
      <c r="G1500" s="3" t="s">
        <v>20</v>
      </c>
      <c r="H1500" s="2" t="s">
        <v>21</v>
      </c>
      <c r="I1500" s="2" t="s">
        <v>3363</v>
      </c>
      <c r="J1500" s="3" t="str">
        <f>HYPERLINK("https://www.boe.es/gazeta/dias/1821/08/12/pdfs/GMD-1821-229.pdf#page=3","Abrir facsímil")</f>
        <v>Abrir facsímil</v>
      </c>
      <c r="K1500" s="3" t="s">
        <v>23</v>
      </c>
    </row>
    <row r="1501" spans="1:11" ht="42" customHeight="1">
      <c r="A1501" s="2" t="s">
        <v>3342</v>
      </c>
      <c r="B1501" s="2" t="s">
        <v>3343</v>
      </c>
      <c r="C1501" s="2" t="s">
        <v>26</v>
      </c>
      <c r="D1501" s="2" t="s">
        <v>27</v>
      </c>
      <c r="E1501" s="5">
        <v>-28619</v>
      </c>
      <c r="F1501" s="3" t="s">
        <v>3364</v>
      </c>
      <c r="G1501" s="3" t="s">
        <v>52</v>
      </c>
      <c r="H1501" s="2" t="s">
        <v>21</v>
      </c>
      <c r="I1501" s="2" t="s">
        <v>3365</v>
      </c>
      <c r="J1501" s="3" t="str">
        <f>HYPERLINK("https://www.boe.es/gazeta/dias/1821/08/22/pdfs/GMD-1821-239.pdf#page=2","Abrir facsímil")</f>
        <v>Abrir facsímil</v>
      </c>
      <c r="K1501" s="3" t="s">
        <v>23</v>
      </c>
    </row>
    <row r="1502" spans="1:11" ht="42" customHeight="1">
      <c r="A1502" s="2" t="s">
        <v>3342</v>
      </c>
      <c r="B1502" s="2" t="s">
        <v>3343</v>
      </c>
      <c r="C1502" s="2" t="s">
        <v>26</v>
      </c>
      <c r="D1502" s="2" t="s">
        <v>27</v>
      </c>
      <c r="E1502" s="5">
        <v>-28581</v>
      </c>
      <c r="F1502" s="3" t="s">
        <v>254</v>
      </c>
      <c r="G1502" s="3" t="s">
        <v>3366</v>
      </c>
      <c r="H1502" s="2" t="s">
        <v>21</v>
      </c>
      <c r="I1502" s="2" t="s">
        <v>3367</v>
      </c>
      <c r="J1502" s="3" t="str">
        <f>HYPERLINK("https://www.boe.es/gazeta/dias/1821/09/29/pdfs/GMD-1821-278.pdf#page=2","Abrir facsímil")</f>
        <v>Abrir facsímil</v>
      </c>
      <c r="K1502" s="3" t="s">
        <v>23</v>
      </c>
    </row>
    <row r="1503" spans="1:11" ht="42" customHeight="1">
      <c r="A1503" s="2" t="s">
        <v>3342</v>
      </c>
      <c r="B1503" s="2" t="s">
        <v>3343</v>
      </c>
      <c r="C1503" s="2" t="s">
        <v>17</v>
      </c>
      <c r="D1503" s="2" t="s">
        <v>18</v>
      </c>
      <c r="E1503" s="5">
        <v>-28564</v>
      </c>
      <c r="F1503" s="3" t="s">
        <v>861</v>
      </c>
      <c r="G1503" s="3" t="s">
        <v>52</v>
      </c>
      <c r="H1503" s="2" t="s">
        <v>21</v>
      </c>
      <c r="I1503" s="2" t="s">
        <v>3368</v>
      </c>
      <c r="J1503" s="3" t="str">
        <f>HYPERLINK("https://www.boe.es/gazeta/dias/1821/10/16/pdfs/GMD-1821-295.pdf#page=2","Abrir facsímil")</f>
        <v>Abrir facsímil</v>
      </c>
      <c r="K1503" s="3" t="s">
        <v>23</v>
      </c>
    </row>
    <row r="1504" spans="1:11" ht="42" customHeight="1">
      <c r="A1504" s="2" t="s">
        <v>3369</v>
      </c>
      <c r="B1504" s="2" t="s">
        <v>3370</v>
      </c>
      <c r="C1504" s="2" t="s">
        <v>70</v>
      </c>
      <c r="D1504" s="2" t="s">
        <v>27</v>
      </c>
      <c r="E1504" s="5">
        <v>-28773</v>
      </c>
      <c r="F1504" s="3" t="s">
        <v>1755</v>
      </c>
      <c r="G1504" s="3" t="s">
        <v>52</v>
      </c>
      <c r="H1504" s="2" t="s">
        <v>21</v>
      </c>
      <c r="I1504" s="2" t="s">
        <v>3371</v>
      </c>
      <c r="J1504" s="3" t="str">
        <f>HYPERLINK("https://www.boe.es/gazeta/dias/1821/03/21/pdfs/GMD-1821-80.pdf#page=2","Abrir facsímil")</f>
        <v>Abrir facsímil</v>
      </c>
      <c r="K1504" s="3" t="s">
        <v>23</v>
      </c>
    </row>
    <row r="1505" spans="1:11" ht="42" customHeight="1">
      <c r="A1505" s="2" t="s">
        <v>3369</v>
      </c>
      <c r="B1505" s="2" t="s">
        <v>3370</v>
      </c>
      <c r="C1505" s="2" t="s">
        <v>35</v>
      </c>
      <c r="D1505" s="2" t="s">
        <v>27</v>
      </c>
      <c r="E1505" s="5">
        <v>-28665</v>
      </c>
      <c r="F1505" s="3" t="s">
        <v>789</v>
      </c>
      <c r="G1505" s="3" t="s">
        <v>20</v>
      </c>
      <c r="H1505" s="2" t="s">
        <v>21</v>
      </c>
      <c r="I1505" s="2" t="s">
        <v>3372</v>
      </c>
      <c r="J1505" s="3" t="str">
        <f>HYPERLINK("https://www.boe.es/gazeta/dias/1821/07/07/pdfs/GMD-1821-191.pdf#page=3","Abrir facsímil")</f>
        <v>Abrir facsímil</v>
      </c>
      <c r="K1505" s="3" t="s">
        <v>23</v>
      </c>
    </row>
    <row r="1506" spans="1:11" ht="42" customHeight="1">
      <c r="A1506" s="2" t="s">
        <v>3369</v>
      </c>
      <c r="B1506" s="2" t="s">
        <v>3370</v>
      </c>
      <c r="C1506" s="2" t="s">
        <v>40</v>
      </c>
      <c r="D1506" s="2" t="s">
        <v>41</v>
      </c>
      <c r="E1506" s="5">
        <v>-28629</v>
      </c>
      <c r="F1506" s="3" t="s">
        <v>235</v>
      </c>
      <c r="G1506" s="3" t="s">
        <v>20</v>
      </c>
      <c r="H1506" s="2" t="s">
        <v>21</v>
      </c>
      <c r="I1506" s="2" t="s">
        <v>3373</v>
      </c>
      <c r="J1506" s="3" t="str">
        <f>HYPERLINK("https://www.boe.es/gazeta/dias/1821/08/12/pdfs/GMD-1821-229.pdf#page=3","Abrir facsímil")</f>
        <v>Abrir facsímil</v>
      </c>
      <c r="K1506" s="3" t="s">
        <v>23</v>
      </c>
    </row>
    <row r="1507" spans="1:11" ht="42" customHeight="1">
      <c r="A1507" s="2" t="s">
        <v>3369</v>
      </c>
      <c r="B1507" s="2" t="s">
        <v>3370</v>
      </c>
      <c r="C1507" s="2" t="s">
        <v>26</v>
      </c>
      <c r="D1507" s="2" t="s">
        <v>27</v>
      </c>
      <c r="E1507" s="5">
        <v>-28612</v>
      </c>
      <c r="F1507" s="3" t="s">
        <v>1902</v>
      </c>
      <c r="G1507" s="3" t="s">
        <v>20</v>
      </c>
      <c r="H1507" s="2" t="s">
        <v>21</v>
      </c>
      <c r="I1507" s="2" t="s">
        <v>3374</v>
      </c>
      <c r="J1507" s="3" t="str">
        <f>HYPERLINK("https://www.boe.es/gazeta/dias/1821/08/29/pdfs/GMD-1821-246.pdf#page=3","Abrir facsímil")</f>
        <v>Abrir facsímil</v>
      </c>
      <c r="K1507" s="3" t="s">
        <v>23</v>
      </c>
    </row>
    <row r="1508" spans="1:11" ht="42" customHeight="1">
      <c r="A1508" s="2" t="s">
        <v>3375</v>
      </c>
      <c r="B1508" s="2" t="s">
        <v>3375</v>
      </c>
      <c r="C1508" s="2" t="s">
        <v>26</v>
      </c>
      <c r="D1508" s="2" t="s">
        <v>27</v>
      </c>
      <c r="E1508" s="5">
        <v>-28612</v>
      </c>
      <c r="F1508" s="3" t="s">
        <v>1902</v>
      </c>
      <c r="G1508" s="3" t="s">
        <v>88</v>
      </c>
      <c r="H1508" s="2" t="s">
        <v>21</v>
      </c>
      <c r="I1508" s="2" t="s">
        <v>3376</v>
      </c>
      <c r="J1508" s="3" t="str">
        <f>HYPERLINK("https://www.boe.es/gazeta/dias/1821/08/29/pdfs/GMD-1821-246.pdf#page=4","Abrir facsímil")</f>
        <v>Abrir facsímil</v>
      </c>
      <c r="K1508" s="3" t="s">
        <v>23</v>
      </c>
    </row>
    <row r="1509" spans="1:11" ht="42" customHeight="1">
      <c r="A1509" s="2" t="s">
        <v>3377</v>
      </c>
      <c r="B1509" s="2" t="s">
        <v>3378</v>
      </c>
      <c r="C1509" s="2" t="s">
        <v>35</v>
      </c>
      <c r="D1509" s="2" t="s">
        <v>27</v>
      </c>
      <c r="E1509" s="5">
        <v>-28763</v>
      </c>
      <c r="F1509" s="3" t="s">
        <v>1145</v>
      </c>
      <c r="G1509" s="3" t="s">
        <v>52</v>
      </c>
      <c r="H1509" s="2" t="s">
        <v>21</v>
      </c>
      <c r="I1509" s="2" t="s">
        <v>3379</v>
      </c>
      <c r="J1509" s="3" t="str">
        <f>HYPERLINK("https://www.boe.es/gazeta/dias/1821/03/31/pdfs/GMD-1821-92.pdf#page=2","Abrir facsímil")</f>
        <v>Abrir facsímil</v>
      </c>
      <c r="K1509" s="3" t="s">
        <v>23</v>
      </c>
    </row>
    <row r="1510" spans="1:11" ht="42" customHeight="1">
      <c r="A1510" s="2" t="s">
        <v>3380</v>
      </c>
      <c r="B1510" s="2" t="s">
        <v>3381</v>
      </c>
      <c r="C1510" s="2" t="s">
        <v>40</v>
      </c>
      <c r="D1510" s="2" t="s">
        <v>41</v>
      </c>
      <c r="E1510" s="5">
        <v>-28746</v>
      </c>
      <c r="F1510" s="3" t="s">
        <v>687</v>
      </c>
      <c r="G1510" s="3" t="s">
        <v>20</v>
      </c>
      <c r="H1510" s="2" t="s">
        <v>21</v>
      </c>
      <c r="I1510" s="2" t="s">
        <v>3382</v>
      </c>
      <c r="J1510" s="3" t="str">
        <f>HYPERLINK("https://www.boe.es/gazeta/dias/1821/04/17/pdfs/GMD-1821-109.pdf#page=3","Abrir facsímil")</f>
        <v>Abrir facsímil</v>
      </c>
      <c r="K1510" s="3" t="s">
        <v>23</v>
      </c>
    </row>
    <row r="1511" spans="1:11" ht="42" customHeight="1">
      <c r="A1511" s="2" t="s">
        <v>3383</v>
      </c>
      <c r="B1511" s="2" t="s">
        <v>3384</v>
      </c>
      <c r="C1511" s="2" t="s">
        <v>40</v>
      </c>
      <c r="D1511" s="2" t="s">
        <v>41</v>
      </c>
      <c r="E1511" s="5">
        <v>-28605</v>
      </c>
      <c r="F1511" s="3" t="s">
        <v>3173</v>
      </c>
      <c r="G1511" s="3" t="s">
        <v>20</v>
      </c>
      <c r="H1511" s="2" t="s">
        <v>21</v>
      </c>
      <c r="I1511" s="2" t="s">
        <v>3385</v>
      </c>
      <c r="J1511" s="3" t="str">
        <f>HYPERLINK("https://www.boe.es/gazeta/dias/1821/09/05/pdfs/GMD-1821-253.pdf#page=3","Abrir facsímil")</f>
        <v>Abrir facsímil</v>
      </c>
      <c r="K1511" s="3" t="s">
        <v>23</v>
      </c>
    </row>
    <row r="1512" spans="1:11" ht="42" customHeight="1">
      <c r="A1512" s="2" t="s">
        <v>3386</v>
      </c>
      <c r="B1512" s="2" t="s">
        <v>3386</v>
      </c>
      <c r="C1512" s="2" t="s">
        <v>40</v>
      </c>
      <c r="D1512" s="2" t="s">
        <v>41</v>
      </c>
      <c r="E1512" s="5">
        <v>-28507</v>
      </c>
      <c r="F1512" s="3" t="s">
        <v>1158</v>
      </c>
      <c r="G1512" s="3" t="s">
        <v>52</v>
      </c>
      <c r="H1512" s="2" t="s">
        <v>21</v>
      </c>
      <c r="I1512" s="2" t="s">
        <v>3387</v>
      </c>
      <c r="J1512" s="3" t="str">
        <f>HYPERLINK("https://www.boe.es/gazeta/dias/1821/12/12/pdfs/GMD-1821-354.pdf#page=2","Abrir facsímil")</f>
        <v>Abrir facsímil</v>
      </c>
      <c r="K1512" s="3" t="s">
        <v>23</v>
      </c>
    </row>
    <row r="1513" spans="1:11" ht="42" customHeight="1">
      <c r="A1513" s="2" t="s">
        <v>3388</v>
      </c>
      <c r="B1513" s="2" t="s">
        <v>3388</v>
      </c>
      <c r="C1513" s="2" t="s">
        <v>40</v>
      </c>
      <c r="D1513" s="2" t="s">
        <v>41</v>
      </c>
      <c r="E1513" s="5">
        <v>-28760</v>
      </c>
      <c r="F1513" s="3" t="s">
        <v>170</v>
      </c>
      <c r="G1513" s="3" t="s">
        <v>20</v>
      </c>
      <c r="H1513" s="2" t="s">
        <v>21</v>
      </c>
      <c r="I1513" s="2" t="s">
        <v>3389</v>
      </c>
      <c r="J1513" s="3" t="str">
        <f>HYPERLINK("https://www.boe.es/gazeta/dias/1821/04/03/pdfs/GMD-1821-95.pdf#page=3","Abrir facsímil")</f>
        <v>Abrir facsímil</v>
      </c>
      <c r="K1513" s="3" t="s">
        <v>23</v>
      </c>
    </row>
    <row r="1514" spans="1:11" ht="42" customHeight="1">
      <c r="A1514" s="2" t="s">
        <v>3390</v>
      </c>
      <c r="B1514" s="2" t="s">
        <v>3390</v>
      </c>
      <c r="C1514" s="2" t="s">
        <v>279</v>
      </c>
      <c r="D1514" s="2" t="s">
        <v>27</v>
      </c>
      <c r="E1514" s="5">
        <v>-28639</v>
      </c>
      <c r="F1514" s="3" t="s">
        <v>3316</v>
      </c>
      <c r="G1514" s="3" t="s">
        <v>52</v>
      </c>
      <c r="H1514" s="2" t="s">
        <v>21</v>
      </c>
      <c r="I1514" s="2" t="s">
        <v>3391</v>
      </c>
      <c r="J1514" s="3" t="str">
        <f>HYPERLINK("https://www.boe.es/gazeta/dias/1821/08/02/pdfs/GMD-1821-218.pdf#page=2","Abrir facsímil")</f>
        <v>Abrir facsímil</v>
      </c>
      <c r="K1514" s="3" t="s">
        <v>23</v>
      </c>
    </row>
    <row r="1515" spans="1:11" ht="42" customHeight="1">
      <c r="A1515" s="2" t="s">
        <v>3392</v>
      </c>
      <c r="B1515" s="2" t="s">
        <v>3393</v>
      </c>
      <c r="C1515" s="2" t="s">
        <v>174</v>
      </c>
      <c r="D1515" s="2" t="s">
        <v>27</v>
      </c>
      <c r="E1515" s="5">
        <v>-28634</v>
      </c>
      <c r="F1515" s="3" t="s">
        <v>2533</v>
      </c>
      <c r="G1515" s="3" t="s">
        <v>88</v>
      </c>
      <c r="H1515" s="2" t="s">
        <v>21</v>
      </c>
      <c r="I1515" s="2" t="s">
        <v>3394</v>
      </c>
      <c r="J1515" s="3" t="str">
        <f>HYPERLINK("https://www.boe.es/gazeta/dias/1821/08/07/pdfs/GMD-1821-223.pdf#page=4","Abrir facsímil")</f>
        <v>Abrir facsímil</v>
      </c>
      <c r="K1515" s="3" t="s">
        <v>23</v>
      </c>
    </row>
    <row r="1516" spans="1:11" ht="42" customHeight="1">
      <c r="A1516" s="2" t="s">
        <v>3395</v>
      </c>
      <c r="B1516" s="2" t="s">
        <v>3396</v>
      </c>
      <c r="C1516" s="2" t="s">
        <v>279</v>
      </c>
      <c r="D1516" s="2" t="s">
        <v>27</v>
      </c>
      <c r="E1516" s="5">
        <v>-28676</v>
      </c>
      <c r="F1516" s="3" t="s">
        <v>534</v>
      </c>
      <c r="G1516" s="3" t="s">
        <v>52</v>
      </c>
      <c r="H1516" s="2" t="s">
        <v>21</v>
      </c>
      <c r="I1516" s="2" t="s">
        <v>3397</v>
      </c>
      <c r="J1516" s="3" t="str">
        <f>HYPERLINK("https://www.boe.es/gazeta/dias/1821/06/26/pdfs/GMD-1821-179.pdf#page=2","Abrir facsímil")</f>
        <v>Abrir facsímil</v>
      </c>
      <c r="K1516" s="3" t="s">
        <v>23</v>
      </c>
    </row>
    <row r="1517" spans="1:11" ht="42" customHeight="1">
      <c r="A1517" s="2" t="s">
        <v>3398</v>
      </c>
      <c r="B1517" s="2" t="s">
        <v>3399</v>
      </c>
      <c r="C1517" s="2" t="s">
        <v>26</v>
      </c>
      <c r="D1517" s="2" t="s">
        <v>27</v>
      </c>
      <c r="E1517" s="5">
        <v>-28650</v>
      </c>
      <c r="F1517" s="3" t="s">
        <v>3285</v>
      </c>
      <c r="G1517" s="3" t="s">
        <v>20</v>
      </c>
      <c r="H1517" s="2" t="s">
        <v>21</v>
      </c>
      <c r="I1517" s="2" t="s">
        <v>3400</v>
      </c>
      <c r="J1517" s="3" t="str">
        <f>HYPERLINK("https://www.boe.es/gazeta/dias/1821/07/22/pdfs/GMD-1821-207.pdf#page=3","Abrir facsímil")</f>
        <v>Abrir facsímil</v>
      </c>
      <c r="K1517" s="3" t="s">
        <v>23</v>
      </c>
    </row>
    <row r="1518" spans="1:11" ht="42" customHeight="1">
      <c r="A1518" s="2" t="s">
        <v>3401</v>
      </c>
      <c r="B1518" s="2" t="s">
        <v>3402</v>
      </c>
      <c r="C1518" s="2" t="s">
        <v>26</v>
      </c>
      <c r="D1518" s="2" t="s">
        <v>27</v>
      </c>
      <c r="E1518" s="5">
        <v>-28514</v>
      </c>
      <c r="F1518" s="3" t="s">
        <v>103</v>
      </c>
      <c r="G1518" s="3" t="s">
        <v>52</v>
      </c>
      <c r="H1518" s="2" t="s">
        <v>21</v>
      </c>
      <c r="I1518" s="2" t="s">
        <v>3403</v>
      </c>
      <c r="J1518" s="3" t="str">
        <f>HYPERLINK("https://www.boe.es/gazeta/dias/1821/12/05/pdfs/GMD-1821-347.pdf#page=2","Abrir facsímil")</f>
        <v>Abrir facsímil</v>
      </c>
      <c r="K1518" s="3" t="s">
        <v>23</v>
      </c>
    </row>
    <row r="1519" spans="1:11" ht="42" customHeight="1">
      <c r="A1519" s="2" t="s">
        <v>3404</v>
      </c>
      <c r="B1519" s="2" t="s">
        <v>3405</v>
      </c>
      <c r="C1519" s="2" t="s">
        <v>40</v>
      </c>
      <c r="D1519" s="2" t="s">
        <v>41</v>
      </c>
      <c r="E1519" s="5">
        <v>-28757</v>
      </c>
      <c r="F1519" s="3" t="s">
        <v>472</v>
      </c>
      <c r="G1519" s="3" t="s">
        <v>52</v>
      </c>
      <c r="H1519" s="2" t="s">
        <v>21</v>
      </c>
      <c r="I1519" s="2" t="s">
        <v>3406</v>
      </c>
      <c r="J1519" s="3" t="str">
        <f>HYPERLINK("https://www.boe.es/gazeta/dias/1821/04/06/pdfs/GMD-1821-98.pdf#page=2","Abrir facsímil")</f>
        <v>Abrir facsímil</v>
      </c>
      <c r="K1519" s="3" t="s">
        <v>23</v>
      </c>
    </row>
    <row r="1520" spans="1:11" ht="42" customHeight="1">
      <c r="A1520" s="2" t="s">
        <v>3407</v>
      </c>
      <c r="B1520" s="2" t="s">
        <v>3408</v>
      </c>
      <c r="C1520" s="2" t="s">
        <v>17</v>
      </c>
      <c r="D1520" s="2" t="s">
        <v>18</v>
      </c>
      <c r="E1520" s="5">
        <v>-28531</v>
      </c>
      <c r="F1520" s="3" t="s">
        <v>365</v>
      </c>
      <c r="G1520" s="3" t="s">
        <v>20</v>
      </c>
      <c r="H1520" s="2" t="s">
        <v>21</v>
      </c>
      <c r="I1520" s="2" t="s">
        <v>3409</v>
      </c>
      <c r="J1520" s="3" t="str">
        <f>HYPERLINK("https://www.boe.es/gazeta/dias/1821/11/18/pdfs/GMD-1821-329.pdf#page=3","Abrir facsímil")</f>
        <v>Abrir facsímil</v>
      </c>
      <c r="K1520" s="3" t="s">
        <v>23</v>
      </c>
    </row>
    <row r="1521" spans="1:11" ht="42" customHeight="1">
      <c r="A1521" s="2" t="s">
        <v>3410</v>
      </c>
      <c r="B1521" s="2" t="s">
        <v>3411</v>
      </c>
      <c r="C1521" s="2" t="s">
        <v>26</v>
      </c>
      <c r="D1521" s="2" t="s">
        <v>27</v>
      </c>
      <c r="E1521" s="5">
        <v>-28574</v>
      </c>
      <c r="F1521" s="3" t="s">
        <v>779</v>
      </c>
      <c r="G1521" s="3" t="s">
        <v>333</v>
      </c>
      <c r="H1521" s="2" t="s">
        <v>30</v>
      </c>
      <c r="I1521" s="2" t="s">
        <v>3412</v>
      </c>
      <c r="J1521" s="3" t="str">
        <f>HYPERLINK("https://www.boe.es/gazeta/dias/1821/10/06/pdfs/GMD-1821-285.pdf#page=8","Abrir facsímil")</f>
        <v>Abrir facsímil</v>
      </c>
      <c r="K1521" s="3" t="s">
        <v>32</v>
      </c>
    </row>
    <row r="1522" spans="1:11" ht="42" customHeight="1">
      <c r="A1522" s="2" t="s">
        <v>3413</v>
      </c>
      <c r="B1522" s="2" t="s">
        <v>3414</v>
      </c>
      <c r="C1522" s="2" t="s">
        <v>35</v>
      </c>
      <c r="D1522" s="2" t="s">
        <v>27</v>
      </c>
      <c r="E1522" s="5">
        <v>-28641</v>
      </c>
      <c r="F1522" s="3" t="s">
        <v>398</v>
      </c>
      <c r="G1522" s="3" t="s">
        <v>20</v>
      </c>
      <c r="H1522" s="2" t="s">
        <v>21</v>
      </c>
      <c r="I1522" s="2" t="s">
        <v>3415</v>
      </c>
      <c r="J1522" s="3" t="str">
        <f>HYPERLINK("https://www.boe.es/gazeta/dias/1821/07/31/pdfs/GMD-1821-216.pdf#page=3","Abrir facsímil")</f>
        <v>Abrir facsímil</v>
      </c>
      <c r="K1522" s="3" t="s">
        <v>23</v>
      </c>
    </row>
    <row r="1523" spans="1:11" ht="42" customHeight="1">
      <c r="A1523" s="2" t="s">
        <v>3416</v>
      </c>
      <c r="B1523" s="2" t="s">
        <v>3417</v>
      </c>
      <c r="C1523" s="2" t="s">
        <v>40</v>
      </c>
      <c r="D1523" s="2" t="s">
        <v>41</v>
      </c>
      <c r="E1523" s="5">
        <v>-28818</v>
      </c>
      <c r="F1523" s="3" t="s">
        <v>2337</v>
      </c>
      <c r="G1523" s="3" t="s">
        <v>88</v>
      </c>
      <c r="H1523" s="2" t="s">
        <v>21</v>
      </c>
      <c r="I1523" s="2" t="s">
        <v>3418</v>
      </c>
      <c r="J1523" s="3" t="str">
        <f>HYPERLINK("https://www.boe.es/gazeta/dias/1821/02/04/pdfs/GGB-1821-35.pdf#page=4","Abrir facsímil")</f>
        <v>Abrir facsímil</v>
      </c>
      <c r="K1523" s="3" t="s">
        <v>23</v>
      </c>
    </row>
    <row r="1524" spans="1:11" ht="42" customHeight="1">
      <c r="A1524" s="2" t="s">
        <v>3419</v>
      </c>
      <c r="B1524" s="2" t="s">
        <v>3420</v>
      </c>
      <c r="C1524" s="2" t="s">
        <v>40</v>
      </c>
      <c r="D1524" s="2" t="s">
        <v>41</v>
      </c>
      <c r="E1524" s="5">
        <v>-28612</v>
      </c>
      <c r="F1524" s="3" t="s">
        <v>1902</v>
      </c>
      <c r="G1524" s="3" t="s">
        <v>20</v>
      </c>
      <c r="H1524" s="2" t="s">
        <v>21</v>
      </c>
      <c r="I1524" s="2" t="s">
        <v>3421</v>
      </c>
      <c r="J1524" s="3" t="str">
        <f>HYPERLINK("https://www.boe.es/gazeta/dias/1821/08/29/pdfs/GMD-1821-246.pdf#page=3","Abrir facsímil")</f>
        <v>Abrir facsímil</v>
      </c>
      <c r="K1524" s="3" t="s">
        <v>23</v>
      </c>
    </row>
    <row r="1525" spans="1:11" ht="42" customHeight="1">
      <c r="A1525" s="2" t="s">
        <v>3422</v>
      </c>
      <c r="B1525" s="2" t="s">
        <v>3423</v>
      </c>
      <c r="C1525" s="2" t="s">
        <v>70</v>
      </c>
      <c r="D1525" s="2" t="s">
        <v>27</v>
      </c>
      <c r="E1525" s="5">
        <v>-28710</v>
      </c>
      <c r="F1525" s="3" t="s">
        <v>375</v>
      </c>
      <c r="G1525" s="3" t="s">
        <v>88</v>
      </c>
      <c r="H1525" s="2" t="s">
        <v>21</v>
      </c>
      <c r="I1525" s="2" t="s">
        <v>3424</v>
      </c>
      <c r="J1525" s="3" t="str">
        <f>HYPERLINK("https://www.boe.es/gazeta/dias/1821/05/23/pdfs/GMD-1821-145.pdf#page=4","Abrir facsímil")</f>
        <v>Abrir facsímil</v>
      </c>
      <c r="K1525" s="3" t="s">
        <v>23</v>
      </c>
    </row>
    <row r="1526" spans="1:11" ht="42" customHeight="1">
      <c r="A1526" s="2" t="s">
        <v>3425</v>
      </c>
      <c r="B1526" s="2" t="s">
        <v>3426</v>
      </c>
      <c r="C1526" s="2" t="s">
        <v>35</v>
      </c>
      <c r="D1526" s="2" t="s">
        <v>27</v>
      </c>
      <c r="E1526" s="5">
        <v>-28574</v>
      </c>
      <c r="F1526" s="3" t="s">
        <v>779</v>
      </c>
      <c r="G1526" s="3" t="s">
        <v>333</v>
      </c>
      <c r="H1526" s="2" t="s">
        <v>21</v>
      </c>
      <c r="I1526" s="2" t="s">
        <v>3427</v>
      </c>
      <c r="J1526" s="3" t="str">
        <f>HYPERLINK("https://www.boe.es/gazeta/dias/1821/10/06/pdfs/GMD-1821-285.pdf#page=8","Abrir facsímil")</f>
        <v>Abrir facsímil</v>
      </c>
      <c r="K1526" s="3" t="s">
        <v>23</v>
      </c>
    </row>
    <row r="1527" spans="1:11" ht="42" customHeight="1">
      <c r="A1527" s="2" t="s">
        <v>3428</v>
      </c>
      <c r="B1527" s="2" t="s">
        <v>3429</v>
      </c>
      <c r="C1527" s="2" t="s">
        <v>114</v>
      </c>
      <c r="D1527" s="2" t="s">
        <v>27</v>
      </c>
      <c r="E1527" s="5">
        <v>-28793</v>
      </c>
      <c r="F1527" s="3" t="s">
        <v>157</v>
      </c>
      <c r="G1527" s="3" t="s">
        <v>162</v>
      </c>
      <c r="H1527" s="2" t="s">
        <v>21</v>
      </c>
      <c r="I1527" s="2" t="s">
        <v>3430</v>
      </c>
      <c r="J1527" s="3" t="str">
        <f>HYPERLINK("https://www.boe.es/gazeta/dias/1821/03/01/pdfs/GGB-1821-60.pdf#page=5","Abrir facsímil")</f>
        <v>Abrir facsímil</v>
      </c>
      <c r="K1527" s="3" t="s">
        <v>23</v>
      </c>
    </row>
    <row r="1528" spans="1:11" ht="42" customHeight="1">
      <c r="A1528" s="2" t="s">
        <v>3431</v>
      </c>
      <c r="B1528" s="2" t="s">
        <v>3431</v>
      </c>
      <c r="C1528" s="2" t="s">
        <v>70</v>
      </c>
      <c r="D1528" s="2" t="s">
        <v>27</v>
      </c>
      <c r="E1528" s="5">
        <v>-28800</v>
      </c>
      <c r="F1528" s="3" t="s">
        <v>1753</v>
      </c>
      <c r="G1528" s="3" t="s">
        <v>3432</v>
      </c>
      <c r="H1528" s="2" t="s">
        <v>21</v>
      </c>
      <c r="I1528" s="2" t="s">
        <v>3433</v>
      </c>
      <c r="J1528" s="3" t="str">
        <f>HYPERLINK("https://www.boe.es/gazeta/dias/1821/02/22/pdfs/GGB-1821-53.pdf#page=3","Abrir facsímil")</f>
        <v>Abrir facsímil</v>
      </c>
      <c r="K1528" s="3" t="s">
        <v>23</v>
      </c>
    </row>
    <row r="1529" spans="1:11" ht="42" customHeight="1">
      <c r="A1529" s="2" t="s">
        <v>3431</v>
      </c>
      <c r="B1529" s="2" t="s">
        <v>3431</v>
      </c>
      <c r="C1529" s="2" t="s">
        <v>40</v>
      </c>
      <c r="D1529" s="2" t="s">
        <v>41</v>
      </c>
      <c r="E1529" s="5">
        <v>-28662</v>
      </c>
      <c r="F1529" s="3" t="s">
        <v>3289</v>
      </c>
      <c r="G1529" s="3" t="s">
        <v>52</v>
      </c>
      <c r="H1529" s="2" t="s">
        <v>21</v>
      </c>
      <c r="I1529" s="2" t="s">
        <v>3434</v>
      </c>
      <c r="J1529" s="3" t="str">
        <f>HYPERLINK("https://www.boe.es/gazeta/dias/1821/07/10/pdfs/GMD-1821-195.pdf#page=2","Abrir facsímil")</f>
        <v>Abrir facsímil</v>
      </c>
      <c r="K1529" s="3" t="s">
        <v>23</v>
      </c>
    </row>
    <row r="1530" spans="1:11" ht="42" customHeight="1">
      <c r="A1530" s="2" t="s">
        <v>3431</v>
      </c>
      <c r="B1530" s="2" t="s">
        <v>3431</v>
      </c>
      <c r="C1530" s="2" t="s">
        <v>26</v>
      </c>
      <c r="D1530" s="2" t="s">
        <v>27</v>
      </c>
      <c r="E1530" s="5">
        <v>-28595</v>
      </c>
      <c r="F1530" s="3" t="s">
        <v>1621</v>
      </c>
      <c r="G1530" s="3" t="s">
        <v>52</v>
      </c>
      <c r="H1530" s="2" t="s">
        <v>21</v>
      </c>
      <c r="I1530" s="2" t="s">
        <v>3435</v>
      </c>
      <c r="J1530" s="3" t="str">
        <f>HYPERLINK("https://www.boe.es/gazeta/dias/1821/09/15/pdfs/GMD-1821-263.pdf#page=2","Abrir facsímil")</f>
        <v>Abrir facsímil</v>
      </c>
      <c r="K1530" s="3" t="s">
        <v>23</v>
      </c>
    </row>
    <row r="1531" spans="1:11" ht="42" customHeight="1">
      <c r="A1531" s="2" t="s">
        <v>3431</v>
      </c>
      <c r="B1531" s="2" t="s">
        <v>3431</v>
      </c>
      <c r="C1531" s="2" t="s">
        <v>26</v>
      </c>
      <c r="D1531" s="2" t="s">
        <v>27</v>
      </c>
      <c r="E1531" s="5">
        <v>-28581</v>
      </c>
      <c r="F1531" s="3" t="s">
        <v>254</v>
      </c>
      <c r="G1531" s="3" t="s">
        <v>3366</v>
      </c>
      <c r="H1531" s="2" t="s">
        <v>21</v>
      </c>
      <c r="I1531" s="2" t="s">
        <v>3436</v>
      </c>
      <c r="J1531" s="3" t="str">
        <f>HYPERLINK("https://www.boe.es/gazeta/dias/1821/09/29/pdfs/GMD-1821-278.pdf#page=2","Abrir facsímil")</f>
        <v>Abrir facsímil</v>
      </c>
      <c r="K1531" s="3" t="s">
        <v>23</v>
      </c>
    </row>
    <row r="1532" spans="1:11" ht="42" customHeight="1">
      <c r="A1532" s="2" t="s">
        <v>3437</v>
      </c>
      <c r="B1532" s="2" t="s">
        <v>3438</v>
      </c>
      <c r="C1532" s="2" t="s">
        <v>26</v>
      </c>
      <c r="D1532" s="2" t="s">
        <v>27</v>
      </c>
      <c r="E1532" s="5">
        <v>-28830</v>
      </c>
      <c r="F1532" s="3" t="s">
        <v>3230</v>
      </c>
      <c r="G1532" s="3" t="s">
        <v>20</v>
      </c>
      <c r="H1532" s="2" t="s">
        <v>21</v>
      </c>
      <c r="I1532" s="2" t="s">
        <v>3439</v>
      </c>
      <c r="J1532" s="3" t="str">
        <f>HYPERLINK("https://www.boe.es/gazeta/dias/1821/01/23/pdfs/GGB-1821-23.pdf#page=3","Abrir facsímil")</f>
        <v>Abrir facsímil</v>
      </c>
      <c r="K1532" s="3" t="s">
        <v>23</v>
      </c>
    </row>
    <row r="1533" spans="1:11" ht="42" customHeight="1">
      <c r="A1533" s="2" t="s">
        <v>3440</v>
      </c>
      <c r="B1533" s="2" t="s">
        <v>3440</v>
      </c>
      <c r="C1533" s="2" t="s">
        <v>40</v>
      </c>
      <c r="D1533" s="2" t="s">
        <v>41</v>
      </c>
      <c r="E1533" s="5">
        <v>-28512</v>
      </c>
      <c r="F1533" s="3" t="s">
        <v>66</v>
      </c>
      <c r="G1533" s="3" t="s">
        <v>88</v>
      </c>
      <c r="H1533" s="2" t="s">
        <v>21</v>
      </c>
      <c r="I1533" s="2" t="s">
        <v>3441</v>
      </c>
      <c r="J1533" s="3" t="str">
        <f>HYPERLINK("https://www.boe.es/gazeta/dias/1821/12/07/pdfs/GMD-1821-349.pdf#page=4","Abrir facsímil")</f>
        <v>Abrir facsímil</v>
      </c>
      <c r="K1533" s="3" t="s">
        <v>23</v>
      </c>
    </row>
    <row r="1534" spans="1:11" ht="42" customHeight="1">
      <c r="A1534" s="2" t="s">
        <v>3442</v>
      </c>
      <c r="B1534" s="2" t="s">
        <v>3442</v>
      </c>
      <c r="C1534" s="2" t="s">
        <v>40</v>
      </c>
      <c r="D1534" s="2" t="s">
        <v>41</v>
      </c>
      <c r="E1534" s="5">
        <v>-28595</v>
      </c>
      <c r="F1534" s="3" t="s">
        <v>1621</v>
      </c>
      <c r="G1534" s="3" t="s">
        <v>20</v>
      </c>
      <c r="H1534" s="2" t="s">
        <v>21</v>
      </c>
      <c r="I1534" s="2" t="s">
        <v>3443</v>
      </c>
      <c r="J1534" s="3" t="str">
        <f>HYPERLINK("https://www.boe.es/gazeta/dias/1821/09/15/pdfs/GMD-1821-263.pdf#page=3","Abrir facsímil")</f>
        <v>Abrir facsímil</v>
      </c>
      <c r="K1534" s="3" t="s">
        <v>23</v>
      </c>
    </row>
    <row r="1535" spans="1:11" ht="42" customHeight="1">
      <c r="A1535" s="2" t="s">
        <v>3444</v>
      </c>
      <c r="B1535" s="2" t="s">
        <v>3444</v>
      </c>
      <c r="C1535" s="2" t="s">
        <v>40</v>
      </c>
      <c r="D1535" s="2" t="s">
        <v>41</v>
      </c>
      <c r="E1535" s="5">
        <v>-28808</v>
      </c>
      <c r="F1535" s="3" t="s">
        <v>3445</v>
      </c>
      <c r="G1535" s="3" t="s">
        <v>52</v>
      </c>
      <c r="H1535" s="2" t="s">
        <v>21</v>
      </c>
      <c r="I1535" s="2" t="s">
        <v>3446</v>
      </c>
      <c r="J1535" s="3" t="str">
        <f>HYPERLINK("https://www.boe.es/gazeta/dias/1821/02/14/pdfs/GGB-1821-45.pdf#page=2","Abrir facsímil")</f>
        <v>Abrir facsímil</v>
      </c>
      <c r="K1535" s="3" t="s">
        <v>23</v>
      </c>
    </row>
    <row r="1536" spans="1:11" ht="42" customHeight="1">
      <c r="A1536" s="2" t="s">
        <v>3447</v>
      </c>
      <c r="B1536" s="2" t="s">
        <v>3448</v>
      </c>
      <c r="C1536" s="2" t="s">
        <v>40</v>
      </c>
      <c r="D1536" s="2" t="s">
        <v>41</v>
      </c>
      <c r="E1536" s="5">
        <v>-28679</v>
      </c>
      <c r="F1536" s="3" t="s">
        <v>213</v>
      </c>
      <c r="G1536" s="3" t="s">
        <v>88</v>
      </c>
      <c r="H1536" s="2" t="s">
        <v>21</v>
      </c>
      <c r="I1536" s="2" t="s">
        <v>3449</v>
      </c>
      <c r="J1536" s="3" t="str">
        <f>HYPERLINK("https://www.boe.es/gazeta/dias/1821/06/23/pdfs/GMD-1821-176.pdf#page=4","Abrir facsímil")</f>
        <v>Abrir facsímil</v>
      </c>
      <c r="K1536" s="3" t="s">
        <v>23</v>
      </c>
    </row>
    <row r="1537" spans="1:11" ht="42" customHeight="1">
      <c r="A1537" s="2" t="s">
        <v>3450</v>
      </c>
      <c r="B1537" s="2" t="s">
        <v>3451</v>
      </c>
      <c r="C1537" s="2" t="s">
        <v>17</v>
      </c>
      <c r="D1537" s="2" t="s">
        <v>18</v>
      </c>
      <c r="E1537" s="5">
        <v>-28547</v>
      </c>
      <c r="F1537" s="3" t="s">
        <v>247</v>
      </c>
      <c r="G1537" s="3" t="s">
        <v>248</v>
      </c>
      <c r="H1537" s="2" t="s">
        <v>21</v>
      </c>
      <c r="I1537" s="2" t="s">
        <v>3452</v>
      </c>
      <c r="J1537" s="3" t="str">
        <f>HYPERLINK("https://www.boe.es/gazeta/dias/1821/11/02/pdfs/GMD-1821-312.pdf#page=2","Abrir facsímil")</f>
        <v>Abrir facsímil</v>
      </c>
      <c r="K1537" s="3" t="s">
        <v>23</v>
      </c>
    </row>
    <row r="1538" spans="1:11" ht="42" customHeight="1">
      <c r="A1538" s="2" t="s">
        <v>3453</v>
      </c>
      <c r="B1538" s="2" t="s">
        <v>3454</v>
      </c>
      <c r="C1538" s="2" t="s">
        <v>279</v>
      </c>
      <c r="D1538" s="2" t="s">
        <v>27</v>
      </c>
      <c r="E1538" s="5">
        <v>-28646</v>
      </c>
      <c r="F1538" s="3" t="s">
        <v>1457</v>
      </c>
      <c r="G1538" s="3" t="s">
        <v>79</v>
      </c>
      <c r="H1538" s="2" t="s">
        <v>21</v>
      </c>
      <c r="I1538" s="2" t="s">
        <v>3455</v>
      </c>
      <c r="J1538" s="3" t="str">
        <f>HYPERLINK("https://www.boe.es/gazeta/dias/1821/07/26/pdfs/GMD-1821-211.pdf#page=4","Abrir facsímil")</f>
        <v>Abrir facsímil</v>
      </c>
      <c r="K1538" s="3" t="s">
        <v>23</v>
      </c>
    </row>
    <row r="1539" spans="1:11" ht="42" customHeight="1">
      <c r="A1539" s="2" t="s">
        <v>3456</v>
      </c>
      <c r="B1539" s="2" t="s">
        <v>3456</v>
      </c>
      <c r="C1539" s="2" t="s">
        <v>40</v>
      </c>
      <c r="D1539" s="2" t="s">
        <v>41</v>
      </c>
      <c r="E1539" s="5">
        <v>-28829</v>
      </c>
      <c r="F1539" s="3" t="s">
        <v>2980</v>
      </c>
      <c r="G1539" s="3" t="s">
        <v>43</v>
      </c>
      <c r="H1539" s="2" t="s">
        <v>21</v>
      </c>
      <c r="I1539" s="2" t="s">
        <v>3457</v>
      </c>
      <c r="J1539" s="3" t="str">
        <f>HYPERLINK("https://www.boe.es/gazeta/dias/1821/01/24/pdfs/GGB-1821-24.pdf#page=1","Abrir facsímil")</f>
        <v>Abrir facsímil</v>
      </c>
      <c r="K1539" s="3" t="s">
        <v>23</v>
      </c>
    </row>
    <row r="1540" spans="1:11" ht="42" customHeight="1">
      <c r="A1540" s="2" t="s">
        <v>3456</v>
      </c>
      <c r="B1540" s="2" t="s">
        <v>3456</v>
      </c>
      <c r="C1540" s="2" t="s">
        <v>40</v>
      </c>
      <c r="D1540" s="2" t="s">
        <v>41</v>
      </c>
      <c r="E1540" s="5">
        <v>-28799</v>
      </c>
      <c r="F1540" s="3" t="s">
        <v>3158</v>
      </c>
      <c r="G1540" s="3" t="s">
        <v>52</v>
      </c>
      <c r="H1540" s="2" t="s">
        <v>21</v>
      </c>
      <c r="I1540" s="2" t="s">
        <v>3458</v>
      </c>
      <c r="J1540" s="3" t="str">
        <f>HYPERLINK("https://www.boe.es/gazeta/dias/1821/02/23/pdfs/GGB-1821-54.pdf#page=2","Abrir facsímil")</f>
        <v>Abrir facsímil</v>
      </c>
      <c r="K1540" s="3" t="s">
        <v>23</v>
      </c>
    </row>
    <row r="1541" spans="1:11" ht="42" customHeight="1">
      <c r="A1541" s="2" t="s">
        <v>3459</v>
      </c>
      <c r="B1541" s="2" t="s">
        <v>3459</v>
      </c>
      <c r="C1541" s="2" t="s">
        <v>17</v>
      </c>
      <c r="D1541" s="2" t="s">
        <v>18</v>
      </c>
      <c r="E1541" s="5">
        <v>-28635</v>
      </c>
      <c r="F1541" s="3" t="s">
        <v>1210</v>
      </c>
      <c r="G1541" s="3" t="s">
        <v>88</v>
      </c>
      <c r="H1541" s="2" t="s">
        <v>21</v>
      </c>
      <c r="I1541" s="2" t="s">
        <v>3460</v>
      </c>
      <c r="J1541" s="3" t="str">
        <f>HYPERLINK("https://www.boe.es/gazeta/dias/1821/08/06/pdfs/GMD-1821-222.pdf#page=4","Abrir facsímil")</f>
        <v>Abrir facsímil</v>
      </c>
      <c r="K1541" s="3" t="s">
        <v>23</v>
      </c>
    </row>
    <row r="1542" spans="1:11" ht="42" customHeight="1">
      <c r="A1542" s="2" t="s">
        <v>3461</v>
      </c>
      <c r="B1542" s="2" t="s">
        <v>3462</v>
      </c>
      <c r="C1542" s="2" t="s">
        <v>70</v>
      </c>
      <c r="D1542" s="2" t="s">
        <v>27</v>
      </c>
      <c r="E1542" s="5">
        <v>-28598</v>
      </c>
      <c r="F1542" s="3" t="s">
        <v>1206</v>
      </c>
      <c r="G1542" s="3" t="s">
        <v>52</v>
      </c>
      <c r="H1542" s="2" t="s">
        <v>21</v>
      </c>
      <c r="I1542" s="2" t="s">
        <v>3463</v>
      </c>
      <c r="J1542" s="3" t="str">
        <f>HYPERLINK("https://www.boe.es/gazeta/dias/1821/09/12/pdfs/GMD-1821-260.pdf#page=2","Abrir facsímil")</f>
        <v>Abrir facsímil</v>
      </c>
      <c r="K1542" s="3" t="s">
        <v>23</v>
      </c>
    </row>
    <row r="1543" spans="1:11" ht="42" customHeight="1">
      <c r="A1543" s="2" t="s">
        <v>3464</v>
      </c>
      <c r="B1543" s="2" t="s">
        <v>3465</v>
      </c>
      <c r="C1543" s="2" t="s">
        <v>40</v>
      </c>
      <c r="D1543" s="2" t="s">
        <v>41</v>
      </c>
      <c r="E1543" s="5">
        <v>-28773</v>
      </c>
      <c r="F1543" s="3" t="s">
        <v>1755</v>
      </c>
      <c r="G1543" s="3" t="s">
        <v>52</v>
      </c>
      <c r="H1543" s="2" t="s">
        <v>21</v>
      </c>
      <c r="I1543" s="2" t="s">
        <v>3466</v>
      </c>
      <c r="J1543" s="3" t="str">
        <f>HYPERLINK("https://www.boe.es/gazeta/dias/1821/03/21/pdfs/GMD-1821-80.pdf#page=2","Abrir facsímil")</f>
        <v>Abrir facsímil</v>
      </c>
      <c r="K1543" s="3" t="s">
        <v>23</v>
      </c>
    </row>
    <row r="1544" spans="1:11" ht="42" customHeight="1">
      <c r="A1544" s="2" t="s">
        <v>3467</v>
      </c>
      <c r="B1544" s="2" t="s">
        <v>3468</v>
      </c>
      <c r="C1544" s="2" t="s">
        <v>40</v>
      </c>
      <c r="D1544" s="2" t="s">
        <v>41</v>
      </c>
      <c r="E1544" s="5">
        <v>-28530</v>
      </c>
      <c r="F1544" s="3" t="s">
        <v>237</v>
      </c>
      <c r="G1544" s="3" t="s">
        <v>52</v>
      </c>
      <c r="H1544" s="2" t="s">
        <v>21</v>
      </c>
      <c r="I1544" s="2" t="s">
        <v>3469</v>
      </c>
      <c r="J1544" s="3" t="str">
        <f>HYPERLINK("https://www.boe.es/gazeta/dias/1821/11/19/pdfs/GMD-1821-330.pdf#page=2","Abrir facsímil")</f>
        <v>Abrir facsímil</v>
      </c>
      <c r="K1544" s="3" t="s">
        <v>23</v>
      </c>
    </row>
    <row r="1545" spans="1:11" ht="42" customHeight="1">
      <c r="A1545" s="2" t="s">
        <v>3470</v>
      </c>
      <c r="B1545" s="2" t="s">
        <v>3471</v>
      </c>
      <c r="C1545" s="2" t="s">
        <v>40</v>
      </c>
      <c r="D1545" s="2" t="s">
        <v>41</v>
      </c>
      <c r="E1545" s="5">
        <v>-28799</v>
      </c>
      <c r="F1545" s="3" t="s">
        <v>3158</v>
      </c>
      <c r="G1545" s="3" t="s">
        <v>52</v>
      </c>
      <c r="H1545" s="2" t="s">
        <v>21</v>
      </c>
      <c r="I1545" s="2" t="s">
        <v>3472</v>
      </c>
      <c r="J1545" s="3" t="str">
        <f>HYPERLINK("https://www.boe.es/gazeta/dias/1821/02/23/pdfs/GGB-1821-54.pdf#page=2","Abrir facsímil")</f>
        <v>Abrir facsímil</v>
      </c>
      <c r="K1545" s="3" t="s">
        <v>23</v>
      </c>
    </row>
    <row r="1546" spans="1:11" ht="42" customHeight="1">
      <c r="A1546" s="2" t="s">
        <v>3473</v>
      </c>
      <c r="B1546" s="2" t="s">
        <v>3473</v>
      </c>
      <c r="C1546" s="2" t="s">
        <v>17</v>
      </c>
      <c r="D1546" s="2" t="s">
        <v>18</v>
      </c>
      <c r="E1546" s="5">
        <v>-28664</v>
      </c>
      <c r="F1546" s="3" t="s">
        <v>1365</v>
      </c>
      <c r="G1546" s="3" t="s">
        <v>20</v>
      </c>
      <c r="H1546" s="2" t="s">
        <v>21</v>
      </c>
      <c r="I1546" s="2" t="s">
        <v>3474</v>
      </c>
      <c r="J1546" s="3" t="str">
        <f>HYPERLINK("https://www.boe.es/gazeta/dias/1821/07/08/pdfs/GMD-1821-193.pdf#page=3","Abrir facsímil")</f>
        <v>Abrir facsímil</v>
      </c>
      <c r="K1546" s="3" t="s">
        <v>23</v>
      </c>
    </row>
    <row r="1547" spans="1:11" ht="42" customHeight="1">
      <c r="A1547" s="2" t="s">
        <v>3475</v>
      </c>
      <c r="B1547" s="2" t="s">
        <v>3476</v>
      </c>
      <c r="C1547" s="2" t="s">
        <v>174</v>
      </c>
      <c r="D1547" s="2" t="s">
        <v>27</v>
      </c>
      <c r="E1547" s="5">
        <v>-28712</v>
      </c>
      <c r="F1547" s="3" t="s">
        <v>695</v>
      </c>
      <c r="G1547" s="3" t="s">
        <v>88</v>
      </c>
      <c r="H1547" s="2" t="s">
        <v>21</v>
      </c>
      <c r="I1547" s="2" t="s">
        <v>3477</v>
      </c>
      <c r="J1547" s="3" t="str">
        <f>HYPERLINK("https://www.boe.es/gazeta/dias/1821/05/21/pdfs/GMD-1821-143.pdf#page=4","Abrir facsímil")</f>
        <v>Abrir facsímil</v>
      </c>
      <c r="K1547" s="3" t="s">
        <v>23</v>
      </c>
    </row>
    <row r="1548" spans="1:11" ht="42" customHeight="1">
      <c r="A1548" s="2" t="s">
        <v>3478</v>
      </c>
      <c r="B1548" s="2" t="s">
        <v>3479</v>
      </c>
      <c r="C1548" s="2" t="s">
        <v>17</v>
      </c>
      <c r="D1548" s="2" t="s">
        <v>18</v>
      </c>
      <c r="E1548" s="5">
        <v>-28675</v>
      </c>
      <c r="F1548" s="3" t="s">
        <v>943</v>
      </c>
      <c r="G1548" s="3" t="s">
        <v>333</v>
      </c>
      <c r="H1548" s="2" t="s">
        <v>21</v>
      </c>
      <c r="I1548" s="2" t="s">
        <v>3480</v>
      </c>
      <c r="J1548" s="3" t="str">
        <f>HYPERLINK("https://www.boe.es/gazeta/dias/1821/06/27/pdfs/GMD-1821-180.pdf#page=8","Abrir facsímil")</f>
        <v>Abrir facsímil</v>
      </c>
      <c r="K1548" s="3" t="s">
        <v>23</v>
      </c>
    </row>
    <row r="1549" spans="1:11" ht="42" customHeight="1">
      <c r="A1549" s="2" t="s">
        <v>3481</v>
      </c>
      <c r="B1549" s="2" t="s">
        <v>3482</v>
      </c>
      <c r="C1549" s="2" t="s">
        <v>26</v>
      </c>
      <c r="D1549" s="2" t="s">
        <v>27</v>
      </c>
      <c r="E1549" s="5">
        <v>-28539</v>
      </c>
      <c r="F1549" s="3" t="s">
        <v>153</v>
      </c>
      <c r="G1549" s="3" t="s">
        <v>52</v>
      </c>
      <c r="H1549" s="2" t="s">
        <v>21</v>
      </c>
      <c r="I1549" s="2" t="s">
        <v>3483</v>
      </c>
      <c r="J1549" s="3" t="str">
        <f>HYPERLINK("https://www.boe.es/gazeta/dias/1821/11/10/pdfs/GMD-1821-321.pdf#page=2","Abrir facsímil")</f>
        <v>Abrir facsímil</v>
      </c>
      <c r="K1549" s="3" t="s">
        <v>23</v>
      </c>
    </row>
    <row r="1550" spans="1:11" ht="42" customHeight="1">
      <c r="A1550" s="2" t="s">
        <v>3484</v>
      </c>
      <c r="B1550" s="2" t="s">
        <v>3485</v>
      </c>
      <c r="C1550" s="2" t="s">
        <v>40</v>
      </c>
      <c r="D1550" s="2" t="s">
        <v>41</v>
      </c>
      <c r="E1550" s="5">
        <v>-28531</v>
      </c>
      <c r="F1550" s="3" t="s">
        <v>365</v>
      </c>
      <c r="G1550" s="3" t="s">
        <v>20</v>
      </c>
      <c r="H1550" s="2" t="s">
        <v>21</v>
      </c>
      <c r="I1550" s="2" t="s">
        <v>3486</v>
      </c>
      <c r="J1550" s="3" t="str">
        <f>HYPERLINK("https://www.boe.es/gazeta/dias/1821/11/18/pdfs/GMD-1821-329.pdf#page=3","Abrir facsímil")</f>
        <v>Abrir facsímil</v>
      </c>
      <c r="K1550" s="3" t="s">
        <v>23</v>
      </c>
    </row>
    <row r="1551" spans="1:11" ht="42" customHeight="1">
      <c r="A1551" s="2" t="s">
        <v>3487</v>
      </c>
      <c r="B1551" s="2" t="s">
        <v>3488</v>
      </c>
      <c r="C1551" s="2" t="s">
        <v>26</v>
      </c>
      <c r="D1551" s="2" t="s">
        <v>27</v>
      </c>
      <c r="E1551" s="5">
        <v>-28771</v>
      </c>
      <c r="F1551" s="3" t="s">
        <v>110</v>
      </c>
      <c r="G1551" s="3" t="s">
        <v>3489</v>
      </c>
      <c r="H1551" s="2" t="s">
        <v>30</v>
      </c>
      <c r="I1551" s="2" t="s">
        <v>3490</v>
      </c>
      <c r="J1551" s="3" t="str">
        <f>HYPERLINK("https://www.boe.es/gazeta/dias/1821/03/23/pdfs/GMD-1821-83.pdf#page=6","Abrir facsímil")</f>
        <v>Abrir facsímil</v>
      </c>
      <c r="K1551" s="3" t="s">
        <v>32</v>
      </c>
    </row>
    <row r="1552" spans="1:11" ht="42" customHeight="1">
      <c r="A1552" s="2" t="s">
        <v>3491</v>
      </c>
      <c r="B1552" s="2" t="s">
        <v>3492</v>
      </c>
      <c r="C1552" s="2" t="s">
        <v>17</v>
      </c>
      <c r="D1552" s="2" t="s">
        <v>18</v>
      </c>
      <c r="E1552" s="5">
        <v>-28549</v>
      </c>
      <c r="F1552" s="3" t="s">
        <v>930</v>
      </c>
      <c r="G1552" s="3" t="s">
        <v>29</v>
      </c>
      <c r="H1552" s="2" t="s">
        <v>21</v>
      </c>
      <c r="I1552" s="2" t="s">
        <v>3493</v>
      </c>
      <c r="J1552" s="3" t="str">
        <f>HYPERLINK("https://www.boe.es/gazeta/dias/1821/10/31/pdfs/GMD-1821-310.pdf#page=6","Abrir facsímil")</f>
        <v>Abrir facsímil</v>
      </c>
      <c r="K1552" s="3" t="s">
        <v>23</v>
      </c>
    </row>
    <row r="1553" spans="1:11" ht="42" customHeight="1">
      <c r="A1553" s="2" t="s">
        <v>3494</v>
      </c>
      <c r="B1553" s="2" t="s">
        <v>3495</v>
      </c>
      <c r="C1553" s="2" t="s">
        <v>17</v>
      </c>
      <c r="D1553" s="2" t="s">
        <v>18</v>
      </c>
      <c r="E1553" s="5">
        <v>-28549</v>
      </c>
      <c r="F1553" s="3" t="s">
        <v>930</v>
      </c>
      <c r="G1553" s="3" t="s">
        <v>29</v>
      </c>
      <c r="H1553" s="2" t="s">
        <v>21</v>
      </c>
      <c r="I1553" s="2" t="s">
        <v>3496</v>
      </c>
      <c r="J1553" s="3" t="str">
        <f>HYPERLINK("https://www.boe.es/gazeta/dias/1821/10/31/pdfs/GMD-1821-310.pdf#page=6","Abrir facsímil")</f>
        <v>Abrir facsímil</v>
      </c>
      <c r="K1553" s="3" t="s">
        <v>23</v>
      </c>
    </row>
    <row r="1554" spans="1:11" ht="42" customHeight="1">
      <c r="A1554" s="2" t="s">
        <v>3497</v>
      </c>
      <c r="B1554" s="2" t="s">
        <v>3498</v>
      </c>
      <c r="C1554" s="2" t="s">
        <v>40</v>
      </c>
      <c r="D1554" s="2" t="s">
        <v>41</v>
      </c>
      <c r="E1554" s="5">
        <v>-28513</v>
      </c>
      <c r="F1554" s="3" t="s">
        <v>502</v>
      </c>
      <c r="G1554" s="3" t="s">
        <v>52</v>
      </c>
      <c r="H1554" s="2" t="s">
        <v>21</v>
      </c>
      <c r="I1554" s="2" t="s">
        <v>3499</v>
      </c>
      <c r="J1554" s="3" t="str">
        <f>HYPERLINK("https://www.boe.es/gazeta/dias/1821/12/06/pdfs/GMD-1821-348.pdf#page=2","Abrir facsímil")</f>
        <v>Abrir facsímil</v>
      </c>
      <c r="K1554" s="3" t="s">
        <v>23</v>
      </c>
    </row>
    <row r="1555" spans="1:11" ht="42" customHeight="1">
      <c r="A1555" s="2" t="s">
        <v>3500</v>
      </c>
      <c r="B1555" s="2" t="s">
        <v>3501</v>
      </c>
      <c r="C1555" s="2" t="s">
        <v>17</v>
      </c>
      <c r="D1555" s="2" t="s">
        <v>18</v>
      </c>
      <c r="E1555" s="5">
        <v>-28748</v>
      </c>
      <c r="F1555" s="3" t="s">
        <v>634</v>
      </c>
      <c r="G1555" s="3" t="s">
        <v>88</v>
      </c>
      <c r="H1555" s="2" t="s">
        <v>21</v>
      </c>
      <c r="I1555" s="2" t="s">
        <v>3502</v>
      </c>
      <c r="J1555" s="3" t="str">
        <f>HYPERLINK("https://www.boe.es/gazeta/dias/1821/04/15/pdfs/GMD-1821-107.pdf#page=4","Abrir facsímil")</f>
        <v>Abrir facsímil</v>
      </c>
      <c r="K1555" s="3" t="s">
        <v>23</v>
      </c>
    </row>
    <row r="1556" spans="1:11" ht="42" customHeight="1">
      <c r="A1556" s="2" t="s">
        <v>3503</v>
      </c>
      <c r="B1556" s="2" t="s">
        <v>3504</v>
      </c>
      <c r="C1556" s="2" t="s">
        <v>26</v>
      </c>
      <c r="D1556" s="2" t="s">
        <v>27</v>
      </c>
      <c r="E1556" s="5">
        <v>-28847</v>
      </c>
      <c r="F1556" s="3" t="s">
        <v>288</v>
      </c>
      <c r="G1556" s="3" t="s">
        <v>289</v>
      </c>
      <c r="H1556" s="2" t="s">
        <v>30</v>
      </c>
      <c r="I1556" s="2" t="s">
        <v>3505</v>
      </c>
      <c r="J1556" s="3" t="str">
        <f>HYPERLINK("https://www.boe.es/gazeta/dias/1821/01/06/pdfs/GGB-1821-6.pdf#page=4","Abrir facsímil")</f>
        <v>Abrir facsímil</v>
      </c>
      <c r="K1556" s="3" t="s">
        <v>32</v>
      </c>
    </row>
    <row r="1557" spans="1:11" ht="42" customHeight="1">
      <c r="A1557" s="2" t="s">
        <v>3506</v>
      </c>
      <c r="B1557" s="2" t="s">
        <v>3507</v>
      </c>
      <c r="C1557" s="2" t="s">
        <v>26</v>
      </c>
      <c r="D1557" s="2" t="s">
        <v>27</v>
      </c>
      <c r="E1557" s="5">
        <v>-28718</v>
      </c>
      <c r="F1557" s="3" t="s">
        <v>583</v>
      </c>
      <c r="G1557" s="3" t="s">
        <v>88</v>
      </c>
      <c r="H1557" s="2" t="s">
        <v>21</v>
      </c>
      <c r="I1557" s="2" t="s">
        <v>3508</v>
      </c>
      <c r="J1557" s="3" t="str">
        <f>HYPERLINK("https://www.boe.es/gazeta/dias/1821/05/15/pdfs/GMD-1821-137.pdf#page=4","Abrir facsímil")</f>
        <v>Abrir facsímil</v>
      </c>
      <c r="K1557" s="3" t="s">
        <v>23</v>
      </c>
    </row>
    <row r="1558" spans="1:11" ht="42" customHeight="1">
      <c r="A1558" s="2" t="s">
        <v>3509</v>
      </c>
      <c r="B1558" s="2" t="s">
        <v>3510</v>
      </c>
      <c r="C1558" s="2" t="s">
        <v>40</v>
      </c>
      <c r="D1558" s="2" t="s">
        <v>41</v>
      </c>
      <c r="E1558" s="5">
        <v>-28610</v>
      </c>
      <c r="F1558" s="3" t="s">
        <v>190</v>
      </c>
      <c r="G1558" s="3" t="s">
        <v>20</v>
      </c>
      <c r="H1558" s="2" t="s">
        <v>21</v>
      </c>
      <c r="I1558" s="2" t="s">
        <v>3511</v>
      </c>
      <c r="J1558" s="3" t="str">
        <f>HYPERLINK("https://www.boe.es/gazeta/dias/1821/08/31/pdfs/GMD-1821-248.pdf#page=3","Abrir facsímil")</f>
        <v>Abrir facsímil</v>
      </c>
      <c r="K1558" s="3" t="s">
        <v>23</v>
      </c>
    </row>
    <row r="1559" spans="1:11" ht="42" customHeight="1">
      <c r="A1559" s="2" t="s">
        <v>3512</v>
      </c>
      <c r="B1559" s="2" t="s">
        <v>3513</v>
      </c>
      <c r="C1559" s="2" t="s">
        <v>17</v>
      </c>
      <c r="D1559" s="2" t="s">
        <v>18</v>
      </c>
      <c r="E1559" s="5">
        <v>-28599</v>
      </c>
      <c r="F1559" s="3" t="s">
        <v>902</v>
      </c>
      <c r="G1559" s="3" t="s">
        <v>88</v>
      </c>
      <c r="H1559" s="2" t="s">
        <v>21</v>
      </c>
      <c r="I1559" s="2" t="s">
        <v>3514</v>
      </c>
      <c r="J1559" s="3" t="str">
        <f>HYPERLINK("https://www.boe.es/gazeta/dias/1821/09/11/pdfs/GMD-1821-259.pdf#page=4","Abrir facsímil")</f>
        <v>Abrir facsímil</v>
      </c>
      <c r="K1559" s="3" t="s">
        <v>23</v>
      </c>
    </row>
    <row r="1560" spans="1:11" ht="42" customHeight="1">
      <c r="A1560" s="2" t="s">
        <v>3515</v>
      </c>
      <c r="B1560" s="2" t="s">
        <v>3516</v>
      </c>
      <c r="C1560" s="2" t="s">
        <v>40</v>
      </c>
      <c r="D1560" s="2" t="s">
        <v>41</v>
      </c>
      <c r="E1560" s="5">
        <v>-28510</v>
      </c>
      <c r="F1560" s="3" t="s">
        <v>83</v>
      </c>
      <c r="G1560" s="3" t="s">
        <v>52</v>
      </c>
      <c r="H1560" s="2" t="s">
        <v>21</v>
      </c>
      <c r="I1560" s="2" t="s">
        <v>3517</v>
      </c>
      <c r="J1560" s="3" t="str">
        <f>HYPERLINK("https://www.boe.es/gazeta/dias/1821/12/09/pdfs/GMD-1821-351.pdf#page=2","Abrir facsímil")</f>
        <v>Abrir facsímil</v>
      </c>
      <c r="K1560" s="3" t="s">
        <v>23</v>
      </c>
    </row>
    <row r="1561" spans="1:11" ht="42" customHeight="1">
      <c r="A1561" s="2" t="s">
        <v>3518</v>
      </c>
      <c r="B1561" s="2" t="s">
        <v>3519</v>
      </c>
      <c r="C1561" s="2" t="s">
        <v>40</v>
      </c>
      <c r="D1561" s="2" t="s">
        <v>41</v>
      </c>
      <c r="E1561" s="5">
        <v>-28510</v>
      </c>
      <c r="F1561" s="3" t="s">
        <v>83</v>
      </c>
      <c r="G1561" s="3" t="s">
        <v>52</v>
      </c>
      <c r="H1561" s="2" t="s">
        <v>21</v>
      </c>
      <c r="I1561" s="2" t="s">
        <v>3520</v>
      </c>
      <c r="J1561" s="3" t="str">
        <f>HYPERLINK("https://www.boe.es/gazeta/dias/1821/12/09/pdfs/GMD-1821-351.pdf#page=2","Abrir facsímil")</f>
        <v>Abrir facsímil</v>
      </c>
      <c r="K1561" s="3" t="s">
        <v>23</v>
      </c>
    </row>
    <row r="1562" spans="1:11" ht="42" customHeight="1">
      <c r="A1562" s="2" t="s">
        <v>3521</v>
      </c>
      <c r="B1562" s="2" t="s">
        <v>3522</v>
      </c>
      <c r="C1562" s="2" t="s">
        <v>40</v>
      </c>
      <c r="D1562" s="2" t="s">
        <v>41</v>
      </c>
      <c r="E1562" s="5">
        <v>-28631</v>
      </c>
      <c r="F1562" s="3" t="s">
        <v>751</v>
      </c>
      <c r="G1562" s="3" t="s">
        <v>88</v>
      </c>
      <c r="H1562" s="2" t="s">
        <v>21</v>
      </c>
      <c r="I1562" s="2" t="s">
        <v>3523</v>
      </c>
      <c r="J1562" s="3" t="str">
        <f>HYPERLINK("https://www.boe.es/gazeta/dias/1821/08/10/pdfs/GMD-1821-227.pdf#page=4","Abrir facsímil")</f>
        <v>Abrir facsímil</v>
      </c>
      <c r="K1562" s="3" t="s">
        <v>23</v>
      </c>
    </row>
    <row r="1563" spans="1:11" ht="42" customHeight="1">
      <c r="A1563" s="2" t="s">
        <v>3524</v>
      </c>
      <c r="B1563" s="2" t="s">
        <v>3525</v>
      </c>
      <c r="C1563" s="2" t="s">
        <v>17</v>
      </c>
      <c r="D1563" s="2" t="s">
        <v>18</v>
      </c>
      <c r="E1563" s="5">
        <v>-28680</v>
      </c>
      <c r="F1563" s="3" t="s">
        <v>531</v>
      </c>
      <c r="G1563" s="3" t="s">
        <v>88</v>
      </c>
      <c r="H1563" s="2" t="s">
        <v>21</v>
      </c>
      <c r="I1563" s="2" t="s">
        <v>3526</v>
      </c>
      <c r="J1563" s="3" t="str">
        <f>HYPERLINK("https://www.boe.es/gazeta/dias/1821/06/22/pdfs/GMD-1821-175.pdf#page=4","Abrir facsímil")</f>
        <v>Abrir facsímil</v>
      </c>
      <c r="K1563" s="3" t="s">
        <v>23</v>
      </c>
    </row>
    <row r="1564" spans="1:11" ht="42" customHeight="1">
      <c r="A1564" s="2" t="s">
        <v>3527</v>
      </c>
      <c r="B1564" s="2" t="s">
        <v>3528</v>
      </c>
      <c r="C1564" s="2" t="s">
        <v>40</v>
      </c>
      <c r="D1564" s="2" t="s">
        <v>41</v>
      </c>
      <c r="E1564" s="5">
        <v>-28508</v>
      </c>
      <c r="F1564" s="3" t="s">
        <v>42</v>
      </c>
      <c r="G1564" s="3" t="s">
        <v>43</v>
      </c>
      <c r="H1564" s="2" t="s">
        <v>21</v>
      </c>
      <c r="I1564" s="2" t="s">
        <v>3529</v>
      </c>
      <c r="J1564" s="3" t="str">
        <f>HYPERLINK("https://www.boe.es/gazeta/dias/1821/12/11/pdfs/GMD-1821-353.pdf#page=1","Abrir facsímil")</f>
        <v>Abrir facsímil</v>
      </c>
      <c r="K1564" s="3" t="s">
        <v>23</v>
      </c>
    </row>
    <row r="1565" spans="1:11" ht="42" customHeight="1">
      <c r="A1565" s="2" t="s">
        <v>3530</v>
      </c>
      <c r="B1565" s="2" t="s">
        <v>3531</v>
      </c>
      <c r="C1565" s="2" t="s">
        <v>40</v>
      </c>
      <c r="D1565" s="2" t="s">
        <v>41</v>
      </c>
      <c r="E1565" s="5">
        <v>-28507</v>
      </c>
      <c r="F1565" s="3" t="s">
        <v>1158</v>
      </c>
      <c r="G1565" s="3" t="s">
        <v>20</v>
      </c>
      <c r="H1565" s="2" t="s">
        <v>21</v>
      </c>
      <c r="I1565" s="2" t="s">
        <v>3532</v>
      </c>
      <c r="J1565" s="3" t="str">
        <f>HYPERLINK("https://www.boe.es/gazeta/dias/1821/12/12/pdfs/GMD-1821-354.pdf#page=3","Abrir facsímil")</f>
        <v>Abrir facsímil</v>
      </c>
      <c r="K1565" s="3" t="s">
        <v>23</v>
      </c>
    </row>
    <row r="1566" spans="1:11" ht="42" customHeight="1">
      <c r="A1566" s="2" t="s">
        <v>3533</v>
      </c>
      <c r="B1566" s="2" t="s">
        <v>3533</v>
      </c>
      <c r="C1566" s="2" t="s">
        <v>40</v>
      </c>
      <c r="D1566" s="2" t="s">
        <v>41</v>
      </c>
      <c r="E1566" s="5">
        <v>-28778</v>
      </c>
      <c r="F1566" s="3" t="s">
        <v>1301</v>
      </c>
      <c r="G1566" s="3" t="s">
        <v>20</v>
      </c>
      <c r="H1566" s="2" t="s">
        <v>21</v>
      </c>
      <c r="I1566" s="2" t="s">
        <v>3534</v>
      </c>
      <c r="J1566" s="3" t="str">
        <f>HYPERLINK("https://www.boe.es/gazeta/dias/1821/03/16/pdfs/GMD-1821-75.pdf#page=3","Abrir facsímil")</f>
        <v>Abrir facsímil</v>
      </c>
      <c r="K1566" s="3" t="s">
        <v>23</v>
      </c>
    </row>
    <row r="1567" spans="1:11" ht="42" customHeight="1">
      <c r="A1567" s="2" t="s">
        <v>3533</v>
      </c>
      <c r="B1567" s="2" t="s">
        <v>3533</v>
      </c>
      <c r="C1567" s="2" t="s">
        <v>40</v>
      </c>
      <c r="D1567" s="2" t="s">
        <v>41</v>
      </c>
      <c r="E1567" s="5">
        <v>-28678</v>
      </c>
      <c r="F1567" s="3" t="s">
        <v>215</v>
      </c>
      <c r="G1567" s="3" t="s">
        <v>29</v>
      </c>
      <c r="H1567" s="2" t="s">
        <v>21</v>
      </c>
      <c r="I1567" s="2" t="s">
        <v>3535</v>
      </c>
      <c r="J1567" s="3" t="str">
        <f>HYPERLINK("https://www.boe.es/gazeta/dias/1821/06/24/pdfs/GMD-1821-177.pdf#page=6","Abrir facsímil")</f>
        <v>Abrir facsímil</v>
      </c>
      <c r="K1567" s="3" t="s">
        <v>23</v>
      </c>
    </row>
    <row r="1568" spans="1:11" ht="42" customHeight="1">
      <c r="A1568" s="2" t="s">
        <v>3533</v>
      </c>
      <c r="B1568" s="2" t="s">
        <v>3533</v>
      </c>
      <c r="C1568" s="2" t="s">
        <v>40</v>
      </c>
      <c r="D1568" s="2" t="s">
        <v>41</v>
      </c>
      <c r="E1568" s="5">
        <v>-28642</v>
      </c>
      <c r="F1568" s="3" t="s">
        <v>734</v>
      </c>
      <c r="G1568" s="3" t="s">
        <v>3536</v>
      </c>
      <c r="H1568" s="2" t="s">
        <v>21</v>
      </c>
      <c r="I1568" s="2" t="s">
        <v>3537</v>
      </c>
      <c r="J1568" s="3" t="str">
        <f>HYPERLINK("https://www.boe.es/gazeta/dias/1821/07/30/pdfs/GMD-1821-215.pdf#page=3","Abrir facsímil")</f>
        <v>Abrir facsímil</v>
      </c>
      <c r="K1568" s="3" t="s">
        <v>23</v>
      </c>
    </row>
    <row r="1569" spans="1:11" ht="42" customHeight="1">
      <c r="A1569" s="2" t="s">
        <v>3538</v>
      </c>
      <c r="B1569" s="2" t="s">
        <v>3539</v>
      </c>
      <c r="C1569" s="2" t="s">
        <v>17</v>
      </c>
      <c r="D1569" s="2" t="s">
        <v>18</v>
      </c>
      <c r="E1569" s="5">
        <v>-28809</v>
      </c>
      <c r="F1569" s="3" t="s">
        <v>1173</v>
      </c>
      <c r="G1569" s="3" t="s">
        <v>88</v>
      </c>
      <c r="H1569" s="2" t="s">
        <v>21</v>
      </c>
      <c r="I1569" s="2" t="s">
        <v>3540</v>
      </c>
      <c r="J1569" s="3" t="str">
        <f>HYPERLINK("https://www.boe.es/gazeta/dias/1821/02/13/pdfs/GGB-1821-44.pdf#page=4","Abrir facsímil")</f>
        <v>Abrir facsímil</v>
      </c>
      <c r="K1569" s="3" t="s">
        <v>23</v>
      </c>
    </row>
    <row r="1570" spans="1:11" ht="42" customHeight="1">
      <c r="A1570" s="2" t="s">
        <v>3541</v>
      </c>
      <c r="B1570" s="2" t="s">
        <v>3542</v>
      </c>
      <c r="C1570" s="2" t="s">
        <v>17</v>
      </c>
      <c r="D1570" s="2" t="s">
        <v>18</v>
      </c>
      <c r="E1570" s="5">
        <v>-28537</v>
      </c>
      <c r="F1570" s="3" t="s">
        <v>56</v>
      </c>
      <c r="G1570" s="3" t="s">
        <v>52</v>
      </c>
      <c r="H1570" s="2" t="s">
        <v>21</v>
      </c>
      <c r="I1570" s="2" t="s">
        <v>3543</v>
      </c>
      <c r="J1570" s="3" t="str">
        <f>HYPERLINK("https://www.boe.es/gazeta/dias/1821/11/12/pdfs/GMD-1821-323.pdf#page=2","Abrir facsímil")</f>
        <v>Abrir facsímil</v>
      </c>
      <c r="K1570" s="3" t="s">
        <v>23</v>
      </c>
    </row>
    <row r="1571" spans="1:11" ht="42" customHeight="1">
      <c r="A1571" s="2" t="s">
        <v>3544</v>
      </c>
      <c r="B1571" s="2" t="s">
        <v>3545</v>
      </c>
      <c r="C1571" s="2" t="s">
        <v>114</v>
      </c>
      <c r="D1571" s="2" t="s">
        <v>27</v>
      </c>
      <c r="E1571" s="5">
        <v>-28538</v>
      </c>
      <c r="F1571" s="3" t="s">
        <v>395</v>
      </c>
      <c r="G1571" s="3" t="s">
        <v>20</v>
      </c>
      <c r="H1571" s="2" t="s">
        <v>21</v>
      </c>
      <c r="I1571" s="2" t="s">
        <v>3546</v>
      </c>
      <c r="J1571" s="3" t="str">
        <f>HYPERLINK("https://www.boe.es/gazeta/dias/1821/11/11/pdfs/GMD-1821-322.pdf#page=3","Abrir facsímil")</f>
        <v>Abrir facsímil</v>
      </c>
      <c r="K1571" s="3" t="s">
        <v>23</v>
      </c>
    </row>
    <row r="1572" spans="1:11" ht="42" customHeight="1">
      <c r="A1572" s="2" t="s">
        <v>3547</v>
      </c>
      <c r="B1572" s="2" t="s">
        <v>3548</v>
      </c>
      <c r="C1572" s="2" t="s">
        <v>35</v>
      </c>
      <c r="D1572" s="2" t="s">
        <v>27</v>
      </c>
      <c r="E1572" s="5">
        <v>-28598</v>
      </c>
      <c r="F1572" s="3" t="s">
        <v>1206</v>
      </c>
      <c r="G1572" s="3" t="s">
        <v>88</v>
      </c>
      <c r="H1572" s="2" t="s">
        <v>30</v>
      </c>
      <c r="I1572" s="2" t="s">
        <v>3549</v>
      </c>
      <c r="J1572" s="3" t="str">
        <f>HYPERLINK("https://www.boe.es/gazeta/dias/1821/09/12/pdfs/GMD-1821-260.pdf#page=4","Abrir facsímil")</f>
        <v>Abrir facsímil</v>
      </c>
      <c r="K1572" s="3" t="s">
        <v>32</v>
      </c>
    </row>
    <row r="1573" spans="1:11" ht="42" customHeight="1">
      <c r="A1573" s="2" t="s">
        <v>3550</v>
      </c>
      <c r="B1573" s="2" t="s">
        <v>3551</v>
      </c>
      <c r="C1573" s="2" t="s">
        <v>35</v>
      </c>
      <c r="D1573" s="2" t="s">
        <v>27</v>
      </c>
      <c r="E1573" s="5">
        <v>-28595</v>
      </c>
      <c r="F1573" s="3" t="s">
        <v>1621</v>
      </c>
      <c r="G1573" s="3" t="s">
        <v>88</v>
      </c>
      <c r="H1573" s="2" t="s">
        <v>30</v>
      </c>
      <c r="I1573" s="2" t="s">
        <v>3552</v>
      </c>
      <c r="J1573" s="3" t="str">
        <f>HYPERLINK("https://www.boe.es/gazeta/dias/1821/09/15/pdfs/GMD-1821-263.pdf#page=4","Abrir facsímil")</f>
        <v>Abrir facsímil</v>
      </c>
      <c r="K1573" s="3" t="s">
        <v>32</v>
      </c>
    </row>
    <row r="1574" spans="1:11" ht="42" customHeight="1">
      <c r="A1574" s="2" t="s">
        <v>3553</v>
      </c>
      <c r="B1574" s="2" t="s">
        <v>3554</v>
      </c>
      <c r="C1574" s="2" t="s">
        <v>70</v>
      </c>
      <c r="D1574" s="2" t="s">
        <v>27</v>
      </c>
      <c r="E1574" s="5">
        <v>-28495</v>
      </c>
      <c r="F1574" s="3" t="s">
        <v>227</v>
      </c>
      <c r="G1574" s="3" t="s">
        <v>333</v>
      </c>
      <c r="H1574" s="2" t="s">
        <v>30</v>
      </c>
      <c r="I1574" s="2" t="s">
        <v>3555</v>
      </c>
      <c r="J1574" s="3" t="str">
        <f>HYPERLINK("https://www.boe.es/gazeta/dias/1821/12/24/pdfs/GMD-1821-367.pdf#page=8","Abrir facsímil")</f>
        <v>Abrir facsímil</v>
      </c>
      <c r="K1574" s="3" t="s">
        <v>32</v>
      </c>
    </row>
    <row r="1575" spans="1:11" ht="42" customHeight="1">
      <c r="A1575" s="2" t="s">
        <v>3556</v>
      </c>
      <c r="B1575" s="2" t="s">
        <v>3557</v>
      </c>
      <c r="C1575" s="2" t="s">
        <v>35</v>
      </c>
      <c r="D1575" s="2" t="s">
        <v>27</v>
      </c>
      <c r="E1575" s="5">
        <v>-28715</v>
      </c>
      <c r="F1575" s="3" t="s">
        <v>1046</v>
      </c>
      <c r="G1575" s="3" t="s">
        <v>43</v>
      </c>
      <c r="H1575" s="2" t="s">
        <v>30</v>
      </c>
      <c r="I1575" s="2" t="s">
        <v>3558</v>
      </c>
      <c r="J1575" s="3" t="str">
        <f>HYPERLINK("https://www.boe.es/gazeta/dias/1821/05/18/pdfs/GMD-1821-140.pdf#page=1","Abrir facsímil")</f>
        <v>Abrir facsímil</v>
      </c>
      <c r="K1575" s="3" t="s">
        <v>32</v>
      </c>
    </row>
    <row r="1576" spans="1:11" ht="42" customHeight="1">
      <c r="A1576" s="2" t="s">
        <v>3559</v>
      </c>
      <c r="B1576" s="2" t="s">
        <v>3559</v>
      </c>
      <c r="C1576" s="2" t="s">
        <v>40</v>
      </c>
      <c r="D1576" s="2" t="s">
        <v>41</v>
      </c>
      <c r="E1576" s="5">
        <v>-28789</v>
      </c>
      <c r="F1576" s="3" t="s">
        <v>36</v>
      </c>
      <c r="G1576" s="3" t="s">
        <v>20</v>
      </c>
      <c r="H1576" s="2" t="s">
        <v>21</v>
      </c>
      <c r="I1576" s="2" t="s">
        <v>3560</v>
      </c>
      <c r="J1576" s="3" t="str">
        <f>HYPERLINK("https://www.boe.es/gazeta/dias/1821/03/05/pdfs/GGB-1821-64.pdf#page=3","Abrir facsímil")</f>
        <v>Abrir facsímil</v>
      </c>
      <c r="K1576" s="3" t="s">
        <v>23</v>
      </c>
    </row>
    <row r="1577" spans="1:11" ht="42" customHeight="1">
      <c r="A1577" s="2" t="s">
        <v>3561</v>
      </c>
      <c r="B1577" s="2" t="s">
        <v>3561</v>
      </c>
      <c r="C1577" s="2" t="s">
        <v>40</v>
      </c>
      <c r="D1577" s="2" t="s">
        <v>41</v>
      </c>
      <c r="E1577" s="5">
        <v>-28773</v>
      </c>
      <c r="F1577" s="3" t="s">
        <v>1755</v>
      </c>
      <c r="G1577" s="3" t="s">
        <v>20</v>
      </c>
      <c r="H1577" s="2" t="s">
        <v>21</v>
      </c>
      <c r="I1577" s="2" t="s">
        <v>3562</v>
      </c>
      <c r="J1577" s="3" t="str">
        <f>HYPERLINK("https://www.boe.es/gazeta/dias/1821/03/21/pdfs/GMD-1821-80.pdf#page=3","Abrir facsímil")</f>
        <v>Abrir facsímil</v>
      </c>
      <c r="K1577" s="3" t="s">
        <v>23</v>
      </c>
    </row>
    <row r="1578" spans="1:11" ht="42" customHeight="1">
      <c r="A1578" s="2" t="s">
        <v>3563</v>
      </c>
      <c r="B1578" s="2" t="s">
        <v>3563</v>
      </c>
      <c r="C1578" s="2" t="s">
        <v>40</v>
      </c>
      <c r="D1578" s="2" t="s">
        <v>41</v>
      </c>
      <c r="E1578" s="5">
        <v>-28645</v>
      </c>
      <c r="F1578" s="3" t="s">
        <v>2579</v>
      </c>
      <c r="G1578" s="3" t="s">
        <v>88</v>
      </c>
      <c r="H1578" s="2" t="s">
        <v>21</v>
      </c>
      <c r="I1578" s="2" t="s">
        <v>3564</v>
      </c>
      <c r="J1578" s="3" t="str">
        <f>HYPERLINK("https://www.boe.es/gazeta/dias/1821/07/27/pdfs/GMD-1821-212.pdf#page=4","Abrir facsímil")</f>
        <v>Abrir facsímil</v>
      </c>
      <c r="K1578" s="3" t="s">
        <v>23</v>
      </c>
    </row>
    <row r="1579" spans="1:11" ht="42" customHeight="1">
      <c r="A1579" s="2" t="s">
        <v>3565</v>
      </c>
      <c r="B1579" s="2" t="s">
        <v>3566</v>
      </c>
      <c r="C1579" s="2" t="s">
        <v>114</v>
      </c>
      <c r="D1579" s="2" t="s">
        <v>27</v>
      </c>
      <c r="E1579" s="5">
        <v>-28691</v>
      </c>
      <c r="F1579" s="3" t="s">
        <v>716</v>
      </c>
      <c r="G1579" s="3" t="s">
        <v>20</v>
      </c>
      <c r="H1579" s="2" t="s">
        <v>21</v>
      </c>
      <c r="I1579" s="2" t="s">
        <v>3567</v>
      </c>
      <c r="J1579" s="3" t="str">
        <f>HYPERLINK("https://www.boe.es/gazeta/dias/1821/06/11/pdfs/GMD-1821-164.pdf#page=3","Abrir facsímil")</f>
        <v>Abrir facsímil</v>
      </c>
      <c r="K1579" s="3" t="s">
        <v>23</v>
      </c>
    </row>
    <row r="1580" spans="1:11" ht="42" customHeight="1">
      <c r="A1580" s="2" t="s">
        <v>3568</v>
      </c>
      <c r="B1580" s="2" t="s">
        <v>3569</v>
      </c>
      <c r="C1580" s="2" t="s">
        <v>26</v>
      </c>
      <c r="D1580" s="2" t="s">
        <v>27</v>
      </c>
      <c r="E1580" s="5">
        <v>-28777</v>
      </c>
      <c r="F1580" s="3" t="s">
        <v>1004</v>
      </c>
      <c r="G1580" s="3" t="s">
        <v>1005</v>
      </c>
      <c r="H1580" s="2" t="s">
        <v>21</v>
      </c>
      <c r="I1580" s="2" t="s">
        <v>3570</v>
      </c>
      <c r="J1580" s="3" t="str">
        <f>HYPERLINK("https://www.boe.es/gazeta/dias/1821/03/17/pdfs/GMD-1821-76.pdf#page=2","Abrir facsímil")</f>
        <v>Abrir facsímil</v>
      </c>
      <c r="K1580" s="3" t="s">
        <v>23</v>
      </c>
    </row>
    <row r="1581" spans="1:11" ht="42" customHeight="1">
      <c r="A1581" s="2" t="s">
        <v>3571</v>
      </c>
      <c r="B1581" s="2" t="s">
        <v>3572</v>
      </c>
      <c r="C1581" s="2" t="s">
        <v>17</v>
      </c>
      <c r="D1581" s="2" t="s">
        <v>18</v>
      </c>
      <c r="E1581" s="5">
        <v>-28577</v>
      </c>
      <c r="F1581" s="3" t="s">
        <v>858</v>
      </c>
      <c r="G1581" s="3" t="s">
        <v>88</v>
      </c>
      <c r="H1581" s="2" t="s">
        <v>21</v>
      </c>
      <c r="I1581" s="2" t="s">
        <v>3573</v>
      </c>
      <c r="J1581" s="3" t="str">
        <f>HYPERLINK("https://www.boe.es/gazeta/dias/1821/10/03/pdfs/GMD-1821-282.pdf#page=4","Abrir facsímil")</f>
        <v>Abrir facsímil</v>
      </c>
      <c r="K1581" s="3" t="s">
        <v>23</v>
      </c>
    </row>
    <row r="1582" spans="1:11" ht="42" customHeight="1">
      <c r="A1582" s="2" t="s">
        <v>3574</v>
      </c>
      <c r="B1582" s="2" t="s">
        <v>3575</v>
      </c>
      <c r="C1582" s="2" t="s">
        <v>40</v>
      </c>
      <c r="D1582" s="2" t="s">
        <v>41</v>
      </c>
      <c r="E1582" s="5">
        <v>-28557</v>
      </c>
      <c r="F1582" s="3" t="s">
        <v>316</v>
      </c>
      <c r="G1582" s="3" t="s">
        <v>29</v>
      </c>
      <c r="H1582" s="2" t="s">
        <v>21</v>
      </c>
      <c r="I1582" s="2" t="s">
        <v>3576</v>
      </c>
      <c r="J1582" s="3" t="str">
        <f>HYPERLINK("https://www.boe.es/gazeta/dias/1821/10/23/pdfs/GMD-1821-302.pdf#page=6","Abrir facsímil")</f>
        <v>Abrir facsímil</v>
      </c>
      <c r="K1582" s="3" t="s">
        <v>23</v>
      </c>
    </row>
    <row r="1583" spans="1:11" ht="42" customHeight="1">
      <c r="A1583" s="2" t="s">
        <v>3577</v>
      </c>
      <c r="B1583" s="2" t="s">
        <v>3578</v>
      </c>
      <c r="C1583" s="2" t="s">
        <v>17</v>
      </c>
      <c r="D1583" s="2" t="s">
        <v>18</v>
      </c>
      <c r="E1583" s="5">
        <v>-28650</v>
      </c>
      <c r="F1583" s="3" t="s">
        <v>3285</v>
      </c>
      <c r="G1583" s="3" t="s">
        <v>88</v>
      </c>
      <c r="H1583" s="2" t="s">
        <v>21</v>
      </c>
      <c r="I1583" s="2" t="s">
        <v>3579</v>
      </c>
      <c r="J1583" s="3" t="str">
        <f>HYPERLINK("https://www.boe.es/gazeta/dias/1821/07/22/pdfs/GMD-1821-207.pdf#page=4","Abrir facsímil")</f>
        <v>Abrir facsímil</v>
      </c>
      <c r="K1583" s="3" t="s">
        <v>23</v>
      </c>
    </row>
    <row r="1584" spans="1:11" ht="42" customHeight="1">
      <c r="A1584" s="2" t="s">
        <v>3580</v>
      </c>
      <c r="B1584" s="2" t="s">
        <v>3581</v>
      </c>
      <c r="C1584" s="2" t="s">
        <v>26</v>
      </c>
      <c r="D1584" s="2" t="s">
        <v>27</v>
      </c>
      <c r="E1584" s="5">
        <v>-28662</v>
      </c>
      <c r="F1584" s="3" t="s">
        <v>3289</v>
      </c>
      <c r="G1584" s="3" t="s">
        <v>20</v>
      </c>
      <c r="H1584" s="2" t="s">
        <v>21</v>
      </c>
      <c r="I1584" s="2" t="s">
        <v>3582</v>
      </c>
      <c r="J1584" s="3" t="str">
        <f>HYPERLINK("https://www.boe.es/gazeta/dias/1821/07/10/pdfs/GMD-1821-195.pdf#page=3","Abrir facsímil")</f>
        <v>Abrir facsímil</v>
      </c>
      <c r="K1584" s="3" t="s">
        <v>23</v>
      </c>
    </row>
    <row r="1585" spans="1:11" ht="42" customHeight="1">
      <c r="A1585" s="2" t="s">
        <v>3583</v>
      </c>
      <c r="B1585" s="2" t="s">
        <v>3584</v>
      </c>
      <c r="C1585" s="2" t="s">
        <v>26</v>
      </c>
      <c r="D1585" s="2" t="s">
        <v>27</v>
      </c>
      <c r="E1585" s="5">
        <v>-28551</v>
      </c>
      <c r="F1585" s="3" t="s">
        <v>542</v>
      </c>
      <c r="G1585" s="3" t="s">
        <v>52</v>
      </c>
      <c r="H1585" s="2" t="s">
        <v>21</v>
      </c>
      <c r="I1585" s="2" t="s">
        <v>3585</v>
      </c>
      <c r="J1585" s="3" t="str">
        <f>HYPERLINK("https://www.boe.es/gazeta/dias/1821/10/29/pdfs/GMD-1821-308.pdf#page=2","Abrir facsímil")</f>
        <v>Abrir facsímil</v>
      </c>
      <c r="K1585" s="3" t="s">
        <v>23</v>
      </c>
    </row>
    <row r="1586" spans="1:11" ht="42" customHeight="1">
      <c r="A1586" s="2" t="s">
        <v>3586</v>
      </c>
      <c r="B1586" s="2" t="s">
        <v>3587</v>
      </c>
      <c r="C1586" s="2" t="s">
        <v>26</v>
      </c>
      <c r="D1586" s="2" t="s">
        <v>27</v>
      </c>
      <c r="E1586" s="5">
        <v>-28745</v>
      </c>
      <c r="F1586" s="3" t="s">
        <v>1020</v>
      </c>
      <c r="G1586" s="3" t="s">
        <v>52</v>
      </c>
      <c r="H1586" s="2" t="s">
        <v>21</v>
      </c>
      <c r="I1586" s="2" t="s">
        <v>3588</v>
      </c>
      <c r="J1586" s="3" t="str">
        <f>HYPERLINK("https://www.boe.es/gazeta/dias/1821/04/18/pdfs/GMD-1821-110.pdf#page=2","Abrir facsímil")</f>
        <v>Abrir facsímil</v>
      </c>
      <c r="K1586" s="3" t="s">
        <v>23</v>
      </c>
    </row>
    <row r="1587" spans="1:11" ht="42" customHeight="1">
      <c r="A1587" s="2" t="s">
        <v>3589</v>
      </c>
      <c r="B1587" s="2" t="s">
        <v>3589</v>
      </c>
      <c r="C1587" s="2" t="s">
        <v>26</v>
      </c>
      <c r="D1587" s="2" t="s">
        <v>27</v>
      </c>
      <c r="E1587" s="5">
        <v>-28492</v>
      </c>
      <c r="F1587" s="3" t="s">
        <v>1550</v>
      </c>
      <c r="G1587" s="3" t="s">
        <v>20</v>
      </c>
      <c r="H1587" s="2" t="s">
        <v>21</v>
      </c>
      <c r="I1587" s="2" t="s">
        <v>3590</v>
      </c>
      <c r="J1587" s="3" t="str">
        <f>HYPERLINK("https://www.boe.es/gazeta/dias/1821/12/27/pdfs/GMD-1821-370.pdf#page=3","Abrir facsímil")</f>
        <v>Abrir facsímil</v>
      </c>
      <c r="K1587" s="3" t="s">
        <v>23</v>
      </c>
    </row>
    <row r="1588" spans="1:11" ht="42" customHeight="1">
      <c r="A1588" s="2" t="s">
        <v>3591</v>
      </c>
      <c r="B1588" s="2" t="s">
        <v>3591</v>
      </c>
      <c r="C1588" s="2" t="s">
        <v>17</v>
      </c>
      <c r="D1588" s="2" t="s">
        <v>18</v>
      </c>
      <c r="E1588" s="5">
        <v>-28789</v>
      </c>
      <c r="F1588" s="3" t="s">
        <v>36</v>
      </c>
      <c r="G1588" s="3" t="s">
        <v>20</v>
      </c>
      <c r="H1588" s="2" t="s">
        <v>21</v>
      </c>
      <c r="I1588" s="2" t="s">
        <v>3592</v>
      </c>
      <c r="J1588" s="3" t="str">
        <f>HYPERLINK("https://www.boe.es/gazeta/dias/1821/03/05/pdfs/GGB-1821-64.pdf#page=3","Abrir facsímil")</f>
        <v>Abrir facsímil</v>
      </c>
      <c r="K1588" s="3" t="s">
        <v>23</v>
      </c>
    </row>
    <row r="1589" spans="1:11" ht="42" customHeight="1">
      <c r="A1589" s="2" t="s">
        <v>3593</v>
      </c>
      <c r="B1589" s="2" t="s">
        <v>3594</v>
      </c>
      <c r="C1589" s="2" t="s">
        <v>174</v>
      </c>
      <c r="D1589" s="2" t="s">
        <v>27</v>
      </c>
      <c r="E1589" s="5">
        <v>-28726</v>
      </c>
      <c r="F1589" s="3" t="s">
        <v>347</v>
      </c>
      <c r="G1589" s="3" t="s">
        <v>88</v>
      </c>
      <c r="H1589" s="2" t="s">
        <v>21</v>
      </c>
      <c r="I1589" s="2" t="s">
        <v>3595</v>
      </c>
      <c r="J1589" s="3" t="str">
        <f>HYPERLINK("https://www.boe.es/gazeta/dias/1821/05/07/pdfs/GMD-1821-129.pdf#page=4","Abrir facsímil")</f>
        <v>Abrir facsímil</v>
      </c>
      <c r="K1589" s="3" t="s">
        <v>23</v>
      </c>
    </row>
    <row r="1590" spans="1:11" ht="42" customHeight="1">
      <c r="A1590" s="2" t="s">
        <v>3596</v>
      </c>
      <c r="B1590" s="2" t="s">
        <v>3597</v>
      </c>
      <c r="C1590" s="2" t="s">
        <v>40</v>
      </c>
      <c r="D1590" s="2" t="s">
        <v>41</v>
      </c>
      <c r="E1590" s="5">
        <v>-28508</v>
      </c>
      <c r="F1590" s="3" t="s">
        <v>42</v>
      </c>
      <c r="G1590" s="3" t="s">
        <v>43</v>
      </c>
      <c r="H1590" s="2" t="s">
        <v>21</v>
      </c>
      <c r="I1590" s="2" t="s">
        <v>3598</v>
      </c>
      <c r="J1590" s="3" t="str">
        <f>HYPERLINK("https://www.boe.es/gazeta/dias/1821/12/11/pdfs/GMD-1821-353.pdf#page=1","Abrir facsímil")</f>
        <v>Abrir facsímil</v>
      </c>
      <c r="K1590" s="3" t="s">
        <v>23</v>
      </c>
    </row>
    <row r="1591" spans="1:11" ht="42" customHeight="1">
      <c r="A1591" s="2" t="s">
        <v>3599</v>
      </c>
      <c r="B1591" s="2" t="s">
        <v>3600</v>
      </c>
      <c r="C1591" s="2" t="s">
        <v>26</v>
      </c>
      <c r="D1591" s="2" t="s">
        <v>27</v>
      </c>
      <c r="E1591" s="5">
        <v>-28810</v>
      </c>
      <c r="F1591" s="3" t="s">
        <v>308</v>
      </c>
      <c r="G1591" s="3" t="s">
        <v>88</v>
      </c>
      <c r="H1591" s="2" t="s">
        <v>21</v>
      </c>
      <c r="I1591" s="2" t="s">
        <v>3601</v>
      </c>
      <c r="J1591" s="3" t="str">
        <f>HYPERLINK("https://www.boe.es/gazeta/dias/1821/02/12/pdfs/GGB-1821-43.pdf#page=4","Abrir facsímil")</f>
        <v>Abrir facsímil</v>
      </c>
      <c r="K1591" s="3" t="s">
        <v>23</v>
      </c>
    </row>
    <row r="1592" spans="1:11" ht="42" customHeight="1">
      <c r="A1592" s="2" t="s">
        <v>3602</v>
      </c>
      <c r="B1592" s="2" t="s">
        <v>3603</v>
      </c>
      <c r="C1592" s="2" t="s">
        <v>494</v>
      </c>
      <c r="D1592" s="2" t="s">
        <v>18</v>
      </c>
      <c r="E1592" s="5">
        <v>-28644</v>
      </c>
      <c r="F1592" s="3" t="s">
        <v>1340</v>
      </c>
      <c r="G1592" s="3" t="s">
        <v>20</v>
      </c>
      <c r="H1592" s="2" t="s">
        <v>21</v>
      </c>
      <c r="I1592" s="2" t="s">
        <v>3604</v>
      </c>
      <c r="J1592" s="3" t="str">
        <f>HYPERLINK("https://www.boe.es/gazeta/dias/1821/07/28/pdfs/GMD-1821-213.pdf#page=3","Abrir facsímil")</f>
        <v>Abrir facsímil</v>
      </c>
      <c r="K1592" s="3" t="s">
        <v>23</v>
      </c>
    </row>
    <row r="1593" spans="1:11" ht="42" customHeight="1">
      <c r="A1593" s="2" t="s">
        <v>3605</v>
      </c>
      <c r="B1593" s="2" t="s">
        <v>3606</v>
      </c>
      <c r="C1593" s="2" t="s">
        <v>26</v>
      </c>
      <c r="D1593" s="2" t="s">
        <v>27</v>
      </c>
      <c r="E1593" s="5">
        <v>-28582</v>
      </c>
      <c r="F1593" s="3" t="s">
        <v>3039</v>
      </c>
      <c r="G1593" s="3" t="s">
        <v>88</v>
      </c>
      <c r="H1593" s="2" t="s">
        <v>21</v>
      </c>
      <c r="I1593" s="2" t="s">
        <v>3607</v>
      </c>
      <c r="J1593" s="3" t="str">
        <f>HYPERLINK("https://www.boe.es/gazeta/dias/1821/09/28/pdfs/GMD-1821-276.pdf#page=4","Abrir facsímil")</f>
        <v>Abrir facsímil</v>
      </c>
      <c r="K1593" s="3" t="s">
        <v>23</v>
      </c>
    </row>
    <row r="1594" spans="1:11" ht="42" customHeight="1">
      <c r="A1594" s="2" t="s">
        <v>3608</v>
      </c>
      <c r="B1594" s="2" t="s">
        <v>3609</v>
      </c>
      <c r="C1594" s="2" t="s">
        <v>26</v>
      </c>
      <c r="D1594" s="2" t="s">
        <v>27</v>
      </c>
      <c r="E1594" s="5">
        <v>-28688</v>
      </c>
      <c r="F1594" s="3" t="s">
        <v>1504</v>
      </c>
      <c r="G1594" s="3" t="s">
        <v>52</v>
      </c>
      <c r="H1594" s="2" t="s">
        <v>21</v>
      </c>
      <c r="I1594" s="2" t="s">
        <v>3610</v>
      </c>
      <c r="J1594" s="3" t="str">
        <f>HYPERLINK("https://www.boe.es/gazeta/dias/1821/06/14/pdfs/GMD-1821-167.pdf#page=2","Abrir facsímil")</f>
        <v>Abrir facsímil</v>
      </c>
      <c r="K1594" s="3" t="s">
        <v>23</v>
      </c>
    </row>
    <row r="1595" spans="1:11" ht="42" customHeight="1">
      <c r="A1595" s="2" t="s">
        <v>3611</v>
      </c>
      <c r="B1595" s="2" t="s">
        <v>3612</v>
      </c>
      <c r="C1595" s="2" t="s">
        <v>26</v>
      </c>
      <c r="D1595" s="2" t="s">
        <v>27</v>
      </c>
      <c r="E1595" s="5">
        <v>-28776</v>
      </c>
      <c r="F1595" s="3" t="s">
        <v>312</v>
      </c>
      <c r="G1595" s="3" t="s">
        <v>88</v>
      </c>
      <c r="H1595" s="2" t="s">
        <v>21</v>
      </c>
      <c r="I1595" s="2" t="s">
        <v>3613</v>
      </c>
      <c r="J1595" s="3" t="str">
        <f>HYPERLINK("https://www.boe.es/gazeta/dias/1821/03/18/pdfs/GMD-1821-77.pdf#page=4","Abrir facsímil")</f>
        <v>Abrir facsímil</v>
      </c>
      <c r="K1595" s="3" t="s">
        <v>23</v>
      </c>
    </row>
    <row r="1596" spans="1:11" ht="42" customHeight="1">
      <c r="A1596" s="2" t="s">
        <v>3614</v>
      </c>
      <c r="B1596" s="2" t="s">
        <v>3615</v>
      </c>
      <c r="C1596" s="2" t="s">
        <v>114</v>
      </c>
      <c r="D1596" s="2" t="s">
        <v>27</v>
      </c>
      <c r="E1596" s="5">
        <v>-28646</v>
      </c>
      <c r="F1596" s="3" t="s">
        <v>1457</v>
      </c>
      <c r="G1596" s="3" t="s">
        <v>79</v>
      </c>
      <c r="H1596" s="2" t="s">
        <v>21</v>
      </c>
      <c r="I1596" s="2" t="s">
        <v>3616</v>
      </c>
      <c r="J1596" s="3" t="str">
        <f>HYPERLINK("https://www.boe.es/gazeta/dias/1821/07/26/pdfs/GMD-1821-211.pdf#page=4","Abrir facsímil")</f>
        <v>Abrir facsímil</v>
      </c>
      <c r="K1596" s="3" t="s">
        <v>23</v>
      </c>
    </row>
    <row r="1597" spans="1:11" ht="42" customHeight="1">
      <c r="A1597" s="2" t="s">
        <v>3617</v>
      </c>
      <c r="B1597" s="2" t="s">
        <v>3618</v>
      </c>
      <c r="C1597" s="2" t="s">
        <v>70</v>
      </c>
      <c r="D1597" s="2" t="s">
        <v>27</v>
      </c>
      <c r="E1597" s="5">
        <v>-28674</v>
      </c>
      <c r="F1597" s="3" t="s">
        <v>536</v>
      </c>
      <c r="G1597" s="3" t="s">
        <v>88</v>
      </c>
      <c r="H1597" s="2" t="s">
        <v>21</v>
      </c>
      <c r="I1597" s="2" t="s">
        <v>3619</v>
      </c>
      <c r="J1597" s="3" t="str">
        <f>HYPERLINK("https://www.boe.es/gazeta/dias/1821/06/28/pdfs/GMD-1821-181.pdf#page=4","Abrir facsímil")</f>
        <v>Abrir facsímil</v>
      </c>
      <c r="K1597" s="3" t="s">
        <v>23</v>
      </c>
    </row>
    <row r="1598" spans="1:11" ht="42" customHeight="1">
      <c r="A1598" s="2" t="s">
        <v>3620</v>
      </c>
      <c r="B1598" s="2" t="s">
        <v>3621</v>
      </c>
      <c r="C1598" s="2" t="s">
        <v>26</v>
      </c>
      <c r="D1598" s="2" t="s">
        <v>27</v>
      </c>
      <c r="E1598" s="5">
        <v>-28607</v>
      </c>
      <c r="F1598" s="3" t="s">
        <v>740</v>
      </c>
      <c r="G1598" s="3" t="s">
        <v>88</v>
      </c>
      <c r="H1598" s="2" t="s">
        <v>21</v>
      </c>
      <c r="I1598" s="2" t="s">
        <v>3622</v>
      </c>
      <c r="J1598" s="3" t="str">
        <f>HYPERLINK("https://www.boe.es/gazeta/dias/1821/09/03/pdfs/GMD-1821-251.pdf#page=4","Abrir facsímil")</f>
        <v>Abrir facsímil</v>
      </c>
      <c r="K1598" s="3" t="s">
        <v>23</v>
      </c>
    </row>
    <row r="1599" spans="1:11" ht="42" customHeight="1">
      <c r="A1599" s="2" t="s">
        <v>3623</v>
      </c>
      <c r="B1599" s="2" t="s">
        <v>3624</v>
      </c>
      <c r="C1599" s="2" t="s">
        <v>26</v>
      </c>
      <c r="D1599" s="2" t="s">
        <v>27</v>
      </c>
      <c r="E1599" s="5">
        <v>-28662</v>
      </c>
      <c r="F1599" s="3" t="s">
        <v>3289</v>
      </c>
      <c r="G1599" s="3" t="s">
        <v>20</v>
      </c>
      <c r="H1599" s="2" t="s">
        <v>21</v>
      </c>
      <c r="I1599" s="2" t="s">
        <v>3625</v>
      </c>
      <c r="J1599" s="3" t="str">
        <f>HYPERLINK("https://www.boe.es/gazeta/dias/1821/07/10/pdfs/GMD-1821-195.pdf#page=3","Abrir facsímil")</f>
        <v>Abrir facsímil</v>
      </c>
      <c r="K1599" s="3" t="s">
        <v>23</v>
      </c>
    </row>
    <row r="1600" spans="1:11" ht="42" customHeight="1">
      <c r="A1600" s="2" t="s">
        <v>3626</v>
      </c>
      <c r="B1600" s="2" t="s">
        <v>3627</v>
      </c>
      <c r="C1600" s="2" t="s">
        <v>26</v>
      </c>
      <c r="D1600" s="2" t="s">
        <v>27</v>
      </c>
      <c r="E1600" s="5">
        <v>-28676</v>
      </c>
      <c r="F1600" s="3" t="s">
        <v>534</v>
      </c>
      <c r="G1600" s="3" t="s">
        <v>29</v>
      </c>
      <c r="H1600" s="2" t="s">
        <v>21</v>
      </c>
      <c r="I1600" s="2" t="s">
        <v>3628</v>
      </c>
      <c r="J1600" s="3" t="str">
        <f>HYPERLINK("https://www.boe.es/gazeta/dias/1821/06/26/pdfs/GMD-1821-179.pdf#page=6","Abrir facsímil")</f>
        <v>Abrir facsímil</v>
      </c>
      <c r="K1600" s="3" t="s">
        <v>23</v>
      </c>
    </row>
    <row r="1601" spans="1:11" ht="42" customHeight="1">
      <c r="A1601" s="2" t="s">
        <v>3629</v>
      </c>
      <c r="B1601" s="2" t="s">
        <v>3630</v>
      </c>
      <c r="C1601" s="2" t="s">
        <v>40</v>
      </c>
      <c r="D1601" s="2" t="s">
        <v>41</v>
      </c>
      <c r="E1601" s="5">
        <v>-28494</v>
      </c>
      <c r="F1601" s="3" t="s">
        <v>1665</v>
      </c>
      <c r="G1601" s="3" t="s">
        <v>3631</v>
      </c>
      <c r="H1601" s="2" t="s">
        <v>30</v>
      </c>
      <c r="I1601" s="2" t="s">
        <v>3632</v>
      </c>
      <c r="J1601" s="3" t="str">
        <f>HYPERLINK("https://www.boe.es/gazeta/dias/1821/12/25/pdfs/GMD-1821-368.pdf#page=4","Abrir facsímil")</f>
        <v>Abrir facsímil</v>
      </c>
      <c r="K1601" s="3" t="s">
        <v>32</v>
      </c>
    </row>
    <row r="1602" spans="1:11" ht="42" customHeight="1">
      <c r="A1602" s="2" t="s">
        <v>3633</v>
      </c>
      <c r="B1602" s="2" t="s">
        <v>3634</v>
      </c>
      <c r="C1602" s="2" t="s">
        <v>17</v>
      </c>
      <c r="D1602" s="2" t="s">
        <v>18</v>
      </c>
      <c r="E1602" s="5">
        <v>-28493</v>
      </c>
      <c r="F1602" s="3" t="s">
        <v>3010</v>
      </c>
      <c r="G1602" s="3" t="s">
        <v>52</v>
      </c>
      <c r="H1602" s="2" t="s">
        <v>21</v>
      </c>
      <c r="I1602" s="2" t="s">
        <v>3635</v>
      </c>
      <c r="J1602" s="3" t="str">
        <f>HYPERLINK("https://www.boe.es/gazeta/dias/1821/12/26/pdfs/GMD-1821-369.pdf#page=2","Abrir facsímil")</f>
        <v>Abrir facsímil</v>
      </c>
      <c r="K1602" s="3" t="s">
        <v>23</v>
      </c>
    </row>
    <row r="1603" spans="1:11" ht="42" customHeight="1">
      <c r="A1603" s="2" t="s">
        <v>3636</v>
      </c>
      <c r="B1603" s="2" t="s">
        <v>3637</v>
      </c>
      <c r="C1603" s="2" t="s">
        <v>17</v>
      </c>
      <c r="D1603" s="2" t="s">
        <v>18</v>
      </c>
      <c r="E1603" s="5">
        <v>-28591</v>
      </c>
      <c r="F1603" s="3" t="s">
        <v>3638</v>
      </c>
      <c r="G1603" s="3" t="s">
        <v>20</v>
      </c>
      <c r="H1603" s="2" t="s">
        <v>21</v>
      </c>
      <c r="I1603" s="2" t="s">
        <v>3639</v>
      </c>
      <c r="J1603" s="3" t="str">
        <f>HYPERLINK("https://www.boe.es/gazeta/dias/1821/09/19/pdfs/GMD-1821-267.pdf#page=3","Abrir facsímil")</f>
        <v>Abrir facsímil</v>
      </c>
      <c r="K1603" s="3" t="s">
        <v>23</v>
      </c>
    </row>
    <row r="1604" spans="1:11" ht="42" customHeight="1">
      <c r="A1604" s="2" t="s">
        <v>3640</v>
      </c>
      <c r="B1604" s="2" t="s">
        <v>3641</v>
      </c>
      <c r="C1604" s="2" t="s">
        <v>17</v>
      </c>
      <c r="D1604" s="2" t="s">
        <v>18</v>
      </c>
      <c r="E1604" s="5">
        <v>-28729</v>
      </c>
      <c r="F1604" s="3" t="s">
        <v>838</v>
      </c>
      <c r="G1604" s="3" t="s">
        <v>52</v>
      </c>
      <c r="H1604" s="2" t="s">
        <v>21</v>
      </c>
      <c r="I1604" s="2" t="s">
        <v>3642</v>
      </c>
      <c r="J1604" s="3" t="str">
        <f>HYPERLINK("https://www.boe.es/gazeta/dias/1821/05/04/pdfs/GMD-1821-126.pdf#page=2","Abrir facsímil")</f>
        <v>Abrir facsímil</v>
      </c>
      <c r="K1604" s="3" t="s">
        <v>23</v>
      </c>
    </row>
    <row r="1605" spans="1:11" ht="42" customHeight="1">
      <c r="A1605" s="2" t="s">
        <v>3643</v>
      </c>
      <c r="B1605" s="2" t="s">
        <v>3643</v>
      </c>
      <c r="C1605" s="2" t="s">
        <v>35</v>
      </c>
      <c r="D1605" s="2" t="s">
        <v>27</v>
      </c>
      <c r="E1605" s="5">
        <v>-28523</v>
      </c>
      <c r="F1605" s="3" t="s">
        <v>257</v>
      </c>
      <c r="G1605" s="3" t="s">
        <v>88</v>
      </c>
      <c r="H1605" s="2" t="s">
        <v>21</v>
      </c>
      <c r="I1605" s="2" t="s">
        <v>3644</v>
      </c>
      <c r="J1605" s="3" t="str">
        <f>HYPERLINK("https://www.boe.es/gazeta/dias/1821/11/26/pdfs/GMD-1821-337.pdf#page=4","Abrir facsímil")</f>
        <v>Abrir facsímil</v>
      </c>
      <c r="K1605" s="3" t="s">
        <v>23</v>
      </c>
    </row>
    <row r="1606" spans="1:11" ht="42" customHeight="1">
      <c r="A1606" s="2" t="s">
        <v>3643</v>
      </c>
      <c r="B1606" s="2" t="s">
        <v>3643</v>
      </c>
      <c r="C1606" s="2" t="s">
        <v>26</v>
      </c>
      <c r="D1606" s="2" t="s">
        <v>27</v>
      </c>
      <c r="E1606" s="5">
        <v>-28521</v>
      </c>
      <c r="F1606" s="3" t="s">
        <v>499</v>
      </c>
      <c r="G1606" s="3" t="s">
        <v>20</v>
      </c>
      <c r="H1606" s="2" t="s">
        <v>21</v>
      </c>
      <c r="I1606" s="2" t="s">
        <v>3645</v>
      </c>
      <c r="J1606" s="3" t="str">
        <f>HYPERLINK("https://www.boe.es/gazeta/dias/1821/11/28/pdfs/GMD-1821-340.pdf#page=3","Abrir facsímil")</f>
        <v>Abrir facsímil</v>
      </c>
      <c r="K1606" s="3" t="s">
        <v>23</v>
      </c>
    </row>
    <row r="1607" spans="1:11" ht="42" customHeight="1">
      <c r="A1607" s="2" t="s">
        <v>3646</v>
      </c>
      <c r="B1607" s="2" t="s">
        <v>3647</v>
      </c>
      <c r="C1607" s="2" t="s">
        <v>26</v>
      </c>
      <c r="D1607" s="2" t="s">
        <v>27</v>
      </c>
      <c r="E1607" s="5">
        <v>-28755</v>
      </c>
      <c r="F1607" s="3" t="s">
        <v>906</v>
      </c>
      <c r="G1607" s="3" t="s">
        <v>907</v>
      </c>
      <c r="H1607" s="2" t="s">
        <v>30</v>
      </c>
      <c r="I1607" s="2" t="s">
        <v>3648</v>
      </c>
      <c r="J1607" s="3" t="str">
        <f>HYPERLINK("https://www.boe.es/gazeta/dias/1821/04/08/pdfs/GMD-1821-100.pdf#page=4","Abrir facsímil")</f>
        <v>Abrir facsímil</v>
      </c>
      <c r="K1607" s="3" t="s">
        <v>32</v>
      </c>
    </row>
    <row r="1608" spans="1:11" ht="42" customHeight="1">
      <c r="A1608" s="2" t="s">
        <v>3649</v>
      </c>
      <c r="B1608" s="2" t="s">
        <v>3649</v>
      </c>
      <c r="C1608" s="2" t="s">
        <v>35</v>
      </c>
      <c r="D1608" s="2" t="s">
        <v>27</v>
      </c>
      <c r="E1608" s="5">
        <v>-28736</v>
      </c>
      <c r="F1608" s="3" t="s">
        <v>464</v>
      </c>
      <c r="G1608" s="3" t="s">
        <v>20</v>
      </c>
      <c r="H1608" s="2" t="s">
        <v>21</v>
      </c>
      <c r="I1608" s="2" t="s">
        <v>3650</v>
      </c>
      <c r="J1608" s="3" t="str">
        <f>HYPERLINK("https://www.boe.es/gazeta/dias/1821/04/27/pdfs/GMD-1821-119.pdf#page=3","Abrir facsímil")</f>
        <v>Abrir facsímil</v>
      </c>
      <c r="K1608" s="3" t="s">
        <v>23</v>
      </c>
    </row>
    <row r="1609" spans="1:11" ht="42" customHeight="1">
      <c r="A1609" s="2" t="s">
        <v>3649</v>
      </c>
      <c r="B1609" s="2" t="s">
        <v>3649</v>
      </c>
      <c r="C1609" s="2" t="s">
        <v>114</v>
      </c>
      <c r="D1609" s="2" t="s">
        <v>27</v>
      </c>
      <c r="E1609" s="5">
        <v>-28571</v>
      </c>
      <c r="F1609" s="3" t="s">
        <v>482</v>
      </c>
      <c r="G1609" s="3" t="s">
        <v>88</v>
      </c>
      <c r="H1609" s="2" t="s">
        <v>21</v>
      </c>
      <c r="I1609" s="2" t="s">
        <v>3651</v>
      </c>
      <c r="J1609" s="3" t="str">
        <f>HYPERLINK("https://www.boe.es/gazeta/dias/1821/10/09/pdfs/GMD-1821-288.pdf#page=4","Abrir facsímil")</f>
        <v>Abrir facsímil</v>
      </c>
      <c r="K1609" s="3" t="s">
        <v>23</v>
      </c>
    </row>
    <row r="1610" spans="1:11" ht="42" customHeight="1">
      <c r="A1610" s="2" t="s">
        <v>3649</v>
      </c>
      <c r="B1610" s="2" t="s">
        <v>3649</v>
      </c>
      <c r="C1610" s="2" t="s">
        <v>35</v>
      </c>
      <c r="D1610" s="2" t="s">
        <v>27</v>
      </c>
      <c r="E1610" s="5">
        <v>-28571</v>
      </c>
      <c r="F1610" s="3" t="s">
        <v>482</v>
      </c>
      <c r="G1610" s="3" t="s">
        <v>162</v>
      </c>
      <c r="H1610" s="2" t="s">
        <v>21</v>
      </c>
      <c r="I1610" s="2" t="s">
        <v>3652</v>
      </c>
      <c r="J1610" s="3" t="str">
        <f>HYPERLINK("https://www.boe.es/gazeta/dias/1821/10/09/pdfs/GMD-1821-288.pdf#page=5","Abrir facsímil")</f>
        <v>Abrir facsímil</v>
      </c>
      <c r="K1610" s="3" t="s">
        <v>23</v>
      </c>
    </row>
    <row r="1611" spans="1:11" ht="42" customHeight="1">
      <c r="A1611" s="2" t="s">
        <v>3649</v>
      </c>
      <c r="B1611" s="2" t="s">
        <v>3649</v>
      </c>
      <c r="C1611" s="2" t="s">
        <v>40</v>
      </c>
      <c r="D1611" s="2" t="s">
        <v>41</v>
      </c>
      <c r="E1611" s="5">
        <v>-28562</v>
      </c>
      <c r="F1611" s="3" t="s">
        <v>3093</v>
      </c>
      <c r="G1611" s="3" t="s">
        <v>162</v>
      </c>
      <c r="H1611" s="2" t="s">
        <v>21</v>
      </c>
      <c r="I1611" s="2" t="s">
        <v>3653</v>
      </c>
      <c r="J1611" s="3" t="str">
        <f>HYPERLINK("https://www.boe.es/gazeta/dias/1821/10/18/pdfs/GMD-1821-297.pdf#page=5","Abrir facsímil")</f>
        <v>Abrir facsímil</v>
      </c>
      <c r="K1611" s="3" t="s">
        <v>23</v>
      </c>
    </row>
    <row r="1612" spans="1:11" ht="42" customHeight="1">
      <c r="A1612" s="2" t="s">
        <v>3649</v>
      </c>
      <c r="B1612" s="2" t="s">
        <v>3649</v>
      </c>
      <c r="C1612" s="2" t="s">
        <v>70</v>
      </c>
      <c r="D1612" s="2" t="s">
        <v>27</v>
      </c>
      <c r="E1612" s="5">
        <v>-28562</v>
      </c>
      <c r="F1612" s="3" t="s">
        <v>3093</v>
      </c>
      <c r="G1612" s="3" t="s">
        <v>29</v>
      </c>
      <c r="H1612" s="2" t="s">
        <v>21</v>
      </c>
      <c r="I1612" s="2" t="s">
        <v>3654</v>
      </c>
      <c r="J1612" s="3" t="str">
        <f>HYPERLINK("https://www.boe.es/gazeta/dias/1821/10/18/pdfs/GMD-1821-297.pdf#page=6","Abrir facsímil")</f>
        <v>Abrir facsímil</v>
      </c>
      <c r="K1612" s="3" t="s">
        <v>23</v>
      </c>
    </row>
    <row r="1613" spans="1:11" ht="42" customHeight="1">
      <c r="A1613" s="2" t="s">
        <v>3649</v>
      </c>
      <c r="B1613" s="2" t="s">
        <v>3649</v>
      </c>
      <c r="C1613" s="2" t="s">
        <v>35</v>
      </c>
      <c r="D1613" s="2" t="s">
        <v>27</v>
      </c>
      <c r="E1613" s="5">
        <v>-28561</v>
      </c>
      <c r="F1613" s="3" t="s">
        <v>240</v>
      </c>
      <c r="G1613" s="3" t="s">
        <v>162</v>
      </c>
      <c r="H1613" s="2" t="s">
        <v>21</v>
      </c>
      <c r="I1613" s="2" t="s">
        <v>3655</v>
      </c>
      <c r="J1613" s="3" t="str">
        <f>HYPERLINK("https://www.boe.es/gazeta/dias/1821/10/19/pdfs/GMD-1821-298.pdf#page=5","Abrir facsímil")</f>
        <v>Abrir facsímil</v>
      </c>
      <c r="K1613" s="3" t="s">
        <v>23</v>
      </c>
    </row>
    <row r="1614" spans="1:11" ht="42" customHeight="1">
      <c r="A1614" s="2" t="s">
        <v>3649</v>
      </c>
      <c r="B1614" s="2" t="s">
        <v>3649</v>
      </c>
      <c r="C1614" s="2" t="s">
        <v>35</v>
      </c>
      <c r="D1614" s="2" t="s">
        <v>27</v>
      </c>
      <c r="E1614" s="5">
        <v>-28560</v>
      </c>
      <c r="F1614" s="3" t="s">
        <v>363</v>
      </c>
      <c r="G1614" s="3" t="s">
        <v>88</v>
      </c>
      <c r="H1614" s="2" t="s">
        <v>21</v>
      </c>
      <c r="I1614" s="2" t="s">
        <v>3656</v>
      </c>
      <c r="J1614" s="3" t="str">
        <f>HYPERLINK("https://www.boe.es/gazeta/dias/1821/10/20/pdfs/GMD-1821-299.pdf#page=4","Abrir facsímil")</f>
        <v>Abrir facsímil</v>
      </c>
      <c r="K1614" s="3" t="s">
        <v>23</v>
      </c>
    </row>
    <row r="1615" spans="1:11" ht="42" customHeight="1">
      <c r="A1615" s="2" t="s">
        <v>3649</v>
      </c>
      <c r="B1615" s="2" t="s">
        <v>3649</v>
      </c>
      <c r="C1615" s="2" t="s">
        <v>26</v>
      </c>
      <c r="D1615" s="2" t="s">
        <v>27</v>
      </c>
      <c r="E1615" s="5">
        <v>-28560</v>
      </c>
      <c r="F1615" s="3" t="s">
        <v>363</v>
      </c>
      <c r="G1615" s="3" t="s">
        <v>162</v>
      </c>
      <c r="H1615" s="2" t="s">
        <v>21</v>
      </c>
      <c r="I1615" s="2" t="s">
        <v>3657</v>
      </c>
      <c r="J1615" s="3" t="str">
        <f>HYPERLINK("https://www.boe.es/gazeta/dias/1821/10/20/pdfs/GMD-1821-299.pdf#page=5","Abrir facsímil")</f>
        <v>Abrir facsímil</v>
      </c>
      <c r="K1615" s="3" t="s">
        <v>23</v>
      </c>
    </row>
    <row r="1616" spans="1:11" ht="42" customHeight="1">
      <c r="A1616" s="2" t="s">
        <v>3658</v>
      </c>
      <c r="B1616" s="2" t="s">
        <v>3659</v>
      </c>
      <c r="C1616" s="2" t="s">
        <v>35</v>
      </c>
      <c r="D1616" s="2" t="s">
        <v>27</v>
      </c>
      <c r="E1616" s="5">
        <v>-28707</v>
      </c>
      <c r="F1616" s="3" t="s">
        <v>495</v>
      </c>
      <c r="G1616" s="3" t="s">
        <v>52</v>
      </c>
      <c r="H1616" s="2" t="s">
        <v>21</v>
      </c>
      <c r="I1616" s="2" t="s">
        <v>3660</v>
      </c>
      <c r="J1616" s="3" t="str">
        <f>HYPERLINK("https://www.boe.es/gazeta/dias/1821/05/26/pdfs/GMD-1821-148.pdf#page=2","Abrir facsímil")</f>
        <v>Abrir facsímil</v>
      </c>
      <c r="K1616" s="3" t="s">
        <v>23</v>
      </c>
    </row>
    <row r="1617" spans="1:11" ht="42" customHeight="1">
      <c r="A1617" s="2" t="s">
        <v>3661</v>
      </c>
      <c r="B1617" s="2" t="s">
        <v>3662</v>
      </c>
      <c r="C1617" s="2" t="s">
        <v>35</v>
      </c>
      <c r="D1617" s="2" t="s">
        <v>27</v>
      </c>
      <c r="E1617" s="5">
        <v>-28791</v>
      </c>
      <c r="F1617" s="3" t="s">
        <v>47</v>
      </c>
      <c r="G1617" s="3" t="s">
        <v>88</v>
      </c>
      <c r="H1617" s="2" t="s">
        <v>21</v>
      </c>
      <c r="I1617" s="2" t="s">
        <v>3663</v>
      </c>
      <c r="J1617" s="3" t="str">
        <f>HYPERLINK("https://www.boe.es/gazeta/dias/1821/03/03/pdfs/GGB-1821-62.pdf#page=4","Abrir facsímil")</f>
        <v>Abrir facsímil</v>
      </c>
      <c r="K1617" s="3" t="s">
        <v>23</v>
      </c>
    </row>
    <row r="1618" spans="1:11" ht="42" customHeight="1">
      <c r="A1618" s="2" t="s">
        <v>3664</v>
      </c>
      <c r="B1618" s="2" t="s">
        <v>3665</v>
      </c>
      <c r="C1618" s="2" t="s">
        <v>40</v>
      </c>
      <c r="D1618" s="2" t="s">
        <v>41</v>
      </c>
      <c r="E1618" s="5">
        <v>-28711</v>
      </c>
      <c r="F1618" s="3" t="s">
        <v>1048</v>
      </c>
      <c r="G1618" s="3" t="s">
        <v>52</v>
      </c>
      <c r="H1618" s="2" t="s">
        <v>21</v>
      </c>
      <c r="I1618" s="2" t="s">
        <v>3666</v>
      </c>
      <c r="J1618" s="3" t="str">
        <f>HYPERLINK("https://www.boe.es/gazeta/dias/1821/05/22/pdfs/GMD-1821-144.pdf#page=2","Abrir facsímil")</f>
        <v>Abrir facsímil</v>
      </c>
      <c r="K1618" s="3" t="s">
        <v>23</v>
      </c>
    </row>
    <row r="1619" spans="1:11" ht="42" customHeight="1">
      <c r="A1619" s="2" t="s">
        <v>3667</v>
      </c>
      <c r="B1619" s="2" t="s">
        <v>3668</v>
      </c>
      <c r="C1619" s="2" t="s">
        <v>17</v>
      </c>
      <c r="D1619" s="2" t="s">
        <v>18</v>
      </c>
      <c r="E1619" s="5">
        <v>-28699</v>
      </c>
      <c r="F1619" s="3" t="s">
        <v>280</v>
      </c>
      <c r="G1619" s="3" t="s">
        <v>20</v>
      </c>
      <c r="H1619" s="2" t="s">
        <v>21</v>
      </c>
      <c r="I1619" s="2" t="s">
        <v>3669</v>
      </c>
      <c r="J1619" s="3" t="str">
        <f>HYPERLINK("https://www.boe.es/gazeta/dias/1821/06/03/pdfs/GMD-1821-156.pdf#page=3","Abrir facsímil")</f>
        <v>Abrir facsímil</v>
      </c>
      <c r="K1619" s="3" t="s">
        <v>23</v>
      </c>
    </row>
    <row r="1620" spans="1:11" ht="42" customHeight="1">
      <c r="A1620" s="2" t="s">
        <v>3667</v>
      </c>
      <c r="B1620" s="2" t="s">
        <v>3668</v>
      </c>
      <c r="C1620" s="2" t="s">
        <v>40</v>
      </c>
      <c r="D1620" s="2" t="s">
        <v>41</v>
      </c>
      <c r="E1620" s="5">
        <v>-28688</v>
      </c>
      <c r="F1620" s="3" t="s">
        <v>1504</v>
      </c>
      <c r="G1620" s="3" t="s">
        <v>20</v>
      </c>
      <c r="H1620" s="2" t="s">
        <v>21</v>
      </c>
      <c r="I1620" s="2" t="s">
        <v>3670</v>
      </c>
      <c r="J1620" s="3" t="str">
        <f>HYPERLINK("https://www.boe.es/gazeta/dias/1821/06/14/pdfs/GMD-1821-167.pdf#page=3","Abrir facsímil")</f>
        <v>Abrir facsímil</v>
      </c>
      <c r="K1620" s="3" t="s">
        <v>23</v>
      </c>
    </row>
    <row r="1621" spans="1:11" ht="42" customHeight="1">
      <c r="A1621" s="2" t="s">
        <v>3671</v>
      </c>
      <c r="B1621" s="2" t="s">
        <v>3672</v>
      </c>
      <c r="C1621" s="2" t="s">
        <v>494</v>
      </c>
      <c r="D1621" s="2" t="s">
        <v>18</v>
      </c>
      <c r="E1621" s="5">
        <v>-28715</v>
      </c>
      <c r="F1621" s="3" t="s">
        <v>1046</v>
      </c>
      <c r="G1621" s="3" t="s">
        <v>88</v>
      </c>
      <c r="H1621" s="2" t="s">
        <v>21</v>
      </c>
      <c r="I1621" s="2" t="s">
        <v>3673</v>
      </c>
      <c r="J1621" s="3" t="str">
        <f>HYPERLINK("https://www.boe.es/gazeta/dias/1821/05/18/pdfs/GMD-1821-140.pdf#page=4","Abrir facsímil")</f>
        <v>Abrir facsímil</v>
      </c>
      <c r="K1621" s="3" t="s">
        <v>23</v>
      </c>
    </row>
    <row r="1622" spans="1:11" ht="42" customHeight="1">
      <c r="A1622" s="2" t="s">
        <v>3674</v>
      </c>
      <c r="B1622" s="2" t="s">
        <v>3675</v>
      </c>
      <c r="C1622" s="2" t="s">
        <v>40</v>
      </c>
      <c r="D1622" s="2" t="s">
        <v>41</v>
      </c>
      <c r="E1622" s="5">
        <v>-28714</v>
      </c>
      <c r="F1622" s="3" t="s">
        <v>522</v>
      </c>
      <c r="G1622" s="3" t="s">
        <v>52</v>
      </c>
      <c r="H1622" s="2" t="s">
        <v>21</v>
      </c>
      <c r="I1622" s="2" t="s">
        <v>3676</v>
      </c>
      <c r="J1622" s="3" t="str">
        <f>HYPERLINK("https://www.boe.es/gazeta/dias/1821/05/19/pdfs/GMD-1821-141.pdf#page=2","Abrir facsímil")</f>
        <v>Abrir facsímil</v>
      </c>
      <c r="K1622" s="3" t="s">
        <v>23</v>
      </c>
    </row>
    <row r="1623" spans="1:11" ht="42" customHeight="1">
      <c r="A1623" s="2" t="s">
        <v>3677</v>
      </c>
      <c r="B1623" s="2" t="s">
        <v>3678</v>
      </c>
      <c r="C1623" s="2" t="s">
        <v>494</v>
      </c>
      <c r="D1623" s="2" t="s">
        <v>18</v>
      </c>
      <c r="E1623" s="5">
        <v>-28715</v>
      </c>
      <c r="F1623" s="3" t="s">
        <v>1046</v>
      </c>
      <c r="G1623" s="3" t="s">
        <v>88</v>
      </c>
      <c r="H1623" s="2" t="s">
        <v>21</v>
      </c>
      <c r="I1623" s="2" t="s">
        <v>3679</v>
      </c>
      <c r="J1623" s="3" t="str">
        <f>HYPERLINK("https://www.boe.es/gazeta/dias/1821/05/18/pdfs/GMD-1821-140.pdf#page=4","Abrir facsímil")</f>
        <v>Abrir facsímil</v>
      </c>
      <c r="K1623" s="3" t="s">
        <v>23</v>
      </c>
    </row>
    <row r="1624" spans="1:11" ht="42" customHeight="1">
      <c r="A1624" s="2" t="s">
        <v>3680</v>
      </c>
      <c r="B1624" s="2" t="s">
        <v>3681</v>
      </c>
      <c r="C1624" s="2" t="s">
        <v>174</v>
      </c>
      <c r="D1624" s="2" t="s">
        <v>27</v>
      </c>
      <c r="E1624" s="5">
        <v>-28702</v>
      </c>
      <c r="F1624" s="3" t="s">
        <v>1176</v>
      </c>
      <c r="G1624" s="3" t="s">
        <v>1177</v>
      </c>
      <c r="H1624" s="2" t="s">
        <v>21</v>
      </c>
      <c r="I1624" s="2" t="s">
        <v>3682</v>
      </c>
      <c r="J1624" s="3" t="str">
        <f>HYPERLINK("https://www.boe.es/gazeta/dias/1821/05/31/pdfs/GMD-1821-153.pdf#page=2","Abrir facsímil")</f>
        <v>Abrir facsímil</v>
      </c>
      <c r="K1624" s="3" t="s">
        <v>23</v>
      </c>
    </row>
    <row r="1625" spans="1:11" ht="42" customHeight="1">
      <c r="A1625" s="2" t="s">
        <v>3683</v>
      </c>
      <c r="B1625" s="2" t="s">
        <v>3683</v>
      </c>
      <c r="C1625" s="2" t="s">
        <v>70</v>
      </c>
      <c r="D1625" s="2" t="s">
        <v>27</v>
      </c>
      <c r="E1625" s="5">
        <v>-28774</v>
      </c>
      <c r="F1625" s="3" t="s">
        <v>1221</v>
      </c>
      <c r="G1625" s="3" t="s">
        <v>88</v>
      </c>
      <c r="H1625" s="2" t="s">
        <v>21</v>
      </c>
      <c r="I1625" s="2" t="s">
        <v>3684</v>
      </c>
      <c r="J1625" s="3" t="str">
        <f>HYPERLINK("https://www.boe.es/gazeta/dias/1821/03/20/pdfs/GMD-1821-79.pdf#page=4","Abrir facsímil")</f>
        <v>Abrir facsímil</v>
      </c>
      <c r="K1625" s="3" t="s">
        <v>23</v>
      </c>
    </row>
    <row r="1626" spans="1:11" ht="42" customHeight="1">
      <c r="A1626" s="2" t="s">
        <v>3683</v>
      </c>
      <c r="B1626" s="2" t="s">
        <v>3683</v>
      </c>
      <c r="C1626" s="2" t="s">
        <v>35</v>
      </c>
      <c r="D1626" s="2" t="s">
        <v>27</v>
      </c>
      <c r="E1626" s="5">
        <v>-28678</v>
      </c>
      <c r="F1626" s="3" t="s">
        <v>215</v>
      </c>
      <c r="G1626" s="3" t="s">
        <v>1445</v>
      </c>
      <c r="H1626" s="2" t="s">
        <v>21</v>
      </c>
      <c r="I1626" s="2" t="s">
        <v>3685</v>
      </c>
      <c r="J1626" s="3" t="str">
        <f>HYPERLINK("https://www.boe.es/gazeta/dias/1821/06/24/pdfs/GMD-1821-177.pdf#page=3","Abrir facsímil")</f>
        <v>Abrir facsímil</v>
      </c>
      <c r="K1626" s="3" t="s">
        <v>23</v>
      </c>
    </row>
    <row r="1627" spans="1:11" ht="42" customHeight="1">
      <c r="A1627" s="2" t="s">
        <v>3683</v>
      </c>
      <c r="B1627" s="2" t="s">
        <v>3683</v>
      </c>
      <c r="C1627" s="2" t="s">
        <v>26</v>
      </c>
      <c r="D1627" s="2" t="s">
        <v>27</v>
      </c>
      <c r="E1627" s="5">
        <v>-28506</v>
      </c>
      <c r="F1627" s="3" t="s">
        <v>1095</v>
      </c>
      <c r="G1627" s="3" t="s">
        <v>3686</v>
      </c>
      <c r="H1627" s="2" t="s">
        <v>21</v>
      </c>
      <c r="I1627" s="2" t="s">
        <v>3687</v>
      </c>
      <c r="J1627" s="3" t="str">
        <f>HYPERLINK("https://www.boe.es/gazeta/dias/1821/12/13/pdfs/GMD-1821-356.pdf#page=2","Abrir facsímil")</f>
        <v>Abrir facsímil</v>
      </c>
      <c r="K1627" s="3" t="s">
        <v>23</v>
      </c>
    </row>
    <row r="1628" spans="1:11" ht="42" customHeight="1">
      <c r="A1628" s="2" t="s">
        <v>3688</v>
      </c>
      <c r="B1628" s="2" t="s">
        <v>3689</v>
      </c>
      <c r="C1628" s="2" t="s">
        <v>40</v>
      </c>
      <c r="D1628" s="2" t="s">
        <v>41</v>
      </c>
      <c r="E1628" s="5">
        <v>-28762</v>
      </c>
      <c r="F1628" s="3" t="s">
        <v>608</v>
      </c>
      <c r="G1628" s="3" t="s">
        <v>162</v>
      </c>
      <c r="H1628" s="2" t="s">
        <v>21</v>
      </c>
      <c r="I1628" s="2" t="s">
        <v>3690</v>
      </c>
      <c r="J1628" s="3" t="str">
        <f>HYPERLINK("https://www.boe.es/gazeta/dias/1821/04/01/pdfs/GMD-1821-93.pdf#page=5","Abrir facsímil")</f>
        <v>Abrir facsímil</v>
      </c>
      <c r="K1628" s="3" t="s">
        <v>23</v>
      </c>
    </row>
    <row r="1629" spans="1:11" ht="42" customHeight="1">
      <c r="A1629" s="2" t="s">
        <v>3691</v>
      </c>
      <c r="B1629" s="2" t="s">
        <v>3692</v>
      </c>
      <c r="C1629" s="2" t="s">
        <v>40</v>
      </c>
      <c r="D1629" s="2" t="s">
        <v>41</v>
      </c>
      <c r="E1629" s="5">
        <v>-28762</v>
      </c>
      <c r="F1629" s="3" t="s">
        <v>608</v>
      </c>
      <c r="G1629" s="3" t="s">
        <v>162</v>
      </c>
      <c r="H1629" s="2" t="s">
        <v>21</v>
      </c>
      <c r="I1629" s="2" t="s">
        <v>3693</v>
      </c>
      <c r="J1629" s="3" t="str">
        <f>HYPERLINK("https://www.boe.es/gazeta/dias/1821/04/01/pdfs/GMD-1821-93.pdf#page=5","Abrir facsímil")</f>
        <v>Abrir facsímil</v>
      </c>
      <c r="K1629" s="3" t="s">
        <v>23</v>
      </c>
    </row>
    <row r="1630" spans="1:11" ht="42" customHeight="1">
      <c r="A1630" s="2" t="s">
        <v>3694</v>
      </c>
      <c r="B1630" s="2" t="s">
        <v>3695</v>
      </c>
      <c r="C1630" s="2" t="s">
        <v>279</v>
      </c>
      <c r="D1630" s="2" t="s">
        <v>27</v>
      </c>
      <c r="E1630" s="5">
        <v>-28625</v>
      </c>
      <c r="F1630" s="3" t="s">
        <v>738</v>
      </c>
      <c r="G1630" s="3" t="s">
        <v>88</v>
      </c>
      <c r="H1630" s="2" t="s">
        <v>21</v>
      </c>
      <c r="I1630" s="2" t="s">
        <v>3696</v>
      </c>
      <c r="J1630" s="3" t="str">
        <f>HYPERLINK("https://www.boe.es/gazeta/dias/1821/08/16/pdfs/GMD-1821-233.pdf#page=4","Abrir facsímil")</f>
        <v>Abrir facsímil</v>
      </c>
      <c r="K1630" s="3" t="s">
        <v>23</v>
      </c>
    </row>
    <row r="1631" spans="1:11" ht="42" customHeight="1">
      <c r="A1631" s="2" t="s">
        <v>3697</v>
      </c>
      <c r="B1631" s="2" t="s">
        <v>3697</v>
      </c>
      <c r="C1631" s="2" t="s">
        <v>279</v>
      </c>
      <c r="D1631" s="2" t="s">
        <v>27</v>
      </c>
      <c r="E1631" s="5">
        <v>-28730</v>
      </c>
      <c r="F1631" s="3" t="s">
        <v>747</v>
      </c>
      <c r="G1631" s="3" t="s">
        <v>43</v>
      </c>
      <c r="H1631" s="2" t="s">
        <v>21</v>
      </c>
      <c r="I1631" s="2" t="s">
        <v>3698</v>
      </c>
      <c r="J1631" s="3" t="str">
        <f>HYPERLINK("https://www.boe.es/gazeta/dias/1821/05/03/pdfs/GMD-1821-125.pdf#page=1","Abrir facsímil")</f>
        <v>Abrir facsímil</v>
      </c>
      <c r="K1631" s="3" t="s">
        <v>23</v>
      </c>
    </row>
    <row r="1632" spans="1:11" ht="42" customHeight="1">
      <c r="A1632" s="2" t="s">
        <v>3699</v>
      </c>
      <c r="B1632" s="2" t="s">
        <v>3700</v>
      </c>
      <c r="C1632" s="2" t="s">
        <v>35</v>
      </c>
      <c r="D1632" s="2" t="s">
        <v>27</v>
      </c>
      <c r="E1632" s="5">
        <v>-28533</v>
      </c>
      <c r="F1632" s="3" t="s">
        <v>559</v>
      </c>
      <c r="G1632" s="3" t="s">
        <v>29</v>
      </c>
      <c r="H1632" s="2" t="s">
        <v>21</v>
      </c>
      <c r="I1632" s="2" t="s">
        <v>3701</v>
      </c>
      <c r="J1632" s="3" t="str">
        <f>HYPERLINK("https://www.boe.es/gazeta/dias/1821/11/16/pdfs/GMD-1821-327.pdf#page=6","Abrir facsímil")</f>
        <v>Abrir facsímil</v>
      </c>
      <c r="K1632" s="3" t="s">
        <v>23</v>
      </c>
    </row>
    <row r="1633" spans="1:11" ht="42" customHeight="1">
      <c r="A1633" s="2" t="s">
        <v>3702</v>
      </c>
      <c r="B1633" s="2" t="s">
        <v>3702</v>
      </c>
      <c r="C1633" s="2" t="s">
        <v>40</v>
      </c>
      <c r="D1633" s="2" t="s">
        <v>41</v>
      </c>
      <c r="E1633" s="5">
        <v>-28780</v>
      </c>
      <c r="F1633" s="3" t="s">
        <v>143</v>
      </c>
      <c r="G1633" s="3" t="s">
        <v>20</v>
      </c>
      <c r="H1633" s="2" t="s">
        <v>21</v>
      </c>
      <c r="I1633" s="2" t="s">
        <v>3703</v>
      </c>
      <c r="J1633" s="3" t="str">
        <f>HYPERLINK("https://www.boe.es/gazeta/dias/1821/03/14/pdfs/GMD-1821-73.pdf#page=3","Abrir facsímil")</f>
        <v>Abrir facsímil</v>
      </c>
      <c r="K1633" s="3" t="s">
        <v>23</v>
      </c>
    </row>
    <row r="1634" spans="1:11" ht="42" customHeight="1">
      <c r="A1634" s="2" t="s">
        <v>3704</v>
      </c>
      <c r="B1634" s="2" t="s">
        <v>3705</v>
      </c>
      <c r="C1634" s="2" t="s">
        <v>17</v>
      </c>
      <c r="D1634" s="2" t="s">
        <v>18</v>
      </c>
      <c r="E1634" s="5">
        <v>-28577</v>
      </c>
      <c r="F1634" s="3" t="s">
        <v>858</v>
      </c>
      <c r="G1634" s="3" t="s">
        <v>52</v>
      </c>
      <c r="H1634" s="2" t="s">
        <v>21</v>
      </c>
      <c r="I1634" s="2" t="s">
        <v>3706</v>
      </c>
      <c r="J1634" s="3" t="str">
        <f>HYPERLINK("https://www.boe.es/gazeta/dias/1821/10/03/pdfs/GMD-1821-282.pdf#page=2","Abrir facsímil")</f>
        <v>Abrir facsímil</v>
      </c>
      <c r="K1634" s="3" t="s">
        <v>23</v>
      </c>
    </row>
    <row r="1635" spans="1:11" ht="42" customHeight="1">
      <c r="A1635" s="2" t="s">
        <v>3707</v>
      </c>
      <c r="B1635" s="2" t="s">
        <v>3708</v>
      </c>
      <c r="C1635" s="2" t="s">
        <v>40</v>
      </c>
      <c r="D1635" s="2" t="s">
        <v>41</v>
      </c>
      <c r="E1635" s="5">
        <v>-28636</v>
      </c>
      <c r="F1635" s="3" t="s">
        <v>122</v>
      </c>
      <c r="G1635" s="3" t="s">
        <v>20</v>
      </c>
      <c r="H1635" s="2" t="s">
        <v>21</v>
      </c>
      <c r="I1635" s="2" t="s">
        <v>3709</v>
      </c>
      <c r="J1635" s="3" t="str">
        <f>HYPERLINK("https://www.boe.es/gazeta/dias/1821/08/05/pdfs/GMD-1821-221.pdf#page=3","Abrir facsímil")</f>
        <v>Abrir facsímil</v>
      </c>
      <c r="K1635" s="3" t="s">
        <v>23</v>
      </c>
    </row>
    <row r="1636" spans="1:11" ht="42" customHeight="1">
      <c r="A1636" s="2" t="s">
        <v>3710</v>
      </c>
      <c r="B1636" s="2" t="s">
        <v>3710</v>
      </c>
      <c r="C1636" s="2" t="s">
        <v>26</v>
      </c>
      <c r="D1636" s="2" t="s">
        <v>27</v>
      </c>
      <c r="E1636" s="5">
        <v>-28502</v>
      </c>
      <c r="F1636" s="3" t="s">
        <v>570</v>
      </c>
      <c r="G1636" s="3" t="s">
        <v>20</v>
      </c>
      <c r="H1636" s="2" t="s">
        <v>21</v>
      </c>
      <c r="I1636" s="2" t="s">
        <v>3711</v>
      </c>
      <c r="J1636" s="3" t="str">
        <f>HYPERLINK("https://www.boe.es/gazeta/dias/1821/12/17/pdfs/GMD-1821-360.pdf#page=3","Abrir facsímil")</f>
        <v>Abrir facsímil</v>
      </c>
      <c r="K1636" s="3" t="s">
        <v>23</v>
      </c>
    </row>
    <row r="1637" spans="1:11" ht="42" customHeight="1">
      <c r="A1637" s="2" t="s">
        <v>3712</v>
      </c>
      <c r="B1637" s="2" t="s">
        <v>3712</v>
      </c>
      <c r="C1637" s="2" t="s">
        <v>40</v>
      </c>
      <c r="D1637" s="2" t="s">
        <v>41</v>
      </c>
      <c r="E1637" s="5">
        <v>-28747</v>
      </c>
      <c r="F1637" s="3" t="s">
        <v>1016</v>
      </c>
      <c r="G1637" s="3" t="s">
        <v>20</v>
      </c>
      <c r="H1637" s="2" t="s">
        <v>21</v>
      </c>
      <c r="I1637" s="2" t="s">
        <v>3713</v>
      </c>
      <c r="J1637" s="3" t="str">
        <f>HYPERLINK("https://www.boe.es/gazeta/dias/1821/04/16/pdfs/GMD-1821-108.pdf#page=3","Abrir facsímil")</f>
        <v>Abrir facsímil</v>
      </c>
      <c r="K1637" s="3" t="s">
        <v>23</v>
      </c>
    </row>
    <row r="1638" spans="1:11" ht="42" customHeight="1">
      <c r="A1638" s="2" t="s">
        <v>3714</v>
      </c>
      <c r="B1638" s="2" t="s">
        <v>3714</v>
      </c>
      <c r="C1638" s="2" t="s">
        <v>40</v>
      </c>
      <c r="D1638" s="2" t="s">
        <v>41</v>
      </c>
      <c r="E1638" s="5">
        <v>-28787</v>
      </c>
      <c r="F1638" s="3" t="s">
        <v>486</v>
      </c>
      <c r="G1638" s="3" t="s">
        <v>52</v>
      </c>
      <c r="H1638" s="2" t="s">
        <v>21</v>
      </c>
      <c r="I1638" s="2" t="s">
        <v>3715</v>
      </c>
      <c r="J1638" s="3" t="str">
        <f>HYPERLINK("https://www.boe.es/gazeta/dias/1821/03/07/pdfs/GGB-1821-66.pdf#page=2","Abrir facsímil")</f>
        <v>Abrir facsímil</v>
      </c>
      <c r="K1638" s="3" t="s">
        <v>23</v>
      </c>
    </row>
    <row r="1639" spans="1:11" ht="42" customHeight="1">
      <c r="A1639" s="2" t="s">
        <v>3714</v>
      </c>
      <c r="B1639" s="2" t="s">
        <v>3714</v>
      </c>
      <c r="C1639" s="2" t="s">
        <v>35</v>
      </c>
      <c r="D1639" s="2" t="s">
        <v>27</v>
      </c>
      <c r="E1639" s="5">
        <v>-28710</v>
      </c>
      <c r="F1639" s="3" t="s">
        <v>375</v>
      </c>
      <c r="G1639" s="3" t="s">
        <v>52</v>
      </c>
      <c r="H1639" s="2" t="s">
        <v>21</v>
      </c>
      <c r="I1639" s="2" t="s">
        <v>3716</v>
      </c>
      <c r="J1639" s="3" t="str">
        <f>HYPERLINK("https://www.boe.es/gazeta/dias/1821/05/23/pdfs/GMD-1821-145.pdf#page=2","Abrir facsímil")</f>
        <v>Abrir facsímil</v>
      </c>
      <c r="K1639" s="3" t="s">
        <v>23</v>
      </c>
    </row>
    <row r="1640" spans="1:11" ht="42" customHeight="1">
      <c r="A1640" s="2" t="s">
        <v>3717</v>
      </c>
      <c r="B1640" s="2" t="s">
        <v>3717</v>
      </c>
      <c r="C1640" s="2" t="s">
        <v>26</v>
      </c>
      <c r="D1640" s="2" t="s">
        <v>27</v>
      </c>
      <c r="E1640" s="5">
        <v>-28520</v>
      </c>
      <c r="F1640" s="3" t="s">
        <v>878</v>
      </c>
      <c r="G1640" s="3" t="s">
        <v>52</v>
      </c>
      <c r="H1640" s="2" t="s">
        <v>21</v>
      </c>
      <c r="I1640" s="2" t="s">
        <v>3718</v>
      </c>
      <c r="J1640" s="3" t="str">
        <f>HYPERLINK("https://www.boe.es/gazeta/dias/1821/11/29/pdfs/GMD-1821-341.pdf#page=2","Abrir facsímil")</f>
        <v>Abrir facsímil</v>
      </c>
      <c r="K1640" s="3" t="s">
        <v>23</v>
      </c>
    </row>
    <row r="1641" spans="1:11" ht="42" customHeight="1">
      <c r="A1641" s="2" t="s">
        <v>3714</v>
      </c>
      <c r="B1641" s="2" t="s">
        <v>3714</v>
      </c>
      <c r="C1641" s="2" t="s">
        <v>26</v>
      </c>
      <c r="D1641" s="2" t="s">
        <v>27</v>
      </c>
      <c r="E1641" s="5">
        <v>-28516</v>
      </c>
      <c r="F1641" s="3" t="s">
        <v>514</v>
      </c>
      <c r="G1641" s="3" t="s">
        <v>162</v>
      </c>
      <c r="H1641" s="2" t="s">
        <v>21</v>
      </c>
      <c r="I1641" s="2" t="s">
        <v>3719</v>
      </c>
      <c r="J1641" s="3" t="str">
        <f>HYPERLINK("https://www.boe.es/gazeta/dias/1821/12/03/pdfs/GMD-1821-345.pdf#page=5","Abrir facsímil")</f>
        <v>Abrir facsímil</v>
      </c>
      <c r="K1641" s="3" t="s">
        <v>23</v>
      </c>
    </row>
    <row r="1642" spans="1:11" ht="42" customHeight="1">
      <c r="A1642" s="2" t="s">
        <v>3714</v>
      </c>
      <c r="B1642" s="2" t="s">
        <v>3714</v>
      </c>
      <c r="C1642" s="2" t="s">
        <v>26</v>
      </c>
      <c r="D1642" s="2" t="s">
        <v>27</v>
      </c>
      <c r="E1642" s="5">
        <v>-28516</v>
      </c>
      <c r="F1642" s="3" t="s">
        <v>514</v>
      </c>
      <c r="G1642" s="3" t="s">
        <v>29</v>
      </c>
      <c r="H1642" s="2" t="s">
        <v>21</v>
      </c>
      <c r="I1642" s="2" t="s">
        <v>3720</v>
      </c>
      <c r="J1642" s="3" t="str">
        <f>HYPERLINK("https://www.boe.es/gazeta/dias/1821/12/03/pdfs/GMD-1821-345.pdf#page=6","Abrir facsímil")</f>
        <v>Abrir facsímil</v>
      </c>
      <c r="K1642" s="3" t="s">
        <v>23</v>
      </c>
    </row>
    <row r="1643" spans="1:11" ht="42" customHeight="1">
      <c r="A1643" s="2" t="s">
        <v>3721</v>
      </c>
      <c r="B1643" s="2" t="s">
        <v>3721</v>
      </c>
      <c r="C1643" s="2" t="s">
        <v>26</v>
      </c>
      <c r="D1643" s="2" t="s">
        <v>27</v>
      </c>
      <c r="E1643" s="5">
        <v>-28497</v>
      </c>
      <c r="F1643" s="3" t="s">
        <v>225</v>
      </c>
      <c r="G1643" s="3" t="s">
        <v>20</v>
      </c>
      <c r="H1643" s="2" t="s">
        <v>21</v>
      </c>
      <c r="I1643" s="2" t="s">
        <v>3722</v>
      </c>
      <c r="J1643" s="3" t="str">
        <f>HYPERLINK("https://www.boe.es/gazeta/dias/1821/12/22/pdfs/GMD-1821-365.pdf#page=3","Abrir facsímil")</f>
        <v>Abrir facsímil</v>
      </c>
      <c r="K1643" s="3" t="s">
        <v>23</v>
      </c>
    </row>
    <row r="1644" spans="1:11" ht="42" customHeight="1">
      <c r="A1644" s="2" t="s">
        <v>3723</v>
      </c>
      <c r="B1644" s="2" t="s">
        <v>3724</v>
      </c>
      <c r="C1644" s="2" t="s">
        <v>17</v>
      </c>
      <c r="D1644" s="2" t="s">
        <v>18</v>
      </c>
      <c r="E1644" s="5">
        <v>-28587</v>
      </c>
      <c r="F1644" s="3" t="s">
        <v>392</v>
      </c>
      <c r="G1644" s="3" t="s">
        <v>20</v>
      </c>
      <c r="H1644" s="2" t="s">
        <v>21</v>
      </c>
      <c r="I1644" s="2" t="s">
        <v>3725</v>
      </c>
      <c r="J1644" s="3" t="str">
        <f>HYPERLINK("https://www.boe.es/gazeta/dias/1821/09/23/pdfs/GMD-1821-271.pdf#page=3","Abrir facsímil")</f>
        <v>Abrir facsímil</v>
      </c>
      <c r="K1644" s="3" t="s">
        <v>23</v>
      </c>
    </row>
    <row r="1645" spans="1:11" ht="42" customHeight="1">
      <c r="A1645" s="2" t="s">
        <v>3726</v>
      </c>
      <c r="B1645" s="2" t="s">
        <v>3726</v>
      </c>
      <c r="C1645" s="2" t="s">
        <v>40</v>
      </c>
      <c r="D1645" s="2" t="s">
        <v>41</v>
      </c>
      <c r="E1645" s="5">
        <v>-28790</v>
      </c>
      <c r="F1645" s="3" t="s">
        <v>991</v>
      </c>
      <c r="G1645" s="3" t="s">
        <v>88</v>
      </c>
      <c r="H1645" s="2" t="s">
        <v>21</v>
      </c>
      <c r="I1645" s="2" t="s">
        <v>3727</v>
      </c>
      <c r="J1645" s="3" t="str">
        <f>HYPERLINK("https://www.boe.es/gazeta/dias/1821/03/04/pdfs/GGB-1821-63.pdf#page=4","Abrir facsímil")</f>
        <v>Abrir facsímil</v>
      </c>
      <c r="K1645" s="3" t="s">
        <v>23</v>
      </c>
    </row>
    <row r="1646" spans="1:11" ht="42" customHeight="1">
      <c r="A1646" s="2" t="s">
        <v>3728</v>
      </c>
      <c r="B1646" s="2" t="s">
        <v>3729</v>
      </c>
      <c r="C1646" s="2" t="s">
        <v>114</v>
      </c>
      <c r="D1646" s="2" t="s">
        <v>27</v>
      </c>
      <c r="E1646" s="5">
        <v>-28805</v>
      </c>
      <c r="F1646" s="3" t="s">
        <v>382</v>
      </c>
      <c r="G1646" s="3" t="s">
        <v>88</v>
      </c>
      <c r="H1646" s="2" t="s">
        <v>21</v>
      </c>
      <c r="I1646" s="2" t="s">
        <v>3730</v>
      </c>
      <c r="J1646" s="3" t="str">
        <f>HYPERLINK("https://www.boe.es/gazeta/dias/1821/02/17/pdfs/GGB-1821-48.pdf#page=4","Abrir facsímil")</f>
        <v>Abrir facsímil</v>
      </c>
      <c r="K1646" s="3" t="s">
        <v>23</v>
      </c>
    </row>
    <row r="1647" spans="1:11" ht="42" customHeight="1">
      <c r="A1647" s="2" t="s">
        <v>3731</v>
      </c>
      <c r="B1647" s="2" t="s">
        <v>3731</v>
      </c>
      <c r="C1647" s="2" t="s">
        <v>40</v>
      </c>
      <c r="D1647" s="2" t="s">
        <v>41</v>
      </c>
      <c r="E1647" s="5">
        <v>-28510</v>
      </c>
      <c r="F1647" s="3" t="s">
        <v>83</v>
      </c>
      <c r="G1647" s="3" t="s">
        <v>162</v>
      </c>
      <c r="H1647" s="2" t="s">
        <v>21</v>
      </c>
      <c r="I1647" s="2" t="s">
        <v>3732</v>
      </c>
      <c r="J1647" s="3" t="str">
        <f>HYPERLINK("https://www.boe.es/gazeta/dias/1821/12/09/pdfs/GMD-1821-351.pdf#page=5","Abrir facsímil")</f>
        <v>Abrir facsímil</v>
      </c>
      <c r="K1647" s="3" t="s">
        <v>23</v>
      </c>
    </row>
    <row r="1648" spans="1:11" ht="42" customHeight="1">
      <c r="A1648" s="2" t="s">
        <v>3733</v>
      </c>
      <c r="B1648" s="2" t="s">
        <v>3733</v>
      </c>
      <c r="C1648" s="2" t="s">
        <v>17</v>
      </c>
      <c r="D1648" s="2" t="s">
        <v>18</v>
      </c>
      <c r="E1648" s="5">
        <v>-28488</v>
      </c>
      <c r="F1648" s="3" t="s">
        <v>1563</v>
      </c>
      <c r="G1648" s="3" t="s">
        <v>3734</v>
      </c>
      <c r="H1648" s="2" t="s">
        <v>21</v>
      </c>
      <c r="I1648" s="2" t="s">
        <v>3735</v>
      </c>
      <c r="J1648" s="3" t="str">
        <f>HYPERLINK("https://www.boe.es/gazeta/dias/1821/12/31/pdfs/GMD-1821-374.pdf#page=3","Abrir facsímil")</f>
        <v>Abrir facsímil</v>
      </c>
      <c r="K1648" s="3" t="s">
        <v>23</v>
      </c>
    </row>
    <row r="1649" spans="1:11" ht="42" customHeight="1">
      <c r="A1649" s="2" t="s">
        <v>3736</v>
      </c>
      <c r="B1649" s="2" t="s">
        <v>3736</v>
      </c>
      <c r="C1649" s="2" t="s">
        <v>26</v>
      </c>
      <c r="D1649" s="2" t="s">
        <v>27</v>
      </c>
      <c r="E1649" s="5">
        <v>-28767</v>
      </c>
      <c r="F1649" s="3" t="s">
        <v>1439</v>
      </c>
      <c r="G1649" s="3" t="s">
        <v>3737</v>
      </c>
      <c r="H1649" s="2" t="s">
        <v>21</v>
      </c>
      <c r="I1649" s="2" t="s">
        <v>3738</v>
      </c>
      <c r="J1649" s="3" t="str">
        <f>HYPERLINK("https://www.boe.es/gazeta/dias/1821/03/27/pdfs/GMD-1821-87.pdf#page=4","Abrir facsímil")</f>
        <v>Abrir facsímil</v>
      </c>
      <c r="K1649" s="3" t="s">
        <v>23</v>
      </c>
    </row>
    <row r="1650" spans="1:11" ht="42" customHeight="1">
      <c r="A1650" s="2" t="s">
        <v>3739</v>
      </c>
      <c r="B1650" s="2" t="s">
        <v>3739</v>
      </c>
      <c r="C1650" s="2" t="s">
        <v>40</v>
      </c>
      <c r="D1650" s="2" t="s">
        <v>41</v>
      </c>
      <c r="E1650" s="5">
        <v>-28520</v>
      </c>
      <c r="F1650" s="3" t="s">
        <v>878</v>
      </c>
      <c r="G1650" s="3" t="s">
        <v>52</v>
      </c>
      <c r="H1650" s="2" t="s">
        <v>21</v>
      </c>
      <c r="I1650" s="2" t="s">
        <v>3740</v>
      </c>
      <c r="J1650" s="3" t="str">
        <f>HYPERLINK("https://www.boe.es/gazeta/dias/1821/11/29/pdfs/GMD-1821-341.pdf#page=2","Abrir facsímil")</f>
        <v>Abrir facsímil</v>
      </c>
      <c r="K1650" s="3" t="s">
        <v>23</v>
      </c>
    </row>
    <row r="1651" spans="1:11" ht="42" customHeight="1">
      <c r="A1651" s="2" t="s">
        <v>3741</v>
      </c>
      <c r="B1651" s="2" t="s">
        <v>3742</v>
      </c>
      <c r="C1651" s="2" t="s">
        <v>279</v>
      </c>
      <c r="D1651" s="2" t="s">
        <v>27</v>
      </c>
      <c r="E1651" s="5">
        <v>-28635</v>
      </c>
      <c r="F1651" s="3" t="s">
        <v>1210</v>
      </c>
      <c r="G1651" s="3" t="s">
        <v>88</v>
      </c>
      <c r="H1651" s="2" t="s">
        <v>21</v>
      </c>
      <c r="I1651" s="2" t="s">
        <v>3743</v>
      </c>
      <c r="J1651" s="3" t="str">
        <f>HYPERLINK("https://www.boe.es/gazeta/dias/1821/08/06/pdfs/GMD-1821-222.pdf#page=4","Abrir facsímil")</f>
        <v>Abrir facsímil</v>
      </c>
      <c r="K1651" s="3" t="s">
        <v>23</v>
      </c>
    </row>
    <row r="1652" spans="1:11" ht="42" customHeight="1">
      <c r="A1652" s="2" t="s">
        <v>3744</v>
      </c>
      <c r="B1652" s="2" t="s">
        <v>3744</v>
      </c>
      <c r="C1652" s="2" t="s">
        <v>70</v>
      </c>
      <c r="D1652" s="2" t="s">
        <v>27</v>
      </c>
      <c r="E1652" s="5">
        <v>-28501</v>
      </c>
      <c r="F1652" s="3" t="s">
        <v>456</v>
      </c>
      <c r="G1652" s="3" t="s">
        <v>88</v>
      </c>
      <c r="H1652" s="2" t="s">
        <v>21</v>
      </c>
      <c r="I1652" s="2" t="s">
        <v>3745</v>
      </c>
      <c r="J1652" s="3" t="str">
        <f>HYPERLINK("https://www.boe.es/gazeta/dias/1821/12/18/pdfs/GMD-1821-361.pdf#page=4","Abrir facsímil")</f>
        <v>Abrir facsímil</v>
      </c>
      <c r="K1652" s="3" t="s">
        <v>23</v>
      </c>
    </row>
    <row r="1653" spans="1:11" ht="42" customHeight="1">
      <c r="A1653" s="2" t="s">
        <v>3746</v>
      </c>
      <c r="B1653" s="2" t="s">
        <v>3746</v>
      </c>
      <c r="C1653" s="2" t="s">
        <v>35</v>
      </c>
      <c r="D1653" s="2" t="s">
        <v>27</v>
      </c>
      <c r="E1653" s="5">
        <v>-28698</v>
      </c>
      <c r="F1653" s="3" t="s">
        <v>2067</v>
      </c>
      <c r="G1653" s="3" t="s">
        <v>20</v>
      </c>
      <c r="H1653" s="2" t="s">
        <v>21</v>
      </c>
      <c r="I1653" s="2" t="s">
        <v>3747</v>
      </c>
      <c r="J1653" s="3" t="str">
        <f>HYPERLINK("https://www.boe.es/gazeta/dias/1821/06/04/pdfs/GMD-1821-157.pdf#page=3","Abrir facsímil")</f>
        <v>Abrir facsímil</v>
      </c>
      <c r="K1653" s="3" t="s">
        <v>23</v>
      </c>
    </row>
    <row r="1654" spans="1:11" ht="42" customHeight="1">
      <c r="A1654" s="2" t="s">
        <v>3748</v>
      </c>
      <c r="B1654" s="2" t="s">
        <v>3748</v>
      </c>
      <c r="C1654" s="2" t="s">
        <v>35</v>
      </c>
      <c r="D1654" s="2" t="s">
        <v>27</v>
      </c>
      <c r="E1654" s="5">
        <v>-28702</v>
      </c>
      <c r="F1654" s="3" t="s">
        <v>1176</v>
      </c>
      <c r="G1654" s="3" t="s">
        <v>1177</v>
      </c>
      <c r="H1654" s="2" t="s">
        <v>21</v>
      </c>
      <c r="I1654" s="2" t="s">
        <v>3749</v>
      </c>
      <c r="J1654" s="3" t="str">
        <f>HYPERLINK("https://www.boe.es/gazeta/dias/1821/05/31/pdfs/GMD-1821-153.pdf#page=2","Abrir facsímil")</f>
        <v>Abrir facsímil</v>
      </c>
      <c r="K1654" s="3" t="s">
        <v>23</v>
      </c>
    </row>
    <row r="1655" spans="1:11" ht="42" customHeight="1">
      <c r="A1655" s="2" t="s">
        <v>3750</v>
      </c>
      <c r="B1655" s="2" t="s">
        <v>3750</v>
      </c>
      <c r="C1655" s="2" t="s">
        <v>40</v>
      </c>
      <c r="D1655" s="2" t="s">
        <v>41</v>
      </c>
      <c r="E1655" s="5">
        <v>-28509</v>
      </c>
      <c r="F1655" s="3" t="s">
        <v>388</v>
      </c>
      <c r="G1655" s="3" t="s">
        <v>52</v>
      </c>
      <c r="H1655" s="2" t="s">
        <v>21</v>
      </c>
      <c r="I1655" s="2" t="s">
        <v>3751</v>
      </c>
      <c r="J1655" s="3" t="str">
        <f>HYPERLINK("https://www.boe.es/gazeta/dias/1821/12/10/pdfs/GMD-1821-352.pdf#page=2","Abrir facsímil")</f>
        <v>Abrir facsímil</v>
      </c>
      <c r="K1655" s="3" t="s">
        <v>23</v>
      </c>
    </row>
    <row r="1656" spans="1:11" ht="42" customHeight="1">
      <c r="A1656" s="2" t="s">
        <v>3752</v>
      </c>
      <c r="B1656" s="2" t="s">
        <v>3752</v>
      </c>
      <c r="C1656" s="2" t="s">
        <v>26</v>
      </c>
      <c r="D1656" s="2" t="s">
        <v>27</v>
      </c>
      <c r="E1656" s="5">
        <v>-28502</v>
      </c>
      <c r="F1656" s="3" t="s">
        <v>570</v>
      </c>
      <c r="G1656" s="3" t="s">
        <v>20</v>
      </c>
      <c r="H1656" s="2" t="s">
        <v>21</v>
      </c>
      <c r="I1656" s="2" t="s">
        <v>3753</v>
      </c>
      <c r="J1656" s="3" t="str">
        <f>HYPERLINK("https://www.boe.es/gazeta/dias/1821/12/17/pdfs/GMD-1821-360.pdf#page=3","Abrir facsímil")</f>
        <v>Abrir facsímil</v>
      </c>
      <c r="K1656" s="3" t="s">
        <v>23</v>
      </c>
    </row>
    <row r="1657" spans="1:11" ht="42" customHeight="1">
      <c r="A1657" s="2" t="s">
        <v>3754</v>
      </c>
      <c r="B1657" s="2" t="s">
        <v>3754</v>
      </c>
      <c r="C1657" s="2" t="s">
        <v>35</v>
      </c>
      <c r="D1657" s="2" t="s">
        <v>27</v>
      </c>
      <c r="E1657" s="5">
        <v>-28576</v>
      </c>
      <c r="F1657" s="3" t="s">
        <v>1924</v>
      </c>
      <c r="G1657" s="3" t="s">
        <v>52</v>
      </c>
      <c r="H1657" s="2" t="s">
        <v>21</v>
      </c>
      <c r="I1657" s="2" t="s">
        <v>3755</v>
      </c>
      <c r="J1657" s="3" t="str">
        <f>HYPERLINK("https://www.boe.es/gazeta/dias/1821/10/04/pdfs/GMD-1821-283.pdf#page=2","Abrir facsímil")</f>
        <v>Abrir facsímil</v>
      </c>
      <c r="K1657" s="3" t="s">
        <v>23</v>
      </c>
    </row>
    <row r="1658" spans="1:11" ht="42" customHeight="1">
      <c r="A1658" s="2" t="s">
        <v>3756</v>
      </c>
      <c r="B1658" s="2" t="s">
        <v>3756</v>
      </c>
      <c r="C1658" s="2" t="s">
        <v>17</v>
      </c>
      <c r="D1658" s="2" t="s">
        <v>18</v>
      </c>
      <c r="E1658" s="5">
        <v>-28542</v>
      </c>
      <c r="F1658" s="3" t="s">
        <v>221</v>
      </c>
      <c r="G1658" s="3" t="s">
        <v>162</v>
      </c>
      <c r="H1658" s="2" t="s">
        <v>21</v>
      </c>
      <c r="I1658" s="2" t="s">
        <v>3757</v>
      </c>
      <c r="J1658" s="3" t="str">
        <f>HYPERLINK("https://www.boe.es/gazeta/dias/1821/11/07/pdfs/GMD-1821-318.pdf#page=5","Abrir facsímil")</f>
        <v>Abrir facsímil</v>
      </c>
      <c r="K1658" s="3" t="s">
        <v>23</v>
      </c>
    </row>
    <row r="1659" spans="1:11" ht="42" customHeight="1">
      <c r="A1659" s="2" t="s">
        <v>3758</v>
      </c>
      <c r="B1659" s="2" t="s">
        <v>3758</v>
      </c>
      <c r="C1659" s="2" t="s">
        <v>26</v>
      </c>
      <c r="D1659" s="2" t="s">
        <v>27</v>
      </c>
      <c r="E1659" s="5">
        <v>-28508</v>
      </c>
      <c r="F1659" s="3" t="s">
        <v>42</v>
      </c>
      <c r="G1659" s="3" t="s">
        <v>20</v>
      </c>
      <c r="H1659" s="2" t="s">
        <v>21</v>
      </c>
      <c r="I1659" s="2" t="s">
        <v>3759</v>
      </c>
      <c r="J1659" s="3" t="str">
        <f>HYPERLINK("https://www.boe.es/gazeta/dias/1821/12/11/pdfs/GMD-1821-353.pdf#page=3","Abrir facsímil")</f>
        <v>Abrir facsímil</v>
      </c>
      <c r="K1659" s="3" t="s">
        <v>23</v>
      </c>
    </row>
    <row r="1660" spans="1:11" ht="42" customHeight="1">
      <c r="A1660" s="2" t="s">
        <v>3760</v>
      </c>
      <c r="B1660" s="2" t="s">
        <v>3760</v>
      </c>
      <c r="C1660" s="2" t="s">
        <v>35</v>
      </c>
      <c r="D1660" s="2" t="s">
        <v>27</v>
      </c>
      <c r="E1660" s="5">
        <v>-28511</v>
      </c>
      <c r="F1660" s="3" t="s">
        <v>340</v>
      </c>
      <c r="G1660" s="3" t="s">
        <v>3761</v>
      </c>
      <c r="H1660" s="2" t="s">
        <v>21</v>
      </c>
      <c r="I1660" s="2" t="s">
        <v>3762</v>
      </c>
      <c r="J1660" s="3" t="str">
        <f>HYPERLINK("https://www.boe.es/gazeta/dias/1821/12/08/pdfs/GMD-1821-350.pdf#page=4","Abrir facsímil")</f>
        <v>Abrir facsímil</v>
      </c>
      <c r="K1660" s="3" t="s">
        <v>23</v>
      </c>
    </row>
    <row r="1661" spans="1:11" ht="42" customHeight="1">
      <c r="A1661" s="2" t="s">
        <v>3763</v>
      </c>
      <c r="B1661" s="2" t="s">
        <v>3763</v>
      </c>
      <c r="C1661" s="2" t="s">
        <v>26</v>
      </c>
      <c r="D1661" s="2" t="s">
        <v>27</v>
      </c>
      <c r="E1661" s="5">
        <v>-28790</v>
      </c>
      <c r="F1661" s="3" t="s">
        <v>991</v>
      </c>
      <c r="G1661" s="3" t="s">
        <v>20</v>
      </c>
      <c r="H1661" s="2" t="s">
        <v>21</v>
      </c>
      <c r="I1661" s="2" t="s">
        <v>3764</v>
      </c>
      <c r="J1661" s="3" t="str">
        <f>HYPERLINK("https://www.boe.es/gazeta/dias/1821/03/04/pdfs/GGB-1821-63.pdf#page=3","Abrir facsímil")</f>
        <v>Abrir facsímil</v>
      </c>
      <c r="K1661" s="3" t="s">
        <v>23</v>
      </c>
    </row>
    <row r="1662" spans="1:11" ht="42" customHeight="1">
      <c r="A1662" s="2" t="s">
        <v>3763</v>
      </c>
      <c r="B1662" s="2" t="s">
        <v>3763</v>
      </c>
      <c r="C1662" s="2" t="s">
        <v>17</v>
      </c>
      <c r="D1662" s="2" t="s">
        <v>18</v>
      </c>
      <c r="E1662" s="5">
        <v>-28790</v>
      </c>
      <c r="F1662" s="3" t="s">
        <v>991</v>
      </c>
      <c r="G1662" s="3" t="s">
        <v>88</v>
      </c>
      <c r="H1662" s="2" t="s">
        <v>21</v>
      </c>
      <c r="I1662" s="2" t="s">
        <v>3765</v>
      </c>
      <c r="J1662" s="3" t="str">
        <f>HYPERLINK("https://www.boe.es/gazeta/dias/1821/03/04/pdfs/GGB-1821-63.pdf#page=4","Abrir facsímil")</f>
        <v>Abrir facsímil</v>
      </c>
      <c r="K1662" s="3" t="s">
        <v>23</v>
      </c>
    </row>
    <row r="1663" spans="1:11" ht="42" customHeight="1">
      <c r="A1663" s="2" t="s">
        <v>3763</v>
      </c>
      <c r="B1663" s="2" t="s">
        <v>3763</v>
      </c>
      <c r="C1663" s="2" t="s">
        <v>17</v>
      </c>
      <c r="D1663" s="2" t="s">
        <v>18</v>
      </c>
      <c r="E1663" s="5">
        <v>-28789</v>
      </c>
      <c r="F1663" s="3" t="s">
        <v>36</v>
      </c>
      <c r="G1663" s="3" t="s">
        <v>993</v>
      </c>
      <c r="H1663" s="2" t="s">
        <v>21</v>
      </c>
      <c r="I1663" s="2" t="s">
        <v>3766</v>
      </c>
      <c r="J1663" s="3" t="str">
        <f>HYPERLINK("https://www.boe.es/gazeta/dias/1821/03/05/pdfs/GGB-1821-64.pdf#page=4","Abrir facsímil")</f>
        <v>Abrir facsímil</v>
      </c>
      <c r="K1663" s="3" t="s">
        <v>23</v>
      </c>
    </row>
    <row r="1664" spans="1:11" ht="42" customHeight="1">
      <c r="A1664" s="2" t="s">
        <v>3763</v>
      </c>
      <c r="B1664" s="2" t="s">
        <v>3763</v>
      </c>
      <c r="C1664" s="2" t="s">
        <v>174</v>
      </c>
      <c r="D1664" s="2" t="s">
        <v>27</v>
      </c>
      <c r="E1664" s="5">
        <v>-28788</v>
      </c>
      <c r="F1664" s="3" t="s">
        <v>996</v>
      </c>
      <c r="G1664" s="3" t="s">
        <v>52</v>
      </c>
      <c r="H1664" s="2" t="s">
        <v>21</v>
      </c>
      <c r="I1664" s="2" t="s">
        <v>3767</v>
      </c>
      <c r="J1664" s="3" t="str">
        <f>HYPERLINK("https://www.boe.es/gazeta/dias/1821/03/06/pdfs/GGB-1821-65.pdf#page=2","Abrir facsímil")</f>
        <v>Abrir facsímil</v>
      </c>
      <c r="K1664" s="3" t="s">
        <v>23</v>
      </c>
    </row>
    <row r="1665" spans="1:11" ht="42" customHeight="1">
      <c r="A1665" s="2" t="s">
        <v>3763</v>
      </c>
      <c r="B1665" s="2" t="s">
        <v>3763</v>
      </c>
      <c r="C1665" s="2" t="s">
        <v>35</v>
      </c>
      <c r="D1665" s="2" t="s">
        <v>27</v>
      </c>
      <c r="E1665" s="5">
        <v>-28785</v>
      </c>
      <c r="F1665" s="3" t="s">
        <v>1935</v>
      </c>
      <c r="G1665" s="3" t="s">
        <v>88</v>
      </c>
      <c r="H1665" s="2" t="s">
        <v>21</v>
      </c>
      <c r="I1665" s="2" t="s">
        <v>3768</v>
      </c>
      <c r="J1665" s="3" t="str">
        <f>HYPERLINK("https://www.boe.es/gazeta/dias/1821/03/09/pdfs/GGB-1821-68.pdf#page=4","Abrir facsímil")</f>
        <v>Abrir facsímil</v>
      </c>
      <c r="K1665" s="3" t="s">
        <v>23</v>
      </c>
    </row>
    <row r="1666" spans="1:11" ht="42" customHeight="1">
      <c r="A1666" s="2" t="s">
        <v>3763</v>
      </c>
      <c r="B1666" s="2" t="s">
        <v>3763</v>
      </c>
      <c r="C1666" s="2" t="s">
        <v>17</v>
      </c>
      <c r="D1666" s="2" t="s">
        <v>18</v>
      </c>
      <c r="E1666" s="5">
        <v>-28779</v>
      </c>
      <c r="F1666" s="3" t="s">
        <v>1002</v>
      </c>
      <c r="G1666" s="3" t="s">
        <v>52</v>
      </c>
      <c r="H1666" s="2" t="s">
        <v>21</v>
      </c>
      <c r="I1666" s="2" t="s">
        <v>3769</v>
      </c>
      <c r="J1666" s="3" t="str">
        <f>HYPERLINK("https://www.boe.es/gazeta/dias/1821/03/15/pdfs/GMD-1821-74.pdf#page=2","Abrir facsímil")</f>
        <v>Abrir facsímil</v>
      </c>
      <c r="K1666" s="3" t="s">
        <v>23</v>
      </c>
    </row>
    <row r="1667" spans="1:11" ht="42" customHeight="1">
      <c r="A1667" s="2" t="s">
        <v>3763</v>
      </c>
      <c r="B1667" s="2" t="s">
        <v>3763</v>
      </c>
      <c r="C1667" s="2" t="s">
        <v>17</v>
      </c>
      <c r="D1667" s="2" t="s">
        <v>18</v>
      </c>
      <c r="E1667" s="5">
        <v>-28778</v>
      </c>
      <c r="F1667" s="3" t="s">
        <v>1301</v>
      </c>
      <c r="G1667" s="3" t="s">
        <v>162</v>
      </c>
      <c r="H1667" s="2" t="s">
        <v>21</v>
      </c>
      <c r="I1667" s="2" t="s">
        <v>3770</v>
      </c>
      <c r="J1667" s="3" t="str">
        <f>HYPERLINK("https://www.boe.es/gazeta/dias/1821/03/16/pdfs/GMD-1821-75.pdf#page=5","Abrir facsímil")</f>
        <v>Abrir facsímil</v>
      </c>
      <c r="K1667" s="3" t="s">
        <v>23</v>
      </c>
    </row>
    <row r="1668" spans="1:11" ht="42" customHeight="1">
      <c r="A1668" s="2" t="s">
        <v>3763</v>
      </c>
      <c r="B1668" s="2" t="s">
        <v>3763</v>
      </c>
      <c r="C1668" s="2" t="s">
        <v>40</v>
      </c>
      <c r="D1668" s="2" t="s">
        <v>41</v>
      </c>
      <c r="E1668" s="5">
        <v>-28773</v>
      </c>
      <c r="F1668" s="3" t="s">
        <v>1755</v>
      </c>
      <c r="G1668" s="3" t="s">
        <v>20</v>
      </c>
      <c r="H1668" s="2" t="s">
        <v>21</v>
      </c>
      <c r="I1668" s="2" t="s">
        <v>3771</v>
      </c>
      <c r="J1668" s="3" t="str">
        <f>HYPERLINK("https://www.boe.es/gazeta/dias/1821/03/21/pdfs/GMD-1821-80.pdf#page=3","Abrir facsímil")</f>
        <v>Abrir facsímil</v>
      </c>
      <c r="K1668" s="3" t="s">
        <v>23</v>
      </c>
    </row>
    <row r="1669" spans="1:11" ht="42" customHeight="1">
      <c r="A1669" s="2" t="s">
        <v>3763</v>
      </c>
      <c r="B1669" s="2" t="s">
        <v>3763</v>
      </c>
      <c r="C1669" s="2" t="s">
        <v>26</v>
      </c>
      <c r="D1669" s="2" t="s">
        <v>27</v>
      </c>
      <c r="E1669" s="5">
        <v>-28771</v>
      </c>
      <c r="F1669" s="3" t="s">
        <v>110</v>
      </c>
      <c r="G1669" s="3" t="s">
        <v>88</v>
      </c>
      <c r="H1669" s="2" t="s">
        <v>21</v>
      </c>
      <c r="I1669" s="2" t="s">
        <v>3772</v>
      </c>
      <c r="J1669" s="3" t="str">
        <f>HYPERLINK("https://www.boe.es/gazeta/dias/1821/03/23/pdfs/GMD-1821-83.pdf#page=4","Abrir facsímil")</f>
        <v>Abrir facsímil</v>
      </c>
      <c r="K1669" s="3" t="s">
        <v>23</v>
      </c>
    </row>
    <row r="1670" spans="1:11" ht="42" customHeight="1">
      <c r="A1670" s="2" t="s">
        <v>3763</v>
      </c>
      <c r="B1670" s="2" t="s">
        <v>3763</v>
      </c>
      <c r="C1670" s="2" t="s">
        <v>35</v>
      </c>
      <c r="D1670" s="2" t="s">
        <v>27</v>
      </c>
      <c r="E1670" s="5">
        <v>-28770</v>
      </c>
      <c r="F1670" s="3" t="s">
        <v>1009</v>
      </c>
      <c r="G1670" s="3" t="s">
        <v>88</v>
      </c>
      <c r="H1670" s="2" t="s">
        <v>21</v>
      </c>
      <c r="I1670" s="2" t="s">
        <v>3773</v>
      </c>
      <c r="J1670" s="3" t="str">
        <f>HYPERLINK("https://www.boe.es/gazeta/dias/1821/03/24/pdfs/GMD-1821-84.pdf#page=4","Abrir facsímil")</f>
        <v>Abrir facsímil</v>
      </c>
      <c r="K1670" s="3" t="s">
        <v>23</v>
      </c>
    </row>
    <row r="1671" spans="1:11" ht="42" customHeight="1">
      <c r="A1671" s="2" t="s">
        <v>3763</v>
      </c>
      <c r="B1671" s="2" t="s">
        <v>3763</v>
      </c>
      <c r="C1671" s="2" t="s">
        <v>279</v>
      </c>
      <c r="D1671" s="2" t="s">
        <v>27</v>
      </c>
      <c r="E1671" s="5">
        <v>-28766</v>
      </c>
      <c r="F1671" s="3" t="s">
        <v>1481</v>
      </c>
      <c r="G1671" s="3" t="s">
        <v>20</v>
      </c>
      <c r="H1671" s="2" t="s">
        <v>21</v>
      </c>
      <c r="I1671" s="2" t="s">
        <v>3774</v>
      </c>
      <c r="J1671" s="3" t="str">
        <f>HYPERLINK("https://www.boe.es/gazeta/dias/1821/03/28/pdfs/GMD-1821-88.pdf#page=3","Abrir facsímil")</f>
        <v>Abrir facsímil</v>
      </c>
      <c r="K1671" s="3" t="s">
        <v>23</v>
      </c>
    </row>
    <row r="1672" spans="1:11" ht="42" customHeight="1">
      <c r="A1672" s="2" t="s">
        <v>3763</v>
      </c>
      <c r="B1672" s="2" t="s">
        <v>3763</v>
      </c>
      <c r="C1672" s="2" t="s">
        <v>26</v>
      </c>
      <c r="D1672" s="2" t="s">
        <v>27</v>
      </c>
      <c r="E1672" s="5">
        <v>-28762</v>
      </c>
      <c r="F1672" s="3" t="s">
        <v>608</v>
      </c>
      <c r="G1672" s="3" t="s">
        <v>162</v>
      </c>
      <c r="H1672" s="2" t="s">
        <v>21</v>
      </c>
      <c r="I1672" s="2" t="s">
        <v>3775</v>
      </c>
      <c r="J1672" s="3" t="str">
        <f>HYPERLINK("https://www.boe.es/gazeta/dias/1821/04/01/pdfs/GMD-1821-93.pdf#page=5","Abrir facsímil")</f>
        <v>Abrir facsímil</v>
      </c>
      <c r="K1672" s="3" t="s">
        <v>23</v>
      </c>
    </row>
    <row r="1673" spans="1:11" ht="42" customHeight="1">
      <c r="A1673" s="2" t="s">
        <v>3763</v>
      </c>
      <c r="B1673" s="2" t="s">
        <v>3763</v>
      </c>
      <c r="C1673" s="2" t="s">
        <v>26</v>
      </c>
      <c r="D1673" s="2" t="s">
        <v>27</v>
      </c>
      <c r="E1673" s="5">
        <v>-28759</v>
      </c>
      <c r="F1673" s="3" t="s">
        <v>71</v>
      </c>
      <c r="G1673" s="3" t="s">
        <v>52</v>
      </c>
      <c r="H1673" s="2" t="s">
        <v>21</v>
      </c>
      <c r="I1673" s="2" t="s">
        <v>3776</v>
      </c>
      <c r="J1673" s="3" t="str">
        <f>HYPERLINK("https://www.boe.es/gazeta/dias/1821/04/04/pdfs/GMD-1821-96.pdf#page=2","Abrir facsímil")</f>
        <v>Abrir facsímil</v>
      </c>
      <c r="K1673" s="3" t="s">
        <v>23</v>
      </c>
    </row>
    <row r="1674" spans="1:11" ht="42" customHeight="1">
      <c r="A1674" s="2" t="s">
        <v>3763</v>
      </c>
      <c r="B1674" s="2" t="s">
        <v>3763</v>
      </c>
      <c r="C1674" s="2" t="s">
        <v>17</v>
      </c>
      <c r="D1674" s="2" t="s">
        <v>18</v>
      </c>
      <c r="E1674" s="5">
        <v>-28755</v>
      </c>
      <c r="F1674" s="3" t="s">
        <v>906</v>
      </c>
      <c r="G1674" s="3" t="s">
        <v>907</v>
      </c>
      <c r="H1674" s="2" t="s">
        <v>21</v>
      </c>
      <c r="I1674" s="2" t="s">
        <v>3777</v>
      </c>
      <c r="J1674" s="3" t="str">
        <f>HYPERLINK("https://www.boe.es/gazeta/dias/1821/04/08/pdfs/GMD-1821-100.pdf#page=4","Abrir facsímil")</f>
        <v>Abrir facsímil</v>
      </c>
      <c r="K1674" s="3" t="s">
        <v>23</v>
      </c>
    </row>
    <row r="1675" spans="1:11" ht="42" customHeight="1">
      <c r="A1675" s="2" t="s">
        <v>3763</v>
      </c>
      <c r="B1675" s="2" t="s">
        <v>3763</v>
      </c>
      <c r="C1675" s="2" t="s">
        <v>70</v>
      </c>
      <c r="D1675" s="2" t="s">
        <v>27</v>
      </c>
      <c r="E1675" s="5">
        <v>-28752</v>
      </c>
      <c r="F1675" s="3" t="s">
        <v>1012</v>
      </c>
      <c r="G1675" s="3" t="s">
        <v>1013</v>
      </c>
      <c r="H1675" s="2" t="s">
        <v>21</v>
      </c>
      <c r="I1675" s="2" t="s">
        <v>3778</v>
      </c>
      <c r="J1675" s="3" t="str">
        <f>HYPERLINK("https://www.boe.es/gazeta/dias/1821/04/11/pdfs/GMD-1821-103.pdf#page=3","Abrir facsímil")</f>
        <v>Abrir facsímil</v>
      </c>
      <c r="K1675" s="3" t="s">
        <v>23</v>
      </c>
    </row>
    <row r="1676" spans="1:11" ht="42" customHeight="1">
      <c r="A1676" s="2" t="s">
        <v>3763</v>
      </c>
      <c r="B1676" s="2" t="s">
        <v>3763</v>
      </c>
      <c r="C1676" s="2" t="s">
        <v>17</v>
      </c>
      <c r="D1676" s="2" t="s">
        <v>18</v>
      </c>
      <c r="E1676" s="5">
        <v>-28750</v>
      </c>
      <c r="F1676" s="3" t="s">
        <v>917</v>
      </c>
      <c r="G1676" s="3" t="s">
        <v>20</v>
      </c>
      <c r="H1676" s="2" t="s">
        <v>21</v>
      </c>
      <c r="I1676" s="2" t="s">
        <v>3779</v>
      </c>
      <c r="J1676" s="3" t="str">
        <f>HYPERLINK("https://www.boe.es/gazeta/dias/1821/04/13/pdfs/GMD-1821-105.pdf#page=3","Abrir facsímil")</f>
        <v>Abrir facsímil</v>
      </c>
      <c r="K1676" s="3" t="s">
        <v>23</v>
      </c>
    </row>
    <row r="1677" spans="1:11" ht="42" customHeight="1">
      <c r="A1677" s="2" t="s">
        <v>3763</v>
      </c>
      <c r="B1677" s="2" t="s">
        <v>3763</v>
      </c>
      <c r="C1677" s="2" t="s">
        <v>17</v>
      </c>
      <c r="D1677" s="2" t="s">
        <v>18</v>
      </c>
      <c r="E1677" s="5">
        <v>-28749</v>
      </c>
      <c r="F1677" s="3" t="s">
        <v>832</v>
      </c>
      <c r="G1677" s="3" t="s">
        <v>52</v>
      </c>
      <c r="H1677" s="2" t="s">
        <v>21</v>
      </c>
      <c r="I1677" s="2" t="s">
        <v>3780</v>
      </c>
      <c r="J1677" s="3" t="str">
        <f>HYPERLINK("https://www.boe.es/gazeta/dias/1821/04/14/pdfs/GMD-1821-106.pdf#page=2","Abrir facsímil")</f>
        <v>Abrir facsímil</v>
      </c>
      <c r="K1677" s="3" t="s">
        <v>23</v>
      </c>
    </row>
    <row r="1678" spans="1:11" ht="42" customHeight="1">
      <c r="A1678" s="2" t="s">
        <v>3763</v>
      </c>
      <c r="B1678" s="2" t="s">
        <v>3763</v>
      </c>
      <c r="C1678" s="2" t="s">
        <v>17</v>
      </c>
      <c r="D1678" s="2" t="s">
        <v>18</v>
      </c>
      <c r="E1678" s="5">
        <v>-28749</v>
      </c>
      <c r="F1678" s="3" t="s">
        <v>832</v>
      </c>
      <c r="G1678" s="3" t="s">
        <v>20</v>
      </c>
      <c r="H1678" s="2" t="s">
        <v>21</v>
      </c>
      <c r="I1678" s="2" t="s">
        <v>3781</v>
      </c>
      <c r="J1678" s="3" t="str">
        <f>HYPERLINK("https://www.boe.es/gazeta/dias/1821/04/14/pdfs/GMD-1821-106.pdf#page=3","Abrir facsímil")</f>
        <v>Abrir facsímil</v>
      </c>
      <c r="K1678" s="3" t="s">
        <v>23</v>
      </c>
    </row>
    <row r="1679" spans="1:11" ht="42" customHeight="1">
      <c r="A1679" s="2" t="s">
        <v>3763</v>
      </c>
      <c r="B1679" s="2" t="s">
        <v>3763</v>
      </c>
      <c r="C1679" s="2" t="s">
        <v>40</v>
      </c>
      <c r="D1679" s="2" t="s">
        <v>41</v>
      </c>
      <c r="E1679" s="5">
        <v>-28748</v>
      </c>
      <c r="F1679" s="3" t="s">
        <v>634</v>
      </c>
      <c r="G1679" s="3" t="s">
        <v>20</v>
      </c>
      <c r="H1679" s="2" t="s">
        <v>21</v>
      </c>
      <c r="I1679" s="2" t="s">
        <v>3782</v>
      </c>
      <c r="J1679" s="3" t="str">
        <f>HYPERLINK("https://www.boe.es/gazeta/dias/1821/04/15/pdfs/GMD-1821-107.pdf#page=3","Abrir facsímil")</f>
        <v>Abrir facsímil</v>
      </c>
      <c r="K1679" s="3" t="s">
        <v>23</v>
      </c>
    </row>
    <row r="1680" spans="1:11" ht="42" customHeight="1">
      <c r="A1680" s="2" t="s">
        <v>3763</v>
      </c>
      <c r="B1680" s="2" t="s">
        <v>3763</v>
      </c>
      <c r="C1680" s="2" t="s">
        <v>26</v>
      </c>
      <c r="D1680" s="2" t="s">
        <v>27</v>
      </c>
      <c r="E1680" s="5">
        <v>-28747</v>
      </c>
      <c r="F1680" s="3" t="s">
        <v>1016</v>
      </c>
      <c r="G1680" s="3" t="s">
        <v>20</v>
      </c>
      <c r="H1680" s="2" t="s">
        <v>21</v>
      </c>
      <c r="I1680" s="2" t="s">
        <v>3783</v>
      </c>
      <c r="J1680" s="3" t="str">
        <f>HYPERLINK("https://www.boe.es/gazeta/dias/1821/04/16/pdfs/GMD-1821-108.pdf#page=3","Abrir facsímil")</f>
        <v>Abrir facsímil</v>
      </c>
      <c r="K1680" s="3" t="s">
        <v>23</v>
      </c>
    </row>
    <row r="1681" spans="1:11" ht="42" customHeight="1">
      <c r="A1681" s="2" t="s">
        <v>3763</v>
      </c>
      <c r="B1681" s="2" t="s">
        <v>3763</v>
      </c>
      <c r="C1681" s="2" t="s">
        <v>17</v>
      </c>
      <c r="D1681" s="2" t="s">
        <v>18</v>
      </c>
      <c r="E1681" s="5">
        <v>-28746</v>
      </c>
      <c r="F1681" s="3" t="s">
        <v>687</v>
      </c>
      <c r="G1681" s="3" t="s">
        <v>162</v>
      </c>
      <c r="H1681" s="2" t="s">
        <v>21</v>
      </c>
      <c r="I1681" s="2" t="s">
        <v>3784</v>
      </c>
      <c r="J1681" s="3" t="str">
        <f>HYPERLINK("https://www.boe.es/gazeta/dias/1821/04/17/pdfs/GMD-1821-109.pdf#page=5","Abrir facsímil")</f>
        <v>Abrir facsímil</v>
      </c>
      <c r="K1681" s="3" t="s">
        <v>23</v>
      </c>
    </row>
    <row r="1682" spans="1:11" ht="42" customHeight="1">
      <c r="A1682" s="2" t="s">
        <v>3763</v>
      </c>
      <c r="B1682" s="2" t="s">
        <v>3763</v>
      </c>
      <c r="C1682" s="2" t="s">
        <v>70</v>
      </c>
      <c r="D1682" s="2" t="s">
        <v>27</v>
      </c>
      <c r="E1682" s="5">
        <v>-28744</v>
      </c>
      <c r="F1682" s="3" t="s">
        <v>834</v>
      </c>
      <c r="G1682" s="3" t="s">
        <v>20</v>
      </c>
      <c r="H1682" s="2" t="s">
        <v>21</v>
      </c>
      <c r="I1682" s="2" t="s">
        <v>3785</v>
      </c>
      <c r="J1682" s="3" t="str">
        <f>HYPERLINK("https://www.boe.es/gazeta/dias/1821/04/19/pdfs/GMD-1821-111.pdf#page=3","Abrir facsímil")</f>
        <v>Abrir facsímil</v>
      </c>
      <c r="K1682" s="3" t="s">
        <v>23</v>
      </c>
    </row>
    <row r="1683" spans="1:11" ht="42" customHeight="1">
      <c r="A1683" s="2" t="s">
        <v>3763</v>
      </c>
      <c r="B1683" s="2" t="s">
        <v>3763</v>
      </c>
      <c r="C1683" s="2" t="s">
        <v>17</v>
      </c>
      <c r="D1683" s="2" t="s">
        <v>18</v>
      </c>
      <c r="E1683" s="5">
        <v>-28739</v>
      </c>
      <c r="F1683" s="3" t="s">
        <v>1024</v>
      </c>
      <c r="G1683" s="3" t="s">
        <v>1025</v>
      </c>
      <c r="H1683" s="2" t="s">
        <v>21</v>
      </c>
      <c r="I1683" s="2" t="s">
        <v>3786</v>
      </c>
      <c r="J1683" s="3" t="str">
        <f>HYPERLINK("https://www.boe.es/gazeta/dias/1821/04/24/pdfs/GMD-1821-116.pdf#page=3","Abrir facsímil")</f>
        <v>Abrir facsímil</v>
      </c>
      <c r="K1683" s="3" t="s">
        <v>23</v>
      </c>
    </row>
    <row r="1684" spans="1:11" ht="42" customHeight="1">
      <c r="A1684" s="2" t="s">
        <v>3763</v>
      </c>
      <c r="B1684" s="2" t="s">
        <v>3763</v>
      </c>
      <c r="C1684" s="2" t="s">
        <v>26</v>
      </c>
      <c r="D1684" s="2" t="s">
        <v>27</v>
      </c>
      <c r="E1684" s="5">
        <v>-28739</v>
      </c>
      <c r="F1684" s="3" t="s">
        <v>1024</v>
      </c>
      <c r="G1684" s="3" t="s">
        <v>88</v>
      </c>
      <c r="H1684" s="2" t="s">
        <v>21</v>
      </c>
      <c r="I1684" s="2" t="s">
        <v>3787</v>
      </c>
      <c r="J1684" s="3" t="str">
        <f>HYPERLINK("https://www.boe.es/gazeta/dias/1821/04/24/pdfs/GMD-1821-116.pdf#page=4","Abrir facsímil")</f>
        <v>Abrir facsímil</v>
      </c>
      <c r="K1684" s="3" t="s">
        <v>23</v>
      </c>
    </row>
    <row r="1685" spans="1:11" ht="42" customHeight="1">
      <c r="A1685" s="2" t="s">
        <v>3763</v>
      </c>
      <c r="B1685" s="2" t="s">
        <v>3763</v>
      </c>
      <c r="C1685" s="2" t="s">
        <v>40</v>
      </c>
      <c r="D1685" s="2" t="s">
        <v>41</v>
      </c>
      <c r="E1685" s="5">
        <v>-28738</v>
      </c>
      <c r="F1685" s="3" t="s">
        <v>359</v>
      </c>
      <c r="G1685" s="3" t="s">
        <v>88</v>
      </c>
      <c r="H1685" s="2" t="s">
        <v>21</v>
      </c>
      <c r="I1685" s="2" t="s">
        <v>3788</v>
      </c>
      <c r="J1685" s="3" t="str">
        <f>HYPERLINK("https://www.boe.es/gazeta/dias/1821/04/25/pdfs/GMD-1821-117.pdf#page=4","Abrir facsímil")</f>
        <v>Abrir facsímil</v>
      </c>
      <c r="K1685" s="3" t="s">
        <v>23</v>
      </c>
    </row>
    <row r="1686" spans="1:11" ht="42" customHeight="1">
      <c r="A1686" s="2" t="s">
        <v>3763</v>
      </c>
      <c r="B1686" s="2" t="s">
        <v>3763</v>
      </c>
      <c r="C1686" s="2" t="s">
        <v>70</v>
      </c>
      <c r="D1686" s="2" t="s">
        <v>27</v>
      </c>
      <c r="E1686" s="5">
        <v>-28735</v>
      </c>
      <c r="F1686" s="3" t="s">
        <v>836</v>
      </c>
      <c r="G1686" s="3" t="s">
        <v>88</v>
      </c>
      <c r="H1686" s="2" t="s">
        <v>21</v>
      </c>
      <c r="I1686" s="2" t="s">
        <v>3789</v>
      </c>
      <c r="J1686" s="3" t="str">
        <f>HYPERLINK("https://www.boe.es/gazeta/dias/1821/04/28/pdfs/GMD-1821-120.pdf#page=4","Abrir facsímil")</f>
        <v>Abrir facsímil</v>
      </c>
      <c r="K1686" s="3" t="s">
        <v>23</v>
      </c>
    </row>
    <row r="1687" spans="1:11" ht="42" customHeight="1">
      <c r="A1687" s="2" t="s">
        <v>3763</v>
      </c>
      <c r="B1687" s="2" t="s">
        <v>3763</v>
      </c>
      <c r="C1687" s="2" t="s">
        <v>35</v>
      </c>
      <c r="D1687" s="2" t="s">
        <v>27</v>
      </c>
      <c r="E1687" s="5">
        <v>-28733</v>
      </c>
      <c r="F1687" s="3" t="s">
        <v>1033</v>
      </c>
      <c r="G1687" s="3" t="s">
        <v>20</v>
      </c>
      <c r="H1687" s="2" t="s">
        <v>21</v>
      </c>
      <c r="I1687" s="2" t="s">
        <v>3790</v>
      </c>
      <c r="J1687" s="3" t="str">
        <f>HYPERLINK("https://www.boe.es/gazeta/dias/1821/04/30/pdfs/GMD-1821-122.pdf#page=3","Abrir facsímil")</f>
        <v>Abrir facsímil</v>
      </c>
      <c r="K1687" s="3" t="s">
        <v>23</v>
      </c>
    </row>
    <row r="1688" spans="1:11" ht="42" customHeight="1">
      <c r="A1688" s="2" t="s">
        <v>3763</v>
      </c>
      <c r="B1688" s="2" t="s">
        <v>3763</v>
      </c>
      <c r="C1688" s="2" t="s">
        <v>35</v>
      </c>
      <c r="D1688" s="2" t="s">
        <v>27</v>
      </c>
      <c r="E1688" s="5">
        <v>-28730</v>
      </c>
      <c r="F1688" s="3" t="s">
        <v>747</v>
      </c>
      <c r="G1688" s="3" t="s">
        <v>20</v>
      </c>
      <c r="H1688" s="2" t="s">
        <v>21</v>
      </c>
      <c r="I1688" s="2" t="s">
        <v>3791</v>
      </c>
      <c r="J1688" s="3" t="str">
        <f>HYPERLINK("https://www.boe.es/gazeta/dias/1821/05/03/pdfs/GMD-1821-125.pdf#page=3","Abrir facsímil")</f>
        <v>Abrir facsímil</v>
      </c>
      <c r="K1688" s="3" t="s">
        <v>23</v>
      </c>
    </row>
    <row r="1689" spans="1:11" ht="42" customHeight="1">
      <c r="A1689" s="2" t="s">
        <v>3763</v>
      </c>
      <c r="B1689" s="2" t="s">
        <v>3763</v>
      </c>
      <c r="C1689" s="2" t="s">
        <v>35</v>
      </c>
      <c r="D1689" s="2" t="s">
        <v>27</v>
      </c>
      <c r="E1689" s="5">
        <v>-28729</v>
      </c>
      <c r="F1689" s="3" t="s">
        <v>838</v>
      </c>
      <c r="G1689" s="3" t="s">
        <v>20</v>
      </c>
      <c r="H1689" s="2" t="s">
        <v>21</v>
      </c>
      <c r="I1689" s="2" t="s">
        <v>3792</v>
      </c>
      <c r="J1689" s="3" t="str">
        <f>HYPERLINK("https://www.boe.es/gazeta/dias/1821/05/04/pdfs/GMD-1821-126.pdf#page=3","Abrir facsímil")</f>
        <v>Abrir facsímil</v>
      </c>
      <c r="K1689" s="3" t="s">
        <v>23</v>
      </c>
    </row>
    <row r="1690" spans="1:11" ht="42" customHeight="1">
      <c r="A1690" s="2" t="s">
        <v>3763</v>
      </c>
      <c r="B1690" s="2" t="s">
        <v>3763</v>
      </c>
      <c r="C1690" s="2" t="s">
        <v>40</v>
      </c>
      <c r="D1690" s="2" t="s">
        <v>41</v>
      </c>
      <c r="E1690" s="5">
        <v>-28725</v>
      </c>
      <c r="F1690" s="3" t="s">
        <v>440</v>
      </c>
      <c r="G1690" s="3" t="s">
        <v>20</v>
      </c>
      <c r="H1690" s="2" t="s">
        <v>21</v>
      </c>
      <c r="I1690" s="2" t="s">
        <v>3793</v>
      </c>
      <c r="J1690" s="3" t="str">
        <f>HYPERLINK("https://www.boe.es/gazeta/dias/1821/05/08/pdfs/GMD-1821-130.pdf#page=3","Abrir facsímil")</f>
        <v>Abrir facsímil</v>
      </c>
      <c r="K1690" s="3" t="s">
        <v>23</v>
      </c>
    </row>
    <row r="1691" spans="1:11" ht="42" customHeight="1">
      <c r="A1691" s="2" t="s">
        <v>3763</v>
      </c>
      <c r="B1691" s="2" t="s">
        <v>3763</v>
      </c>
      <c r="C1691" s="2" t="s">
        <v>17</v>
      </c>
      <c r="D1691" s="2" t="s">
        <v>18</v>
      </c>
      <c r="E1691" s="5">
        <v>-28722</v>
      </c>
      <c r="F1691" s="3" t="s">
        <v>623</v>
      </c>
      <c r="G1691" s="3" t="s">
        <v>20</v>
      </c>
      <c r="H1691" s="2" t="s">
        <v>21</v>
      </c>
      <c r="I1691" s="2" t="s">
        <v>3794</v>
      </c>
      <c r="J1691" s="3" t="str">
        <f>HYPERLINK("https://www.boe.es/gazeta/dias/1821/05/11/pdfs/GMD-1821-133.pdf#page=3","Abrir facsímil")</f>
        <v>Abrir facsímil</v>
      </c>
      <c r="K1691" s="3" t="s">
        <v>23</v>
      </c>
    </row>
    <row r="1692" spans="1:11" ht="42" customHeight="1">
      <c r="A1692" s="2" t="s">
        <v>3763</v>
      </c>
      <c r="B1692" s="2" t="s">
        <v>3763</v>
      </c>
      <c r="C1692" s="2" t="s">
        <v>17</v>
      </c>
      <c r="D1692" s="2" t="s">
        <v>18</v>
      </c>
      <c r="E1692" s="5">
        <v>-28721</v>
      </c>
      <c r="F1692" s="3" t="s">
        <v>92</v>
      </c>
      <c r="G1692" s="3" t="s">
        <v>3795</v>
      </c>
      <c r="H1692" s="2" t="s">
        <v>21</v>
      </c>
      <c r="I1692" s="2" t="s">
        <v>3796</v>
      </c>
      <c r="J1692" s="3" t="str">
        <f>HYPERLINK("https://www.boe.es/gazeta/dias/1821/05/12/pdfs/GMD-1821-134.pdf#page=3","Abrir facsímil")</f>
        <v>Abrir facsímil</v>
      </c>
      <c r="K1692" s="3" t="s">
        <v>23</v>
      </c>
    </row>
    <row r="1693" spans="1:11" ht="42" customHeight="1">
      <c r="A1693" s="2" t="s">
        <v>3763</v>
      </c>
      <c r="B1693" s="2" t="s">
        <v>3763</v>
      </c>
      <c r="C1693" s="2" t="s">
        <v>40</v>
      </c>
      <c r="D1693" s="2" t="s">
        <v>41</v>
      </c>
      <c r="E1693" s="5">
        <v>-28721</v>
      </c>
      <c r="F1693" s="3" t="s">
        <v>92</v>
      </c>
      <c r="G1693" s="3" t="s">
        <v>52</v>
      </c>
      <c r="H1693" s="2" t="s">
        <v>21</v>
      </c>
      <c r="I1693" s="2" t="s">
        <v>3797</v>
      </c>
      <c r="J1693" s="3" t="str">
        <f>HYPERLINK("https://www.boe.es/gazeta/dias/1821/05/12/pdfs/GMD-1821-134.pdf#page=2","Abrir facsímil")</f>
        <v>Abrir facsímil</v>
      </c>
      <c r="K1693" s="3" t="s">
        <v>23</v>
      </c>
    </row>
    <row r="1694" spans="1:11" ht="42" customHeight="1">
      <c r="A1694" s="2" t="s">
        <v>3763</v>
      </c>
      <c r="B1694" s="2" t="s">
        <v>3763</v>
      </c>
      <c r="C1694" s="2" t="s">
        <v>40</v>
      </c>
      <c r="D1694" s="2" t="s">
        <v>41</v>
      </c>
      <c r="E1694" s="5">
        <v>-28718</v>
      </c>
      <c r="F1694" s="3" t="s">
        <v>583</v>
      </c>
      <c r="G1694" s="3" t="s">
        <v>20</v>
      </c>
      <c r="H1694" s="2" t="s">
        <v>21</v>
      </c>
      <c r="I1694" s="2" t="s">
        <v>3798</v>
      </c>
      <c r="J1694" s="3" t="str">
        <f>HYPERLINK("https://www.boe.es/gazeta/dias/1821/05/15/pdfs/GMD-1821-137.pdf#page=3","Abrir facsímil")</f>
        <v>Abrir facsímil</v>
      </c>
      <c r="K1694" s="3" t="s">
        <v>23</v>
      </c>
    </row>
    <row r="1695" spans="1:11" ht="42" customHeight="1">
      <c r="A1695" s="2" t="s">
        <v>3763</v>
      </c>
      <c r="B1695" s="2" t="s">
        <v>3763</v>
      </c>
      <c r="C1695" s="2" t="s">
        <v>70</v>
      </c>
      <c r="D1695" s="2" t="s">
        <v>27</v>
      </c>
      <c r="E1695" s="5">
        <v>-28716</v>
      </c>
      <c r="F1695" s="3" t="s">
        <v>842</v>
      </c>
      <c r="G1695" s="3" t="s">
        <v>20</v>
      </c>
      <c r="H1695" s="2" t="s">
        <v>21</v>
      </c>
      <c r="I1695" s="2" t="s">
        <v>3799</v>
      </c>
      <c r="J1695" s="3" t="str">
        <f>HYPERLINK("https://www.boe.es/gazeta/dias/1821/05/17/pdfs/GMD-1821-139.pdf#page=3","Abrir facsímil")</f>
        <v>Abrir facsímil</v>
      </c>
      <c r="K1695" s="3" t="s">
        <v>23</v>
      </c>
    </row>
    <row r="1696" spans="1:11" ht="42" customHeight="1">
      <c r="A1696" s="2" t="s">
        <v>3763</v>
      </c>
      <c r="B1696" s="2" t="s">
        <v>3763</v>
      </c>
      <c r="C1696" s="2" t="s">
        <v>17</v>
      </c>
      <c r="D1696" s="2" t="s">
        <v>18</v>
      </c>
      <c r="E1696" s="5">
        <v>-28705</v>
      </c>
      <c r="F1696" s="3" t="s">
        <v>1844</v>
      </c>
      <c r="G1696" s="3" t="s">
        <v>52</v>
      </c>
      <c r="H1696" s="2" t="s">
        <v>21</v>
      </c>
      <c r="I1696" s="2" t="s">
        <v>3800</v>
      </c>
      <c r="J1696" s="3" t="str">
        <f>HYPERLINK("https://www.boe.es/gazeta/dias/1821/05/28/pdfs/GMD-1821-150.pdf#page=2","Abrir facsímil")</f>
        <v>Abrir facsímil</v>
      </c>
      <c r="K1696" s="3" t="s">
        <v>23</v>
      </c>
    </row>
    <row r="1697" spans="1:11" ht="42" customHeight="1">
      <c r="A1697" s="2" t="s">
        <v>3763</v>
      </c>
      <c r="B1697" s="2" t="s">
        <v>3763</v>
      </c>
      <c r="C1697" s="2" t="s">
        <v>494</v>
      </c>
      <c r="D1697" s="2" t="s">
        <v>18</v>
      </c>
      <c r="E1697" s="5">
        <v>-28701</v>
      </c>
      <c r="F1697" s="3" t="s">
        <v>202</v>
      </c>
      <c r="G1697" s="3" t="s">
        <v>52</v>
      </c>
      <c r="H1697" s="2" t="s">
        <v>21</v>
      </c>
      <c r="I1697" s="2" t="s">
        <v>3801</v>
      </c>
      <c r="J1697" s="3" t="str">
        <f>HYPERLINK("https://www.boe.es/gazeta/dias/1821/06/01/pdfs/GMD-1821-154.pdf#page=2","Abrir facsímil")</f>
        <v>Abrir facsímil</v>
      </c>
      <c r="K1697" s="3" t="s">
        <v>23</v>
      </c>
    </row>
    <row r="1698" spans="1:11" ht="42" customHeight="1">
      <c r="A1698" s="2" t="s">
        <v>3763</v>
      </c>
      <c r="B1698" s="2" t="s">
        <v>3763</v>
      </c>
      <c r="C1698" s="2" t="s">
        <v>17</v>
      </c>
      <c r="D1698" s="2" t="s">
        <v>18</v>
      </c>
      <c r="E1698" s="5">
        <v>-28700</v>
      </c>
      <c r="F1698" s="3" t="s">
        <v>701</v>
      </c>
      <c r="G1698" s="3" t="s">
        <v>52</v>
      </c>
      <c r="H1698" s="2" t="s">
        <v>21</v>
      </c>
      <c r="I1698" s="2" t="s">
        <v>3802</v>
      </c>
      <c r="J1698" s="3" t="str">
        <f>HYPERLINK("https://www.boe.es/gazeta/dias/1821/06/02/pdfs/GMD-1821-155.pdf#page=2","Abrir facsímil")</f>
        <v>Abrir facsímil</v>
      </c>
      <c r="K1698" s="3" t="s">
        <v>23</v>
      </c>
    </row>
    <row r="1699" spans="1:11" ht="42" customHeight="1">
      <c r="A1699" s="2" t="s">
        <v>3763</v>
      </c>
      <c r="B1699" s="2" t="s">
        <v>3763</v>
      </c>
      <c r="C1699" s="2" t="s">
        <v>40</v>
      </c>
      <c r="D1699" s="2" t="s">
        <v>41</v>
      </c>
      <c r="E1699" s="5">
        <v>-28700</v>
      </c>
      <c r="F1699" s="3" t="s">
        <v>701</v>
      </c>
      <c r="G1699" s="3" t="s">
        <v>20</v>
      </c>
      <c r="H1699" s="2" t="s">
        <v>21</v>
      </c>
      <c r="I1699" s="2" t="s">
        <v>3803</v>
      </c>
      <c r="J1699" s="3" t="str">
        <f>HYPERLINK("https://www.boe.es/gazeta/dias/1821/06/02/pdfs/GMD-1821-155.pdf#page=3","Abrir facsímil")</f>
        <v>Abrir facsímil</v>
      </c>
      <c r="K1699" s="3" t="s">
        <v>23</v>
      </c>
    </row>
    <row r="1700" spans="1:11" ht="42" customHeight="1">
      <c r="A1700" s="2" t="s">
        <v>3763</v>
      </c>
      <c r="B1700" s="2" t="s">
        <v>3763</v>
      </c>
      <c r="C1700" s="2" t="s">
        <v>35</v>
      </c>
      <c r="D1700" s="2" t="s">
        <v>27</v>
      </c>
      <c r="E1700" s="5">
        <v>-28698</v>
      </c>
      <c r="F1700" s="3" t="s">
        <v>2067</v>
      </c>
      <c r="G1700" s="3" t="s">
        <v>3804</v>
      </c>
      <c r="H1700" s="2" t="s">
        <v>21</v>
      </c>
      <c r="I1700" s="2" t="s">
        <v>3805</v>
      </c>
      <c r="J1700" s="3" t="str">
        <f>HYPERLINK("https://www.boe.es/gazeta/dias/1821/06/04/pdfs/GMD-1821-157.pdf#page=2","Abrir facsímil")</f>
        <v>Abrir facsímil</v>
      </c>
      <c r="K1700" s="3" t="s">
        <v>23</v>
      </c>
    </row>
    <row r="1701" spans="1:11" ht="42" customHeight="1">
      <c r="A1701" s="2" t="s">
        <v>3763</v>
      </c>
      <c r="B1701" s="2" t="s">
        <v>3763</v>
      </c>
      <c r="C1701" s="2" t="s">
        <v>17</v>
      </c>
      <c r="D1701" s="2" t="s">
        <v>18</v>
      </c>
      <c r="E1701" s="5">
        <v>-28697</v>
      </c>
      <c r="F1701" s="3" t="s">
        <v>166</v>
      </c>
      <c r="G1701" s="3" t="s">
        <v>1357</v>
      </c>
      <c r="H1701" s="2" t="s">
        <v>21</v>
      </c>
      <c r="I1701" s="2" t="s">
        <v>3806</v>
      </c>
      <c r="J1701" s="3" t="str">
        <f>HYPERLINK("https://www.boe.es/gazeta/dias/1821/06/05/pdfs/GMD-1821-158.pdf#page=4","Abrir facsímil")</f>
        <v>Abrir facsímil</v>
      </c>
      <c r="K1701" s="3" t="s">
        <v>23</v>
      </c>
    </row>
    <row r="1702" spans="1:11" ht="42" customHeight="1">
      <c r="A1702" s="2" t="s">
        <v>3763</v>
      </c>
      <c r="B1702" s="2" t="s">
        <v>3763</v>
      </c>
      <c r="C1702" s="2" t="s">
        <v>174</v>
      </c>
      <c r="D1702" s="2" t="s">
        <v>27</v>
      </c>
      <c r="E1702" s="5">
        <v>-28692</v>
      </c>
      <c r="F1702" s="3" t="s">
        <v>3807</v>
      </c>
      <c r="G1702" s="3" t="s">
        <v>3808</v>
      </c>
      <c r="H1702" s="2" t="s">
        <v>21</v>
      </c>
      <c r="I1702" s="2" t="s">
        <v>3809</v>
      </c>
      <c r="J1702" s="3" t="str">
        <f>HYPERLINK("https://www.boe.es/gazeta/dias/1821/06/10/pdfs/GMD-1821-163.pdf#page=3","Abrir facsímil")</f>
        <v>Abrir facsímil</v>
      </c>
      <c r="K1702" s="3" t="s">
        <v>23</v>
      </c>
    </row>
    <row r="1703" spans="1:11" ht="42" customHeight="1">
      <c r="A1703" s="2" t="s">
        <v>3763</v>
      </c>
      <c r="B1703" s="2" t="s">
        <v>3763</v>
      </c>
      <c r="C1703" s="2" t="s">
        <v>35</v>
      </c>
      <c r="D1703" s="2" t="s">
        <v>27</v>
      </c>
      <c r="E1703" s="5">
        <v>-28685</v>
      </c>
      <c r="F1703" s="3" t="s">
        <v>303</v>
      </c>
      <c r="G1703" s="3" t="s">
        <v>1507</v>
      </c>
      <c r="H1703" s="2" t="s">
        <v>21</v>
      </c>
      <c r="I1703" s="2" t="s">
        <v>3810</v>
      </c>
      <c r="J1703" s="3" t="str">
        <f>HYPERLINK("https://www.boe.es/gazeta/dias/1821/06/17/pdfs/GMD-1821-170.pdf#page=6","Abrir facsímil")</f>
        <v>Abrir facsímil</v>
      </c>
      <c r="K1703" s="3" t="s">
        <v>23</v>
      </c>
    </row>
    <row r="1704" spans="1:11" ht="42" customHeight="1">
      <c r="A1704" s="2" t="s">
        <v>3763</v>
      </c>
      <c r="B1704" s="2" t="s">
        <v>3763</v>
      </c>
      <c r="C1704" s="2" t="s">
        <v>17</v>
      </c>
      <c r="D1704" s="2" t="s">
        <v>18</v>
      </c>
      <c r="E1704" s="5">
        <v>-28679</v>
      </c>
      <c r="F1704" s="3" t="s">
        <v>213</v>
      </c>
      <c r="G1704" s="3" t="s">
        <v>88</v>
      </c>
      <c r="H1704" s="2" t="s">
        <v>21</v>
      </c>
      <c r="I1704" s="2" t="s">
        <v>3811</v>
      </c>
      <c r="J1704" s="3" t="str">
        <f>HYPERLINK("https://www.boe.es/gazeta/dias/1821/06/23/pdfs/GMD-1821-176.pdf#page=4","Abrir facsímil")</f>
        <v>Abrir facsímil</v>
      </c>
      <c r="K1704" s="3" t="s">
        <v>23</v>
      </c>
    </row>
    <row r="1705" spans="1:11" ht="42" customHeight="1">
      <c r="A1705" s="2" t="s">
        <v>3763</v>
      </c>
      <c r="B1705" s="2" t="s">
        <v>3763</v>
      </c>
      <c r="C1705" s="2" t="s">
        <v>35</v>
      </c>
      <c r="D1705" s="2" t="s">
        <v>27</v>
      </c>
      <c r="E1705" s="5">
        <v>-28676</v>
      </c>
      <c r="F1705" s="3" t="s">
        <v>534</v>
      </c>
      <c r="G1705" s="3" t="s">
        <v>162</v>
      </c>
      <c r="H1705" s="2" t="s">
        <v>21</v>
      </c>
      <c r="I1705" s="2" t="s">
        <v>3812</v>
      </c>
      <c r="J1705" s="3" t="str">
        <f>HYPERLINK("https://www.boe.es/gazeta/dias/1821/06/26/pdfs/GMD-1821-179.pdf#page=5","Abrir facsímil")</f>
        <v>Abrir facsímil</v>
      </c>
      <c r="K1705" s="3" t="s">
        <v>23</v>
      </c>
    </row>
    <row r="1706" spans="1:11" ht="42" customHeight="1">
      <c r="A1706" s="2" t="s">
        <v>3763</v>
      </c>
      <c r="B1706" s="2" t="s">
        <v>3763</v>
      </c>
      <c r="C1706" s="2" t="s">
        <v>35</v>
      </c>
      <c r="D1706" s="2" t="s">
        <v>27</v>
      </c>
      <c r="E1706" s="5">
        <v>-28675</v>
      </c>
      <c r="F1706" s="3" t="s">
        <v>943</v>
      </c>
      <c r="G1706" s="3" t="s">
        <v>29</v>
      </c>
      <c r="H1706" s="2" t="s">
        <v>21</v>
      </c>
      <c r="I1706" s="2" t="s">
        <v>3813</v>
      </c>
      <c r="J1706" s="3" t="str">
        <f>HYPERLINK("https://www.boe.es/gazeta/dias/1821/06/27/pdfs/GMD-1821-180.pdf#page=6","Abrir facsímil")</f>
        <v>Abrir facsímil</v>
      </c>
      <c r="K1706" s="3" t="s">
        <v>23</v>
      </c>
    </row>
    <row r="1707" spans="1:11" ht="42" customHeight="1">
      <c r="A1707" s="2" t="s">
        <v>3763</v>
      </c>
      <c r="B1707" s="2" t="s">
        <v>3763</v>
      </c>
      <c r="C1707" s="2" t="s">
        <v>17</v>
      </c>
      <c r="D1707" s="2" t="s">
        <v>18</v>
      </c>
      <c r="E1707" s="5">
        <v>-28586</v>
      </c>
      <c r="F1707" s="3" t="s">
        <v>587</v>
      </c>
      <c r="G1707" s="3" t="s">
        <v>88</v>
      </c>
      <c r="H1707" s="2" t="s">
        <v>21</v>
      </c>
      <c r="I1707" s="2" t="s">
        <v>3814</v>
      </c>
      <c r="J1707" s="3" t="str">
        <f>HYPERLINK("https://www.boe.es/gazeta/dias/1821/09/24/pdfs/GMD-1821-272.pdf#page=4","Abrir facsímil")</f>
        <v>Abrir facsímil</v>
      </c>
      <c r="K1707" s="3" t="s">
        <v>23</v>
      </c>
    </row>
    <row r="1708" spans="1:11" ht="42" customHeight="1">
      <c r="A1708" s="2" t="s">
        <v>3763</v>
      </c>
      <c r="B1708" s="2" t="s">
        <v>3763</v>
      </c>
      <c r="C1708" s="2" t="s">
        <v>114</v>
      </c>
      <c r="D1708" s="2" t="s">
        <v>27</v>
      </c>
      <c r="E1708" s="5">
        <v>-28574</v>
      </c>
      <c r="F1708" s="3" t="s">
        <v>779</v>
      </c>
      <c r="G1708" s="3" t="s">
        <v>609</v>
      </c>
      <c r="H1708" s="2" t="s">
        <v>21</v>
      </c>
      <c r="I1708" s="2" t="s">
        <v>3815</v>
      </c>
      <c r="J1708" s="3" t="str">
        <f>HYPERLINK("https://www.boe.es/gazeta/dias/1821/10/06/pdfs/GMD-1821-285.pdf#page=7","Abrir facsímil")</f>
        <v>Abrir facsímil</v>
      </c>
      <c r="K1708" s="3" t="s">
        <v>23</v>
      </c>
    </row>
    <row r="1709" spans="1:11" ht="42" customHeight="1">
      <c r="A1709" s="2" t="s">
        <v>3763</v>
      </c>
      <c r="B1709" s="2" t="s">
        <v>3763</v>
      </c>
      <c r="C1709" s="2" t="s">
        <v>35</v>
      </c>
      <c r="D1709" s="2" t="s">
        <v>27</v>
      </c>
      <c r="E1709" s="5">
        <v>-28571</v>
      </c>
      <c r="F1709" s="3" t="s">
        <v>482</v>
      </c>
      <c r="G1709" s="3" t="s">
        <v>162</v>
      </c>
      <c r="H1709" s="2" t="s">
        <v>21</v>
      </c>
      <c r="I1709" s="2" t="s">
        <v>3816</v>
      </c>
      <c r="J1709" s="3" t="str">
        <f>HYPERLINK("https://www.boe.es/gazeta/dias/1821/10/09/pdfs/GMD-1821-288.pdf#page=5","Abrir facsímil")</f>
        <v>Abrir facsímil</v>
      </c>
      <c r="K1709" s="3" t="s">
        <v>23</v>
      </c>
    </row>
    <row r="1710" spans="1:11" ht="42" customHeight="1">
      <c r="A1710" s="2" t="s">
        <v>3763</v>
      </c>
      <c r="B1710" s="2" t="s">
        <v>3763</v>
      </c>
      <c r="C1710" s="2" t="s">
        <v>17</v>
      </c>
      <c r="D1710" s="2" t="s">
        <v>18</v>
      </c>
      <c r="E1710" s="5">
        <v>-28570</v>
      </c>
      <c r="F1710" s="3" t="s">
        <v>2300</v>
      </c>
      <c r="G1710" s="3" t="s">
        <v>88</v>
      </c>
      <c r="H1710" s="2" t="s">
        <v>21</v>
      </c>
      <c r="I1710" s="2" t="s">
        <v>3817</v>
      </c>
      <c r="J1710" s="3" t="str">
        <f>HYPERLINK("https://www.boe.es/gazeta/dias/1821/10/10/pdfs/GMD-1821-289.pdf#page=4","Abrir facsímil")</f>
        <v>Abrir facsímil</v>
      </c>
      <c r="K1710" s="3" t="s">
        <v>23</v>
      </c>
    </row>
    <row r="1711" spans="1:11" ht="42" customHeight="1">
      <c r="A1711" s="2" t="s">
        <v>3763</v>
      </c>
      <c r="B1711" s="2" t="s">
        <v>3763</v>
      </c>
      <c r="C1711" s="2" t="s">
        <v>35</v>
      </c>
      <c r="D1711" s="2" t="s">
        <v>27</v>
      </c>
      <c r="E1711" s="5">
        <v>-28567</v>
      </c>
      <c r="F1711" s="3" t="s">
        <v>217</v>
      </c>
      <c r="G1711" s="3" t="s">
        <v>162</v>
      </c>
      <c r="H1711" s="2" t="s">
        <v>21</v>
      </c>
      <c r="I1711" s="2" t="s">
        <v>3818</v>
      </c>
      <c r="J1711" s="3" t="str">
        <f>HYPERLINK("https://www.boe.es/gazeta/dias/1821/10/13/pdfs/GMD-1821-292.pdf#page=5","Abrir facsímil")</f>
        <v>Abrir facsímil</v>
      </c>
      <c r="K1711" s="3" t="s">
        <v>23</v>
      </c>
    </row>
    <row r="1712" spans="1:11" ht="42" customHeight="1">
      <c r="A1712" s="2" t="s">
        <v>3763</v>
      </c>
      <c r="B1712" s="2" t="s">
        <v>3763</v>
      </c>
      <c r="C1712" s="2" t="s">
        <v>114</v>
      </c>
      <c r="D1712" s="2" t="s">
        <v>27</v>
      </c>
      <c r="E1712" s="5">
        <v>-28562</v>
      </c>
      <c r="F1712" s="3" t="s">
        <v>3093</v>
      </c>
      <c r="G1712" s="3" t="s">
        <v>29</v>
      </c>
      <c r="H1712" s="2" t="s">
        <v>21</v>
      </c>
      <c r="I1712" s="2" t="s">
        <v>3819</v>
      </c>
      <c r="J1712" s="3" t="str">
        <f>HYPERLINK("https://www.boe.es/gazeta/dias/1821/10/18/pdfs/GMD-1821-297.pdf#page=6","Abrir facsímil")</f>
        <v>Abrir facsímil</v>
      </c>
      <c r="K1712" s="3" t="s">
        <v>23</v>
      </c>
    </row>
    <row r="1713" spans="1:11" ht="42" customHeight="1">
      <c r="A1713" s="2" t="s">
        <v>3763</v>
      </c>
      <c r="B1713" s="2" t="s">
        <v>3763</v>
      </c>
      <c r="C1713" s="2" t="s">
        <v>35</v>
      </c>
      <c r="D1713" s="2" t="s">
        <v>27</v>
      </c>
      <c r="E1713" s="5">
        <v>-28560</v>
      </c>
      <c r="F1713" s="3" t="s">
        <v>363</v>
      </c>
      <c r="G1713" s="3" t="s">
        <v>88</v>
      </c>
      <c r="H1713" s="2" t="s">
        <v>21</v>
      </c>
      <c r="I1713" s="2" t="s">
        <v>3820</v>
      </c>
      <c r="J1713" s="3" t="str">
        <f>HYPERLINK("https://www.boe.es/gazeta/dias/1821/10/20/pdfs/GMD-1821-299.pdf#page=4","Abrir facsímil")</f>
        <v>Abrir facsímil</v>
      </c>
      <c r="K1713" s="3" t="s">
        <v>23</v>
      </c>
    </row>
    <row r="1714" spans="1:11" ht="42" customHeight="1">
      <c r="A1714" s="2" t="s">
        <v>3763</v>
      </c>
      <c r="B1714" s="2" t="s">
        <v>3763</v>
      </c>
      <c r="C1714" s="2" t="s">
        <v>40</v>
      </c>
      <c r="D1714" s="2" t="s">
        <v>41</v>
      </c>
      <c r="E1714" s="5">
        <v>-28533</v>
      </c>
      <c r="F1714" s="3" t="s">
        <v>559</v>
      </c>
      <c r="G1714" s="3" t="s">
        <v>162</v>
      </c>
      <c r="H1714" s="2" t="s">
        <v>21</v>
      </c>
      <c r="I1714" s="2" t="s">
        <v>3821</v>
      </c>
      <c r="J1714" s="3" t="str">
        <f>HYPERLINK("https://www.boe.es/gazeta/dias/1821/11/16/pdfs/GMD-1821-327.pdf#page=5","Abrir facsímil")</f>
        <v>Abrir facsímil</v>
      </c>
      <c r="K1714" s="3" t="s">
        <v>23</v>
      </c>
    </row>
    <row r="1715" spans="1:11" ht="42" customHeight="1">
      <c r="A1715" s="2" t="s">
        <v>3763</v>
      </c>
      <c r="B1715" s="2" t="s">
        <v>3763</v>
      </c>
      <c r="C1715" s="2" t="s">
        <v>26</v>
      </c>
      <c r="D1715" s="2" t="s">
        <v>27</v>
      </c>
      <c r="E1715" s="5">
        <v>-28526</v>
      </c>
      <c r="F1715" s="3" t="s">
        <v>223</v>
      </c>
      <c r="G1715" s="3" t="s">
        <v>1251</v>
      </c>
      <c r="H1715" s="2" t="s">
        <v>21</v>
      </c>
      <c r="I1715" s="2" t="s">
        <v>3822</v>
      </c>
      <c r="J1715" s="3" t="str">
        <f>HYPERLINK("https://www.boe.es/gazeta/dias/1821/11/23/pdfs/GMD-1821-334.pdf#page=3","Abrir facsímil")</f>
        <v>Abrir facsímil</v>
      </c>
      <c r="K1715" s="3" t="s">
        <v>23</v>
      </c>
    </row>
    <row r="1716" spans="1:11" ht="42" customHeight="1">
      <c r="A1716" s="2" t="s">
        <v>3763</v>
      </c>
      <c r="B1716" s="2" t="s">
        <v>3763</v>
      </c>
      <c r="C1716" s="2" t="s">
        <v>70</v>
      </c>
      <c r="D1716" s="2" t="s">
        <v>27</v>
      </c>
      <c r="E1716" s="5">
        <v>-28525</v>
      </c>
      <c r="F1716" s="3" t="s">
        <v>186</v>
      </c>
      <c r="G1716" s="3" t="s">
        <v>20</v>
      </c>
      <c r="H1716" s="2" t="s">
        <v>21</v>
      </c>
      <c r="I1716" s="2" t="s">
        <v>3823</v>
      </c>
      <c r="J1716" s="3" t="str">
        <f>HYPERLINK("https://www.boe.es/gazeta/dias/1821/11/24/pdfs/GMD-1821-335.pdf#page=3","Abrir facsímil")</f>
        <v>Abrir facsímil</v>
      </c>
      <c r="K1716" s="3" t="s">
        <v>23</v>
      </c>
    </row>
    <row r="1717" spans="1:11" ht="42" customHeight="1">
      <c r="A1717" s="2" t="s">
        <v>3763</v>
      </c>
      <c r="B1717" s="2" t="s">
        <v>3763</v>
      </c>
      <c r="C1717" s="2" t="s">
        <v>70</v>
      </c>
      <c r="D1717" s="2" t="s">
        <v>27</v>
      </c>
      <c r="E1717" s="5">
        <v>-28525</v>
      </c>
      <c r="F1717" s="3" t="s">
        <v>186</v>
      </c>
      <c r="G1717" s="3" t="s">
        <v>88</v>
      </c>
      <c r="H1717" s="2" t="s">
        <v>21</v>
      </c>
      <c r="I1717" s="2" t="s">
        <v>3824</v>
      </c>
      <c r="J1717" s="3" t="str">
        <f>HYPERLINK("https://www.boe.es/gazeta/dias/1821/11/24/pdfs/GMD-1821-335.pdf#page=4","Abrir facsímil")</f>
        <v>Abrir facsímil</v>
      </c>
      <c r="K1717" s="3" t="s">
        <v>23</v>
      </c>
    </row>
    <row r="1718" spans="1:11" ht="42" customHeight="1">
      <c r="A1718" s="2" t="s">
        <v>3763</v>
      </c>
      <c r="B1718" s="2" t="s">
        <v>3763</v>
      </c>
      <c r="C1718" s="2" t="s">
        <v>35</v>
      </c>
      <c r="D1718" s="2" t="s">
        <v>27</v>
      </c>
      <c r="E1718" s="5">
        <v>-28524</v>
      </c>
      <c r="F1718" s="3" t="s">
        <v>874</v>
      </c>
      <c r="G1718" s="3" t="s">
        <v>88</v>
      </c>
      <c r="H1718" s="2" t="s">
        <v>21</v>
      </c>
      <c r="I1718" s="2" t="s">
        <v>3825</v>
      </c>
      <c r="J1718" s="3" t="str">
        <f>HYPERLINK("https://www.boe.es/gazeta/dias/1821/11/25/pdfs/GMD-1821-336.pdf#page=4","Abrir facsímil")</f>
        <v>Abrir facsímil</v>
      </c>
      <c r="K1718" s="3" t="s">
        <v>23</v>
      </c>
    </row>
    <row r="1719" spans="1:11" ht="42" customHeight="1">
      <c r="A1719" s="2" t="s">
        <v>3763</v>
      </c>
      <c r="B1719" s="2" t="s">
        <v>3763</v>
      </c>
      <c r="C1719" s="2" t="s">
        <v>26</v>
      </c>
      <c r="D1719" s="2" t="s">
        <v>27</v>
      </c>
      <c r="E1719" s="5">
        <v>-28524</v>
      </c>
      <c r="F1719" s="3" t="s">
        <v>874</v>
      </c>
      <c r="G1719" s="3" t="s">
        <v>162</v>
      </c>
      <c r="H1719" s="2" t="s">
        <v>21</v>
      </c>
      <c r="I1719" s="2" t="s">
        <v>3826</v>
      </c>
      <c r="J1719" s="3" t="str">
        <f>HYPERLINK("https://www.boe.es/gazeta/dias/1821/11/25/pdfs/GMD-1821-336.pdf#page=5","Abrir facsímil")</f>
        <v>Abrir facsímil</v>
      </c>
      <c r="K1719" s="3" t="s">
        <v>23</v>
      </c>
    </row>
    <row r="1720" spans="1:11" ht="42" customHeight="1">
      <c r="A1720" s="2" t="s">
        <v>3763</v>
      </c>
      <c r="B1720" s="2" t="s">
        <v>3763</v>
      </c>
      <c r="C1720" s="2" t="s">
        <v>35</v>
      </c>
      <c r="D1720" s="2" t="s">
        <v>27</v>
      </c>
      <c r="E1720" s="5">
        <v>-28523</v>
      </c>
      <c r="F1720" s="3" t="s">
        <v>257</v>
      </c>
      <c r="G1720" s="3" t="s">
        <v>52</v>
      </c>
      <c r="H1720" s="2" t="s">
        <v>21</v>
      </c>
      <c r="I1720" s="2" t="s">
        <v>3827</v>
      </c>
      <c r="J1720" s="3" t="str">
        <f>HYPERLINK("https://www.boe.es/gazeta/dias/1821/11/26/pdfs/GMD-1821-337.pdf#page=2","Abrir facsímil")</f>
        <v>Abrir facsímil</v>
      </c>
      <c r="K1720" s="3" t="s">
        <v>23</v>
      </c>
    </row>
    <row r="1721" spans="1:11" ht="42" customHeight="1">
      <c r="A1721" s="2" t="s">
        <v>3763</v>
      </c>
      <c r="B1721" s="2" t="s">
        <v>3763</v>
      </c>
      <c r="C1721" s="2" t="s">
        <v>26</v>
      </c>
      <c r="D1721" s="2" t="s">
        <v>27</v>
      </c>
      <c r="E1721" s="5">
        <v>-28523</v>
      </c>
      <c r="F1721" s="3" t="s">
        <v>257</v>
      </c>
      <c r="G1721" s="3" t="s">
        <v>20</v>
      </c>
      <c r="H1721" s="2" t="s">
        <v>21</v>
      </c>
      <c r="I1721" s="2" t="s">
        <v>3828</v>
      </c>
      <c r="J1721" s="3" t="str">
        <f>HYPERLINK("https://www.boe.es/gazeta/dias/1821/11/26/pdfs/GMD-1821-337.pdf#page=3","Abrir facsímil")</f>
        <v>Abrir facsímil</v>
      </c>
      <c r="K1721" s="3" t="s">
        <v>23</v>
      </c>
    </row>
    <row r="1722" spans="1:11" ht="42" customHeight="1">
      <c r="A1722" s="2" t="s">
        <v>3763</v>
      </c>
      <c r="B1722" s="2" t="s">
        <v>3763</v>
      </c>
      <c r="C1722" s="2" t="s">
        <v>26</v>
      </c>
      <c r="D1722" s="2" t="s">
        <v>27</v>
      </c>
      <c r="E1722" s="5">
        <v>-28523</v>
      </c>
      <c r="F1722" s="3" t="s">
        <v>257</v>
      </c>
      <c r="G1722" s="3" t="s">
        <v>88</v>
      </c>
      <c r="H1722" s="2" t="s">
        <v>21</v>
      </c>
      <c r="I1722" s="2" t="s">
        <v>3829</v>
      </c>
      <c r="J1722" s="3" t="str">
        <f>HYPERLINK("https://www.boe.es/gazeta/dias/1821/11/26/pdfs/GMD-1821-337.pdf#page=4","Abrir facsímil")</f>
        <v>Abrir facsímil</v>
      </c>
      <c r="K1722" s="3" t="s">
        <v>23</v>
      </c>
    </row>
    <row r="1723" spans="1:11" ht="42" customHeight="1">
      <c r="A1723" s="2" t="s">
        <v>3763</v>
      </c>
      <c r="B1723" s="2" t="s">
        <v>3763</v>
      </c>
      <c r="C1723" s="2" t="s">
        <v>35</v>
      </c>
      <c r="D1723" s="2" t="s">
        <v>27</v>
      </c>
      <c r="E1723" s="5">
        <v>-28522</v>
      </c>
      <c r="F1723" s="3" t="s">
        <v>1083</v>
      </c>
      <c r="G1723" s="3" t="s">
        <v>162</v>
      </c>
      <c r="H1723" s="2" t="s">
        <v>21</v>
      </c>
      <c r="I1723" s="2" t="s">
        <v>3830</v>
      </c>
      <c r="J1723" s="3" t="str">
        <f>HYPERLINK("https://www.boe.es/gazeta/dias/1821/11/27/pdfs/GMD-1821-339.pdf#page=5","Abrir facsímil")</f>
        <v>Abrir facsímil</v>
      </c>
      <c r="K1723" s="3" t="s">
        <v>23</v>
      </c>
    </row>
    <row r="1724" spans="1:11" ht="42" customHeight="1">
      <c r="A1724" s="2" t="s">
        <v>3763</v>
      </c>
      <c r="B1724" s="2" t="s">
        <v>3763</v>
      </c>
      <c r="C1724" s="2" t="s">
        <v>26</v>
      </c>
      <c r="D1724" s="2" t="s">
        <v>27</v>
      </c>
      <c r="E1724" s="5">
        <v>-28521</v>
      </c>
      <c r="F1724" s="3" t="s">
        <v>499</v>
      </c>
      <c r="G1724" s="3" t="s">
        <v>52</v>
      </c>
      <c r="H1724" s="2" t="s">
        <v>21</v>
      </c>
      <c r="I1724" s="2" t="s">
        <v>3831</v>
      </c>
      <c r="J1724" s="3" t="str">
        <f>HYPERLINK("https://www.boe.es/gazeta/dias/1821/11/28/pdfs/GMD-1821-340.pdf#page=2","Abrir facsímil")</f>
        <v>Abrir facsímil</v>
      </c>
      <c r="K1724" s="3" t="s">
        <v>23</v>
      </c>
    </row>
    <row r="1725" spans="1:11" ht="42" customHeight="1">
      <c r="A1725" s="2" t="s">
        <v>3763</v>
      </c>
      <c r="B1725" s="2" t="s">
        <v>3763</v>
      </c>
      <c r="C1725" s="2" t="s">
        <v>279</v>
      </c>
      <c r="D1725" s="2" t="s">
        <v>27</v>
      </c>
      <c r="E1725" s="5">
        <v>-28521</v>
      </c>
      <c r="F1725" s="3" t="s">
        <v>499</v>
      </c>
      <c r="G1725" s="3" t="s">
        <v>20</v>
      </c>
      <c r="H1725" s="2" t="s">
        <v>21</v>
      </c>
      <c r="I1725" s="2" t="s">
        <v>3832</v>
      </c>
      <c r="J1725" s="3" t="str">
        <f>HYPERLINK("https://www.boe.es/gazeta/dias/1821/11/28/pdfs/GMD-1821-340.pdf#page=3","Abrir facsímil")</f>
        <v>Abrir facsímil</v>
      </c>
      <c r="K1725" s="3" t="s">
        <v>23</v>
      </c>
    </row>
    <row r="1726" spans="1:11" ht="42" customHeight="1">
      <c r="A1726" s="2" t="s">
        <v>3763</v>
      </c>
      <c r="B1726" s="2" t="s">
        <v>3763</v>
      </c>
      <c r="C1726" s="2" t="s">
        <v>17</v>
      </c>
      <c r="D1726" s="2" t="s">
        <v>18</v>
      </c>
      <c r="E1726" s="5">
        <v>-28520</v>
      </c>
      <c r="F1726" s="3" t="s">
        <v>878</v>
      </c>
      <c r="G1726" s="3" t="s">
        <v>52</v>
      </c>
      <c r="H1726" s="2" t="s">
        <v>21</v>
      </c>
      <c r="I1726" s="2" t="s">
        <v>3833</v>
      </c>
      <c r="J1726" s="3" t="str">
        <f>HYPERLINK("https://www.boe.es/gazeta/dias/1821/11/29/pdfs/GMD-1821-341.pdf#page=2","Abrir facsímil")</f>
        <v>Abrir facsímil</v>
      </c>
      <c r="K1726" s="3" t="s">
        <v>23</v>
      </c>
    </row>
    <row r="1727" spans="1:11" ht="42" customHeight="1">
      <c r="A1727" s="2" t="s">
        <v>3763</v>
      </c>
      <c r="B1727" s="2" t="s">
        <v>3763</v>
      </c>
      <c r="C1727" s="2" t="s">
        <v>26</v>
      </c>
      <c r="D1727" s="2" t="s">
        <v>27</v>
      </c>
      <c r="E1727" s="5">
        <v>-28520</v>
      </c>
      <c r="F1727" s="3" t="s">
        <v>878</v>
      </c>
      <c r="G1727" s="3" t="s">
        <v>20</v>
      </c>
      <c r="H1727" s="2" t="s">
        <v>21</v>
      </c>
      <c r="I1727" s="2" t="s">
        <v>3834</v>
      </c>
      <c r="J1727" s="3" t="str">
        <f>HYPERLINK("https://www.boe.es/gazeta/dias/1821/11/29/pdfs/GMD-1821-341.pdf#page=3","Abrir facsímil")</f>
        <v>Abrir facsímil</v>
      </c>
      <c r="K1727" s="3" t="s">
        <v>23</v>
      </c>
    </row>
    <row r="1728" spans="1:11" ht="42" customHeight="1">
      <c r="A1728" s="2" t="s">
        <v>3763</v>
      </c>
      <c r="B1728" s="2" t="s">
        <v>3763</v>
      </c>
      <c r="C1728" s="2" t="s">
        <v>35</v>
      </c>
      <c r="D1728" s="2" t="s">
        <v>27</v>
      </c>
      <c r="E1728" s="5">
        <v>-28519</v>
      </c>
      <c r="F1728" s="3" t="s">
        <v>880</v>
      </c>
      <c r="G1728" s="3" t="s">
        <v>3835</v>
      </c>
      <c r="H1728" s="2" t="s">
        <v>21</v>
      </c>
      <c r="I1728" s="2" t="s">
        <v>3836</v>
      </c>
      <c r="J1728" s="3" t="str">
        <f>HYPERLINK("https://www.boe.es/gazeta/dias/1821/11/30/pdfs/GMD-1821-342.pdf#page=3","Abrir facsímil")</f>
        <v>Abrir facsímil</v>
      </c>
      <c r="K1728" s="3" t="s">
        <v>23</v>
      </c>
    </row>
    <row r="1729" spans="1:11" ht="42" customHeight="1">
      <c r="A1729" s="2" t="s">
        <v>3763</v>
      </c>
      <c r="B1729" s="2" t="s">
        <v>3763</v>
      </c>
      <c r="C1729" s="2" t="s">
        <v>70</v>
      </c>
      <c r="D1729" s="2" t="s">
        <v>27</v>
      </c>
      <c r="E1729" s="5">
        <v>-28519</v>
      </c>
      <c r="F1729" s="3" t="s">
        <v>880</v>
      </c>
      <c r="G1729" s="3" t="s">
        <v>88</v>
      </c>
      <c r="H1729" s="2" t="s">
        <v>21</v>
      </c>
      <c r="I1729" s="2" t="s">
        <v>3837</v>
      </c>
      <c r="J1729" s="3" t="str">
        <f>HYPERLINK("https://www.boe.es/gazeta/dias/1821/11/30/pdfs/GMD-1821-342.pdf#page=4","Abrir facsímil")</f>
        <v>Abrir facsímil</v>
      </c>
      <c r="K1729" s="3" t="s">
        <v>23</v>
      </c>
    </row>
    <row r="1730" spans="1:11" ht="42" customHeight="1">
      <c r="A1730" s="2" t="s">
        <v>3763</v>
      </c>
      <c r="B1730" s="2" t="s">
        <v>3763</v>
      </c>
      <c r="C1730" s="2" t="s">
        <v>35</v>
      </c>
      <c r="D1730" s="2" t="s">
        <v>27</v>
      </c>
      <c r="E1730" s="5">
        <v>-28518</v>
      </c>
      <c r="F1730" s="3" t="s">
        <v>410</v>
      </c>
      <c r="G1730" s="3" t="s">
        <v>88</v>
      </c>
      <c r="H1730" s="2" t="s">
        <v>21</v>
      </c>
      <c r="I1730" s="2" t="s">
        <v>3838</v>
      </c>
      <c r="J1730" s="3" t="str">
        <f>HYPERLINK("https://www.boe.es/gazeta/dias/1821/12/01/pdfs/GMD-1821-343.pdf#page=4","Abrir facsímil")</f>
        <v>Abrir facsímil</v>
      </c>
      <c r="K1730" s="3" t="s">
        <v>23</v>
      </c>
    </row>
    <row r="1731" spans="1:11" ht="42" customHeight="1">
      <c r="A1731" s="2" t="s">
        <v>3763</v>
      </c>
      <c r="B1731" s="2" t="s">
        <v>3763</v>
      </c>
      <c r="C1731" s="2" t="s">
        <v>35</v>
      </c>
      <c r="D1731" s="2" t="s">
        <v>27</v>
      </c>
      <c r="E1731" s="5">
        <v>-28518</v>
      </c>
      <c r="F1731" s="3" t="s">
        <v>410</v>
      </c>
      <c r="G1731" s="3" t="s">
        <v>162</v>
      </c>
      <c r="H1731" s="2" t="s">
        <v>21</v>
      </c>
      <c r="I1731" s="2" t="s">
        <v>3839</v>
      </c>
      <c r="J1731" s="3" t="str">
        <f>HYPERLINK("https://www.boe.es/gazeta/dias/1821/12/01/pdfs/GMD-1821-343.pdf#page=5","Abrir facsímil")</f>
        <v>Abrir facsímil</v>
      </c>
      <c r="K1731" s="3" t="s">
        <v>23</v>
      </c>
    </row>
    <row r="1732" spans="1:11" ht="42" customHeight="1">
      <c r="A1732" s="2" t="s">
        <v>3763</v>
      </c>
      <c r="B1732" s="2" t="s">
        <v>3763</v>
      </c>
      <c r="C1732" s="2" t="s">
        <v>70</v>
      </c>
      <c r="D1732" s="2" t="s">
        <v>27</v>
      </c>
      <c r="E1732" s="5">
        <v>-28517</v>
      </c>
      <c r="F1732" s="3" t="s">
        <v>563</v>
      </c>
      <c r="G1732" s="3" t="s">
        <v>88</v>
      </c>
      <c r="H1732" s="2" t="s">
        <v>21</v>
      </c>
      <c r="I1732" s="2" t="s">
        <v>3840</v>
      </c>
      <c r="J1732" s="3" t="str">
        <f>HYPERLINK("https://www.boe.es/gazeta/dias/1821/12/02/pdfs/GMD-1821-344.pdf#page=4","Abrir facsímil")</f>
        <v>Abrir facsímil</v>
      </c>
      <c r="K1732" s="3" t="s">
        <v>23</v>
      </c>
    </row>
    <row r="1733" spans="1:11" ht="42" customHeight="1">
      <c r="A1733" s="2" t="s">
        <v>3763</v>
      </c>
      <c r="B1733" s="2" t="s">
        <v>3763</v>
      </c>
      <c r="C1733" s="2" t="s">
        <v>26</v>
      </c>
      <c r="D1733" s="2" t="s">
        <v>27</v>
      </c>
      <c r="E1733" s="5">
        <v>-28515</v>
      </c>
      <c r="F1733" s="3" t="s">
        <v>260</v>
      </c>
      <c r="G1733" s="3" t="s">
        <v>3841</v>
      </c>
      <c r="H1733" s="2" t="s">
        <v>21</v>
      </c>
      <c r="I1733" s="2" t="s">
        <v>3842</v>
      </c>
      <c r="J1733" s="3" t="str">
        <f>HYPERLINK("https://www.boe.es/gazeta/dias/1821/12/04/pdfs/GMD-1821-346.pdf#page=6","Abrir facsímil")</f>
        <v>Abrir facsímil</v>
      </c>
      <c r="K1733" s="3" t="s">
        <v>23</v>
      </c>
    </row>
    <row r="1734" spans="1:11" ht="42" customHeight="1">
      <c r="A1734" s="2" t="s">
        <v>3763</v>
      </c>
      <c r="B1734" s="2" t="s">
        <v>3763</v>
      </c>
      <c r="C1734" s="2" t="s">
        <v>40</v>
      </c>
      <c r="D1734" s="2" t="s">
        <v>41</v>
      </c>
      <c r="E1734" s="5">
        <v>-28515</v>
      </c>
      <c r="F1734" s="3" t="s">
        <v>260</v>
      </c>
      <c r="G1734" s="3" t="s">
        <v>88</v>
      </c>
      <c r="H1734" s="2" t="s">
        <v>21</v>
      </c>
      <c r="I1734" s="2" t="s">
        <v>3843</v>
      </c>
      <c r="J1734" s="3" t="str">
        <f>HYPERLINK("https://www.boe.es/gazeta/dias/1821/12/04/pdfs/GMD-1821-346.pdf#page=4","Abrir facsímil")</f>
        <v>Abrir facsímil</v>
      </c>
      <c r="K1734" s="3" t="s">
        <v>23</v>
      </c>
    </row>
    <row r="1735" spans="1:11" ht="42" customHeight="1">
      <c r="A1735" s="2" t="s">
        <v>3763</v>
      </c>
      <c r="B1735" s="2" t="s">
        <v>3763</v>
      </c>
      <c r="C1735" s="2" t="s">
        <v>17</v>
      </c>
      <c r="D1735" s="2" t="s">
        <v>18</v>
      </c>
      <c r="E1735" s="5">
        <v>-28515</v>
      </c>
      <c r="F1735" s="3" t="s">
        <v>260</v>
      </c>
      <c r="G1735" s="3" t="s">
        <v>162</v>
      </c>
      <c r="H1735" s="2" t="s">
        <v>21</v>
      </c>
      <c r="I1735" s="2" t="s">
        <v>3844</v>
      </c>
      <c r="J1735" s="3" t="str">
        <f>HYPERLINK("https://www.boe.es/gazeta/dias/1821/12/04/pdfs/GMD-1821-346.pdf#page=5","Abrir facsímil")</f>
        <v>Abrir facsímil</v>
      </c>
      <c r="K1735" s="3" t="s">
        <v>23</v>
      </c>
    </row>
    <row r="1736" spans="1:11" ht="42" customHeight="1">
      <c r="A1736" s="2" t="s">
        <v>3763</v>
      </c>
      <c r="B1736" s="2" t="s">
        <v>3763</v>
      </c>
      <c r="C1736" s="2" t="s">
        <v>17</v>
      </c>
      <c r="D1736" s="2" t="s">
        <v>18</v>
      </c>
      <c r="E1736" s="5">
        <v>-28514</v>
      </c>
      <c r="F1736" s="3" t="s">
        <v>103</v>
      </c>
      <c r="G1736" s="3" t="s">
        <v>20</v>
      </c>
      <c r="H1736" s="2" t="s">
        <v>21</v>
      </c>
      <c r="I1736" s="2" t="s">
        <v>3845</v>
      </c>
      <c r="J1736" s="3" t="str">
        <f>HYPERLINK("https://www.boe.es/gazeta/dias/1821/12/05/pdfs/GMD-1821-347.pdf#page=3","Abrir facsímil")</f>
        <v>Abrir facsímil</v>
      </c>
      <c r="K1736" s="3" t="s">
        <v>23</v>
      </c>
    </row>
    <row r="1737" spans="1:11" ht="42" customHeight="1">
      <c r="A1737" s="2" t="s">
        <v>3763</v>
      </c>
      <c r="B1737" s="2" t="s">
        <v>3763</v>
      </c>
      <c r="C1737" s="2" t="s">
        <v>26</v>
      </c>
      <c r="D1737" s="2" t="s">
        <v>27</v>
      </c>
      <c r="E1737" s="5">
        <v>-28514</v>
      </c>
      <c r="F1737" s="3" t="s">
        <v>103</v>
      </c>
      <c r="G1737" s="3" t="s">
        <v>88</v>
      </c>
      <c r="H1737" s="2" t="s">
        <v>21</v>
      </c>
      <c r="I1737" s="2" t="s">
        <v>3846</v>
      </c>
      <c r="J1737" s="3" t="str">
        <f>HYPERLINK("https://www.boe.es/gazeta/dias/1821/12/05/pdfs/GMD-1821-347.pdf#page=4","Abrir facsímil")</f>
        <v>Abrir facsímil</v>
      </c>
      <c r="K1737" s="3" t="s">
        <v>23</v>
      </c>
    </row>
    <row r="1738" spans="1:11" ht="42" customHeight="1">
      <c r="A1738" s="2" t="s">
        <v>3763</v>
      </c>
      <c r="B1738" s="2" t="s">
        <v>3763</v>
      </c>
      <c r="C1738" s="2" t="s">
        <v>70</v>
      </c>
      <c r="D1738" s="2" t="s">
        <v>27</v>
      </c>
      <c r="E1738" s="5">
        <v>-28512</v>
      </c>
      <c r="F1738" s="3" t="s">
        <v>66</v>
      </c>
      <c r="G1738" s="3" t="s">
        <v>52</v>
      </c>
      <c r="H1738" s="2" t="s">
        <v>21</v>
      </c>
      <c r="I1738" s="2" t="s">
        <v>3847</v>
      </c>
      <c r="J1738" s="3" t="str">
        <f>HYPERLINK("https://www.boe.es/gazeta/dias/1821/12/07/pdfs/GMD-1821-349.pdf#page=2","Abrir facsímil")</f>
        <v>Abrir facsímil</v>
      </c>
      <c r="K1738" s="3" t="s">
        <v>23</v>
      </c>
    </row>
    <row r="1739" spans="1:11" ht="42" customHeight="1">
      <c r="A1739" s="2" t="s">
        <v>3763</v>
      </c>
      <c r="B1739" s="2" t="s">
        <v>3763</v>
      </c>
      <c r="C1739" s="2" t="s">
        <v>26</v>
      </c>
      <c r="D1739" s="2" t="s">
        <v>27</v>
      </c>
      <c r="E1739" s="5">
        <v>-28512</v>
      </c>
      <c r="F1739" s="3" t="s">
        <v>66</v>
      </c>
      <c r="G1739" s="3" t="s">
        <v>20</v>
      </c>
      <c r="H1739" s="2" t="s">
        <v>21</v>
      </c>
      <c r="I1739" s="2" t="s">
        <v>3848</v>
      </c>
      <c r="J1739" s="3" t="str">
        <f>HYPERLINK("https://www.boe.es/gazeta/dias/1821/12/07/pdfs/GMD-1821-349.pdf#page=3","Abrir facsímil")</f>
        <v>Abrir facsímil</v>
      </c>
      <c r="K1739" s="3" t="s">
        <v>23</v>
      </c>
    </row>
    <row r="1740" spans="1:11" ht="42" customHeight="1">
      <c r="A1740" s="2" t="s">
        <v>3763</v>
      </c>
      <c r="B1740" s="2" t="s">
        <v>3763</v>
      </c>
      <c r="C1740" s="2" t="s">
        <v>279</v>
      </c>
      <c r="D1740" s="2" t="s">
        <v>27</v>
      </c>
      <c r="E1740" s="5">
        <v>-28512</v>
      </c>
      <c r="F1740" s="3" t="s">
        <v>66</v>
      </c>
      <c r="G1740" s="3" t="s">
        <v>88</v>
      </c>
      <c r="H1740" s="2" t="s">
        <v>21</v>
      </c>
      <c r="I1740" s="2" t="s">
        <v>3849</v>
      </c>
      <c r="J1740" s="3" t="str">
        <f>HYPERLINK("https://www.boe.es/gazeta/dias/1821/12/07/pdfs/GMD-1821-349.pdf#page=4","Abrir facsímil")</f>
        <v>Abrir facsímil</v>
      </c>
      <c r="K1740" s="3" t="s">
        <v>23</v>
      </c>
    </row>
    <row r="1741" spans="1:11" ht="42" customHeight="1">
      <c r="A1741" s="2" t="s">
        <v>3763</v>
      </c>
      <c r="B1741" s="2" t="s">
        <v>3763</v>
      </c>
      <c r="C1741" s="2" t="s">
        <v>26</v>
      </c>
      <c r="D1741" s="2" t="s">
        <v>27</v>
      </c>
      <c r="E1741" s="5">
        <v>-28511</v>
      </c>
      <c r="F1741" s="3" t="s">
        <v>340</v>
      </c>
      <c r="G1741" s="3" t="s">
        <v>3761</v>
      </c>
      <c r="H1741" s="2" t="s">
        <v>21</v>
      </c>
      <c r="I1741" s="2" t="s">
        <v>3850</v>
      </c>
      <c r="J1741" s="3" t="str">
        <f>HYPERLINK("https://www.boe.es/gazeta/dias/1821/12/08/pdfs/GMD-1821-350.pdf#page=4","Abrir facsímil")</f>
        <v>Abrir facsímil</v>
      </c>
      <c r="K1741" s="3" t="s">
        <v>23</v>
      </c>
    </row>
    <row r="1742" spans="1:11" ht="42" customHeight="1">
      <c r="A1742" s="2" t="s">
        <v>3763</v>
      </c>
      <c r="B1742" s="2" t="s">
        <v>3763</v>
      </c>
      <c r="C1742" s="2" t="s">
        <v>26</v>
      </c>
      <c r="D1742" s="2" t="s">
        <v>27</v>
      </c>
      <c r="E1742" s="5">
        <v>-28510</v>
      </c>
      <c r="F1742" s="3" t="s">
        <v>83</v>
      </c>
      <c r="G1742" s="3" t="s">
        <v>88</v>
      </c>
      <c r="H1742" s="2" t="s">
        <v>21</v>
      </c>
      <c r="I1742" s="2" t="s">
        <v>3851</v>
      </c>
      <c r="J1742" s="3" t="str">
        <f>HYPERLINK("https://www.boe.es/gazeta/dias/1821/12/09/pdfs/GMD-1821-351.pdf#page=4","Abrir facsímil")</f>
        <v>Abrir facsímil</v>
      </c>
      <c r="K1742" s="3" t="s">
        <v>23</v>
      </c>
    </row>
    <row r="1743" spans="1:11" ht="42" customHeight="1">
      <c r="A1743" s="2" t="s">
        <v>3763</v>
      </c>
      <c r="B1743" s="2" t="s">
        <v>3763</v>
      </c>
      <c r="C1743" s="2" t="s">
        <v>35</v>
      </c>
      <c r="D1743" s="2" t="s">
        <v>27</v>
      </c>
      <c r="E1743" s="5">
        <v>-28509</v>
      </c>
      <c r="F1743" s="3" t="s">
        <v>388</v>
      </c>
      <c r="G1743" s="3" t="s">
        <v>162</v>
      </c>
      <c r="H1743" s="2" t="s">
        <v>21</v>
      </c>
      <c r="I1743" s="2" t="s">
        <v>3852</v>
      </c>
      <c r="J1743" s="3" t="str">
        <f>HYPERLINK("https://www.boe.es/gazeta/dias/1821/12/10/pdfs/GMD-1821-352.pdf#page=5","Abrir facsímil")</f>
        <v>Abrir facsímil</v>
      </c>
      <c r="K1743" s="3" t="s">
        <v>23</v>
      </c>
    </row>
    <row r="1744" spans="1:11" ht="42" customHeight="1">
      <c r="A1744" s="2" t="s">
        <v>3763</v>
      </c>
      <c r="B1744" s="2" t="s">
        <v>3763</v>
      </c>
      <c r="C1744" s="2" t="s">
        <v>26</v>
      </c>
      <c r="D1744" s="2" t="s">
        <v>27</v>
      </c>
      <c r="E1744" s="5">
        <v>-28509</v>
      </c>
      <c r="F1744" s="3" t="s">
        <v>388</v>
      </c>
      <c r="G1744" s="3" t="s">
        <v>609</v>
      </c>
      <c r="H1744" s="2" t="s">
        <v>21</v>
      </c>
      <c r="I1744" s="2" t="s">
        <v>3853</v>
      </c>
      <c r="J1744" s="3" t="str">
        <f>HYPERLINK("https://www.boe.es/gazeta/dias/1821/12/10/pdfs/GMD-1821-352.pdf#page=7","Abrir facsímil")</f>
        <v>Abrir facsímil</v>
      </c>
      <c r="K1744" s="3" t="s">
        <v>23</v>
      </c>
    </row>
    <row r="1745" spans="1:11" ht="42" customHeight="1">
      <c r="A1745" s="2" t="s">
        <v>3763</v>
      </c>
      <c r="B1745" s="2" t="s">
        <v>3763</v>
      </c>
      <c r="C1745" s="2" t="s">
        <v>26</v>
      </c>
      <c r="D1745" s="2" t="s">
        <v>27</v>
      </c>
      <c r="E1745" s="5">
        <v>-28509</v>
      </c>
      <c r="F1745" s="3" t="s">
        <v>388</v>
      </c>
      <c r="G1745" s="3" t="s">
        <v>333</v>
      </c>
      <c r="H1745" s="2" t="s">
        <v>21</v>
      </c>
      <c r="I1745" s="2" t="s">
        <v>3854</v>
      </c>
      <c r="J1745" s="3" t="str">
        <f>HYPERLINK("https://www.boe.es/gazeta/dias/1821/12/10/pdfs/GMD-1821-352.pdf#page=8","Abrir facsímil")</f>
        <v>Abrir facsímil</v>
      </c>
      <c r="K1745" s="3" t="s">
        <v>23</v>
      </c>
    </row>
    <row r="1746" spans="1:11" ht="42" customHeight="1">
      <c r="A1746" s="2" t="s">
        <v>3763</v>
      </c>
      <c r="B1746" s="2" t="s">
        <v>3763</v>
      </c>
      <c r="C1746" s="2" t="s">
        <v>35</v>
      </c>
      <c r="D1746" s="2" t="s">
        <v>27</v>
      </c>
      <c r="E1746" s="5">
        <v>-28508</v>
      </c>
      <c r="F1746" s="3" t="s">
        <v>42</v>
      </c>
      <c r="G1746" s="3" t="s">
        <v>52</v>
      </c>
      <c r="H1746" s="2" t="s">
        <v>21</v>
      </c>
      <c r="I1746" s="2" t="s">
        <v>3855</v>
      </c>
      <c r="J1746" s="3" t="str">
        <f>HYPERLINK("https://www.boe.es/gazeta/dias/1821/12/11/pdfs/GMD-1821-353.pdf#page=2","Abrir facsímil")</f>
        <v>Abrir facsímil</v>
      </c>
      <c r="K1746" s="3" t="s">
        <v>23</v>
      </c>
    </row>
    <row r="1747" spans="1:11" ht="42" customHeight="1">
      <c r="A1747" s="2" t="s">
        <v>3763</v>
      </c>
      <c r="B1747" s="2" t="s">
        <v>3763</v>
      </c>
      <c r="C1747" s="2" t="s">
        <v>26</v>
      </c>
      <c r="D1747" s="2" t="s">
        <v>27</v>
      </c>
      <c r="E1747" s="5">
        <v>-28508</v>
      </c>
      <c r="F1747" s="3" t="s">
        <v>42</v>
      </c>
      <c r="G1747" s="3" t="s">
        <v>20</v>
      </c>
      <c r="H1747" s="2" t="s">
        <v>21</v>
      </c>
      <c r="I1747" s="2" t="s">
        <v>3856</v>
      </c>
      <c r="J1747" s="3" t="str">
        <f>HYPERLINK("https://www.boe.es/gazeta/dias/1821/12/11/pdfs/GMD-1821-353.pdf#page=3","Abrir facsímil")</f>
        <v>Abrir facsímil</v>
      </c>
      <c r="K1747" s="3" t="s">
        <v>23</v>
      </c>
    </row>
    <row r="1748" spans="1:11" ht="42" customHeight="1">
      <c r="A1748" s="2" t="s">
        <v>3763</v>
      </c>
      <c r="B1748" s="2" t="s">
        <v>3763</v>
      </c>
      <c r="C1748" s="2" t="s">
        <v>26</v>
      </c>
      <c r="D1748" s="2" t="s">
        <v>27</v>
      </c>
      <c r="E1748" s="5">
        <v>-28506</v>
      </c>
      <c r="F1748" s="3" t="s">
        <v>1095</v>
      </c>
      <c r="G1748" s="3" t="s">
        <v>3686</v>
      </c>
      <c r="H1748" s="2" t="s">
        <v>21</v>
      </c>
      <c r="I1748" s="2" t="s">
        <v>3857</v>
      </c>
      <c r="J1748" s="3" t="str">
        <f>HYPERLINK("https://www.boe.es/gazeta/dias/1821/12/13/pdfs/GMD-1821-356.pdf#page=2","Abrir facsímil")</f>
        <v>Abrir facsímil</v>
      </c>
      <c r="K1748" s="3" t="s">
        <v>23</v>
      </c>
    </row>
    <row r="1749" spans="1:11" ht="42" customHeight="1">
      <c r="A1749" s="2" t="s">
        <v>3763</v>
      </c>
      <c r="B1749" s="2" t="s">
        <v>3763</v>
      </c>
      <c r="C1749" s="2" t="s">
        <v>26</v>
      </c>
      <c r="D1749" s="2" t="s">
        <v>27</v>
      </c>
      <c r="E1749" s="5">
        <v>-28506</v>
      </c>
      <c r="F1749" s="3" t="s">
        <v>1095</v>
      </c>
      <c r="G1749" s="3" t="s">
        <v>20</v>
      </c>
      <c r="H1749" s="2" t="s">
        <v>21</v>
      </c>
      <c r="I1749" s="2" t="s">
        <v>3858</v>
      </c>
      <c r="J1749" s="3" t="str">
        <f>HYPERLINK("https://www.boe.es/gazeta/dias/1821/12/13/pdfs/GMD-1821-356.pdf#page=3","Abrir facsímil")</f>
        <v>Abrir facsímil</v>
      </c>
      <c r="K1749" s="3" t="s">
        <v>23</v>
      </c>
    </row>
    <row r="1750" spans="1:11" ht="42" customHeight="1">
      <c r="A1750" s="2" t="s">
        <v>3763</v>
      </c>
      <c r="B1750" s="2" t="s">
        <v>3763</v>
      </c>
      <c r="C1750" s="2" t="s">
        <v>17</v>
      </c>
      <c r="D1750" s="2" t="s">
        <v>18</v>
      </c>
      <c r="E1750" s="5">
        <v>-28505</v>
      </c>
      <c r="F1750" s="3" t="s">
        <v>567</v>
      </c>
      <c r="G1750" s="3" t="s">
        <v>52</v>
      </c>
      <c r="H1750" s="2" t="s">
        <v>21</v>
      </c>
      <c r="I1750" s="2" t="s">
        <v>3859</v>
      </c>
      <c r="J1750" s="3" t="str">
        <f>HYPERLINK("https://www.boe.es/gazeta/dias/1821/12/14/pdfs/GMD-1821-357.pdf#page=2","Abrir facsímil")</f>
        <v>Abrir facsímil</v>
      </c>
      <c r="K1750" s="3" t="s">
        <v>23</v>
      </c>
    </row>
    <row r="1751" spans="1:11" ht="42" customHeight="1">
      <c r="A1751" s="2" t="s">
        <v>3763</v>
      </c>
      <c r="B1751" s="2" t="s">
        <v>3763</v>
      </c>
      <c r="C1751" s="2" t="s">
        <v>17</v>
      </c>
      <c r="D1751" s="2" t="s">
        <v>18</v>
      </c>
      <c r="E1751" s="5">
        <v>-28505</v>
      </c>
      <c r="F1751" s="3" t="s">
        <v>567</v>
      </c>
      <c r="G1751" s="3" t="s">
        <v>88</v>
      </c>
      <c r="H1751" s="2" t="s">
        <v>21</v>
      </c>
      <c r="I1751" s="2" t="s">
        <v>3860</v>
      </c>
      <c r="J1751" s="3" t="str">
        <f>HYPERLINK("https://www.boe.es/gazeta/dias/1821/12/14/pdfs/GMD-1821-357.pdf#page=4","Abrir facsímil")</f>
        <v>Abrir facsímil</v>
      </c>
      <c r="K1751" s="3" t="s">
        <v>23</v>
      </c>
    </row>
    <row r="1752" spans="1:11" ht="42" customHeight="1">
      <c r="A1752" s="2" t="s">
        <v>3763</v>
      </c>
      <c r="B1752" s="2" t="s">
        <v>3763</v>
      </c>
      <c r="C1752" s="2" t="s">
        <v>70</v>
      </c>
      <c r="D1752" s="2" t="s">
        <v>27</v>
      </c>
      <c r="E1752" s="5">
        <v>-28505</v>
      </c>
      <c r="F1752" s="3" t="s">
        <v>567</v>
      </c>
      <c r="G1752" s="3" t="s">
        <v>162</v>
      </c>
      <c r="H1752" s="2" t="s">
        <v>21</v>
      </c>
      <c r="I1752" s="2" t="s">
        <v>3861</v>
      </c>
      <c r="J1752" s="3" t="str">
        <f>HYPERLINK("https://www.boe.es/gazeta/dias/1821/12/14/pdfs/GMD-1821-357.pdf#page=5","Abrir facsímil")</f>
        <v>Abrir facsímil</v>
      </c>
      <c r="K1752" s="3" t="s">
        <v>23</v>
      </c>
    </row>
    <row r="1753" spans="1:11" ht="42" customHeight="1">
      <c r="A1753" s="2" t="s">
        <v>3763</v>
      </c>
      <c r="B1753" s="2" t="s">
        <v>3763</v>
      </c>
      <c r="C1753" s="2" t="s">
        <v>17</v>
      </c>
      <c r="D1753" s="2" t="s">
        <v>18</v>
      </c>
      <c r="E1753" s="5">
        <v>-28504</v>
      </c>
      <c r="F1753" s="3" t="s">
        <v>1098</v>
      </c>
      <c r="G1753" s="3" t="s">
        <v>3862</v>
      </c>
      <c r="H1753" s="2" t="s">
        <v>21</v>
      </c>
      <c r="I1753" s="2" t="s">
        <v>3863</v>
      </c>
      <c r="J1753" s="3" t="str">
        <f>HYPERLINK("https://www.boe.es/gazeta/dias/1821/12/15/pdfs/GMD-1821-358.pdf#page=5","Abrir facsímil")</f>
        <v>Abrir facsímil</v>
      </c>
      <c r="K1753" s="3" t="s">
        <v>23</v>
      </c>
    </row>
    <row r="1754" spans="1:11" ht="42" customHeight="1">
      <c r="A1754" s="2" t="s">
        <v>3763</v>
      </c>
      <c r="B1754" s="2" t="s">
        <v>3763</v>
      </c>
      <c r="C1754" s="2" t="s">
        <v>17</v>
      </c>
      <c r="D1754" s="2" t="s">
        <v>18</v>
      </c>
      <c r="E1754" s="5">
        <v>-28504</v>
      </c>
      <c r="F1754" s="3" t="s">
        <v>1098</v>
      </c>
      <c r="G1754" s="3" t="s">
        <v>20</v>
      </c>
      <c r="H1754" s="2" t="s">
        <v>21</v>
      </c>
      <c r="I1754" s="2" t="s">
        <v>3864</v>
      </c>
      <c r="J1754" s="3" t="str">
        <f>HYPERLINK("https://www.boe.es/gazeta/dias/1821/12/15/pdfs/GMD-1821-358.pdf#page=3","Abrir facsímil")</f>
        <v>Abrir facsímil</v>
      </c>
      <c r="K1754" s="3" t="s">
        <v>23</v>
      </c>
    </row>
    <row r="1755" spans="1:11" ht="42" customHeight="1">
      <c r="A1755" s="2" t="s">
        <v>3763</v>
      </c>
      <c r="B1755" s="2" t="s">
        <v>3763</v>
      </c>
      <c r="C1755" s="2" t="s">
        <v>26</v>
      </c>
      <c r="D1755" s="2" t="s">
        <v>27</v>
      </c>
      <c r="E1755" s="5">
        <v>-28504</v>
      </c>
      <c r="F1755" s="3" t="s">
        <v>1098</v>
      </c>
      <c r="G1755" s="3" t="s">
        <v>88</v>
      </c>
      <c r="H1755" s="2" t="s">
        <v>21</v>
      </c>
      <c r="I1755" s="2" t="s">
        <v>3865</v>
      </c>
      <c r="J1755" s="3" t="str">
        <f>HYPERLINK("https://www.boe.es/gazeta/dias/1821/12/15/pdfs/GMD-1821-358.pdf#page=4","Abrir facsímil")</f>
        <v>Abrir facsímil</v>
      </c>
      <c r="K1755" s="3" t="s">
        <v>23</v>
      </c>
    </row>
    <row r="1756" spans="1:11" ht="42" customHeight="1">
      <c r="A1756" s="2" t="s">
        <v>3763</v>
      </c>
      <c r="B1756" s="2" t="s">
        <v>3763</v>
      </c>
      <c r="C1756" s="2" t="s">
        <v>40</v>
      </c>
      <c r="D1756" s="2" t="s">
        <v>41</v>
      </c>
      <c r="E1756" s="5">
        <v>-28503</v>
      </c>
      <c r="F1756" s="3" t="s">
        <v>947</v>
      </c>
      <c r="G1756" s="3" t="s">
        <v>29</v>
      </c>
      <c r="H1756" s="2" t="s">
        <v>21</v>
      </c>
      <c r="I1756" s="2" t="s">
        <v>3866</v>
      </c>
      <c r="J1756" s="3" t="str">
        <f>HYPERLINK("https://www.boe.es/gazeta/dias/1821/12/16/pdfs/GMD-1821-359.pdf#page=6","Abrir facsímil")</f>
        <v>Abrir facsímil</v>
      </c>
      <c r="K1756" s="3" t="s">
        <v>23</v>
      </c>
    </row>
    <row r="1757" spans="1:11" ht="42" customHeight="1">
      <c r="A1757" s="2" t="s">
        <v>3763</v>
      </c>
      <c r="B1757" s="2" t="s">
        <v>3763</v>
      </c>
      <c r="C1757" s="2" t="s">
        <v>17</v>
      </c>
      <c r="D1757" s="2" t="s">
        <v>18</v>
      </c>
      <c r="E1757" s="5">
        <v>-28502</v>
      </c>
      <c r="F1757" s="3" t="s">
        <v>570</v>
      </c>
      <c r="G1757" s="3" t="s">
        <v>20</v>
      </c>
      <c r="H1757" s="2" t="s">
        <v>21</v>
      </c>
      <c r="I1757" s="2" t="s">
        <v>3867</v>
      </c>
      <c r="J1757" s="3" t="str">
        <f>HYPERLINK("https://www.boe.es/gazeta/dias/1821/12/17/pdfs/GMD-1821-360.pdf#page=3","Abrir facsímil")</f>
        <v>Abrir facsímil</v>
      </c>
      <c r="K1757" s="3" t="s">
        <v>23</v>
      </c>
    </row>
    <row r="1758" spans="1:11" ht="42" customHeight="1">
      <c r="A1758" s="2" t="s">
        <v>3763</v>
      </c>
      <c r="B1758" s="2" t="s">
        <v>3763</v>
      </c>
      <c r="C1758" s="2" t="s">
        <v>26</v>
      </c>
      <c r="D1758" s="2" t="s">
        <v>27</v>
      </c>
      <c r="E1758" s="5">
        <v>-28501</v>
      </c>
      <c r="F1758" s="3" t="s">
        <v>456</v>
      </c>
      <c r="G1758" s="3" t="s">
        <v>457</v>
      </c>
      <c r="H1758" s="2" t="s">
        <v>21</v>
      </c>
      <c r="I1758" s="2" t="s">
        <v>3868</v>
      </c>
      <c r="J1758" s="3" t="str">
        <f>HYPERLINK("https://www.boe.es/gazeta/dias/1821/12/18/pdfs/GMD-1821-361.pdf#page=5","Abrir facsímil")</f>
        <v>Abrir facsímil</v>
      </c>
      <c r="K1758" s="3" t="s">
        <v>23</v>
      </c>
    </row>
    <row r="1759" spans="1:11" ht="42" customHeight="1">
      <c r="A1759" s="2" t="s">
        <v>3763</v>
      </c>
      <c r="B1759" s="2" t="s">
        <v>3763</v>
      </c>
      <c r="C1759" s="2" t="s">
        <v>35</v>
      </c>
      <c r="D1759" s="2" t="s">
        <v>27</v>
      </c>
      <c r="E1759" s="5">
        <v>-28501</v>
      </c>
      <c r="F1759" s="3" t="s">
        <v>456</v>
      </c>
      <c r="G1759" s="3" t="s">
        <v>1253</v>
      </c>
      <c r="H1759" s="2" t="s">
        <v>21</v>
      </c>
      <c r="I1759" s="2" t="s">
        <v>3869</v>
      </c>
      <c r="J1759" s="3" t="str">
        <f>HYPERLINK("https://www.boe.es/gazeta/dias/1821/12/18/pdfs/GMD-1821-361.pdf#page=6","Abrir facsímil")</f>
        <v>Abrir facsímil</v>
      </c>
      <c r="K1759" s="3" t="s">
        <v>23</v>
      </c>
    </row>
    <row r="1760" spans="1:11" ht="42" customHeight="1">
      <c r="A1760" s="2" t="s">
        <v>3763</v>
      </c>
      <c r="B1760" s="2" t="s">
        <v>3763</v>
      </c>
      <c r="C1760" s="2" t="s">
        <v>17</v>
      </c>
      <c r="D1760" s="2" t="s">
        <v>18</v>
      </c>
      <c r="E1760" s="5">
        <v>-28501</v>
      </c>
      <c r="F1760" s="3" t="s">
        <v>456</v>
      </c>
      <c r="G1760" s="3" t="s">
        <v>88</v>
      </c>
      <c r="H1760" s="2" t="s">
        <v>21</v>
      </c>
      <c r="I1760" s="2" t="s">
        <v>3870</v>
      </c>
      <c r="J1760" s="3" t="str">
        <f>HYPERLINK("https://www.boe.es/gazeta/dias/1821/12/18/pdfs/GMD-1821-361.pdf#page=4","Abrir facsímil")</f>
        <v>Abrir facsímil</v>
      </c>
      <c r="K1760" s="3" t="s">
        <v>23</v>
      </c>
    </row>
    <row r="1761" spans="1:11" ht="42" customHeight="1">
      <c r="A1761" s="2" t="s">
        <v>3763</v>
      </c>
      <c r="B1761" s="2" t="s">
        <v>3763</v>
      </c>
      <c r="C1761" s="2" t="s">
        <v>40</v>
      </c>
      <c r="D1761" s="2" t="s">
        <v>41</v>
      </c>
      <c r="E1761" s="5">
        <v>-28500</v>
      </c>
      <c r="F1761" s="3" t="s">
        <v>298</v>
      </c>
      <c r="G1761" s="3" t="s">
        <v>299</v>
      </c>
      <c r="H1761" s="2" t="s">
        <v>21</v>
      </c>
      <c r="I1761" s="2" t="s">
        <v>3871</v>
      </c>
      <c r="J1761" s="3" t="str">
        <f>HYPERLINK("https://www.boe.es/gazeta/dias/1821/12/19/pdfs/GMD-1821-362.pdf#page=4","Abrir facsímil")</f>
        <v>Abrir facsímil</v>
      </c>
      <c r="K1761" s="3" t="s">
        <v>23</v>
      </c>
    </row>
    <row r="1762" spans="1:11" ht="42" customHeight="1">
      <c r="A1762" s="2" t="s">
        <v>3763</v>
      </c>
      <c r="B1762" s="2" t="s">
        <v>3763</v>
      </c>
      <c r="C1762" s="2" t="s">
        <v>70</v>
      </c>
      <c r="D1762" s="2" t="s">
        <v>27</v>
      </c>
      <c r="E1762" s="5">
        <v>-28500</v>
      </c>
      <c r="F1762" s="3" t="s">
        <v>298</v>
      </c>
      <c r="G1762" s="3" t="s">
        <v>20</v>
      </c>
      <c r="H1762" s="2" t="s">
        <v>21</v>
      </c>
      <c r="I1762" s="2" t="s">
        <v>3872</v>
      </c>
      <c r="J1762" s="3" t="str">
        <f>HYPERLINK("https://www.boe.es/gazeta/dias/1821/12/19/pdfs/GMD-1821-362.pdf#page=3","Abrir facsímil")</f>
        <v>Abrir facsímil</v>
      </c>
      <c r="K1762" s="3" t="s">
        <v>23</v>
      </c>
    </row>
    <row r="1763" spans="1:11" ht="42" customHeight="1">
      <c r="A1763" s="2" t="s">
        <v>3763</v>
      </c>
      <c r="B1763" s="2" t="s">
        <v>3763</v>
      </c>
      <c r="C1763" s="2" t="s">
        <v>70</v>
      </c>
      <c r="D1763" s="2" t="s">
        <v>27</v>
      </c>
      <c r="E1763" s="5">
        <v>-28499</v>
      </c>
      <c r="F1763" s="3" t="s">
        <v>954</v>
      </c>
      <c r="G1763" s="3" t="s">
        <v>20</v>
      </c>
      <c r="H1763" s="2" t="s">
        <v>21</v>
      </c>
      <c r="I1763" s="2" t="s">
        <v>3873</v>
      </c>
      <c r="J1763" s="3" t="str">
        <f>HYPERLINK("https://www.boe.es/gazeta/dias/1821/12/20/pdfs/GMD-1821-363.pdf#page=3","Abrir facsímil")</f>
        <v>Abrir facsímil</v>
      </c>
      <c r="K1763" s="3" t="s">
        <v>23</v>
      </c>
    </row>
    <row r="1764" spans="1:11" ht="42" customHeight="1">
      <c r="A1764" s="2" t="s">
        <v>3874</v>
      </c>
      <c r="B1764" s="2" t="s">
        <v>3874</v>
      </c>
      <c r="C1764" s="2" t="s">
        <v>40</v>
      </c>
      <c r="D1764" s="2" t="s">
        <v>41</v>
      </c>
      <c r="E1764" s="5">
        <v>-28498</v>
      </c>
      <c r="F1764" s="3" t="s">
        <v>447</v>
      </c>
      <c r="G1764" s="3" t="s">
        <v>1547</v>
      </c>
      <c r="H1764" s="2" t="s">
        <v>21</v>
      </c>
      <c r="I1764" s="2" t="s">
        <v>3875</v>
      </c>
      <c r="J1764" s="3" t="str">
        <f>HYPERLINK("https://www.boe.es/gazeta/dias/1821/12/21/pdfs/GMD-1821-364.pdf#page=2","Abrir facsímil")</f>
        <v>Abrir facsímil</v>
      </c>
      <c r="K1764" s="3" t="s">
        <v>23</v>
      </c>
    </row>
    <row r="1765" spans="1:11" ht="42" customHeight="1">
      <c r="A1765" s="2" t="s">
        <v>3763</v>
      </c>
      <c r="B1765" s="2" t="s">
        <v>3763</v>
      </c>
      <c r="C1765" s="2" t="s">
        <v>26</v>
      </c>
      <c r="D1765" s="2" t="s">
        <v>27</v>
      </c>
      <c r="E1765" s="5">
        <v>-28498</v>
      </c>
      <c r="F1765" s="3" t="s">
        <v>447</v>
      </c>
      <c r="G1765" s="3" t="s">
        <v>20</v>
      </c>
      <c r="H1765" s="2" t="s">
        <v>21</v>
      </c>
      <c r="I1765" s="2" t="s">
        <v>3876</v>
      </c>
      <c r="J1765" s="3" t="str">
        <f>HYPERLINK("https://www.boe.es/gazeta/dias/1821/12/21/pdfs/GMD-1821-364.pdf#page=3","Abrir facsímil")</f>
        <v>Abrir facsímil</v>
      </c>
      <c r="K1765" s="3" t="s">
        <v>23</v>
      </c>
    </row>
    <row r="1766" spans="1:11" ht="42" customHeight="1">
      <c r="A1766" s="2" t="s">
        <v>3763</v>
      </c>
      <c r="B1766" s="2" t="s">
        <v>3763</v>
      </c>
      <c r="C1766" s="2" t="s">
        <v>17</v>
      </c>
      <c r="D1766" s="2" t="s">
        <v>18</v>
      </c>
      <c r="E1766" s="5">
        <v>-28498</v>
      </c>
      <c r="F1766" s="3" t="s">
        <v>447</v>
      </c>
      <c r="G1766" s="3" t="s">
        <v>88</v>
      </c>
      <c r="H1766" s="2" t="s">
        <v>21</v>
      </c>
      <c r="I1766" s="2" t="s">
        <v>3877</v>
      </c>
      <c r="J1766" s="3" t="str">
        <f>HYPERLINK("https://www.boe.es/gazeta/dias/1821/12/21/pdfs/GMD-1821-364.pdf#page=4","Abrir facsímil")</f>
        <v>Abrir facsímil</v>
      </c>
      <c r="K1766" s="3" t="s">
        <v>23</v>
      </c>
    </row>
    <row r="1767" spans="1:11" ht="42" customHeight="1">
      <c r="A1767" s="2" t="s">
        <v>3763</v>
      </c>
      <c r="B1767" s="2" t="s">
        <v>3763</v>
      </c>
      <c r="C1767" s="2" t="s">
        <v>174</v>
      </c>
      <c r="D1767" s="2" t="s">
        <v>27</v>
      </c>
      <c r="E1767" s="5">
        <v>-28497</v>
      </c>
      <c r="F1767" s="3" t="s">
        <v>225</v>
      </c>
      <c r="G1767" s="3" t="s">
        <v>52</v>
      </c>
      <c r="H1767" s="2" t="s">
        <v>21</v>
      </c>
      <c r="I1767" s="2" t="s">
        <v>3878</v>
      </c>
      <c r="J1767" s="3" t="str">
        <f>HYPERLINK("https://www.boe.es/gazeta/dias/1821/12/22/pdfs/GMD-1821-365.pdf#page=2","Abrir facsímil")</f>
        <v>Abrir facsímil</v>
      </c>
      <c r="K1767" s="3" t="s">
        <v>23</v>
      </c>
    </row>
    <row r="1768" spans="1:11" ht="42" customHeight="1">
      <c r="A1768" s="2" t="s">
        <v>3763</v>
      </c>
      <c r="B1768" s="2" t="s">
        <v>3763</v>
      </c>
      <c r="C1768" s="2" t="s">
        <v>26</v>
      </c>
      <c r="D1768" s="2" t="s">
        <v>27</v>
      </c>
      <c r="E1768" s="5">
        <v>-28497</v>
      </c>
      <c r="F1768" s="3" t="s">
        <v>225</v>
      </c>
      <c r="G1768" s="3" t="s">
        <v>20</v>
      </c>
      <c r="H1768" s="2" t="s">
        <v>21</v>
      </c>
      <c r="I1768" s="2" t="s">
        <v>3879</v>
      </c>
      <c r="J1768" s="3" t="str">
        <f>HYPERLINK("https://www.boe.es/gazeta/dias/1821/12/22/pdfs/GMD-1821-365.pdf#page=3","Abrir facsímil")</f>
        <v>Abrir facsímil</v>
      </c>
      <c r="K1768" s="3" t="s">
        <v>23</v>
      </c>
    </row>
    <row r="1769" spans="1:11" ht="42" customHeight="1">
      <c r="A1769" s="2" t="s">
        <v>3763</v>
      </c>
      <c r="B1769" s="2" t="s">
        <v>3763</v>
      </c>
      <c r="C1769" s="2" t="s">
        <v>26</v>
      </c>
      <c r="D1769" s="2" t="s">
        <v>27</v>
      </c>
      <c r="E1769" s="5">
        <v>-28497</v>
      </c>
      <c r="F1769" s="3" t="s">
        <v>225</v>
      </c>
      <c r="G1769" s="3" t="s">
        <v>88</v>
      </c>
      <c r="H1769" s="2" t="s">
        <v>21</v>
      </c>
      <c r="I1769" s="2" t="s">
        <v>3880</v>
      </c>
      <c r="J1769" s="3" t="str">
        <f>HYPERLINK("https://www.boe.es/gazeta/dias/1821/12/22/pdfs/GMD-1821-365.pdf#page=4","Abrir facsímil")</f>
        <v>Abrir facsímil</v>
      </c>
      <c r="K1769" s="3" t="s">
        <v>23</v>
      </c>
    </row>
    <row r="1770" spans="1:11" ht="42" customHeight="1">
      <c r="A1770" s="2" t="s">
        <v>3763</v>
      </c>
      <c r="B1770" s="2" t="s">
        <v>3763</v>
      </c>
      <c r="C1770" s="2" t="s">
        <v>26</v>
      </c>
      <c r="D1770" s="2" t="s">
        <v>27</v>
      </c>
      <c r="E1770" s="5">
        <v>-28496</v>
      </c>
      <c r="F1770" s="3" t="s">
        <v>785</v>
      </c>
      <c r="G1770" s="3" t="s">
        <v>20</v>
      </c>
      <c r="H1770" s="2" t="s">
        <v>21</v>
      </c>
      <c r="I1770" s="2" t="s">
        <v>3881</v>
      </c>
      <c r="J1770" s="3" t="str">
        <f>HYPERLINK("https://www.boe.es/gazeta/dias/1821/12/23/pdfs/GMD-1821-366.pdf#page=3","Abrir facsímil")</f>
        <v>Abrir facsímil</v>
      </c>
      <c r="K1770" s="3" t="s">
        <v>23</v>
      </c>
    </row>
    <row r="1771" spans="1:11" ht="42" customHeight="1">
      <c r="A1771" s="2" t="s">
        <v>3763</v>
      </c>
      <c r="B1771" s="2" t="s">
        <v>3763</v>
      </c>
      <c r="C1771" s="2" t="s">
        <v>35</v>
      </c>
      <c r="D1771" s="2" t="s">
        <v>27</v>
      </c>
      <c r="E1771" s="5">
        <v>-28496</v>
      </c>
      <c r="F1771" s="3" t="s">
        <v>785</v>
      </c>
      <c r="G1771" s="3" t="s">
        <v>88</v>
      </c>
      <c r="H1771" s="2" t="s">
        <v>21</v>
      </c>
      <c r="I1771" s="2" t="s">
        <v>3882</v>
      </c>
      <c r="J1771" s="3" t="str">
        <f>HYPERLINK("https://www.boe.es/gazeta/dias/1821/12/23/pdfs/GMD-1821-366.pdf#page=4","Abrir facsímil")</f>
        <v>Abrir facsímil</v>
      </c>
      <c r="K1771" s="3" t="s">
        <v>23</v>
      </c>
    </row>
    <row r="1772" spans="1:11" ht="42" customHeight="1">
      <c r="A1772" s="2" t="s">
        <v>3763</v>
      </c>
      <c r="B1772" s="2" t="s">
        <v>3763</v>
      </c>
      <c r="C1772" s="2" t="s">
        <v>26</v>
      </c>
      <c r="D1772" s="2" t="s">
        <v>27</v>
      </c>
      <c r="E1772" s="5">
        <v>-28495</v>
      </c>
      <c r="F1772" s="3" t="s">
        <v>227</v>
      </c>
      <c r="G1772" s="3" t="s">
        <v>3883</v>
      </c>
      <c r="H1772" s="2" t="s">
        <v>21</v>
      </c>
      <c r="I1772" s="2" t="s">
        <v>3884</v>
      </c>
      <c r="J1772" s="3" t="str">
        <f>HYPERLINK("https://www.boe.es/gazeta/dias/1821/12/24/pdfs/GMD-1821-367.pdf#page=5","Abrir facsímil")</f>
        <v>Abrir facsímil</v>
      </c>
      <c r="K1772" s="3" t="s">
        <v>23</v>
      </c>
    </row>
    <row r="1773" spans="1:11" ht="42" customHeight="1">
      <c r="A1773" s="2" t="s">
        <v>3763</v>
      </c>
      <c r="B1773" s="2" t="s">
        <v>3763</v>
      </c>
      <c r="C1773" s="2" t="s">
        <v>40</v>
      </c>
      <c r="D1773" s="2" t="s">
        <v>41</v>
      </c>
      <c r="E1773" s="5">
        <v>-28495</v>
      </c>
      <c r="F1773" s="3" t="s">
        <v>227</v>
      </c>
      <c r="G1773" s="3" t="s">
        <v>52</v>
      </c>
      <c r="H1773" s="2" t="s">
        <v>21</v>
      </c>
      <c r="I1773" s="2" t="s">
        <v>3885</v>
      </c>
      <c r="J1773" s="3" t="str">
        <f>HYPERLINK("https://www.boe.es/gazeta/dias/1821/12/24/pdfs/GMD-1821-367.pdf#page=2","Abrir facsímil")</f>
        <v>Abrir facsímil</v>
      </c>
      <c r="K1773" s="3" t="s">
        <v>23</v>
      </c>
    </row>
    <row r="1774" spans="1:11" ht="42" customHeight="1">
      <c r="A1774" s="2" t="s">
        <v>3763</v>
      </c>
      <c r="B1774" s="2" t="s">
        <v>3763</v>
      </c>
      <c r="C1774" s="2" t="s">
        <v>17</v>
      </c>
      <c r="D1774" s="2" t="s">
        <v>18</v>
      </c>
      <c r="E1774" s="5">
        <v>-28495</v>
      </c>
      <c r="F1774" s="3" t="s">
        <v>227</v>
      </c>
      <c r="G1774" s="3" t="s">
        <v>20</v>
      </c>
      <c r="H1774" s="2" t="s">
        <v>21</v>
      </c>
      <c r="I1774" s="2" t="s">
        <v>3886</v>
      </c>
      <c r="J1774" s="3" t="str">
        <f>HYPERLINK("https://www.boe.es/gazeta/dias/1821/12/24/pdfs/GMD-1821-367.pdf#page=3","Abrir facsímil")</f>
        <v>Abrir facsímil</v>
      </c>
      <c r="K1774" s="3" t="s">
        <v>23</v>
      </c>
    </row>
    <row r="1775" spans="1:11" ht="42" customHeight="1">
      <c r="A1775" s="2" t="s">
        <v>3763</v>
      </c>
      <c r="B1775" s="2" t="s">
        <v>3763</v>
      </c>
      <c r="C1775" s="2" t="s">
        <v>174</v>
      </c>
      <c r="D1775" s="2" t="s">
        <v>27</v>
      </c>
      <c r="E1775" s="5">
        <v>-28495</v>
      </c>
      <c r="F1775" s="3" t="s">
        <v>227</v>
      </c>
      <c r="G1775" s="3" t="s">
        <v>88</v>
      </c>
      <c r="H1775" s="2" t="s">
        <v>21</v>
      </c>
      <c r="I1775" s="2" t="s">
        <v>3887</v>
      </c>
      <c r="J1775" s="3" t="str">
        <f>HYPERLINK("https://www.boe.es/gazeta/dias/1821/12/24/pdfs/GMD-1821-367.pdf#page=4","Abrir facsímil")</f>
        <v>Abrir facsímil</v>
      </c>
      <c r="K1775" s="3" t="s">
        <v>23</v>
      </c>
    </row>
    <row r="1776" spans="1:11" ht="42" customHeight="1">
      <c r="A1776" s="2" t="s">
        <v>3763</v>
      </c>
      <c r="B1776" s="2" t="s">
        <v>3763</v>
      </c>
      <c r="C1776" s="2" t="s">
        <v>17</v>
      </c>
      <c r="D1776" s="2" t="s">
        <v>18</v>
      </c>
      <c r="E1776" s="5">
        <v>-28494</v>
      </c>
      <c r="F1776" s="3" t="s">
        <v>1665</v>
      </c>
      <c r="G1776" s="3" t="s">
        <v>1666</v>
      </c>
      <c r="H1776" s="2" t="s">
        <v>21</v>
      </c>
      <c r="I1776" s="2" t="s">
        <v>3888</v>
      </c>
      <c r="J1776" s="3" t="str">
        <f>HYPERLINK("https://www.boe.es/gazeta/dias/1821/12/25/pdfs/GMD-1821-368.pdf#page=3","Abrir facsímil")</f>
        <v>Abrir facsímil</v>
      </c>
      <c r="K1776" s="3" t="s">
        <v>23</v>
      </c>
    </row>
    <row r="1777" spans="1:11" ht="42" customHeight="1">
      <c r="A1777" s="2" t="s">
        <v>3763</v>
      </c>
      <c r="B1777" s="2" t="s">
        <v>3763</v>
      </c>
      <c r="C1777" s="2" t="s">
        <v>35</v>
      </c>
      <c r="D1777" s="2" t="s">
        <v>27</v>
      </c>
      <c r="E1777" s="5">
        <v>-28492</v>
      </c>
      <c r="F1777" s="3" t="s">
        <v>1550</v>
      </c>
      <c r="G1777" s="3" t="s">
        <v>20</v>
      </c>
      <c r="H1777" s="2" t="s">
        <v>21</v>
      </c>
      <c r="I1777" s="2" t="s">
        <v>3889</v>
      </c>
      <c r="J1777" s="3" t="str">
        <f>HYPERLINK("https://www.boe.es/gazeta/dias/1821/12/27/pdfs/GMD-1821-370.pdf#page=3","Abrir facsímil")</f>
        <v>Abrir facsímil</v>
      </c>
      <c r="K1777" s="3" t="s">
        <v>23</v>
      </c>
    </row>
    <row r="1778" spans="1:11" ht="42" customHeight="1">
      <c r="A1778" s="2" t="s">
        <v>3763</v>
      </c>
      <c r="B1778" s="2" t="s">
        <v>3763</v>
      </c>
      <c r="C1778" s="2" t="s">
        <v>40</v>
      </c>
      <c r="D1778" s="2" t="s">
        <v>41</v>
      </c>
      <c r="E1778" s="5">
        <v>-28492</v>
      </c>
      <c r="F1778" s="3" t="s">
        <v>1550</v>
      </c>
      <c r="G1778" s="3" t="s">
        <v>88</v>
      </c>
      <c r="H1778" s="2" t="s">
        <v>21</v>
      </c>
      <c r="I1778" s="2" t="s">
        <v>3890</v>
      </c>
      <c r="J1778" s="3" t="str">
        <f>HYPERLINK("https://www.boe.es/gazeta/dias/1821/12/27/pdfs/GMD-1821-370.pdf#page=4","Abrir facsímil")</f>
        <v>Abrir facsímil</v>
      </c>
      <c r="K1778" s="3" t="s">
        <v>23</v>
      </c>
    </row>
    <row r="1779" spans="1:11" ht="42" customHeight="1">
      <c r="A1779" s="2" t="s">
        <v>3763</v>
      </c>
      <c r="B1779" s="2" t="s">
        <v>3763</v>
      </c>
      <c r="C1779" s="2" t="s">
        <v>40</v>
      </c>
      <c r="D1779" s="2" t="s">
        <v>41</v>
      </c>
      <c r="E1779" s="5">
        <v>-28491</v>
      </c>
      <c r="F1779" s="3" t="s">
        <v>573</v>
      </c>
      <c r="G1779" s="3" t="s">
        <v>3891</v>
      </c>
      <c r="H1779" s="2" t="s">
        <v>21</v>
      </c>
      <c r="I1779" s="2" t="s">
        <v>3892</v>
      </c>
      <c r="J1779" s="3" t="str">
        <f>HYPERLINK("https://www.boe.es/gazeta/dias/1821/12/28/pdfs/GMD-1821-371.pdf#page=2","Abrir facsímil")</f>
        <v>Abrir facsímil</v>
      </c>
      <c r="K1779" s="3" t="s">
        <v>23</v>
      </c>
    </row>
    <row r="1780" spans="1:11" ht="42" customHeight="1">
      <c r="A1780" s="2" t="s">
        <v>3763</v>
      </c>
      <c r="B1780" s="2" t="s">
        <v>3763</v>
      </c>
      <c r="C1780" s="2" t="s">
        <v>70</v>
      </c>
      <c r="D1780" s="2" t="s">
        <v>27</v>
      </c>
      <c r="E1780" s="5">
        <v>-28490</v>
      </c>
      <c r="F1780" s="3" t="s">
        <v>801</v>
      </c>
      <c r="G1780" s="3" t="s">
        <v>802</v>
      </c>
      <c r="H1780" s="2" t="s">
        <v>21</v>
      </c>
      <c r="I1780" s="2" t="s">
        <v>3893</v>
      </c>
      <c r="J1780" s="3" t="str">
        <f>HYPERLINK("https://www.boe.es/gazeta/dias/1821/12/29/pdfs/GMD-1821-372.pdf#page=3","Abrir facsímil")</f>
        <v>Abrir facsímil</v>
      </c>
      <c r="K1780" s="3" t="s">
        <v>23</v>
      </c>
    </row>
    <row r="1781" spans="1:11" ht="42" customHeight="1">
      <c r="A1781" s="2" t="s">
        <v>3763</v>
      </c>
      <c r="B1781" s="2" t="s">
        <v>3763</v>
      </c>
      <c r="C1781" s="2" t="s">
        <v>70</v>
      </c>
      <c r="D1781" s="2" t="s">
        <v>27</v>
      </c>
      <c r="E1781" s="5">
        <v>-28489</v>
      </c>
      <c r="F1781" s="3" t="s">
        <v>3894</v>
      </c>
      <c r="G1781" s="3" t="s">
        <v>20</v>
      </c>
      <c r="H1781" s="2" t="s">
        <v>21</v>
      </c>
      <c r="I1781" s="2" t="s">
        <v>3895</v>
      </c>
      <c r="J1781" s="3" t="str">
        <f>HYPERLINK("https://www.boe.es/gazeta/dias/1821/12/30/pdfs/GMD-1821-373.pdf#page=3","Abrir facsímil")</f>
        <v>Abrir facsímil</v>
      </c>
      <c r="K1781" s="3" t="s">
        <v>23</v>
      </c>
    </row>
    <row r="1782" spans="1:11" ht="42" customHeight="1">
      <c r="A1782" s="2" t="s">
        <v>3763</v>
      </c>
      <c r="B1782" s="2" t="s">
        <v>3763</v>
      </c>
      <c r="C1782" s="2" t="s">
        <v>35</v>
      </c>
      <c r="D1782" s="2" t="s">
        <v>27</v>
      </c>
      <c r="E1782" s="5">
        <v>-28488</v>
      </c>
      <c r="F1782" s="3" t="s">
        <v>1563</v>
      </c>
      <c r="G1782" s="3" t="s">
        <v>3734</v>
      </c>
      <c r="H1782" s="2" t="s">
        <v>21</v>
      </c>
      <c r="I1782" s="2" t="s">
        <v>3896</v>
      </c>
      <c r="J1782" s="3" t="str">
        <f>HYPERLINK("https://www.boe.es/gazeta/dias/1821/12/31/pdfs/GMD-1821-374.pdf#page=3","Abrir facsímil")</f>
        <v>Abrir facsímil</v>
      </c>
      <c r="K1782" s="3" t="s">
        <v>23</v>
      </c>
    </row>
    <row r="1783" spans="1:11" ht="42" customHeight="1">
      <c r="A1783" s="2" t="s">
        <v>3897</v>
      </c>
      <c r="B1783" s="2" t="s">
        <v>3897</v>
      </c>
      <c r="C1783" s="2" t="s">
        <v>70</v>
      </c>
      <c r="D1783" s="2" t="s">
        <v>27</v>
      </c>
      <c r="E1783" s="5">
        <v>-28488</v>
      </c>
      <c r="F1783" s="3" t="s">
        <v>1563</v>
      </c>
      <c r="G1783" s="3" t="s">
        <v>52</v>
      </c>
      <c r="H1783" s="2" t="s">
        <v>21</v>
      </c>
      <c r="I1783" s="2" t="s">
        <v>3898</v>
      </c>
      <c r="J1783" s="3" t="str">
        <f>HYPERLINK("https://www.boe.es/gazeta/dias/1821/12/31/pdfs/GMD-1821-374.pdf#page=2","Abrir facsímil")</f>
        <v>Abrir facsímil</v>
      </c>
      <c r="K1783" s="3" t="s">
        <v>23</v>
      </c>
    </row>
    <row r="1784" spans="1:11" ht="42" customHeight="1">
      <c r="A1784" s="2" t="s">
        <v>3899</v>
      </c>
      <c r="B1784" s="2" t="s">
        <v>3899</v>
      </c>
      <c r="C1784" s="2" t="s">
        <v>26</v>
      </c>
      <c r="D1784" s="2" t="s">
        <v>27</v>
      </c>
      <c r="E1784" s="5">
        <v>-28520</v>
      </c>
      <c r="F1784" s="3" t="s">
        <v>878</v>
      </c>
      <c r="G1784" s="3" t="s">
        <v>52</v>
      </c>
      <c r="H1784" s="2" t="s">
        <v>21</v>
      </c>
      <c r="I1784" s="2" t="s">
        <v>3900</v>
      </c>
      <c r="J1784" s="3" t="str">
        <f>HYPERLINK("https://www.boe.es/gazeta/dias/1821/11/29/pdfs/GMD-1821-341.pdf#page=2","Abrir facsímil")</f>
        <v>Abrir facsímil</v>
      </c>
      <c r="K1784" s="3" t="s">
        <v>23</v>
      </c>
    </row>
    <row r="1785" spans="1:11" ht="42" customHeight="1">
      <c r="A1785" s="2" t="s">
        <v>3901</v>
      </c>
      <c r="B1785" s="2" t="s">
        <v>3901</v>
      </c>
      <c r="C1785" s="2" t="s">
        <v>26</v>
      </c>
      <c r="D1785" s="2" t="s">
        <v>27</v>
      </c>
      <c r="E1785" s="5">
        <v>-28488</v>
      </c>
      <c r="F1785" s="3" t="s">
        <v>1563</v>
      </c>
      <c r="G1785" s="3" t="s">
        <v>3734</v>
      </c>
      <c r="H1785" s="2" t="s">
        <v>21</v>
      </c>
      <c r="I1785" s="2" t="s">
        <v>3902</v>
      </c>
      <c r="J1785" s="3" t="str">
        <f>HYPERLINK("https://www.boe.es/gazeta/dias/1821/12/31/pdfs/GMD-1821-374.pdf#page=3","Abrir facsímil")</f>
        <v>Abrir facsímil</v>
      </c>
      <c r="K1785" s="3" t="s">
        <v>23</v>
      </c>
    </row>
    <row r="1786" spans="1:11" ht="42" customHeight="1">
      <c r="A1786" s="2" t="s">
        <v>3903</v>
      </c>
      <c r="B1786" s="2" t="s">
        <v>3903</v>
      </c>
      <c r="C1786" s="2" t="s">
        <v>35</v>
      </c>
      <c r="D1786" s="2" t="s">
        <v>27</v>
      </c>
      <c r="E1786" s="5">
        <v>-28698</v>
      </c>
      <c r="F1786" s="3" t="s">
        <v>2067</v>
      </c>
      <c r="G1786" s="3" t="s">
        <v>3804</v>
      </c>
      <c r="H1786" s="2" t="s">
        <v>21</v>
      </c>
      <c r="I1786" s="2" t="s">
        <v>3904</v>
      </c>
      <c r="J1786" s="3" t="str">
        <f>HYPERLINK("https://www.boe.es/gazeta/dias/1821/06/04/pdfs/GMD-1821-157.pdf#page=2","Abrir facsímil")</f>
        <v>Abrir facsímil</v>
      </c>
      <c r="K1786" s="3" t="s">
        <v>23</v>
      </c>
    </row>
    <row r="1787" spans="1:11" ht="42" customHeight="1">
      <c r="A1787" s="2" t="s">
        <v>3905</v>
      </c>
      <c r="B1787" s="2" t="s">
        <v>3905</v>
      </c>
      <c r="C1787" s="2" t="s">
        <v>40</v>
      </c>
      <c r="D1787" s="2" t="s">
        <v>41</v>
      </c>
      <c r="E1787" s="5">
        <v>-28567</v>
      </c>
      <c r="F1787" s="3" t="s">
        <v>217</v>
      </c>
      <c r="G1787" s="3" t="s">
        <v>162</v>
      </c>
      <c r="H1787" s="2" t="s">
        <v>21</v>
      </c>
      <c r="I1787" s="2" t="s">
        <v>3906</v>
      </c>
      <c r="J1787" s="3" t="str">
        <f>HYPERLINK("https://www.boe.es/gazeta/dias/1821/10/13/pdfs/GMD-1821-292.pdf#page=5","Abrir facsímil")</f>
        <v>Abrir facsímil</v>
      </c>
      <c r="K1787" s="3" t="s">
        <v>23</v>
      </c>
    </row>
    <row r="1788" spans="1:11" ht="42" customHeight="1">
      <c r="A1788" s="2" t="s">
        <v>3907</v>
      </c>
      <c r="B1788" s="2" t="s">
        <v>3907</v>
      </c>
      <c r="C1788" s="2" t="s">
        <v>17</v>
      </c>
      <c r="D1788" s="2" t="s">
        <v>18</v>
      </c>
      <c r="E1788" s="5">
        <v>-28784</v>
      </c>
      <c r="F1788" s="3" t="s">
        <v>451</v>
      </c>
      <c r="G1788" s="3" t="s">
        <v>20</v>
      </c>
      <c r="H1788" s="2" t="s">
        <v>21</v>
      </c>
      <c r="I1788" s="2" t="s">
        <v>3908</v>
      </c>
      <c r="J1788" s="3" t="str">
        <f>HYPERLINK("https://www.boe.es/gazeta/dias/1821/03/10/pdfs/GGB-1821-69.pdf#page=3","Abrir facsímil")</f>
        <v>Abrir facsímil</v>
      </c>
      <c r="K1788" s="3" t="s">
        <v>23</v>
      </c>
    </row>
    <row r="1789" spans="1:11" ht="42" customHeight="1">
      <c r="A1789" s="2" t="s">
        <v>3907</v>
      </c>
      <c r="B1789" s="2" t="s">
        <v>3907</v>
      </c>
      <c r="C1789" s="2" t="s">
        <v>35</v>
      </c>
      <c r="D1789" s="2" t="s">
        <v>27</v>
      </c>
      <c r="E1789" s="5">
        <v>-28526</v>
      </c>
      <c r="F1789" s="3" t="s">
        <v>223</v>
      </c>
      <c r="G1789" s="3" t="s">
        <v>1251</v>
      </c>
      <c r="H1789" s="2" t="s">
        <v>21</v>
      </c>
      <c r="I1789" s="2" t="s">
        <v>3909</v>
      </c>
      <c r="J1789" s="3" t="str">
        <f>HYPERLINK("https://www.boe.es/gazeta/dias/1821/11/23/pdfs/GMD-1821-334.pdf#page=3","Abrir facsímil")</f>
        <v>Abrir facsímil</v>
      </c>
      <c r="K1789" s="3" t="s">
        <v>23</v>
      </c>
    </row>
    <row r="1790" spans="1:11" ht="42" customHeight="1">
      <c r="A1790" s="2" t="s">
        <v>3910</v>
      </c>
      <c r="B1790" s="2" t="s">
        <v>3910</v>
      </c>
      <c r="C1790" s="2" t="s">
        <v>35</v>
      </c>
      <c r="D1790" s="2" t="s">
        <v>27</v>
      </c>
      <c r="E1790" s="5">
        <v>-28488</v>
      </c>
      <c r="F1790" s="3" t="s">
        <v>1563</v>
      </c>
      <c r="G1790" s="3" t="s">
        <v>3734</v>
      </c>
      <c r="H1790" s="2" t="s">
        <v>21</v>
      </c>
      <c r="I1790" s="2" t="s">
        <v>3911</v>
      </c>
      <c r="J1790" s="3" t="str">
        <f>HYPERLINK("https://www.boe.es/gazeta/dias/1821/12/31/pdfs/GMD-1821-374.pdf#page=3","Abrir facsímil")</f>
        <v>Abrir facsímil</v>
      </c>
      <c r="K1790" s="3" t="s">
        <v>23</v>
      </c>
    </row>
    <row r="1791" spans="1:11" ht="42" customHeight="1">
      <c r="A1791" s="2" t="s">
        <v>3912</v>
      </c>
      <c r="B1791" s="2" t="s">
        <v>3913</v>
      </c>
      <c r="C1791" s="2" t="s">
        <v>17</v>
      </c>
      <c r="D1791" s="2" t="s">
        <v>18</v>
      </c>
      <c r="E1791" s="5">
        <v>-28531</v>
      </c>
      <c r="F1791" s="3" t="s">
        <v>365</v>
      </c>
      <c r="G1791" s="3" t="s">
        <v>20</v>
      </c>
      <c r="H1791" s="2" t="s">
        <v>21</v>
      </c>
      <c r="I1791" s="2" t="s">
        <v>3914</v>
      </c>
      <c r="J1791" s="3" t="str">
        <f>HYPERLINK("https://www.boe.es/gazeta/dias/1821/11/18/pdfs/GMD-1821-329.pdf#page=3","Abrir facsímil")</f>
        <v>Abrir facsímil</v>
      </c>
      <c r="K1791" s="3" t="s">
        <v>23</v>
      </c>
    </row>
    <row r="1792" spans="1:11" ht="42" customHeight="1">
      <c r="A1792" s="2" t="s">
        <v>3915</v>
      </c>
      <c r="B1792" s="2" t="s">
        <v>3916</v>
      </c>
      <c r="C1792" s="2" t="s">
        <v>26</v>
      </c>
      <c r="D1792" s="2" t="s">
        <v>27</v>
      </c>
      <c r="E1792" s="5">
        <v>-28547</v>
      </c>
      <c r="F1792" s="3" t="s">
        <v>247</v>
      </c>
      <c r="G1792" s="3" t="s">
        <v>248</v>
      </c>
      <c r="H1792" s="2" t="s">
        <v>21</v>
      </c>
      <c r="I1792" s="2" t="s">
        <v>3917</v>
      </c>
      <c r="J1792" s="3" t="str">
        <f>HYPERLINK("https://www.boe.es/gazeta/dias/1821/11/02/pdfs/GMD-1821-312.pdf#page=2","Abrir facsímil")</f>
        <v>Abrir facsímil</v>
      </c>
      <c r="K1792" s="3" t="s">
        <v>23</v>
      </c>
    </row>
    <row r="1793" spans="1:11" ht="42" customHeight="1">
      <c r="A1793" s="2" t="s">
        <v>3918</v>
      </c>
      <c r="B1793" s="2" t="s">
        <v>3918</v>
      </c>
      <c r="C1793" s="2" t="s">
        <v>26</v>
      </c>
      <c r="D1793" s="2" t="s">
        <v>27</v>
      </c>
      <c r="E1793" s="5">
        <v>-28736</v>
      </c>
      <c r="F1793" s="3" t="s">
        <v>464</v>
      </c>
      <c r="G1793" s="3" t="s">
        <v>20</v>
      </c>
      <c r="H1793" s="2" t="s">
        <v>21</v>
      </c>
      <c r="I1793" s="2" t="s">
        <v>3919</v>
      </c>
      <c r="J1793" s="3" t="str">
        <f>HYPERLINK("https://www.boe.es/gazeta/dias/1821/04/27/pdfs/GMD-1821-119.pdf#page=3","Abrir facsímil")</f>
        <v>Abrir facsímil</v>
      </c>
      <c r="K1793" s="3" t="s">
        <v>23</v>
      </c>
    </row>
    <row r="1794" spans="1:11" ht="42" customHeight="1">
      <c r="A1794" s="2" t="s">
        <v>3918</v>
      </c>
      <c r="B1794" s="2" t="s">
        <v>3918</v>
      </c>
      <c r="C1794" s="2" t="s">
        <v>40</v>
      </c>
      <c r="D1794" s="2" t="s">
        <v>41</v>
      </c>
      <c r="E1794" s="5">
        <v>-28732</v>
      </c>
      <c r="F1794" s="3" t="s">
        <v>2628</v>
      </c>
      <c r="G1794" s="3" t="s">
        <v>20</v>
      </c>
      <c r="H1794" s="2" t="s">
        <v>21</v>
      </c>
      <c r="I1794" s="2" t="s">
        <v>3920</v>
      </c>
      <c r="J1794" s="3" t="str">
        <f>HYPERLINK("https://www.boe.es/gazeta/dias/1821/05/01/pdfs/GMD-1821-123.pdf#page=3","Abrir facsímil")</f>
        <v>Abrir facsímil</v>
      </c>
      <c r="K1794" s="3" t="s">
        <v>23</v>
      </c>
    </row>
    <row r="1795" spans="1:11" ht="42" customHeight="1">
      <c r="A1795" s="2" t="s">
        <v>3918</v>
      </c>
      <c r="B1795" s="2" t="s">
        <v>3918</v>
      </c>
      <c r="C1795" s="2" t="s">
        <v>114</v>
      </c>
      <c r="D1795" s="2" t="s">
        <v>27</v>
      </c>
      <c r="E1795" s="5">
        <v>-28716</v>
      </c>
      <c r="F1795" s="3" t="s">
        <v>842</v>
      </c>
      <c r="G1795" s="3" t="s">
        <v>20</v>
      </c>
      <c r="H1795" s="2" t="s">
        <v>21</v>
      </c>
      <c r="I1795" s="2" t="s">
        <v>3921</v>
      </c>
      <c r="J1795" s="3" t="str">
        <f>HYPERLINK("https://www.boe.es/gazeta/dias/1821/05/17/pdfs/GMD-1821-139.pdf#page=3","Abrir facsímil")</f>
        <v>Abrir facsímil</v>
      </c>
      <c r="K1795" s="3" t="s">
        <v>23</v>
      </c>
    </row>
    <row r="1796" spans="1:11" ht="42" customHeight="1">
      <c r="A1796" s="2" t="s">
        <v>3918</v>
      </c>
      <c r="B1796" s="2" t="s">
        <v>3918</v>
      </c>
      <c r="C1796" s="2" t="s">
        <v>17</v>
      </c>
      <c r="D1796" s="2" t="s">
        <v>18</v>
      </c>
      <c r="E1796" s="5">
        <v>-28710</v>
      </c>
      <c r="F1796" s="3" t="s">
        <v>375</v>
      </c>
      <c r="G1796" s="3" t="s">
        <v>52</v>
      </c>
      <c r="H1796" s="2" t="s">
        <v>21</v>
      </c>
      <c r="I1796" s="2" t="s">
        <v>3922</v>
      </c>
      <c r="J1796" s="3" t="str">
        <f>HYPERLINK("https://www.boe.es/gazeta/dias/1821/05/23/pdfs/GMD-1821-145.pdf#page=2","Abrir facsímil")</f>
        <v>Abrir facsímil</v>
      </c>
      <c r="K1796" s="3" t="s">
        <v>23</v>
      </c>
    </row>
    <row r="1797" spans="1:11" ht="42" customHeight="1">
      <c r="A1797" s="2" t="s">
        <v>3918</v>
      </c>
      <c r="B1797" s="2" t="s">
        <v>3918</v>
      </c>
      <c r="C1797" s="2" t="s">
        <v>114</v>
      </c>
      <c r="D1797" s="2" t="s">
        <v>27</v>
      </c>
      <c r="E1797" s="5">
        <v>-28705</v>
      </c>
      <c r="F1797" s="3" t="s">
        <v>1844</v>
      </c>
      <c r="G1797" s="3" t="s">
        <v>20</v>
      </c>
      <c r="H1797" s="2" t="s">
        <v>21</v>
      </c>
      <c r="I1797" s="2" t="s">
        <v>3923</v>
      </c>
      <c r="J1797" s="3" t="str">
        <f>HYPERLINK("https://www.boe.es/gazeta/dias/1821/05/28/pdfs/GMD-1821-150.pdf#page=3","Abrir facsímil")</f>
        <v>Abrir facsímil</v>
      </c>
      <c r="K1797" s="3" t="s">
        <v>23</v>
      </c>
    </row>
    <row r="1798" spans="1:11" ht="42" customHeight="1">
      <c r="A1798" s="2" t="s">
        <v>3918</v>
      </c>
      <c r="B1798" s="2" t="s">
        <v>3918</v>
      </c>
      <c r="C1798" s="2" t="s">
        <v>35</v>
      </c>
      <c r="D1798" s="2" t="s">
        <v>27</v>
      </c>
      <c r="E1798" s="5">
        <v>-28694</v>
      </c>
      <c r="F1798" s="3" t="s">
        <v>1057</v>
      </c>
      <c r="G1798" s="3" t="s">
        <v>20</v>
      </c>
      <c r="H1798" s="2" t="s">
        <v>21</v>
      </c>
      <c r="I1798" s="2" t="s">
        <v>3924</v>
      </c>
      <c r="J1798" s="3" t="str">
        <f>HYPERLINK("https://www.boe.es/gazeta/dias/1821/06/08/pdfs/GMD-1821-161.pdf#page=3","Abrir facsímil")</f>
        <v>Abrir facsímil</v>
      </c>
      <c r="K1798" s="3" t="s">
        <v>23</v>
      </c>
    </row>
    <row r="1799" spans="1:11" ht="42" customHeight="1">
      <c r="A1799" s="2" t="s">
        <v>3918</v>
      </c>
      <c r="B1799" s="2" t="s">
        <v>3918</v>
      </c>
      <c r="C1799" s="2" t="s">
        <v>35</v>
      </c>
      <c r="D1799" s="2" t="s">
        <v>27</v>
      </c>
      <c r="E1799" s="5">
        <v>-28566</v>
      </c>
      <c r="F1799" s="3" t="s">
        <v>1529</v>
      </c>
      <c r="G1799" s="3" t="s">
        <v>20</v>
      </c>
      <c r="H1799" s="2" t="s">
        <v>21</v>
      </c>
      <c r="I1799" s="2" t="s">
        <v>3925</v>
      </c>
      <c r="J1799" s="3" t="str">
        <f>HYPERLINK("https://www.boe.es/gazeta/dias/1821/10/14/pdfs/GMD-1821-293.pdf#page=3","Abrir facsímil")</f>
        <v>Abrir facsímil</v>
      </c>
      <c r="K1799" s="3" t="s">
        <v>23</v>
      </c>
    </row>
    <row r="1800" spans="1:11" ht="42" customHeight="1">
      <c r="A1800" s="2" t="s">
        <v>3918</v>
      </c>
      <c r="B1800" s="2" t="s">
        <v>3918</v>
      </c>
      <c r="C1800" s="2" t="s">
        <v>35</v>
      </c>
      <c r="D1800" s="2" t="s">
        <v>27</v>
      </c>
      <c r="E1800" s="5">
        <v>-28550</v>
      </c>
      <c r="F1800" s="3" t="s">
        <v>546</v>
      </c>
      <c r="G1800" s="3" t="s">
        <v>162</v>
      </c>
      <c r="H1800" s="2" t="s">
        <v>21</v>
      </c>
      <c r="I1800" s="2" t="s">
        <v>3926</v>
      </c>
      <c r="J1800" s="3" t="str">
        <f>HYPERLINK("https://www.boe.es/gazeta/dias/1821/10/30/pdfs/GMD-1821-309.pdf#page=5","Abrir facsímil")</f>
        <v>Abrir facsímil</v>
      </c>
      <c r="K1800" s="3" t="s">
        <v>23</v>
      </c>
    </row>
    <row r="1801" spans="1:11" ht="42" customHeight="1">
      <c r="A1801" s="2" t="s">
        <v>3918</v>
      </c>
      <c r="B1801" s="2" t="s">
        <v>3918</v>
      </c>
      <c r="C1801" s="2" t="s">
        <v>70</v>
      </c>
      <c r="D1801" s="2" t="s">
        <v>27</v>
      </c>
      <c r="E1801" s="5">
        <v>-28527</v>
      </c>
      <c r="F1801" s="3" t="s">
        <v>328</v>
      </c>
      <c r="G1801" s="3" t="s">
        <v>88</v>
      </c>
      <c r="H1801" s="2" t="s">
        <v>21</v>
      </c>
      <c r="I1801" s="2" t="s">
        <v>3927</v>
      </c>
      <c r="J1801" s="3" t="str">
        <f>HYPERLINK("https://www.boe.es/gazeta/dias/1821/11/22/pdfs/GMD-1821-333.pdf#page=4","Abrir facsímil")</f>
        <v>Abrir facsímil</v>
      </c>
      <c r="K1801" s="3" t="s">
        <v>23</v>
      </c>
    </row>
    <row r="1802" spans="1:11" ht="42" customHeight="1">
      <c r="A1802" s="2" t="s">
        <v>3918</v>
      </c>
      <c r="B1802" s="2" t="s">
        <v>3918</v>
      </c>
      <c r="C1802" s="2" t="s">
        <v>40</v>
      </c>
      <c r="D1802" s="2" t="s">
        <v>41</v>
      </c>
      <c r="E1802" s="5">
        <v>-28526</v>
      </c>
      <c r="F1802" s="3" t="s">
        <v>223</v>
      </c>
      <c r="G1802" s="3" t="s">
        <v>1251</v>
      </c>
      <c r="H1802" s="2" t="s">
        <v>21</v>
      </c>
      <c r="I1802" s="2" t="s">
        <v>3928</v>
      </c>
      <c r="J1802" s="3" t="str">
        <f>HYPERLINK("https://www.boe.es/gazeta/dias/1821/11/23/pdfs/GMD-1821-334.pdf#page=3","Abrir facsímil")</f>
        <v>Abrir facsímil</v>
      </c>
      <c r="K1802" s="3" t="s">
        <v>23</v>
      </c>
    </row>
    <row r="1803" spans="1:11" ht="42" customHeight="1">
      <c r="A1803" s="2" t="s">
        <v>3918</v>
      </c>
      <c r="B1803" s="2" t="s">
        <v>3918</v>
      </c>
      <c r="C1803" s="2" t="s">
        <v>17</v>
      </c>
      <c r="D1803" s="2" t="s">
        <v>18</v>
      </c>
      <c r="E1803" s="5">
        <v>-28524</v>
      </c>
      <c r="F1803" s="3" t="s">
        <v>874</v>
      </c>
      <c r="G1803" s="3" t="s">
        <v>162</v>
      </c>
      <c r="H1803" s="2" t="s">
        <v>21</v>
      </c>
      <c r="I1803" s="2" t="s">
        <v>3929</v>
      </c>
      <c r="J1803" s="3" t="str">
        <f>HYPERLINK("https://www.boe.es/gazeta/dias/1821/11/25/pdfs/GMD-1821-336.pdf#page=5","Abrir facsímil")</f>
        <v>Abrir facsímil</v>
      </c>
      <c r="K1803" s="3" t="s">
        <v>23</v>
      </c>
    </row>
    <row r="1804" spans="1:11" ht="42" customHeight="1">
      <c r="A1804" s="2" t="s">
        <v>3918</v>
      </c>
      <c r="B1804" s="2" t="s">
        <v>3918</v>
      </c>
      <c r="C1804" s="2" t="s">
        <v>26</v>
      </c>
      <c r="D1804" s="2" t="s">
        <v>27</v>
      </c>
      <c r="E1804" s="5">
        <v>-28523</v>
      </c>
      <c r="F1804" s="3" t="s">
        <v>257</v>
      </c>
      <c r="G1804" s="3" t="s">
        <v>88</v>
      </c>
      <c r="H1804" s="2" t="s">
        <v>21</v>
      </c>
      <c r="I1804" s="2" t="s">
        <v>3930</v>
      </c>
      <c r="J1804" s="3" t="str">
        <f>HYPERLINK("https://www.boe.es/gazeta/dias/1821/11/26/pdfs/GMD-1821-337.pdf#page=4","Abrir facsímil")</f>
        <v>Abrir facsímil</v>
      </c>
      <c r="K1804" s="3" t="s">
        <v>23</v>
      </c>
    </row>
    <row r="1805" spans="1:11" ht="42" customHeight="1">
      <c r="A1805" s="2" t="s">
        <v>3918</v>
      </c>
      <c r="B1805" s="2" t="s">
        <v>3918</v>
      </c>
      <c r="C1805" s="2" t="s">
        <v>26</v>
      </c>
      <c r="D1805" s="2" t="s">
        <v>27</v>
      </c>
      <c r="E1805" s="5">
        <v>-28515</v>
      </c>
      <c r="F1805" s="3" t="s">
        <v>260</v>
      </c>
      <c r="G1805" s="3" t="s">
        <v>88</v>
      </c>
      <c r="H1805" s="2" t="s">
        <v>21</v>
      </c>
      <c r="I1805" s="2" t="s">
        <v>3931</v>
      </c>
      <c r="J1805" s="3" t="str">
        <f>HYPERLINK("https://www.boe.es/gazeta/dias/1821/12/04/pdfs/GMD-1821-346.pdf#page=4","Abrir facsímil")</f>
        <v>Abrir facsímil</v>
      </c>
      <c r="K1805" s="3" t="s">
        <v>23</v>
      </c>
    </row>
    <row r="1806" spans="1:11" ht="42" customHeight="1">
      <c r="A1806" s="2" t="s">
        <v>3918</v>
      </c>
      <c r="B1806" s="2" t="s">
        <v>3918</v>
      </c>
      <c r="C1806" s="2" t="s">
        <v>35</v>
      </c>
      <c r="D1806" s="2" t="s">
        <v>27</v>
      </c>
      <c r="E1806" s="5">
        <v>-28508</v>
      </c>
      <c r="F1806" s="3" t="s">
        <v>42</v>
      </c>
      <c r="G1806" s="3" t="s">
        <v>52</v>
      </c>
      <c r="H1806" s="2" t="s">
        <v>21</v>
      </c>
      <c r="I1806" s="2" t="s">
        <v>3932</v>
      </c>
      <c r="J1806" s="3" t="str">
        <f>HYPERLINK("https://www.boe.es/gazeta/dias/1821/12/11/pdfs/GMD-1821-353.pdf#page=2","Abrir facsímil")</f>
        <v>Abrir facsímil</v>
      </c>
      <c r="K1806" s="3" t="s">
        <v>23</v>
      </c>
    </row>
    <row r="1807" spans="1:11" ht="42" customHeight="1">
      <c r="A1807" s="2" t="s">
        <v>3918</v>
      </c>
      <c r="B1807" s="2" t="s">
        <v>3918</v>
      </c>
      <c r="C1807" s="2" t="s">
        <v>174</v>
      </c>
      <c r="D1807" s="2" t="s">
        <v>27</v>
      </c>
      <c r="E1807" s="5">
        <v>-28491</v>
      </c>
      <c r="F1807" s="3" t="s">
        <v>573</v>
      </c>
      <c r="G1807" s="3" t="s">
        <v>3891</v>
      </c>
      <c r="H1807" s="2" t="s">
        <v>21</v>
      </c>
      <c r="I1807" s="2" t="s">
        <v>3933</v>
      </c>
      <c r="J1807" s="3" t="str">
        <f>HYPERLINK("https://www.boe.es/gazeta/dias/1821/12/28/pdfs/GMD-1821-371.pdf#page=2","Abrir facsímil")</f>
        <v>Abrir facsímil</v>
      </c>
      <c r="K1807" s="3" t="s">
        <v>23</v>
      </c>
    </row>
    <row r="1808" spans="1:11" ht="42" customHeight="1">
      <c r="A1808" s="2" t="s">
        <v>3934</v>
      </c>
      <c r="B1808" s="2" t="s">
        <v>3935</v>
      </c>
      <c r="C1808" s="2" t="s">
        <v>40</v>
      </c>
      <c r="D1808" s="2" t="s">
        <v>41</v>
      </c>
      <c r="E1808" s="5">
        <v>-28654</v>
      </c>
      <c r="F1808" s="3" t="s">
        <v>674</v>
      </c>
      <c r="G1808" s="3" t="s">
        <v>88</v>
      </c>
      <c r="H1808" s="2" t="s">
        <v>21</v>
      </c>
      <c r="I1808" s="2" t="s">
        <v>3936</v>
      </c>
      <c r="J1808" s="3" t="str">
        <f>HYPERLINK("https://www.boe.es/gazeta/dias/1821/07/18/pdfs/GMD-1821-203.pdf#page=4","Abrir facsímil")</f>
        <v>Abrir facsímil</v>
      </c>
      <c r="K1808" s="3" t="s">
        <v>23</v>
      </c>
    </row>
    <row r="1809" spans="1:11" ht="42" customHeight="1">
      <c r="A1809" s="2" t="s">
        <v>3937</v>
      </c>
      <c r="B1809" s="2" t="s">
        <v>3938</v>
      </c>
      <c r="C1809" s="2" t="s">
        <v>26</v>
      </c>
      <c r="D1809" s="2" t="s">
        <v>27</v>
      </c>
      <c r="E1809" s="5">
        <v>-28810</v>
      </c>
      <c r="F1809" s="3" t="s">
        <v>308</v>
      </c>
      <c r="G1809" s="3" t="s">
        <v>88</v>
      </c>
      <c r="H1809" s="2" t="s">
        <v>21</v>
      </c>
      <c r="I1809" s="2" t="s">
        <v>3939</v>
      </c>
      <c r="J1809" s="3" t="str">
        <f>HYPERLINK("https://www.boe.es/gazeta/dias/1821/02/12/pdfs/GGB-1821-43.pdf#page=4","Abrir facsímil")</f>
        <v>Abrir facsímil</v>
      </c>
      <c r="K1809" s="3" t="s">
        <v>23</v>
      </c>
    </row>
    <row r="1810" spans="1:11" ht="42" customHeight="1">
      <c r="A1810" s="2" t="s">
        <v>3937</v>
      </c>
      <c r="B1810" s="2" t="s">
        <v>3938</v>
      </c>
      <c r="C1810" s="2" t="s">
        <v>26</v>
      </c>
      <c r="D1810" s="2" t="s">
        <v>27</v>
      </c>
      <c r="E1810" s="5">
        <v>-28574</v>
      </c>
      <c r="F1810" s="3" t="s">
        <v>779</v>
      </c>
      <c r="G1810" s="3" t="s">
        <v>333</v>
      </c>
      <c r="H1810" s="2" t="s">
        <v>21</v>
      </c>
      <c r="I1810" s="2" t="s">
        <v>3940</v>
      </c>
      <c r="J1810" s="3" t="str">
        <f>HYPERLINK("https://www.boe.es/gazeta/dias/1821/10/06/pdfs/GMD-1821-285.pdf#page=8","Abrir facsímil")</f>
        <v>Abrir facsímil</v>
      </c>
      <c r="K1810" s="3" t="s">
        <v>23</v>
      </c>
    </row>
    <row r="1811" spans="1:11" ht="42" customHeight="1">
      <c r="A1811" s="2" t="s">
        <v>3941</v>
      </c>
      <c r="B1811" s="2" t="s">
        <v>3942</v>
      </c>
      <c r="C1811" s="2" t="s">
        <v>40</v>
      </c>
      <c r="D1811" s="2" t="s">
        <v>41</v>
      </c>
      <c r="E1811" s="5">
        <v>-28513</v>
      </c>
      <c r="F1811" s="3" t="s">
        <v>502</v>
      </c>
      <c r="G1811" s="3" t="s">
        <v>52</v>
      </c>
      <c r="H1811" s="2" t="s">
        <v>21</v>
      </c>
      <c r="I1811" s="2" t="s">
        <v>3943</v>
      </c>
      <c r="J1811" s="3" t="str">
        <f>HYPERLINK("https://www.boe.es/gazeta/dias/1821/12/06/pdfs/GMD-1821-348.pdf#page=2","Abrir facsímil")</f>
        <v>Abrir facsímil</v>
      </c>
      <c r="K1811" s="3" t="s">
        <v>23</v>
      </c>
    </row>
    <row r="1812" spans="1:11" ht="42" customHeight="1">
      <c r="A1812" s="2" t="s">
        <v>3944</v>
      </c>
      <c r="B1812" s="2" t="s">
        <v>3945</v>
      </c>
      <c r="C1812" s="2" t="s">
        <v>26</v>
      </c>
      <c r="D1812" s="2" t="s">
        <v>27</v>
      </c>
      <c r="E1812" s="5">
        <v>-28842</v>
      </c>
      <c r="F1812" s="3" t="s">
        <v>660</v>
      </c>
      <c r="G1812" s="3" t="s">
        <v>88</v>
      </c>
      <c r="H1812" s="2" t="s">
        <v>21</v>
      </c>
      <c r="I1812" s="2" t="s">
        <v>3946</v>
      </c>
      <c r="J1812" s="3" t="str">
        <f>HYPERLINK("https://www.boe.es/gazeta/dias/1821/01/11/pdfs/GGB-1821-11.pdf#page=4","Abrir facsímil")</f>
        <v>Abrir facsímil</v>
      </c>
      <c r="K1812" s="3" t="s">
        <v>23</v>
      </c>
    </row>
    <row r="1813" spans="1:11" ht="42" customHeight="1">
      <c r="A1813" s="2" t="s">
        <v>3947</v>
      </c>
      <c r="B1813" s="2" t="s">
        <v>3947</v>
      </c>
      <c r="C1813" s="2" t="s">
        <v>174</v>
      </c>
      <c r="D1813" s="2" t="s">
        <v>27</v>
      </c>
      <c r="E1813" s="5">
        <v>-28526</v>
      </c>
      <c r="F1813" s="3" t="s">
        <v>223</v>
      </c>
      <c r="G1813" s="3" t="s">
        <v>88</v>
      </c>
      <c r="H1813" s="2" t="s">
        <v>21</v>
      </c>
      <c r="I1813" s="2" t="s">
        <v>3948</v>
      </c>
      <c r="J1813" s="3" t="str">
        <f>HYPERLINK("https://www.boe.es/gazeta/dias/1821/11/23/pdfs/GMD-1821-334.pdf#page=4","Abrir facsímil")</f>
        <v>Abrir facsímil</v>
      </c>
      <c r="K1813" s="3" t="s">
        <v>23</v>
      </c>
    </row>
    <row r="1814" spans="1:11" ht="42" customHeight="1">
      <c r="A1814" s="2" t="s">
        <v>3949</v>
      </c>
      <c r="B1814" s="2" t="s">
        <v>3950</v>
      </c>
      <c r="C1814" s="2" t="s">
        <v>17</v>
      </c>
      <c r="D1814" s="2" t="s">
        <v>18</v>
      </c>
      <c r="E1814" s="5">
        <v>-28730</v>
      </c>
      <c r="F1814" s="3" t="s">
        <v>747</v>
      </c>
      <c r="G1814" s="3" t="s">
        <v>20</v>
      </c>
      <c r="H1814" s="2" t="s">
        <v>21</v>
      </c>
      <c r="I1814" s="2" t="s">
        <v>3951</v>
      </c>
      <c r="J1814" s="3" t="str">
        <f>HYPERLINK("https://www.boe.es/gazeta/dias/1821/05/03/pdfs/GMD-1821-125.pdf#page=3","Abrir facsímil")</f>
        <v>Abrir facsímil</v>
      </c>
      <c r="K1814" s="3" t="s">
        <v>23</v>
      </c>
    </row>
    <row r="1815" spans="1:11" ht="42" customHeight="1">
      <c r="A1815" s="2" t="s">
        <v>3952</v>
      </c>
      <c r="B1815" s="2" t="s">
        <v>3953</v>
      </c>
      <c r="C1815" s="2" t="s">
        <v>26</v>
      </c>
      <c r="D1815" s="2" t="s">
        <v>27</v>
      </c>
      <c r="E1815" s="5">
        <v>-28612</v>
      </c>
      <c r="F1815" s="3" t="s">
        <v>1902</v>
      </c>
      <c r="G1815" s="3" t="s">
        <v>20</v>
      </c>
      <c r="H1815" s="2" t="s">
        <v>21</v>
      </c>
      <c r="I1815" s="2" t="s">
        <v>3954</v>
      </c>
      <c r="J1815" s="3" t="str">
        <f>HYPERLINK("https://www.boe.es/gazeta/dias/1821/08/29/pdfs/GMD-1821-246.pdf#page=3","Abrir facsímil")</f>
        <v>Abrir facsímil</v>
      </c>
      <c r="K1815" s="3" t="s">
        <v>23</v>
      </c>
    </row>
    <row r="1816" spans="1:11" ht="42" customHeight="1">
      <c r="A1816" s="2" t="s">
        <v>3955</v>
      </c>
      <c r="B1816" s="2" t="s">
        <v>3955</v>
      </c>
      <c r="C1816" s="2" t="s">
        <v>40</v>
      </c>
      <c r="D1816" s="2" t="s">
        <v>41</v>
      </c>
      <c r="E1816" s="5">
        <v>-28773</v>
      </c>
      <c r="F1816" s="3" t="s">
        <v>1755</v>
      </c>
      <c r="G1816" s="3" t="s">
        <v>20</v>
      </c>
      <c r="H1816" s="2" t="s">
        <v>21</v>
      </c>
      <c r="I1816" s="2" t="s">
        <v>3956</v>
      </c>
      <c r="J1816" s="3" t="str">
        <f>HYPERLINK("https://www.boe.es/gazeta/dias/1821/03/21/pdfs/GMD-1821-80.pdf#page=3","Abrir facsímil")</f>
        <v>Abrir facsímil</v>
      </c>
      <c r="K1816" s="3" t="s">
        <v>23</v>
      </c>
    </row>
    <row r="1817" spans="1:11" ht="42" customHeight="1">
      <c r="A1817" s="2" t="s">
        <v>3957</v>
      </c>
      <c r="B1817" s="2" t="s">
        <v>3958</v>
      </c>
      <c r="C1817" s="2" t="s">
        <v>26</v>
      </c>
      <c r="D1817" s="2" t="s">
        <v>27</v>
      </c>
      <c r="E1817" s="5">
        <v>-28728</v>
      </c>
      <c r="F1817" s="3" t="s">
        <v>1038</v>
      </c>
      <c r="G1817" s="3" t="s">
        <v>20</v>
      </c>
      <c r="H1817" s="2" t="s">
        <v>21</v>
      </c>
      <c r="I1817" s="2" t="s">
        <v>3959</v>
      </c>
      <c r="J1817" s="3" t="str">
        <f>HYPERLINK("https://www.boe.es/gazeta/dias/1821/05/05/pdfs/GMD-1821-127.pdf#page=3","Abrir facsímil")</f>
        <v>Abrir facsímil</v>
      </c>
      <c r="K1817" s="3" t="s">
        <v>23</v>
      </c>
    </row>
    <row r="1818" spans="1:11" ht="42" customHeight="1">
      <c r="A1818" s="2" t="s">
        <v>3960</v>
      </c>
      <c r="B1818" s="2" t="s">
        <v>3961</v>
      </c>
      <c r="C1818" s="2" t="s">
        <v>26</v>
      </c>
      <c r="D1818" s="2" t="s">
        <v>27</v>
      </c>
      <c r="E1818" s="5">
        <v>-28560</v>
      </c>
      <c r="F1818" s="3" t="s">
        <v>363</v>
      </c>
      <c r="G1818" s="3" t="s">
        <v>162</v>
      </c>
      <c r="H1818" s="2" t="s">
        <v>21</v>
      </c>
      <c r="I1818" s="2" t="s">
        <v>3962</v>
      </c>
      <c r="J1818" s="3" t="str">
        <f>HYPERLINK("https://www.boe.es/gazeta/dias/1821/10/20/pdfs/GMD-1821-299.pdf#page=5","Abrir facsímil")</f>
        <v>Abrir facsímil</v>
      </c>
      <c r="K1818" s="3" t="s">
        <v>23</v>
      </c>
    </row>
    <row r="1819" spans="1:11" ht="42" customHeight="1">
      <c r="A1819" s="2" t="s">
        <v>3963</v>
      </c>
      <c r="B1819" s="2" t="s">
        <v>3964</v>
      </c>
      <c r="C1819" s="2" t="s">
        <v>26</v>
      </c>
      <c r="D1819" s="2" t="s">
        <v>27</v>
      </c>
      <c r="E1819" s="5">
        <v>-28713</v>
      </c>
      <c r="F1819" s="3" t="s">
        <v>1976</v>
      </c>
      <c r="G1819" s="3" t="s">
        <v>52</v>
      </c>
      <c r="H1819" s="2" t="s">
        <v>21</v>
      </c>
      <c r="I1819" s="2" t="s">
        <v>3965</v>
      </c>
      <c r="J1819" s="3" t="str">
        <f>HYPERLINK("https://www.boe.es/gazeta/dias/1821/05/20/pdfs/GMD-1821-142.pdf#page=2","Abrir facsímil")</f>
        <v>Abrir facsímil</v>
      </c>
      <c r="K1819" s="3" t="s">
        <v>23</v>
      </c>
    </row>
    <row r="1820" spans="1:11" ht="42" customHeight="1">
      <c r="A1820" s="2" t="s">
        <v>3966</v>
      </c>
      <c r="B1820" s="2" t="s">
        <v>3966</v>
      </c>
      <c r="C1820" s="2" t="s">
        <v>40</v>
      </c>
      <c r="D1820" s="2" t="s">
        <v>41</v>
      </c>
      <c r="E1820" s="5">
        <v>-28770</v>
      </c>
      <c r="F1820" s="3" t="s">
        <v>1009</v>
      </c>
      <c r="G1820" s="3" t="s">
        <v>162</v>
      </c>
      <c r="H1820" s="2" t="s">
        <v>21</v>
      </c>
      <c r="I1820" s="2" t="s">
        <v>3967</v>
      </c>
      <c r="J1820" s="3" t="str">
        <f>HYPERLINK("https://www.boe.es/gazeta/dias/1821/03/24/pdfs/GMD-1821-84.pdf#page=5","Abrir facsímil")</f>
        <v>Abrir facsímil</v>
      </c>
      <c r="K1820" s="3" t="s">
        <v>23</v>
      </c>
    </row>
    <row r="1821" spans="1:11" ht="42" customHeight="1">
      <c r="A1821" s="2" t="s">
        <v>3968</v>
      </c>
      <c r="B1821" s="2" t="s">
        <v>3968</v>
      </c>
      <c r="C1821" s="2" t="s">
        <v>17</v>
      </c>
      <c r="D1821" s="2" t="s">
        <v>18</v>
      </c>
      <c r="E1821" s="5">
        <v>-28752</v>
      </c>
      <c r="F1821" s="3" t="s">
        <v>1012</v>
      </c>
      <c r="G1821" s="3" t="s">
        <v>43</v>
      </c>
      <c r="H1821" s="2" t="s">
        <v>21</v>
      </c>
      <c r="I1821" s="2" t="s">
        <v>3969</v>
      </c>
      <c r="J1821" s="3" t="str">
        <f>HYPERLINK("https://www.boe.es/gazeta/dias/1821/04/11/pdfs/GMD-1821-103.pdf#page=1","Abrir facsímil")</f>
        <v>Abrir facsímil</v>
      </c>
      <c r="K1821" s="3" t="s">
        <v>23</v>
      </c>
    </row>
    <row r="1822" spans="1:11" ht="42" customHeight="1">
      <c r="A1822" s="2" t="s">
        <v>3968</v>
      </c>
      <c r="B1822" s="2" t="s">
        <v>3968</v>
      </c>
      <c r="C1822" s="2" t="s">
        <v>17</v>
      </c>
      <c r="D1822" s="2" t="s">
        <v>18</v>
      </c>
      <c r="E1822" s="5">
        <v>-28690</v>
      </c>
      <c r="F1822" s="3" t="s">
        <v>846</v>
      </c>
      <c r="G1822" s="3" t="s">
        <v>43</v>
      </c>
      <c r="H1822" s="2" t="s">
        <v>21</v>
      </c>
      <c r="I1822" s="2" t="s">
        <v>3970</v>
      </c>
      <c r="J1822" s="3" t="str">
        <f>HYPERLINK("https://www.boe.es/gazeta/dias/1821/06/12/pdfs/GMD-1821-165.pdf#page=1","Abrir facsímil")</f>
        <v>Abrir facsímil</v>
      </c>
      <c r="K1822" s="3" t="s">
        <v>23</v>
      </c>
    </row>
    <row r="1823" spans="1:11" ht="42" customHeight="1">
      <c r="A1823" s="2" t="s">
        <v>3968</v>
      </c>
      <c r="B1823" s="2" t="s">
        <v>3968</v>
      </c>
      <c r="C1823" s="2" t="s">
        <v>40</v>
      </c>
      <c r="D1823" s="2" t="s">
        <v>41</v>
      </c>
      <c r="E1823" s="5">
        <v>-28688</v>
      </c>
      <c r="F1823" s="3" t="s">
        <v>1504</v>
      </c>
      <c r="G1823" s="3" t="s">
        <v>43</v>
      </c>
      <c r="H1823" s="2" t="s">
        <v>21</v>
      </c>
      <c r="I1823" s="2" t="s">
        <v>3971</v>
      </c>
      <c r="J1823" s="3" t="str">
        <f>HYPERLINK("https://www.boe.es/gazeta/dias/1821/06/14/pdfs/GMD-1821-167.pdf#page=1","Abrir facsímil")</f>
        <v>Abrir facsímil</v>
      </c>
      <c r="K1823" s="3" t="s">
        <v>23</v>
      </c>
    </row>
    <row r="1824" spans="1:11" ht="42" customHeight="1">
      <c r="A1824" s="2" t="s">
        <v>3968</v>
      </c>
      <c r="B1824" s="2" t="s">
        <v>3968</v>
      </c>
      <c r="C1824" s="2" t="s">
        <v>35</v>
      </c>
      <c r="D1824" s="2" t="s">
        <v>27</v>
      </c>
      <c r="E1824" s="5">
        <v>-28642</v>
      </c>
      <c r="F1824" s="3" t="s">
        <v>734</v>
      </c>
      <c r="G1824" s="3" t="s">
        <v>43</v>
      </c>
      <c r="H1824" s="2" t="s">
        <v>21</v>
      </c>
      <c r="I1824" s="2" t="s">
        <v>3972</v>
      </c>
      <c r="J1824" s="3" t="str">
        <f>HYPERLINK("https://www.boe.es/gazeta/dias/1821/07/30/pdfs/GMD-1821-215.pdf#page=1","Abrir facsímil")</f>
        <v>Abrir facsímil</v>
      </c>
      <c r="K1824" s="3" t="s">
        <v>23</v>
      </c>
    </row>
    <row r="1825" spans="1:11" ht="42" customHeight="1">
      <c r="A1825" s="2" t="s">
        <v>3973</v>
      </c>
      <c r="B1825" s="2" t="s">
        <v>3973</v>
      </c>
      <c r="C1825" s="2" t="s">
        <v>26</v>
      </c>
      <c r="D1825" s="2" t="s">
        <v>27</v>
      </c>
      <c r="E1825" s="5">
        <v>-28724</v>
      </c>
      <c r="F1825" s="3" t="s">
        <v>1305</v>
      </c>
      <c r="G1825" s="3" t="s">
        <v>43</v>
      </c>
      <c r="H1825" s="2" t="s">
        <v>21</v>
      </c>
      <c r="I1825" s="2" t="s">
        <v>3974</v>
      </c>
      <c r="J1825" s="3" t="str">
        <f>HYPERLINK("https://www.boe.es/gazeta/dias/1821/05/09/pdfs/GMD-1821-131.pdf#page=1","Abrir facsímil")</f>
        <v>Abrir facsímil</v>
      </c>
      <c r="K1825" s="3" t="s">
        <v>23</v>
      </c>
    </row>
    <row r="1826" spans="1:11" ht="42" customHeight="1">
      <c r="A1826" s="2" t="s">
        <v>3975</v>
      </c>
      <c r="B1826" s="2" t="s">
        <v>3976</v>
      </c>
      <c r="C1826" s="2" t="s">
        <v>35</v>
      </c>
      <c r="D1826" s="2" t="s">
        <v>27</v>
      </c>
      <c r="E1826" s="5">
        <v>-28644</v>
      </c>
      <c r="F1826" s="3" t="s">
        <v>1340</v>
      </c>
      <c r="G1826" s="3" t="s">
        <v>88</v>
      </c>
      <c r="H1826" s="2" t="s">
        <v>21</v>
      </c>
      <c r="I1826" s="2" t="s">
        <v>3977</v>
      </c>
      <c r="J1826" s="3" t="str">
        <f>HYPERLINK("https://www.boe.es/gazeta/dias/1821/07/28/pdfs/GMD-1821-213.pdf#page=4","Abrir facsímil")</f>
        <v>Abrir facsímil</v>
      </c>
      <c r="K1826" s="3" t="s">
        <v>23</v>
      </c>
    </row>
    <row r="1827" spans="1:11" ht="42" customHeight="1">
      <c r="A1827" s="2" t="s">
        <v>3978</v>
      </c>
      <c r="B1827" s="2" t="s">
        <v>3979</v>
      </c>
      <c r="C1827" s="2" t="s">
        <v>114</v>
      </c>
      <c r="D1827" s="2" t="s">
        <v>27</v>
      </c>
      <c r="E1827" s="5">
        <v>-28781</v>
      </c>
      <c r="F1827" s="3" t="s">
        <v>149</v>
      </c>
      <c r="G1827" s="3" t="s">
        <v>29</v>
      </c>
      <c r="H1827" s="2" t="s">
        <v>21</v>
      </c>
      <c r="I1827" s="2" t="s">
        <v>3980</v>
      </c>
      <c r="J1827" s="3" t="str">
        <f>HYPERLINK("https://www.boe.es/gazeta/dias/1821/03/13/pdfs/GMD-1821-72.pdf#page=6","Abrir facsímil")</f>
        <v>Abrir facsímil</v>
      </c>
      <c r="K1827" s="3" t="s">
        <v>23</v>
      </c>
    </row>
    <row r="1828" spans="1:11" ht="42" customHeight="1">
      <c r="A1828" s="2" t="s">
        <v>3981</v>
      </c>
      <c r="B1828" s="2" t="s">
        <v>3982</v>
      </c>
      <c r="C1828" s="2" t="s">
        <v>17</v>
      </c>
      <c r="D1828" s="2" t="s">
        <v>18</v>
      </c>
      <c r="E1828" s="5">
        <v>-28735</v>
      </c>
      <c r="F1828" s="3" t="s">
        <v>836</v>
      </c>
      <c r="G1828" s="3" t="s">
        <v>52</v>
      </c>
      <c r="H1828" s="2" t="s">
        <v>21</v>
      </c>
      <c r="I1828" s="2" t="s">
        <v>3983</v>
      </c>
      <c r="J1828" s="3" t="str">
        <f>HYPERLINK("https://www.boe.es/gazeta/dias/1821/04/28/pdfs/GMD-1821-120.pdf#page=2","Abrir facsímil")</f>
        <v>Abrir facsímil</v>
      </c>
      <c r="K1828" s="3" t="s">
        <v>23</v>
      </c>
    </row>
    <row r="1829" spans="1:11" ht="42" customHeight="1">
      <c r="A1829" s="2" t="s">
        <v>3984</v>
      </c>
      <c r="B1829" s="2" t="s">
        <v>3985</v>
      </c>
      <c r="C1829" s="2" t="s">
        <v>40</v>
      </c>
      <c r="D1829" s="2" t="s">
        <v>41</v>
      </c>
      <c r="E1829" s="5">
        <v>-28528</v>
      </c>
      <c r="F1829" s="3" t="s">
        <v>1872</v>
      </c>
      <c r="G1829" s="3" t="s">
        <v>52</v>
      </c>
      <c r="H1829" s="2" t="s">
        <v>21</v>
      </c>
      <c r="I1829" s="2" t="s">
        <v>3986</v>
      </c>
      <c r="J1829" s="3" t="str">
        <f>HYPERLINK("https://www.boe.es/gazeta/dias/1821/11/21/pdfs/GMD-1821-332.pdf#page=2","Abrir facsímil")</f>
        <v>Abrir facsímil</v>
      </c>
      <c r="K1829" s="3" t="s">
        <v>23</v>
      </c>
    </row>
    <row r="1830" spans="1:11" ht="42" customHeight="1">
      <c r="A1830" s="2" t="s">
        <v>3987</v>
      </c>
      <c r="B1830" s="2" t="s">
        <v>3988</v>
      </c>
      <c r="C1830" s="2" t="s">
        <v>279</v>
      </c>
      <c r="D1830" s="2" t="s">
        <v>27</v>
      </c>
      <c r="E1830" s="5">
        <v>-28762</v>
      </c>
      <c r="F1830" s="3" t="s">
        <v>608</v>
      </c>
      <c r="G1830" s="3" t="s">
        <v>333</v>
      </c>
      <c r="H1830" s="2" t="s">
        <v>21</v>
      </c>
      <c r="I1830" s="2" t="s">
        <v>3989</v>
      </c>
      <c r="J1830" s="3" t="str">
        <f>HYPERLINK("https://www.boe.es/gazeta/dias/1821/04/01/pdfs/GMD-1821-93.pdf#page=8","Abrir facsímil")</f>
        <v>Abrir facsímil</v>
      </c>
      <c r="K1830" s="3" t="s">
        <v>23</v>
      </c>
    </row>
    <row r="1831" spans="1:11" ht="42" customHeight="1">
      <c r="A1831" s="2" t="s">
        <v>3990</v>
      </c>
      <c r="B1831" s="2" t="s">
        <v>3991</v>
      </c>
      <c r="C1831" s="2" t="s">
        <v>26</v>
      </c>
      <c r="D1831" s="2" t="s">
        <v>27</v>
      </c>
      <c r="E1831" s="5">
        <v>-28528</v>
      </c>
      <c r="F1831" s="3" t="s">
        <v>1872</v>
      </c>
      <c r="G1831" s="3" t="s">
        <v>52</v>
      </c>
      <c r="H1831" s="2" t="s">
        <v>21</v>
      </c>
      <c r="I1831" s="2" t="s">
        <v>3992</v>
      </c>
      <c r="J1831" s="3" t="str">
        <f>HYPERLINK("https://www.boe.es/gazeta/dias/1821/11/21/pdfs/GMD-1821-332.pdf#page=2","Abrir facsímil")</f>
        <v>Abrir facsímil</v>
      </c>
      <c r="K1831" s="3" t="s">
        <v>23</v>
      </c>
    </row>
    <row r="1832" spans="1:11" ht="42" customHeight="1">
      <c r="A1832" s="2" t="s">
        <v>3993</v>
      </c>
      <c r="B1832" s="2" t="s">
        <v>3994</v>
      </c>
      <c r="C1832" s="2" t="s">
        <v>17</v>
      </c>
      <c r="D1832" s="2" t="s">
        <v>18</v>
      </c>
      <c r="E1832" s="5">
        <v>-28569</v>
      </c>
      <c r="F1832" s="3" t="s">
        <v>512</v>
      </c>
      <c r="G1832" s="3" t="s">
        <v>52</v>
      </c>
      <c r="H1832" s="2" t="s">
        <v>21</v>
      </c>
      <c r="I1832" s="2" t="s">
        <v>3995</v>
      </c>
      <c r="J1832" s="3" t="str">
        <f>HYPERLINK("https://www.boe.es/gazeta/dias/1821/10/11/pdfs/GMD-1821-290.pdf#page=2","Abrir facsímil")</f>
        <v>Abrir facsímil</v>
      </c>
      <c r="K1832" s="3" t="s">
        <v>23</v>
      </c>
    </row>
    <row r="1833" spans="1:11" ht="42" customHeight="1">
      <c r="A1833" s="2" t="s">
        <v>3996</v>
      </c>
      <c r="B1833" s="2" t="s">
        <v>3997</v>
      </c>
      <c r="C1833" s="2" t="s">
        <v>17</v>
      </c>
      <c r="D1833" s="2" t="s">
        <v>18</v>
      </c>
      <c r="E1833" s="5">
        <v>-28810</v>
      </c>
      <c r="F1833" s="3" t="s">
        <v>308</v>
      </c>
      <c r="G1833" s="3" t="s">
        <v>88</v>
      </c>
      <c r="H1833" s="2" t="s">
        <v>21</v>
      </c>
      <c r="I1833" s="2" t="s">
        <v>3998</v>
      </c>
      <c r="J1833" s="3" t="str">
        <f>HYPERLINK("https://www.boe.es/gazeta/dias/1821/02/12/pdfs/GGB-1821-43.pdf#page=4","Abrir facsímil")</f>
        <v>Abrir facsímil</v>
      </c>
      <c r="K1833" s="3" t="s">
        <v>23</v>
      </c>
    </row>
    <row r="1834" spans="1:11" ht="42" customHeight="1">
      <c r="A1834" s="2" t="s">
        <v>3999</v>
      </c>
      <c r="B1834" s="2" t="s">
        <v>4000</v>
      </c>
      <c r="C1834" s="2" t="s">
        <v>26</v>
      </c>
      <c r="D1834" s="2" t="s">
        <v>27</v>
      </c>
      <c r="E1834" s="5">
        <v>-28636</v>
      </c>
      <c r="F1834" s="3" t="s">
        <v>122</v>
      </c>
      <c r="G1834" s="3" t="s">
        <v>52</v>
      </c>
      <c r="H1834" s="2" t="s">
        <v>21</v>
      </c>
      <c r="I1834" s="2" t="s">
        <v>4001</v>
      </c>
      <c r="J1834" s="3" t="str">
        <f>HYPERLINK("https://www.boe.es/gazeta/dias/1821/08/05/pdfs/GMD-1821-221.pdf#page=2","Abrir facsímil")</f>
        <v>Abrir facsímil</v>
      </c>
      <c r="K1834" s="3" t="s">
        <v>23</v>
      </c>
    </row>
    <row r="1835" spans="1:11" ht="42" customHeight="1">
      <c r="A1835" s="2" t="s">
        <v>4002</v>
      </c>
      <c r="B1835" s="2" t="s">
        <v>4002</v>
      </c>
      <c r="C1835" s="2" t="s">
        <v>17</v>
      </c>
      <c r="D1835" s="2" t="s">
        <v>18</v>
      </c>
      <c r="E1835" s="5">
        <v>-28789</v>
      </c>
      <c r="F1835" s="3" t="s">
        <v>36</v>
      </c>
      <c r="G1835" s="3" t="s">
        <v>52</v>
      </c>
      <c r="H1835" s="2" t="s">
        <v>21</v>
      </c>
      <c r="I1835" s="2" t="s">
        <v>4003</v>
      </c>
      <c r="J1835" s="3" t="str">
        <f>HYPERLINK("https://www.boe.es/gazeta/dias/1821/03/05/pdfs/GGB-1821-64.pdf#page=2","Abrir facsímil")</f>
        <v>Abrir facsímil</v>
      </c>
      <c r="K1835" s="3" t="s">
        <v>23</v>
      </c>
    </row>
    <row r="1836" spans="1:11" ht="42" customHeight="1">
      <c r="A1836" s="2" t="s">
        <v>4004</v>
      </c>
      <c r="B1836" s="2" t="s">
        <v>4005</v>
      </c>
      <c r="C1836" s="2" t="s">
        <v>17</v>
      </c>
      <c r="D1836" s="2" t="s">
        <v>18</v>
      </c>
      <c r="E1836" s="5">
        <v>-28764</v>
      </c>
      <c r="F1836" s="3" t="s">
        <v>924</v>
      </c>
      <c r="G1836" s="3" t="s">
        <v>20</v>
      </c>
      <c r="H1836" s="2" t="s">
        <v>21</v>
      </c>
      <c r="I1836" s="2" t="s">
        <v>4006</v>
      </c>
      <c r="J1836" s="3" t="str">
        <f>HYPERLINK("https://www.boe.es/gazeta/dias/1821/03/30/pdfs/GMD-1821-91.pdf#page=3","Abrir facsímil")</f>
        <v>Abrir facsímil</v>
      </c>
      <c r="K1836" s="3" t="s">
        <v>23</v>
      </c>
    </row>
    <row r="1837" spans="1:11" ht="42" customHeight="1">
      <c r="A1837" s="2" t="s">
        <v>4007</v>
      </c>
      <c r="B1837" s="2" t="s">
        <v>4008</v>
      </c>
      <c r="C1837" s="2" t="s">
        <v>26</v>
      </c>
      <c r="D1837" s="2" t="s">
        <v>27</v>
      </c>
      <c r="E1837" s="5">
        <v>-28738</v>
      </c>
      <c r="F1837" s="3" t="s">
        <v>359</v>
      </c>
      <c r="G1837" s="3" t="s">
        <v>88</v>
      </c>
      <c r="H1837" s="2" t="s">
        <v>21</v>
      </c>
      <c r="I1837" s="2" t="s">
        <v>4009</v>
      </c>
      <c r="J1837" s="3" t="str">
        <f>HYPERLINK("https://www.boe.es/gazeta/dias/1821/04/25/pdfs/GMD-1821-117.pdf#page=4","Abrir facsímil")</f>
        <v>Abrir facsímil</v>
      </c>
      <c r="K1837" s="3" t="s">
        <v>23</v>
      </c>
    </row>
    <row r="1838" spans="1:11" ht="42" customHeight="1">
      <c r="A1838" s="2" t="s">
        <v>4010</v>
      </c>
      <c r="B1838" s="2" t="s">
        <v>4011</v>
      </c>
      <c r="C1838" s="2" t="s">
        <v>26</v>
      </c>
      <c r="D1838" s="2" t="s">
        <v>27</v>
      </c>
      <c r="E1838" s="5">
        <v>-28682</v>
      </c>
      <c r="F1838" s="3" t="s">
        <v>1064</v>
      </c>
      <c r="G1838" s="3" t="s">
        <v>162</v>
      </c>
      <c r="H1838" s="2" t="s">
        <v>21</v>
      </c>
      <c r="I1838" s="2" t="s">
        <v>4012</v>
      </c>
      <c r="J1838" s="3" t="str">
        <f>HYPERLINK("https://www.boe.es/gazeta/dias/1821/06/20/pdfs/GMD-1821-173.pdf#page=5","Abrir facsímil")</f>
        <v>Abrir facsímil</v>
      </c>
      <c r="K1838" s="3" t="s">
        <v>23</v>
      </c>
    </row>
    <row r="1839" spans="1:11" ht="42" customHeight="1">
      <c r="A1839" s="2" t="s">
        <v>4013</v>
      </c>
      <c r="B1839" s="2" t="s">
        <v>4014</v>
      </c>
      <c r="C1839" s="2" t="s">
        <v>174</v>
      </c>
      <c r="D1839" s="2" t="s">
        <v>27</v>
      </c>
      <c r="E1839" s="5">
        <v>-28810</v>
      </c>
      <c r="F1839" s="3" t="s">
        <v>308</v>
      </c>
      <c r="G1839" s="3" t="s">
        <v>88</v>
      </c>
      <c r="H1839" s="2" t="s">
        <v>21</v>
      </c>
      <c r="I1839" s="2" t="s">
        <v>4015</v>
      </c>
      <c r="J1839" s="3" t="str">
        <f>HYPERLINK("https://www.boe.es/gazeta/dias/1821/02/12/pdfs/GGB-1821-43.pdf#page=4","Abrir facsímil")</f>
        <v>Abrir facsímil</v>
      </c>
      <c r="K1839" s="3" t="s">
        <v>23</v>
      </c>
    </row>
    <row r="1840" spans="1:11" ht="42" customHeight="1">
      <c r="A1840" s="2" t="s">
        <v>4013</v>
      </c>
      <c r="B1840" s="2" t="s">
        <v>4014</v>
      </c>
      <c r="C1840" s="2" t="s">
        <v>17</v>
      </c>
      <c r="D1840" s="2" t="s">
        <v>18</v>
      </c>
      <c r="E1840" s="5">
        <v>-28704</v>
      </c>
      <c r="F1840" s="3" t="s">
        <v>1050</v>
      </c>
      <c r="G1840" s="3" t="s">
        <v>52</v>
      </c>
      <c r="H1840" s="2" t="s">
        <v>21</v>
      </c>
      <c r="I1840" s="2" t="s">
        <v>4016</v>
      </c>
      <c r="J1840" s="3" t="str">
        <f>HYPERLINK("https://www.boe.es/gazeta/dias/1821/05/29/pdfs/GMD-1821-151.pdf#page=2","Abrir facsímil")</f>
        <v>Abrir facsímil</v>
      </c>
      <c r="K1840" s="3" t="s">
        <v>23</v>
      </c>
    </row>
    <row r="1841" spans="1:11" ht="42" customHeight="1">
      <c r="A1841" s="2" t="s">
        <v>4017</v>
      </c>
      <c r="B1841" s="2" t="s">
        <v>4017</v>
      </c>
      <c r="C1841" s="2" t="s">
        <v>40</v>
      </c>
      <c r="D1841" s="2" t="s">
        <v>41</v>
      </c>
      <c r="E1841" s="5">
        <v>-28786</v>
      </c>
      <c r="F1841" s="3" t="s">
        <v>1933</v>
      </c>
      <c r="G1841" s="3" t="s">
        <v>20</v>
      </c>
      <c r="H1841" s="2" t="s">
        <v>21</v>
      </c>
      <c r="I1841" s="2" t="s">
        <v>4018</v>
      </c>
      <c r="J1841" s="3" t="str">
        <f>HYPERLINK("https://www.boe.es/gazeta/dias/1821/03/08/pdfs/GGB-1821-67.pdf#page=3","Abrir facsímil")</f>
        <v>Abrir facsímil</v>
      </c>
      <c r="K1841" s="3" t="s">
        <v>23</v>
      </c>
    </row>
    <row r="1842" spans="1:11" ht="42" customHeight="1">
      <c r="A1842" s="2" t="s">
        <v>4017</v>
      </c>
      <c r="B1842" s="2" t="s">
        <v>4017</v>
      </c>
      <c r="C1842" s="2" t="s">
        <v>40</v>
      </c>
      <c r="D1842" s="2" t="s">
        <v>41</v>
      </c>
      <c r="E1842" s="5">
        <v>-28648</v>
      </c>
      <c r="F1842" s="3" t="s">
        <v>1520</v>
      </c>
      <c r="G1842" s="3" t="s">
        <v>52</v>
      </c>
      <c r="H1842" s="2" t="s">
        <v>21</v>
      </c>
      <c r="I1842" s="2" t="s">
        <v>4019</v>
      </c>
      <c r="J1842" s="3" t="str">
        <f>HYPERLINK("https://www.boe.es/gazeta/dias/1821/07/24/pdfs/GMD-1821-209.pdf#page=2","Abrir facsímil")</f>
        <v>Abrir facsímil</v>
      </c>
      <c r="K1842" s="3" t="s">
        <v>23</v>
      </c>
    </row>
    <row r="1843" spans="1:11" ht="42" customHeight="1">
      <c r="A1843" s="2" t="s">
        <v>4020</v>
      </c>
      <c r="B1843" s="2" t="s">
        <v>4021</v>
      </c>
      <c r="C1843" s="2" t="s">
        <v>114</v>
      </c>
      <c r="D1843" s="2" t="s">
        <v>27</v>
      </c>
      <c r="E1843" s="5">
        <v>-28594</v>
      </c>
      <c r="F1843" s="3" t="s">
        <v>2412</v>
      </c>
      <c r="G1843" s="3" t="s">
        <v>88</v>
      </c>
      <c r="H1843" s="2" t="s">
        <v>21</v>
      </c>
      <c r="I1843" s="2" t="s">
        <v>4022</v>
      </c>
      <c r="J1843" s="3" t="str">
        <f>HYPERLINK("https://www.boe.es/gazeta/dias/1821/09/16/pdfs/GMD-1821-264.pdf#page=4","Abrir facsímil")</f>
        <v>Abrir facsímil</v>
      </c>
      <c r="K1843" s="3" t="s">
        <v>23</v>
      </c>
    </row>
    <row r="1844" spans="1:11" ht="42" customHeight="1">
      <c r="A1844" s="2" t="s">
        <v>4023</v>
      </c>
      <c r="B1844" s="2" t="s">
        <v>4024</v>
      </c>
      <c r="C1844" s="2" t="s">
        <v>26</v>
      </c>
      <c r="D1844" s="2" t="s">
        <v>27</v>
      </c>
      <c r="E1844" s="5">
        <v>-28530</v>
      </c>
      <c r="F1844" s="3" t="s">
        <v>237</v>
      </c>
      <c r="G1844" s="3" t="s">
        <v>52</v>
      </c>
      <c r="H1844" s="2" t="s">
        <v>21</v>
      </c>
      <c r="I1844" s="2" t="s">
        <v>4025</v>
      </c>
      <c r="J1844" s="3" t="str">
        <f>HYPERLINK("https://www.boe.es/gazeta/dias/1821/11/19/pdfs/GMD-1821-330.pdf#page=2","Abrir facsímil")</f>
        <v>Abrir facsímil</v>
      </c>
      <c r="K1844" s="3" t="s">
        <v>23</v>
      </c>
    </row>
    <row r="1845" spans="1:11" ht="42" customHeight="1">
      <c r="A1845" s="2" t="s">
        <v>4026</v>
      </c>
      <c r="B1845" s="2" t="s">
        <v>4027</v>
      </c>
      <c r="C1845" s="2" t="s">
        <v>40</v>
      </c>
      <c r="D1845" s="2" t="s">
        <v>41</v>
      </c>
      <c r="E1845" s="5">
        <v>-28738</v>
      </c>
      <c r="F1845" s="3" t="s">
        <v>359</v>
      </c>
      <c r="G1845" s="3" t="s">
        <v>20</v>
      </c>
      <c r="H1845" s="2" t="s">
        <v>21</v>
      </c>
      <c r="I1845" s="2" t="s">
        <v>4028</v>
      </c>
      <c r="J1845" s="3" t="str">
        <f>HYPERLINK("https://www.boe.es/gazeta/dias/1821/04/25/pdfs/GMD-1821-117.pdf#page=3","Abrir facsímil")</f>
        <v>Abrir facsímil</v>
      </c>
      <c r="K1845" s="3" t="s">
        <v>23</v>
      </c>
    </row>
    <row r="1846" spans="1:11" ht="42" customHeight="1">
      <c r="A1846" s="2" t="s">
        <v>4029</v>
      </c>
      <c r="B1846" s="2" t="s">
        <v>4030</v>
      </c>
      <c r="C1846" s="2" t="s">
        <v>174</v>
      </c>
      <c r="D1846" s="2" t="s">
        <v>27</v>
      </c>
      <c r="E1846" s="5">
        <v>-28692</v>
      </c>
      <c r="F1846" s="3" t="s">
        <v>3807</v>
      </c>
      <c r="G1846" s="3" t="s">
        <v>52</v>
      </c>
      <c r="H1846" s="2" t="s">
        <v>21</v>
      </c>
      <c r="I1846" s="2" t="s">
        <v>4031</v>
      </c>
      <c r="J1846" s="3" t="str">
        <f>HYPERLINK("https://www.boe.es/gazeta/dias/1821/06/10/pdfs/GMD-1821-163.pdf#page=2","Abrir facsímil")</f>
        <v>Abrir facsímil</v>
      </c>
      <c r="K1846" s="3" t="s">
        <v>23</v>
      </c>
    </row>
    <row r="1847" spans="1:11" ht="42" customHeight="1">
      <c r="A1847" s="2" t="s">
        <v>4032</v>
      </c>
      <c r="B1847" s="2" t="s">
        <v>4033</v>
      </c>
      <c r="C1847" s="2" t="s">
        <v>70</v>
      </c>
      <c r="D1847" s="2" t="s">
        <v>27</v>
      </c>
      <c r="E1847" s="5">
        <v>-28684</v>
      </c>
      <c r="F1847" s="3" t="s">
        <v>208</v>
      </c>
      <c r="G1847" s="3" t="s">
        <v>52</v>
      </c>
      <c r="H1847" s="2" t="s">
        <v>21</v>
      </c>
      <c r="I1847" s="2" t="s">
        <v>4034</v>
      </c>
      <c r="J1847" s="3" t="str">
        <f>HYPERLINK("https://www.boe.es/gazeta/dias/1821/06/18/pdfs/GMD-1821-171.pdf#page=2","Abrir facsímil")</f>
        <v>Abrir facsímil</v>
      </c>
      <c r="K1847" s="3" t="s">
        <v>23</v>
      </c>
    </row>
    <row r="1848" spans="1:11" ht="42" customHeight="1">
      <c r="A1848" s="2" t="s">
        <v>4035</v>
      </c>
      <c r="B1848" s="2" t="s">
        <v>4036</v>
      </c>
      <c r="C1848" s="2" t="s">
        <v>17</v>
      </c>
      <c r="D1848" s="2" t="s">
        <v>18</v>
      </c>
      <c r="E1848" s="5">
        <v>-28535</v>
      </c>
      <c r="F1848" s="3" t="s">
        <v>96</v>
      </c>
      <c r="G1848" s="3" t="s">
        <v>52</v>
      </c>
      <c r="H1848" s="2" t="s">
        <v>21</v>
      </c>
      <c r="I1848" s="2" t="s">
        <v>4037</v>
      </c>
      <c r="J1848" s="3" t="str">
        <f>HYPERLINK("https://www.boe.es/gazeta/dias/1821/11/14/pdfs/GMD-1821-325.pdf#page=2","Abrir facsímil")</f>
        <v>Abrir facsímil</v>
      </c>
      <c r="K1848" s="3" t="s">
        <v>23</v>
      </c>
    </row>
    <row r="1849" spans="1:11" ht="42" customHeight="1">
      <c r="A1849" s="2" t="s">
        <v>4038</v>
      </c>
      <c r="B1849" s="2" t="s">
        <v>4039</v>
      </c>
      <c r="C1849" s="2" t="s">
        <v>40</v>
      </c>
      <c r="D1849" s="2" t="s">
        <v>41</v>
      </c>
      <c r="E1849" s="5">
        <v>-28619</v>
      </c>
      <c r="F1849" s="3" t="s">
        <v>3364</v>
      </c>
      <c r="G1849" s="3" t="s">
        <v>52</v>
      </c>
      <c r="H1849" s="2" t="s">
        <v>21</v>
      </c>
      <c r="I1849" s="2" t="s">
        <v>4040</v>
      </c>
      <c r="J1849" s="3" t="str">
        <f>HYPERLINK("https://www.boe.es/gazeta/dias/1821/08/22/pdfs/GMD-1821-239.pdf#page=2","Abrir facsímil")</f>
        <v>Abrir facsímil</v>
      </c>
      <c r="K1849" s="3" t="s">
        <v>23</v>
      </c>
    </row>
    <row r="1850" spans="1:11" ht="42" customHeight="1">
      <c r="A1850" s="2" t="s">
        <v>4038</v>
      </c>
      <c r="B1850" s="2" t="s">
        <v>4039</v>
      </c>
      <c r="C1850" s="2" t="s">
        <v>70</v>
      </c>
      <c r="D1850" s="2" t="s">
        <v>27</v>
      </c>
      <c r="E1850" s="5">
        <v>-28618</v>
      </c>
      <c r="F1850" s="3" t="s">
        <v>4041</v>
      </c>
      <c r="G1850" s="3" t="s">
        <v>20</v>
      </c>
      <c r="H1850" s="2" t="s">
        <v>21</v>
      </c>
      <c r="I1850" s="2" t="s">
        <v>4042</v>
      </c>
      <c r="J1850" s="3" t="str">
        <f>HYPERLINK("https://www.boe.es/gazeta/dias/1821/08/23/pdfs/GMD-1821-240.pdf#page=3","Abrir facsímil")</f>
        <v>Abrir facsímil</v>
      </c>
      <c r="K1850" s="3" t="s">
        <v>23</v>
      </c>
    </row>
    <row r="1851" spans="1:11" ht="42" customHeight="1">
      <c r="A1851" s="2" t="s">
        <v>4043</v>
      </c>
      <c r="B1851" s="2" t="s">
        <v>4044</v>
      </c>
      <c r="C1851" s="2" t="s">
        <v>26</v>
      </c>
      <c r="D1851" s="2" t="s">
        <v>27</v>
      </c>
      <c r="E1851" s="5">
        <v>-28618</v>
      </c>
      <c r="F1851" s="3" t="s">
        <v>4041</v>
      </c>
      <c r="G1851" s="3" t="s">
        <v>20</v>
      </c>
      <c r="H1851" s="2" t="s">
        <v>21</v>
      </c>
      <c r="I1851" s="2" t="s">
        <v>4045</v>
      </c>
      <c r="J1851" s="3" t="str">
        <f>HYPERLINK("https://www.boe.es/gazeta/dias/1821/08/23/pdfs/GMD-1821-240.pdf#page=3","Abrir facsímil")</f>
        <v>Abrir facsímil</v>
      </c>
      <c r="K1851" s="3" t="s">
        <v>23</v>
      </c>
    </row>
    <row r="1852" spans="1:11" ht="42" customHeight="1">
      <c r="A1852" s="2" t="s">
        <v>4046</v>
      </c>
      <c r="B1852" s="2" t="s">
        <v>4047</v>
      </c>
      <c r="C1852" s="2" t="s">
        <v>17</v>
      </c>
      <c r="D1852" s="2" t="s">
        <v>18</v>
      </c>
      <c r="E1852" s="5">
        <v>-28652</v>
      </c>
      <c r="F1852" s="3" t="s">
        <v>1314</v>
      </c>
      <c r="G1852" s="3" t="s">
        <v>1315</v>
      </c>
      <c r="H1852" s="2" t="s">
        <v>21</v>
      </c>
      <c r="I1852" s="2" t="s">
        <v>4048</v>
      </c>
      <c r="J1852" s="3" t="str">
        <f>HYPERLINK("https://www.boe.es/gazeta/dias/1821/07/20/pdfs/GMD-1821-205.pdf#page=4","Abrir facsímil")</f>
        <v>Abrir facsímil</v>
      </c>
      <c r="K1852" s="3" t="s">
        <v>23</v>
      </c>
    </row>
    <row r="1853" spans="1:11" ht="42" customHeight="1">
      <c r="A1853" s="2" t="s">
        <v>4049</v>
      </c>
      <c r="B1853" s="2" t="s">
        <v>4050</v>
      </c>
      <c r="C1853" s="2" t="s">
        <v>40</v>
      </c>
      <c r="D1853" s="2" t="s">
        <v>41</v>
      </c>
      <c r="E1853" s="5">
        <v>-28725</v>
      </c>
      <c r="F1853" s="3" t="s">
        <v>440</v>
      </c>
      <c r="G1853" s="3" t="s">
        <v>20</v>
      </c>
      <c r="H1853" s="2" t="s">
        <v>21</v>
      </c>
      <c r="I1853" s="2" t="s">
        <v>4051</v>
      </c>
      <c r="J1853" s="3" t="str">
        <f>HYPERLINK("https://www.boe.es/gazeta/dias/1821/05/08/pdfs/GMD-1821-130.pdf#page=3","Abrir facsímil")</f>
        <v>Abrir facsímil</v>
      </c>
      <c r="K1853" s="3" t="s">
        <v>23</v>
      </c>
    </row>
    <row r="1854" spans="1:11" ht="42" customHeight="1">
      <c r="A1854" s="2" t="s">
        <v>4049</v>
      </c>
      <c r="B1854" s="2" t="s">
        <v>4050</v>
      </c>
      <c r="C1854" s="2" t="s">
        <v>17</v>
      </c>
      <c r="D1854" s="2" t="s">
        <v>18</v>
      </c>
      <c r="E1854" s="5">
        <v>-28724</v>
      </c>
      <c r="F1854" s="3" t="s">
        <v>1305</v>
      </c>
      <c r="G1854" s="3" t="s">
        <v>20</v>
      </c>
      <c r="H1854" s="2" t="s">
        <v>21</v>
      </c>
      <c r="I1854" s="2" t="s">
        <v>4052</v>
      </c>
      <c r="J1854" s="3" t="str">
        <f>HYPERLINK("https://www.boe.es/gazeta/dias/1821/05/09/pdfs/GMD-1821-131.pdf#page=3","Abrir facsímil")</f>
        <v>Abrir facsímil</v>
      </c>
      <c r="K1854" s="3" t="s">
        <v>23</v>
      </c>
    </row>
    <row r="1855" spans="1:11" ht="42" customHeight="1">
      <c r="A1855" s="2" t="s">
        <v>4053</v>
      </c>
      <c r="B1855" s="2" t="s">
        <v>4054</v>
      </c>
      <c r="C1855" s="2" t="s">
        <v>114</v>
      </c>
      <c r="D1855" s="2" t="s">
        <v>27</v>
      </c>
      <c r="E1855" s="5">
        <v>-28818</v>
      </c>
      <c r="F1855" s="3" t="s">
        <v>2337</v>
      </c>
      <c r="G1855" s="3" t="s">
        <v>4055</v>
      </c>
      <c r="H1855" s="2" t="s">
        <v>21</v>
      </c>
      <c r="I1855" s="2" t="s">
        <v>4056</v>
      </c>
      <c r="J1855" s="3" t="str">
        <f>HYPERLINK("https://www.boe.es/gazeta/dias/1821/02/04/pdfs/GGB-1821-35.pdf#page=6","Abrir facsímil")</f>
        <v>Abrir facsímil</v>
      </c>
      <c r="K1855" s="3" t="s">
        <v>23</v>
      </c>
    </row>
    <row r="1856" spans="1:11" ht="42" customHeight="1">
      <c r="A1856" s="2" t="s">
        <v>4057</v>
      </c>
      <c r="B1856" s="2" t="s">
        <v>4058</v>
      </c>
      <c r="C1856" s="2" t="s">
        <v>114</v>
      </c>
      <c r="D1856" s="2" t="s">
        <v>27</v>
      </c>
      <c r="E1856" s="5">
        <v>-28836</v>
      </c>
      <c r="F1856" s="3" t="s">
        <v>601</v>
      </c>
      <c r="G1856" s="3" t="s">
        <v>20</v>
      </c>
      <c r="H1856" s="2" t="s">
        <v>21</v>
      </c>
      <c r="I1856" s="2" t="s">
        <v>4059</v>
      </c>
      <c r="J1856" s="3" t="str">
        <f>HYPERLINK("https://www.boe.es/gazeta/dias/1821/01/17/pdfs/GGB-1821-17.pdf#page=3","Abrir facsímil")</f>
        <v>Abrir facsímil</v>
      </c>
      <c r="K1856" s="3" t="s">
        <v>23</v>
      </c>
    </row>
    <row r="1857" spans="1:11" ht="42" customHeight="1">
      <c r="A1857" s="2" t="s">
        <v>4060</v>
      </c>
      <c r="B1857" s="2" t="s">
        <v>4061</v>
      </c>
      <c r="C1857" s="2" t="s">
        <v>114</v>
      </c>
      <c r="D1857" s="2" t="s">
        <v>27</v>
      </c>
      <c r="E1857" s="5">
        <v>-28646</v>
      </c>
      <c r="F1857" s="3" t="s">
        <v>1457</v>
      </c>
      <c r="G1857" s="3" t="s">
        <v>79</v>
      </c>
      <c r="H1857" s="2" t="s">
        <v>21</v>
      </c>
      <c r="I1857" s="2" t="s">
        <v>4062</v>
      </c>
      <c r="J1857" s="3" t="str">
        <f>HYPERLINK("https://www.boe.es/gazeta/dias/1821/07/26/pdfs/GMD-1821-211.pdf#page=4","Abrir facsímil")</f>
        <v>Abrir facsímil</v>
      </c>
      <c r="K1857" s="3" t="s">
        <v>23</v>
      </c>
    </row>
    <row r="1858" spans="1:11" ht="42" customHeight="1">
      <c r="A1858" s="2" t="s">
        <v>4063</v>
      </c>
      <c r="B1858" s="2" t="s">
        <v>4064</v>
      </c>
      <c r="C1858" s="2" t="s">
        <v>70</v>
      </c>
      <c r="D1858" s="2" t="s">
        <v>27</v>
      </c>
      <c r="E1858" s="5">
        <v>-28624</v>
      </c>
      <c r="F1858" s="3" t="s">
        <v>78</v>
      </c>
      <c r="G1858" s="3" t="s">
        <v>79</v>
      </c>
      <c r="H1858" s="2" t="s">
        <v>21</v>
      </c>
      <c r="I1858" s="2" t="s">
        <v>4065</v>
      </c>
      <c r="J1858" s="3" t="str">
        <f>HYPERLINK("https://www.boe.es/gazeta/dias/1821/08/17/pdfs/GMD-1821-234.pdf#page=4","Abrir facsímil")</f>
        <v>Abrir facsímil</v>
      </c>
      <c r="K1858" s="3" t="s">
        <v>23</v>
      </c>
    </row>
    <row r="1859" spans="1:11" ht="42" customHeight="1">
      <c r="A1859" s="2" t="s">
        <v>4066</v>
      </c>
      <c r="B1859" s="2" t="s">
        <v>4067</v>
      </c>
      <c r="C1859" s="2" t="s">
        <v>40</v>
      </c>
      <c r="D1859" s="2" t="s">
        <v>41</v>
      </c>
      <c r="E1859" s="5">
        <v>-28843</v>
      </c>
      <c r="F1859" s="3" t="s">
        <v>4068</v>
      </c>
      <c r="G1859" s="3" t="s">
        <v>88</v>
      </c>
      <c r="H1859" s="2" t="s">
        <v>30</v>
      </c>
      <c r="I1859" s="2" t="s">
        <v>4069</v>
      </c>
      <c r="J1859" s="3" t="str">
        <f>HYPERLINK("https://www.boe.es/gazeta/dias/1821/01/10/pdfs/GGB-1821-10.pdf#page=4","Abrir facsímil")</f>
        <v>Abrir facsímil</v>
      </c>
      <c r="K1859" s="3" t="s">
        <v>32</v>
      </c>
    </row>
    <row r="1860" spans="1:11" ht="42" customHeight="1">
      <c r="A1860" s="2" t="s">
        <v>4070</v>
      </c>
      <c r="B1860" s="2" t="s">
        <v>4071</v>
      </c>
      <c r="C1860" s="2" t="s">
        <v>26</v>
      </c>
      <c r="D1860" s="2" t="s">
        <v>27</v>
      </c>
      <c r="E1860" s="5">
        <v>-28707</v>
      </c>
      <c r="F1860" s="3" t="s">
        <v>495</v>
      </c>
      <c r="G1860" s="3" t="s">
        <v>88</v>
      </c>
      <c r="H1860" s="2" t="s">
        <v>21</v>
      </c>
      <c r="I1860" s="2" t="s">
        <v>4072</v>
      </c>
      <c r="J1860" s="3" t="str">
        <f>HYPERLINK("https://www.boe.es/gazeta/dias/1821/05/26/pdfs/GMD-1821-148.pdf#page=4","Abrir facsímil")</f>
        <v>Abrir facsímil</v>
      </c>
      <c r="K1860" s="3" t="s">
        <v>23</v>
      </c>
    </row>
    <row r="1861" spans="1:11" ht="42" customHeight="1">
      <c r="A1861" s="2" t="s">
        <v>4073</v>
      </c>
      <c r="B1861" s="2" t="s">
        <v>4074</v>
      </c>
      <c r="C1861" s="2" t="s">
        <v>26</v>
      </c>
      <c r="D1861" s="2" t="s">
        <v>27</v>
      </c>
      <c r="E1861" s="5">
        <v>-28531</v>
      </c>
      <c r="F1861" s="3" t="s">
        <v>365</v>
      </c>
      <c r="G1861" s="3" t="s">
        <v>20</v>
      </c>
      <c r="H1861" s="2" t="s">
        <v>21</v>
      </c>
      <c r="I1861" s="2" t="s">
        <v>4075</v>
      </c>
      <c r="J1861" s="3" t="str">
        <f>HYPERLINK("https://www.boe.es/gazeta/dias/1821/11/18/pdfs/GMD-1821-329.pdf#page=3","Abrir facsímil")</f>
        <v>Abrir facsímil</v>
      </c>
      <c r="K1861" s="3" t="s">
        <v>23</v>
      </c>
    </row>
    <row r="1862" spans="1:11" ht="42" customHeight="1">
      <c r="A1862" s="2" t="s">
        <v>4076</v>
      </c>
      <c r="B1862" s="2" t="s">
        <v>4077</v>
      </c>
      <c r="C1862" s="2" t="s">
        <v>279</v>
      </c>
      <c r="D1862" s="2" t="s">
        <v>27</v>
      </c>
      <c r="E1862" s="5">
        <v>-28836</v>
      </c>
      <c r="F1862" s="3" t="s">
        <v>601</v>
      </c>
      <c r="G1862" s="3" t="s">
        <v>20</v>
      </c>
      <c r="H1862" s="2" t="s">
        <v>21</v>
      </c>
      <c r="I1862" s="2" t="s">
        <v>4078</v>
      </c>
      <c r="J1862" s="3" t="str">
        <f>HYPERLINK("https://www.boe.es/gazeta/dias/1821/01/17/pdfs/GGB-1821-17.pdf#page=3","Abrir facsímil")</f>
        <v>Abrir facsímil</v>
      </c>
      <c r="K1862" s="3" t="s">
        <v>23</v>
      </c>
    </row>
    <row r="1863" spans="1:11" ht="42" customHeight="1">
      <c r="A1863" s="2" t="s">
        <v>4079</v>
      </c>
      <c r="B1863" s="2" t="s">
        <v>4079</v>
      </c>
      <c r="C1863" s="2" t="s">
        <v>26</v>
      </c>
      <c r="D1863" s="2" t="s">
        <v>27</v>
      </c>
      <c r="E1863" s="5">
        <v>-28677</v>
      </c>
      <c r="F1863" s="3" t="s">
        <v>361</v>
      </c>
      <c r="G1863" s="3" t="s">
        <v>162</v>
      </c>
      <c r="H1863" s="2" t="s">
        <v>21</v>
      </c>
      <c r="I1863" s="2" t="s">
        <v>4080</v>
      </c>
      <c r="J1863" s="3" t="str">
        <f>HYPERLINK("https://www.boe.es/gazeta/dias/1821/06/25/pdfs/GMD-1821-178.pdf#page=5","Abrir facsímil")</f>
        <v>Abrir facsímil</v>
      </c>
      <c r="K1863" s="3" t="s">
        <v>23</v>
      </c>
    </row>
    <row r="1864" spans="1:11" ht="42" customHeight="1">
      <c r="A1864" s="2" t="s">
        <v>4081</v>
      </c>
      <c r="B1864" s="2" t="s">
        <v>4082</v>
      </c>
      <c r="C1864" s="2" t="s">
        <v>40</v>
      </c>
      <c r="D1864" s="2" t="s">
        <v>41</v>
      </c>
      <c r="E1864" s="5">
        <v>-28805</v>
      </c>
      <c r="F1864" s="3" t="s">
        <v>382</v>
      </c>
      <c r="G1864" s="3" t="s">
        <v>20</v>
      </c>
      <c r="H1864" s="2" t="s">
        <v>21</v>
      </c>
      <c r="I1864" s="2" t="s">
        <v>4083</v>
      </c>
      <c r="J1864" s="3" t="str">
        <f>HYPERLINK("https://www.boe.es/gazeta/dias/1821/02/17/pdfs/GGB-1821-48.pdf#page=3","Abrir facsímil")</f>
        <v>Abrir facsímil</v>
      </c>
      <c r="K1864" s="3" t="s">
        <v>23</v>
      </c>
    </row>
    <row r="1865" spans="1:11" ht="42" customHeight="1">
      <c r="A1865" s="2" t="s">
        <v>4084</v>
      </c>
      <c r="B1865" s="2" t="s">
        <v>4085</v>
      </c>
      <c r="C1865" s="2" t="s">
        <v>26</v>
      </c>
      <c r="D1865" s="2" t="s">
        <v>27</v>
      </c>
      <c r="E1865" s="5">
        <v>-28541</v>
      </c>
      <c r="F1865" s="3" t="s">
        <v>275</v>
      </c>
      <c r="G1865" s="3" t="s">
        <v>52</v>
      </c>
      <c r="H1865" s="2" t="s">
        <v>21</v>
      </c>
      <c r="I1865" s="2" t="s">
        <v>4086</v>
      </c>
      <c r="J1865" s="3" t="str">
        <f>HYPERLINK("https://www.boe.es/gazeta/dias/1821/11/08/pdfs/GMD-1821-319.pdf#page=2","Abrir facsímil")</f>
        <v>Abrir facsímil</v>
      </c>
      <c r="K1865" s="3" t="s">
        <v>23</v>
      </c>
    </row>
    <row r="1866" spans="1:11" ht="42" customHeight="1">
      <c r="A1866" s="2" t="s">
        <v>4087</v>
      </c>
      <c r="B1866" s="2" t="s">
        <v>4087</v>
      </c>
      <c r="C1866" s="2" t="s">
        <v>26</v>
      </c>
      <c r="D1866" s="2" t="s">
        <v>27</v>
      </c>
      <c r="E1866" s="5">
        <v>-28753</v>
      </c>
      <c r="F1866" s="3" t="s">
        <v>720</v>
      </c>
      <c r="G1866" s="3" t="s">
        <v>20</v>
      </c>
      <c r="H1866" s="2" t="s">
        <v>21</v>
      </c>
      <c r="I1866" s="2" t="s">
        <v>4088</v>
      </c>
      <c r="J1866" s="3" t="str">
        <f>HYPERLINK("https://www.boe.es/gazeta/dias/1821/04/10/pdfs/GMD-1821-102.pdf#page=3","Abrir facsímil")</f>
        <v>Abrir facsímil</v>
      </c>
      <c r="K1866" s="3" t="s">
        <v>23</v>
      </c>
    </row>
    <row r="1867" spans="1:11" ht="42" customHeight="1">
      <c r="A1867" s="2" t="s">
        <v>4087</v>
      </c>
      <c r="B1867" s="2" t="s">
        <v>4087</v>
      </c>
      <c r="C1867" s="2" t="s">
        <v>17</v>
      </c>
      <c r="D1867" s="2" t="s">
        <v>18</v>
      </c>
      <c r="E1867" s="5">
        <v>-28703</v>
      </c>
      <c r="F1867" s="3" t="s">
        <v>231</v>
      </c>
      <c r="G1867" s="3" t="s">
        <v>20</v>
      </c>
      <c r="H1867" s="2" t="s">
        <v>21</v>
      </c>
      <c r="I1867" s="2" t="s">
        <v>4089</v>
      </c>
      <c r="J1867" s="3" t="str">
        <f>HYPERLINK("https://www.boe.es/gazeta/dias/1821/05/30/pdfs/GMD-1821-152.pdf#page=3","Abrir facsímil")</f>
        <v>Abrir facsímil</v>
      </c>
      <c r="K1867" s="3" t="s">
        <v>23</v>
      </c>
    </row>
    <row r="1868" spans="1:11" ht="42" customHeight="1">
      <c r="A1868" s="2" t="s">
        <v>4090</v>
      </c>
      <c r="B1868" s="2" t="s">
        <v>4090</v>
      </c>
      <c r="C1868" s="2" t="s">
        <v>17</v>
      </c>
      <c r="D1868" s="2" t="s">
        <v>18</v>
      </c>
      <c r="E1868" s="5">
        <v>-28787</v>
      </c>
      <c r="F1868" s="3" t="s">
        <v>486</v>
      </c>
      <c r="G1868" s="3" t="s">
        <v>52</v>
      </c>
      <c r="H1868" s="2" t="s">
        <v>21</v>
      </c>
      <c r="I1868" s="2" t="s">
        <v>4091</v>
      </c>
      <c r="J1868" s="3" t="str">
        <f>HYPERLINK("https://www.boe.es/gazeta/dias/1821/03/07/pdfs/GGB-1821-66.pdf#page=2","Abrir facsímil")</f>
        <v>Abrir facsímil</v>
      </c>
      <c r="K1868" s="3" t="s">
        <v>23</v>
      </c>
    </row>
    <row r="1869" spans="1:11" ht="42" customHeight="1">
      <c r="A1869" s="2" t="s">
        <v>4090</v>
      </c>
      <c r="B1869" s="2" t="s">
        <v>4090</v>
      </c>
      <c r="C1869" s="2" t="s">
        <v>17</v>
      </c>
      <c r="D1869" s="2" t="s">
        <v>18</v>
      </c>
      <c r="E1869" s="5">
        <v>-28777</v>
      </c>
      <c r="F1869" s="3" t="s">
        <v>1004</v>
      </c>
      <c r="G1869" s="3" t="s">
        <v>88</v>
      </c>
      <c r="H1869" s="2" t="s">
        <v>21</v>
      </c>
      <c r="I1869" s="2" t="s">
        <v>4092</v>
      </c>
      <c r="J1869" s="3" t="str">
        <f>HYPERLINK("https://www.boe.es/gazeta/dias/1821/03/17/pdfs/GMD-1821-76.pdf#page=4","Abrir facsímil")</f>
        <v>Abrir facsímil</v>
      </c>
      <c r="K1869" s="3" t="s">
        <v>23</v>
      </c>
    </row>
    <row r="1870" spans="1:11" ht="42" customHeight="1">
      <c r="A1870" s="2" t="s">
        <v>4090</v>
      </c>
      <c r="B1870" s="2" t="s">
        <v>4090</v>
      </c>
      <c r="C1870" s="2" t="s">
        <v>26</v>
      </c>
      <c r="D1870" s="2" t="s">
        <v>27</v>
      </c>
      <c r="E1870" s="5">
        <v>-28752</v>
      </c>
      <c r="F1870" s="3" t="s">
        <v>1012</v>
      </c>
      <c r="G1870" s="3" t="s">
        <v>1013</v>
      </c>
      <c r="H1870" s="2" t="s">
        <v>21</v>
      </c>
      <c r="I1870" s="2" t="s">
        <v>4093</v>
      </c>
      <c r="J1870" s="3" t="str">
        <f>HYPERLINK("https://www.boe.es/gazeta/dias/1821/04/11/pdfs/GMD-1821-103.pdf#page=3","Abrir facsímil")</f>
        <v>Abrir facsímil</v>
      </c>
      <c r="K1870" s="3" t="s">
        <v>23</v>
      </c>
    </row>
    <row r="1871" spans="1:11" ht="42" customHeight="1">
      <c r="A1871" s="2" t="s">
        <v>4090</v>
      </c>
      <c r="B1871" s="2" t="s">
        <v>4090</v>
      </c>
      <c r="C1871" s="2" t="s">
        <v>17</v>
      </c>
      <c r="D1871" s="2" t="s">
        <v>18</v>
      </c>
      <c r="E1871" s="5">
        <v>-28750</v>
      </c>
      <c r="F1871" s="3" t="s">
        <v>917</v>
      </c>
      <c r="G1871" s="3" t="s">
        <v>52</v>
      </c>
      <c r="H1871" s="2" t="s">
        <v>21</v>
      </c>
      <c r="I1871" s="2" t="s">
        <v>4094</v>
      </c>
      <c r="J1871" s="3" t="str">
        <f>HYPERLINK("https://www.boe.es/gazeta/dias/1821/04/13/pdfs/GMD-1821-105.pdf#page=2","Abrir facsímil")</f>
        <v>Abrir facsímil</v>
      </c>
      <c r="K1871" s="3" t="s">
        <v>23</v>
      </c>
    </row>
    <row r="1872" spans="1:11" ht="42" customHeight="1">
      <c r="A1872" s="2" t="s">
        <v>4090</v>
      </c>
      <c r="B1872" s="2" t="s">
        <v>4090</v>
      </c>
      <c r="C1872" s="2" t="s">
        <v>40</v>
      </c>
      <c r="D1872" s="2" t="s">
        <v>41</v>
      </c>
      <c r="E1872" s="5">
        <v>-28746</v>
      </c>
      <c r="F1872" s="3" t="s">
        <v>687</v>
      </c>
      <c r="G1872" s="3" t="s">
        <v>88</v>
      </c>
      <c r="H1872" s="2" t="s">
        <v>21</v>
      </c>
      <c r="I1872" s="2" t="s">
        <v>4095</v>
      </c>
      <c r="J1872" s="3" t="str">
        <f>HYPERLINK("https://www.boe.es/gazeta/dias/1821/04/17/pdfs/GMD-1821-109.pdf#page=4","Abrir facsímil")</f>
        <v>Abrir facsímil</v>
      </c>
      <c r="K1872" s="3" t="s">
        <v>23</v>
      </c>
    </row>
    <row r="1873" spans="1:11" ht="42" customHeight="1">
      <c r="A1873" s="2" t="s">
        <v>4090</v>
      </c>
      <c r="B1873" s="2" t="s">
        <v>4090</v>
      </c>
      <c r="C1873" s="2" t="s">
        <v>26</v>
      </c>
      <c r="D1873" s="2" t="s">
        <v>27</v>
      </c>
      <c r="E1873" s="5">
        <v>-28746</v>
      </c>
      <c r="F1873" s="3" t="s">
        <v>687</v>
      </c>
      <c r="G1873" s="3" t="s">
        <v>29</v>
      </c>
      <c r="H1873" s="2" t="s">
        <v>21</v>
      </c>
      <c r="I1873" s="2" t="s">
        <v>4096</v>
      </c>
      <c r="J1873" s="3" t="str">
        <f>HYPERLINK("https://www.boe.es/gazeta/dias/1821/04/17/pdfs/GMD-1821-109.pdf#page=6","Abrir facsímil")</f>
        <v>Abrir facsímil</v>
      </c>
      <c r="K1873" s="3" t="s">
        <v>23</v>
      </c>
    </row>
    <row r="1874" spans="1:11" ht="42" customHeight="1">
      <c r="A1874" s="2" t="s">
        <v>4090</v>
      </c>
      <c r="B1874" s="2" t="s">
        <v>4090</v>
      </c>
      <c r="C1874" s="2" t="s">
        <v>40</v>
      </c>
      <c r="D1874" s="2" t="s">
        <v>41</v>
      </c>
      <c r="E1874" s="5">
        <v>-28703</v>
      </c>
      <c r="F1874" s="3" t="s">
        <v>231</v>
      </c>
      <c r="G1874" s="3" t="s">
        <v>88</v>
      </c>
      <c r="H1874" s="2" t="s">
        <v>21</v>
      </c>
      <c r="I1874" s="2" t="s">
        <v>4097</v>
      </c>
      <c r="J1874" s="3" t="str">
        <f>HYPERLINK("https://www.boe.es/gazeta/dias/1821/05/30/pdfs/GMD-1821-152.pdf#page=4","Abrir facsímil")</f>
        <v>Abrir facsímil</v>
      </c>
      <c r="K1874" s="3" t="s">
        <v>23</v>
      </c>
    </row>
    <row r="1875" spans="1:11" ht="42" customHeight="1">
      <c r="A1875" s="2" t="s">
        <v>4098</v>
      </c>
      <c r="B1875" s="2" t="s">
        <v>4099</v>
      </c>
      <c r="C1875" s="2" t="s">
        <v>17</v>
      </c>
      <c r="D1875" s="2" t="s">
        <v>18</v>
      </c>
      <c r="E1875" s="5">
        <v>-28778</v>
      </c>
      <c r="F1875" s="3" t="s">
        <v>1301</v>
      </c>
      <c r="G1875" s="3" t="s">
        <v>29</v>
      </c>
      <c r="H1875" s="2" t="s">
        <v>21</v>
      </c>
      <c r="I1875" s="2" t="s">
        <v>4100</v>
      </c>
      <c r="J1875" s="3" t="str">
        <f>HYPERLINK("https://www.boe.es/gazeta/dias/1821/03/16/pdfs/GMD-1821-75.pdf#page=6","Abrir facsímil")</f>
        <v>Abrir facsímil</v>
      </c>
      <c r="K1875" s="3" t="s">
        <v>23</v>
      </c>
    </row>
    <row r="1876" spans="1:11" ht="42" customHeight="1">
      <c r="A1876" s="2" t="s">
        <v>4101</v>
      </c>
      <c r="B1876" s="2" t="s">
        <v>4102</v>
      </c>
      <c r="C1876" s="2" t="s">
        <v>35</v>
      </c>
      <c r="D1876" s="2" t="s">
        <v>27</v>
      </c>
      <c r="E1876" s="5">
        <v>-28705</v>
      </c>
      <c r="F1876" s="3" t="s">
        <v>1844</v>
      </c>
      <c r="G1876" s="3" t="s">
        <v>52</v>
      </c>
      <c r="H1876" s="2" t="s">
        <v>21</v>
      </c>
      <c r="I1876" s="2" t="s">
        <v>4103</v>
      </c>
      <c r="J1876" s="3" t="str">
        <f>HYPERLINK("https://www.boe.es/gazeta/dias/1821/05/28/pdfs/GMD-1821-150.pdf#page=2","Abrir facsímil")</f>
        <v>Abrir facsímil</v>
      </c>
      <c r="K1876" s="3" t="s">
        <v>23</v>
      </c>
    </row>
    <row r="1877" spans="1:11" ht="42" customHeight="1">
      <c r="A1877" s="2" t="s">
        <v>4104</v>
      </c>
      <c r="B1877" s="2" t="s">
        <v>4104</v>
      </c>
      <c r="C1877" s="2" t="s">
        <v>35</v>
      </c>
      <c r="D1877" s="2" t="s">
        <v>27</v>
      </c>
      <c r="E1877" s="5">
        <v>-28508</v>
      </c>
      <c r="F1877" s="3" t="s">
        <v>42</v>
      </c>
      <c r="G1877" s="3" t="s">
        <v>43</v>
      </c>
      <c r="H1877" s="2" t="s">
        <v>21</v>
      </c>
      <c r="I1877" s="2" t="s">
        <v>4105</v>
      </c>
      <c r="J1877" s="3" t="str">
        <f>HYPERLINK("https://www.boe.es/gazeta/dias/1821/12/11/pdfs/GMD-1821-353.pdf#page=1","Abrir facsímil")</f>
        <v>Abrir facsímil</v>
      </c>
      <c r="K1877" s="3" t="s">
        <v>23</v>
      </c>
    </row>
    <row r="1878" spans="1:11" ht="42" customHeight="1">
      <c r="A1878" s="2" t="s">
        <v>4106</v>
      </c>
      <c r="B1878" s="2" t="s">
        <v>4107</v>
      </c>
      <c r="C1878" s="2" t="s">
        <v>17</v>
      </c>
      <c r="D1878" s="2" t="s">
        <v>18</v>
      </c>
      <c r="E1878" s="5">
        <v>-28559</v>
      </c>
      <c r="F1878" s="3" t="s">
        <v>1078</v>
      </c>
      <c r="G1878" s="3" t="s">
        <v>52</v>
      </c>
      <c r="H1878" s="2" t="s">
        <v>21</v>
      </c>
      <c r="I1878" s="2" t="s">
        <v>4108</v>
      </c>
      <c r="J1878" s="3" t="str">
        <f>HYPERLINK("https://www.boe.es/gazeta/dias/1821/10/21/pdfs/GMD-1821-300.pdf#page=2","Abrir facsímil")</f>
        <v>Abrir facsímil</v>
      </c>
      <c r="K1878" s="3" t="s">
        <v>23</v>
      </c>
    </row>
    <row r="1879" spans="1:11" ht="42" customHeight="1">
      <c r="A1879" s="2" t="s">
        <v>4109</v>
      </c>
      <c r="B1879" s="2" t="s">
        <v>4109</v>
      </c>
      <c r="C1879" s="2" t="s">
        <v>17</v>
      </c>
      <c r="D1879" s="2" t="s">
        <v>18</v>
      </c>
      <c r="E1879" s="5">
        <v>-28790</v>
      </c>
      <c r="F1879" s="3" t="s">
        <v>991</v>
      </c>
      <c r="G1879" s="3" t="s">
        <v>88</v>
      </c>
      <c r="H1879" s="2" t="s">
        <v>21</v>
      </c>
      <c r="I1879" s="2" t="s">
        <v>4110</v>
      </c>
      <c r="J1879" s="3" t="str">
        <f>HYPERLINK("https://www.boe.es/gazeta/dias/1821/03/04/pdfs/GGB-1821-63.pdf#page=4","Abrir facsímil")</f>
        <v>Abrir facsímil</v>
      </c>
      <c r="K1879" s="3" t="s">
        <v>23</v>
      </c>
    </row>
    <row r="1880" spans="1:11" ht="42" customHeight="1">
      <c r="A1880" s="2" t="s">
        <v>4109</v>
      </c>
      <c r="B1880" s="2" t="s">
        <v>4109</v>
      </c>
      <c r="C1880" s="2" t="s">
        <v>17</v>
      </c>
      <c r="D1880" s="2" t="s">
        <v>18</v>
      </c>
      <c r="E1880" s="5">
        <v>-28785</v>
      </c>
      <c r="F1880" s="3" t="s">
        <v>1935</v>
      </c>
      <c r="G1880" s="3" t="s">
        <v>20</v>
      </c>
      <c r="H1880" s="2" t="s">
        <v>21</v>
      </c>
      <c r="I1880" s="2" t="s">
        <v>4111</v>
      </c>
      <c r="J1880" s="3" t="str">
        <f>HYPERLINK("https://www.boe.es/gazeta/dias/1821/03/09/pdfs/GGB-1821-68.pdf#page=3","Abrir facsímil")</f>
        <v>Abrir facsímil</v>
      </c>
      <c r="K1880" s="3" t="s">
        <v>23</v>
      </c>
    </row>
    <row r="1881" spans="1:11" ht="42" customHeight="1">
      <c r="A1881" s="2" t="s">
        <v>4109</v>
      </c>
      <c r="B1881" s="2" t="s">
        <v>4109</v>
      </c>
      <c r="C1881" s="2" t="s">
        <v>17</v>
      </c>
      <c r="D1881" s="2" t="s">
        <v>18</v>
      </c>
      <c r="E1881" s="5">
        <v>-28782</v>
      </c>
      <c r="F1881" s="3" t="s">
        <v>508</v>
      </c>
      <c r="G1881" s="3" t="s">
        <v>88</v>
      </c>
      <c r="H1881" s="2" t="s">
        <v>21</v>
      </c>
      <c r="I1881" s="2" t="s">
        <v>4112</v>
      </c>
      <c r="J1881" s="3" t="str">
        <f>HYPERLINK("https://www.boe.es/gazeta/dias/1821/03/12/pdfs/GMD-1821-71.pdf#page=4","Abrir facsímil")</f>
        <v>Abrir facsímil</v>
      </c>
      <c r="K1881" s="3" t="s">
        <v>23</v>
      </c>
    </row>
    <row r="1882" spans="1:11" ht="42" customHeight="1">
      <c r="A1882" s="2" t="s">
        <v>4109</v>
      </c>
      <c r="B1882" s="2" t="s">
        <v>4109</v>
      </c>
      <c r="C1882" s="2" t="s">
        <v>40</v>
      </c>
      <c r="D1882" s="2" t="s">
        <v>41</v>
      </c>
      <c r="E1882" s="5">
        <v>-28762</v>
      </c>
      <c r="F1882" s="3" t="s">
        <v>608</v>
      </c>
      <c r="G1882" s="3" t="s">
        <v>29</v>
      </c>
      <c r="H1882" s="2" t="s">
        <v>21</v>
      </c>
      <c r="I1882" s="2" t="s">
        <v>4113</v>
      </c>
      <c r="J1882" s="3" t="str">
        <f>HYPERLINK("https://www.boe.es/gazeta/dias/1821/04/01/pdfs/GMD-1821-93.pdf#page=6","Abrir facsímil")</f>
        <v>Abrir facsímil</v>
      </c>
      <c r="K1882" s="3" t="s">
        <v>23</v>
      </c>
    </row>
    <row r="1883" spans="1:11" ht="42" customHeight="1">
      <c r="A1883" s="2" t="s">
        <v>4109</v>
      </c>
      <c r="B1883" s="2" t="s">
        <v>4109</v>
      </c>
      <c r="C1883" s="2" t="s">
        <v>26</v>
      </c>
      <c r="D1883" s="2" t="s">
        <v>27</v>
      </c>
      <c r="E1883" s="5">
        <v>-28761</v>
      </c>
      <c r="F1883" s="3" t="s">
        <v>771</v>
      </c>
      <c r="G1883" s="3" t="s">
        <v>52</v>
      </c>
      <c r="H1883" s="2" t="s">
        <v>21</v>
      </c>
      <c r="I1883" s="2" t="s">
        <v>4114</v>
      </c>
      <c r="J1883" s="3" t="str">
        <f>HYPERLINK("https://www.boe.es/gazeta/dias/1821/04/02/pdfs/GMD-1821-94.pdf#page=2","Abrir facsímil")</f>
        <v>Abrir facsímil</v>
      </c>
      <c r="K1883" s="3" t="s">
        <v>23</v>
      </c>
    </row>
    <row r="1884" spans="1:11" ht="42" customHeight="1">
      <c r="A1884" s="2" t="s">
        <v>4109</v>
      </c>
      <c r="B1884" s="2" t="s">
        <v>4109</v>
      </c>
      <c r="C1884" s="2" t="s">
        <v>17</v>
      </c>
      <c r="D1884" s="2" t="s">
        <v>18</v>
      </c>
      <c r="E1884" s="5">
        <v>-28758</v>
      </c>
      <c r="F1884" s="3" t="s">
        <v>4115</v>
      </c>
      <c r="G1884" s="3" t="s">
        <v>52</v>
      </c>
      <c r="H1884" s="2" t="s">
        <v>21</v>
      </c>
      <c r="I1884" s="2" t="s">
        <v>4116</v>
      </c>
      <c r="J1884" s="3" t="str">
        <f>HYPERLINK("https://www.boe.es/gazeta/dias/1821/04/05/pdfs/GMD-1821-97.pdf#page=2","Abrir facsímil")</f>
        <v>Abrir facsímil</v>
      </c>
      <c r="K1884" s="3" t="s">
        <v>23</v>
      </c>
    </row>
    <row r="1885" spans="1:11" ht="42" customHeight="1">
      <c r="A1885" s="2" t="s">
        <v>4109</v>
      </c>
      <c r="B1885" s="2" t="s">
        <v>4109</v>
      </c>
      <c r="C1885" s="2" t="s">
        <v>40</v>
      </c>
      <c r="D1885" s="2" t="s">
        <v>41</v>
      </c>
      <c r="E1885" s="5">
        <v>-28755</v>
      </c>
      <c r="F1885" s="3" t="s">
        <v>906</v>
      </c>
      <c r="G1885" s="3" t="s">
        <v>52</v>
      </c>
      <c r="H1885" s="2" t="s">
        <v>21</v>
      </c>
      <c r="I1885" s="2" t="s">
        <v>4117</v>
      </c>
      <c r="J1885" s="3" t="str">
        <f>HYPERLINK("https://www.boe.es/gazeta/dias/1821/04/08/pdfs/GMD-1821-100.pdf#page=2","Abrir facsímil")</f>
        <v>Abrir facsímil</v>
      </c>
      <c r="K1885" s="3" t="s">
        <v>23</v>
      </c>
    </row>
    <row r="1886" spans="1:11" ht="42" customHeight="1">
      <c r="A1886" s="2" t="s">
        <v>4109</v>
      </c>
      <c r="B1886" s="2" t="s">
        <v>4109</v>
      </c>
      <c r="C1886" s="2" t="s">
        <v>40</v>
      </c>
      <c r="D1886" s="2" t="s">
        <v>41</v>
      </c>
      <c r="E1886" s="5">
        <v>-28753</v>
      </c>
      <c r="F1886" s="3" t="s">
        <v>720</v>
      </c>
      <c r="G1886" s="3" t="s">
        <v>776</v>
      </c>
      <c r="H1886" s="2" t="s">
        <v>21</v>
      </c>
      <c r="I1886" s="2" t="s">
        <v>4118</v>
      </c>
      <c r="J1886" s="3" t="str">
        <f>HYPERLINK("https://www.boe.es/gazeta/dias/1821/04/10/pdfs/GMD-1821-102.pdf#page=2","Abrir facsímil")</f>
        <v>Abrir facsímil</v>
      </c>
      <c r="K1886" s="3" t="s">
        <v>23</v>
      </c>
    </row>
    <row r="1887" spans="1:11" ht="42" customHeight="1">
      <c r="A1887" s="2" t="s">
        <v>4109</v>
      </c>
      <c r="B1887" s="2" t="s">
        <v>4109</v>
      </c>
      <c r="C1887" s="2" t="s">
        <v>174</v>
      </c>
      <c r="D1887" s="2" t="s">
        <v>27</v>
      </c>
      <c r="E1887" s="5">
        <v>-28753</v>
      </c>
      <c r="F1887" s="3" t="s">
        <v>720</v>
      </c>
      <c r="G1887" s="3" t="s">
        <v>20</v>
      </c>
      <c r="H1887" s="2" t="s">
        <v>21</v>
      </c>
      <c r="I1887" s="2" t="s">
        <v>4119</v>
      </c>
      <c r="J1887" s="3" t="str">
        <f>HYPERLINK("https://www.boe.es/gazeta/dias/1821/04/10/pdfs/GMD-1821-102.pdf#page=3","Abrir facsímil")</f>
        <v>Abrir facsímil</v>
      </c>
      <c r="K1887" s="3" t="s">
        <v>23</v>
      </c>
    </row>
    <row r="1888" spans="1:11" ht="42" customHeight="1">
      <c r="A1888" s="2" t="s">
        <v>4109</v>
      </c>
      <c r="B1888" s="2" t="s">
        <v>4109</v>
      </c>
      <c r="C1888" s="2" t="s">
        <v>26</v>
      </c>
      <c r="D1888" s="2" t="s">
        <v>27</v>
      </c>
      <c r="E1888" s="5">
        <v>-28747</v>
      </c>
      <c r="F1888" s="3" t="s">
        <v>1016</v>
      </c>
      <c r="G1888" s="3" t="s">
        <v>20</v>
      </c>
      <c r="H1888" s="2" t="s">
        <v>21</v>
      </c>
      <c r="I1888" s="2" t="s">
        <v>4120</v>
      </c>
      <c r="J1888" s="3" t="str">
        <f>HYPERLINK("https://www.boe.es/gazeta/dias/1821/04/16/pdfs/GMD-1821-108.pdf#page=3","Abrir facsímil")</f>
        <v>Abrir facsímil</v>
      </c>
      <c r="K1888" s="3" t="s">
        <v>23</v>
      </c>
    </row>
    <row r="1889" spans="1:11" ht="42" customHeight="1">
      <c r="A1889" s="2" t="s">
        <v>4109</v>
      </c>
      <c r="B1889" s="2" t="s">
        <v>4109</v>
      </c>
      <c r="C1889" s="2" t="s">
        <v>26</v>
      </c>
      <c r="D1889" s="2" t="s">
        <v>27</v>
      </c>
      <c r="E1889" s="5">
        <v>-28741</v>
      </c>
      <c r="F1889" s="3" t="s">
        <v>1841</v>
      </c>
      <c r="G1889" s="3" t="s">
        <v>52</v>
      </c>
      <c r="H1889" s="2" t="s">
        <v>21</v>
      </c>
      <c r="I1889" s="2" t="s">
        <v>4121</v>
      </c>
      <c r="J1889" s="3" t="str">
        <f>HYPERLINK("https://www.boe.es/gazeta/dias/1821/04/22/pdfs/GMD-1821-114.pdf#page=2","Abrir facsímil")</f>
        <v>Abrir facsímil</v>
      </c>
      <c r="K1889" s="3" t="s">
        <v>23</v>
      </c>
    </row>
    <row r="1890" spans="1:11" ht="42" customHeight="1">
      <c r="A1890" s="2" t="s">
        <v>4109</v>
      </c>
      <c r="B1890" s="2" t="s">
        <v>4109</v>
      </c>
      <c r="C1890" s="2" t="s">
        <v>17</v>
      </c>
      <c r="D1890" s="2" t="s">
        <v>18</v>
      </c>
      <c r="E1890" s="5">
        <v>-28739</v>
      </c>
      <c r="F1890" s="3" t="s">
        <v>1024</v>
      </c>
      <c r="G1890" s="3" t="s">
        <v>1025</v>
      </c>
      <c r="H1890" s="2" t="s">
        <v>21</v>
      </c>
      <c r="I1890" s="2" t="s">
        <v>4122</v>
      </c>
      <c r="J1890" s="3" t="str">
        <f>HYPERLINK("https://www.boe.es/gazeta/dias/1821/04/24/pdfs/GMD-1821-116.pdf#page=3","Abrir facsímil")</f>
        <v>Abrir facsímil</v>
      </c>
      <c r="K1890" s="3" t="s">
        <v>23</v>
      </c>
    </row>
    <row r="1891" spans="1:11" ht="42" customHeight="1">
      <c r="A1891" s="2" t="s">
        <v>4109</v>
      </c>
      <c r="B1891" s="2" t="s">
        <v>4109</v>
      </c>
      <c r="C1891" s="2" t="s">
        <v>35</v>
      </c>
      <c r="D1891" s="2" t="s">
        <v>27</v>
      </c>
      <c r="E1891" s="5">
        <v>-28729</v>
      </c>
      <c r="F1891" s="3" t="s">
        <v>838</v>
      </c>
      <c r="G1891" s="3" t="s">
        <v>20</v>
      </c>
      <c r="H1891" s="2" t="s">
        <v>21</v>
      </c>
      <c r="I1891" s="2" t="s">
        <v>4123</v>
      </c>
      <c r="J1891" s="3" t="str">
        <f>HYPERLINK("https://www.boe.es/gazeta/dias/1821/05/04/pdfs/GMD-1821-126.pdf#page=3","Abrir facsímil")</f>
        <v>Abrir facsímil</v>
      </c>
      <c r="K1891" s="3" t="s">
        <v>23</v>
      </c>
    </row>
    <row r="1892" spans="1:11" ht="42" customHeight="1">
      <c r="A1892" s="2" t="s">
        <v>4109</v>
      </c>
      <c r="B1892" s="2" t="s">
        <v>4109</v>
      </c>
      <c r="C1892" s="2" t="s">
        <v>17</v>
      </c>
      <c r="D1892" s="2" t="s">
        <v>18</v>
      </c>
      <c r="E1892" s="5">
        <v>-28698</v>
      </c>
      <c r="F1892" s="3" t="s">
        <v>2067</v>
      </c>
      <c r="G1892" s="3" t="s">
        <v>3804</v>
      </c>
      <c r="H1892" s="2" t="s">
        <v>21</v>
      </c>
      <c r="I1892" s="2" t="s">
        <v>4124</v>
      </c>
      <c r="J1892" s="3" t="str">
        <f>HYPERLINK("https://www.boe.es/gazeta/dias/1821/06/04/pdfs/GMD-1821-157.pdf#page=2","Abrir facsímil")</f>
        <v>Abrir facsímil</v>
      </c>
      <c r="K1892" s="3" t="s">
        <v>23</v>
      </c>
    </row>
    <row r="1893" spans="1:11" ht="42" customHeight="1">
      <c r="A1893" s="2" t="s">
        <v>4109</v>
      </c>
      <c r="B1893" s="2" t="s">
        <v>4109</v>
      </c>
      <c r="C1893" s="2" t="s">
        <v>17</v>
      </c>
      <c r="D1893" s="2" t="s">
        <v>18</v>
      </c>
      <c r="E1893" s="5">
        <v>-28697</v>
      </c>
      <c r="F1893" s="3" t="s">
        <v>166</v>
      </c>
      <c r="G1893" s="3" t="s">
        <v>20</v>
      </c>
      <c r="H1893" s="2" t="s">
        <v>21</v>
      </c>
      <c r="I1893" s="2" t="s">
        <v>4125</v>
      </c>
      <c r="J1893" s="3" t="str">
        <f>HYPERLINK("https://www.boe.es/gazeta/dias/1821/06/05/pdfs/GMD-1821-158.pdf#page=3","Abrir facsímil")</f>
        <v>Abrir facsímil</v>
      </c>
      <c r="K1893" s="3" t="s">
        <v>23</v>
      </c>
    </row>
    <row r="1894" spans="1:11" ht="42" customHeight="1">
      <c r="A1894" s="2" t="s">
        <v>4109</v>
      </c>
      <c r="B1894" s="2" t="s">
        <v>4109</v>
      </c>
      <c r="C1894" s="2" t="s">
        <v>40</v>
      </c>
      <c r="D1894" s="2" t="s">
        <v>41</v>
      </c>
      <c r="E1894" s="5">
        <v>-28694</v>
      </c>
      <c r="F1894" s="3" t="s">
        <v>1057</v>
      </c>
      <c r="G1894" s="3" t="s">
        <v>88</v>
      </c>
      <c r="H1894" s="2" t="s">
        <v>21</v>
      </c>
      <c r="I1894" s="2" t="s">
        <v>4126</v>
      </c>
      <c r="J1894" s="3" t="str">
        <f>HYPERLINK("https://www.boe.es/gazeta/dias/1821/06/08/pdfs/GMD-1821-161.pdf#page=4","Abrir facsímil")</f>
        <v>Abrir facsímil</v>
      </c>
      <c r="K1894" s="3" t="s">
        <v>23</v>
      </c>
    </row>
    <row r="1895" spans="1:11" ht="42" customHeight="1">
      <c r="A1895" s="2" t="s">
        <v>4109</v>
      </c>
      <c r="B1895" s="2" t="s">
        <v>4109</v>
      </c>
      <c r="C1895" s="2" t="s">
        <v>35</v>
      </c>
      <c r="D1895" s="2" t="s">
        <v>27</v>
      </c>
      <c r="E1895" s="5">
        <v>-28677</v>
      </c>
      <c r="F1895" s="3" t="s">
        <v>361</v>
      </c>
      <c r="G1895" s="3" t="s">
        <v>162</v>
      </c>
      <c r="H1895" s="2" t="s">
        <v>21</v>
      </c>
      <c r="I1895" s="2" t="s">
        <v>4127</v>
      </c>
      <c r="J1895" s="3" t="str">
        <f>HYPERLINK("https://www.boe.es/gazeta/dias/1821/06/25/pdfs/GMD-1821-178.pdf#page=5","Abrir facsímil")</f>
        <v>Abrir facsímil</v>
      </c>
      <c r="K1895" s="3" t="s">
        <v>23</v>
      </c>
    </row>
    <row r="1896" spans="1:11" ht="42" customHeight="1">
      <c r="A1896" s="2" t="s">
        <v>4109</v>
      </c>
      <c r="B1896" s="2" t="s">
        <v>4109</v>
      </c>
      <c r="C1896" s="2" t="s">
        <v>35</v>
      </c>
      <c r="D1896" s="2" t="s">
        <v>27</v>
      </c>
      <c r="E1896" s="5">
        <v>-28537</v>
      </c>
      <c r="F1896" s="3" t="s">
        <v>56</v>
      </c>
      <c r="G1896" s="3" t="s">
        <v>29</v>
      </c>
      <c r="H1896" s="2" t="s">
        <v>21</v>
      </c>
      <c r="I1896" s="2" t="s">
        <v>4128</v>
      </c>
      <c r="J1896" s="3" t="str">
        <f>HYPERLINK("https://www.boe.es/gazeta/dias/1821/11/12/pdfs/GMD-1821-323.pdf#page=6","Abrir facsímil")</f>
        <v>Abrir facsímil</v>
      </c>
      <c r="K1896" s="3" t="s">
        <v>23</v>
      </c>
    </row>
    <row r="1897" spans="1:11" ht="42" customHeight="1">
      <c r="A1897" s="2" t="s">
        <v>4109</v>
      </c>
      <c r="B1897" s="2" t="s">
        <v>4109</v>
      </c>
      <c r="C1897" s="2" t="s">
        <v>35</v>
      </c>
      <c r="D1897" s="2" t="s">
        <v>27</v>
      </c>
      <c r="E1897" s="5">
        <v>-28536</v>
      </c>
      <c r="F1897" s="3" t="s">
        <v>553</v>
      </c>
      <c r="G1897" s="3" t="s">
        <v>29</v>
      </c>
      <c r="H1897" s="2" t="s">
        <v>21</v>
      </c>
      <c r="I1897" s="2" t="s">
        <v>4129</v>
      </c>
      <c r="J1897" s="3" t="str">
        <f>HYPERLINK("https://www.boe.es/gazeta/dias/1821/11/13/pdfs/GMD-1821-324.pdf#page=6","Abrir facsímil")</f>
        <v>Abrir facsímil</v>
      </c>
      <c r="K1897" s="3" t="s">
        <v>23</v>
      </c>
    </row>
    <row r="1898" spans="1:11" ht="42" customHeight="1">
      <c r="A1898" s="2" t="s">
        <v>4130</v>
      </c>
      <c r="B1898" s="2" t="s">
        <v>4130</v>
      </c>
      <c r="C1898" s="2" t="s">
        <v>35</v>
      </c>
      <c r="D1898" s="2" t="s">
        <v>27</v>
      </c>
      <c r="E1898" s="5">
        <v>-28792</v>
      </c>
      <c r="F1898" s="3" t="s">
        <v>2289</v>
      </c>
      <c r="G1898" s="3" t="s">
        <v>88</v>
      </c>
      <c r="H1898" s="2" t="s">
        <v>21</v>
      </c>
      <c r="I1898" s="2" t="s">
        <v>4131</v>
      </c>
      <c r="J1898" s="3" t="str">
        <f>HYPERLINK("https://www.boe.es/gazeta/dias/1821/03/02/pdfs/GGB-1821-61.pdf#page=4","Abrir facsímil")</f>
        <v>Abrir facsímil</v>
      </c>
      <c r="K1898" s="3" t="s">
        <v>23</v>
      </c>
    </row>
    <row r="1899" spans="1:11" ht="42" customHeight="1">
      <c r="A1899" s="2" t="s">
        <v>4132</v>
      </c>
      <c r="B1899" s="2" t="s">
        <v>4133</v>
      </c>
      <c r="C1899" s="2" t="s">
        <v>17</v>
      </c>
      <c r="D1899" s="2" t="s">
        <v>18</v>
      </c>
      <c r="E1899" s="5">
        <v>-28691</v>
      </c>
      <c r="F1899" s="3" t="s">
        <v>716</v>
      </c>
      <c r="G1899" s="3" t="s">
        <v>20</v>
      </c>
      <c r="H1899" s="2" t="s">
        <v>21</v>
      </c>
      <c r="I1899" s="2" t="s">
        <v>4134</v>
      </c>
      <c r="J1899" s="3" t="str">
        <f>HYPERLINK("https://www.boe.es/gazeta/dias/1821/06/11/pdfs/GMD-1821-164.pdf#page=3","Abrir facsímil")</f>
        <v>Abrir facsímil</v>
      </c>
      <c r="K1899" s="3" t="s">
        <v>23</v>
      </c>
    </row>
    <row r="1900" spans="1:11" ht="42" customHeight="1">
      <c r="A1900" s="2" t="s">
        <v>4135</v>
      </c>
      <c r="B1900" s="2" t="s">
        <v>4135</v>
      </c>
      <c r="C1900" s="2" t="s">
        <v>35</v>
      </c>
      <c r="D1900" s="2" t="s">
        <v>27</v>
      </c>
      <c r="E1900" s="5">
        <v>-28580</v>
      </c>
      <c r="F1900" s="3" t="s">
        <v>175</v>
      </c>
      <c r="G1900" s="3" t="s">
        <v>20</v>
      </c>
      <c r="H1900" s="2" t="s">
        <v>21</v>
      </c>
      <c r="I1900" s="2" t="s">
        <v>4136</v>
      </c>
      <c r="J1900" s="3" t="str">
        <f>HYPERLINK("https://www.boe.es/gazeta/dias/1821/09/30/pdfs/GMD-1821-279.pdf#page=3","Abrir facsímil")</f>
        <v>Abrir facsímil</v>
      </c>
      <c r="K1900" s="3" t="s">
        <v>23</v>
      </c>
    </row>
    <row r="1901" spans="1:11" ht="42" customHeight="1">
      <c r="A1901" s="2" t="s">
        <v>4137</v>
      </c>
      <c r="B1901" s="2" t="s">
        <v>4138</v>
      </c>
      <c r="C1901" s="2" t="s">
        <v>40</v>
      </c>
      <c r="D1901" s="2" t="s">
        <v>41</v>
      </c>
      <c r="E1901" s="5">
        <v>-28720</v>
      </c>
      <c r="F1901" s="3" t="s">
        <v>492</v>
      </c>
      <c r="G1901" s="3" t="s">
        <v>52</v>
      </c>
      <c r="H1901" s="2" t="s">
        <v>21</v>
      </c>
      <c r="I1901" s="2" t="s">
        <v>4139</v>
      </c>
      <c r="J1901" s="3" t="str">
        <f>HYPERLINK("https://www.boe.es/gazeta/dias/1821/05/13/pdfs/GMD-1821-135.pdf#page=2","Abrir facsímil")</f>
        <v>Abrir facsímil</v>
      </c>
      <c r="K1901" s="3" t="s">
        <v>23</v>
      </c>
    </row>
    <row r="1902" spans="1:11" ht="42" customHeight="1">
      <c r="A1902" s="2" t="s">
        <v>4140</v>
      </c>
      <c r="B1902" s="2" t="s">
        <v>4141</v>
      </c>
      <c r="C1902" s="2" t="s">
        <v>17</v>
      </c>
      <c r="D1902" s="2" t="s">
        <v>18</v>
      </c>
      <c r="E1902" s="5">
        <v>-28790</v>
      </c>
      <c r="F1902" s="3" t="s">
        <v>991</v>
      </c>
      <c r="G1902" s="3" t="s">
        <v>88</v>
      </c>
      <c r="H1902" s="2" t="s">
        <v>21</v>
      </c>
      <c r="I1902" s="2" t="s">
        <v>4142</v>
      </c>
      <c r="J1902" s="3" t="str">
        <f>HYPERLINK("https://www.boe.es/gazeta/dias/1821/03/04/pdfs/GGB-1821-63.pdf#page=4","Abrir facsímil")</f>
        <v>Abrir facsímil</v>
      </c>
      <c r="K1902" s="3" t="s">
        <v>23</v>
      </c>
    </row>
    <row r="1903" spans="1:11" ht="42" customHeight="1">
      <c r="A1903" s="2" t="s">
        <v>4143</v>
      </c>
      <c r="B1903" s="2" t="s">
        <v>4144</v>
      </c>
      <c r="C1903" s="2" t="s">
        <v>17</v>
      </c>
      <c r="D1903" s="2" t="s">
        <v>18</v>
      </c>
      <c r="E1903" s="5">
        <v>-28790</v>
      </c>
      <c r="F1903" s="3" t="s">
        <v>991</v>
      </c>
      <c r="G1903" s="3" t="s">
        <v>20</v>
      </c>
      <c r="H1903" s="2" t="s">
        <v>21</v>
      </c>
      <c r="I1903" s="2" t="s">
        <v>4145</v>
      </c>
      <c r="J1903" s="3" t="str">
        <f>HYPERLINK("https://www.boe.es/gazeta/dias/1821/03/04/pdfs/GGB-1821-63.pdf#page=3","Abrir facsímil")</f>
        <v>Abrir facsímil</v>
      </c>
      <c r="K1903" s="3" t="s">
        <v>23</v>
      </c>
    </row>
    <row r="1904" spans="1:11" ht="42" customHeight="1">
      <c r="A1904" s="2" t="s">
        <v>4146</v>
      </c>
      <c r="B1904" s="2" t="s">
        <v>4147</v>
      </c>
      <c r="C1904" s="2" t="s">
        <v>35</v>
      </c>
      <c r="D1904" s="2" t="s">
        <v>27</v>
      </c>
      <c r="E1904" s="5">
        <v>-28617</v>
      </c>
      <c r="F1904" s="3" t="s">
        <v>436</v>
      </c>
      <c r="G1904" s="3" t="s">
        <v>20</v>
      </c>
      <c r="H1904" s="2" t="s">
        <v>21</v>
      </c>
      <c r="I1904" s="2" t="s">
        <v>4148</v>
      </c>
      <c r="J1904" s="3" t="str">
        <f>HYPERLINK("https://www.boe.es/gazeta/dias/1821/08/24/pdfs/GMD-1821-241.pdf#page=3","Abrir facsímil")</f>
        <v>Abrir facsímil</v>
      </c>
      <c r="K1904" s="3" t="s">
        <v>23</v>
      </c>
    </row>
    <row r="1905" spans="1:11" ht="42" customHeight="1">
      <c r="A1905" s="2" t="s">
        <v>4149</v>
      </c>
      <c r="B1905" s="2" t="s">
        <v>4150</v>
      </c>
      <c r="C1905" s="2" t="s">
        <v>17</v>
      </c>
      <c r="D1905" s="2" t="s">
        <v>18</v>
      </c>
      <c r="E1905" s="5">
        <v>-28506</v>
      </c>
      <c r="F1905" s="3" t="s">
        <v>1095</v>
      </c>
      <c r="G1905" s="3" t="s">
        <v>3686</v>
      </c>
      <c r="H1905" s="2" t="s">
        <v>21</v>
      </c>
      <c r="I1905" s="2" t="s">
        <v>4151</v>
      </c>
      <c r="J1905" s="3" t="str">
        <f>HYPERLINK("https://www.boe.es/gazeta/dias/1821/12/13/pdfs/GMD-1821-356.pdf#page=2","Abrir facsímil")</f>
        <v>Abrir facsímil</v>
      </c>
      <c r="K1905" s="3" t="s">
        <v>23</v>
      </c>
    </row>
    <row r="1906" spans="1:11" ht="42" customHeight="1">
      <c r="A1906" s="2" t="s">
        <v>4152</v>
      </c>
      <c r="B1906" s="2" t="s">
        <v>4153</v>
      </c>
      <c r="C1906" s="2" t="s">
        <v>40</v>
      </c>
      <c r="D1906" s="2" t="s">
        <v>41</v>
      </c>
      <c r="E1906" s="5">
        <v>-28512</v>
      </c>
      <c r="F1906" s="3" t="s">
        <v>66</v>
      </c>
      <c r="G1906" s="3" t="s">
        <v>43</v>
      </c>
      <c r="H1906" s="2" t="s">
        <v>21</v>
      </c>
      <c r="I1906" s="2" t="s">
        <v>4154</v>
      </c>
      <c r="J1906" s="3" t="str">
        <f>HYPERLINK("https://www.boe.es/gazeta/dias/1821/12/07/pdfs/GMD-1821-349.pdf#page=1","Abrir facsímil")</f>
        <v>Abrir facsímil</v>
      </c>
      <c r="K1906" s="3" t="s">
        <v>23</v>
      </c>
    </row>
    <row r="1907" spans="1:11" ht="42" customHeight="1">
      <c r="A1907" s="2" t="s">
        <v>4155</v>
      </c>
      <c r="B1907" s="2" t="s">
        <v>4155</v>
      </c>
      <c r="C1907" s="2" t="s">
        <v>40</v>
      </c>
      <c r="D1907" s="2" t="s">
        <v>41</v>
      </c>
      <c r="E1907" s="5">
        <v>-28499</v>
      </c>
      <c r="F1907" s="3" t="s">
        <v>954</v>
      </c>
      <c r="G1907" s="3" t="s">
        <v>88</v>
      </c>
      <c r="H1907" s="2" t="s">
        <v>21</v>
      </c>
      <c r="I1907" s="2" t="s">
        <v>4156</v>
      </c>
      <c r="J1907" s="3" t="str">
        <f>HYPERLINK("https://www.boe.es/gazeta/dias/1821/12/20/pdfs/GMD-1821-363.pdf#page=4","Abrir facsímil")</f>
        <v>Abrir facsímil</v>
      </c>
      <c r="K1907" s="3" t="s">
        <v>23</v>
      </c>
    </row>
    <row r="1908" spans="1:11" ht="42" customHeight="1">
      <c r="A1908" s="2" t="s">
        <v>4157</v>
      </c>
      <c r="B1908" s="2" t="s">
        <v>4157</v>
      </c>
      <c r="C1908" s="2" t="s">
        <v>26</v>
      </c>
      <c r="D1908" s="2" t="s">
        <v>27</v>
      </c>
      <c r="E1908" s="5">
        <v>-28718</v>
      </c>
      <c r="F1908" s="3" t="s">
        <v>583</v>
      </c>
      <c r="G1908" s="3" t="s">
        <v>43</v>
      </c>
      <c r="H1908" s="2" t="s">
        <v>21</v>
      </c>
      <c r="I1908" s="2" t="s">
        <v>4158</v>
      </c>
      <c r="J1908" s="3" t="str">
        <f>HYPERLINK("https://www.boe.es/gazeta/dias/1821/05/15/pdfs/GMD-1821-137.pdf#page=1","Abrir facsímil")</f>
        <v>Abrir facsímil</v>
      </c>
      <c r="K1908" s="3" t="s">
        <v>23</v>
      </c>
    </row>
    <row r="1909" spans="1:11" ht="42" customHeight="1">
      <c r="A1909" s="2" t="s">
        <v>4157</v>
      </c>
      <c r="B1909" s="2" t="s">
        <v>4157</v>
      </c>
      <c r="C1909" s="2" t="s">
        <v>17</v>
      </c>
      <c r="D1909" s="2" t="s">
        <v>18</v>
      </c>
      <c r="E1909" s="5">
        <v>-28669</v>
      </c>
      <c r="F1909" s="3" t="s">
        <v>2816</v>
      </c>
      <c r="G1909" s="3" t="s">
        <v>20</v>
      </c>
      <c r="H1909" s="2" t="s">
        <v>21</v>
      </c>
      <c r="I1909" s="2" t="s">
        <v>4159</v>
      </c>
      <c r="J1909" s="3" t="str">
        <f>HYPERLINK("https://www.boe.es/gazeta/dias/1821/07/03/pdfs/GMD-1821-187.pdf#page=3","Abrir facsímil")</f>
        <v>Abrir facsímil</v>
      </c>
      <c r="K1909" s="3" t="s">
        <v>23</v>
      </c>
    </row>
    <row r="1910" spans="1:11" ht="42" customHeight="1">
      <c r="A1910" s="2" t="s">
        <v>4157</v>
      </c>
      <c r="B1910" s="2" t="s">
        <v>4157</v>
      </c>
      <c r="C1910" s="2" t="s">
        <v>40</v>
      </c>
      <c r="D1910" s="2" t="s">
        <v>41</v>
      </c>
      <c r="E1910" s="5">
        <v>-28648</v>
      </c>
      <c r="F1910" s="3" t="s">
        <v>1520</v>
      </c>
      <c r="G1910" s="3" t="s">
        <v>20</v>
      </c>
      <c r="H1910" s="2" t="s">
        <v>21</v>
      </c>
      <c r="I1910" s="2" t="s">
        <v>4160</v>
      </c>
      <c r="J1910" s="3" t="str">
        <f>HYPERLINK("https://www.boe.es/gazeta/dias/1821/07/24/pdfs/GMD-1821-209.pdf#page=3","Abrir facsímil")</f>
        <v>Abrir facsímil</v>
      </c>
      <c r="K1910" s="3" t="s">
        <v>23</v>
      </c>
    </row>
    <row r="1911" spans="1:11" ht="42" customHeight="1">
      <c r="A1911" s="2" t="s">
        <v>4157</v>
      </c>
      <c r="B1911" s="2" t="s">
        <v>4157</v>
      </c>
      <c r="C1911" s="2" t="s">
        <v>17</v>
      </c>
      <c r="D1911" s="2" t="s">
        <v>18</v>
      </c>
      <c r="E1911" s="5">
        <v>-28603</v>
      </c>
      <c r="F1911" s="3" t="s">
        <v>2928</v>
      </c>
      <c r="G1911" s="3" t="s">
        <v>20</v>
      </c>
      <c r="H1911" s="2" t="s">
        <v>21</v>
      </c>
      <c r="I1911" s="2" t="s">
        <v>4161</v>
      </c>
      <c r="J1911" s="3" t="str">
        <f>HYPERLINK("https://www.boe.es/gazeta/dias/1821/09/07/pdfs/GMD-1821-255.pdf#page=3","Abrir facsímil")</f>
        <v>Abrir facsímil</v>
      </c>
      <c r="K1911" s="3" t="s">
        <v>23</v>
      </c>
    </row>
    <row r="1912" spans="1:11" ht="42" customHeight="1">
      <c r="A1912" s="2" t="s">
        <v>4162</v>
      </c>
      <c r="B1912" s="2" t="s">
        <v>4163</v>
      </c>
      <c r="C1912" s="2" t="s">
        <v>40</v>
      </c>
      <c r="D1912" s="2" t="s">
        <v>41</v>
      </c>
      <c r="E1912" s="5">
        <v>-28731</v>
      </c>
      <c r="F1912" s="3" t="s">
        <v>577</v>
      </c>
      <c r="G1912" s="3" t="s">
        <v>20</v>
      </c>
      <c r="H1912" s="2" t="s">
        <v>21</v>
      </c>
      <c r="I1912" s="2" t="s">
        <v>4164</v>
      </c>
      <c r="J1912" s="3" t="str">
        <f>HYPERLINK("https://www.boe.es/gazeta/dias/1821/05/02/pdfs/GMD-1821-124.pdf#page=3","Abrir facsímil")</f>
        <v>Abrir facsímil</v>
      </c>
      <c r="K1912" s="3" t="s">
        <v>23</v>
      </c>
    </row>
    <row r="1913" spans="1:11" ht="42" customHeight="1">
      <c r="A1913" s="2" t="s">
        <v>4165</v>
      </c>
      <c r="B1913" s="2" t="s">
        <v>4165</v>
      </c>
      <c r="C1913" s="2" t="s">
        <v>26</v>
      </c>
      <c r="D1913" s="2" t="s">
        <v>27</v>
      </c>
      <c r="E1913" s="5">
        <v>-28689</v>
      </c>
      <c r="F1913" s="3" t="s">
        <v>194</v>
      </c>
      <c r="G1913" s="3" t="s">
        <v>43</v>
      </c>
      <c r="H1913" s="2" t="s">
        <v>21</v>
      </c>
      <c r="I1913" s="2" t="s">
        <v>4166</v>
      </c>
      <c r="J1913" s="3" t="str">
        <f>HYPERLINK("https://www.boe.es/gazeta/dias/1821/06/13/pdfs/GMD-1821-166.pdf#page=1","Abrir facsímil")</f>
        <v>Abrir facsímil</v>
      </c>
      <c r="K1913" s="3" t="s">
        <v>23</v>
      </c>
    </row>
    <row r="1914" spans="1:11" ht="42" customHeight="1">
      <c r="A1914" s="2" t="s">
        <v>4165</v>
      </c>
      <c r="B1914" s="2" t="s">
        <v>4165</v>
      </c>
      <c r="C1914" s="2" t="s">
        <v>40</v>
      </c>
      <c r="D1914" s="2" t="s">
        <v>41</v>
      </c>
      <c r="E1914" s="5">
        <v>-28654</v>
      </c>
      <c r="F1914" s="3" t="s">
        <v>674</v>
      </c>
      <c r="G1914" s="3" t="s">
        <v>43</v>
      </c>
      <c r="H1914" s="2" t="s">
        <v>21</v>
      </c>
      <c r="I1914" s="2" t="s">
        <v>4167</v>
      </c>
      <c r="J1914" s="3" t="str">
        <f>HYPERLINK("https://www.boe.es/gazeta/dias/1821/07/18/pdfs/GMD-1821-203.pdf#page=1","Abrir facsímil")</f>
        <v>Abrir facsímil</v>
      </c>
      <c r="K1914" s="3" t="s">
        <v>23</v>
      </c>
    </row>
    <row r="1915" spans="1:11" ht="42" customHeight="1">
      <c r="A1915" s="2" t="s">
        <v>4165</v>
      </c>
      <c r="B1915" s="2" t="s">
        <v>4165</v>
      </c>
      <c r="C1915" s="2" t="s">
        <v>17</v>
      </c>
      <c r="D1915" s="2" t="s">
        <v>18</v>
      </c>
      <c r="E1915" s="5">
        <v>-28652</v>
      </c>
      <c r="F1915" s="3" t="s">
        <v>1314</v>
      </c>
      <c r="G1915" s="3" t="s">
        <v>43</v>
      </c>
      <c r="H1915" s="2" t="s">
        <v>21</v>
      </c>
      <c r="I1915" s="2" t="s">
        <v>4168</v>
      </c>
      <c r="J1915" s="3" t="str">
        <f>HYPERLINK("https://www.boe.es/gazeta/dias/1821/07/20/pdfs/GMD-1821-205.pdf#page=1","Abrir facsímil")</f>
        <v>Abrir facsímil</v>
      </c>
      <c r="K1915" s="3" t="s">
        <v>23</v>
      </c>
    </row>
    <row r="1916" spans="1:11" ht="42" customHeight="1">
      <c r="A1916" s="2" t="s">
        <v>4165</v>
      </c>
      <c r="B1916" s="2" t="s">
        <v>4165</v>
      </c>
      <c r="C1916" s="2" t="s">
        <v>26</v>
      </c>
      <c r="D1916" s="2" t="s">
        <v>27</v>
      </c>
      <c r="E1916" s="5">
        <v>-28641</v>
      </c>
      <c r="F1916" s="3" t="s">
        <v>398</v>
      </c>
      <c r="G1916" s="3" t="s">
        <v>43</v>
      </c>
      <c r="H1916" s="2" t="s">
        <v>21</v>
      </c>
      <c r="I1916" s="2" t="s">
        <v>4169</v>
      </c>
      <c r="J1916" s="3" t="str">
        <f>HYPERLINK("https://www.boe.es/gazeta/dias/1821/07/31/pdfs/GMD-1821-216.pdf#page=1","Abrir facsímil")</f>
        <v>Abrir facsímil</v>
      </c>
      <c r="K1916" s="3" t="s">
        <v>23</v>
      </c>
    </row>
    <row r="1917" spans="1:11" ht="42" customHeight="1">
      <c r="A1917" s="2" t="s">
        <v>4170</v>
      </c>
      <c r="B1917" s="2" t="s">
        <v>4170</v>
      </c>
      <c r="C1917" s="2" t="s">
        <v>26</v>
      </c>
      <c r="D1917" s="2" t="s">
        <v>27</v>
      </c>
      <c r="E1917" s="5">
        <v>-28624</v>
      </c>
      <c r="F1917" s="3" t="s">
        <v>78</v>
      </c>
      <c r="G1917" s="3" t="s">
        <v>20</v>
      </c>
      <c r="H1917" s="2" t="s">
        <v>21</v>
      </c>
      <c r="I1917" s="2" t="s">
        <v>4171</v>
      </c>
      <c r="J1917" s="3" t="str">
        <f>HYPERLINK("https://www.boe.es/gazeta/dias/1821/08/17/pdfs/GMD-1821-234.pdf#page=3","Abrir facsímil")</f>
        <v>Abrir facsímil</v>
      </c>
      <c r="K1917" s="3" t="s">
        <v>23</v>
      </c>
    </row>
    <row r="1918" spans="1:11" ht="42" customHeight="1">
      <c r="A1918" s="2" t="s">
        <v>4172</v>
      </c>
      <c r="B1918" s="2" t="s">
        <v>4172</v>
      </c>
      <c r="C1918" s="2" t="s">
        <v>40</v>
      </c>
      <c r="D1918" s="2" t="s">
        <v>41</v>
      </c>
      <c r="E1918" s="5">
        <v>-28664</v>
      </c>
      <c r="F1918" s="3" t="s">
        <v>1365</v>
      </c>
      <c r="G1918" s="3" t="s">
        <v>43</v>
      </c>
      <c r="H1918" s="2" t="s">
        <v>21</v>
      </c>
      <c r="I1918" s="2" t="s">
        <v>4173</v>
      </c>
      <c r="J1918" s="3" t="str">
        <f>HYPERLINK("https://www.boe.es/gazeta/dias/1821/07/08/pdfs/GMD-1821-193.pdf#page=1","Abrir facsímil")</f>
        <v>Abrir facsímil</v>
      </c>
      <c r="K1918" s="3" t="s">
        <v>23</v>
      </c>
    </row>
    <row r="1919" spans="1:11" ht="42" customHeight="1">
      <c r="A1919" s="2" t="s">
        <v>4174</v>
      </c>
      <c r="B1919" s="2" t="s">
        <v>4174</v>
      </c>
      <c r="C1919" s="2" t="s">
        <v>40</v>
      </c>
      <c r="D1919" s="2" t="s">
        <v>41</v>
      </c>
      <c r="E1919" s="5">
        <v>-28703</v>
      </c>
      <c r="F1919" s="3" t="s">
        <v>231</v>
      </c>
      <c r="G1919" s="3" t="s">
        <v>43</v>
      </c>
      <c r="H1919" s="2" t="s">
        <v>21</v>
      </c>
      <c r="I1919" s="2" t="s">
        <v>4175</v>
      </c>
      <c r="J1919" s="3" t="str">
        <f>HYPERLINK("https://www.boe.es/gazeta/dias/1821/05/30/pdfs/GMD-1821-152.pdf#page=1","Abrir facsímil")</f>
        <v>Abrir facsímil</v>
      </c>
      <c r="K1919" s="3" t="s">
        <v>23</v>
      </c>
    </row>
    <row r="1920" spans="1:11" ht="42" customHeight="1">
      <c r="A1920" s="2" t="s">
        <v>4176</v>
      </c>
      <c r="B1920" s="2" t="s">
        <v>4176</v>
      </c>
      <c r="C1920" s="2" t="s">
        <v>40</v>
      </c>
      <c r="D1920" s="2" t="s">
        <v>41</v>
      </c>
      <c r="E1920" s="5">
        <v>-28658</v>
      </c>
      <c r="F1920" s="3" t="s">
        <v>2528</v>
      </c>
      <c r="G1920" s="3" t="s">
        <v>52</v>
      </c>
      <c r="H1920" s="2" t="s">
        <v>21</v>
      </c>
      <c r="I1920" s="2" t="s">
        <v>4177</v>
      </c>
      <c r="J1920" s="3" t="str">
        <f>HYPERLINK("https://www.boe.es/gazeta/dias/1821/07/14/pdfs/GMD-1821-199.pdf#page=2","Abrir facsímil")</f>
        <v>Abrir facsímil</v>
      </c>
      <c r="K1920" s="3" t="s">
        <v>23</v>
      </c>
    </row>
    <row r="1921" spans="1:11" ht="42" customHeight="1">
      <c r="A1921" s="2" t="s">
        <v>4176</v>
      </c>
      <c r="B1921" s="2" t="s">
        <v>4176</v>
      </c>
      <c r="C1921" s="2" t="s">
        <v>40</v>
      </c>
      <c r="D1921" s="2" t="s">
        <v>41</v>
      </c>
      <c r="E1921" s="5">
        <v>-28650</v>
      </c>
      <c r="F1921" s="3" t="s">
        <v>3285</v>
      </c>
      <c r="G1921" s="3" t="s">
        <v>52</v>
      </c>
      <c r="H1921" s="2" t="s">
        <v>21</v>
      </c>
      <c r="I1921" s="2" t="s">
        <v>4178</v>
      </c>
      <c r="J1921" s="3" t="str">
        <f>HYPERLINK("https://www.boe.es/gazeta/dias/1821/07/22/pdfs/GMD-1821-207.pdf#page=2","Abrir facsímil")</f>
        <v>Abrir facsímil</v>
      </c>
      <c r="K1921" s="3" t="s">
        <v>23</v>
      </c>
    </row>
    <row r="1922" spans="1:11" ht="42" customHeight="1">
      <c r="A1922" s="2" t="s">
        <v>4176</v>
      </c>
      <c r="B1922" s="2" t="s">
        <v>4176</v>
      </c>
      <c r="C1922" s="2" t="s">
        <v>26</v>
      </c>
      <c r="D1922" s="2" t="s">
        <v>27</v>
      </c>
      <c r="E1922" s="5">
        <v>-28642</v>
      </c>
      <c r="F1922" s="3" t="s">
        <v>734</v>
      </c>
      <c r="G1922" s="3" t="s">
        <v>43</v>
      </c>
      <c r="H1922" s="2" t="s">
        <v>21</v>
      </c>
      <c r="I1922" s="2" t="s">
        <v>4179</v>
      </c>
      <c r="J1922" s="3" t="str">
        <f>HYPERLINK("https://www.boe.es/gazeta/dias/1821/07/30/pdfs/GMD-1821-215.pdf#page=1","Abrir facsímil")</f>
        <v>Abrir facsímil</v>
      </c>
      <c r="K1922" s="3" t="s">
        <v>23</v>
      </c>
    </row>
    <row r="1923" spans="1:11" ht="42" customHeight="1">
      <c r="A1923" s="2" t="s">
        <v>4176</v>
      </c>
      <c r="B1923" s="2" t="s">
        <v>4176</v>
      </c>
      <c r="C1923" s="2" t="s">
        <v>26</v>
      </c>
      <c r="D1923" s="2" t="s">
        <v>27</v>
      </c>
      <c r="E1923" s="5">
        <v>-28640</v>
      </c>
      <c r="F1923" s="3" t="s">
        <v>1590</v>
      </c>
      <c r="G1923" s="3" t="s">
        <v>43</v>
      </c>
      <c r="H1923" s="2" t="s">
        <v>21</v>
      </c>
      <c r="I1923" s="2" t="s">
        <v>4180</v>
      </c>
      <c r="J1923" s="3" t="str">
        <f>HYPERLINK("https://www.boe.es/gazeta/dias/1821/08/01/pdfs/GMD-1821-217.pdf#page=1","Abrir facsímil")</f>
        <v>Abrir facsímil</v>
      </c>
      <c r="K1923" s="3" t="s">
        <v>23</v>
      </c>
    </row>
    <row r="1924" spans="1:11" ht="42" customHeight="1">
      <c r="A1924" s="2" t="s">
        <v>4176</v>
      </c>
      <c r="B1924" s="2" t="s">
        <v>4176</v>
      </c>
      <c r="C1924" s="2" t="s">
        <v>40</v>
      </c>
      <c r="D1924" s="2" t="s">
        <v>41</v>
      </c>
      <c r="E1924" s="5">
        <v>-28613</v>
      </c>
      <c r="F1924" s="3" t="s">
        <v>178</v>
      </c>
      <c r="G1924" s="3" t="s">
        <v>43</v>
      </c>
      <c r="H1924" s="2" t="s">
        <v>21</v>
      </c>
      <c r="I1924" s="2" t="s">
        <v>4181</v>
      </c>
      <c r="J1924" s="3" t="str">
        <f>HYPERLINK("https://www.boe.es/gazeta/dias/1821/08/28/pdfs/GMD-1821-245.pdf#page=1","Abrir facsímil")</f>
        <v>Abrir facsímil</v>
      </c>
      <c r="K1924" s="3" t="s">
        <v>23</v>
      </c>
    </row>
    <row r="1925" spans="1:11" ht="42" customHeight="1">
      <c r="A1925" s="2" t="s">
        <v>4182</v>
      </c>
      <c r="B1925" s="2" t="s">
        <v>4183</v>
      </c>
      <c r="C1925" s="2" t="s">
        <v>174</v>
      </c>
      <c r="D1925" s="2" t="s">
        <v>27</v>
      </c>
      <c r="E1925" s="5">
        <v>-28810</v>
      </c>
      <c r="F1925" s="3" t="s">
        <v>308</v>
      </c>
      <c r="G1925" s="3" t="s">
        <v>88</v>
      </c>
      <c r="H1925" s="2" t="s">
        <v>21</v>
      </c>
      <c r="I1925" s="2" t="s">
        <v>4184</v>
      </c>
      <c r="J1925" s="3" t="str">
        <f>HYPERLINK("https://www.boe.es/gazeta/dias/1821/02/12/pdfs/GGB-1821-43.pdf#page=4","Abrir facsímil")</f>
        <v>Abrir facsímil</v>
      </c>
      <c r="K1925" s="3" t="s">
        <v>23</v>
      </c>
    </row>
    <row r="1926" spans="1:11" ht="42" customHeight="1">
      <c r="A1926" s="2" t="s">
        <v>4185</v>
      </c>
      <c r="B1926" s="2" t="s">
        <v>4185</v>
      </c>
      <c r="C1926" s="2" t="s">
        <v>40</v>
      </c>
      <c r="D1926" s="2" t="s">
        <v>41</v>
      </c>
      <c r="E1926" s="5">
        <v>-28518</v>
      </c>
      <c r="F1926" s="3" t="s">
        <v>410</v>
      </c>
      <c r="G1926" s="3" t="s">
        <v>52</v>
      </c>
      <c r="H1926" s="2" t="s">
        <v>21</v>
      </c>
      <c r="I1926" s="2" t="s">
        <v>4186</v>
      </c>
      <c r="J1926" s="3" t="str">
        <f>HYPERLINK("https://www.boe.es/gazeta/dias/1821/12/01/pdfs/GMD-1821-343.pdf#page=2","Abrir facsímil")</f>
        <v>Abrir facsímil</v>
      </c>
      <c r="K1926" s="3" t="s">
        <v>23</v>
      </c>
    </row>
    <row r="1927" spans="1:11" ht="42" customHeight="1">
      <c r="A1927" s="2" t="s">
        <v>4187</v>
      </c>
      <c r="B1927" s="2" t="s">
        <v>4187</v>
      </c>
      <c r="C1927" s="2" t="s">
        <v>40</v>
      </c>
      <c r="D1927" s="2" t="s">
        <v>41</v>
      </c>
      <c r="E1927" s="5">
        <v>-28749</v>
      </c>
      <c r="F1927" s="3" t="s">
        <v>832</v>
      </c>
      <c r="G1927" s="3" t="s">
        <v>52</v>
      </c>
      <c r="H1927" s="2" t="s">
        <v>21</v>
      </c>
      <c r="I1927" s="2" t="s">
        <v>4188</v>
      </c>
      <c r="J1927" s="3" t="str">
        <f>HYPERLINK("https://www.boe.es/gazeta/dias/1821/04/14/pdfs/GMD-1821-106.pdf#page=2","Abrir facsímil")</f>
        <v>Abrir facsímil</v>
      </c>
      <c r="K1927" s="3" t="s">
        <v>23</v>
      </c>
    </row>
    <row r="1928" spans="1:11" ht="42" customHeight="1">
      <c r="A1928" s="2" t="s">
        <v>4187</v>
      </c>
      <c r="B1928" s="2" t="s">
        <v>4187</v>
      </c>
      <c r="C1928" s="2" t="s">
        <v>26</v>
      </c>
      <c r="D1928" s="2" t="s">
        <v>27</v>
      </c>
      <c r="E1928" s="5">
        <v>-28521</v>
      </c>
      <c r="F1928" s="3" t="s">
        <v>499</v>
      </c>
      <c r="G1928" s="3" t="s">
        <v>20</v>
      </c>
      <c r="H1928" s="2" t="s">
        <v>21</v>
      </c>
      <c r="I1928" s="2" t="s">
        <v>4189</v>
      </c>
      <c r="J1928" s="3" t="str">
        <f>HYPERLINK("https://www.boe.es/gazeta/dias/1821/11/28/pdfs/GMD-1821-340.pdf#page=3","Abrir facsímil")</f>
        <v>Abrir facsímil</v>
      </c>
      <c r="K1928" s="3" t="s">
        <v>23</v>
      </c>
    </row>
    <row r="1929" spans="1:11" ht="42" customHeight="1">
      <c r="A1929" s="2" t="s">
        <v>4190</v>
      </c>
      <c r="B1929" s="2" t="s">
        <v>4191</v>
      </c>
      <c r="C1929" s="2" t="s">
        <v>174</v>
      </c>
      <c r="D1929" s="2" t="s">
        <v>27</v>
      </c>
      <c r="E1929" s="5">
        <v>-28644</v>
      </c>
      <c r="F1929" s="3" t="s">
        <v>1340</v>
      </c>
      <c r="G1929" s="3" t="s">
        <v>20</v>
      </c>
      <c r="H1929" s="2" t="s">
        <v>21</v>
      </c>
      <c r="I1929" s="2" t="s">
        <v>4192</v>
      </c>
      <c r="J1929" s="3" t="str">
        <f>HYPERLINK("https://www.boe.es/gazeta/dias/1821/07/28/pdfs/GMD-1821-213.pdf#page=3","Abrir facsímil")</f>
        <v>Abrir facsímil</v>
      </c>
      <c r="K1929" s="3" t="s">
        <v>23</v>
      </c>
    </row>
    <row r="1930" spans="1:11" ht="42" customHeight="1">
      <c r="A1930" s="2" t="s">
        <v>4193</v>
      </c>
      <c r="B1930" s="2" t="s">
        <v>4194</v>
      </c>
      <c r="C1930" s="2" t="s">
        <v>494</v>
      </c>
      <c r="D1930" s="2" t="s">
        <v>18</v>
      </c>
      <c r="E1930" s="5">
        <v>-28641</v>
      </c>
      <c r="F1930" s="3" t="s">
        <v>398</v>
      </c>
      <c r="G1930" s="3" t="s">
        <v>20</v>
      </c>
      <c r="H1930" s="2" t="s">
        <v>21</v>
      </c>
      <c r="I1930" s="2" t="s">
        <v>4195</v>
      </c>
      <c r="J1930" s="3" t="str">
        <f>HYPERLINK("https://www.boe.es/gazeta/dias/1821/07/31/pdfs/GMD-1821-216.pdf#page=3","Abrir facsímil")</f>
        <v>Abrir facsímil</v>
      </c>
      <c r="K1930" s="3" t="s">
        <v>23</v>
      </c>
    </row>
    <row r="1931" spans="1:11" ht="42" customHeight="1">
      <c r="A1931" s="2" t="s">
        <v>4196</v>
      </c>
      <c r="B1931" s="2" t="s">
        <v>4197</v>
      </c>
      <c r="C1931" s="2" t="s">
        <v>114</v>
      </c>
      <c r="D1931" s="2" t="s">
        <v>27</v>
      </c>
      <c r="E1931" s="5">
        <v>-28805</v>
      </c>
      <c r="F1931" s="3" t="s">
        <v>382</v>
      </c>
      <c r="G1931" s="3" t="s">
        <v>88</v>
      </c>
      <c r="H1931" s="2" t="s">
        <v>21</v>
      </c>
      <c r="I1931" s="2" t="s">
        <v>4198</v>
      </c>
      <c r="J1931" s="3" t="str">
        <f>HYPERLINK("https://www.boe.es/gazeta/dias/1821/02/17/pdfs/GGB-1821-48.pdf#page=4","Abrir facsímil")</f>
        <v>Abrir facsímil</v>
      </c>
      <c r="K1931" s="3" t="s">
        <v>23</v>
      </c>
    </row>
    <row r="1932" spans="1:11" ht="42" customHeight="1">
      <c r="A1932" s="2" t="s">
        <v>4199</v>
      </c>
      <c r="B1932" s="2" t="s">
        <v>4200</v>
      </c>
      <c r="C1932" s="2" t="s">
        <v>40</v>
      </c>
      <c r="D1932" s="2" t="s">
        <v>41</v>
      </c>
      <c r="E1932" s="5">
        <v>-28730</v>
      </c>
      <c r="F1932" s="3" t="s">
        <v>747</v>
      </c>
      <c r="G1932" s="3" t="s">
        <v>88</v>
      </c>
      <c r="H1932" s="2" t="s">
        <v>21</v>
      </c>
      <c r="I1932" s="2" t="s">
        <v>4201</v>
      </c>
      <c r="J1932" s="3" t="str">
        <f>HYPERLINK("https://www.boe.es/gazeta/dias/1821/05/03/pdfs/GMD-1821-125.pdf#page=4","Abrir facsímil")</f>
        <v>Abrir facsímil</v>
      </c>
      <c r="K1932" s="3" t="s">
        <v>23</v>
      </c>
    </row>
    <row r="1933" spans="1:11" ht="42" customHeight="1">
      <c r="A1933" s="2" t="s">
        <v>4202</v>
      </c>
      <c r="B1933" s="2" t="s">
        <v>4203</v>
      </c>
      <c r="C1933" s="2" t="s">
        <v>26</v>
      </c>
      <c r="D1933" s="2" t="s">
        <v>27</v>
      </c>
      <c r="E1933" s="5">
        <v>-28502</v>
      </c>
      <c r="F1933" s="3" t="s">
        <v>570</v>
      </c>
      <c r="G1933" s="3" t="s">
        <v>20</v>
      </c>
      <c r="H1933" s="2" t="s">
        <v>21</v>
      </c>
      <c r="I1933" s="2" t="s">
        <v>4204</v>
      </c>
      <c r="J1933" s="3" t="str">
        <f>HYPERLINK("https://www.boe.es/gazeta/dias/1821/12/17/pdfs/GMD-1821-360.pdf#page=3","Abrir facsímil")</f>
        <v>Abrir facsímil</v>
      </c>
      <c r="K1933" s="3" t="s">
        <v>23</v>
      </c>
    </row>
    <row r="1934" spans="1:11" ht="42" customHeight="1">
      <c r="A1934" s="2" t="s">
        <v>4205</v>
      </c>
      <c r="B1934" s="2" t="s">
        <v>4206</v>
      </c>
      <c r="C1934" s="2" t="s">
        <v>70</v>
      </c>
      <c r="D1934" s="2" t="s">
        <v>27</v>
      </c>
      <c r="E1934" s="5">
        <v>-28510</v>
      </c>
      <c r="F1934" s="3" t="s">
        <v>83</v>
      </c>
      <c r="G1934" s="3" t="s">
        <v>88</v>
      </c>
      <c r="H1934" s="2" t="s">
        <v>21</v>
      </c>
      <c r="I1934" s="2" t="s">
        <v>4207</v>
      </c>
      <c r="J1934" s="3" t="str">
        <f>HYPERLINK("https://www.boe.es/gazeta/dias/1821/12/09/pdfs/GMD-1821-351.pdf#page=4","Abrir facsímil")</f>
        <v>Abrir facsímil</v>
      </c>
      <c r="K1934" s="3" t="s">
        <v>23</v>
      </c>
    </row>
    <row r="1935" spans="1:11" ht="42" customHeight="1">
      <c r="A1935" s="2" t="s">
        <v>4208</v>
      </c>
      <c r="B1935" s="2" t="s">
        <v>4209</v>
      </c>
      <c r="C1935" s="2" t="s">
        <v>26</v>
      </c>
      <c r="D1935" s="2" t="s">
        <v>27</v>
      </c>
      <c r="E1935" s="5">
        <v>-28510</v>
      </c>
      <c r="F1935" s="3" t="s">
        <v>83</v>
      </c>
      <c r="G1935" s="3" t="s">
        <v>20</v>
      </c>
      <c r="H1935" s="2" t="s">
        <v>21</v>
      </c>
      <c r="I1935" s="2" t="s">
        <v>4210</v>
      </c>
      <c r="J1935" s="3" t="str">
        <f>HYPERLINK("https://www.boe.es/gazeta/dias/1821/12/09/pdfs/GMD-1821-351.pdf#page=3","Abrir facsímil")</f>
        <v>Abrir facsímil</v>
      </c>
      <c r="K1935" s="3" t="s">
        <v>23</v>
      </c>
    </row>
    <row r="1936" spans="1:11" ht="42" customHeight="1">
      <c r="A1936" s="2" t="s">
        <v>4211</v>
      </c>
      <c r="B1936" s="2" t="s">
        <v>4212</v>
      </c>
      <c r="C1936" s="2" t="s">
        <v>70</v>
      </c>
      <c r="D1936" s="2" t="s">
        <v>27</v>
      </c>
      <c r="E1936" s="5">
        <v>-28501</v>
      </c>
      <c r="F1936" s="3" t="s">
        <v>456</v>
      </c>
      <c r="G1936" s="3" t="s">
        <v>88</v>
      </c>
      <c r="H1936" s="2" t="s">
        <v>21</v>
      </c>
      <c r="I1936" s="2" t="s">
        <v>4213</v>
      </c>
      <c r="J1936" s="3" t="str">
        <f>HYPERLINK("https://www.boe.es/gazeta/dias/1821/12/18/pdfs/GMD-1821-361.pdf#page=4","Abrir facsímil")</f>
        <v>Abrir facsímil</v>
      </c>
      <c r="K1936" s="3" t="s">
        <v>23</v>
      </c>
    </row>
    <row r="1937" spans="1:11" ht="42" customHeight="1">
      <c r="A1937" s="2" t="s">
        <v>4211</v>
      </c>
      <c r="B1937" s="2" t="s">
        <v>4212</v>
      </c>
      <c r="C1937" s="2" t="s">
        <v>70</v>
      </c>
      <c r="D1937" s="2" t="s">
        <v>27</v>
      </c>
      <c r="E1937" s="5">
        <v>-28500</v>
      </c>
      <c r="F1937" s="3" t="s">
        <v>298</v>
      </c>
      <c r="G1937" s="3" t="s">
        <v>20</v>
      </c>
      <c r="H1937" s="2" t="s">
        <v>21</v>
      </c>
      <c r="I1937" s="2" t="s">
        <v>4214</v>
      </c>
      <c r="J1937" s="3" t="str">
        <f>HYPERLINK("https://www.boe.es/gazeta/dias/1821/12/19/pdfs/GMD-1821-362.pdf#page=3","Abrir facsímil")</f>
        <v>Abrir facsímil</v>
      </c>
      <c r="K1937" s="3" t="s">
        <v>23</v>
      </c>
    </row>
    <row r="1938" spans="1:11" ht="42" customHeight="1">
      <c r="A1938" s="2" t="s">
        <v>4215</v>
      </c>
      <c r="B1938" s="2" t="s">
        <v>4216</v>
      </c>
      <c r="C1938" s="2" t="s">
        <v>17</v>
      </c>
      <c r="D1938" s="2" t="s">
        <v>18</v>
      </c>
      <c r="E1938" s="5">
        <v>-28531</v>
      </c>
      <c r="F1938" s="3" t="s">
        <v>365</v>
      </c>
      <c r="G1938" s="3" t="s">
        <v>20</v>
      </c>
      <c r="H1938" s="2" t="s">
        <v>21</v>
      </c>
      <c r="I1938" s="2" t="s">
        <v>4217</v>
      </c>
      <c r="J1938" s="3" t="str">
        <f>HYPERLINK("https://www.boe.es/gazeta/dias/1821/11/18/pdfs/GMD-1821-329.pdf#page=3","Abrir facsímil")</f>
        <v>Abrir facsímil</v>
      </c>
      <c r="K1938" s="3" t="s">
        <v>23</v>
      </c>
    </row>
    <row r="1939" spans="1:11" ht="42" customHeight="1">
      <c r="A1939" s="2" t="s">
        <v>4218</v>
      </c>
      <c r="B1939" s="2" t="s">
        <v>4218</v>
      </c>
      <c r="C1939" s="2" t="s">
        <v>40</v>
      </c>
      <c r="D1939" s="2" t="s">
        <v>41</v>
      </c>
      <c r="E1939" s="5">
        <v>-28560</v>
      </c>
      <c r="F1939" s="3" t="s">
        <v>363</v>
      </c>
      <c r="G1939" s="3" t="s">
        <v>43</v>
      </c>
      <c r="H1939" s="2" t="s">
        <v>21</v>
      </c>
      <c r="I1939" s="2" t="s">
        <v>4219</v>
      </c>
      <c r="J1939" s="3" t="str">
        <f>HYPERLINK("https://www.boe.es/gazeta/dias/1821/10/20/pdfs/GMD-1821-299.pdf#page=1","Abrir facsímil")</f>
        <v>Abrir facsímil</v>
      </c>
      <c r="K1939" s="3" t="s">
        <v>23</v>
      </c>
    </row>
    <row r="1940" spans="1:11" ht="42" customHeight="1">
      <c r="A1940" s="2" t="s">
        <v>4220</v>
      </c>
      <c r="B1940" s="2" t="s">
        <v>4221</v>
      </c>
      <c r="C1940" s="2" t="s">
        <v>26</v>
      </c>
      <c r="D1940" s="2" t="s">
        <v>27</v>
      </c>
      <c r="E1940" s="5">
        <v>-28560</v>
      </c>
      <c r="F1940" s="3" t="s">
        <v>363</v>
      </c>
      <c r="G1940" s="3" t="s">
        <v>162</v>
      </c>
      <c r="H1940" s="2" t="s">
        <v>21</v>
      </c>
      <c r="I1940" s="2" t="s">
        <v>4222</v>
      </c>
      <c r="J1940" s="3" t="str">
        <f>HYPERLINK("https://www.boe.es/gazeta/dias/1821/10/20/pdfs/GMD-1821-299.pdf#page=5","Abrir facsímil")</f>
        <v>Abrir facsímil</v>
      </c>
      <c r="K1940" s="3" t="s">
        <v>23</v>
      </c>
    </row>
    <row r="1941" spans="1:11" ht="42" customHeight="1">
      <c r="A1941" s="2" t="s">
        <v>4223</v>
      </c>
      <c r="B1941" s="2" t="s">
        <v>4224</v>
      </c>
      <c r="C1941" s="2" t="s">
        <v>40</v>
      </c>
      <c r="D1941" s="2" t="s">
        <v>41</v>
      </c>
      <c r="E1941" s="5">
        <v>-28715</v>
      </c>
      <c r="F1941" s="3" t="s">
        <v>1046</v>
      </c>
      <c r="G1941" s="3" t="s">
        <v>43</v>
      </c>
      <c r="H1941" s="2" t="s">
        <v>21</v>
      </c>
      <c r="I1941" s="2" t="s">
        <v>4225</v>
      </c>
      <c r="J1941" s="3" t="str">
        <f>HYPERLINK("https://www.boe.es/gazeta/dias/1821/05/18/pdfs/GMD-1821-140.pdf#page=1","Abrir facsímil")</f>
        <v>Abrir facsímil</v>
      </c>
      <c r="K1941" s="3" t="s">
        <v>23</v>
      </c>
    </row>
    <row r="1942" spans="1:11" ht="42" customHeight="1">
      <c r="A1942" s="2" t="s">
        <v>4226</v>
      </c>
      <c r="B1942" s="2" t="s">
        <v>4227</v>
      </c>
      <c r="C1942" s="2" t="s">
        <v>40</v>
      </c>
      <c r="D1942" s="2" t="s">
        <v>41</v>
      </c>
      <c r="E1942" s="5">
        <v>-28737</v>
      </c>
      <c r="F1942" s="3" t="s">
        <v>732</v>
      </c>
      <c r="G1942" s="3" t="s">
        <v>52</v>
      </c>
      <c r="H1942" s="2" t="s">
        <v>21</v>
      </c>
      <c r="I1942" s="2" t="s">
        <v>4228</v>
      </c>
      <c r="J1942" s="3" t="str">
        <f>HYPERLINK("https://www.boe.es/gazeta/dias/1821/04/26/pdfs/GMD-1821-118.pdf#page=2","Abrir facsímil")</f>
        <v>Abrir facsímil</v>
      </c>
      <c r="K1942" s="3" t="s">
        <v>23</v>
      </c>
    </row>
    <row r="1943" spans="1:11" ht="42" customHeight="1">
      <c r="A1943" s="2" t="s">
        <v>4229</v>
      </c>
      <c r="B1943" s="2" t="s">
        <v>4230</v>
      </c>
      <c r="C1943" s="2" t="s">
        <v>70</v>
      </c>
      <c r="D1943" s="2" t="s">
        <v>27</v>
      </c>
      <c r="E1943" s="5">
        <v>-28663</v>
      </c>
      <c r="F1943" s="3" t="s">
        <v>3032</v>
      </c>
      <c r="G1943" s="3" t="s">
        <v>88</v>
      </c>
      <c r="H1943" s="2" t="s">
        <v>21</v>
      </c>
      <c r="I1943" s="2" t="s">
        <v>4231</v>
      </c>
      <c r="J1943" s="3" t="str">
        <f>HYPERLINK("https://www.boe.es/gazeta/dias/1821/07/09/pdfs/GMD-1821-194.pdf#page=4","Abrir facsímil")</f>
        <v>Abrir facsímil</v>
      </c>
      <c r="K1943" s="3" t="s">
        <v>23</v>
      </c>
    </row>
    <row r="1944" spans="1:11" ht="42" customHeight="1">
      <c r="A1944" s="2" t="s">
        <v>4232</v>
      </c>
      <c r="B1944" s="2" t="s">
        <v>4232</v>
      </c>
      <c r="C1944" s="2" t="s">
        <v>26</v>
      </c>
      <c r="D1944" s="2" t="s">
        <v>27</v>
      </c>
      <c r="E1944" s="5">
        <v>-28781</v>
      </c>
      <c r="F1944" s="3" t="s">
        <v>149</v>
      </c>
      <c r="G1944" s="3" t="s">
        <v>88</v>
      </c>
      <c r="H1944" s="2" t="s">
        <v>21</v>
      </c>
      <c r="I1944" s="2" t="s">
        <v>4233</v>
      </c>
      <c r="J1944" s="3" t="str">
        <f>HYPERLINK("https://www.boe.es/gazeta/dias/1821/03/13/pdfs/GMD-1821-72.pdf#page=4","Abrir facsímil")</f>
        <v>Abrir facsímil</v>
      </c>
      <c r="K1944" s="3" t="s">
        <v>23</v>
      </c>
    </row>
    <row r="1945" spans="1:11" ht="42" customHeight="1">
      <c r="A1945" s="2" t="s">
        <v>4232</v>
      </c>
      <c r="B1945" s="2" t="s">
        <v>4232</v>
      </c>
      <c r="C1945" s="2" t="s">
        <v>35</v>
      </c>
      <c r="D1945" s="2" t="s">
        <v>27</v>
      </c>
      <c r="E1945" s="5">
        <v>-28778</v>
      </c>
      <c r="F1945" s="3" t="s">
        <v>1301</v>
      </c>
      <c r="G1945" s="3" t="s">
        <v>162</v>
      </c>
      <c r="H1945" s="2" t="s">
        <v>21</v>
      </c>
      <c r="I1945" s="2" t="s">
        <v>4234</v>
      </c>
      <c r="J1945" s="3" t="str">
        <f>HYPERLINK("https://www.boe.es/gazeta/dias/1821/03/16/pdfs/GMD-1821-75.pdf#page=5","Abrir facsímil")</f>
        <v>Abrir facsímil</v>
      </c>
      <c r="K1945" s="3" t="s">
        <v>23</v>
      </c>
    </row>
    <row r="1946" spans="1:11" ht="42" customHeight="1">
      <c r="A1946" s="2" t="s">
        <v>4232</v>
      </c>
      <c r="B1946" s="2" t="s">
        <v>4232</v>
      </c>
      <c r="C1946" s="2" t="s">
        <v>26</v>
      </c>
      <c r="D1946" s="2" t="s">
        <v>27</v>
      </c>
      <c r="E1946" s="5">
        <v>-28733</v>
      </c>
      <c r="F1946" s="3" t="s">
        <v>1033</v>
      </c>
      <c r="G1946" s="3" t="s">
        <v>20</v>
      </c>
      <c r="H1946" s="2" t="s">
        <v>21</v>
      </c>
      <c r="I1946" s="2" t="s">
        <v>4235</v>
      </c>
      <c r="J1946" s="3" t="str">
        <f>HYPERLINK("https://www.boe.es/gazeta/dias/1821/04/30/pdfs/GMD-1821-122.pdf#page=3","Abrir facsímil")</f>
        <v>Abrir facsímil</v>
      </c>
      <c r="K1946" s="3" t="s">
        <v>23</v>
      </c>
    </row>
    <row r="1947" spans="1:11" ht="42" customHeight="1">
      <c r="A1947" s="2" t="s">
        <v>4232</v>
      </c>
      <c r="B1947" s="2" t="s">
        <v>4232</v>
      </c>
      <c r="C1947" s="2" t="s">
        <v>35</v>
      </c>
      <c r="D1947" s="2" t="s">
        <v>27</v>
      </c>
      <c r="E1947" s="5">
        <v>-28717</v>
      </c>
      <c r="F1947" s="3" t="s">
        <v>1044</v>
      </c>
      <c r="G1947" s="3" t="s">
        <v>20</v>
      </c>
      <c r="H1947" s="2" t="s">
        <v>21</v>
      </c>
      <c r="I1947" s="2" t="s">
        <v>4236</v>
      </c>
      <c r="J1947" s="3" t="str">
        <f>HYPERLINK("https://www.boe.es/gazeta/dias/1821/05/16/pdfs/GMD-1821-138.pdf#page=3","Abrir facsímil")</f>
        <v>Abrir facsímil</v>
      </c>
      <c r="K1947" s="3" t="s">
        <v>23</v>
      </c>
    </row>
    <row r="1948" spans="1:11" ht="42" customHeight="1">
      <c r="A1948" s="2" t="s">
        <v>4232</v>
      </c>
      <c r="B1948" s="2" t="s">
        <v>4232</v>
      </c>
      <c r="C1948" s="2" t="s">
        <v>40</v>
      </c>
      <c r="D1948" s="2" t="s">
        <v>41</v>
      </c>
      <c r="E1948" s="5">
        <v>-28689</v>
      </c>
      <c r="F1948" s="3" t="s">
        <v>194</v>
      </c>
      <c r="G1948" s="3" t="s">
        <v>162</v>
      </c>
      <c r="H1948" s="2" t="s">
        <v>21</v>
      </c>
      <c r="I1948" s="2" t="s">
        <v>4237</v>
      </c>
      <c r="J1948" s="3" t="str">
        <f>HYPERLINK("https://www.boe.es/gazeta/dias/1821/06/13/pdfs/GMD-1821-166.pdf#page=5","Abrir facsímil")</f>
        <v>Abrir facsímil</v>
      </c>
      <c r="K1948" s="3" t="s">
        <v>23</v>
      </c>
    </row>
    <row r="1949" spans="1:11" ht="42" customHeight="1">
      <c r="A1949" s="2" t="s">
        <v>4232</v>
      </c>
      <c r="B1949" s="2" t="s">
        <v>4232</v>
      </c>
      <c r="C1949" s="2" t="s">
        <v>70</v>
      </c>
      <c r="D1949" s="2" t="s">
        <v>27</v>
      </c>
      <c r="E1949" s="5">
        <v>-28684</v>
      </c>
      <c r="F1949" s="3" t="s">
        <v>208</v>
      </c>
      <c r="G1949" s="3" t="s">
        <v>88</v>
      </c>
      <c r="H1949" s="2" t="s">
        <v>21</v>
      </c>
      <c r="I1949" s="2" t="s">
        <v>4238</v>
      </c>
      <c r="J1949" s="3" t="str">
        <f>HYPERLINK("https://www.boe.es/gazeta/dias/1821/06/18/pdfs/GMD-1821-171.pdf#page=4","Abrir facsímil")</f>
        <v>Abrir facsímil</v>
      </c>
      <c r="K1949" s="3" t="s">
        <v>23</v>
      </c>
    </row>
    <row r="1950" spans="1:11" ht="42" customHeight="1">
      <c r="A1950" s="2" t="s">
        <v>4239</v>
      </c>
      <c r="B1950" s="2" t="s">
        <v>4240</v>
      </c>
      <c r="C1950" s="2" t="s">
        <v>17</v>
      </c>
      <c r="D1950" s="2" t="s">
        <v>18</v>
      </c>
      <c r="E1950" s="5">
        <v>-28576</v>
      </c>
      <c r="F1950" s="3" t="s">
        <v>1924</v>
      </c>
      <c r="G1950" s="3" t="s">
        <v>88</v>
      </c>
      <c r="H1950" s="2" t="s">
        <v>21</v>
      </c>
      <c r="I1950" s="2" t="s">
        <v>4241</v>
      </c>
      <c r="J1950" s="3" t="str">
        <f>HYPERLINK("https://www.boe.es/gazeta/dias/1821/10/04/pdfs/GMD-1821-283.pdf#page=4","Abrir facsímil")</f>
        <v>Abrir facsímil</v>
      </c>
      <c r="K1950" s="3" t="s">
        <v>23</v>
      </c>
    </row>
    <row r="1951" spans="1:11" ht="42" customHeight="1">
      <c r="A1951" s="2" t="s">
        <v>4242</v>
      </c>
      <c r="B1951" s="2" t="s">
        <v>4243</v>
      </c>
      <c r="C1951" s="2" t="s">
        <v>17</v>
      </c>
      <c r="D1951" s="2" t="s">
        <v>18</v>
      </c>
      <c r="E1951" s="5">
        <v>-28526</v>
      </c>
      <c r="F1951" s="3" t="s">
        <v>223</v>
      </c>
      <c r="G1951" s="3" t="s">
        <v>29</v>
      </c>
      <c r="H1951" s="2" t="s">
        <v>21</v>
      </c>
      <c r="I1951" s="2" t="s">
        <v>4244</v>
      </c>
      <c r="J1951" s="3" t="str">
        <f>HYPERLINK("https://www.boe.es/gazeta/dias/1821/11/23/pdfs/GMD-1821-334.pdf#page=6","Abrir facsímil")</f>
        <v>Abrir facsímil</v>
      </c>
      <c r="K1951" s="3" t="s">
        <v>23</v>
      </c>
    </row>
    <row r="1952" spans="1:11" ht="42" customHeight="1">
      <c r="A1952" s="2" t="s">
        <v>4245</v>
      </c>
      <c r="B1952" s="2" t="s">
        <v>4246</v>
      </c>
      <c r="C1952" s="2" t="s">
        <v>40</v>
      </c>
      <c r="D1952" s="2" t="s">
        <v>41</v>
      </c>
      <c r="E1952" s="5">
        <v>-28526</v>
      </c>
      <c r="F1952" s="3" t="s">
        <v>223</v>
      </c>
      <c r="G1952" s="3" t="s">
        <v>29</v>
      </c>
      <c r="H1952" s="2" t="s">
        <v>21</v>
      </c>
      <c r="I1952" s="2" t="s">
        <v>4247</v>
      </c>
      <c r="J1952" s="3" t="str">
        <f>HYPERLINK("https://www.boe.es/gazeta/dias/1821/11/23/pdfs/GMD-1821-334.pdf#page=6","Abrir facsímil")</f>
        <v>Abrir facsímil</v>
      </c>
      <c r="K1952" s="3" t="s">
        <v>23</v>
      </c>
    </row>
    <row r="1953" spans="1:11" ht="42" customHeight="1">
      <c r="A1953" s="2" t="s">
        <v>4248</v>
      </c>
      <c r="B1953" s="2" t="s">
        <v>4248</v>
      </c>
      <c r="C1953" s="2" t="s">
        <v>40</v>
      </c>
      <c r="D1953" s="2" t="s">
        <v>41</v>
      </c>
      <c r="E1953" s="5">
        <v>-28517</v>
      </c>
      <c r="F1953" s="3" t="s">
        <v>563</v>
      </c>
      <c r="G1953" s="3" t="s">
        <v>20</v>
      </c>
      <c r="H1953" s="2" t="s">
        <v>21</v>
      </c>
      <c r="I1953" s="2" t="s">
        <v>4249</v>
      </c>
      <c r="J1953" s="3" t="str">
        <f>HYPERLINK("https://www.boe.es/gazeta/dias/1821/12/02/pdfs/GMD-1821-344.pdf#page=3","Abrir facsímil")</f>
        <v>Abrir facsímil</v>
      </c>
      <c r="K1953" s="3" t="s">
        <v>23</v>
      </c>
    </row>
    <row r="1954" spans="1:11" ht="42" customHeight="1">
      <c r="A1954" s="2" t="s">
        <v>4250</v>
      </c>
      <c r="B1954" s="2" t="s">
        <v>4251</v>
      </c>
      <c r="C1954" s="2" t="s">
        <v>40</v>
      </c>
      <c r="D1954" s="2" t="s">
        <v>41</v>
      </c>
      <c r="E1954" s="5">
        <v>-28598</v>
      </c>
      <c r="F1954" s="3" t="s">
        <v>1206</v>
      </c>
      <c r="G1954" s="3" t="s">
        <v>88</v>
      </c>
      <c r="H1954" s="2" t="s">
        <v>21</v>
      </c>
      <c r="I1954" s="2" t="s">
        <v>4252</v>
      </c>
      <c r="J1954" s="3" t="str">
        <f>HYPERLINK("https://www.boe.es/gazeta/dias/1821/09/12/pdfs/GMD-1821-260.pdf#page=4","Abrir facsímil")</f>
        <v>Abrir facsímil</v>
      </c>
      <c r="K1954" s="3" t="s">
        <v>23</v>
      </c>
    </row>
    <row r="1955" spans="1:11" ht="42" customHeight="1">
      <c r="A1955" s="2" t="s">
        <v>4253</v>
      </c>
      <c r="B1955" s="2" t="s">
        <v>4254</v>
      </c>
      <c r="C1955" s="2" t="s">
        <v>17</v>
      </c>
      <c r="D1955" s="2" t="s">
        <v>18</v>
      </c>
      <c r="E1955" s="5">
        <v>-28598</v>
      </c>
      <c r="F1955" s="3" t="s">
        <v>1206</v>
      </c>
      <c r="G1955" s="3" t="s">
        <v>88</v>
      </c>
      <c r="H1955" s="2" t="s">
        <v>21</v>
      </c>
      <c r="I1955" s="2" t="s">
        <v>4255</v>
      </c>
      <c r="J1955" s="3" t="str">
        <f>HYPERLINK("https://www.boe.es/gazeta/dias/1821/09/12/pdfs/GMD-1821-260.pdf#page=4","Abrir facsímil")</f>
        <v>Abrir facsímil</v>
      </c>
      <c r="K1955" s="3" t="s">
        <v>23</v>
      </c>
    </row>
    <row r="1956" spans="1:11" ht="42" customHeight="1">
      <c r="A1956" s="2" t="s">
        <v>4256</v>
      </c>
      <c r="B1956" s="2" t="s">
        <v>4256</v>
      </c>
      <c r="C1956" s="2" t="s">
        <v>70</v>
      </c>
      <c r="D1956" s="2" t="s">
        <v>27</v>
      </c>
      <c r="E1956" s="5">
        <v>-28628</v>
      </c>
      <c r="F1956" s="3" t="s">
        <v>4257</v>
      </c>
      <c r="G1956" s="3" t="s">
        <v>43</v>
      </c>
      <c r="H1956" s="2" t="s">
        <v>21</v>
      </c>
      <c r="I1956" s="2" t="s">
        <v>4258</v>
      </c>
      <c r="J1956" s="3" t="str">
        <f>HYPERLINK("https://www.boe.es/gazeta/dias/1821/08/13/pdfs/GMD-1821-230.pdf#page=1","Abrir facsímil")</f>
        <v>Abrir facsímil</v>
      </c>
      <c r="K1956" s="3" t="s">
        <v>23</v>
      </c>
    </row>
    <row r="1957" spans="1:11" ht="42" customHeight="1">
      <c r="A1957" s="2" t="s">
        <v>4259</v>
      </c>
      <c r="B1957" s="2" t="s">
        <v>4259</v>
      </c>
      <c r="C1957" s="2" t="s">
        <v>35</v>
      </c>
      <c r="D1957" s="2" t="s">
        <v>27</v>
      </c>
      <c r="E1957" s="5">
        <v>-28556</v>
      </c>
      <c r="F1957" s="3" t="s">
        <v>264</v>
      </c>
      <c r="G1957" s="3" t="s">
        <v>52</v>
      </c>
      <c r="H1957" s="2" t="s">
        <v>21</v>
      </c>
      <c r="I1957" s="2" t="s">
        <v>4260</v>
      </c>
      <c r="J1957" s="3" t="str">
        <f>HYPERLINK("https://www.boe.es/gazeta/dias/1821/10/24/pdfs/GMD-1821-303.pdf#page=2","Abrir facsímil")</f>
        <v>Abrir facsímil</v>
      </c>
      <c r="K1957" s="3" t="s">
        <v>23</v>
      </c>
    </row>
    <row r="1958" spans="1:11" ht="42" customHeight="1">
      <c r="A1958" s="2" t="s">
        <v>4261</v>
      </c>
      <c r="B1958" s="2" t="s">
        <v>4262</v>
      </c>
      <c r="C1958" s="2" t="s">
        <v>35</v>
      </c>
      <c r="D1958" s="2" t="s">
        <v>27</v>
      </c>
      <c r="E1958" s="5">
        <v>-28543</v>
      </c>
      <c r="F1958" s="3" t="s">
        <v>136</v>
      </c>
      <c r="G1958" s="3" t="s">
        <v>88</v>
      </c>
      <c r="H1958" s="2" t="s">
        <v>21</v>
      </c>
      <c r="I1958" s="2" t="s">
        <v>4263</v>
      </c>
      <c r="J1958" s="3" t="str">
        <f>HYPERLINK("https://www.boe.es/gazeta/dias/1821/11/06/pdfs/GMD-1821-317.pdf#page=4","Abrir facsímil")</f>
        <v>Abrir facsímil</v>
      </c>
      <c r="K1958" s="3" t="s">
        <v>23</v>
      </c>
    </row>
    <row r="1959" spans="1:11" ht="42" customHeight="1">
      <c r="A1959" s="2" t="s">
        <v>4264</v>
      </c>
      <c r="B1959" s="2" t="s">
        <v>4265</v>
      </c>
      <c r="C1959" s="2" t="s">
        <v>17</v>
      </c>
      <c r="D1959" s="2" t="s">
        <v>18</v>
      </c>
      <c r="E1959" s="5">
        <v>-28543</v>
      </c>
      <c r="F1959" s="3" t="s">
        <v>136</v>
      </c>
      <c r="G1959" s="3" t="s">
        <v>88</v>
      </c>
      <c r="H1959" s="2" t="s">
        <v>21</v>
      </c>
      <c r="I1959" s="2" t="s">
        <v>4266</v>
      </c>
      <c r="J1959" s="3" t="str">
        <f>HYPERLINK("https://www.boe.es/gazeta/dias/1821/11/06/pdfs/GMD-1821-317.pdf#page=4","Abrir facsímil")</f>
        <v>Abrir facsímil</v>
      </c>
      <c r="K1959" s="3" t="s">
        <v>23</v>
      </c>
    </row>
    <row r="1960" spans="1:11" ht="42" customHeight="1">
      <c r="A1960" s="2" t="s">
        <v>4267</v>
      </c>
      <c r="B1960" s="2" t="s">
        <v>4268</v>
      </c>
      <c r="C1960" s="2" t="s">
        <v>40</v>
      </c>
      <c r="D1960" s="2" t="s">
        <v>41</v>
      </c>
      <c r="E1960" s="5">
        <v>-28735</v>
      </c>
      <c r="F1960" s="3" t="s">
        <v>836</v>
      </c>
      <c r="G1960" s="3" t="s">
        <v>88</v>
      </c>
      <c r="H1960" s="2" t="s">
        <v>21</v>
      </c>
      <c r="I1960" s="2" t="s">
        <v>4269</v>
      </c>
      <c r="J1960" s="3" t="str">
        <f>HYPERLINK("https://www.boe.es/gazeta/dias/1821/04/28/pdfs/GMD-1821-120.pdf#page=4","Abrir facsímil")</f>
        <v>Abrir facsímil</v>
      </c>
      <c r="K1960" s="3" t="s">
        <v>23</v>
      </c>
    </row>
    <row r="1961" spans="1:11" ht="42" customHeight="1">
      <c r="A1961" s="2" t="s">
        <v>4270</v>
      </c>
      <c r="B1961" s="2" t="s">
        <v>4271</v>
      </c>
      <c r="C1961" s="2" t="s">
        <v>17</v>
      </c>
      <c r="D1961" s="2" t="s">
        <v>18</v>
      </c>
      <c r="E1961" s="5">
        <v>-28721</v>
      </c>
      <c r="F1961" s="3" t="s">
        <v>92</v>
      </c>
      <c r="G1961" s="3" t="s">
        <v>43</v>
      </c>
      <c r="H1961" s="2" t="s">
        <v>21</v>
      </c>
      <c r="I1961" s="2" t="s">
        <v>4272</v>
      </c>
      <c r="J1961" s="3" t="str">
        <f>HYPERLINK("https://www.boe.es/gazeta/dias/1821/05/12/pdfs/GMD-1821-134.pdf#page=1","Abrir facsímil")</f>
        <v>Abrir facsímil</v>
      </c>
      <c r="K1961" s="3" t="s">
        <v>23</v>
      </c>
    </row>
    <row r="1962" spans="1:11" ht="42" customHeight="1">
      <c r="A1962" s="2" t="s">
        <v>4273</v>
      </c>
      <c r="B1962" s="2" t="s">
        <v>4273</v>
      </c>
      <c r="C1962" s="2" t="s">
        <v>40</v>
      </c>
      <c r="D1962" s="2" t="s">
        <v>41</v>
      </c>
      <c r="E1962" s="5">
        <v>-28718</v>
      </c>
      <c r="F1962" s="3" t="s">
        <v>583</v>
      </c>
      <c r="G1962" s="3" t="s">
        <v>88</v>
      </c>
      <c r="H1962" s="2" t="s">
        <v>21</v>
      </c>
      <c r="I1962" s="2" t="s">
        <v>4274</v>
      </c>
      <c r="J1962" s="3" t="str">
        <f>HYPERLINK("https://www.boe.es/gazeta/dias/1821/05/15/pdfs/GMD-1821-137.pdf#page=4","Abrir facsímil")</f>
        <v>Abrir facsímil</v>
      </c>
      <c r="K1962" s="3" t="s">
        <v>23</v>
      </c>
    </row>
    <row r="1963" spans="1:11" ht="42" customHeight="1">
      <c r="A1963" s="2" t="s">
        <v>4273</v>
      </c>
      <c r="B1963" s="2" t="s">
        <v>4273</v>
      </c>
      <c r="C1963" s="2" t="s">
        <v>40</v>
      </c>
      <c r="D1963" s="2" t="s">
        <v>41</v>
      </c>
      <c r="E1963" s="5">
        <v>-28674</v>
      </c>
      <c r="F1963" s="3" t="s">
        <v>536</v>
      </c>
      <c r="G1963" s="3" t="s">
        <v>162</v>
      </c>
      <c r="H1963" s="2" t="s">
        <v>21</v>
      </c>
      <c r="I1963" s="2" t="s">
        <v>4275</v>
      </c>
      <c r="J1963" s="3" t="str">
        <f>HYPERLINK("https://www.boe.es/gazeta/dias/1821/06/28/pdfs/GMD-1821-181.pdf#page=5","Abrir facsímil")</f>
        <v>Abrir facsímil</v>
      </c>
      <c r="K1963" s="3" t="s">
        <v>23</v>
      </c>
    </row>
    <row r="1964" spans="1:11" ht="42" customHeight="1">
      <c r="A1964" s="2" t="s">
        <v>4276</v>
      </c>
      <c r="B1964" s="2" t="s">
        <v>4277</v>
      </c>
      <c r="C1964" s="2" t="s">
        <v>35</v>
      </c>
      <c r="D1964" s="2" t="s">
        <v>27</v>
      </c>
      <c r="E1964" s="5">
        <v>-28607</v>
      </c>
      <c r="F1964" s="3" t="s">
        <v>740</v>
      </c>
      <c r="G1964" s="3" t="s">
        <v>88</v>
      </c>
      <c r="H1964" s="2" t="s">
        <v>21</v>
      </c>
      <c r="I1964" s="2" t="s">
        <v>4278</v>
      </c>
      <c r="J1964" s="3" t="str">
        <f>HYPERLINK("https://www.boe.es/gazeta/dias/1821/09/03/pdfs/GMD-1821-251.pdf#page=4","Abrir facsímil")</f>
        <v>Abrir facsímil</v>
      </c>
      <c r="K1964" s="3" t="s">
        <v>23</v>
      </c>
    </row>
    <row r="1965" spans="1:11" ht="42" customHeight="1">
      <c r="A1965" s="2" t="s">
        <v>4279</v>
      </c>
      <c r="B1965" s="2" t="s">
        <v>4280</v>
      </c>
      <c r="C1965" s="2" t="s">
        <v>40</v>
      </c>
      <c r="D1965" s="2" t="s">
        <v>41</v>
      </c>
      <c r="E1965" s="5">
        <v>-28751</v>
      </c>
      <c r="F1965" s="3" t="s">
        <v>356</v>
      </c>
      <c r="G1965" s="3" t="s">
        <v>52</v>
      </c>
      <c r="H1965" s="2" t="s">
        <v>21</v>
      </c>
      <c r="I1965" s="2" t="s">
        <v>4281</v>
      </c>
      <c r="J1965" s="3" t="str">
        <f>HYPERLINK("https://www.boe.es/gazeta/dias/1821/04/12/pdfs/GMD-1821-104.pdf#page=2","Abrir facsímil")</f>
        <v>Abrir facsímil</v>
      </c>
      <c r="K1965" s="3" t="s">
        <v>23</v>
      </c>
    </row>
    <row r="1966" spans="1:11" ht="42" customHeight="1">
      <c r="A1966" s="2" t="s">
        <v>4282</v>
      </c>
      <c r="B1966" s="2" t="s">
        <v>4283</v>
      </c>
      <c r="C1966" s="2" t="s">
        <v>40</v>
      </c>
      <c r="D1966" s="2" t="s">
        <v>41</v>
      </c>
      <c r="E1966" s="5">
        <v>-28723</v>
      </c>
      <c r="F1966" s="3" t="s">
        <v>840</v>
      </c>
      <c r="G1966" s="3" t="s">
        <v>52</v>
      </c>
      <c r="H1966" s="2" t="s">
        <v>21</v>
      </c>
      <c r="I1966" s="2" t="s">
        <v>4284</v>
      </c>
      <c r="J1966" s="3" t="str">
        <f>HYPERLINK("https://www.boe.es/gazeta/dias/1821/05/10/pdfs/GMD-1821-132.pdf#page=2","Abrir facsímil")</f>
        <v>Abrir facsímil</v>
      </c>
      <c r="K1966" s="3" t="s">
        <v>23</v>
      </c>
    </row>
    <row r="1967" spans="1:11" ht="42" customHeight="1">
      <c r="A1967" s="2" t="s">
        <v>4285</v>
      </c>
      <c r="B1967" s="2" t="s">
        <v>4286</v>
      </c>
      <c r="C1967" s="2" t="s">
        <v>40</v>
      </c>
      <c r="D1967" s="2" t="s">
        <v>41</v>
      </c>
      <c r="E1967" s="5">
        <v>-28558</v>
      </c>
      <c r="F1967" s="3" t="s">
        <v>758</v>
      </c>
      <c r="G1967" s="3" t="s">
        <v>52</v>
      </c>
      <c r="H1967" s="2" t="s">
        <v>21</v>
      </c>
      <c r="I1967" s="2" t="s">
        <v>4287</v>
      </c>
      <c r="J1967" s="3" t="str">
        <f>HYPERLINK("https://www.boe.es/gazeta/dias/1821/10/22/pdfs/GMD-1821-301.pdf#page=2","Abrir facsímil")</f>
        <v>Abrir facsímil</v>
      </c>
      <c r="K1967" s="3" t="s">
        <v>23</v>
      </c>
    </row>
    <row r="1968" spans="1:11" ht="42" customHeight="1">
      <c r="A1968" s="2" t="s">
        <v>4288</v>
      </c>
      <c r="B1968" s="2" t="s">
        <v>4288</v>
      </c>
      <c r="C1968" s="2" t="s">
        <v>40</v>
      </c>
      <c r="D1968" s="2" t="s">
        <v>41</v>
      </c>
      <c r="E1968" s="5">
        <v>-28765</v>
      </c>
      <c r="F1968" s="3" t="s">
        <v>974</v>
      </c>
      <c r="G1968" s="3" t="s">
        <v>1483</v>
      </c>
      <c r="H1968" s="2" t="s">
        <v>21</v>
      </c>
      <c r="I1968" s="2" t="s">
        <v>4289</v>
      </c>
      <c r="J1968" s="3" t="str">
        <f>HYPERLINK("https://www.boe.es/gazeta/dias/1821/03/29/pdfs/GMD-1821-90.pdf#page=4","Abrir facsímil")</f>
        <v>Abrir facsímil</v>
      </c>
      <c r="K1968" s="3" t="s">
        <v>23</v>
      </c>
    </row>
    <row r="1969" spans="1:11" ht="42" customHeight="1">
      <c r="A1969" s="2" t="s">
        <v>4290</v>
      </c>
      <c r="B1969" s="2" t="s">
        <v>4290</v>
      </c>
      <c r="C1969" s="2" t="s">
        <v>70</v>
      </c>
      <c r="D1969" s="2" t="s">
        <v>27</v>
      </c>
      <c r="E1969" s="5">
        <v>-28820</v>
      </c>
      <c r="F1969" s="3" t="s">
        <v>1430</v>
      </c>
      <c r="G1969" s="3" t="s">
        <v>52</v>
      </c>
      <c r="H1969" s="2" t="s">
        <v>21</v>
      </c>
      <c r="I1969" s="2" t="s">
        <v>4291</v>
      </c>
      <c r="J1969" s="3" t="str">
        <f>HYPERLINK("https://www.boe.es/gazeta/dias/1821/02/02/pdfs/GGB-1821-33.pdf#page=2","Abrir facsímil")</f>
        <v>Abrir facsímil</v>
      </c>
      <c r="K1969" s="3" t="s">
        <v>23</v>
      </c>
    </row>
    <row r="1970" spans="1:11" ht="42" customHeight="1">
      <c r="A1970" s="2" t="s">
        <v>4292</v>
      </c>
      <c r="B1970" s="2" t="s">
        <v>4293</v>
      </c>
      <c r="C1970" s="2" t="s">
        <v>40</v>
      </c>
      <c r="D1970" s="2" t="s">
        <v>41</v>
      </c>
      <c r="E1970" s="5">
        <v>-28827</v>
      </c>
      <c r="F1970" s="3" t="s">
        <v>1382</v>
      </c>
      <c r="G1970" s="3" t="s">
        <v>20</v>
      </c>
      <c r="H1970" s="2" t="s">
        <v>21</v>
      </c>
      <c r="I1970" s="2" t="s">
        <v>4294</v>
      </c>
      <c r="J1970" s="3" t="str">
        <f>HYPERLINK("https://www.boe.es/gazeta/dias/1821/01/26/pdfs/GGB-1821-26.pdf#page=3","Abrir facsímil")</f>
        <v>Abrir facsímil</v>
      </c>
      <c r="K1970" s="3" t="s">
        <v>23</v>
      </c>
    </row>
    <row r="1971" spans="1:11" ht="42" customHeight="1">
      <c r="A1971" s="2" t="s">
        <v>4295</v>
      </c>
      <c r="B1971" s="2" t="s">
        <v>4296</v>
      </c>
      <c r="C1971" s="2" t="s">
        <v>114</v>
      </c>
      <c r="D1971" s="2" t="s">
        <v>27</v>
      </c>
      <c r="E1971" s="5">
        <v>-28641</v>
      </c>
      <c r="F1971" s="3" t="s">
        <v>398</v>
      </c>
      <c r="G1971" s="3" t="s">
        <v>88</v>
      </c>
      <c r="H1971" s="2" t="s">
        <v>30</v>
      </c>
      <c r="I1971" s="2" t="s">
        <v>4297</v>
      </c>
      <c r="J1971" s="3" t="str">
        <f>HYPERLINK("https://www.boe.es/gazeta/dias/1821/07/31/pdfs/GMD-1821-216.pdf#page=4","Abrir facsímil")</f>
        <v>Abrir facsímil</v>
      </c>
      <c r="K1971" s="3" t="s">
        <v>32</v>
      </c>
    </row>
    <row r="1972" spans="1:11" ht="42" customHeight="1">
      <c r="A1972" s="2" t="s">
        <v>4298</v>
      </c>
      <c r="B1972" s="2" t="s">
        <v>4299</v>
      </c>
      <c r="C1972" s="2" t="s">
        <v>40</v>
      </c>
      <c r="D1972" s="2" t="s">
        <v>41</v>
      </c>
      <c r="E1972" s="5">
        <v>-28743</v>
      </c>
      <c r="F1972" s="3" t="s">
        <v>51</v>
      </c>
      <c r="G1972" s="3" t="s">
        <v>88</v>
      </c>
      <c r="H1972" s="2" t="s">
        <v>21</v>
      </c>
      <c r="I1972" s="2" t="s">
        <v>4300</v>
      </c>
      <c r="J1972" s="3" t="str">
        <f>HYPERLINK("https://www.boe.es/gazeta/dias/1821/04/20/pdfs/GMD-1821-112.pdf#page=4","Abrir facsímil")</f>
        <v>Abrir facsímil</v>
      </c>
      <c r="K1972" s="3" t="s">
        <v>23</v>
      </c>
    </row>
    <row r="1973" spans="1:11" ht="42" customHeight="1">
      <c r="A1973" s="2" t="s">
        <v>4301</v>
      </c>
      <c r="B1973" s="2" t="s">
        <v>4302</v>
      </c>
      <c r="C1973" s="2" t="s">
        <v>26</v>
      </c>
      <c r="D1973" s="2" t="s">
        <v>27</v>
      </c>
      <c r="E1973" s="5">
        <v>-28538</v>
      </c>
      <c r="F1973" s="3" t="s">
        <v>395</v>
      </c>
      <c r="G1973" s="3" t="s">
        <v>29</v>
      </c>
      <c r="H1973" s="2" t="s">
        <v>21</v>
      </c>
      <c r="I1973" s="2" t="s">
        <v>4303</v>
      </c>
      <c r="J1973" s="3" t="str">
        <f>HYPERLINK("https://www.boe.es/gazeta/dias/1821/11/11/pdfs/GMD-1821-322.pdf#page=6","Abrir facsímil")</f>
        <v>Abrir facsímil</v>
      </c>
      <c r="K1973" s="3" t="s">
        <v>23</v>
      </c>
    </row>
    <row r="1974" spans="1:11" ht="42" customHeight="1">
      <c r="A1974" s="2" t="s">
        <v>4304</v>
      </c>
      <c r="B1974" s="2" t="s">
        <v>4305</v>
      </c>
      <c r="C1974" s="2" t="s">
        <v>40</v>
      </c>
      <c r="D1974" s="2" t="s">
        <v>41</v>
      </c>
      <c r="E1974" s="5">
        <v>-28830</v>
      </c>
      <c r="F1974" s="3" t="s">
        <v>3230</v>
      </c>
      <c r="G1974" s="3" t="s">
        <v>20</v>
      </c>
      <c r="H1974" s="2" t="s">
        <v>21</v>
      </c>
      <c r="I1974" s="2" t="s">
        <v>4306</v>
      </c>
      <c r="J1974" s="3" t="str">
        <f>HYPERLINK("https://www.boe.es/gazeta/dias/1821/01/23/pdfs/GGB-1821-23.pdf#page=3","Abrir facsímil")</f>
        <v>Abrir facsímil</v>
      </c>
      <c r="K1974" s="3" t="s">
        <v>23</v>
      </c>
    </row>
    <row r="1975" spans="1:11" ht="42" customHeight="1">
      <c r="A1975" s="2" t="s">
        <v>4307</v>
      </c>
      <c r="B1975" s="2" t="s">
        <v>4308</v>
      </c>
      <c r="C1975" s="2" t="s">
        <v>40</v>
      </c>
      <c r="D1975" s="2" t="s">
        <v>41</v>
      </c>
      <c r="E1975" s="5">
        <v>-28531</v>
      </c>
      <c r="F1975" s="3" t="s">
        <v>365</v>
      </c>
      <c r="G1975" s="3" t="s">
        <v>20</v>
      </c>
      <c r="H1975" s="2" t="s">
        <v>21</v>
      </c>
      <c r="I1975" s="2" t="s">
        <v>4309</v>
      </c>
      <c r="J1975" s="3" t="str">
        <f>HYPERLINK("https://www.boe.es/gazeta/dias/1821/11/18/pdfs/GMD-1821-329.pdf#page=3","Abrir facsímil")</f>
        <v>Abrir facsímil</v>
      </c>
      <c r="K1975" s="3" t="s">
        <v>23</v>
      </c>
    </row>
    <row r="1976" spans="1:11" ht="42" customHeight="1">
      <c r="A1976" s="2" t="s">
        <v>4310</v>
      </c>
      <c r="B1976" s="2" t="s">
        <v>4311</v>
      </c>
      <c r="C1976" s="2" t="s">
        <v>26</v>
      </c>
      <c r="D1976" s="2" t="s">
        <v>27</v>
      </c>
      <c r="E1976" s="5">
        <v>-28732</v>
      </c>
      <c r="F1976" s="3" t="s">
        <v>2628</v>
      </c>
      <c r="G1976" s="3" t="s">
        <v>43</v>
      </c>
      <c r="H1976" s="2" t="s">
        <v>21</v>
      </c>
      <c r="I1976" s="2" t="s">
        <v>4312</v>
      </c>
      <c r="J1976" s="3" t="str">
        <f>HYPERLINK("https://www.boe.es/gazeta/dias/1821/05/01/pdfs/GMD-1821-123.pdf#page=1","Abrir facsímil")</f>
        <v>Abrir facsímil</v>
      </c>
      <c r="K1976" s="3" t="s">
        <v>23</v>
      </c>
    </row>
    <row r="1977" spans="1:11" ht="42" customHeight="1">
      <c r="A1977" s="2" t="s">
        <v>4313</v>
      </c>
      <c r="B1977" s="2" t="s">
        <v>4314</v>
      </c>
      <c r="C1977" s="2" t="s">
        <v>40</v>
      </c>
      <c r="D1977" s="2" t="s">
        <v>41</v>
      </c>
      <c r="E1977" s="5">
        <v>-28727</v>
      </c>
      <c r="F1977" s="3" t="s">
        <v>200</v>
      </c>
      <c r="G1977" s="3" t="s">
        <v>88</v>
      </c>
      <c r="H1977" s="2" t="s">
        <v>21</v>
      </c>
      <c r="I1977" s="2" t="s">
        <v>4315</v>
      </c>
      <c r="J1977" s="3" t="str">
        <f>HYPERLINK("https://www.boe.es/gazeta/dias/1821/05/06/pdfs/GMD-1821-128.pdf#page=4","Abrir facsímil")</f>
        <v>Abrir facsímil</v>
      </c>
      <c r="K1977" s="3" t="s">
        <v>23</v>
      </c>
    </row>
    <row r="1978" spans="1:11" ht="42" customHeight="1">
      <c r="A1978" s="2" t="s">
        <v>4316</v>
      </c>
      <c r="B1978" s="2" t="s">
        <v>4317</v>
      </c>
      <c r="C1978" s="2" t="s">
        <v>40</v>
      </c>
      <c r="D1978" s="2" t="s">
        <v>41</v>
      </c>
      <c r="E1978" s="5">
        <v>-28690</v>
      </c>
      <c r="F1978" s="3" t="s">
        <v>846</v>
      </c>
      <c r="G1978" s="3" t="s">
        <v>43</v>
      </c>
      <c r="H1978" s="2" t="s">
        <v>21</v>
      </c>
      <c r="I1978" s="2" t="s">
        <v>4318</v>
      </c>
      <c r="J1978" s="3" t="str">
        <f>HYPERLINK("https://www.boe.es/gazeta/dias/1821/06/12/pdfs/GMD-1821-165.pdf#page=1","Abrir facsímil")</f>
        <v>Abrir facsímil</v>
      </c>
      <c r="K1978" s="3" t="s">
        <v>23</v>
      </c>
    </row>
    <row r="1979" spans="1:11" ht="42" customHeight="1">
      <c r="A1979" s="2" t="s">
        <v>4319</v>
      </c>
      <c r="B1979" s="2" t="s">
        <v>4319</v>
      </c>
      <c r="C1979" s="2" t="s">
        <v>17</v>
      </c>
      <c r="D1979" s="2" t="s">
        <v>18</v>
      </c>
      <c r="E1979" s="5">
        <v>-28829</v>
      </c>
      <c r="F1979" s="3" t="s">
        <v>2980</v>
      </c>
      <c r="G1979" s="3" t="s">
        <v>43</v>
      </c>
      <c r="H1979" s="2" t="s">
        <v>21</v>
      </c>
      <c r="I1979" s="2" t="s">
        <v>4320</v>
      </c>
      <c r="J1979" s="3" t="str">
        <f>HYPERLINK("https://www.boe.es/gazeta/dias/1821/01/24/pdfs/GGB-1821-24.pdf#page=1","Abrir facsímil")</f>
        <v>Abrir facsímil</v>
      </c>
      <c r="K1979" s="3" t="s">
        <v>23</v>
      </c>
    </row>
    <row r="1980" spans="1:11" ht="42" customHeight="1">
      <c r="A1980" s="2" t="s">
        <v>4321</v>
      </c>
      <c r="B1980" s="2" t="s">
        <v>4322</v>
      </c>
      <c r="C1980" s="2" t="s">
        <v>174</v>
      </c>
      <c r="D1980" s="2" t="s">
        <v>27</v>
      </c>
      <c r="E1980" s="5">
        <v>-28590</v>
      </c>
      <c r="F1980" s="3" t="s">
        <v>2787</v>
      </c>
      <c r="G1980" s="3" t="s">
        <v>20</v>
      </c>
      <c r="H1980" s="2" t="s">
        <v>21</v>
      </c>
      <c r="I1980" s="2" t="s">
        <v>4323</v>
      </c>
      <c r="J1980" s="3" t="str">
        <f>HYPERLINK("https://www.boe.es/gazeta/dias/1821/09/20/pdfs/GMD-1821-268.pdf#page=3","Abrir facsímil")</f>
        <v>Abrir facsímil</v>
      </c>
      <c r="K1980" s="3" t="s">
        <v>23</v>
      </c>
    </row>
    <row r="1981" spans="1:11" ht="42" customHeight="1">
      <c r="A1981" s="2" t="s">
        <v>4324</v>
      </c>
      <c r="B1981" s="2" t="s">
        <v>4324</v>
      </c>
      <c r="C1981" s="2" t="s">
        <v>40</v>
      </c>
      <c r="D1981" s="2" t="s">
        <v>41</v>
      </c>
      <c r="E1981" s="5">
        <v>-28765</v>
      </c>
      <c r="F1981" s="3" t="s">
        <v>974</v>
      </c>
      <c r="G1981" s="3" t="s">
        <v>1483</v>
      </c>
      <c r="H1981" s="2" t="s">
        <v>21</v>
      </c>
      <c r="I1981" s="2" t="s">
        <v>4325</v>
      </c>
      <c r="J1981" s="3" t="str">
        <f>HYPERLINK("https://www.boe.es/gazeta/dias/1821/03/29/pdfs/GMD-1821-90.pdf#page=4","Abrir facsímil")</f>
        <v>Abrir facsímil</v>
      </c>
      <c r="K1981" s="3" t="s">
        <v>23</v>
      </c>
    </row>
    <row r="1982" spans="1:11" ht="42" customHeight="1">
      <c r="A1982" s="2" t="s">
        <v>4326</v>
      </c>
      <c r="B1982" s="2" t="s">
        <v>4327</v>
      </c>
      <c r="C1982" s="2" t="s">
        <v>26</v>
      </c>
      <c r="D1982" s="2" t="s">
        <v>27</v>
      </c>
      <c r="E1982" s="5">
        <v>-28674</v>
      </c>
      <c r="F1982" s="3" t="s">
        <v>536</v>
      </c>
      <c r="G1982" s="3" t="s">
        <v>537</v>
      </c>
      <c r="H1982" s="2" t="s">
        <v>21</v>
      </c>
      <c r="I1982" s="2" t="s">
        <v>4328</v>
      </c>
      <c r="J1982" s="3" t="str">
        <f>HYPERLINK("https://www.boe.es/gazeta/dias/1821/06/28/pdfs/GMD-1821-181.pdf#page=2","Abrir facsímil")</f>
        <v>Abrir facsímil</v>
      </c>
      <c r="K1982" s="3" t="s">
        <v>23</v>
      </c>
    </row>
    <row r="1983" spans="1:11" ht="42" customHeight="1">
      <c r="A1983" s="2" t="s">
        <v>4329</v>
      </c>
      <c r="B1983" s="2" t="s">
        <v>4330</v>
      </c>
      <c r="C1983" s="2" t="s">
        <v>17</v>
      </c>
      <c r="D1983" s="2" t="s">
        <v>18</v>
      </c>
      <c r="E1983" s="5">
        <v>-28814</v>
      </c>
      <c r="F1983" s="3" t="s">
        <v>2090</v>
      </c>
      <c r="G1983" s="3" t="s">
        <v>3053</v>
      </c>
      <c r="H1983" s="2" t="s">
        <v>21</v>
      </c>
      <c r="I1983" s="2" t="s">
        <v>4331</v>
      </c>
      <c r="J1983" s="3" t="str">
        <f>HYPERLINK("https://www.boe.es/gazeta/dias/1821/02/08/pdfs/GGB-1821-39.pdf#page=3","Abrir facsímil")</f>
        <v>Abrir facsímil</v>
      </c>
      <c r="K1983" s="3" t="s">
        <v>23</v>
      </c>
    </row>
    <row r="1984" spans="1:11" ht="42" customHeight="1">
      <c r="A1984" s="2" t="s">
        <v>4332</v>
      </c>
      <c r="B1984" s="2" t="s">
        <v>4333</v>
      </c>
      <c r="C1984" s="2" t="s">
        <v>17</v>
      </c>
      <c r="D1984" s="2" t="s">
        <v>18</v>
      </c>
      <c r="E1984" s="5">
        <v>-28812</v>
      </c>
      <c r="F1984" s="3" t="s">
        <v>2610</v>
      </c>
      <c r="G1984" s="3" t="s">
        <v>52</v>
      </c>
      <c r="H1984" s="2" t="s">
        <v>21</v>
      </c>
      <c r="I1984" s="2" t="s">
        <v>4334</v>
      </c>
      <c r="J1984" s="3" t="str">
        <f>HYPERLINK("https://www.boe.es/gazeta/dias/1821/02/10/pdfs/GGB-1821-41.pdf#page=2","Abrir facsímil")</f>
        <v>Abrir facsímil</v>
      </c>
      <c r="K1984" s="3" t="s">
        <v>23</v>
      </c>
    </row>
    <row r="1985" spans="1:11" ht="42" customHeight="1">
      <c r="A1985" s="2" t="s">
        <v>4332</v>
      </c>
      <c r="B1985" s="2" t="s">
        <v>4333</v>
      </c>
      <c r="C1985" s="2" t="s">
        <v>17</v>
      </c>
      <c r="D1985" s="2" t="s">
        <v>18</v>
      </c>
      <c r="E1985" s="5">
        <v>-28806</v>
      </c>
      <c r="F1985" s="3" t="s">
        <v>1201</v>
      </c>
      <c r="G1985" s="3" t="s">
        <v>52</v>
      </c>
      <c r="H1985" s="2" t="s">
        <v>21</v>
      </c>
      <c r="I1985" s="2" t="s">
        <v>4335</v>
      </c>
      <c r="J1985" s="3" t="str">
        <f>HYPERLINK("https://www.boe.es/gazeta/dias/1821/02/16/pdfs/GGB-1821-47.pdf#page=2","Abrir facsímil")</f>
        <v>Abrir facsímil</v>
      </c>
      <c r="K1985" s="3" t="s">
        <v>23</v>
      </c>
    </row>
    <row r="1986" spans="1:11" ht="42" customHeight="1">
      <c r="A1986" s="2" t="s">
        <v>4332</v>
      </c>
      <c r="B1986" s="2" t="s">
        <v>4333</v>
      </c>
      <c r="C1986" s="2" t="s">
        <v>26</v>
      </c>
      <c r="D1986" s="2" t="s">
        <v>27</v>
      </c>
      <c r="E1986" s="5">
        <v>-28799</v>
      </c>
      <c r="F1986" s="3" t="s">
        <v>3158</v>
      </c>
      <c r="G1986" s="3" t="s">
        <v>20</v>
      </c>
      <c r="H1986" s="2" t="s">
        <v>21</v>
      </c>
      <c r="I1986" s="2" t="s">
        <v>4336</v>
      </c>
      <c r="J1986" s="3" t="str">
        <f>HYPERLINK("https://www.boe.es/gazeta/dias/1821/02/23/pdfs/GGB-1821-54.pdf#page=3","Abrir facsímil")</f>
        <v>Abrir facsímil</v>
      </c>
      <c r="K1986" s="3" t="s">
        <v>23</v>
      </c>
    </row>
    <row r="1987" spans="1:11" ht="42" customHeight="1">
      <c r="A1987" s="2" t="s">
        <v>4332</v>
      </c>
      <c r="B1987" s="2" t="s">
        <v>4333</v>
      </c>
      <c r="C1987" s="2" t="s">
        <v>40</v>
      </c>
      <c r="D1987" s="2" t="s">
        <v>41</v>
      </c>
      <c r="E1987" s="5">
        <v>-28662</v>
      </c>
      <c r="F1987" s="3" t="s">
        <v>3289</v>
      </c>
      <c r="G1987" s="3" t="s">
        <v>52</v>
      </c>
      <c r="H1987" s="2" t="s">
        <v>21</v>
      </c>
      <c r="I1987" s="2" t="s">
        <v>4337</v>
      </c>
      <c r="J1987" s="3" t="str">
        <f>HYPERLINK("https://www.boe.es/gazeta/dias/1821/07/10/pdfs/GMD-1821-195.pdf#page=2","Abrir facsímil")</f>
        <v>Abrir facsímil</v>
      </c>
      <c r="K1987" s="3" t="s">
        <v>23</v>
      </c>
    </row>
    <row r="1988" spans="1:11" ht="42" customHeight="1">
      <c r="A1988" s="2" t="s">
        <v>4332</v>
      </c>
      <c r="B1988" s="2" t="s">
        <v>4333</v>
      </c>
      <c r="C1988" s="2" t="s">
        <v>35</v>
      </c>
      <c r="D1988" s="2" t="s">
        <v>27</v>
      </c>
      <c r="E1988" s="5">
        <v>-28652</v>
      </c>
      <c r="F1988" s="3" t="s">
        <v>1314</v>
      </c>
      <c r="G1988" s="3" t="s">
        <v>52</v>
      </c>
      <c r="H1988" s="2" t="s">
        <v>21</v>
      </c>
      <c r="I1988" s="2" t="s">
        <v>4338</v>
      </c>
      <c r="J1988" s="3" t="str">
        <f>HYPERLINK("https://www.boe.es/gazeta/dias/1821/07/20/pdfs/GMD-1821-205.pdf#page=2","Abrir facsímil")</f>
        <v>Abrir facsímil</v>
      </c>
      <c r="K1988" s="3" t="s">
        <v>23</v>
      </c>
    </row>
    <row r="1989" spans="1:11" ht="42" customHeight="1">
      <c r="A1989" s="2" t="s">
        <v>4332</v>
      </c>
      <c r="B1989" s="2" t="s">
        <v>4333</v>
      </c>
      <c r="C1989" s="2" t="s">
        <v>35</v>
      </c>
      <c r="D1989" s="2" t="s">
        <v>27</v>
      </c>
      <c r="E1989" s="5">
        <v>-28647</v>
      </c>
      <c r="F1989" s="3" t="s">
        <v>1295</v>
      </c>
      <c r="G1989" s="3" t="s">
        <v>4339</v>
      </c>
      <c r="H1989" s="2" t="s">
        <v>21</v>
      </c>
      <c r="I1989" s="2" t="s">
        <v>4340</v>
      </c>
      <c r="J1989" s="3" t="str">
        <f>HYPERLINK("https://www.boe.es/gazeta/dias/1821/07/25/pdfs/GMD-1821-210.pdf#page=2","Abrir facsímil")</f>
        <v>Abrir facsímil</v>
      </c>
      <c r="K1989" s="3" t="s">
        <v>23</v>
      </c>
    </row>
    <row r="1990" spans="1:11" ht="42" customHeight="1">
      <c r="A1990" s="2" t="s">
        <v>4341</v>
      </c>
      <c r="B1990" s="2" t="s">
        <v>4342</v>
      </c>
      <c r="C1990" s="2" t="s">
        <v>26</v>
      </c>
      <c r="D1990" s="2" t="s">
        <v>27</v>
      </c>
      <c r="E1990" s="5">
        <v>-28809</v>
      </c>
      <c r="F1990" s="3" t="s">
        <v>1173</v>
      </c>
      <c r="G1990" s="3" t="s">
        <v>52</v>
      </c>
      <c r="H1990" s="2" t="s">
        <v>21</v>
      </c>
      <c r="I1990" s="2" t="s">
        <v>4343</v>
      </c>
      <c r="J1990" s="3" t="str">
        <f>HYPERLINK("https://www.boe.es/gazeta/dias/1821/02/13/pdfs/GGB-1821-44.pdf#page=2","Abrir facsímil")</f>
        <v>Abrir facsímil</v>
      </c>
      <c r="K1990" s="3" t="s">
        <v>23</v>
      </c>
    </row>
    <row r="1991" spans="1:11" ht="42" customHeight="1">
      <c r="A1991" s="2" t="s">
        <v>4344</v>
      </c>
      <c r="B1991" s="2" t="s">
        <v>4345</v>
      </c>
      <c r="C1991" s="2" t="s">
        <v>35</v>
      </c>
      <c r="D1991" s="2" t="s">
        <v>27</v>
      </c>
      <c r="E1991" s="5">
        <v>-28549</v>
      </c>
      <c r="F1991" s="3" t="s">
        <v>930</v>
      </c>
      <c r="G1991" s="3" t="s">
        <v>29</v>
      </c>
      <c r="H1991" s="2" t="s">
        <v>21</v>
      </c>
      <c r="I1991" s="2" t="s">
        <v>4346</v>
      </c>
      <c r="J1991" s="3" t="str">
        <f>HYPERLINK("https://www.boe.es/gazeta/dias/1821/10/31/pdfs/GMD-1821-310.pdf#page=6","Abrir facsímil")</f>
        <v>Abrir facsímil</v>
      </c>
      <c r="K1991" s="3" t="s">
        <v>23</v>
      </c>
    </row>
    <row r="1992" spans="1:11" ht="42" customHeight="1">
      <c r="A1992" s="2" t="s">
        <v>4347</v>
      </c>
      <c r="B1992" s="2" t="s">
        <v>4347</v>
      </c>
      <c r="C1992" s="2" t="s">
        <v>40</v>
      </c>
      <c r="D1992" s="2" t="s">
        <v>41</v>
      </c>
      <c r="E1992" s="5">
        <v>-28836</v>
      </c>
      <c r="F1992" s="3" t="s">
        <v>601</v>
      </c>
      <c r="G1992" s="3" t="s">
        <v>52</v>
      </c>
      <c r="H1992" s="2" t="s">
        <v>21</v>
      </c>
      <c r="I1992" s="2" t="s">
        <v>4348</v>
      </c>
      <c r="J1992" s="3" t="str">
        <f>HYPERLINK("https://www.boe.es/gazeta/dias/1821/01/17/pdfs/GGB-1821-17.pdf#page=2","Abrir facsímil")</f>
        <v>Abrir facsímil</v>
      </c>
      <c r="K1992" s="3" t="s">
        <v>23</v>
      </c>
    </row>
    <row r="1993" spans="1:11" ht="42" customHeight="1">
      <c r="A1993" s="2" t="s">
        <v>4347</v>
      </c>
      <c r="B1993" s="2" t="s">
        <v>4347</v>
      </c>
      <c r="C1993" s="2" t="s">
        <v>40</v>
      </c>
      <c r="D1993" s="2" t="s">
        <v>41</v>
      </c>
      <c r="E1993" s="5">
        <v>-28784</v>
      </c>
      <c r="F1993" s="3" t="s">
        <v>451</v>
      </c>
      <c r="G1993" s="3" t="s">
        <v>52</v>
      </c>
      <c r="H1993" s="2" t="s">
        <v>21</v>
      </c>
      <c r="I1993" s="2" t="s">
        <v>4349</v>
      </c>
      <c r="J1993" s="3" t="str">
        <f>HYPERLINK("https://www.boe.es/gazeta/dias/1821/03/10/pdfs/GGB-1821-69.pdf#page=2","Abrir facsímil")</f>
        <v>Abrir facsímil</v>
      </c>
      <c r="K1993" s="3" t="s">
        <v>23</v>
      </c>
    </row>
    <row r="1994" spans="1:11" ht="42" customHeight="1">
      <c r="A1994" s="2" t="s">
        <v>4347</v>
      </c>
      <c r="B1994" s="2" t="s">
        <v>4347</v>
      </c>
      <c r="C1994" s="2" t="s">
        <v>40</v>
      </c>
      <c r="D1994" s="2" t="s">
        <v>41</v>
      </c>
      <c r="E1994" s="5">
        <v>-28780</v>
      </c>
      <c r="F1994" s="3" t="s">
        <v>143</v>
      </c>
      <c r="G1994" s="3" t="s">
        <v>88</v>
      </c>
      <c r="H1994" s="2" t="s">
        <v>21</v>
      </c>
      <c r="I1994" s="2" t="s">
        <v>4350</v>
      </c>
      <c r="J1994" s="3" t="str">
        <f>HYPERLINK("https://www.boe.es/gazeta/dias/1821/03/14/pdfs/GMD-1821-73.pdf#page=4","Abrir facsímil")</f>
        <v>Abrir facsímil</v>
      </c>
      <c r="K1994" s="3" t="s">
        <v>23</v>
      </c>
    </row>
    <row r="1995" spans="1:11" ht="42" customHeight="1">
      <c r="A1995" s="2" t="s">
        <v>4347</v>
      </c>
      <c r="B1995" s="2" t="s">
        <v>4347</v>
      </c>
      <c r="C1995" s="2" t="s">
        <v>40</v>
      </c>
      <c r="D1995" s="2" t="s">
        <v>41</v>
      </c>
      <c r="E1995" s="5">
        <v>-28779</v>
      </c>
      <c r="F1995" s="3" t="s">
        <v>1002</v>
      </c>
      <c r="G1995" s="3" t="s">
        <v>52</v>
      </c>
      <c r="H1995" s="2" t="s">
        <v>21</v>
      </c>
      <c r="I1995" s="2" t="s">
        <v>4351</v>
      </c>
      <c r="J1995" s="3" t="str">
        <f>HYPERLINK("https://www.boe.es/gazeta/dias/1821/03/15/pdfs/GMD-1821-74.pdf#page=2","Abrir facsímil")</f>
        <v>Abrir facsímil</v>
      </c>
      <c r="K1995" s="3" t="s">
        <v>23</v>
      </c>
    </row>
    <row r="1996" spans="1:11" ht="42" customHeight="1">
      <c r="A1996" s="2" t="s">
        <v>4347</v>
      </c>
      <c r="B1996" s="2" t="s">
        <v>4347</v>
      </c>
      <c r="C1996" s="2" t="s">
        <v>35</v>
      </c>
      <c r="D1996" s="2" t="s">
        <v>27</v>
      </c>
      <c r="E1996" s="5">
        <v>-28773</v>
      </c>
      <c r="F1996" s="3" t="s">
        <v>1755</v>
      </c>
      <c r="G1996" s="3" t="s">
        <v>20</v>
      </c>
      <c r="H1996" s="2" t="s">
        <v>21</v>
      </c>
      <c r="I1996" s="2" t="s">
        <v>4352</v>
      </c>
      <c r="J1996" s="3" t="str">
        <f>HYPERLINK("https://www.boe.es/gazeta/dias/1821/03/21/pdfs/GMD-1821-80.pdf#page=3","Abrir facsímil")</f>
        <v>Abrir facsímil</v>
      </c>
      <c r="K1996" s="3" t="s">
        <v>23</v>
      </c>
    </row>
    <row r="1997" spans="1:11" ht="42" customHeight="1">
      <c r="A1997" s="2" t="s">
        <v>4353</v>
      </c>
      <c r="B1997" s="2" t="s">
        <v>4353</v>
      </c>
      <c r="C1997" s="2" t="s">
        <v>17</v>
      </c>
      <c r="D1997" s="2" t="s">
        <v>18</v>
      </c>
      <c r="E1997" s="5">
        <v>-28759</v>
      </c>
      <c r="F1997" s="3" t="s">
        <v>71</v>
      </c>
      <c r="G1997" s="3" t="s">
        <v>52</v>
      </c>
      <c r="H1997" s="2" t="s">
        <v>21</v>
      </c>
      <c r="I1997" s="2" t="s">
        <v>4354</v>
      </c>
      <c r="J1997" s="3" t="str">
        <f>HYPERLINK("https://www.boe.es/gazeta/dias/1821/04/04/pdfs/GMD-1821-96.pdf#page=2","Abrir facsímil")</f>
        <v>Abrir facsímil</v>
      </c>
      <c r="K1997" s="3" t="s">
        <v>23</v>
      </c>
    </row>
    <row r="1998" spans="1:11" ht="42" customHeight="1">
      <c r="A1998" s="2" t="s">
        <v>4347</v>
      </c>
      <c r="B1998" s="2" t="s">
        <v>4347</v>
      </c>
      <c r="C1998" s="2" t="s">
        <v>40</v>
      </c>
      <c r="D1998" s="2" t="s">
        <v>41</v>
      </c>
      <c r="E1998" s="5">
        <v>-28749</v>
      </c>
      <c r="F1998" s="3" t="s">
        <v>832</v>
      </c>
      <c r="G1998" s="3" t="s">
        <v>52</v>
      </c>
      <c r="H1998" s="2" t="s">
        <v>21</v>
      </c>
      <c r="I1998" s="2" t="s">
        <v>4355</v>
      </c>
      <c r="J1998" s="3" t="str">
        <f>HYPERLINK("https://www.boe.es/gazeta/dias/1821/04/14/pdfs/GMD-1821-106.pdf#page=2","Abrir facsímil")</f>
        <v>Abrir facsímil</v>
      </c>
      <c r="K1998" s="3" t="s">
        <v>23</v>
      </c>
    </row>
    <row r="1999" spans="1:11" ht="42" customHeight="1">
      <c r="A1999" s="2" t="s">
        <v>4347</v>
      </c>
      <c r="B1999" s="2" t="s">
        <v>4347</v>
      </c>
      <c r="C1999" s="2" t="s">
        <v>17</v>
      </c>
      <c r="D1999" s="2" t="s">
        <v>18</v>
      </c>
      <c r="E1999" s="5">
        <v>-28749</v>
      </c>
      <c r="F1999" s="3" t="s">
        <v>832</v>
      </c>
      <c r="G1999" s="3" t="s">
        <v>20</v>
      </c>
      <c r="H1999" s="2" t="s">
        <v>21</v>
      </c>
      <c r="I1999" s="2" t="s">
        <v>4356</v>
      </c>
      <c r="J1999" s="3" t="str">
        <f>HYPERLINK("https://www.boe.es/gazeta/dias/1821/04/14/pdfs/GMD-1821-106.pdf#page=3","Abrir facsímil")</f>
        <v>Abrir facsímil</v>
      </c>
      <c r="K1999" s="3" t="s">
        <v>23</v>
      </c>
    </row>
    <row r="2000" spans="1:11" ht="42" customHeight="1">
      <c r="A2000" s="2" t="s">
        <v>4353</v>
      </c>
      <c r="B2000" s="2" t="s">
        <v>4353</v>
      </c>
      <c r="C2000" s="2" t="s">
        <v>40</v>
      </c>
      <c r="D2000" s="2" t="s">
        <v>41</v>
      </c>
      <c r="E2000" s="5">
        <v>-28721</v>
      </c>
      <c r="F2000" s="3" t="s">
        <v>92</v>
      </c>
      <c r="G2000" s="3" t="s">
        <v>88</v>
      </c>
      <c r="H2000" s="2" t="s">
        <v>21</v>
      </c>
      <c r="I2000" s="2" t="s">
        <v>4357</v>
      </c>
      <c r="J2000" s="3" t="str">
        <f>HYPERLINK("https://www.boe.es/gazeta/dias/1821/05/12/pdfs/GMD-1821-134.pdf#page=4","Abrir facsímil")</f>
        <v>Abrir facsímil</v>
      </c>
      <c r="K2000" s="3" t="s">
        <v>23</v>
      </c>
    </row>
    <row r="2001" spans="1:11" ht="42" customHeight="1">
      <c r="A2001" s="2" t="s">
        <v>4347</v>
      </c>
      <c r="B2001" s="2" t="s">
        <v>4347</v>
      </c>
      <c r="C2001" s="2" t="s">
        <v>40</v>
      </c>
      <c r="D2001" s="2" t="s">
        <v>41</v>
      </c>
      <c r="E2001" s="5">
        <v>-28719</v>
      </c>
      <c r="F2001" s="3" t="s">
        <v>647</v>
      </c>
      <c r="G2001" s="3" t="s">
        <v>88</v>
      </c>
      <c r="H2001" s="2" t="s">
        <v>21</v>
      </c>
      <c r="I2001" s="2" t="s">
        <v>4358</v>
      </c>
      <c r="J2001" s="3" t="str">
        <f>HYPERLINK("https://www.boe.es/gazeta/dias/1821/05/14/pdfs/GMD-1821-136.pdf#page=4","Abrir facsímil")</f>
        <v>Abrir facsímil</v>
      </c>
      <c r="K2001" s="3" t="s">
        <v>23</v>
      </c>
    </row>
    <row r="2002" spans="1:11" ht="42" customHeight="1">
      <c r="A2002" s="2" t="s">
        <v>4347</v>
      </c>
      <c r="B2002" s="2" t="s">
        <v>4347</v>
      </c>
      <c r="C2002" s="2" t="s">
        <v>70</v>
      </c>
      <c r="D2002" s="2" t="s">
        <v>27</v>
      </c>
      <c r="E2002" s="5">
        <v>-28714</v>
      </c>
      <c r="F2002" s="3" t="s">
        <v>522</v>
      </c>
      <c r="G2002" s="3" t="s">
        <v>52</v>
      </c>
      <c r="H2002" s="2" t="s">
        <v>21</v>
      </c>
      <c r="I2002" s="2" t="s">
        <v>4359</v>
      </c>
      <c r="J2002" s="3" t="str">
        <f>HYPERLINK("https://www.boe.es/gazeta/dias/1821/05/19/pdfs/GMD-1821-141.pdf#page=2","Abrir facsímil")</f>
        <v>Abrir facsímil</v>
      </c>
      <c r="K2002" s="3" t="s">
        <v>23</v>
      </c>
    </row>
    <row r="2003" spans="1:11" ht="42" customHeight="1">
      <c r="A2003" s="2" t="s">
        <v>4347</v>
      </c>
      <c r="B2003" s="2" t="s">
        <v>4347</v>
      </c>
      <c r="C2003" s="2" t="s">
        <v>40</v>
      </c>
      <c r="D2003" s="2" t="s">
        <v>41</v>
      </c>
      <c r="E2003" s="5">
        <v>-28698</v>
      </c>
      <c r="F2003" s="3" t="s">
        <v>2067</v>
      </c>
      <c r="G2003" s="3" t="s">
        <v>3804</v>
      </c>
      <c r="H2003" s="2" t="s">
        <v>21</v>
      </c>
      <c r="I2003" s="2" t="s">
        <v>4360</v>
      </c>
      <c r="J2003" s="3" t="str">
        <f>HYPERLINK("https://www.boe.es/gazeta/dias/1821/06/04/pdfs/GMD-1821-157.pdf#page=2","Abrir facsímil")</f>
        <v>Abrir facsímil</v>
      </c>
      <c r="K2003" s="3" t="s">
        <v>23</v>
      </c>
    </row>
    <row r="2004" spans="1:11" ht="42" customHeight="1">
      <c r="A2004" s="2" t="s">
        <v>4347</v>
      </c>
      <c r="B2004" s="2" t="s">
        <v>4347</v>
      </c>
      <c r="C2004" s="2" t="s">
        <v>26</v>
      </c>
      <c r="D2004" s="2" t="s">
        <v>27</v>
      </c>
      <c r="E2004" s="5">
        <v>-28698</v>
      </c>
      <c r="F2004" s="3" t="s">
        <v>2067</v>
      </c>
      <c r="G2004" s="3" t="s">
        <v>88</v>
      </c>
      <c r="H2004" s="2" t="s">
        <v>21</v>
      </c>
      <c r="I2004" s="2" t="s">
        <v>4361</v>
      </c>
      <c r="J2004" s="3" t="str">
        <f>HYPERLINK("https://www.boe.es/gazeta/dias/1821/06/04/pdfs/GMD-1821-157.pdf#page=4","Abrir facsímil")</f>
        <v>Abrir facsímil</v>
      </c>
      <c r="K2004" s="3" t="s">
        <v>23</v>
      </c>
    </row>
    <row r="2005" spans="1:11" ht="42" customHeight="1">
      <c r="A2005" s="2" t="s">
        <v>4347</v>
      </c>
      <c r="B2005" s="2" t="s">
        <v>4347</v>
      </c>
      <c r="C2005" s="2" t="s">
        <v>17</v>
      </c>
      <c r="D2005" s="2" t="s">
        <v>18</v>
      </c>
      <c r="E2005" s="5">
        <v>-28684</v>
      </c>
      <c r="F2005" s="3" t="s">
        <v>208</v>
      </c>
      <c r="G2005" s="3" t="s">
        <v>88</v>
      </c>
      <c r="H2005" s="2" t="s">
        <v>21</v>
      </c>
      <c r="I2005" s="2" t="s">
        <v>4362</v>
      </c>
      <c r="J2005" s="3" t="str">
        <f>HYPERLINK("https://www.boe.es/gazeta/dias/1821/06/18/pdfs/GMD-1821-171.pdf#page=4","Abrir facsímil")</f>
        <v>Abrir facsímil</v>
      </c>
      <c r="K2005" s="3" t="s">
        <v>23</v>
      </c>
    </row>
    <row r="2006" spans="1:11" ht="42" customHeight="1">
      <c r="A2006" s="2" t="s">
        <v>4347</v>
      </c>
      <c r="B2006" s="2" t="s">
        <v>4347</v>
      </c>
      <c r="C2006" s="2" t="s">
        <v>26</v>
      </c>
      <c r="D2006" s="2" t="s">
        <v>27</v>
      </c>
      <c r="E2006" s="5">
        <v>-28683</v>
      </c>
      <c r="F2006" s="3" t="s">
        <v>332</v>
      </c>
      <c r="G2006" s="3" t="s">
        <v>333</v>
      </c>
      <c r="H2006" s="2" t="s">
        <v>21</v>
      </c>
      <c r="I2006" s="2" t="s">
        <v>4363</v>
      </c>
      <c r="J2006" s="3" t="str">
        <f>HYPERLINK("https://www.boe.es/gazeta/dias/1821/06/19/pdfs/GMD-1821-172.pdf#page=8","Abrir facsímil")</f>
        <v>Abrir facsímil</v>
      </c>
      <c r="K2006" s="3" t="s">
        <v>23</v>
      </c>
    </row>
    <row r="2007" spans="1:11" ht="42" customHeight="1">
      <c r="A2007" s="2" t="s">
        <v>4353</v>
      </c>
      <c r="B2007" s="2" t="s">
        <v>4353</v>
      </c>
      <c r="C2007" s="2" t="s">
        <v>40</v>
      </c>
      <c r="D2007" s="2" t="s">
        <v>41</v>
      </c>
      <c r="E2007" s="5">
        <v>-28665</v>
      </c>
      <c r="F2007" s="3" t="s">
        <v>789</v>
      </c>
      <c r="G2007" s="3" t="s">
        <v>790</v>
      </c>
      <c r="H2007" s="2" t="s">
        <v>21</v>
      </c>
      <c r="I2007" s="2" t="s">
        <v>4364</v>
      </c>
      <c r="J2007" s="3" t="str">
        <f>HYPERLINK("https://www.boe.es/gazeta/dias/1821/07/07/pdfs/GMD-1821-191.pdf#page=4","Abrir facsímil")</f>
        <v>Abrir facsímil</v>
      </c>
      <c r="K2007" s="3" t="s">
        <v>23</v>
      </c>
    </row>
    <row r="2008" spans="1:11" ht="42" customHeight="1">
      <c r="A2008" s="2" t="s">
        <v>4347</v>
      </c>
      <c r="B2008" s="2" t="s">
        <v>4347</v>
      </c>
      <c r="C2008" s="2" t="s">
        <v>40</v>
      </c>
      <c r="D2008" s="2" t="s">
        <v>41</v>
      </c>
      <c r="E2008" s="5">
        <v>-28654</v>
      </c>
      <c r="F2008" s="3" t="s">
        <v>674</v>
      </c>
      <c r="G2008" s="3" t="s">
        <v>88</v>
      </c>
      <c r="H2008" s="2" t="s">
        <v>21</v>
      </c>
      <c r="I2008" s="2" t="s">
        <v>4365</v>
      </c>
      <c r="J2008" s="3" t="str">
        <f>HYPERLINK("https://www.boe.es/gazeta/dias/1821/07/18/pdfs/GMD-1821-203.pdf#page=4","Abrir facsímil")</f>
        <v>Abrir facsímil</v>
      </c>
      <c r="K2008" s="3" t="s">
        <v>23</v>
      </c>
    </row>
    <row r="2009" spans="1:11" ht="42" customHeight="1">
      <c r="A2009" s="2" t="s">
        <v>4347</v>
      </c>
      <c r="B2009" s="2" t="s">
        <v>4347</v>
      </c>
      <c r="C2009" s="2" t="s">
        <v>35</v>
      </c>
      <c r="D2009" s="2" t="s">
        <v>27</v>
      </c>
      <c r="E2009" s="5">
        <v>-28618</v>
      </c>
      <c r="F2009" s="3" t="s">
        <v>4041</v>
      </c>
      <c r="G2009" s="3" t="s">
        <v>52</v>
      </c>
      <c r="H2009" s="2" t="s">
        <v>21</v>
      </c>
      <c r="I2009" s="2" t="s">
        <v>4366</v>
      </c>
      <c r="J2009" s="3" t="str">
        <f>HYPERLINK("https://www.boe.es/gazeta/dias/1821/08/23/pdfs/GMD-1821-240.pdf#page=2","Abrir facsímil")</f>
        <v>Abrir facsímil</v>
      </c>
      <c r="K2009" s="3" t="s">
        <v>23</v>
      </c>
    </row>
    <row r="2010" spans="1:11" ht="42" customHeight="1">
      <c r="A2010" s="2" t="s">
        <v>4347</v>
      </c>
      <c r="B2010" s="2" t="s">
        <v>4347</v>
      </c>
      <c r="C2010" s="2" t="s">
        <v>279</v>
      </c>
      <c r="D2010" s="2" t="s">
        <v>27</v>
      </c>
      <c r="E2010" s="5">
        <v>-28571</v>
      </c>
      <c r="F2010" s="3" t="s">
        <v>482</v>
      </c>
      <c r="G2010" s="3" t="s">
        <v>29</v>
      </c>
      <c r="H2010" s="2" t="s">
        <v>21</v>
      </c>
      <c r="I2010" s="2" t="s">
        <v>4367</v>
      </c>
      <c r="J2010" s="3" t="str">
        <f>HYPERLINK("https://www.boe.es/gazeta/dias/1821/10/09/pdfs/GMD-1821-288.pdf#page=6","Abrir facsímil")</f>
        <v>Abrir facsímil</v>
      </c>
      <c r="K2010" s="3" t="s">
        <v>23</v>
      </c>
    </row>
    <row r="2011" spans="1:11" ht="42" customHeight="1">
      <c r="A2011" s="2" t="s">
        <v>4347</v>
      </c>
      <c r="B2011" s="2" t="s">
        <v>4347</v>
      </c>
      <c r="C2011" s="2" t="s">
        <v>17</v>
      </c>
      <c r="D2011" s="2" t="s">
        <v>18</v>
      </c>
      <c r="E2011" s="5">
        <v>-28563</v>
      </c>
      <c r="F2011" s="3" t="s">
        <v>118</v>
      </c>
      <c r="G2011" s="3" t="s">
        <v>20</v>
      </c>
      <c r="H2011" s="2" t="s">
        <v>21</v>
      </c>
      <c r="I2011" s="2" t="s">
        <v>4368</v>
      </c>
      <c r="J2011" s="3" t="str">
        <f>HYPERLINK("https://www.boe.es/gazeta/dias/1821/10/17/pdfs/GMD-1821-296.pdf#page=3","Abrir facsímil")</f>
        <v>Abrir facsímil</v>
      </c>
      <c r="K2011" s="3" t="s">
        <v>23</v>
      </c>
    </row>
    <row r="2012" spans="1:11" ht="42" customHeight="1">
      <c r="A2012" s="2" t="s">
        <v>4369</v>
      </c>
      <c r="B2012" s="2" t="s">
        <v>4370</v>
      </c>
      <c r="C2012" s="2" t="s">
        <v>40</v>
      </c>
      <c r="D2012" s="2" t="s">
        <v>41</v>
      </c>
      <c r="E2012" s="5">
        <v>-28783</v>
      </c>
      <c r="F2012" s="3" t="s">
        <v>198</v>
      </c>
      <c r="G2012" s="3" t="s">
        <v>20</v>
      </c>
      <c r="H2012" s="2" t="s">
        <v>21</v>
      </c>
      <c r="I2012" s="2" t="s">
        <v>4371</v>
      </c>
      <c r="J2012" s="3" t="str">
        <f>HYPERLINK("https://www.boe.es/gazeta/dias/1821/03/11/pdfs/GGB-1821-70.pdf#page=3","Abrir facsímil")</f>
        <v>Abrir facsímil</v>
      </c>
      <c r="K2012" s="3" t="s">
        <v>23</v>
      </c>
    </row>
    <row r="2013" spans="1:11" ht="42" customHeight="1">
      <c r="A2013" s="2" t="s">
        <v>4369</v>
      </c>
      <c r="B2013" s="2" t="s">
        <v>4370</v>
      </c>
      <c r="C2013" s="2" t="s">
        <v>17</v>
      </c>
      <c r="D2013" s="2" t="s">
        <v>18</v>
      </c>
      <c r="E2013" s="5">
        <v>-28715</v>
      </c>
      <c r="F2013" s="3" t="s">
        <v>1046</v>
      </c>
      <c r="G2013" s="3" t="s">
        <v>88</v>
      </c>
      <c r="H2013" s="2" t="s">
        <v>21</v>
      </c>
      <c r="I2013" s="2" t="s">
        <v>4372</v>
      </c>
      <c r="J2013" s="3" t="str">
        <f>HYPERLINK("https://www.boe.es/gazeta/dias/1821/05/18/pdfs/GMD-1821-140.pdf#page=4","Abrir facsímil")</f>
        <v>Abrir facsímil</v>
      </c>
      <c r="K2013" s="3" t="s">
        <v>23</v>
      </c>
    </row>
    <row r="2014" spans="1:11" ht="42" customHeight="1">
      <c r="A2014" s="2" t="s">
        <v>4369</v>
      </c>
      <c r="B2014" s="2" t="s">
        <v>4370</v>
      </c>
      <c r="C2014" s="2" t="s">
        <v>17</v>
      </c>
      <c r="D2014" s="2" t="s">
        <v>18</v>
      </c>
      <c r="E2014" s="5">
        <v>-28640</v>
      </c>
      <c r="F2014" s="3" t="s">
        <v>1590</v>
      </c>
      <c r="G2014" s="3" t="s">
        <v>20</v>
      </c>
      <c r="H2014" s="2" t="s">
        <v>21</v>
      </c>
      <c r="I2014" s="2" t="s">
        <v>4373</v>
      </c>
      <c r="J2014" s="3" t="str">
        <f>HYPERLINK("https://www.boe.es/gazeta/dias/1821/08/01/pdfs/GMD-1821-217.pdf#page=3","Abrir facsímil")</f>
        <v>Abrir facsímil</v>
      </c>
      <c r="K2014" s="3" t="s">
        <v>23</v>
      </c>
    </row>
    <row r="2015" spans="1:11" ht="42" customHeight="1">
      <c r="A2015" s="2" t="s">
        <v>4369</v>
      </c>
      <c r="B2015" s="2" t="s">
        <v>4370</v>
      </c>
      <c r="C2015" s="2" t="s">
        <v>35</v>
      </c>
      <c r="D2015" s="2" t="s">
        <v>27</v>
      </c>
      <c r="E2015" s="5">
        <v>-28622</v>
      </c>
      <c r="F2015" s="3" t="s">
        <v>2771</v>
      </c>
      <c r="G2015" s="3" t="s">
        <v>4374</v>
      </c>
      <c r="H2015" s="2" t="s">
        <v>21</v>
      </c>
      <c r="I2015" s="2" t="s">
        <v>4375</v>
      </c>
      <c r="J2015" s="3" t="str">
        <f>HYPERLINK("https://www.boe.es/gazeta/dias/1821/08/19/pdfs/GMD-1821-236.pdf#page=5","Abrir facsímil")</f>
        <v>Abrir facsímil</v>
      </c>
      <c r="K2015" s="3" t="s">
        <v>23</v>
      </c>
    </row>
    <row r="2016" spans="1:11" ht="42" customHeight="1">
      <c r="A2016" s="2" t="s">
        <v>4376</v>
      </c>
      <c r="B2016" s="2" t="s">
        <v>4377</v>
      </c>
      <c r="C2016" s="2" t="s">
        <v>17</v>
      </c>
      <c r="D2016" s="2" t="s">
        <v>18</v>
      </c>
      <c r="E2016" s="5">
        <v>-28810</v>
      </c>
      <c r="F2016" s="3" t="s">
        <v>308</v>
      </c>
      <c r="G2016" s="3" t="s">
        <v>20</v>
      </c>
      <c r="H2016" s="2" t="s">
        <v>21</v>
      </c>
      <c r="I2016" s="2" t="s">
        <v>4378</v>
      </c>
      <c r="J2016" s="3" t="str">
        <f>HYPERLINK("https://www.boe.es/gazeta/dias/1821/02/12/pdfs/GGB-1821-43.pdf#page=3","Abrir facsímil")</f>
        <v>Abrir facsímil</v>
      </c>
      <c r="K2016" s="3" t="s">
        <v>23</v>
      </c>
    </row>
    <row r="2017" spans="1:11" ht="42" customHeight="1">
      <c r="A2017" s="2" t="s">
        <v>4376</v>
      </c>
      <c r="B2017" s="2" t="s">
        <v>4377</v>
      </c>
      <c r="C2017" s="2" t="s">
        <v>35</v>
      </c>
      <c r="D2017" s="2" t="s">
        <v>27</v>
      </c>
      <c r="E2017" s="5">
        <v>-28809</v>
      </c>
      <c r="F2017" s="3" t="s">
        <v>1173</v>
      </c>
      <c r="G2017" s="3" t="s">
        <v>52</v>
      </c>
      <c r="H2017" s="2" t="s">
        <v>21</v>
      </c>
      <c r="I2017" s="2" t="s">
        <v>4379</v>
      </c>
      <c r="J2017" s="3" t="str">
        <f>HYPERLINK("https://www.boe.es/gazeta/dias/1821/02/13/pdfs/GGB-1821-44.pdf#page=2","Abrir facsímil")</f>
        <v>Abrir facsímil</v>
      </c>
      <c r="K2017" s="3" t="s">
        <v>23</v>
      </c>
    </row>
    <row r="2018" spans="1:11" ht="42" customHeight="1">
      <c r="A2018" s="2" t="s">
        <v>4376</v>
      </c>
      <c r="B2018" s="2" t="s">
        <v>4377</v>
      </c>
      <c r="C2018" s="2" t="s">
        <v>17</v>
      </c>
      <c r="D2018" s="2" t="s">
        <v>18</v>
      </c>
      <c r="E2018" s="5">
        <v>-28781</v>
      </c>
      <c r="F2018" s="3" t="s">
        <v>149</v>
      </c>
      <c r="G2018" s="3" t="s">
        <v>20</v>
      </c>
      <c r="H2018" s="2" t="s">
        <v>21</v>
      </c>
      <c r="I2018" s="2" t="s">
        <v>4380</v>
      </c>
      <c r="J2018" s="3" t="str">
        <f>HYPERLINK("https://www.boe.es/gazeta/dias/1821/03/13/pdfs/GMD-1821-72.pdf#page=3","Abrir facsímil")</f>
        <v>Abrir facsímil</v>
      </c>
      <c r="K2018" s="3" t="s">
        <v>23</v>
      </c>
    </row>
    <row r="2019" spans="1:11" ht="42" customHeight="1">
      <c r="A2019" s="2" t="s">
        <v>4376</v>
      </c>
      <c r="B2019" s="2" t="s">
        <v>4377</v>
      </c>
      <c r="C2019" s="2" t="s">
        <v>174</v>
      </c>
      <c r="D2019" s="2" t="s">
        <v>27</v>
      </c>
      <c r="E2019" s="5">
        <v>-28677</v>
      </c>
      <c r="F2019" s="3" t="s">
        <v>361</v>
      </c>
      <c r="G2019" s="3" t="s">
        <v>52</v>
      </c>
      <c r="H2019" s="2" t="s">
        <v>21</v>
      </c>
      <c r="I2019" s="2" t="s">
        <v>4381</v>
      </c>
      <c r="J2019" s="3" t="str">
        <f>HYPERLINK("https://www.boe.es/gazeta/dias/1821/06/25/pdfs/GMD-1821-178.pdf#page=2","Abrir facsímil")</f>
        <v>Abrir facsímil</v>
      </c>
      <c r="K2019" s="3" t="s">
        <v>23</v>
      </c>
    </row>
    <row r="2020" spans="1:11" ht="42" customHeight="1">
      <c r="A2020" s="2" t="s">
        <v>4376</v>
      </c>
      <c r="B2020" s="2" t="s">
        <v>4377</v>
      </c>
      <c r="C2020" s="2" t="s">
        <v>35</v>
      </c>
      <c r="D2020" s="2" t="s">
        <v>27</v>
      </c>
      <c r="E2020" s="5">
        <v>-28674</v>
      </c>
      <c r="F2020" s="3" t="s">
        <v>536</v>
      </c>
      <c r="G2020" s="3" t="s">
        <v>537</v>
      </c>
      <c r="H2020" s="2" t="s">
        <v>21</v>
      </c>
      <c r="I2020" s="2" t="s">
        <v>4382</v>
      </c>
      <c r="J2020" s="3" t="str">
        <f>HYPERLINK("https://www.boe.es/gazeta/dias/1821/06/28/pdfs/GMD-1821-181.pdf#page=2","Abrir facsímil")</f>
        <v>Abrir facsímil</v>
      </c>
      <c r="K2020" s="3" t="s">
        <v>23</v>
      </c>
    </row>
    <row r="2021" spans="1:11" ht="42" customHeight="1">
      <c r="A2021" s="2" t="s">
        <v>4383</v>
      </c>
      <c r="B2021" s="2" t="s">
        <v>4384</v>
      </c>
      <c r="C2021" s="2" t="s">
        <v>26</v>
      </c>
      <c r="D2021" s="2" t="s">
        <v>27</v>
      </c>
      <c r="E2021" s="5">
        <v>-28666</v>
      </c>
      <c r="F2021" s="3" t="s">
        <v>1263</v>
      </c>
      <c r="G2021" s="3" t="s">
        <v>20</v>
      </c>
      <c r="H2021" s="2" t="s">
        <v>21</v>
      </c>
      <c r="I2021" s="2" t="s">
        <v>4385</v>
      </c>
      <c r="J2021" s="3" t="str">
        <f>HYPERLINK("https://www.boe.es/gazeta/dias/1821/07/06/pdfs/GMD-1821-190.pdf#page=3","Abrir facsímil")</f>
        <v>Abrir facsímil</v>
      </c>
      <c r="K2021" s="3" t="s">
        <v>23</v>
      </c>
    </row>
    <row r="2022" spans="1:11" ht="42" customHeight="1">
      <c r="A2022" s="2" t="s">
        <v>4376</v>
      </c>
      <c r="B2022" s="2" t="s">
        <v>4377</v>
      </c>
      <c r="C2022" s="2" t="s">
        <v>40</v>
      </c>
      <c r="D2022" s="2" t="s">
        <v>41</v>
      </c>
      <c r="E2022" s="5">
        <v>-28662</v>
      </c>
      <c r="F2022" s="3" t="s">
        <v>3289</v>
      </c>
      <c r="G2022" s="3" t="s">
        <v>52</v>
      </c>
      <c r="H2022" s="2" t="s">
        <v>21</v>
      </c>
      <c r="I2022" s="2" t="s">
        <v>4386</v>
      </c>
      <c r="J2022" s="3" t="str">
        <f>HYPERLINK("https://www.boe.es/gazeta/dias/1821/07/10/pdfs/GMD-1821-195.pdf#page=2","Abrir facsímil")</f>
        <v>Abrir facsímil</v>
      </c>
      <c r="K2022" s="3" t="s">
        <v>23</v>
      </c>
    </row>
    <row r="2023" spans="1:11" ht="42" customHeight="1">
      <c r="A2023" s="2" t="s">
        <v>4376</v>
      </c>
      <c r="B2023" s="2" t="s">
        <v>4377</v>
      </c>
      <c r="C2023" s="2" t="s">
        <v>26</v>
      </c>
      <c r="D2023" s="2" t="s">
        <v>27</v>
      </c>
      <c r="E2023" s="5">
        <v>-28637</v>
      </c>
      <c r="F2023" s="3" t="s">
        <v>3049</v>
      </c>
      <c r="G2023" s="3" t="s">
        <v>52</v>
      </c>
      <c r="H2023" s="2" t="s">
        <v>21</v>
      </c>
      <c r="I2023" s="2" t="s">
        <v>4387</v>
      </c>
      <c r="J2023" s="3" t="str">
        <f>HYPERLINK("https://www.boe.es/gazeta/dias/1821/08/04/pdfs/GMD-1821-220.pdf#page=2","Abrir facsímil")</f>
        <v>Abrir facsímil</v>
      </c>
      <c r="K2023" s="3" t="s">
        <v>23</v>
      </c>
    </row>
    <row r="2024" spans="1:11" ht="42" customHeight="1">
      <c r="A2024" s="2" t="s">
        <v>4376</v>
      </c>
      <c r="B2024" s="2" t="s">
        <v>4377</v>
      </c>
      <c r="C2024" s="2" t="s">
        <v>35</v>
      </c>
      <c r="D2024" s="2" t="s">
        <v>27</v>
      </c>
      <c r="E2024" s="5">
        <v>-28621</v>
      </c>
      <c r="F2024" s="3" t="s">
        <v>1317</v>
      </c>
      <c r="G2024" s="3" t="s">
        <v>20</v>
      </c>
      <c r="H2024" s="2" t="s">
        <v>21</v>
      </c>
      <c r="I2024" s="2" t="s">
        <v>4388</v>
      </c>
      <c r="J2024" s="3" t="str">
        <f>HYPERLINK("https://www.boe.es/gazeta/dias/1821/08/20/pdfs/GMD-1821-237.pdf#page=3","Abrir facsímil")</f>
        <v>Abrir facsímil</v>
      </c>
      <c r="K2024" s="3" t="s">
        <v>23</v>
      </c>
    </row>
    <row r="2025" spans="1:11" ht="42" customHeight="1">
      <c r="A2025" s="2" t="s">
        <v>4389</v>
      </c>
      <c r="B2025" s="2" t="s">
        <v>4390</v>
      </c>
      <c r="C2025" s="2" t="s">
        <v>40</v>
      </c>
      <c r="D2025" s="2" t="s">
        <v>41</v>
      </c>
      <c r="E2025" s="5">
        <v>-28770</v>
      </c>
      <c r="F2025" s="3" t="s">
        <v>1009</v>
      </c>
      <c r="G2025" s="3" t="s">
        <v>20</v>
      </c>
      <c r="H2025" s="2" t="s">
        <v>21</v>
      </c>
      <c r="I2025" s="2" t="s">
        <v>4391</v>
      </c>
      <c r="J2025" s="3" t="str">
        <f>HYPERLINK("https://www.boe.es/gazeta/dias/1821/03/24/pdfs/GMD-1821-84.pdf#page=3","Abrir facsímil")</f>
        <v>Abrir facsímil</v>
      </c>
      <c r="K2025" s="3" t="s">
        <v>23</v>
      </c>
    </row>
    <row r="2026" spans="1:11" ht="42" customHeight="1">
      <c r="A2026" s="2" t="s">
        <v>4392</v>
      </c>
      <c r="B2026" s="2" t="s">
        <v>4393</v>
      </c>
      <c r="C2026" s="2" t="s">
        <v>17</v>
      </c>
      <c r="D2026" s="2" t="s">
        <v>18</v>
      </c>
      <c r="E2026" s="5">
        <v>-28783</v>
      </c>
      <c r="F2026" s="3" t="s">
        <v>198</v>
      </c>
      <c r="G2026" s="3" t="s">
        <v>52</v>
      </c>
      <c r="H2026" s="2" t="s">
        <v>21</v>
      </c>
      <c r="I2026" s="2" t="s">
        <v>4394</v>
      </c>
      <c r="J2026" s="3" t="str">
        <f>HYPERLINK("https://www.boe.es/gazeta/dias/1821/03/11/pdfs/GGB-1821-70.pdf#page=2","Abrir facsímil")</f>
        <v>Abrir facsímil</v>
      </c>
      <c r="K2026" s="3" t="s">
        <v>23</v>
      </c>
    </row>
    <row r="2027" spans="1:11" ht="42" customHeight="1">
      <c r="A2027" s="2" t="s">
        <v>4395</v>
      </c>
      <c r="B2027" s="2" t="s">
        <v>4395</v>
      </c>
      <c r="C2027" s="2" t="s">
        <v>35</v>
      </c>
      <c r="D2027" s="2" t="s">
        <v>27</v>
      </c>
      <c r="E2027" s="5">
        <v>-28813</v>
      </c>
      <c r="F2027" s="3" t="s">
        <v>268</v>
      </c>
      <c r="G2027" s="3" t="s">
        <v>52</v>
      </c>
      <c r="H2027" s="2" t="s">
        <v>21</v>
      </c>
      <c r="I2027" s="2" t="s">
        <v>4396</v>
      </c>
      <c r="J2027" s="3" t="str">
        <f>HYPERLINK("https://www.boe.es/gazeta/dias/1821/02/09/pdfs/GGB-1821-40.pdf#page=2","Abrir facsímil")</f>
        <v>Abrir facsímil</v>
      </c>
      <c r="K2027" s="3" t="s">
        <v>23</v>
      </c>
    </row>
    <row r="2028" spans="1:11" ht="42" customHeight="1">
      <c r="A2028" s="2" t="s">
        <v>4395</v>
      </c>
      <c r="B2028" s="2" t="s">
        <v>4395</v>
      </c>
      <c r="C2028" s="2" t="s">
        <v>17</v>
      </c>
      <c r="D2028" s="2" t="s">
        <v>18</v>
      </c>
      <c r="E2028" s="5">
        <v>-28800</v>
      </c>
      <c r="F2028" s="3" t="s">
        <v>1753</v>
      </c>
      <c r="G2028" s="3" t="s">
        <v>3432</v>
      </c>
      <c r="H2028" s="2" t="s">
        <v>21</v>
      </c>
      <c r="I2028" s="2" t="s">
        <v>4397</v>
      </c>
      <c r="J2028" s="3" t="str">
        <f>HYPERLINK("https://www.boe.es/gazeta/dias/1821/02/22/pdfs/GGB-1821-53.pdf#page=3","Abrir facsímil")</f>
        <v>Abrir facsímil</v>
      </c>
      <c r="K2028" s="3" t="s">
        <v>23</v>
      </c>
    </row>
    <row r="2029" spans="1:11" ht="42" customHeight="1">
      <c r="A2029" s="2" t="s">
        <v>4398</v>
      </c>
      <c r="B2029" s="2" t="s">
        <v>4399</v>
      </c>
      <c r="C2029" s="2" t="s">
        <v>26</v>
      </c>
      <c r="D2029" s="2" t="s">
        <v>27</v>
      </c>
      <c r="E2029" s="5">
        <v>-28650</v>
      </c>
      <c r="F2029" s="3" t="s">
        <v>3285</v>
      </c>
      <c r="G2029" s="3" t="s">
        <v>20</v>
      </c>
      <c r="H2029" s="2" t="s">
        <v>21</v>
      </c>
      <c r="I2029" s="2" t="s">
        <v>4400</v>
      </c>
      <c r="J2029" s="3" t="str">
        <f>HYPERLINK("https://www.boe.es/gazeta/dias/1821/07/22/pdfs/GMD-1821-207.pdf#page=3","Abrir facsímil")</f>
        <v>Abrir facsímil</v>
      </c>
      <c r="K2029" s="3" t="s">
        <v>23</v>
      </c>
    </row>
    <row r="2030" spans="1:11" ht="42" customHeight="1">
      <c r="A2030" s="2" t="s">
        <v>4401</v>
      </c>
      <c r="B2030" s="2" t="s">
        <v>4402</v>
      </c>
      <c r="C2030" s="2" t="s">
        <v>40</v>
      </c>
      <c r="D2030" s="2" t="s">
        <v>41</v>
      </c>
      <c r="E2030" s="5">
        <v>-28610</v>
      </c>
      <c r="F2030" s="3" t="s">
        <v>190</v>
      </c>
      <c r="G2030" s="3" t="s">
        <v>52</v>
      </c>
      <c r="H2030" s="2" t="s">
        <v>21</v>
      </c>
      <c r="I2030" s="2" t="s">
        <v>4403</v>
      </c>
      <c r="J2030" s="3" t="str">
        <f>HYPERLINK("https://www.boe.es/gazeta/dias/1821/08/31/pdfs/GMD-1821-248.pdf#page=2","Abrir facsímil")</f>
        <v>Abrir facsímil</v>
      </c>
      <c r="K2030" s="3" t="s">
        <v>23</v>
      </c>
    </row>
    <row r="2031" spans="1:11" ht="42" customHeight="1">
      <c r="A2031" s="2" t="s">
        <v>4404</v>
      </c>
      <c r="B2031" s="2" t="s">
        <v>4405</v>
      </c>
      <c r="C2031" s="2" t="s">
        <v>40</v>
      </c>
      <c r="D2031" s="2" t="s">
        <v>41</v>
      </c>
      <c r="E2031" s="5">
        <v>-28814</v>
      </c>
      <c r="F2031" s="3" t="s">
        <v>2090</v>
      </c>
      <c r="G2031" s="3" t="s">
        <v>3053</v>
      </c>
      <c r="H2031" s="2" t="s">
        <v>21</v>
      </c>
      <c r="I2031" s="2" t="s">
        <v>4406</v>
      </c>
      <c r="J2031" s="3" t="str">
        <f>HYPERLINK("https://www.boe.es/gazeta/dias/1821/02/08/pdfs/GGB-1821-39.pdf#page=3","Abrir facsímil")</f>
        <v>Abrir facsímil</v>
      </c>
      <c r="K2031" s="3" t="s">
        <v>23</v>
      </c>
    </row>
    <row r="2032" spans="1:11" ht="42" customHeight="1">
      <c r="A2032" s="2" t="s">
        <v>4404</v>
      </c>
      <c r="B2032" s="2" t="s">
        <v>4405</v>
      </c>
      <c r="C2032" s="2" t="s">
        <v>17</v>
      </c>
      <c r="D2032" s="2" t="s">
        <v>18</v>
      </c>
      <c r="E2032" s="5">
        <v>-28813</v>
      </c>
      <c r="F2032" s="3" t="s">
        <v>268</v>
      </c>
      <c r="G2032" s="3" t="s">
        <v>52</v>
      </c>
      <c r="H2032" s="2" t="s">
        <v>21</v>
      </c>
      <c r="I2032" s="2" t="s">
        <v>4407</v>
      </c>
      <c r="J2032" s="3" t="str">
        <f>HYPERLINK("https://www.boe.es/gazeta/dias/1821/02/09/pdfs/GGB-1821-40.pdf#page=2","Abrir facsímil")</f>
        <v>Abrir facsímil</v>
      </c>
      <c r="K2032" s="3" t="s">
        <v>23</v>
      </c>
    </row>
    <row r="2033" spans="1:11" ht="42" customHeight="1">
      <c r="A2033" s="2" t="s">
        <v>4404</v>
      </c>
      <c r="B2033" s="2" t="s">
        <v>4405</v>
      </c>
      <c r="C2033" s="2" t="s">
        <v>17</v>
      </c>
      <c r="D2033" s="2" t="s">
        <v>18</v>
      </c>
      <c r="E2033" s="5">
        <v>-28812</v>
      </c>
      <c r="F2033" s="3" t="s">
        <v>2610</v>
      </c>
      <c r="G2033" s="3" t="s">
        <v>52</v>
      </c>
      <c r="H2033" s="2" t="s">
        <v>21</v>
      </c>
      <c r="I2033" s="2" t="s">
        <v>4408</v>
      </c>
      <c r="J2033" s="3" t="str">
        <f>HYPERLINK("https://www.boe.es/gazeta/dias/1821/02/10/pdfs/GGB-1821-41.pdf#page=2","Abrir facsímil")</f>
        <v>Abrir facsímil</v>
      </c>
      <c r="K2033" s="3" t="s">
        <v>23</v>
      </c>
    </row>
    <row r="2034" spans="1:11" ht="42" customHeight="1">
      <c r="A2034" s="2" t="s">
        <v>4404</v>
      </c>
      <c r="B2034" s="2" t="s">
        <v>4405</v>
      </c>
      <c r="C2034" s="2" t="s">
        <v>17</v>
      </c>
      <c r="D2034" s="2" t="s">
        <v>18</v>
      </c>
      <c r="E2034" s="5">
        <v>-28804</v>
      </c>
      <c r="F2034" s="3" t="s">
        <v>1580</v>
      </c>
      <c r="G2034" s="3" t="s">
        <v>20</v>
      </c>
      <c r="H2034" s="2" t="s">
        <v>21</v>
      </c>
      <c r="I2034" s="2" t="s">
        <v>4409</v>
      </c>
      <c r="J2034" s="3" t="str">
        <f>HYPERLINK("https://www.boe.es/gazeta/dias/1821/02/18/pdfs/GGB-1821-49.pdf#page=3","Abrir facsímil")</f>
        <v>Abrir facsímil</v>
      </c>
      <c r="K2034" s="3" t="s">
        <v>23</v>
      </c>
    </row>
    <row r="2035" spans="1:11" ht="42" customHeight="1">
      <c r="A2035" s="2" t="s">
        <v>4404</v>
      </c>
      <c r="B2035" s="2" t="s">
        <v>4405</v>
      </c>
      <c r="C2035" s="2" t="s">
        <v>17</v>
      </c>
      <c r="D2035" s="2" t="s">
        <v>18</v>
      </c>
      <c r="E2035" s="5">
        <v>-28798</v>
      </c>
      <c r="F2035" s="3" t="s">
        <v>60</v>
      </c>
      <c r="G2035" s="3" t="s">
        <v>20</v>
      </c>
      <c r="H2035" s="2" t="s">
        <v>21</v>
      </c>
      <c r="I2035" s="2" t="s">
        <v>4410</v>
      </c>
      <c r="J2035" s="3" t="str">
        <f>HYPERLINK("https://www.boe.es/gazeta/dias/1821/02/24/pdfs/GGB-1821-55.pdf#page=3","Abrir facsímil")</f>
        <v>Abrir facsímil</v>
      </c>
      <c r="K2035" s="3" t="s">
        <v>23</v>
      </c>
    </row>
    <row r="2036" spans="1:11" ht="42" customHeight="1">
      <c r="A2036" s="2" t="s">
        <v>4404</v>
      </c>
      <c r="B2036" s="2" t="s">
        <v>4405</v>
      </c>
      <c r="C2036" s="2" t="s">
        <v>17</v>
      </c>
      <c r="D2036" s="2" t="s">
        <v>18</v>
      </c>
      <c r="E2036" s="5">
        <v>-28797</v>
      </c>
      <c r="F2036" s="3" t="s">
        <v>2281</v>
      </c>
      <c r="G2036" s="3" t="s">
        <v>20</v>
      </c>
      <c r="H2036" s="2" t="s">
        <v>21</v>
      </c>
      <c r="I2036" s="2" t="s">
        <v>4411</v>
      </c>
      <c r="J2036" s="3" t="str">
        <f>HYPERLINK("https://www.boe.es/gazeta/dias/1821/02/25/pdfs/GGB-1821-56.pdf#page=3","Abrir facsímil")</f>
        <v>Abrir facsímil</v>
      </c>
      <c r="K2036" s="3" t="s">
        <v>23</v>
      </c>
    </row>
    <row r="2037" spans="1:11" ht="42" customHeight="1">
      <c r="A2037" s="2" t="s">
        <v>4404</v>
      </c>
      <c r="B2037" s="2" t="s">
        <v>4405</v>
      </c>
      <c r="C2037" s="2" t="s">
        <v>17</v>
      </c>
      <c r="D2037" s="2" t="s">
        <v>18</v>
      </c>
      <c r="E2037" s="5">
        <v>-28790</v>
      </c>
      <c r="F2037" s="3" t="s">
        <v>991</v>
      </c>
      <c r="G2037" s="3" t="s">
        <v>52</v>
      </c>
      <c r="H2037" s="2" t="s">
        <v>21</v>
      </c>
      <c r="I2037" s="2" t="s">
        <v>4412</v>
      </c>
      <c r="J2037" s="3" t="str">
        <f>HYPERLINK("https://www.boe.es/gazeta/dias/1821/03/04/pdfs/GGB-1821-63.pdf#page=2","Abrir facsímil")</f>
        <v>Abrir facsímil</v>
      </c>
      <c r="K2037" s="3" t="s">
        <v>23</v>
      </c>
    </row>
    <row r="2038" spans="1:11" ht="42" customHeight="1">
      <c r="A2038" s="2" t="s">
        <v>4404</v>
      </c>
      <c r="B2038" s="2" t="s">
        <v>4405</v>
      </c>
      <c r="C2038" s="2" t="s">
        <v>40</v>
      </c>
      <c r="D2038" s="2" t="s">
        <v>41</v>
      </c>
      <c r="E2038" s="5">
        <v>-28789</v>
      </c>
      <c r="F2038" s="3" t="s">
        <v>36</v>
      </c>
      <c r="G2038" s="3" t="s">
        <v>52</v>
      </c>
      <c r="H2038" s="2" t="s">
        <v>21</v>
      </c>
      <c r="I2038" s="2" t="s">
        <v>4413</v>
      </c>
      <c r="J2038" s="3" t="str">
        <f>HYPERLINK("https://www.boe.es/gazeta/dias/1821/03/05/pdfs/GGB-1821-64.pdf#page=2","Abrir facsímil")</f>
        <v>Abrir facsímil</v>
      </c>
      <c r="K2038" s="3" t="s">
        <v>23</v>
      </c>
    </row>
    <row r="2039" spans="1:11" ht="42" customHeight="1">
      <c r="A2039" s="2" t="s">
        <v>4404</v>
      </c>
      <c r="B2039" s="2" t="s">
        <v>4405</v>
      </c>
      <c r="C2039" s="2" t="s">
        <v>26</v>
      </c>
      <c r="D2039" s="2" t="s">
        <v>27</v>
      </c>
      <c r="E2039" s="5">
        <v>-28788</v>
      </c>
      <c r="F2039" s="3" t="s">
        <v>996</v>
      </c>
      <c r="G2039" s="3" t="s">
        <v>52</v>
      </c>
      <c r="H2039" s="2" t="s">
        <v>21</v>
      </c>
      <c r="I2039" s="2" t="s">
        <v>4414</v>
      </c>
      <c r="J2039" s="3" t="str">
        <f>HYPERLINK("https://www.boe.es/gazeta/dias/1821/03/06/pdfs/GGB-1821-65.pdf#page=2","Abrir facsímil")</f>
        <v>Abrir facsímil</v>
      </c>
      <c r="K2039" s="3" t="s">
        <v>23</v>
      </c>
    </row>
    <row r="2040" spans="1:11" ht="42" customHeight="1">
      <c r="A2040" s="2" t="s">
        <v>4404</v>
      </c>
      <c r="B2040" s="2" t="s">
        <v>4405</v>
      </c>
      <c r="C2040" s="2" t="s">
        <v>17</v>
      </c>
      <c r="D2040" s="2" t="s">
        <v>18</v>
      </c>
      <c r="E2040" s="5">
        <v>-28786</v>
      </c>
      <c r="F2040" s="3" t="s">
        <v>1933</v>
      </c>
      <c r="G2040" s="3" t="s">
        <v>52</v>
      </c>
      <c r="H2040" s="2" t="s">
        <v>21</v>
      </c>
      <c r="I2040" s="2" t="s">
        <v>4415</v>
      </c>
      <c r="J2040" s="3" t="str">
        <f>HYPERLINK("https://www.boe.es/gazeta/dias/1821/03/08/pdfs/GGB-1821-67.pdf#page=2","Abrir facsímil")</f>
        <v>Abrir facsímil</v>
      </c>
      <c r="K2040" s="3" t="s">
        <v>23</v>
      </c>
    </row>
    <row r="2041" spans="1:11" ht="42" customHeight="1">
      <c r="A2041" s="2" t="s">
        <v>4404</v>
      </c>
      <c r="B2041" s="2" t="s">
        <v>4405</v>
      </c>
      <c r="C2041" s="2" t="s">
        <v>40</v>
      </c>
      <c r="D2041" s="2" t="s">
        <v>41</v>
      </c>
      <c r="E2041" s="5">
        <v>-28784</v>
      </c>
      <c r="F2041" s="3" t="s">
        <v>451</v>
      </c>
      <c r="G2041" s="3" t="s">
        <v>43</v>
      </c>
      <c r="H2041" s="2" t="s">
        <v>21</v>
      </c>
      <c r="I2041" s="2" t="s">
        <v>4416</v>
      </c>
      <c r="J2041" s="3" t="str">
        <f>HYPERLINK("https://www.boe.es/gazeta/dias/1821/03/10/pdfs/GGB-1821-69.pdf#page=1","Abrir facsímil")</f>
        <v>Abrir facsímil</v>
      </c>
      <c r="K2041" s="3" t="s">
        <v>23</v>
      </c>
    </row>
    <row r="2042" spans="1:11" ht="42" customHeight="1">
      <c r="A2042" s="2" t="s">
        <v>4404</v>
      </c>
      <c r="B2042" s="2" t="s">
        <v>4405</v>
      </c>
      <c r="C2042" s="2" t="s">
        <v>17</v>
      </c>
      <c r="D2042" s="2" t="s">
        <v>18</v>
      </c>
      <c r="E2042" s="5">
        <v>-28784</v>
      </c>
      <c r="F2042" s="3" t="s">
        <v>451</v>
      </c>
      <c r="G2042" s="3" t="s">
        <v>52</v>
      </c>
      <c r="H2042" s="2" t="s">
        <v>21</v>
      </c>
      <c r="I2042" s="2" t="s">
        <v>4417</v>
      </c>
      <c r="J2042" s="3" t="str">
        <f>HYPERLINK("https://www.boe.es/gazeta/dias/1821/03/10/pdfs/GGB-1821-69.pdf#page=2","Abrir facsímil")</f>
        <v>Abrir facsímil</v>
      </c>
      <c r="K2042" s="3" t="s">
        <v>23</v>
      </c>
    </row>
    <row r="2043" spans="1:11" ht="42" customHeight="1">
      <c r="A2043" s="2" t="s">
        <v>4404</v>
      </c>
      <c r="B2043" s="2" t="s">
        <v>4405</v>
      </c>
      <c r="C2043" s="2" t="s">
        <v>35</v>
      </c>
      <c r="D2043" s="2" t="s">
        <v>27</v>
      </c>
      <c r="E2043" s="5">
        <v>-28783</v>
      </c>
      <c r="F2043" s="3" t="s">
        <v>198</v>
      </c>
      <c r="G2043" s="3" t="s">
        <v>52</v>
      </c>
      <c r="H2043" s="2" t="s">
        <v>21</v>
      </c>
      <c r="I2043" s="2" t="s">
        <v>4418</v>
      </c>
      <c r="J2043" s="3" t="str">
        <f>HYPERLINK("https://www.boe.es/gazeta/dias/1821/03/11/pdfs/GGB-1821-70.pdf#page=2","Abrir facsímil")</f>
        <v>Abrir facsímil</v>
      </c>
      <c r="K2043" s="3" t="s">
        <v>23</v>
      </c>
    </row>
    <row r="2044" spans="1:11" ht="42" customHeight="1">
      <c r="A2044" s="2" t="s">
        <v>4404</v>
      </c>
      <c r="B2044" s="2" t="s">
        <v>4405</v>
      </c>
      <c r="C2044" s="2" t="s">
        <v>17</v>
      </c>
      <c r="D2044" s="2" t="s">
        <v>18</v>
      </c>
      <c r="E2044" s="5">
        <v>-28765</v>
      </c>
      <c r="F2044" s="3" t="s">
        <v>974</v>
      </c>
      <c r="G2044" s="3" t="s">
        <v>52</v>
      </c>
      <c r="H2044" s="2" t="s">
        <v>21</v>
      </c>
      <c r="I2044" s="2" t="s">
        <v>4419</v>
      </c>
      <c r="J2044" s="3" t="str">
        <f>HYPERLINK("https://www.boe.es/gazeta/dias/1821/03/29/pdfs/GMD-1821-90.pdf#page=2","Abrir facsímil")</f>
        <v>Abrir facsímil</v>
      </c>
      <c r="K2044" s="3" t="s">
        <v>23</v>
      </c>
    </row>
    <row r="2045" spans="1:11" ht="42" customHeight="1">
      <c r="A2045" s="2" t="s">
        <v>4404</v>
      </c>
      <c r="B2045" s="2" t="s">
        <v>4405</v>
      </c>
      <c r="C2045" s="2" t="s">
        <v>26</v>
      </c>
      <c r="D2045" s="2" t="s">
        <v>27</v>
      </c>
      <c r="E2045" s="5">
        <v>-28753</v>
      </c>
      <c r="F2045" s="3" t="s">
        <v>720</v>
      </c>
      <c r="G2045" s="3" t="s">
        <v>776</v>
      </c>
      <c r="H2045" s="2" t="s">
        <v>21</v>
      </c>
      <c r="I2045" s="2" t="s">
        <v>4420</v>
      </c>
      <c r="J2045" s="3" t="str">
        <f>HYPERLINK("https://www.boe.es/gazeta/dias/1821/04/10/pdfs/GMD-1821-102.pdf#page=2","Abrir facsímil")</f>
        <v>Abrir facsímil</v>
      </c>
      <c r="K2045" s="3" t="s">
        <v>23</v>
      </c>
    </row>
    <row r="2046" spans="1:11" ht="42" customHeight="1">
      <c r="A2046" s="2" t="s">
        <v>4404</v>
      </c>
      <c r="B2046" s="2" t="s">
        <v>4405</v>
      </c>
      <c r="C2046" s="2" t="s">
        <v>17</v>
      </c>
      <c r="D2046" s="2" t="s">
        <v>18</v>
      </c>
      <c r="E2046" s="5">
        <v>-28746</v>
      </c>
      <c r="F2046" s="3" t="s">
        <v>687</v>
      </c>
      <c r="G2046" s="3" t="s">
        <v>52</v>
      </c>
      <c r="H2046" s="2" t="s">
        <v>21</v>
      </c>
      <c r="I2046" s="2" t="s">
        <v>4421</v>
      </c>
      <c r="J2046" s="3" t="str">
        <f>HYPERLINK("https://www.boe.es/gazeta/dias/1821/04/17/pdfs/GMD-1821-109.pdf#page=2","Abrir facsímil")</f>
        <v>Abrir facsímil</v>
      </c>
      <c r="K2046" s="3" t="s">
        <v>23</v>
      </c>
    </row>
    <row r="2047" spans="1:11" ht="42" customHeight="1">
      <c r="A2047" s="2" t="s">
        <v>4404</v>
      </c>
      <c r="B2047" s="2" t="s">
        <v>4405</v>
      </c>
      <c r="C2047" s="2" t="s">
        <v>40</v>
      </c>
      <c r="D2047" s="2" t="s">
        <v>41</v>
      </c>
      <c r="E2047" s="5">
        <v>-28743</v>
      </c>
      <c r="F2047" s="3" t="s">
        <v>51</v>
      </c>
      <c r="G2047" s="3" t="s">
        <v>52</v>
      </c>
      <c r="H2047" s="2" t="s">
        <v>21</v>
      </c>
      <c r="I2047" s="2" t="s">
        <v>4422</v>
      </c>
      <c r="J2047" s="3" t="str">
        <f>HYPERLINK("https://www.boe.es/gazeta/dias/1821/04/20/pdfs/GMD-1821-112.pdf#page=2","Abrir facsímil")</f>
        <v>Abrir facsímil</v>
      </c>
      <c r="K2047" s="3" t="s">
        <v>23</v>
      </c>
    </row>
    <row r="2048" spans="1:11" ht="42" customHeight="1">
      <c r="A2048" s="2" t="s">
        <v>4404</v>
      </c>
      <c r="B2048" s="2" t="s">
        <v>4405</v>
      </c>
      <c r="C2048" s="2" t="s">
        <v>35</v>
      </c>
      <c r="D2048" s="2" t="s">
        <v>27</v>
      </c>
      <c r="E2048" s="5">
        <v>-28738</v>
      </c>
      <c r="F2048" s="3" t="s">
        <v>359</v>
      </c>
      <c r="G2048" s="3" t="s">
        <v>52</v>
      </c>
      <c r="H2048" s="2" t="s">
        <v>21</v>
      </c>
      <c r="I2048" s="2" t="s">
        <v>4423</v>
      </c>
      <c r="J2048" s="3" t="str">
        <f>HYPERLINK("https://www.boe.es/gazeta/dias/1821/04/25/pdfs/GMD-1821-117.pdf#page=2","Abrir facsímil")</f>
        <v>Abrir facsímil</v>
      </c>
      <c r="K2048" s="3" t="s">
        <v>23</v>
      </c>
    </row>
    <row r="2049" spans="1:11" ht="42" customHeight="1">
      <c r="A2049" s="2" t="s">
        <v>4404</v>
      </c>
      <c r="B2049" s="2" t="s">
        <v>4405</v>
      </c>
      <c r="C2049" s="2" t="s">
        <v>40</v>
      </c>
      <c r="D2049" s="2" t="s">
        <v>41</v>
      </c>
      <c r="E2049" s="5">
        <v>-28733</v>
      </c>
      <c r="F2049" s="3" t="s">
        <v>1033</v>
      </c>
      <c r="G2049" s="3" t="s">
        <v>52</v>
      </c>
      <c r="H2049" s="2" t="s">
        <v>21</v>
      </c>
      <c r="I2049" s="2" t="s">
        <v>4424</v>
      </c>
      <c r="J2049" s="3" t="str">
        <f>HYPERLINK("https://www.boe.es/gazeta/dias/1821/04/30/pdfs/GMD-1821-122.pdf#page=2","Abrir facsímil")</f>
        <v>Abrir facsímil</v>
      </c>
      <c r="K2049" s="3" t="s">
        <v>23</v>
      </c>
    </row>
    <row r="2050" spans="1:11" ht="42" customHeight="1">
      <c r="A2050" s="2" t="s">
        <v>4404</v>
      </c>
      <c r="B2050" s="2" t="s">
        <v>4405</v>
      </c>
      <c r="C2050" s="2" t="s">
        <v>26</v>
      </c>
      <c r="D2050" s="2" t="s">
        <v>27</v>
      </c>
      <c r="E2050" s="5">
        <v>-28728</v>
      </c>
      <c r="F2050" s="3" t="s">
        <v>1038</v>
      </c>
      <c r="G2050" s="3" t="s">
        <v>52</v>
      </c>
      <c r="H2050" s="2" t="s">
        <v>21</v>
      </c>
      <c r="I2050" s="2" t="s">
        <v>4425</v>
      </c>
      <c r="J2050" s="3" t="str">
        <f>HYPERLINK("https://www.boe.es/gazeta/dias/1821/05/05/pdfs/GMD-1821-127.pdf#page=2","Abrir facsímil")</f>
        <v>Abrir facsímil</v>
      </c>
      <c r="K2050" s="3" t="s">
        <v>23</v>
      </c>
    </row>
    <row r="2051" spans="1:11" ht="42" customHeight="1">
      <c r="A2051" s="2" t="s">
        <v>4404</v>
      </c>
      <c r="B2051" s="2" t="s">
        <v>4405</v>
      </c>
      <c r="C2051" s="2" t="s">
        <v>40</v>
      </c>
      <c r="D2051" s="2" t="s">
        <v>41</v>
      </c>
      <c r="E2051" s="5">
        <v>-28718</v>
      </c>
      <c r="F2051" s="3" t="s">
        <v>583</v>
      </c>
      <c r="G2051" s="3" t="s">
        <v>52</v>
      </c>
      <c r="H2051" s="2" t="s">
        <v>21</v>
      </c>
      <c r="I2051" s="2" t="s">
        <v>4426</v>
      </c>
      <c r="J2051" s="3" t="str">
        <f>HYPERLINK("https://www.boe.es/gazeta/dias/1821/05/15/pdfs/GMD-1821-137.pdf#page=2","Abrir facsímil")</f>
        <v>Abrir facsímil</v>
      </c>
      <c r="K2051" s="3" t="s">
        <v>23</v>
      </c>
    </row>
    <row r="2052" spans="1:11" ht="42" customHeight="1">
      <c r="A2052" s="2" t="s">
        <v>4404</v>
      </c>
      <c r="B2052" s="2" t="s">
        <v>4405</v>
      </c>
      <c r="C2052" s="2" t="s">
        <v>26</v>
      </c>
      <c r="D2052" s="2" t="s">
        <v>27</v>
      </c>
      <c r="E2052" s="5">
        <v>-28708</v>
      </c>
      <c r="F2052" s="3" t="s">
        <v>528</v>
      </c>
      <c r="G2052" s="3" t="s">
        <v>1716</v>
      </c>
      <c r="H2052" s="2" t="s">
        <v>21</v>
      </c>
      <c r="I2052" s="2" t="s">
        <v>4427</v>
      </c>
      <c r="J2052" s="3" t="str">
        <f>HYPERLINK("https://www.boe.es/gazeta/dias/1821/05/25/pdfs/GMD-1821-147.pdf#page=2","Abrir facsímil")</f>
        <v>Abrir facsímil</v>
      </c>
      <c r="K2052" s="3" t="s">
        <v>23</v>
      </c>
    </row>
    <row r="2053" spans="1:11" ht="42" customHeight="1">
      <c r="A2053" s="2" t="s">
        <v>4404</v>
      </c>
      <c r="B2053" s="2" t="s">
        <v>4405</v>
      </c>
      <c r="C2053" s="2" t="s">
        <v>26</v>
      </c>
      <c r="D2053" s="2" t="s">
        <v>27</v>
      </c>
      <c r="E2053" s="5">
        <v>-28703</v>
      </c>
      <c r="F2053" s="3" t="s">
        <v>231</v>
      </c>
      <c r="G2053" s="3" t="s">
        <v>43</v>
      </c>
      <c r="H2053" s="2" t="s">
        <v>21</v>
      </c>
      <c r="I2053" s="2" t="s">
        <v>4428</v>
      </c>
      <c r="J2053" s="3" t="str">
        <f>HYPERLINK("https://www.boe.es/gazeta/dias/1821/05/30/pdfs/GMD-1821-152.pdf#page=1","Abrir facsímil")</f>
        <v>Abrir facsímil</v>
      </c>
      <c r="K2053" s="3" t="s">
        <v>23</v>
      </c>
    </row>
    <row r="2054" spans="1:11" ht="42" customHeight="1">
      <c r="A2054" s="2" t="s">
        <v>4404</v>
      </c>
      <c r="B2054" s="2" t="s">
        <v>4405</v>
      </c>
      <c r="C2054" s="2" t="s">
        <v>174</v>
      </c>
      <c r="D2054" s="2" t="s">
        <v>27</v>
      </c>
      <c r="E2054" s="5">
        <v>-28700</v>
      </c>
      <c r="F2054" s="3" t="s">
        <v>701</v>
      </c>
      <c r="G2054" s="3" t="s">
        <v>43</v>
      </c>
      <c r="H2054" s="2" t="s">
        <v>21</v>
      </c>
      <c r="I2054" s="2" t="s">
        <v>4429</v>
      </c>
      <c r="J2054" s="3" t="str">
        <f>HYPERLINK("https://www.boe.es/gazeta/dias/1821/06/02/pdfs/GMD-1821-155.pdf#page=1","Abrir facsímil")</f>
        <v>Abrir facsímil</v>
      </c>
      <c r="K2054" s="3" t="s">
        <v>23</v>
      </c>
    </row>
    <row r="2055" spans="1:11" ht="42" customHeight="1">
      <c r="A2055" s="2" t="s">
        <v>4404</v>
      </c>
      <c r="B2055" s="2" t="s">
        <v>4405</v>
      </c>
      <c r="C2055" s="2" t="s">
        <v>174</v>
      </c>
      <c r="D2055" s="2" t="s">
        <v>27</v>
      </c>
      <c r="E2055" s="5">
        <v>-28699</v>
      </c>
      <c r="F2055" s="3" t="s">
        <v>280</v>
      </c>
      <c r="G2055" s="3" t="s">
        <v>52</v>
      </c>
      <c r="H2055" s="2" t="s">
        <v>21</v>
      </c>
      <c r="I2055" s="2" t="s">
        <v>4430</v>
      </c>
      <c r="J2055" s="3" t="str">
        <f>HYPERLINK("https://www.boe.es/gazeta/dias/1821/06/03/pdfs/GMD-1821-156.pdf#page=2","Abrir facsímil")</f>
        <v>Abrir facsímil</v>
      </c>
      <c r="K2055" s="3" t="s">
        <v>23</v>
      </c>
    </row>
    <row r="2056" spans="1:11" ht="42" customHeight="1">
      <c r="A2056" s="2" t="s">
        <v>4404</v>
      </c>
      <c r="B2056" s="2" t="s">
        <v>4405</v>
      </c>
      <c r="C2056" s="2" t="s">
        <v>17</v>
      </c>
      <c r="D2056" s="2" t="s">
        <v>18</v>
      </c>
      <c r="E2056" s="5">
        <v>-28690</v>
      </c>
      <c r="F2056" s="3" t="s">
        <v>846</v>
      </c>
      <c r="G2056" s="3" t="s">
        <v>43</v>
      </c>
      <c r="H2056" s="2" t="s">
        <v>21</v>
      </c>
      <c r="I2056" s="2" t="s">
        <v>4431</v>
      </c>
      <c r="J2056" s="3" t="str">
        <f>HYPERLINK("https://www.boe.es/gazeta/dias/1821/06/12/pdfs/GMD-1821-165.pdf#page=1","Abrir facsímil")</f>
        <v>Abrir facsímil</v>
      </c>
      <c r="K2056" s="3" t="s">
        <v>23</v>
      </c>
    </row>
    <row r="2057" spans="1:11" ht="42" customHeight="1">
      <c r="A2057" s="2" t="s">
        <v>4432</v>
      </c>
      <c r="B2057" s="2" t="s">
        <v>4433</v>
      </c>
      <c r="C2057" s="2" t="s">
        <v>17</v>
      </c>
      <c r="D2057" s="2" t="s">
        <v>18</v>
      </c>
      <c r="E2057" s="5">
        <v>-28685</v>
      </c>
      <c r="F2057" s="3" t="s">
        <v>303</v>
      </c>
      <c r="G2057" s="3" t="s">
        <v>52</v>
      </c>
      <c r="H2057" s="2" t="s">
        <v>21</v>
      </c>
      <c r="I2057" s="2" t="s">
        <v>4434</v>
      </c>
      <c r="J2057" s="3" t="str">
        <f>HYPERLINK("https://www.boe.es/gazeta/dias/1821/06/17/pdfs/GMD-1821-170.pdf#page=2","Abrir facsímil")</f>
        <v>Abrir facsímil</v>
      </c>
      <c r="K2057" s="3" t="s">
        <v>23</v>
      </c>
    </row>
    <row r="2058" spans="1:11" ht="42" customHeight="1">
      <c r="A2058" s="2" t="s">
        <v>4404</v>
      </c>
      <c r="B2058" s="2" t="s">
        <v>4405</v>
      </c>
      <c r="C2058" s="2" t="s">
        <v>70</v>
      </c>
      <c r="D2058" s="2" t="s">
        <v>27</v>
      </c>
      <c r="E2058" s="5">
        <v>-28666</v>
      </c>
      <c r="F2058" s="3" t="s">
        <v>1263</v>
      </c>
      <c r="G2058" s="3" t="s">
        <v>20</v>
      </c>
      <c r="H2058" s="2" t="s">
        <v>21</v>
      </c>
      <c r="I2058" s="2" t="s">
        <v>4435</v>
      </c>
      <c r="J2058" s="3" t="str">
        <f>HYPERLINK("https://www.boe.es/gazeta/dias/1821/07/06/pdfs/GMD-1821-190.pdf#page=3","Abrir facsímil")</f>
        <v>Abrir facsímil</v>
      </c>
      <c r="K2058" s="3" t="s">
        <v>23</v>
      </c>
    </row>
    <row r="2059" spans="1:11" ht="42" customHeight="1">
      <c r="A2059" s="2" t="s">
        <v>4404</v>
      </c>
      <c r="B2059" s="2" t="s">
        <v>4405</v>
      </c>
      <c r="C2059" s="2" t="s">
        <v>40</v>
      </c>
      <c r="D2059" s="2" t="s">
        <v>41</v>
      </c>
      <c r="E2059" s="5">
        <v>-28661</v>
      </c>
      <c r="F2059" s="3" t="s">
        <v>2298</v>
      </c>
      <c r="G2059" s="3" t="s">
        <v>162</v>
      </c>
      <c r="H2059" s="2" t="s">
        <v>21</v>
      </c>
      <c r="I2059" s="2" t="s">
        <v>4436</v>
      </c>
      <c r="J2059" s="3" t="str">
        <f>HYPERLINK("https://www.boe.es/gazeta/dias/1821/07/11/pdfs/GMD-1821-196.pdf#page=5","Abrir facsímil")</f>
        <v>Abrir facsímil</v>
      </c>
      <c r="K2059" s="3" t="s">
        <v>23</v>
      </c>
    </row>
    <row r="2060" spans="1:11" ht="42" customHeight="1">
      <c r="A2060" s="2" t="s">
        <v>4404</v>
      </c>
      <c r="B2060" s="2" t="s">
        <v>4405</v>
      </c>
      <c r="C2060" s="2" t="s">
        <v>35</v>
      </c>
      <c r="D2060" s="2" t="s">
        <v>27</v>
      </c>
      <c r="E2060" s="5">
        <v>-28654</v>
      </c>
      <c r="F2060" s="3" t="s">
        <v>674</v>
      </c>
      <c r="G2060" s="3" t="s">
        <v>20</v>
      </c>
      <c r="H2060" s="2" t="s">
        <v>21</v>
      </c>
      <c r="I2060" s="2" t="s">
        <v>4437</v>
      </c>
      <c r="J2060" s="3" t="str">
        <f>HYPERLINK("https://www.boe.es/gazeta/dias/1821/07/18/pdfs/GMD-1821-203.pdf#page=3","Abrir facsímil")</f>
        <v>Abrir facsímil</v>
      </c>
      <c r="K2060" s="3" t="s">
        <v>23</v>
      </c>
    </row>
    <row r="2061" spans="1:11" ht="42" customHeight="1">
      <c r="A2061" s="2" t="s">
        <v>4404</v>
      </c>
      <c r="B2061" s="2" t="s">
        <v>4405</v>
      </c>
      <c r="C2061" s="2" t="s">
        <v>70</v>
      </c>
      <c r="D2061" s="2" t="s">
        <v>27</v>
      </c>
      <c r="E2061" s="5">
        <v>-28653</v>
      </c>
      <c r="F2061" s="3" t="s">
        <v>1179</v>
      </c>
      <c r="G2061" s="3" t="s">
        <v>20</v>
      </c>
      <c r="H2061" s="2" t="s">
        <v>21</v>
      </c>
      <c r="I2061" s="2" t="s">
        <v>4438</v>
      </c>
      <c r="J2061" s="3" t="str">
        <f>HYPERLINK("https://www.boe.es/gazeta/dias/1821/07/19/pdfs/GMD-1821-204.pdf#page=3","Abrir facsímil")</f>
        <v>Abrir facsímil</v>
      </c>
      <c r="K2061" s="3" t="s">
        <v>23</v>
      </c>
    </row>
    <row r="2062" spans="1:11" ht="42" customHeight="1">
      <c r="A2062" s="2" t="s">
        <v>4404</v>
      </c>
      <c r="B2062" s="2" t="s">
        <v>4405</v>
      </c>
      <c r="C2062" s="2" t="s">
        <v>26</v>
      </c>
      <c r="D2062" s="2" t="s">
        <v>27</v>
      </c>
      <c r="E2062" s="5">
        <v>-28652</v>
      </c>
      <c r="F2062" s="3" t="s">
        <v>1314</v>
      </c>
      <c r="G2062" s="3" t="s">
        <v>52</v>
      </c>
      <c r="H2062" s="2" t="s">
        <v>21</v>
      </c>
      <c r="I2062" s="2" t="s">
        <v>4439</v>
      </c>
      <c r="J2062" s="3" t="str">
        <f>HYPERLINK("https://www.boe.es/gazeta/dias/1821/07/20/pdfs/GMD-1821-205.pdf#page=2","Abrir facsímil")</f>
        <v>Abrir facsímil</v>
      </c>
      <c r="K2062" s="3" t="s">
        <v>23</v>
      </c>
    </row>
    <row r="2063" spans="1:11" ht="42" customHeight="1">
      <c r="A2063" s="2" t="s">
        <v>4404</v>
      </c>
      <c r="B2063" s="2" t="s">
        <v>4405</v>
      </c>
      <c r="C2063" s="2" t="s">
        <v>40</v>
      </c>
      <c r="D2063" s="2" t="s">
        <v>41</v>
      </c>
      <c r="E2063" s="5">
        <v>-28651</v>
      </c>
      <c r="F2063" s="3" t="s">
        <v>1518</v>
      </c>
      <c r="G2063" s="3" t="s">
        <v>1917</v>
      </c>
      <c r="H2063" s="2" t="s">
        <v>21</v>
      </c>
      <c r="I2063" s="2" t="s">
        <v>4440</v>
      </c>
      <c r="J2063" s="3" t="str">
        <f>HYPERLINK("https://www.boe.es/gazeta/dias/1821/07/21/pdfs/GMD-1821-206.pdf#page=3","Abrir facsímil")</f>
        <v>Abrir facsímil</v>
      </c>
      <c r="K2063" s="3" t="s">
        <v>23</v>
      </c>
    </row>
    <row r="2064" spans="1:11" ht="42" customHeight="1">
      <c r="A2064" s="2" t="s">
        <v>4404</v>
      </c>
      <c r="B2064" s="2" t="s">
        <v>4405</v>
      </c>
      <c r="C2064" s="2" t="s">
        <v>35</v>
      </c>
      <c r="D2064" s="2" t="s">
        <v>27</v>
      </c>
      <c r="E2064" s="5">
        <v>-28650</v>
      </c>
      <c r="F2064" s="3" t="s">
        <v>3285</v>
      </c>
      <c r="G2064" s="3" t="s">
        <v>20</v>
      </c>
      <c r="H2064" s="2" t="s">
        <v>21</v>
      </c>
      <c r="I2064" s="2" t="s">
        <v>4441</v>
      </c>
      <c r="J2064" s="3" t="str">
        <f>HYPERLINK("https://www.boe.es/gazeta/dias/1821/07/22/pdfs/GMD-1821-207.pdf#page=3","Abrir facsímil")</f>
        <v>Abrir facsímil</v>
      </c>
      <c r="K2064" s="3" t="s">
        <v>23</v>
      </c>
    </row>
    <row r="2065" spans="1:11" ht="42" customHeight="1">
      <c r="A2065" s="2" t="s">
        <v>4404</v>
      </c>
      <c r="B2065" s="2" t="s">
        <v>4405</v>
      </c>
      <c r="C2065" s="2" t="s">
        <v>17</v>
      </c>
      <c r="D2065" s="2" t="s">
        <v>18</v>
      </c>
      <c r="E2065" s="5">
        <v>-28648</v>
      </c>
      <c r="F2065" s="3" t="s">
        <v>1520</v>
      </c>
      <c r="G2065" s="3" t="s">
        <v>52</v>
      </c>
      <c r="H2065" s="2" t="s">
        <v>21</v>
      </c>
      <c r="I2065" s="2" t="s">
        <v>4442</v>
      </c>
      <c r="J2065" s="3" t="str">
        <f>HYPERLINK("https://www.boe.es/gazeta/dias/1821/07/24/pdfs/GMD-1821-209.pdf#page=2","Abrir facsímil")</f>
        <v>Abrir facsímil</v>
      </c>
      <c r="K2065" s="3" t="s">
        <v>23</v>
      </c>
    </row>
    <row r="2066" spans="1:11" ht="42" customHeight="1">
      <c r="A2066" s="2" t="s">
        <v>4404</v>
      </c>
      <c r="B2066" s="2" t="s">
        <v>4405</v>
      </c>
      <c r="C2066" s="2" t="s">
        <v>40</v>
      </c>
      <c r="D2066" s="2" t="s">
        <v>41</v>
      </c>
      <c r="E2066" s="5">
        <v>-28642</v>
      </c>
      <c r="F2066" s="3" t="s">
        <v>734</v>
      </c>
      <c r="G2066" s="3" t="s">
        <v>3536</v>
      </c>
      <c r="H2066" s="2" t="s">
        <v>21</v>
      </c>
      <c r="I2066" s="2" t="s">
        <v>4443</v>
      </c>
      <c r="J2066" s="3" t="str">
        <f>HYPERLINK("https://www.boe.es/gazeta/dias/1821/07/30/pdfs/GMD-1821-215.pdf#page=3","Abrir facsímil")</f>
        <v>Abrir facsímil</v>
      </c>
      <c r="K2066" s="3" t="s">
        <v>23</v>
      </c>
    </row>
    <row r="2067" spans="1:11" ht="42" customHeight="1">
      <c r="A2067" s="2" t="s">
        <v>4404</v>
      </c>
      <c r="B2067" s="2" t="s">
        <v>4405</v>
      </c>
      <c r="C2067" s="2" t="s">
        <v>17</v>
      </c>
      <c r="D2067" s="2" t="s">
        <v>18</v>
      </c>
      <c r="E2067" s="5">
        <v>-28637</v>
      </c>
      <c r="F2067" s="3" t="s">
        <v>3049</v>
      </c>
      <c r="G2067" s="3" t="s">
        <v>52</v>
      </c>
      <c r="H2067" s="2" t="s">
        <v>21</v>
      </c>
      <c r="I2067" s="2" t="s">
        <v>4444</v>
      </c>
      <c r="J2067" s="3" t="str">
        <f>HYPERLINK("https://www.boe.es/gazeta/dias/1821/08/04/pdfs/GMD-1821-220.pdf#page=2","Abrir facsímil")</f>
        <v>Abrir facsímil</v>
      </c>
      <c r="K2067" s="3" t="s">
        <v>23</v>
      </c>
    </row>
    <row r="2068" spans="1:11" ht="42" customHeight="1">
      <c r="A2068" s="2" t="s">
        <v>4404</v>
      </c>
      <c r="B2068" s="2" t="s">
        <v>4405</v>
      </c>
      <c r="C2068" s="2" t="s">
        <v>26</v>
      </c>
      <c r="D2068" s="2" t="s">
        <v>27</v>
      </c>
      <c r="E2068" s="5">
        <v>-28630</v>
      </c>
      <c r="F2068" s="3" t="s">
        <v>616</v>
      </c>
      <c r="G2068" s="3" t="s">
        <v>52</v>
      </c>
      <c r="H2068" s="2" t="s">
        <v>21</v>
      </c>
      <c r="I2068" s="2" t="s">
        <v>4445</v>
      </c>
      <c r="J2068" s="3" t="str">
        <f>HYPERLINK("https://www.boe.es/gazeta/dias/1821/08/11/pdfs/GMD-1821-228.pdf#page=2","Abrir facsímil")</f>
        <v>Abrir facsímil</v>
      </c>
      <c r="K2068" s="3" t="s">
        <v>23</v>
      </c>
    </row>
    <row r="2069" spans="1:11" ht="42" customHeight="1">
      <c r="A2069" s="2" t="s">
        <v>4446</v>
      </c>
      <c r="B2069" s="2" t="s">
        <v>4447</v>
      </c>
      <c r="C2069" s="2" t="s">
        <v>40</v>
      </c>
      <c r="D2069" s="2" t="s">
        <v>41</v>
      </c>
      <c r="E2069" s="5">
        <v>-28628</v>
      </c>
      <c r="F2069" s="3" t="s">
        <v>4257</v>
      </c>
      <c r="G2069" s="3" t="s">
        <v>20</v>
      </c>
      <c r="H2069" s="2" t="s">
        <v>21</v>
      </c>
      <c r="I2069" s="2" t="s">
        <v>4448</v>
      </c>
      <c r="J2069" s="3" t="str">
        <f>HYPERLINK("https://www.boe.es/gazeta/dias/1821/08/13/pdfs/GMD-1821-230.pdf#page=3","Abrir facsímil")</f>
        <v>Abrir facsímil</v>
      </c>
      <c r="K2069" s="3" t="s">
        <v>23</v>
      </c>
    </row>
    <row r="2070" spans="1:11" ht="42" customHeight="1">
      <c r="A2070" s="2" t="s">
        <v>4404</v>
      </c>
      <c r="B2070" s="2" t="s">
        <v>4405</v>
      </c>
      <c r="C2070" s="2" t="s">
        <v>279</v>
      </c>
      <c r="D2070" s="2" t="s">
        <v>27</v>
      </c>
      <c r="E2070" s="5">
        <v>-28623</v>
      </c>
      <c r="F2070" s="3" t="s">
        <v>2767</v>
      </c>
      <c r="G2070" s="3" t="s">
        <v>52</v>
      </c>
      <c r="H2070" s="2" t="s">
        <v>21</v>
      </c>
      <c r="I2070" s="2" t="s">
        <v>4449</v>
      </c>
      <c r="J2070" s="3" t="str">
        <f>HYPERLINK("https://www.boe.es/gazeta/dias/1821/08/18/pdfs/GMD-1821-235.pdf#page=2","Abrir facsímil")</f>
        <v>Abrir facsímil</v>
      </c>
      <c r="K2070" s="3" t="s">
        <v>23</v>
      </c>
    </row>
    <row r="2071" spans="1:11" ht="42" customHeight="1">
      <c r="A2071" s="2" t="s">
        <v>4404</v>
      </c>
      <c r="B2071" s="2" t="s">
        <v>4405</v>
      </c>
      <c r="C2071" s="2" t="s">
        <v>35</v>
      </c>
      <c r="D2071" s="2" t="s">
        <v>27</v>
      </c>
      <c r="E2071" s="5">
        <v>-28615</v>
      </c>
      <c r="F2071" s="3" t="s">
        <v>427</v>
      </c>
      <c r="G2071" s="3" t="s">
        <v>20</v>
      </c>
      <c r="H2071" s="2" t="s">
        <v>21</v>
      </c>
      <c r="I2071" s="2" t="s">
        <v>4450</v>
      </c>
      <c r="J2071" s="3" t="str">
        <f>HYPERLINK("https://www.boe.es/gazeta/dias/1821/08/26/pdfs/GMD-1821-243.pdf#page=3","Abrir facsímil")</f>
        <v>Abrir facsímil</v>
      </c>
      <c r="K2071" s="3" t="s">
        <v>23</v>
      </c>
    </row>
    <row r="2072" spans="1:11" ht="42" customHeight="1">
      <c r="A2072" s="2" t="s">
        <v>4404</v>
      </c>
      <c r="B2072" s="2" t="s">
        <v>4405</v>
      </c>
      <c r="C2072" s="2" t="s">
        <v>26</v>
      </c>
      <c r="D2072" s="2" t="s">
        <v>27</v>
      </c>
      <c r="E2072" s="5">
        <v>-28614</v>
      </c>
      <c r="F2072" s="3" t="s">
        <v>4451</v>
      </c>
      <c r="G2072" s="3" t="s">
        <v>20</v>
      </c>
      <c r="H2072" s="2" t="s">
        <v>21</v>
      </c>
      <c r="I2072" s="2" t="s">
        <v>4452</v>
      </c>
      <c r="J2072" s="3" t="str">
        <f>HYPERLINK("https://www.boe.es/gazeta/dias/1821/08/27/pdfs/GMD-1821-244.pdf#page=3","Abrir facsímil")</f>
        <v>Abrir facsímil</v>
      </c>
      <c r="K2072" s="3" t="s">
        <v>23</v>
      </c>
    </row>
    <row r="2073" spans="1:11" ht="42" customHeight="1">
      <c r="A2073" s="2" t="s">
        <v>4404</v>
      </c>
      <c r="B2073" s="2" t="s">
        <v>4405</v>
      </c>
      <c r="C2073" s="2" t="s">
        <v>17</v>
      </c>
      <c r="D2073" s="2" t="s">
        <v>18</v>
      </c>
      <c r="E2073" s="5">
        <v>-28597</v>
      </c>
      <c r="F2073" s="3" t="s">
        <v>811</v>
      </c>
      <c r="G2073" s="3" t="s">
        <v>20</v>
      </c>
      <c r="H2073" s="2" t="s">
        <v>21</v>
      </c>
      <c r="I2073" s="2" t="s">
        <v>4453</v>
      </c>
      <c r="J2073" s="3" t="str">
        <f>HYPERLINK("https://www.boe.es/gazeta/dias/1821/09/13/pdfs/GMD-1821-261.pdf#page=3","Abrir facsímil")</f>
        <v>Abrir facsímil</v>
      </c>
      <c r="K2073" s="3" t="s">
        <v>23</v>
      </c>
    </row>
    <row r="2074" spans="1:11" ht="42" customHeight="1">
      <c r="A2074" s="2" t="s">
        <v>4404</v>
      </c>
      <c r="B2074" s="2" t="s">
        <v>4405</v>
      </c>
      <c r="C2074" s="2" t="s">
        <v>35</v>
      </c>
      <c r="D2074" s="2" t="s">
        <v>27</v>
      </c>
      <c r="E2074" s="5">
        <v>-28595</v>
      </c>
      <c r="F2074" s="3" t="s">
        <v>1621</v>
      </c>
      <c r="G2074" s="3" t="s">
        <v>52</v>
      </c>
      <c r="H2074" s="2" t="s">
        <v>21</v>
      </c>
      <c r="I2074" s="2" t="s">
        <v>4454</v>
      </c>
      <c r="J2074" s="3" t="str">
        <f>HYPERLINK("https://www.boe.es/gazeta/dias/1821/09/15/pdfs/GMD-1821-263.pdf#page=2","Abrir facsímil")</f>
        <v>Abrir facsímil</v>
      </c>
      <c r="K2074" s="3" t="s">
        <v>23</v>
      </c>
    </row>
    <row r="2075" spans="1:11" ht="42" customHeight="1">
      <c r="A2075" s="2" t="s">
        <v>4404</v>
      </c>
      <c r="B2075" s="2" t="s">
        <v>4405</v>
      </c>
      <c r="C2075" s="2" t="s">
        <v>17</v>
      </c>
      <c r="D2075" s="2" t="s">
        <v>18</v>
      </c>
      <c r="E2075" s="5">
        <v>-28594</v>
      </c>
      <c r="F2075" s="3" t="s">
        <v>2412</v>
      </c>
      <c r="G2075" s="3" t="s">
        <v>20</v>
      </c>
      <c r="H2075" s="2" t="s">
        <v>21</v>
      </c>
      <c r="I2075" s="2" t="s">
        <v>4455</v>
      </c>
      <c r="J2075" s="3" t="str">
        <f>HYPERLINK("https://www.boe.es/gazeta/dias/1821/09/16/pdfs/GMD-1821-264.pdf#page=3","Abrir facsímil")</f>
        <v>Abrir facsímil</v>
      </c>
      <c r="K2075" s="3" t="s">
        <v>23</v>
      </c>
    </row>
    <row r="2076" spans="1:11" ht="42" customHeight="1">
      <c r="A2076" s="2" t="s">
        <v>4404</v>
      </c>
      <c r="B2076" s="2" t="s">
        <v>4405</v>
      </c>
      <c r="C2076" s="2" t="s">
        <v>35</v>
      </c>
      <c r="D2076" s="2" t="s">
        <v>27</v>
      </c>
      <c r="E2076" s="5">
        <v>-28590</v>
      </c>
      <c r="F2076" s="3" t="s">
        <v>2787</v>
      </c>
      <c r="G2076" s="3" t="s">
        <v>52</v>
      </c>
      <c r="H2076" s="2" t="s">
        <v>21</v>
      </c>
      <c r="I2076" s="2" t="s">
        <v>4456</v>
      </c>
      <c r="J2076" s="3" t="str">
        <f>HYPERLINK("https://www.boe.es/gazeta/dias/1821/09/20/pdfs/GMD-1821-268.pdf#page=2","Abrir facsímil")</f>
        <v>Abrir facsímil</v>
      </c>
      <c r="K2076" s="3" t="s">
        <v>23</v>
      </c>
    </row>
    <row r="2077" spans="1:11" ht="42" customHeight="1">
      <c r="A2077" s="2" t="s">
        <v>4404</v>
      </c>
      <c r="B2077" s="2" t="s">
        <v>4405</v>
      </c>
      <c r="C2077" s="2" t="s">
        <v>40</v>
      </c>
      <c r="D2077" s="2" t="s">
        <v>41</v>
      </c>
      <c r="E2077" s="5">
        <v>-28589</v>
      </c>
      <c r="F2077" s="3" t="s">
        <v>3130</v>
      </c>
      <c r="G2077" s="3" t="s">
        <v>52</v>
      </c>
      <c r="H2077" s="2" t="s">
        <v>21</v>
      </c>
      <c r="I2077" s="2" t="s">
        <v>4457</v>
      </c>
      <c r="J2077" s="3" t="str">
        <f>HYPERLINK("https://www.boe.es/gazeta/dias/1821/09/21/pdfs/GMD-1821-269.pdf#page=2","Abrir facsímil")</f>
        <v>Abrir facsímil</v>
      </c>
      <c r="K2077" s="3" t="s">
        <v>23</v>
      </c>
    </row>
    <row r="2078" spans="1:11" ht="42" customHeight="1">
      <c r="A2078" s="2" t="s">
        <v>4404</v>
      </c>
      <c r="B2078" s="2" t="s">
        <v>4405</v>
      </c>
      <c r="C2078" s="2" t="s">
        <v>17</v>
      </c>
      <c r="D2078" s="2" t="s">
        <v>18</v>
      </c>
      <c r="E2078" s="5">
        <v>-28532</v>
      </c>
      <c r="F2078" s="3" t="s">
        <v>1415</v>
      </c>
      <c r="G2078" s="3" t="s">
        <v>52</v>
      </c>
      <c r="H2078" s="2" t="s">
        <v>21</v>
      </c>
      <c r="I2078" s="2" t="s">
        <v>4458</v>
      </c>
      <c r="J2078" s="3" t="str">
        <f>HYPERLINK("https://www.boe.es/gazeta/dias/1821/11/17/pdfs/GMD-1821-328.pdf#page=2","Abrir facsímil")</f>
        <v>Abrir facsímil</v>
      </c>
      <c r="K2078" s="3" t="s">
        <v>23</v>
      </c>
    </row>
    <row r="2079" spans="1:11" ht="42" customHeight="1">
      <c r="A2079" s="2" t="s">
        <v>4404</v>
      </c>
      <c r="B2079" s="2" t="s">
        <v>4405</v>
      </c>
      <c r="C2079" s="2" t="s">
        <v>35</v>
      </c>
      <c r="D2079" s="2" t="s">
        <v>27</v>
      </c>
      <c r="E2079" s="5">
        <v>-28525</v>
      </c>
      <c r="F2079" s="3" t="s">
        <v>186</v>
      </c>
      <c r="G2079" s="3" t="s">
        <v>52</v>
      </c>
      <c r="H2079" s="2" t="s">
        <v>21</v>
      </c>
      <c r="I2079" s="2" t="s">
        <v>4459</v>
      </c>
      <c r="J2079" s="3" t="str">
        <f>HYPERLINK("https://www.boe.es/gazeta/dias/1821/11/24/pdfs/GMD-1821-335.pdf#page=2","Abrir facsímil")</f>
        <v>Abrir facsímil</v>
      </c>
      <c r="K2079" s="3" t="s">
        <v>23</v>
      </c>
    </row>
    <row r="2080" spans="1:11" ht="42" customHeight="1">
      <c r="A2080" s="2" t="s">
        <v>4460</v>
      </c>
      <c r="B2080" s="2" t="s">
        <v>4461</v>
      </c>
      <c r="C2080" s="2" t="s">
        <v>17</v>
      </c>
      <c r="D2080" s="2" t="s">
        <v>18</v>
      </c>
      <c r="E2080" s="5">
        <v>-28773</v>
      </c>
      <c r="F2080" s="3" t="s">
        <v>1755</v>
      </c>
      <c r="G2080" s="3" t="s">
        <v>52</v>
      </c>
      <c r="H2080" s="2" t="s">
        <v>21</v>
      </c>
      <c r="I2080" s="2" t="s">
        <v>4462</v>
      </c>
      <c r="J2080" s="3" t="str">
        <f>HYPERLINK("https://www.boe.es/gazeta/dias/1821/03/21/pdfs/GMD-1821-80.pdf#page=2","Abrir facsímil")</f>
        <v>Abrir facsímil</v>
      </c>
      <c r="K2080" s="3" t="s">
        <v>23</v>
      </c>
    </row>
    <row r="2081" spans="1:11" ht="42" customHeight="1">
      <c r="A2081" s="2" t="s">
        <v>4460</v>
      </c>
      <c r="B2081" s="2" t="s">
        <v>4461</v>
      </c>
      <c r="C2081" s="2" t="s">
        <v>40</v>
      </c>
      <c r="D2081" s="2" t="s">
        <v>41</v>
      </c>
      <c r="E2081" s="5">
        <v>-28598</v>
      </c>
      <c r="F2081" s="3" t="s">
        <v>1206</v>
      </c>
      <c r="G2081" s="3" t="s">
        <v>52</v>
      </c>
      <c r="H2081" s="2" t="s">
        <v>21</v>
      </c>
      <c r="I2081" s="2" t="s">
        <v>4463</v>
      </c>
      <c r="J2081" s="3" t="str">
        <f>HYPERLINK("https://www.boe.es/gazeta/dias/1821/09/12/pdfs/GMD-1821-260.pdf#page=2","Abrir facsímil")</f>
        <v>Abrir facsímil</v>
      </c>
      <c r="K2081" s="3" t="s">
        <v>23</v>
      </c>
    </row>
    <row r="2082" spans="1:11" ht="42" customHeight="1">
      <c r="A2082" s="2" t="s">
        <v>4464</v>
      </c>
      <c r="B2082" s="2" t="s">
        <v>4465</v>
      </c>
      <c r="C2082" s="2" t="s">
        <v>17</v>
      </c>
      <c r="D2082" s="2" t="s">
        <v>18</v>
      </c>
      <c r="E2082" s="5">
        <v>-28781</v>
      </c>
      <c r="F2082" s="3" t="s">
        <v>149</v>
      </c>
      <c r="G2082" s="3" t="s">
        <v>20</v>
      </c>
      <c r="H2082" s="2" t="s">
        <v>21</v>
      </c>
      <c r="I2082" s="2" t="s">
        <v>4466</v>
      </c>
      <c r="J2082" s="3" t="str">
        <f>HYPERLINK("https://www.boe.es/gazeta/dias/1821/03/13/pdfs/GMD-1821-72.pdf#page=3","Abrir facsímil")</f>
        <v>Abrir facsímil</v>
      </c>
      <c r="K2082" s="3" t="s">
        <v>23</v>
      </c>
    </row>
    <row r="2083" spans="1:11" ht="42" customHeight="1">
      <c r="A2083" s="2" t="s">
        <v>4464</v>
      </c>
      <c r="B2083" s="2" t="s">
        <v>4465</v>
      </c>
      <c r="C2083" s="2" t="s">
        <v>35</v>
      </c>
      <c r="D2083" s="2" t="s">
        <v>27</v>
      </c>
      <c r="E2083" s="5">
        <v>-28740</v>
      </c>
      <c r="F2083" s="3" t="s">
        <v>2800</v>
      </c>
      <c r="G2083" s="3" t="s">
        <v>52</v>
      </c>
      <c r="H2083" s="2" t="s">
        <v>21</v>
      </c>
      <c r="I2083" s="2" t="s">
        <v>4467</v>
      </c>
      <c r="J2083" s="3" t="str">
        <f>HYPERLINK("https://www.boe.es/gazeta/dias/1821/04/23/pdfs/GMD-1821-115.pdf#page=2","Abrir facsímil")</f>
        <v>Abrir facsímil</v>
      </c>
      <c r="K2083" s="3" t="s">
        <v>23</v>
      </c>
    </row>
    <row r="2084" spans="1:11" ht="42" customHeight="1">
      <c r="A2084" s="2" t="s">
        <v>4468</v>
      </c>
      <c r="B2084" s="2" t="s">
        <v>4469</v>
      </c>
      <c r="C2084" s="2" t="s">
        <v>17</v>
      </c>
      <c r="D2084" s="2" t="s">
        <v>18</v>
      </c>
      <c r="E2084" s="5">
        <v>-28728</v>
      </c>
      <c r="F2084" s="3" t="s">
        <v>1038</v>
      </c>
      <c r="G2084" s="3" t="s">
        <v>20</v>
      </c>
      <c r="H2084" s="2" t="s">
        <v>21</v>
      </c>
      <c r="I2084" s="2" t="s">
        <v>4470</v>
      </c>
      <c r="J2084" s="3" t="str">
        <f>HYPERLINK("https://www.boe.es/gazeta/dias/1821/05/05/pdfs/GMD-1821-127.pdf#page=3","Abrir facsímil")</f>
        <v>Abrir facsímil</v>
      </c>
      <c r="K2084" s="3" t="s">
        <v>23</v>
      </c>
    </row>
    <row r="2085" spans="1:11" ht="42" customHeight="1">
      <c r="A2085" s="2" t="s">
        <v>4471</v>
      </c>
      <c r="B2085" s="2" t="s">
        <v>4472</v>
      </c>
      <c r="C2085" s="2" t="s">
        <v>35</v>
      </c>
      <c r="D2085" s="2" t="s">
        <v>27</v>
      </c>
      <c r="E2085" s="5">
        <v>-28655</v>
      </c>
      <c r="F2085" s="3" t="s">
        <v>2530</v>
      </c>
      <c r="G2085" s="3" t="s">
        <v>52</v>
      </c>
      <c r="H2085" s="2" t="s">
        <v>21</v>
      </c>
      <c r="I2085" s="2" t="s">
        <v>4473</v>
      </c>
      <c r="J2085" s="3" t="str">
        <f>HYPERLINK("https://www.boe.es/gazeta/dias/1821/07/17/pdfs/GMD-1821-202.pdf#page=2","Abrir facsímil")</f>
        <v>Abrir facsímil</v>
      </c>
      <c r="K2085" s="3" t="s">
        <v>23</v>
      </c>
    </row>
    <row r="2086" spans="1:11" ht="42" customHeight="1">
      <c r="A2086" s="2" t="s">
        <v>4474</v>
      </c>
      <c r="B2086" s="2" t="s">
        <v>4475</v>
      </c>
      <c r="C2086" s="2" t="s">
        <v>40</v>
      </c>
      <c r="D2086" s="2" t="s">
        <v>41</v>
      </c>
      <c r="E2086" s="5">
        <v>-28806</v>
      </c>
      <c r="F2086" s="3" t="s">
        <v>1201</v>
      </c>
      <c r="G2086" s="3" t="s">
        <v>3200</v>
      </c>
      <c r="H2086" s="2" t="s">
        <v>21</v>
      </c>
      <c r="I2086" s="2" t="s">
        <v>4476</v>
      </c>
      <c r="J2086" s="3" t="str">
        <f>HYPERLINK("https://www.boe.es/gazeta/dias/1821/02/16/pdfs/GGB-1821-47.pdf#page=3","Abrir facsímil")</f>
        <v>Abrir facsímil</v>
      </c>
      <c r="K2086" s="3" t="s">
        <v>23</v>
      </c>
    </row>
    <row r="2087" spans="1:11" ht="42" customHeight="1">
      <c r="A2087" s="2" t="s">
        <v>4477</v>
      </c>
      <c r="B2087" s="2" t="s">
        <v>4478</v>
      </c>
      <c r="C2087" s="2" t="s">
        <v>17</v>
      </c>
      <c r="D2087" s="2" t="s">
        <v>18</v>
      </c>
      <c r="E2087" s="5">
        <v>-28806</v>
      </c>
      <c r="F2087" s="3" t="s">
        <v>1201</v>
      </c>
      <c r="G2087" s="3" t="s">
        <v>3200</v>
      </c>
      <c r="H2087" s="2" t="s">
        <v>21</v>
      </c>
      <c r="I2087" s="2" t="s">
        <v>4479</v>
      </c>
      <c r="J2087" s="3" t="str">
        <f>HYPERLINK("https://www.boe.es/gazeta/dias/1821/02/16/pdfs/GGB-1821-47.pdf#page=3","Abrir facsímil")</f>
        <v>Abrir facsímil</v>
      </c>
      <c r="K2087" s="3" t="s">
        <v>23</v>
      </c>
    </row>
    <row r="2088" spans="1:11" ht="42" customHeight="1">
      <c r="A2088" s="2" t="s">
        <v>4480</v>
      </c>
      <c r="B2088" s="2" t="s">
        <v>4481</v>
      </c>
      <c r="C2088" s="2" t="s">
        <v>35</v>
      </c>
      <c r="D2088" s="2" t="s">
        <v>27</v>
      </c>
      <c r="E2088" s="5">
        <v>-28690</v>
      </c>
      <c r="F2088" s="3" t="s">
        <v>846</v>
      </c>
      <c r="G2088" s="3" t="s">
        <v>43</v>
      </c>
      <c r="H2088" s="2" t="s">
        <v>21</v>
      </c>
      <c r="I2088" s="2" t="s">
        <v>4482</v>
      </c>
      <c r="J2088" s="3" t="str">
        <f>HYPERLINK("https://www.boe.es/gazeta/dias/1821/06/12/pdfs/GMD-1821-165.pdf#page=1","Abrir facsímil")</f>
        <v>Abrir facsímil</v>
      </c>
      <c r="K2088" s="3" t="s">
        <v>23</v>
      </c>
    </row>
    <row r="2089" spans="1:11" ht="42" customHeight="1">
      <c r="A2089" s="2" t="s">
        <v>4483</v>
      </c>
      <c r="B2089" s="2" t="s">
        <v>4483</v>
      </c>
      <c r="C2089" s="2" t="s">
        <v>40</v>
      </c>
      <c r="D2089" s="2" t="s">
        <v>41</v>
      </c>
      <c r="E2089" s="5">
        <v>-28787</v>
      </c>
      <c r="F2089" s="3" t="s">
        <v>486</v>
      </c>
      <c r="G2089" s="3" t="s">
        <v>52</v>
      </c>
      <c r="H2089" s="2" t="s">
        <v>21</v>
      </c>
      <c r="I2089" s="2" t="s">
        <v>4484</v>
      </c>
      <c r="J2089" s="3" t="str">
        <f>HYPERLINK("https://www.boe.es/gazeta/dias/1821/03/07/pdfs/GGB-1821-66.pdf#page=2","Abrir facsímil")</f>
        <v>Abrir facsímil</v>
      </c>
      <c r="K2089" s="3" t="s">
        <v>23</v>
      </c>
    </row>
    <row r="2090" spans="1:11" ht="42" customHeight="1">
      <c r="A2090" s="2" t="s">
        <v>4485</v>
      </c>
      <c r="B2090" s="2" t="s">
        <v>4486</v>
      </c>
      <c r="C2090" s="2" t="s">
        <v>174</v>
      </c>
      <c r="D2090" s="2" t="s">
        <v>27</v>
      </c>
      <c r="E2090" s="5">
        <v>-28535</v>
      </c>
      <c r="F2090" s="3" t="s">
        <v>96</v>
      </c>
      <c r="G2090" s="3" t="s">
        <v>52</v>
      </c>
      <c r="H2090" s="2" t="s">
        <v>21</v>
      </c>
      <c r="I2090" s="2" t="s">
        <v>4487</v>
      </c>
      <c r="J2090" s="3" t="str">
        <f>HYPERLINK("https://www.boe.es/gazeta/dias/1821/11/14/pdfs/GMD-1821-325.pdf#page=2","Abrir facsímil")</f>
        <v>Abrir facsímil</v>
      </c>
      <c r="K2090" s="3" t="s">
        <v>23</v>
      </c>
    </row>
    <row r="2091" spans="1:11" ht="42" customHeight="1">
      <c r="A2091" s="2" t="s">
        <v>4488</v>
      </c>
      <c r="B2091" s="2" t="s">
        <v>4489</v>
      </c>
      <c r="C2091" s="2" t="s">
        <v>35</v>
      </c>
      <c r="D2091" s="2" t="s">
        <v>27</v>
      </c>
      <c r="E2091" s="5">
        <v>-28543</v>
      </c>
      <c r="F2091" s="3" t="s">
        <v>136</v>
      </c>
      <c r="G2091" s="3" t="s">
        <v>88</v>
      </c>
      <c r="H2091" s="2" t="s">
        <v>21</v>
      </c>
      <c r="I2091" s="2" t="s">
        <v>4490</v>
      </c>
      <c r="J2091" s="3" t="str">
        <f>HYPERLINK("https://www.boe.es/gazeta/dias/1821/11/06/pdfs/GMD-1821-317.pdf#page=4","Abrir facsímil")</f>
        <v>Abrir facsímil</v>
      </c>
      <c r="K2091" s="3" t="s">
        <v>23</v>
      </c>
    </row>
    <row r="2092" spans="1:11" ht="42" customHeight="1">
      <c r="A2092" s="2" t="s">
        <v>4491</v>
      </c>
      <c r="B2092" s="2" t="s">
        <v>4492</v>
      </c>
      <c r="C2092" s="2" t="s">
        <v>40</v>
      </c>
      <c r="D2092" s="2" t="s">
        <v>41</v>
      </c>
      <c r="E2092" s="5">
        <v>-28549</v>
      </c>
      <c r="F2092" s="3" t="s">
        <v>930</v>
      </c>
      <c r="G2092" s="3" t="s">
        <v>29</v>
      </c>
      <c r="H2092" s="2" t="s">
        <v>21</v>
      </c>
      <c r="I2092" s="2" t="s">
        <v>4493</v>
      </c>
      <c r="J2092" s="3" t="str">
        <f>HYPERLINK("https://www.boe.es/gazeta/dias/1821/10/31/pdfs/GMD-1821-310.pdf#page=6","Abrir facsímil")</f>
        <v>Abrir facsímil</v>
      </c>
      <c r="K2092" s="3" t="s">
        <v>23</v>
      </c>
    </row>
    <row r="2093" spans="1:11" ht="42" customHeight="1">
      <c r="A2093" s="2" t="s">
        <v>4494</v>
      </c>
      <c r="B2093" s="2" t="s">
        <v>4494</v>
      </c>
      <c r="C2093" s="2" t="s">
        <v>174</v>
      </c>
      <c r="D2093" s="2" t="s">
        <v>27</v>
      </c>
      <c r="E2093" s="5">
        <v>-28775</v>
      </c>
      <c r="F2093" s="3" t="s">
        <v>132</v>
      </c>
      <c r="G2093" s="3" t="s">
        <v>20</v>
      </c>
      <c r="H2093" s="2" t="s">
        <v>21</v>
      </c>
      <c r="I2093" s="2" t="s">
        <v>4495</v>
      </c>
      <c r="J2093" s="3" t="str">
        <f>HYPERLINK("https://www.boe.es/gazeta/dias/1821/03/19/pdfs/GMD-1821-78.pdf#page=3","Abrir facsímil")</f>
        <v>Abrir facsímil</v>
      </c>
      <c r="K2093" s="3" t="s">
        <v>23</v>
      </c>
    </row>
    <row r="2094" spans="1:11" ht="42" customHeight="1">
      <c r="A2094" s="2" t="s">
        <v>4494</v>
      </c>
      <c r="B2094" s="2" t="s">
        <v>4494</v>
      </c>
      <c r="C2094" s="2" t="s">
        <v>35</v>
      </c>
      <c r="D2094" s="2" t="s">
        <v>27</v>
      </c>
      <c r="E2094" s="5">
        <v>-28774</v>
      </c>
      <c r="F2094" s="3" t="s">
        <v>1221</v>
      </c>
      <c r="G2094" s="3" t="s">
        <v>52</v>
      </c>
      <c r="H2094" s="2" t="s">
        <v>21</v>
      </c>
      <c r="I2094" s="2" t="s">
        <v>4496</v>
      </c>
      <c r="J2094" s="3" t="str">
        <f>HYPERLINK("https://www.boe.es/gazeta/dias/1821/03/20/pdfs/GMD-1821-79.pdf#page=2","Abrir facsímil")</f>
        <v>Abrir facsímil</v>
      </c>
      <c r="K2094" s="3" t="s">
        <v>23</v>
      </c>
    </row>
    <row r="2095" spans="1:11" ht="42" customHeight="1">
      <c r="A2095" s="2" t="s">
        <v>4494</v>
      </c>
      <c r="B2095" s="2" t="s">
        <v>4494</v>
      </c>
      <c r="C2095" s="2" t="s">
        <v>70</v>
      </c>
      <c r="D2095" s="2" t="s">
        <v>27</v>
      </c>
      <c r="E2095" s="5">
        <v>-28704</v>
      </c>
      <c r="F2095" s="3" t="s">
        <v>1050</v>
      </c>
      <c r="G2095" s="3" t="s">
        <v>52</v>
      </c>
      <c r="H2095" s="2" t="s">
        <v>21</v>
      </c>
      <c r="I2095" s="2" t="s">
        <v>4497</v>
      </c>
      <c r="J2095" s="3" t="str">
        <f>HYPERLINK("https://www.boe.es/gazeta/dias/1821/05/29/pdfs/GMD-1821-151.pdf#page=2","Abrir facsímil")</f>
        <v>Abrir facsímil</v>
      </c>
      <c r="K2095" s="3" t="s">
        <v>23</v>
      </c>
    </row>
    <row r="2096" spans="1:11" ht="42" customHeight="1">
      <c r="A2096" s="2" t="s">
        <v>4494</v>
      </c>
      <c r="B2096" s="2" t="s">
        <v>4494</v>
      </c>
      <c r="C2096" s="2" t="s">
        <v>279</v>
      </c>
      <c r="D2096" s="2" t="s">
        <v>27</v>
      </c>
      <c r="E2096" s="5">
        <v>-28699</v>
      </c>
      <c r="F2096" s="3" t="s">
        <v>280</v>
      </c>
      <c r="G2096" s="3" t="s">
        <v>162</v>
      </c>
      <c r="H2096" s="2" t="s">
        <v>21</v>
      </c>
      <c r="I2096" s="2" t="s">
        <v>4498</v>
      </c>
      <c r="J2096" s="3" t="str">
        <f>HYPERLINK("https://www.boe.es/gazeta/dias/1821/06/03/pdfs/GMD-1821-156.pdf#page=5","Abrir facsímil")</f>
        <v>Abrir facsímil</v>
      </c>
      <c r="K2096" s="3" t="s">
        <v>23</v>
      </c>
    </row>
    <row r="2097" spans="1:11" ht="42" customHeight="1">
      <c r="A2097" s="2" t="s">
        <v>4494</v>
      </c>
      <c r="B2097" s="2" t="s">
        <v>4494</v>
      </c>
      <c r="C2097" s="2" t="s">
        <v>114</v>
      </c>
      <c r="D2097" s="2" t="s">
        <v>27</v>
      </c>
      <c r="E2097" s="5">
        <v>-28696</v>
      </c>
      <c r="F2097" s="3" t="s">
        <v>497</v>
      </c>
      <c r="G2097" s="3" t="s">
        <v>52</v>
      </c>
      <c r="H2097" s="2" t="s">
        <v>21</v>
      </c>
      <c r="I2097" s="2" t="s">
        <v>4499</v>
      </c>
      <c r="J2097" s="3" t="str">
        <f>HYPERLINK("https://www.boe.es/gazeta/dias/1821/06/06/pdfs/GMD-1821-159.pdf#page=2","Abrir facsímil")</f>
        <v>Abrir facsímil</v>
      </c>
      <c r="K2097" s="3" t="s">
        <v>23</v>
      </c>
    </row>
    <row r="2098" spans="1:11" ht="42" customHeight="1">
      <c r="A2098" s="2" t="s">
        <v>4494</v>
      </c>
      <c r="B2098" s="2" t="s">
        <v>4494</v>
      </c>
      <c r="C2098" s="2" t="s">
        <v>174</v>
      </c>
      <c r="D2098" s="2" t="s">
        <v>27</v>
      </c>
      <c r="E2098" s="5">
        <v>-28693</v>
      </c>
      <c r="F2098" s="3" t="s">
        <v>74</v>
      </c>
      <c r="G2098" s="3" t="s">
        <v>88</v>
      </c>
      <c r="H2098" s="2" t="s">
        <v>21</v>
      </c>
      <c r="I2098" s="2" t="s">
        <v>4500</v>
      </c>
      <c r="J2098" s="3" t="str">
        <f>HYPERLINK("https://www.boe.es/gazeta/dias/1821/06/09/pdfs/GMD-1821-162.pdf#page=4","Abrir facsímil")</f>
        <v>Abrir facsímil</v>
      </c>
      <c r="K2098" s="3" t="s">
        <v>23</v>
      </c>
    </row>
    <row r="2099" spans="1:11" ht="42" customHeight="1">
      <c r="A2099" s="2" t="s">
        <v>4494</v>
      </c>
      <c r="B2099" s="2" t="s">
        <v>4494</v>
      </c>
      <c r="C2099" s="2" t="s">
        <v>17</v>
      </c>
      <c r="D2099" s="2" t="s">
        <v>18</v>
      </c>
      <c r="E2099" s="5">
        <v>-28687</v>
      </c>
      <c r="F2099" s="3" t="s">
        <v>851</v>
      </c>
      <c r="G2099" s="3" t="s">
        <v>20</v>
      </c>
      <c r="H2099" s="2" t="s">
        <v>21</v>
      </c>
      <c r="I2099" s="2" t="s">
        <v>4501</v>
      </c>
      <c r="J2099" s="3" t="str">
        <f>HYPERLINK("https://www.boe.es/gazeta/dias/1821/06/15/pdfs/GMD-1821-168.pdf#page=3","Abrir facsímil")</f>
        <v>Abrir facsímil</v>
      </c>
      <c r="K2099" s="3" t="s">
        <v>23</v>
      </c>
    </row>
    <row r="2100" spans="1:11" ht="42" customHeight="1">
      <c r="A2100" s="2" t="s">
        <v>4494</v>
      </c>
      <c r="B2100" s="2" t="s">
        <v>4494</v>
      </c>
      <c r="C2100" s="2" t="s">
        <v>17</v>
      </c>
      <c r="D2100" s="2" t="s">
        <v>18</v>
      </c>
      <c r="E2100" s="5">
        <v>-28686</v>
      </c>
      <c r="F2100" s="3" t="s">
        <v>115</v>
      </c>
      <c r="G2100" s="3" t="s">
        <v>52</v>
      </c>
      <c r="H2100" s="2" t="s">
        <v>21</v>
      </c>
      <c r="I2100" s="2" t="s">
        <v>4502</v>
      </c>
      <c r="J2100" s="3" t="str">
        <f>HYPERLINK("https://www.boe.es/gazeta/dias/1821/06/16/pdfs/GMD-1821-169.pdf#page=2","Abrir facsímil")</f>
        <v>Abrir facsímil</v>
      </c>
      <c r="K2100" s="3" t="s">
        <v>23</v>
      </c>
    </row>
    <row r="2101" spans="1:11" ht="42" customHeight="1">
      <c r="A2101" s="2" t="s">
        <v>4494</v>
      </c>
      <c r="B2101" s="2" t="s">
        <v>4494</v>
      </c>
      <c r="C2101" s="2" t="s">
        <v>70</v>
      </c>
      <c r="D2101" s="2" t="s">
        <v>27</v>
      </c>
      <c r="E2101" s="5">
        <v>-28686</v>
      </c>
      <c r="F2101" s="3" t="s">
        <v>115</v>
      </c>
      <c r="G2101" s="3" t="s">
        <v>20</v>
      </c>
      <c r="H2101" s="2" t="s">
        <v>21</v>
      </c>
      <c r="I2101" s="2" t="s">
        <v>4503</v>
      </c>
      <c r="J2101" s="3" t="str">
        <f>HYPERLINK("https://www.boe.es/gazeta/dias/1821/06/16/pdfs/GMD-1821-169.pdf#page=3","Abrir facsímil")</f>
        <v>Abrir facsímil</v>
      </c>
      <c r="K2101" s="3" t="s">
        <v>23</v>
      </c>
    </row>
    <row r="2102" spans="1:11" ht="42" customHeight="1">
      <c r="A2102" s="2" t="s">
        <v>4494</v>
      </c>
      <c r="B2102" s="2" t="s">
        <v>4494</v>
      </c>
      <c r="C2102" s="2" t="s">
        <v>17</v>
      </c>
      <c r="D2102" s="2" t="s">
        <v>18</v>
      </c>
      <c r="E2102" s="5">
        <v>-28677</v>
      </c>
      <c r="F2102" s="3" t="s">
        <v>361</v>
      </c>
      <c r="G2102" s="3" t="s">
        <v>88</v>
      </c>
      <c r="H2102" s="2" t="s">
        <v>21</v>
      </c>
      <c r="I2102" s="2" t="s">
        <v>4504</v>
      </c>
      <c r="J2102" s="3" t="str">
        <f>HYPERLINK("https://www.boe.es/gazeta/dias/1821/06/25/pdfs/GMD-1821-178.pdf#page=4","Abrir facsímil")</f>
        <v>Abrir facsímil</v>
      </c>
      <c r="K2102" s="3" t="s">
        <v>23</v>
      </c>
    </row>
    <row r="2103" spans="1:11" ht="42" customHeight="1">
      <c r="A2103" s="2" t="s">
        <v>4505</v>
      </c>
      <c r="B2103" s="2" t="s">
        <v>4506</v>
      </c>
      <c r="C2103" s="2" t="s">
        <v>26</v>
      </c>
      <c r="D2103" s="2" t="s">
        <v>27</v>
      </c>
      <c r="E2103" s="5">
        <v>-28629</v>
      </c>
      <c r="F2103" s="3" t="s">
        <v>235</v>
      </c>
      <c r="G2103" s="3" t="s">
        <v>88</v>
      </c>
      <c r="H2103" s="2" t="s">
        <v>21</v>
      </c>
      <c r="I2103" s="2" t="s">
        <v>4507</v>
      </c>
      <c r="J2103" s="3" t="str">
        <f>HYPERLINK("https://www.boe.es/gazeta/dias/1821/08/12/pdfs/GMD-1821-229.pdf#page=4","Abrir facsímil")</f>
        <v>Abrir facsímil</v>
      </c>
      <c r="K2103" s="3" t="s">
        <v>23</v>
      </c>
    </row>
    <row r="2104" spans="1:11" ht="42" customHeight="1">
      <c r="A2104" s="2" t="s">
        <v>4505</v>
      </c>
      <c r="B2104" s="2" t="s">
        <v>4506</v>
      </c>
      <c r="C2104" s="2" t="s">
        <v>26</v>
      </c>
      <c r="D2104" s="2" t="s">
        <v>27</v>
      </c>
      <c r="E2104" s="5">
        <v>-28537</v>
      </c>
      <c r="F2104" s="3" t="s">
        <v>56</v>
      </c>
      <c r="G2104" s="3" t="s">
        <v>52</v>
      </c>
      <c r="H2104" s="2" t="s">
        <v>21</v>
      </c>
      <c r="I2104" s="2" t="s">
        <v>4508</v>
      </c>
      <c r="J2104" s="3" t="str">
        <f>HYPERLINK("https://www.boe.es/gazeta/dias/1821/11/12/pdfs/GMD-1821-323.pdf#page=2","Abrir facsímil")</f>
        <v>Abrir facsímil</v>
      </c>
      <c r="K2104" s="3" t="s">
        <v>23</v>
      </c>
    </row>
    <row r="2105" spans="1:11" ht="42" customHeight="1">
      <c r="A2105" s="2" t="s">
        <v>4509</v>
      </c>
      <c r="B2105" s="2" t="s">
        <v>4509</v>
      </c>
      <c r="C2105" s="2" t="s">
        <v>17</v>
      </c>
      <c r="D2105" s="2" t="s">
        <v>18</v>
      </c>
      <c r="E2105" s="5">
        <v>-28821</v>
      </c>
      <c r="F2105" s="3" t="s">
        <v>371</v>
      </c>
      <c r="G2105" s="3" t="s">
        <v>52</v>
      </c>
      <c r="H2105" s="2" t="s">
        <v>21</v>
      </c>
      <c r="I2105" s="2" t="s">
        <v>4510</v>
      </c>
      <c r="J2105" s="3" t="str">
        <f>HYPERLINK("https://www.boe.es/gazeta/dias/1821/02/01/pdfs/GGB-1821-32.pdf#page=2","Abrir facsímil")</f>
        <v>Abrir facsímil</v>
      </c>
      <c r="K2105" s="3" t="s">
        <v>23</v>
      </c>
    </row>
    <row r="2106" spans="1:11" ht="42" customHeight="1">
      <c r="A2106" s="2" t="s">
        <v>4509</v>
      </c>
      <c r="B2106" s="2" t="s">
        <v>4509</v>
      </c>
      <c r="C2106" s="2" t="s">
        <v>40</v>
      </c>
      <c r="D2106" s="2" t="s">
        <v>41</v>
      </c>
      <c r="E2106" s="5">
        <v>-28781</v>
      </c>
      <c r="F2106" s="3" t="s">
        <v>149</v>
      </c>
      <c r="G2106" s="3" t="s">
        <v>162</v>
      </c>
      <c r="H2106" s="2" t="s">
        <v>21</v>
      </c>
      <c r="I2106" s="2" t="s">
        <v>4511</v>
      </c>
      <c r="J2106" s="3" t="str">
        <f>HYPERLINK("https://www.boe.es/gazeta/dias/1821/03/13/pdfs/GMD-1821-72.pdf#page=5","Abrir facsímil")</f>
        <v>Abrir facsímil</v>
      </c>
      <c r="K2106" s="3" t="s">
        <v>23</v>
      </c>
    </row>
    <row r="2107" spans="1:11" ht="42" customHeight="1">
      <c r="A2107" s="2" t="s">
        <v>4509</v>
      </c>
      <c r="B2107" s="2" t="s">
        <v>4509</v>
      </c>
      <c r="C2107" s="2" t="s">
        <v>40</v>
      </c>
      <c r="D2107" s="2" t="s">
        <v>41</v>
      </c>
      <c r="E2107" s="5">
        <v>-28759</v>
      </c>
      <c r="F2107" s="3" t="s">
        <v>71</v>
      </c>
      <c r="G2107" s="3" t="s">
        <v>88</v>
      </c>
      <c r="H2107" s="2" t="s">
        <v>21</v>
      </c>
      <c r="I2107" s="2" t="s">
        <v>4512</v>
      </c>
      <c r="J2107" s="3" t="str">
        <f>HYPERLINK("https://www.boe.es/gazeta/dias/1821/04/04/pdfs/GMD-1821-96.pdf#page=4","Abrir facsímil")</f>
        <v>Abrir facsímil</v>
      </c>
      <c r="K2107" s="3" t="s">
        <v>23</v>
      </c>
    </row>
    <row r="2108" spans="1:11" ht="42" customHeight="1">
      <c r="A2108" s="2" t="s">
        <v>4509</v>
      </c>
      <c r="B2108" s="2" t="s">
        <v>4509</v>
      </c>
      <c r="C2108" s="2" t="s">
        <v>40</v>
      </c>
      <c r="D2108" s="2" t="s">
        <v>41</v>
      </c>
      <c r="E2108" s="5">
        <v>-28758</v>
      </c>
      <c r="F2108" s="3" t="s">
        <v>4115</v>
      </c>
      <c r="G2108" s="3" t="s">
        <v>20</v>
      </c>
      <c r="H2108" s="2" t="s">
        <v>21</v>
      </c>
      <c r="I2108" s="2" t="s">
        <v>4513</v>
      </c>
      <c r="J2108" s="3" t="str">
        <f>HYPERLINK("https://www.boe.es/gazeta/dias/1821/04/05/pdfs/GMD-1821-97.pdf#page=3","Abrir facsímil")</f>
        <v>Abrir facsímil</v>
      </c>
      <c r="K2108" s="3" t="s">
        <v>23</v>
      </c>
    </row>
    <row r="2109" spans="1:11" ht="42" customHeight="1">
      <c r="A2109" s="2" t="s">
        <v>4509</v>
      </c>
      <c r="B2109" s="2" t="s">
        <v>4509</v>
      </c>
      <c r="C2109" s="2" t="s">
        <v>40</v>
      </c>
      <c r="D2109" s="2" t="s">
        <v>41</v>
      </c>
      <c r="E2109" s="5">
        <v>-28754</v>
      </c>
      <c r="F2109" s="3" t="s">
        <v>1942</v>
      </c>
      <c r="G2109" s="3" t="s">
        <v>20</v>
      </c>
      <c r="H2109" s="2" t="s">
        <v>21</v>
      </c>
      <c r="I2109" s="2" t="s">
        <v>4514</v>
      </c>
      <c r="J2109" s="3" t="str">
        <f>HYPERLINK("https://www.boe.es/gazeta/dias/1821/04/09/pdfs/GMD-1821-101.pdf#page=3","Abrir facsímil")</f>
        <v>Abrir facsímil</v>
      </c>
      <c r="K2109" s="3" t="s">
        <v>23</v>
      </c>
    </row>
    <row r="2110" spans="1:11" ht="42" customHeight="1">
      <c r="A2110" s="2" t="s">
        <v>4509</v>
      </c>
      <c r="B2110" s="2" t="s">
        <v>4509</v>
      </c>
      <c r="C2110" s="2" t="s">
        <v>40</v>
      </c>
      <c r="D2110" s="2" t="s">
        <v>41</v>
      </c>
      <c r="E2110" s="5">
        <v>-28749</v>
      </c>
      <c r="F2110" s="3" t="s">
        <v>832</v>
      </c>
      <c r="G2110" s="3" t="s">
        <v>43</v>
      </c>
      <c r="H2110" s="2" t="s">
        <v>21</v>
      </c>
      <c r="I2110" s="2" t="s">
        <v>4515</v>
      </c>
      <c r="J2110" s="3" t="str">
        <f>HYPERLINK("https://www.boe.es/gazeta/dias/1821/04/14/pdfs/GMD-1821-106.pdf#page=1","Abrir facsímil")</f>
        <v>Abrir facsímil</v>
      </c>
      <c r="K2110" s="3" t="s">
        <v>23</v>
      </c>
    </row>
    <row r="2111" spans="1:11" ht="42" customHeight="1">
      <c r="A2111" s="2" t="s">
        <v>4516</v>
      </c>
      <c r="B2111" s="2" t="s">
        <v>4516</v>
      </c>
      <c r="C2111" s="2" t="s">
        <v>40</v>
      </c>
      <c r="D2111" s="2" t="s">
        <v>41</v>
      </c>
      <c r="E2111" s="5">
        <v>-28518</v>
      </c>
      <c r="F2111" s="3" t="s">
        <v>410</v>
      </c>
      <c r="G2111" s="3" t="s">
        <v>52</v>
      </c>
      <c r="H2111" s="2" t="s">
        <v>21</v>
      </c>
      <c r="I2111" s="2" t="s">
        <v>4517</v>
      </c>
      <c r="J2111" s="3" t="str">
        <f>HYPERLINK("https://www.boe.es/gazeta/dias/1821/12/01/pdfs/GMD-1821-343.pdf#page=2","Abrir facsímil")</f>
        <v>Abrir facsímil</v>
      </c>
      <c r="K2111" s="3" t="s">
        <v>23</v>
      </c>
    </row>
    <row r="2112" spans="1:11" ht="42" customHeight="1">
      <c r="A2112" s="2" t="s">
        <v>4518</v>
      </c>
      <c r="B2112" s="2" t="s">
        <v>4519</v>
      </c>
      <c r="C2112" s="2" t="s">
        <v>17</v>
      </c>
      <c r="D2112" s="2" t="s">
        <v>18</v>
      </c>
      <c r="E2112" s="5">
        <v>-28547</v>
      </c>
      <c r="F2112" s="3" t="s">
        <v>247</v>
      </c>
      <c r="G2112" s="3" t="s">
        <v>248</v>
      </c>
      <c r="H2112" s="2" t="s">
        <v>21</v>
      </c>
      <c r="I2112" s="2" t="s">
        <v>4520</v>
      </c>
      <c r="J2112" s="3" t="str">
        <f>HYPERLINK("https://www.boe.es/gazeta/dias/1821/11/02/pdfs/GMD-1821-312.pdf#page=2","Abrir facsímil")</f>
        <v>Abrir facsímil</v>
      </c>
      <c r="K2112" s="3" t="s">
        <v>23</v>
      </c>
    </row>
    <row r="2113" spans="1:11" ht="42" customHeight="1">
      <c r="A2113" s="2" t="s">
        <v>4521</v>
      </c>
      <c r="B2113" s="2" t="s">
        <v>4522</v>
      </c>
      <c r="C2113" s="2" t="s">
        <v>114</v>
      </c>
      <c r="D2113" s="2" t="s">
        <v>27</v>
      </c>
      <c r="E2113" s="5">
        <v>-28652</v>
      </c>
      <c r="F2113" s="3" t="s">
        <v>1314</v>
      </c>
      <c r="G2113" s="3" t="s">
        <v>20</v>
      </c>
      <c r="H2113" s="2" t="s">
        <v>21</v>
      </c>
      <c r="I2113" s="2" t="s">
        <v>4523</v>
      </c>
      <c r="J2113" s="3" t="str">
        <f>HYPERLINK("https://www.boe.es/gazeta/dias/1821/07/20/pdfs/GMD-1821-205.pdf#page=3","Abrir facsímil")</f>
        <v>Abrir facsímil</v>
      </c>
      <c r="K2113" s="3" t="s">
        <v>23</v>
      </c>
    </row>
    <row r="2114" spans="1:11" ht="42" customHeight="1">
      <c r="A2114" s="2" t="s">
        <v>4524</v>
      </c>
      <c r="B2114" s="2" t="s">
        <v>4525</v>
      </c>
      <c r="C2114" s="2" t="s">
        <v>26</v>
      </c>
      <c r="D2114" s="2" t="s">
        <v>27</v>
      </c>
      <c r="E2114" s="5">
        <v>-28553</v>
      </c>
      <c r="F2114" s="3" t="s">
        <v>182</v>
      </c>
      <c r="G2114" s="3" t="s">
        <v>29</v>
      </c>
      <c r="H2114" s="2" t="s">
        <v>21</v>
      </c>
      <c r="I2114" s="2" t="s">
        <v>4526</v>
      </c>
      <c r="J2114" s="3" t="str">
        <f>HYPERLINK("https://www.boe.es/gazeta/dias/1821/10/27/pdfs/GMD-1821-306.pdf#page=6","Abrir facsímil")</f>
        <v>Abrir facsímil</v>
      </c>
      <c r="K2114" s="3" t="s">
        <v>23</v>
      </c>
    </row>
    <row r="2115" spans="1:11" ht="42" customHeight="1">
      <c r="A2115" s="2" t="s">
        <v>4527</v>
      </c>
      <c r="B2115" s="2" t="s">
        <v>4528</v>
      </c>
      <c r="C2115" s="2" t="s">
        <v>35</v>
      </c>
      <c r="D2115" s="2" t="s">
        <v>27</v>
      </c>
      <c r="E2115" s="5">
        <v>-28798</v>
      </c>
      <c r="F2115" s="3" t="s">
        <v>60</v>
      </c>
      <c r="G2115" s="3" t="s">
        <v>52</v>
      </c>
      <c r="H2115" s="2" t="s">
        <v>21</v>
      </c>
      <c r="I2115" s="2" t="s">
        <v>4529</v>
      </c>
      <c r="J2115" s="3" t="str">
        <f>HYPERLINK("https://www.boe.es/gazeta/dias/1821/02/24/pdfs/GGB-1821-55.pdf#page=2","Abrir facsímil")</f>
        <v>Abrir facsímil</v>
      </c>
      <c r="K2115" s="3" t="s">
        <v>23</v>
      </c>
    </row>
    <row r="2116" spans="1:11" ht="42" customHeight="1">
      <c r="A2116" s="2" t="s">
        <v>4530</v>
      </c>
      <c r="B2116" s="2" t="s">
        <v>4531</v>
      </c>
      <c r="C2116" s="2" t="s">
        <v>26</v>
      </c>
      <c r="D2116" s="2" t="s">
        <v>27</v>
      </c>
      <c r="E2116" s="5">
        <v>-28746</v>
      </c>
      <c r="F2116" s="3" t="s">
        <v>687</v>
      </c>
      <c r="G2116" s="3" t="s">
        <v>88</v>
      </c>
      <c r="H2116" s="2" t="s">
        <v>21</v>
      </c>
      <c r="I2116" s="2" t="s">
        <v>4532</v>
      </c>
      <c r="J2116" s="3" t="str">
        <f>HYPERLINK("https://www.boe.es/gazeta/dias/1821/04/17/pdfs/GMD-1821-109.pdf#page=4","Abrir facsímil")</f>
        <v>Abrir facsímil</v>
      </c>
      <c r="K2116" s="3" t="s">
        <v>23</v>
      </c>
    </row>
    <row r="2117" spans="1:11" ht="42" customHeight="1">
      <c r="A2117" s="2" t="s">
        <v>4533</v>
      </c>
      <c r="B2117" s="2" t="s">
        <v>4534</v>
      </c>
      <c r="C2117" s="2" t="s">
        <v>26</v>
      </c>
      <c r="D2117" s="2" t="s">
        <v>27</v>
      </c>
      <c r="E2117" s="5">
        <v>-28696</v>
      </c>
      <c r="F2117" s="3" t="s">
        <v>497</v>
      </c>
      <c r="G2117" s="3" t="s">
        <v>43</v>
      </c>
      <c r="H2117" s="2" t="s">
        <v>21</v>
      </c>
      <c r="I2117" s="2" t="s">
        <v>4535</v>
      </c>
      <c r="J2117" s="3" t="str">
        <f>HYPERLINK("https://www.boe.es/gazeta/dias/1821/06/06/pdfs/GMD-1821-159.pdf#page=1","Abrir facsímil")</f>
        <v>Abrir facsímil</v>
      </c>
      <c r="K2117" s="3" t="s">
        <v>23</v>
      </c>
    </row>
    <row r="2118" spans="1:11" ht="42" customHeight="1">
      <c r="A2118" s="2" t="s">
        <v>4536</v>
      </c>
      <c r="B2118" s="2" t="s">
        <v>4537</v>
      </c>
      <c r="C2118" s="2" t="s">
        <v>26</v>
      </c>
      <c r="D2118" s="2" t="s">
        <v>27</v>
      </c>
      <c r="E2118" s="5">
        <v>-28633</v>
      </c>
      <c r="F2118" s="3" t="s">
        <v>2601</v>
      </c>
      <c r="G2118" s="3" t="s">
        <v>88</v>
      </c>
      <c r="H2118" s="2" t="s">
        <v>21</v>
      </c>
      <c r="I2118" s="2" t="s">
        <v>4538</v>
      </c>
      <c r="J2118" s="3" t="str">
        <f>HYPERLINK("https://www.boe.es/gazeta/dias/1821/08/08/pdfs/GMD-1821-224.pdf#page=4","Abrir facsímil")</f>
        <v>Abrir facsímil</v>
      </c>
      <c r="K2118" s="3" t="s">
        <v>23</v>
      </c>
    </row>
    <row r="2119" spans="1:11" ht="42" customHeight="1">
      <c r="A2119" s="2" t="s">
        <v>4539</v>
      </c>
      <c r="B2119" s="2" t="s">
        <v>4540</v>
      </c>
      <c r="C2119" s="2" t="s">
        <v>26</v>
      </c>
      <c r="D2119" s="2" t="s">
        <v>27</v>
      </c>
      <c r="E2119" s="5">
        <v>-28666</v>
      </c>
      <c r="F2119" s="3" t="s">
        <v>1263</v>
      </c>
      <c r="G2119" s="3" t="s">
        <v>88</v>
      </c>
      <c r="H2119" s="2" t="s">
        <v>21</v>
      </c>
      <c r="I2119" s="2" t="s">
        <v>4541</v>
      </c>
      <c r="J2119" s="3" t="str">
        <f>HYPERLINK("https://www.boe.es/gazeta/dias/1821/07/06/pdfs/GMD-1821-190.pdf#page=4","Abrir facsímil")</f>
        <v>Abrir facsímil</v>
      </c>
      <c r="K2119" s="3" t="s">
        <v>23</v>
      </c>
    </row>
    <row r="2120" spans="1:11" ht="42" customHeight="1">
      <c r="A2120" s="2" t="s">
        <v>4542</v>
      </c>
      <c r="B2120" s="2" t="s">
        <v>4543</v>
      </c>
      <c r="C2120" s="2" t="s">
        <v>26</v>
      </c>
      <c r="D2120" s="2" t="s">
        <v>27</v>
      </c>
      <c r="E2120" s="5">
        <v>-28584</v>
      </c>
      <c r="F2120" s="3" t="s">
        <v>4544</v>
      </c>
      <c r="G2120" s="3" t="s">
        <v>52</v>
      </c>
      <c r="H2120" s="2" t="s">
        <v>21</v>
      </c>
      <c r="I2120" s="2" t="s">
        <v>4545</v>
      </c>
      <c r="J2120" s="3" t="str">
        <f>HYPERLINK("https://www.boe.es/gazeta/dias/1821/09/26/pdfs/GMD-1821-274.pdf#page=2","Abrir facsímil")</f>
        <v>Abrir facsímil</v>
      </c>
      <c r="K2120" s="3" t="s">
        <v>23</v>
      </c>
    </row>
    <row r="2121" spans="1:11" ht="42" customHeight="1">
      <c r="A2121" s="2" t="s">
        <v>4546</v>
      </c>
      <c r="B2121" s="2" t="s">
        <v>4547</v>
      </c>
      <c r="C2121" s="2" t="s">
        <v>40</v>
      </c>
      <c r="D2121" s="2" t="s">
        <v>41</v>
      </c>
      <c r="E2121" s="5">
        <v>-28626</v>
      </c>
      <c r="F2121" s="3" t="s">
        <v>468</v>
      </c>
      <c r="G2121" s="3" t="s">
        <v>20</v>
      </c>
      <c r="H2121" s="2" t="s">
        <v>21</v>
      </c>
      <c r="I2121" s="2" t="s">
        <v>4548</v>
      </c>
      <c r="J2121" s="3" t="str">
        <f>HYPERLINK("https://www.boe.es/gazeta/dias/1821/08/15/pdfs/GMD-1821-232.pdf#page=3","Abrir facsímil")</f>
        <v>Abrir facsímil</v>
      </c>
      <c r="K2121" s="3" t="s">
        <v>23</v>
      </c>
    </row>
    <row r="2122" spans="1:11" ht="42" customHeight="1">
      <c r="A2122" s="2" t="s">
        <v>4549</v>
      </c>
      <c r="B2122" s="2" t="s">
        <v>4550</v>
      </c>
      <c r="C2122" s="2" t="s">
        <v>35</v>
      </c>
      <c r="D2122" s="2" t="s">
        <v>27</v>
      </c>
      <c r="E2122" s="5">
        <v>-28779</v>
      </c>
      <c r="F2122" s="3" t="s">
        <v>1002</v>
      </c>
      <c r="G2122" s="3" t="s">
        <v>43</v>
      </c>
      <c r="H2122" s="2" t="s">
        <v>21</v>
      </c>
      <c r="I2122" s="2" t="s">
        <v>4551</v>
      </c>
      <c r="J2122" s="3" t="str">
        <f>HYPERLINK("https://www.boe.es/gazeta/dias/1821/03/15/pdfs/GMD-1821-74.pdf#page=1","Abrir facsímil")</f>
        <v>Abrir facsímil</v>
      </c>
      <c r="K2122" s="3" t="s">
        <v>23</v>
      </c>
    </row>
    <row r="2123" spans="1:11" ht="42" customHeight="1">
      <c r="A2123" s="2" t="s">
        <v>4552</v>
      </c>
      <c r="B2123" s="2" t="s">
        <v>4553</v>
      </c>
      <c r="C2123" s="2" t="s">
        <v>40</v>
      </c>
      <c r="D2123" s="2" t="s">
        <v>41</v>
      </c>
      <c r="E2123" s="5">
        <v>-28647</v>
      </c>
      <c r="F2123" s="3" t="s">
        <v>1295</v>
      </c>
      <c r="G2123" s="3" t="s">
        <v>88</v>
      </c>
      <c r="H2123" s="2" t="s">
        <v>21</v>
      </c>
      <c r="I2123" s="2" t="s">
        <v>4554</v>
      </c>
      <c r="J2123" s="3" t="str">
        <f>HYPERLINK("https://www.boe.es/gazeta/dias/1821/07/25/pdfs/GMD-1821-210.pdf#page=4","Abrir facsímil")</f>
        <v>Abrir facsímil</v>
      </c>
      <c r="K2123" s="3" t="s">
        <v>23</v>
      </c>
    </row>
    <row r="2124" spans="1:11" ht="42" customHeight="1">
      <c r="A2124" s="2" t="s">
        <v>4555</v>
      </c>
      <c r="B2124" s="2" t="s">
        <v>4556</v>
      </c>
      <c r="C2124" s="2" t="s">
        <v>494</v>
      </c>
      <c r="D2124" s="2" t="s">
        <v>18</v>
      </c>
      <c r="E2124" s="5">
        <v>-28528</v>
      </c>
      <c r="F2124" s="3" t="s">
        <v>1872</v>
      </c>
      <c r="G2124" s="3" t="s">
        <v>52</v>
      </c>
      <c r="H2124" s="2" t="s">
        <v>21</v>
      </c>
      <c r="I2124" s="2" t="s">
        <v>4557</v>
      </c>
      <c r="J2124" s="3" t="str">
        <f>HYPERLINK("https://www.boe.es/gazeta/dias/1821/11/21/pdfs/GMD-1821-332.pdf#page=2","Abrir facsímil")</f>
        <v>Abrir facsímil</v>
      </c>
      <c r="K2124" s="3" t="s">
        <v>23</v>
      </c>
    </row>
    <row r="2125" spans="1:11" ht="42" customHeight="1">
      <c r="A2125" s="2" t="s">
        <v>4558</v>
      </c>
      <c r="B2125" s="2" t="s">
        <v>4559</v>
      </c>
      <c r="C2125" s="2" t="s">
        <v>174</v>
      </c>
      <c r="D2125" s="2" t="s">
        <v>27</v>
      </c>
      <c r="E2125" s="5">
        <v>-28662</v>
      </c>
      <c r="F2125" s="3" t="s">
        <v>3289</v>
      </c>
      <c r="G2125" s="3" t="s">
        <v>20</v>
      </c>
      <c r="H2125" s="2" t="s">
        <v>21</v>
      </c>
      <c r="I2125" s="2" t="s">
        <v>4560</v>
      </c>
      <c r="J2125" s="3" t="str">
        <f>HYPERLINK("https://www.boe.es/gazeta/dias/1821/07/10/pdfs/GMD-1821-195.pdf#page=3","Abrir facsímil")</f>
        <v>Abrir facsímil</v>
      </c>
      <c r="K2125" s="3" t="s">
        <v>23</v>
      </c>
    </row>
    <row r="2126" spans="1:11" ht="42" customHeight="1">
      <c r="A2126" s="2" t="s">
        <v>4561</v>
      </c>
      <c r="B2126" s="2" t="s">
        <v>4562</v>
      </c>
      <c r="C2126" s="2" t="s">
        <v>40</v>
      </c>
      <c r="D2126" s="2" t="s">
        <v>41</v>
      </c>
      <c r="E2126" s="5">
        <v>-28547</v>
      </c>
      <c r="F2126" s="3" t="s">
        <v>247</v>
      </c>
      <c r="G2126" s="3" t="s">
        <v>20</v>
      </c>
      <c r="H2126" s="2" t="s">
        <v>21</v>
      </c>
      <c r="I2126" s="2" t="s">
        <v>4563</v>
      </c>
      <c r="J2126" s="3" t="str">
        <f>HYPERLINK("https://www.boe.es/gazeta/dias/1821/11/02/pdfs/GMD-1821-312.pdf#page=3","Abrir facsímil")</f>
        <v>Abrir facsímil</v>
      </c>
      <c r="K2126" s="3" t="s">
        <v>23</v>
      </c>
    </row>
    <row r="2127" spans="1:11" ht="42" customHeight="1">
      <c r="A2127" s="2" t="s">
        <v>4564</v>
      </c>
      <c r="B2127" s="2" t="s">
        <v>4565</v>
      </c>
      <c r="C2127" s="2" t="s">
        <v>17</v>
      </c>
      <c r="D2127" s="2" t="s">
        <v>18</v>
      </c>
      <c r="E2127" s="5">
        <v>-28678</v>
      </c>
      <c r="F2127" s="3" t="s">
        <v>215</v>
      </c>
      <c r="G2127" s="3" t="s">
        <v>1445</v>
      </c>
      <c r="H2127" s="2" t="s">
        <v>21</v>
      </c>
      <c r="I2127" s="2" t="s">
        <v>4566</v>
      </c>
      <c r="J2127" s="3" t="str">
        <f>HYPERLINK("https://www.boe.es/gazeta/dias/1821/06/24/pdfs/GMD-1821-177.pdf#page=3","Abrir facsímil")</f>
        <v>Abrir facsímil</v>
      </c>
      <c r="K2127" s="3" t="s">
        <v>23</v>
      </c>
    </row>
    <row r="2128" spans="1:11" ht="42" customHeight="1">
      <c r="A2128" s="2" t="s">
        <v>4567</v>
      </c>
      <c r="B2128" s="2" t="s">
        <v>4568</v>
      </c>
      <c r="C2128" s="2" t="s">
        <v>35</v>
      </c>
      <c r="D2128" s="2" t="s">
        <v>27</v>
      </c>
      <c r="E2128" s="5">
        <v>-28729</v>
      </c>
      <c r="F2128" s="3" t="s">
        <v>838</v>
      </c>
      <c r="G2128" s="3" t="s">
        <v>52</v>
      </c>
      <c r="H2128" s="2" t="s">
        <v>21</v>
      </c>
      <c r="I2128" s="2" t="s">
        <v>4569</v>
      </c>
      <c r="J2128" s="3" t="str">
        <f>HYPERLINK("https://www.boe.es/gazeta/dias/1821/05/04/pdfs/GMD-1821-126.pdf#page=2","Abrir facsímil")</f>
        <v>Abrir facsímil</v>
      </c>
      <c r="K2128" s="3" t="s">
        <v>23</v>
      </c>
    </row>
    <row r="2129" spans="1:11" ht="42" customHeight="1">
      <c r="A2129" s="2" t="s">
        <v>4567</v>
      </c>
      <c r="B2129" s="2" t="s">
        <v>4568</v>
      </c>
      <c r="C2129" s="2" t="s">
        <v>17</v>
      </c>
      <c r="D2129" s="2" t="s">
        <v>18</v>
      </c>
      <c r="E2129" s="5">
        <v>-28727</v>
      </c>
      <c r="F2129" s="3" t="s">
        <v>200</v>
      </c>
      <c r="G2129" s="3" t="s">
        <v>52</v>
      </c>
      <c r="H2129" s="2" t="s">
        <v>21</v>
      </c>
      <c r="I2129" s="2" t="s">
        <v>4570</v>
      </c>
      <c r="J2129" s="3" t="str">
        <f>HYPERLINK("https://www.boe.es/gazeta/dias/1821/05/06/pdfs/GMD-1821-128.pdf#page=2","Abrir facsímil")</f>
        <v>Abrir facsímil</v>
      </c>
      <c r="K2129" s="3" t="s">
        <v>23</v>
      </c>
    </row>
    <row r="2130" spans="1:11" ht="42" customHeight="1">
      <c r="A2130" s="2" t="s">
        <v>4571</v>
      </c>
      <c r="B2130" s="2" t="s">
        <v>4572</v>
      </c>
      <c r="C2130" s="2" t="s">
        <v>40</v>
      </c>
      <c r="D2130" s="2" t="s">
        <v>41</v>
      </c>
      <c r="E2130" s="5">
        <v>-28731</v>
      </c>
      <c r="F2130" s="3" t="s">
        <v>577</v>
      </c>
      <c r="G2130" s="3" t="s">
        <v>20</v>
      </c>
      <c r="H2130" s="2" t="s">
        <v>21</v>
      </c>
      <c r="I2130" s="2" t="s">
        <v>4573</v>
      </c>
      <c r="J2130" s="3" t="str">
        <f>HYPERLINK("https://www.boe.es/gazeta/dias/1821/05/02/pdfs/GMD-1821-124.pdf#page=3","Abrir facsímil")</f>
        <v>Abrir facsímil</v>
      </c>
      <c r="K2130" s="3" t="s">
        <v>23</v>
      </c>
    </row>
    <row r="2131" spans="1:11" ht="42" customHeight="1">
      <c r="A2131" s="2" t="s">
        <v>4574</v>
      </c>
      <c r="B2131" s="2" t="s">
        <v>4574</v>
      </c>
      <c r="C2131" s="2" t="s">
        <v>40</v>
      </c>
      <c r="D2131" s="2" t="s">
        <v>41</v>
      </c>
      <c r="E2131" s="5">
        <v>-28599</v>
      </c>
      <c r="F2131" s="3" t="s">
        <v>902</v>
      </c>
      <c r="G2131" s="3" t="s">
        <v>20</v>
      </c>
      <c r="H2131" s="2" t="s">
        <v>21</v>
      </c>
      <c r="I2131" s="2" t="s">
        <v>4575</v>
      </c>
      <c r="J2131" s="3" t="str">
        <f>HYPERLINK("https://www.boe.es/gazeta/dias/1821/09/11/pdfs/GMD-1821-259.pdf#page=3","Abrir facsímil")</f>
        <v>Abrir facsímil</v>
      </c>
      <c r="K2131" s="3" t="s">
        <v>23</v>
      </c>
    </row>
    <row r="2132" spans="1:11" ht="42" customHeight="1">
      <c r="A2132" s="2" t="s">
        <v>4576</v>
      </c>
      <c r="B2132" s="2" t="s">
        <v>4577</v>
      </c>
      <c r="C2132" s="2" t="s">
        <v>35</v>
      </c>
      <c r="D2132" s="2" t="s">
        <v>27</v>
      </c>
      <c r="E2132" s="5">
        <v>-28762</v>
      </c>
      <c r="F2132" s="3" t="s">
        <v>608</v>
      </c>
      <c r="G2132" s="3" t="s">
        <v>88</v>
      </c>
      <c r="H2132" s="2" t="s">
        <v>21</v>
      </c>
      <c r="I2132" s="2" t="s">
        <v>4578</v>
      </c>
      <c r="J2132" s="3" t="str">
        <f>HYPERLINK("https://www.boe.es/gazeta/dias/1821/04/01/pdfs/GMD-1821-93.pdf#page=4","Abrir facsímil")</f>
        <v>Abrir facsímil</v>
      </c>
      <c r="K2132" s="3" t="s">
        <v>23</v>
      </c>
    </row>
    <row r="2133" spans="1:11" ht="42" customHeight="1">
      <c r="A2133" s="2" t="s">
        <v>4579</v>
      </c>
      <c r="B2133" s="2" t="s">
        <v>4580</v>
      </c>
      <c r="C2133" s="2" t="s">
        <v>35</v>
      </c>
      <c r="D2133" s="2" t="s">
        <v>27</v>
      </c>
      <c r="E2133" s="5">
        <v>-28718</v>
      </c>
      <c r="F2133" s="3" t="s">
        <v>583</v>
      </c>
      <c r="G2133" s="3" t="s">
        <v>43</v>
      </c>
      <c r="H2133" s="2" t="s">
        <v>21</v>
      </c>
      <c r="I2133" s="2" t="s">
        <v>4581</v>
      </c>
      <c r="J2133" s="3" t="str">
        <f>HYPERLINK("https://www.boe.es/gazeta/dias/1821/05/15/pdfs/GMD-1821-137.pdf#page=1","Abrir facsímil")</f>
        <v>Abrir facsímil</v>
      </c>
      <c r="K2133" s="3" t="s">
        <v>23</v>
      </c>
    </row>
    <row r="2134" spans="1:11" ht="42" customHeight="1">
      <c r="A2134" s="2" t="s">
        <v>4582</v>
      </c>
      <c r="B2134" s="2" t="s">
        <v>4583</v>
      </c>
      <c r="C2134" s="2" t="s">
        <v>35</v>
      </c>
      <c r="D2134" s="2" t="s">
        <v>27</v>
      </c>
      <c r="E2134" s="5">
        <v>-28591</v>
      </c>
      <c r="F2134" s="3" t="s">
        <v>3638</v>
      </c>
      <c r="G2134" s="3" t="s">
        <v>20</v>
      </c>
      <c r="H2134" s="2" t="s">
        <v>21</v>
      </c>
      <c r="I2134" s="2" t="s">
        <v>4584</v>
      </c>
      <c r="J2134" s="3" t="str">
        <f>HYPERLINK("https://www.boe.es/gazeta/dias/1821/09/19/pdfs/GMD-1821-267.pdf#page=3","Abrir facsímil")</f>
        <v>Abrir facsímil</v>
      </c>
      <c r="K2134" s="3" t="s">
        <v>23</v>
      </c>
    </row>
    <row r="2135" spans="1:11" ht="42" customHeight="1">
      <c r="A2135" s="2" t="s">
        <v>4585</v>
      </c>
      <c r="B2135" s="2" t="s">
        <v>4586</v>
      </c>
      <c r="C2135" s="2" t="s">
        <v>40</v>
      </c>
      <c r="D2135" s="2" t="s">
        <v>41</v>
      </c>
      <c r="E2135" s="5">
        <v>-28795</v>
      </c>
      <c r="F2135" s="3" t="s">
        <v>2287</v>
      </c>
      <c r="G2135" s="3" t="s">
        <v>20</v>
      </c>
      <c r="H2135" s="2" t="s">
        <v>21</v>
      </c>
      <c r="I2135" s="2" t="s">
        <v>4587</v>
      </c>
      <c r="J2135" s="3" t="str">
        <f>HYPERLINK("https://www.boe.es/gazeta/dias/1821/02/27/pdfs/GGB-1821-58.pdf#page=3","Abrir facsímil")</f>
        <v>Abrir facsímil</v>
      </c>
      <c r="K2135" s="3" t="s">
        <v>23</v>
      </c>
    </row>
    <row r="2136" spans="1:11" ht="42" customHeight="1">
      <c r="A2136" s="2" t="s">
        <v>4588</v>
      </c>
      <c r="B2136" s="2" t="s">
        <v>4589</v>
      </c>
      <c r="C2136" s="2" t="s">
        <v>26</v>
      </c>
      <c r="D2136" s="2" t="s">
        <v>27</v>
      </c>
      <c r="E2136" s="5">
        <v>-28814</v>
      </c>
      <c r="F2136" s="3" t="s">
        <v>2090</v>
      </c>
      <c r="G2136" s="3" t="s">
        <v>3053</v>
      </c>
      <c r="H2136" s="2" t="s">
        <v>21</v>
      </c>
      <c r="I2136" s="2" t="s">
        <v>4590</v>
      </c>
      <c r="J2136" s="3" t="str">
        <f>HYPERLINK("https://www.boe.es/gazeta/dias/1821/02/08/pdfs/GGB-1821-39.pdf#page=3","Abrir facsímil")</f>
        <v>Abrir facsímil</v>
      </c>
      <c r="K2136" s="3" t="s">
        <v>23</v>
      </c>
    </row>
    <row r="2137" spans="1:11" ht="42" customHeight="1">
      <c r="A2137" s="2" t="s">
        <v>4591</v>
      </c>
      <c r="B2137" s="2" t="s">
        <v>4592</v>
      </c>
      <c r="C2137" s="2" t="s">
        <v>17</v>
      </c>
      <c r="D2137" s="2" t="s">
        <v>18</v>
      </c>
      <c r="E2137" s="5">
        <v>-28568</v>
      </c>
      <c r="F2137" s="3" t="s">
        <v>539</v>
      </c>
      <c r="G2137" s="3" t="s">
        <v>20</v>
      </c>
      <c r="H2137" s="2" t="s">
        <v>21</v>
      </c>
      <c r="I2137" s="2" t="s">
        <v>4593</v>
      </c>
      <c r="J2137" s="3" t="str">
        <f>HYPERLINK("https://www.boe.es/gazeta/dias/1821/10/12/pdfs/GMD-1821-291.pdf#page=3","Abrir facsímil")</f>
        <v>Abrir facsímil</v>
      </c>
      <c r="K2137" s="3" t="s">
        <v>23</v>
      </c>
    </row>
    <row r="2138" spans="1:11" ht="42" customHeight="1">
      <c r="A2138" s="2" t="s">
        <v>4594</v>
      </c>
      <c r="B2138" s="2" t="s">
        <v>4594</v>
      </c>
      <c r="C2138" s="2" t="s">
        <v>26</v>
      </c>
      <c r="D2138" s="2" t="s">
        <v>27</v>
      </c>
      <c r="E2138" s="5">
        <v>-28814</v>
      </c>
      <c r="F2138" s="3" t="s">
        <v>2090</v>
      </c>
      <c r="G2138" s="3" t="s">
        <v>3053</v>
      </c>
      <c r="H2138" s="2" t="s">
        <v>21</v>
      </c>
      <c r="I2138" s="2" t="s">
        <v>4595</v>
      </c>
      <c r="J2138" s="3" t="str">
        <f>HYPERLINK("https://www.boe.es/gazeta/dias/1821/02/08/pdfs/GGB-1821-39.pdf#page=3","Abrir facsímil")</f>
        <v>Abrir facsímil</v>
      </c>
      <c r="K2138" s="3" t="s">
        <v>23</v>
      </c>
    </row>
    <row r="2139" spans="1:11" ht="42" customHeight="1">
      <c r="A2139" s="2" t="s">
        <v>4594</v>
      </c>
      <c r="B2139" s="2" t="s">
        <v>4594</v>
      </c>
      <c r="C2139" s="2" t="s">
        <v>40</v>
      </c>
      <c r="D2139" s="2" t="s">
        <v>41</v>
      </c>
      <c r="E2139" s="5">
        <v>-28503</v>
      </c>
      <c r="F2139" s="3" t="s">
        <v>947</v>
      </c>
      <c r="G2139" s="3" t="s">
        <v>52</v>
      </c>
      <c r="H2139" s="2" t="s">
        <v>21</v>
      </c>
      <c r="I2139" s="2" t="s">
        <v>4596</v>
      </c>
      <c r="J2139" s="3" t="str">
        <f>HYPERLINK("https://www.boe.es/gazeta/dias/1821/12/16/pdfs/GMD-1821-359.pdf#page=2","Abrir facsímil")</f>
        <v>Abrir facsímil</v>
      </c>
      <c r="K2139" s="3" t="s">
        <v>23</v>
      </c>
    </row>
    <row r="2140" spans="1:11" ht="42" customHeight="1">
      <c r="A2140" s="2" t="s">
        <v>4597</v>
      </c>
      <c r="B2140" s="2" t="s">
        <v>4598</v>
      </c>
      <c r="C2140" s="2" t="s">
        <v>40</v>
      </c>
      <c r="D2140" s="2" t="s">
        <v>41</v>
      </c>
      <c r="E2140" s="5">
        <v>-28704</v>
      </c>
      <c r="F2140" s="3" t="s">
        <v>1050</v>
      </c>
      <c r="G2140" s="3" t="s">
        <v>52</v>
      </c>
      <c r="H2140" s="2" t="s">
        <v>21</v>
      </c>
      <c r="I2140" s="2" t="s">
        <v>4599</v>
      </c>
      <c r="J2140" s="3" t="str">
        <f>HYPERLINK("https://www.boe.es/gazeta/dias/1821/05/29/pdfs/GMD-1821-151.pdf#page=2","Abrir facsímil")</f>
        <v>Abrir facsímil</v>
      </c>
      <c r="K2140" s="3" t="s">
        <v>23</v>
      </c>
    </row>
    <row r="2141" spans="1:11" ht="42" customHeight="1">
      <c r="A2141" s="2" t="s">
        <v>4600</v>
      </c>
      <c r="B2141" s="2" t="s">
        <v>4601</v>
      </c>
      <c r="C2141" s="2" t="s">
        <v>40</v>
      </c>
      <c r="D2141" s="2" t="s">
        <v>41</v>
      </c>
      <c r="E2141" s="5">
        <v>-28793</v>
      </c>
      <c r="F2141" s="3" t="s">
        <v>157</v>
      </c>
      <c r="G2141" s="3" t="s">
        <v>162</v>
      </c>
      <c r="H2141" s="2" t="s">
        <v>21</v>
      </c>
      <c r="I2141" s="2" t="s">
        <v>4602</v>
      </c>
      <c r="J2141" s="3" t="str">
        <f>HYPERLINK("https://www.boe.es/gazeta/dias/1821/03/01/pdfs/GGB-1821-60.pdf#page=5","Abrir facsímil")</f>
        <v>Abrir facsímil</v>
      </c>
      <c r="K2141" s="3" t="s">
        <v>23</v>
      </c>
    </row>
    <row r="2142" spans="1:11" ht="42" customHeight="1">
      <c r="A2142" s="2" t="s">
        <v>4603</v>
      </c>
      <c r="B2142" s="2" t="s">
        <v>4604</v>
      </c>
      <c r="C2142" s="2" t="s">
        <v>174</v>
      </c>
      <c r="D2142" s="2" t="s">
        <v>27</v>
      </c>
      <c r="E2142" s="5">
        <v>-28654</v>
      </c>
      <c r="F2142" s="3" t="s">
        <v>674</v>
      </c>
      <c r="G2142" s="3" t="s">
        <v>88</v>
      </c>
      <c r="H2142" s="2" t="s">
        <v>21</v>
      </c>
      <c r="I2142" s="2" t="s">
        <v>4605</v>
      </c>
      <c r="J2142" s="3" t="str">
        <f>HYPERLINK("https://www.boe.es/gazeta/dias/1821/07/18/pdfs/GMD-1821-203.pdf#page=4","Abrir facsímil")</f>
        <v>Abrir facsímil</v>
      </c>
      <c r="K2142" s="3" t="s">
        <v>23</v>
      </c>
    </row>
    <row r="2143" spans="1:11" ht="42" customHeight="1">
      <c r="A2143" s="2" t="s">
        <v>4606</v>
      </c>
      <c r="B2143" s="2" t="s">
        <v>4607</v>
      </c>
      <c r="C2143" s="2" t="s">
        <v>17</v>
      </c>
      <c r="D2143" s="2" t="s">
        <v>18</v>
      </c>
      <c r="E2143" s="5">
        <v>-28641</v>
      </c>
      <c r="F2143" s="3" t="s">
        <v>398</v>
      </c>
      <c r="G2143" s="3" t="s">
        <v>20</v>
      </c>
      <c r="H2143" s="2" t="s">
        <v>21</v>
      </c>
      <c r="I2143" s="2" t="s">
        <v>4608</v>
      </c>
      <c r="J2143" s="3" t="str">
        <f>HYPERLINK("https://www.boe.es/gazeta/dias/1821/07/31/pdfs/GMD-1821-216.pdf#page=3","Abrir facsímil")</f>
        <v>Abrir facsímil</v>
      </c>
      <c r="K2143" s="3" t="s">
        <v>23</v>
      </c>
    </row>
    <row r="2144" spans="1:11" ht="42" customHeight="1">
      <c r="A2144" s="2" t="s">
        <v>4609</v>
      </c>
      <c r="B2144" s="2" t="s">
        <v>4610</v>
      </c>
      <c r="C2144" s="2" t="s">
        <v>114</v>
      </c>
      <c r="D2144" s="2" t="s">
        <v>27</v>
      </c>
      <c r="E2144" s="5">
        <v>-28558</v>
      </c>
      <c r="F2144" s="3" t="s">
        <v>758</v>
      </c>
      <c r="G2144" s="3" t="s">
        <v>29</v>
      </c>
      <c r="H2144" s="2" t="s">
        <v>30</v>
      </c>
      <c r="I2144" s="2" t="s">
        <v>4611</v>
      </c>
      <c r="J2144" s="3" t="str">
        <f>HYPERLINK("https://www.boe.es/gazeta/dias/1821/10/22/pdfs/GMD-1821-301.pdf#page=6","Abrir facsímil")</f>
        <v>Abrir facsímil</v>
      </c>
      <c r="K2144" s="3" t="s">
        <v>32</v>
      </c>
    </row>
    <row r="2145" spans="1:11" ht="42" customHeight="1">
      <c r="A2145" s="2" t="s">
        <v>4612</v>
      </c>
      <c r="B2145" s="2" t="s">
        <v>4613</v>
      </c>
      <c r="C2145" s="2" t="s">
        <v>114</v>
      </c>
      <c r="D2145" s="2" t="s">
        <v>27</v>
      </c>
      <c r="E2145" s="5">
        <v>-28847</v>
      </c>
      <c r="F2145" s="3" t="s">
        <v>288</v>
      </c>
      <c r="G2145" s="3" t="s">
        <v>289</v>
      </c>
      <c r="H2145" s="2" t="s">
        <v>21</v>
      </c>
      <c r="I2145" s="2" t="s">
        <v>4614</v>
      </c>
      <c r="J2145" s="3" t="str">
        <f>HYPERLINK("https://www.boe.es/gazeta/dias/1821/01/06/pdfs/GGB-1821-6.pdf#page=4","Abrir facsímil")</f>
        <v>Abrir facsímil</v>
      </c>
      <c r="K2145" s="3" t="s">
        <v>23</v>
      </c>
    </row>
    <row r="2146" spans="1:11" ht="42" customHeight="1">
      <c r="A2146" s="2" t="s">
        <v>4615</v>
      </c>
      <c r="B2146" s="2" t="s">
        <v>4615</v>
      </c>
      <c r="C2146" s="2" t="s">
        <v>174</v>
      </c>
      <c r="D2146" s="2" t="s">
        <v>27</v>
      </c>
      <c r="E2146" s="5">
        <v>-28566</v>
      </c>
      <c r="F2146" s="3" t="s">
        <v>1529</v>
      </c>
      <c r="G2146" s="3" t="s">
        <v>88</v>
      </c>
      <c r="H2146" s="2" t="s">
        <v>21</v>
      </c>
      <c r="I2146" s="2" t="s">
        <v>4616</v>
      </c>
      <c r="J2146" s="3" t="str">
        <f>HYPERLINK("https://www.boe.es/gazeta/dias/1821/10/14/pdfs/GMD-1821-293.pdf#page=4","Abrir facsímil")</f>
        <v>Abrir facsímil</v>
      </c>
      <c r="K2146" s="3" t="s">
        <v>23</v>
      </c>
    </row>
    <row r="2147" spans="1:11" ht="42" customHeight="1">
      <c r="A2147" s="2" t="s">
        <v>4615</v>
      </c>
      <c r="B2147" s="2" t="s">
        <v>4615</v>
      </c>
      <c r="C2147" s="2" t="s">
        <v>17</v>
      </c>
      <c r="D2147" s="2" t="s">
        <v>18</v>
      </c>
      <c r="E2147" s="5">
        <v>-28494</v>
      </c>
      <c r="F2147" s="3" t="s">
        <v>1665</v>
      </c>
      <c r="G2147" s="3" t="s">
        <v>2803</v>
      </c>
      <c r="H2147" s="2" t="s">
        <v>21</v>
      </c>
      <c r="I2147" s="2" t="s">
        <v>4617</v>
      </c>
      <c r="J2147" s="3" t="str">
        <f>HYPERLINK("https://www.boe.es/gazeta/dias/1821/12/25/pdfs/GMD-1821-368.pdf#page=2","Abrir facsímil")</f>
        <v>Abrir facsímil</v>
      </c>
      <c r="K2147" s="3" t="s">
        <v>23</v>
      </c>
    </row>
    <row r="2148" spans="1:11" ht="42" customHeight="1">
      <c r="A2148" s="2" t="s">
        <v>4618</v>
      </c>
      <c r="B2148" s="2" t="s">
        <v>4619</v>
      </c>
      <c r="C2148" s="2" t="s">
        <v>17</v>
      </c>
      <c r="D2148" s="2" t="s">
        <v>18</v>
      </c>
      <c r="E2148" s="5">
        <v>-28561</v>
      </c>
      <c r="F2148" s="3" t="s">
        <v>240</v>
      </c>
      <c r="G2148" s="3" t="s">
        <v>162</v>
      </c>
      <c r="H2148" s="2" t="s">
        <v>30</v>
      </c>
      <c r="I2148" s="2" t="s">
        <v>4620</v>
      </c>
      <c r="J2148" s="3" t="str">
        <f>HYPERLINK("https://www.boe.es/gazeta/dias/1821/10/19/pdfs/GMD-1821-298.pdf#page=5","Abrir facsímil")</f>
        <v>Abrir facsímil</v>
      </c>
      <c r="K2148" s="3" t="s">
        <v>32</v>
      </c>
    </row>
    <row r="2149" spans="1:11" ht="42" customHeight="1">
      <c r="A2149" s="2" t="s">
        <v>4621</v>
      </c>
      <c r="B2149" s="2" t="s">
        <v>4622</v>
      </c>
      <c r="C2149" s="2" t="s">
        <v>40</v>
      </c>
      <c r="D2149" s="2" t="s">
        <v>41</v>
      </c>
      <c r="E2149" s="5">
        <v>-28772</v>
      </c>
      <c r="F2149" s="3" t="s">
        <v>62</v>
      </c>
      <c r="G2149" s="3" t="s">
        <v>20</v>
      </c>
      <c r="H2149" s="2" t="s">
        <v>21</v>
      </c>
      <c r="I2149" s="2" t="s">
        <v>4623</v>
      </c>
      <c r="J2149" s="3" t="str">
        <f>HYPERLINK("https://www.boe.es/gazeta/dias/1821/03/22/pdfs/GMD-1821-81.pdf#page=3","Abrir facsímil")</f>
        <v>Abrir facsímil</v>
      </c>
      <c r="K2149" s="3" t="s">
        <v>23</v>
      </c>
    </row>
    <row r="2150" spans="1:11" ht="42" customHeight="1">
      <c r="A2150" s="2" t="s">
        <v>4621</v>
      </c>
      <c r="B2150" s="2" t="s">
        <v>4622</v>
      </c>
      <c r="C2150" s="2" t="s">
        <v>17</v>
      </c>
      <c r="D2150" s="2" t="s">
        <v>18</v>
      </c>
      <c r="E2150" s="5">
        <v>-28722</v>
      </c>
      <c r="F2150" s="3" t="s">
        <v>623</v>
      </c>
      <c r="G2150" s="3" t="s">
        <v>20</v>
      </c>
      <c r="H2150" s="2" t="s">
        <v>21</v>
      </c>
      <c r="I2150" s="2" t="s">
        <v>4624</v>
      </c>
      <c r="J2150" s="3" t="str">
        <f>HYPERLINK("https://www.boe.es/gazeta/dias/1821/05/11/pdfs/GMD-1821-133.pdf#page=3","Abrir facsímil")</f>
        <v>Abrir facsímil</v>
      </c>
      <c r="K2150" s="3" t="s">
        <v>23</v>
      </c>
    </row>
    <row r="2151" spans="1:11" ht="42" customHeight="1">
      <c r="A2151" s="2" t="s">
        <v>4621</v>
      </c>
      <c r="B2151" s="2" t="s">
        <v>4622</v>
      </c>
      <c r="C2151" s="2" t="s">
        <v>17</v>
      </c>
      <c r="D2151" s="2" t="s">
        <v>18</v>
      </c>
      <c r="E2151" s="5">
        <v>-28552</v>
      </c>
      <c r="F2151" s="3" t="s">
        <v>28</v>
      </c>
      <c r="G2151" s="3" t="s">
        <v>20</v>
      </c>
      <c r="H2151" s="2" t="s">
        <v>21</v>
      </c>
      <c r="I2151" s="2" t="s">
        <v>4625</v>
      </c>
      <c r="J2151" s="3" t="str">
        <f>HYPERLINK("https://www.boe.es/gazeta/dias/1821/10/28/pdfs/GMD-1821-307.pdf#page=3","Abrir facsímil")</f>
        <v>Abrir facsímil</v>
      </c>
      <c r="K2151" s="3" t="s">
        <v>23</v>
      </c>
    </row>
    <row r="2152" spans="1:11" ht="42" customHeight="1">
      <c r="A2152" s="2" t="s">
        <v>4626</v>
      </c>
      <c r="B2152" s="2" t="s">
        <v>4627</v>
      </c>
      <c r="C2152" s="2" t="s">
        <v>17</v>
      </c>
      <c r="D2152" s="2" t="s">
        <v>18</v>
      </c>
      <c r="E2152" s="5">
        <v>-28737</v>
      </c>
      <c r="F2152" s="3" t="s">
        <v>732</v>
      </c>
      <c r="G2152" s="3" t="s">
        <v>20</v>
      </c>
      <c r="H2152" s="2" t="s">
        <v>21</v>
      </c>
      <c r="I2152" s="2" t="s">
        <v>4628</v>
      </c>
      <c r="J2152" s="3" t="str">
        <f>HYPERLINK("https://www.boe.es/gazeta/dias/1821/04/26/pdfs/GMD-1821-118.pdf#page=3","Abrir facsímil")</f>
        <v>Abrir facsímil</v>
      </c>
      <c r="K2152" s="3" t="s">
        <v>23</v>
      </c>
    </row>
    <row r="2153" spans="1:11" ht="42" customHeight="1">
      <c r="A2153" s="2" t="s">
        <v>4629</v>
      </c>
      <c r="B2153" s="2" t="s">
        <v>4630</v>
      </c>
      <c r="C2153" s="2" t="s">
        <v>40</v>
      </c>
      <c r="D2153" s="2" t="s">
        <v>41</v>
      </c>
      <c r="E2153" s="5">
        <v>-28509</v>
      </c>
      <c r="F2153" s="3" t="s">
        <v>388</v>
      </c>
      <c r="G2153" s="3" t="s">
        <v>333</v>
      </c>
      <c r="H2153" s="2" t="s">
        <v>21</v>
      </c>
      <c r="I2153" s="2" t="s">
        <v>4631</v>
      </c>
      <c r="J2153" s="3" t="str">
        <f>HYPERLINK("https://www.boe.es/gazeta/dias/1821/12/10/pdfs/GMD-1821-352.pdf#page=8","Abrir facsímil")</f>
        <v>Abrir facsímil</v>
      </c>
      <c r="K2153" s="3" t="s">
        <v>23</v>
      </c>
    </row>
    <row r="2154" spans="1:11" ht="42" customHeight="1">
      <c r="A2154" s="2" t="s">
        <v>4632</v>
      </c>
      <c r="B2154" s="2" t="s">
        <v>4633</v>
      </c>
      <c r="C2154" s="2" t="s">
        <v>40</v>
      </c>
      <c r="D2154" s="2" t="s">
        <v>41</v>
      </c>
      <c r="E2154" s="5">
        <v>-28686</v>
      </c>
      <c r="F2154" s="3" t="s">
        <v>115</v>
      </c>
      <c r="G2154" s="3" t="s">
        <v>20</v>
      </c>
      <c r="H2154" s="2" t="s">
        <v>21</v>
      </c>
      <c r="I2154" s="2" t="s">
        <v>4634</v>
      </c>
      <c r="J2154" s="3" t="str">
        <f>HYPERLINK("https://www.boe.es/gazeta/dias/1821/06/16/pdfs/GMD-1821-169.pdf#page=3","Abrir facsímil")</f>
        <v>Abrir facsímil</v>
      </c>
      <c r="K2154" s="3" t="s">
        <v>23</v>
      </c>
    </row>
    <row r="2155" spans="1:11" ht="42" customHeight="1">
      <c r="A2155" s="2" t="s">
        <v>4635</v>
      </c>
      <c r="B2155" s="2" t="s">
        <v>4636</v>
      </c>
      <c r="C2155" s="2" t="s">
        <v>40</v>
      </c>
      <c r="D2155" s="2" t="s">
        <v>41</v>
      </c>
      <c r="E2155" s="5">
        <v>-28782</v>
      </c>
      <c r="F2155" s="3" t="s">
        <v>508</v>
      </c>
      <c r="G2155" s="3" t="s">
        <v>88</v>
      </c>
      <c r="H2155" s="2" t="s">
        <v>21</v>
      </c>
      <c r="I2155" s="2" t="s">
        <v>4637</v>
      </c>
      <c r="J2155" s="3" t="str">
        <f>HYPERLINK("https://www.boe.es/gazeta/dias/1821/03/12/pdfs/GMD-1821-71.pdf#page=4","Abrir facsímil")</f>
        <v>Abrir facsímil</v>
      </c>
      <c r="K2155" s="3" t="s">
        <v>23</v>
      </c>
    </row>
    <row r="2156" spans="1:11" ht="42" customHeight="1">
      <c r="A2156" s="2" t="s">
        <v>4638</v>
      </c>
      <c r="B2156" s="2" t="s">
        <v>4639</v>
      </c>
      <c r="C2156" s="2" t="s">
        <v>26</v>
      </c>
      <c r="D2156" s="2" t="s">
        <v>27</v>
      </c>
      <c r="E2156" s="5">
        <v>-28664</v>
      </c>
      <c r="F2156" s="3" t="s">
        <v>1365</v>
      </c>
      <c r="G2156" s="3" t="s">
        <v>20</v>
      </c>
      <c r="H2156" s="2" t="s">
        <v>21</v>
      </c>
      <c r="I2156" s="2" t="s">
        <v>4640</v>
      </c>
      <c r="J2156" s="3" t="str">
        <f>HYPERLINK("https://www.boe.es/gazeta/dias/1821/07/08/pdfs/GMD-1821-193.pdf#page=3","Abrir facsímil")</f>
        <v>Abrir facsímil</v>
      </c>
      <c r="K2156" s="3" t="s">
        <v>23</v>
      </c>
    </row>
    <row r="2157" spans="1:11" ht="42" customHeight="1">
      <c r="A2157" s="2" t="s">
        <v>4641</v>
      </c>
      <c r="B2157" s="2" t="s">
        <v>4642</v>
      </c>
      <c r="C2157" s="2" t="s">
        <v>40</v>
      </c>
      <c r="D2157" s="2" t="s">
        <v>41</v>
      </c>
      <c r="E2157" s="5">
        <v>-28718</v>
      </c>
      <c r="F2157" s="3" t="s">
        <v>583</v>
      </c>
      <c r="G2157" s="3" t="s">
        <v>52</v>
      </c>
      <c r="H2157" s="2" t="s">
        <v>21</v>
      </c>
      <c r="I2157" s="2" t="s">
        <v>4643</v>
      </c>
      <c r="J2157" s="3" t="str">
        <f>HYPERLINK("https://www.boe.es/gazeta/dias/1821/05/15/pdfs/GMD-1821-137.pdf#page=2","Abrir facsímil")</f>
        <v>Abrir facsímil</v>
      </c>
      <c r="K2157" s="3" t="s">
        <v>23</v>
      </c>
    </row>
    <row r="2158" spans="1:11" ht="42" customHeight="1">
      <c r="A2158" s="2" t="s">
        <v>4644</v>
      </c>
      <c r="B2158" s="2" t="s">
        <v>4645</v>
      </c>
      <c r="C2158" s="2" t="s">
        <v>26</v>
      </c>
      <c r="D2158" s="2" t="s">
        <v>27</v>
      </c>
      <c r="E2158" s="5">
        <v>-28587</v>
      </c>
      <c r="F2158" s="3" t="s">
        <v>392</v>
      </c>
      <c r="G2158" s="3" t="s">
        <v>88</v>
      </c>
      <c r="H2158" s="2" t="s">
        <v>21</v>
      </c>
      <c r="I2158" s="2" t="s">
        <v>4646</v>
      </c>
      <c r="J2158" s="3" t="str">
        <f>HYPERLINK("https://www.boe.es/gazeta/dias/1821/09/23/pdfs/GMD-1821-271.pdf#page=4","Abrir facsímil")</f>
        <v>Abrir facsímil</v>
      </c>
      <c r="K2158" s="3" t="s">
        <v>23</v>
      </c>
    </row>
    <row r="2159" spans="1:11" ht="42" customHeight="1">
      <c r="A2159" s="2" t="s">
        <v>4647</v>
      </c>
      <c r="B2159" s="2" t="s">
        <v>4648</v>
      </c>
      <c r="C2159" s="2" t="s">
        <v>70</v>
      </c>
      <c r="D2159" s="2" t="s">
        <v>27</v>
      </c>
      <c r="E2159" s="5">
        <v>-28793</v>
      </c>
      <c r="F2159" s="3" t="s">
        <v>157</v>
      </c>
      <c r="G2159" s="3" t="s">
        <v>29</v>
      </c>
      <c r="H2159" s="2" t="s">
        <v>21</v>
      </c>
      <c r="I2159" s="2" t="s">
        <v>4649</v>
      </c>
      <c r="J2159" s="3" t="str">
        <f>HYPERLINK("https://www.boe.es/gazeta/dias/1821/03/01/pdfs/GGB-1821-60.pdf#page=6","Abrir facsímil")</f>
        <v>Abrir facsímil</v>
      </c>
      <c r="K2159" s="3" t="s">
        <v>23</v>
      </c>
    </row>
    <row r="2160" spans="1:11" ht="42" customHeight="1">
      <c r="A2160" s="2" t="s">
        <v>4650</v>
      </c>
      <c r="B2160" s="2" t="s">
        <v>4651</v>
      </c>
      <c r="C2160" s="2" t="s">
        <v>17</v>
      </c>
      <c r="D2160" s="2" t="s">
        <v>18</v>
      </c>
      <c r="E2160" s="5">
        <v>-28511</v>
      </c>
      <c r="F2160" s="3" t="s">
        <v>340</v>
      </c>
      <c r="G2160" s="3" t="s">
        <v>52</v>
      </c>
      <c r="H2160" s="2" t="s">
        <v>21</v>
      </c>
      <c r="I2160" s="2" t="s">
        <v>4652</v>
      </c>
      <c r="J2160" s="3" t="str">
        <f>HYPERLINK("https://www.boe.es/gazeta/dias/1821/12/08/pdfs/GMD-1821-350.pdf#page=2","Abrir facsímil")</f>
        <v>Abrir facsímil</v>
      </c>
      <c r="K2160" s="3" t="s">
        <v>23</v>
      </c>
    </row>
    <row r="2161" spans="1:11" ht="42" customHeight="1">
      <c r="A2161" s="2" t="s">
        <v>4653</v>
      </c>
      <c r="B2161" s="2" t="s">
        <v>4653</v>
      </c>
      <c r="C2161" s="2" t="s">
        <v>174</v>
      </c>
      <c r="D2161" s="2" t="s">
        <v>27</v>
      </c>
      <c r="E2161" s="5">
        <v>-28514</v>
      </c>
      <c r="F2161" s="3" t="s">
        <v>103</v>
      </c>
      <c r="G2161" s="3" t="s">
        <v>20</v>
      </c>
      <c r="H2161" s="2" t="s">
        <v>21</v>
      </c>
      <c r="I2161" s="2" t="s">
        <v>4654</v>
      </c>
      <c r="J2161" s="3" t="str">
        <f>HYPERLINK("https://www.boe.es/gazeta/dias/1821/12/05/pdfs/GMD-1821-347.pdf#page=3","Abrir facsímil")</f>
        <v>Abrir facsímil</v>
      </c>
      <c r="K2161" s="3" t="s">
        <v>23</v>
      </c>
    </row>
    <row r="2162" spans="1:11" ht="42" customHeight="1">
      <c r="A2162" s="2" t="s">
        <v>4655</v>
      </c>
      <c r="B2162" s="2" t="s">
        <v>4655</v>
      </c>
      <c r="C2162" s="2" t="s">
        <v>17</v>
      </c>
      <c r="D2162" s="2" t="s">
        <v>18</v>
      </c>
      <c r="E2162" s="5">
        <v>-28755</v>
      </c>
      <c r="F2162" s="3" t="s">
        <v>906</v>
      </c>
      <c r="G2162" s="3" t="s">
        <v>20</v>
      </c>
      <c r="H2162" s="2" t="s">
        <v>21</v>
      </c>
      <c r="I2162" s="2" t="s">
        <v>4656</v>
      </c>
      <c r="J2162" s="3" t="str">
        <f>HYPERLINK("https://www.boe.es/gazeta/dias/1821/04/08/pdfs/GMD-1821-100.pdf#page=3","Abrir facsímil")</f>
        <v>Abrir facsímil</v>
      </c>
      <c r="K2162" s="3" t="s">
        <v>23</v>
      </c>
    </row>
    <row r="2163" spans="1:11" ht="42" customHeight="1">
      <c r="A2163" s="2" t="s">
        <v>4657</v>
      </c>
      <c r="B2163" s="2" t="s">
        <v>4657</v>
      </c>
      <c r="C2163" s="2" t="s">
        <v>35</v>
      </c>
      <c r="D2163" s="2" t="s">
        <v>27</v>
      </c>
      <c r="E2163" s="5">
        <v>-28749</v>
      </c>
      <c r="F2163" s="3" t="s">
        <v>832</v>
      </c>
      <c r="G2163" s="3" t="s">
        <v>20</v>
      </c>
      <c r="H2163" s="2" t="s">
        <v>21</v>
      </c>
      <c r="I2163" s="2" t="s">
        <v>4658</v>
      </c>
      <c r="J2163" s="3" t="str">
        <f>HYPERLINK("https://www.boe.es/gazeta/dias/1821/04/14/pdfs/GMD-1821-106.pdf#page=3","Abrir facsímil")</f>
        <v>Abrir facsímil</v>
      </c>
      <c r="K2163" s="3" t="s">
        <v>23</v>
      </c>
    </row>
    <row r="2164" spans="1:11" ht="42" customHeight="1">
      <c r="A2164" s="2" t="s">
        <v>4657</v>
      </c>
      <c r="B2164" s="2" t="s">
        <v>4657</v>
      </c>
      <c r="C2164" s="2" t="s">
        <v>35</v>
      </c>
      <c r="D2164" s="2" t="s">
        <v>27</v>
      </c>
      <c r="E2164" s="5">
        <v>-28733</v>
      </c>
      <c r="F2164" s="3" t="s">
        <v>1033</v>
      </c>
      <c r="G2164" s="3" t="s">
        <v>20</v>
      </c>
      <c r="H2164" s="2" t="s">
        <v>21</v>
      </c>
      <c r="I2164" s="2" t="s">
        <v>4659</v>
      </c>
      <c r="J2164" s="3" t="str">
        <f>HYPERLINK("https://www.boe.es/gazeta/dias/1821/04/30/pdfs/GMD-1821-122.pdf#page=3","Abrir facsímil")</f>
        <v>Abrir facsímil</v>
      </c>
      <c r="K2164" s="3" t="s">
        <v>23</v>
      </c>
    </row>
    <row r="2165" spans="1:11" ht="42" customHeight="1">
      <c r="A2165" s="2" t="s">
        <v>4657</v>
      </c>
      <c r="B2165" s="2" t="s">
        <v>4657</v>
      </c>
      <c r="C2165" s="2" t="s">
        <v>17</v>
      </c>
      <c r="D2165" s="2" t="s">
        <v>18</v>
      </c>
      <c r="E2165" s="5">
        <v>-28717</v>
      </c>
      <c r="F2165" s="3" t="s">
        <v>1044</v>
      </c>
      <c r="G2165" s="3" t="s">
        <v>52</v>
      </c>
      <c r="H2165" s="2" t="s">
        <v>21</v>
      </c>
      <c r="I2165" s="2" t="s">
        <v>4660</v>
      </c>
      <c r="J2165" s="3" t="str">
        <f>HYPERLINK("https://www.boe.es/gazeta/dias/1821/05/16/pdfs/GMD-1821-138.pdf#page=2","Abrir facsímil")</f>
        <v>Abrir facsímil</v>
      </c>
      <c r="K2165" s="3" t="s">
        <v>23</v>
      </c>
    </row>
    <row r="2166" spans="1:11" ht="42" customHeight="1">
      <c r="A2166" s="2" t="s">
        <v>4657</v>
      </c>
      <c r="B2166" s="2" t="s">
        <v>4657</v>
      </c>
      <c r="C2166" s="2" t="s">
        <v>35</v>
      </c>
      <c r="D2166" s="2" t="s">
        <v>27</v>
      </c>
      <c r="E2166" s="5">
        <v>-28564</v>
      </c>
      <c r="F2166" s="3" t="s">
        <v>861</v>
      </c>
      <c r="G2166" s="3" t="s">
        <v>88</v>
      </c>
      <c r="H2166" s="2" t="s">
        <v>21</v>
      </c>
      <c r="I2166" s="2" t="s">
        <v>4661</v>
      </c>
      <c r="J2166" s="3" t="str">
        <f>HYPERLINK("https://www.boe.es/gazeta/dias/1821/10/16/pdfs/GMD-1821-295.pdf#page=4","Abrir facsímil")</f>
        <v>Abrir facsímil</v>
      </c>
      <c r="K2166" s="3" t="s">
        <v>23</v>
      </c>
    </row>
    <row r="2167" spans="1:11" ht="42" customHeight="1">
      <c r="A2167" s="2" t="s">
        <v>4657</v>
      </c>
      <c r="B2167" s="2" t="s">
        <v>4657</v>
      </c>
      <c r="C2167" s="2" t="s">
        <v>26</v>
      </c>
      <c r="D2167" s="2" t="s">
        <v>27</v>
      </c>
      <c r="E2167" s="5">
        <v>-28515</v>
      </c>
      <c r="F2167" s="3" t="s">
        <v>260</v>
      </c>
      <c r="G2167" s="3" t="s">
        <v>3841</v>
      </c>
      <c r="H2167" s="2" t="s">
        <v>21</v>
      </c>
      <c r="I2167" s="2" t="s">
        <v>4662</v>
      </c>
      <c r="J2167" s="3" t="str">
        <f>HYPERLINK("https://www.boe.es/gazeta/dias/1821/12/04/pdfs/GMD-1821-346.pdf#page=6","Abrir facsímil")</f>
        <v>Abrir facsímil</v>
      </c>
      <c r="K2167" s="3" t="s">
        <v>23</v>
      </c>
    </row>
    <row r="2168" spans="1:11" ht="42" customHeight="1">
      <c r="A2168" s="2" t="s">
        <v>4657</v>
      </c>
      <c r="B2168" s="2" t="s">
        <v>4657</v>
      </c>
      <c r="C2168" s="2" t="s">
        <v>17</v>
      </c>
      <c r="D2168" s="2" t="s">
        <v>18</v>
      </c>
      <c r="E2168" s="5">
        <v>-28515</v>
      </c>
      <c r="F2168" s="3" t="s">
        <v>260</v>
      </c>
      <c r="G2168" s="3" t="s">
        <v>162</v>
      </c>
      <c r="H2168" s="2" t="s">
        <v>21</v>
      </c>
      <c r="I2168" s="2" t="s">
        <v>4663</v>
      </c>
      <c r="J2168" s="3" t="str">
        <f>HYPERLINK("https://www.boe.es/gazeta/dias/1821/12/04/pdfs/GMD-1821-346.pdf#page=5","Abrir facsímil")</f>
        <v>Abrir facsímil</v>
      </c>
      <c r="K2168" s="3" t="s">
        <v>23</v>
      </c>
    </row>
    <row r="2169" spans="1:11" ht="42" customHeight="1">
      <c r="A2169" s="2" t="s">
        <v>4657</v>
      </c>
      <c r="B2169" s="2" t="s">
        <v>4657</v>
      </c>
      <c r="C2169" s="2" t="s">
        <v>70</v>
      </c>
      <c r="D2169" s="2" t="s">
        <v>27</v>
      </c>
      <c r="E2169" s="5">
        <v>-28514</v>
      </c>
      <c r="F2169" s="3" t="s">
        <v>103</v>
      </c>
      <c r="G2169" s="3" t="s">
        <v>20</v>
      </c>
      <c r="H2169" s="2" t="s">
        <v>21</v>
      </c>
      <c r="I2169" s="2" t="s">
        <v>4664</v>
      </c>
      <c r="J2169" s="3" t="str">
        <f>HYPERLINK("https://www.boe.es/gazeta/dias/1821/12/05/pdfs/GMD-1821-347.pdf#page=3","Abrir facsímil")</f>
        <v>Abrir facsímil</v>
      </c>
      <c r="K2169" s="3" t="s">
        <v>23</v>
      </c>
    </row>
    <row r="2170" spans="1:11" ht="42" customHeight="1">
      <c r="A2170" s="2" t="s">
        <v>4657</v>
      </c>
      <c r="B2170" s="2" t="s">
        <v>4657</v>
      </c>
      <c r="C2170" s="2" t="s">
        <v>70</v>
      </c>
      <c r="D2170" s="2" t="s">
        <v>27</v>
      </c>
      <c r="E2170" s="5">
        <v>-28501</v>
      </c>
      <c r="F2170" s="3" t="s">
        <v>456</v>
      </c>
      <c r="G2170" s="3" t="s">
        <v>457</v>
      </c>
      <c r="H2170" s="2" t="s">
        <v>21</v>
      </c>
      <c r="I2170" s="2" t="s">
        <v>4665</v>
      </c>
      <c r="J2170" s="3" t="str">
        <f>HYPERLINK("https://www.boe.es/gazeta/dias/1821/12/18/pdfs/GMD-1821-361.pdf#page=5","Abrir facsímil")</f>
        <v>Abrir facsímil</v>
      </c>
      <c r="K2170" s="3" t="s">
        <v>23</v>
      </c>
    </row>
    <row r="2171" spans="1:11" ht="42" customHeight="1">
      <c r="A2171" s="2" t="s">
        <v>4666</v>
      </c>
      <c r="B2171" s="2" t="s">
        <v>4667</v>
      </c>
      <c r="C2171" s="2" t="s">
        <v>17</v>
      </c>
      <c r="D2171" s="2" t="s">
        <v>18</v>
      </c>
      <c r="E2171" s="5">
        <v>-28641</v>
      </c>
      <c r="F2171" s="3" t="s">
        <v>398</v>
      </c>
      <c r="G2171" s="3" t="s">
        <v>88</v>
      </c>
      <c r="H2171" s="2" t="s">
        <v>21</v>
      </c>
      <c r="I2171" s="2" t="s">
        <v>4668</v>
      </c>
      <c r="J2171" s="3" t="str">
        <f>HYPERLINK("https://www.boe.es/gazeta/dias/1821/07/31/pdfs/GMD-1821-216.pdf#page=4","Abrir facsímil")</f>
        <v>Abrir facsímil</v>
      </c>
      <c r="K2171" s="3" t="s">
        <v>23</v>
      </c>
    </row>
    <row r="2172" spans="1:11" ht="42" customHeight="1">
      <c r="A2172" s="2" t="s">
        <v>4669</v>
      </c>
      <c r="B2172" s="2" t="s">
        <v>4670</v>
      </c>
      <c r="C2172" s="2" t="s">
        <v>40</v>
      </c>
      <c r="D2172" s="2" t="s">
        <v>41</v>
      </c>
      <c r="E2172" s="5">
        <v>-28704</v>
      </c>
      <c r="F2172" s="3" t="s">
        <v>1050</v>
      </c>
      <c r="G2172" s="3" t="s">
        <v>88</v>
      </c>
      <c r="H2172" s="2" t="s">
        <v>21</v>
      </c>
      <c r="I2172" s="2" t="s">
        <v>4671</v>
      </c>
      <c r="J2172" s="3" t="str">
        <f>HYPERLINK("https://www.boe.es/gazeta/dias/1821/05/29/pdfs/GMD-1821-151.pdf#page=4","Abrir facsímil")</f>
        <v>Abrir facsímil</v>
      </c>
      <c r="K2172" s="3" t="s">
        <v>23</v>
      </c>
    </row>
    <row r="2173" spans="1:11" ht="42" customHeight="1">
      <c r="A2173" s="2" t="s">
        <v>4672</v>
      </c>
      <c r="B2173" s="2" t="s">
        <v>4673</v>
      </c>
      <c r="C2173" s="2" t="s">
        <v>26</v>
      </c>
      <c r="D2173" s="2" t="s">
        <v>27</v>
      </c>
      <c r="E2173" s="5">
        <v>-28738</v>
      </c>
      <c r="F2173" s="3" t="s">
        <v>359</v>
      </c>
      <c r="G2173" s="3" t="s">
        <v>88</v>
      </c>
      <c r="H2173" s="2" t="s">
        <v>21</v>
      </c>
      <c r="I2173" s="2" t="s">
        <v>4674</v>
      </c>
      <c r="J2173" s="3" t="str">
        <f>HYPERLINK("https://www.boe.es/gazeta/dias/1821/04/25/pdfs/GMD-1821-117.pdf#page=4","Abrir facsímil")</f>
        <v>Abrir facsímil</v>
      </c>
      <c r="K2173" s="3" t="s">
        <v>23</v>
      </c>
    </row>
    <row r="2174" spans="1:11" ht="42" customHeight="1">
      <c r="A2174" s="2" t="s">
        <v>4675</v>
      </c>
      <c r="B2174" s="2" t="s">
        <v>4676</v>
      </c>
      <c r="C2174" s="2" t="s">
        <v>26</v>
      </c>
      <c r="D2174" s="2" t="s">
        <v>27</v>
      </c>
      <c r="E2174" s="5">
        <v>-28641</v>
      </c>
      <c r="F2174" s="3" t="s">
        <v>398</v>
      </c>
      <c r="G2174" s="3" t="s">
        <v>20</v>
      </c>
      <c r="H2174" s="2" t="s">
        <v>21</v>
      </c>
      <c r="I2174" s="2" t="s">
        <v>4677</v>
      </c>
      <c r="J2174" s="3" t="str">
        <f>HYPERLINK("https://www.boe.es/gazeta/dias/1821/07/31/pdfs/GMD-1821-216.pdf#page=3","Abrir facsímil")</f>
        <v>Abrir facsímil</v>
      </c>
      <c r="K2174" s="3" t="s">
        <v>23</v>
      </c>
    </row>
    <row r="2175" spans="1:11" ht="42" customHeight="1">
      <c r="A2175" s="2" t="s">
        <v>4678</v>
      </c>
      <c r="B2175" s="2" t="s">
        <v>4678</v>
      </c>
      <c r="C2175" s="2" t="s">
        <v>279</v>
      </c>
      <c r="D2175" s="2" t="s">
        <v>27</v>
      </c>
      <c r="E2175" s="5">
        <v>-28532</v>
      </c>
      <c r="F2175" s="3" t="s">
        <v>1415</v>
      </c>
      <c r="G2175" s="3" t="s">
        <v>52</v>
      </c>
      <c r="H2175" s="2" t="s">
        <v>21</v>
      </c>
      <c r="I2175" s="2" t="s">
        <v>4679</v>
      </c>
      <c r="J2175" s="3" t="str">
        <f>HYPERLINK("https://www.boe.es/gazeta/dias/1821/11/17/pdfs/GMD-1821-328.pdf#page=2","Abrir facsímil")</f>
        <v>Abrir facsímil</v>
      </c>
      <c r="K2175" s="3" t="s">
        <v>23</v>
      </c>
    </row>
    <row r="2176" spans="1:11" ht="42" customHeight="1">
      <c r="A2176" s="2" t="s">
        <v>4680</v>
      </c>
      <c r="B2176" s="2" t="s">
        <v>4681</v>
      </c>
      <c r="C2176" s="2" t="s">
        <v>40</v>
      </c>
      <c r="D2176" s="2" t="s">
        <v>41</v>
      </c>
      <c r="E2176" s="5">
        <v>-28503</v>
      </c>
      <c r="F2176" s="3" t="s">
        <v>947</v>
      </c>
      <c r="G2176" s="3" t="s">
        <v>52</v>
      </c>
      <c r="H2176" s="2" t="s">
        <v>21</v>
      </c>
      <c r="I2176" s="2" t="s">
        <v>4682</v>
      </c>
      <c r="J2176" s="3" t="str">
        <f>HYPERLINK("https://www.boe.es/gazeta/dias/1821/12/16/pdfs/GMD-1821-359.pdf#page=2","Abrir facsímil")</f>
        <v>Abrir facsímil</v>
      </c>
      <c r="K2176" s="3" t="s">
        <v>23</v>
      </c>
    </row>
    <row r="2177" spans="1:11" ht="42" customHeight="1">
      <c r="A2177" s="2" t="s">
        <v>4683</v>
      </c>
      <c r="B2177" s="2" t="s">
        <v>4684</v>
      </c>
      <c r="C2177" s="2" t="s">
        <v>17</v>
      </c>
      <c r="D2177" s="2" t="s">
        <v>18</v>
      </c>
      <c r="E2177" s="5">
        <v>-28595</v>
      </c>
      <c r="F2177" s="3" t="s">
        <v>1621</v>
      </c>
      <c r="G2177" s="3" t="s">
        <v>88</v>
      </c>
      <c r="H2177" s="2" t="s">
        <v>21</v>
      </c>
      <c r="I2177" s="2" t="s">
        <v>4685</v>
      </c>
      <c r="J2177" s="3" t="str">
        <f>HYPERLINK("https://www.boe.es/gazeta/dias/1821/09/15/pdfs/GMD-1821-263.pdf#page=4","Abrir facsímil")</f>
        <v>Abrir facsímil</v>
      </c>
      <c r="K2177" s="3" t="s">
        <v>23</v>
      </c>
    </row>
    <row r="2178" spans="1:11" ht="42" customHeight="1">
      <c r="A2178" s="2" t="s">
        <v>4686</v>
      </c>
      <c r="B2178" s="2" t="s">
        <v>4687</v>
      </c>
      <c r="C2178" s="2" t="s">
        <v>70</v>
      </c>
      <c r="D2178" s="2" t="s">
        <v>27</v>
      </c>
      <c r="E2178" s="5">
        <v>-28649</v>
      </c>
      <c r="F2178" s="3" t="s">
        <v>4688</v>
      </c>
      <c r="G2178" s="3" t="s">
        <v>52</v>
      </c>
      <c r="H2178" s="2" t="s">
        <v>21</v>
      </c>
      <c r="I2178" s="2" t="s">
        <v>4689</v>
      </c>
      <c r="J2178" s="3" t="str">
        <f>HYPERLINK("https://www.boe.es/gazeta/dias/1821/07/23/pdfs/GMD-1821-208.pdf#page=2","Abrir facsímil")</f>
        <v>Abrir facsímil</v>
      </c>
      <c r="K2178" s="3" t="s">
        <v>23</v>
      </c>
    </row>
    <row r="2179" spans="1:11" ht="42" customHeight="1">
      <c r="A2179" s="2" t="s">
        <v>4690</v>
      </c>
      <c r="B2179" s="2" t="s">
        <v>4690</v>
      </c>
      <c r="C2179" s="2" t="s">
        <v>40</v>
      </c>
      <c r="D2179" s="2" t="s">
        <v>41</v>
      </c>
      <c r="E2179" s="5">
        <v>-28840</v>
      </c>
      <c r="F2179" s="3" t="s">
        <v>161</v>
      </c>
      <c r="G2179" s="3" t="s">
        <v>20</v>
      </c>
      <c r="H2179" s="2" t="s">
        <v>21</v>
      </c>
      <c r="I2179" s="2" t="s">
        <v>4691</v>
      </c>
      <c r="J2179" s="3" t="str">
        <f>HYPERLINK("https://www.boe.es/gazeta/dias/1821/01/13/pdfs/GGB-1821-13.pdf#page=3","Abrir facsímil")</f>
        <v>Abrir facsímil</v>
      </c>
      <c r="K2179" s="3" t="s">
        <v>23</v>
      </c>
    </row>
    <row r="2180" spans="1:11" ht="42" customHeight="1">
      <c r="A2180" s="2" t="s">
        <v>4692</v>
      </c>
      <c r="B2180" s="2" t="s">
        <v>4693</v>
      </c>
      <c r="C2180" s="2" t="s">
        <v>17</v>
      </c>
      <c r="D2180" s="2" t="s">
        <v>18</v>
      </c>
      <c r="E2180" s="5">
        <v>-28711</v>
      </c>
      <c r="F2180" s="3" t="s">
        <v>1048</v>
      </c>
      <c r="G2180" s="3" t="s">
        <v>43</v>
      </c>
      <c r="H2180" s="2" t="s">
        <v>21</v>
      </c>
      <c r="I2180" s="2" t="s">
        <v>4694</v>
      </c>
      <c r="J2180" s="3" t="str">
        <f>HYPERLINK("https://www.boe.es/gazeta/dias/1821/05/22/pdfs/GMD-1821-144.pdf#page=1","Abrir facsímil")</f>
        <v>Abrir facsímil</v>
      </c>
      <c r="K2180" s="3" t="s">
        <v>23</v>
      </c>
    </row>
    <row r="2181" spans="1:11" ht="42" customHeight="1">
      <c r="A2181" s="2" t="s">
        <v>4695</v>
      </c>
      <c r="B2181" s="2" t="s">
        <v>4695</v>
      </c>
      <c r="C2181" s="2" t="s">
        <v>26</v>
      </c>
      <c r="D2181" s="2" t="s">
        <v>27</v>
      </c>
      <c r="E2181" s="5">
        <v>-28782</v>
      </c>
      <c r="F2181" s="3" t="s">
        <v>508</v>
      </c>
      <c r="G2181" s="3" t="s">
        <v>43</v>
      </c>
      <c r="H2181" s="2" t="s">
        <v>21</v>
      </c>
      <c r="I2181" s="2" t="s">
        <v>4696</v>
      </c>
      <c r="J2181" s="3" t="str">
        <f>HYPERLINK("https://www.boe.es/gazeta/dias/1821/03/12/pdfs/GMD-1821-71.pdf#page=1","Abrir facsímil")</f>
        <v>Abrir facsímil</v>
      </c>
      <c r="K2181" s="3" t="s">
        <v>23</v>
      </c>
    </row>
    <row r="2182" spans="1:11" ht="42" customHeight="1">
      <c r="A2182" s="2" t="s">
        <v>4697</v>
      </c>
      <c r="B2182" s="2" t="s">
        <v>4697</v>
      </c>
      <c r="C2182" s="2" t="s">
        <v>40</v>
      </c>
      <c r="D2182" s="2" t="s">
        <v>41</v>
      </c>
      <c r="E2182" s="5">
        <v>-28765</v>
      </c>
      <c r="F2182" s="3" t="s">
        <v>974</v>
      </c>
      <c r="G2182" s="3" t="s">
        <v>1483</v>
      </c>
      <c r="H2182" s="2" t="s">
        <v>21</v>
      </c>
      <c r="I2182" s="2" t="s">
        <v>4698</v>
      </c>
      <c r="J2182" s="3" t="str">
        <f>HYPERLINK("https://www.boe.es/gazeta/dias/1821/03/29/pdfs/GMD-1821-90.pdf#page=4","Abrir facsímil")</f>
        <v>Abrir facsímil</v>
      </c>
      <c r="K2182" s="3" t="s">
        <v>23</v>
      </c>
    </row>
    <row r="2183" spans="1:11" ht="42" customHeight="1">
      <c r="A2183" s="2" t="s">
        <v>4699</v>
      </c>
      <c r="B2183" s="2" t="s">
        <v>4699</v>
      </c>
      <c r="C2183" s="2" t="s">
        <v>114</v>
      </c>
      <c r="D2183" s="2" t="s">
        <v>27</v>
      </c>
      <c r="E2183" s="5">
        <v>-28844</v>
      </c>
      <c r="F2183" s="3" t="s">
        <v>1743</v>
      </c>
      <c r="G2183" s="3" t="s">
        <v>52</v>
      </c>
      <c r="H2183" s="2" t="s">
        <v>21</v>
      </c>
      <c r="I2183" s="2" t="s">
        <v>4700</v>
      </c>
      <c r="J2183" s="3" t="str">
        <f>HYPERLINK("https://www.boe.es/gazeta/dias/1821/01/09/pdfs/GGB-1821-9.pdf#page=2","Abrir facsímil")</f>
        <v>Abrir facsímil</v>
      </c>
      <c r="K2183" s="3" t="s">
        <v>23</v>
      </c>
    </row>
    <row r="2184" spans="1:11" ht="42" customHeight="1">
      <c r="A2184" s="2" t="s">
        <v>4701</v>
      </c>
      <c r="B2184" s="2" t="s">
        <v>4701</v>
      </c>
      <c r="C2184" s="2" t="s">
        <v>17</v>
      </c>
      <c r="D2184" s="2" t="s">
        <v>18</v>
      </c>
      <c r="E2184" s="5">
        <v>-28827</v>
      </c>
      <c r="F2184" s="3" t="s">
        <v>1382</v>
      </c>
      <c r="G2184" s="3" t="s">
        <v>52</v>
      </c>
      <c r="H2184" s="2" t="s">
        <v>21</v>
      </c>
      <c r="I2184" s="2" t="s">
        <v>4702</v>
      </c>
      <c r="J2184" s="3" t="str">
        <f>HYPERLINK("https://www.boe.es/gazeta/dias/1821/01/26/pdfs/GGB-1821-26.pdf#page=2","Abrir facsímil")</f>
        <v>Abrir facsímil</v>
      </c>
      <c r="K2184" s="3" t="s">
        <v>23</v>
      </c>
    </row>
    <row r="2185" spans="1:11" ht="42" customHeight="1">
      <c r="A2185" s="2" t="s">
        <v>4703</v>
      </c>
      <c r="B2185" s="2" t="s">
        <v>4703</v>
      </c>
      <c r="C2185" s="2" t="s">
        <v>40</v>
      </c>
      <c r="D2185" s="2" t="s">
        <v>41</v>
      </c>
      <c r="E2185" s="5">
        <v>-28633</v>
      </c>
      <c r="F2185" s="3" t="s">
        <v>2601</v>
      </c>
      <c r="G2185" s="3" t="s">
        <v>43</v>
      </c>
      <c r="H2185" s="2" t="s">
        <v>21</v>
      </c>
      <c r="I2185" s="2" t="s">
        <v>4704</v>
      </c>
      <c r="J2185" s="3" t="str">
        <f>HYPERLINK("https://www.boe.es/gazeta/dias/1821/08/08/pdfs/GMD-1821-224.pdf#page=1","Abrir facsímil")</f>
        <v>Abrir facsímil</v>
      </c>
      <c r="K2185" s="3" t="s">
        <v>23</v>
      </c>
    </row>
    <row r="2186" spans="1:11" ht="42" customHeight="1">
      <c r="A2186" s="2" t="s">
        <v>4705</v>
      </c>
      <c r="B2186" s="2" t="s">
        <v>4706</v>
      </c>
      <c r="C2186" s="2" t="s">
        <v>17</v>
      </c>
      <c r="D2186" s="2" t="s">
        <v>18</v>
      </c>
      <c r="E2186" s="5">
        <v>-28763</v>
      </c>
      <c r="F2186" s="3" t="s">
        <v>1145</v>
      </c>
      <c r="G2186" s="3" t="s">
        <v>52</v>
      </c>
      <c r="H2186" s="2" t="s">
        <v>21</v>
      </c>
      <c r="I2186" s="2" t="s">
        <v>4707</v>
      </c>
      <c r="J2186" s="3" t="str">
        <f>HYPERLINK("https://www.boe.es/gazeta/dias/1821/03/31/pdfs/GMD-1821-92.pdf#page=2","Abrir facsímil")</f>
        <v>Abrir facsímil</v>
      </c>
      <c r="K2186" s="3" t="s">
        <v>23</v>
      </c>
    </row>
    <row r="2187" spans="1:11" ht="42" customHeight="1">
      <c r="A2187" s="2" t="s">
        <v>4708</v>
      </c>
      <c r="B2187" s="2" t="s">
        <v>4709</v>
      </c>
      <c r="C2187" s="2" t="s">
        <v>17</v>
      </c>
      <c r="D2187" s="2" t="s">
        <v>18</v>
      </c>
      <c r="E2187" s="5">
        <v>-28696</v>
      </c>
      <c r="F2187" s="3" t="s">
        <v>497</v>
      </c>
      <c r="G2187" s="3" t="s">
        <v>88</v>
      </c>
      <c r="H2187" s="2" t="s">
        <v>21</v>
      </c>
      <c r="I2187" s="2" t="s">
        <v>4710</v>
      </c>
      <c r="J2187" s="3" t="str">
        <f>HYPERLINK("https://www.boe.es/gazeta/dias/1821/06/06/pdfs/GMD-1821-159.pdf#page=4","Abrir facsímil")</f>
        <v>Abrir facsímil</v>
      </c>
      <c r="K2187" s="3" t="s">
        <v>23</v>
      </c>
    </row>
    <row r="2188" spans="1:11" ht="42" customHeight="1">
      <c r="A2188" s="2" t="s">
        <v>4711</v>
      </c>
      <c r="B2188" s="2" t="s">
        <v>4711</v>
      </c>
      <c r="C2188" s="2" t="s">
        <v>17</v>
      </c>
      <c r="D2188" s="2" t="s">
        <v>18</v>
      </c>
      <c r="E2188" s="5">
        <v>-28844</v>
      </c>
      <c r="F2188" s="3" t="s">
        <v>1743</v>
      </c>
      <c r="G2188" s="3" t="s">
        <v>52</v>
      </c>
      <c r="H2188" s="2" t="s">
        <v>21</v>
      </c>
      <c r="I2188" s="2" t="s">
        <v>4712</v>
      </c>
      <c r="J2188" s="3" t="str">
        <f>HYPERLINK("https://www.boe.es/gazeta/dias/1821/01/09/pdfs/GGB-1821-9.pdf#page=2","Abrir facsímil")</f>
        <v>Abrir facsímil</v>
      </c>
      <c r="K2188" s="3" t="s">
        <v>23</v>
      </c>
    </row>
    <row r="2189" spans="1:11" ht="42" customHeight="1">
      <c r="A2189" s="2" t="s">
        <v>4711</v>
      </c>
      <c r="B2189" s="2" t="s">
        <v>4711</v>
      </c>
      <c r="C2189" s="2" t="s">
        <v>17</v>
      </c>
      <c r="D2189" s="2" t="s">
        <v>18</v>
      </c>
      <c r="E2189" s="5">
        <v>-28831</v>
      </c>
      <c r="F2189" s="3" t="s">
        <v>3179</v>
      </c>
      <c r="G2189" s="3" t="s">
        <v>52</v>
      </c>
      <c r="H2189" s="2" t="s">
        <v>21</v>
      </c>
      <c r="I2189" s="2" t="s">
        <v>4713</v>
      </c>
      <c r="J2189" s="3" t="str">
        <f>HYPERLINK("https://www.boe.es/gazeta/dias/1821/01/22/pdfs/GGB-1821-22.pdf#page=2","Abrir facsímil")</f>
        <v>Abrir facsímil</v>
      </c>
      <c r="K2189" s="3" t="s">
        <v>23</v>
      </c>
    </row>
    <row r="2190" spans="1:11" ht="42" customHeight="1">
      <c r="A2190" s="2" t="s">
        <v>4711</v>
      </c>
      <c r="B2190" s="2" t="s">
        <v>4711</v>
      </c>
      <c r="C2190" s="2" t="s">
        <v>40</v>
      </c>
      <c r="D2190" s="2" t="s">
        <v>41</v>
      </c>
      <c r="E2190" s="5">
        <v>-28820</v>
      </c>
      <c r="F2190" s="3" t="s">
        <v>1430</v>
      </c>
      <c r="G2190" s="3" t="s">
        <v>43</v>
      </c>
      <c r="H2190" s="2" t="s">
        <v>21</v>
      </c>
      <c r="I2190" s="2" t="s">
        <v>4714</v>
      </c>
      <c r="J2190" s="3" t="str">
        <f>HYPERLINK("https://www.boe.es/gazeta/dias/1821/02/02/pdfs/GGB-1821-33.pdf#page=1","Abrir facsímil")</f>
        <v>Abrir facsímil</v>
      </c>
      <c r="K2190" s="3" t="s">
        <v>23</v>
      </c>
    </row>
    <row r="2191" spans="1:11" ht="42" customHeight="1">
      <c r="A2191" s="2" t="s">
        <v>4711</v>
      </c>
      <c r="B2191" s="2" t="s">
        <v>4711</v>
      </c>
      <c r="C2191" s="2" t="s">
        <v>26</v>
      </c>
      <c r="D2191" s="2" t="s">
        <v>27</v>
      </c>
      <c r="E2191" s="5">
        <v>-28771</v>
      </c>
      <c r="F2191" s="3" t="s">
        <v>110</v>
      </c>
      <c r="G2191" s="3" t="s">
        <v>43</v>
      </c>
      <c r="H2191" s="2" t="s">
        <v>21</v>
      </c>
      <c r="I2191" s="2" t="s">
        <v>4715</v>
      </c>
      <c r="J2191" s="3" t="str">
        <f>HYPERLINK("https://www.boe.es/gazeta/dias/1821/03/23/pdfs/GMD-1821-83.pdf#page=1","Abrir facsímil")</f>
        <v>Abrir facsímil</v>
      </c>
      <c r="K2191" s="3" t="s">
        <v>23</v>
      </c>
    </row>
    <row r="2192" spans="1:11" ht="42" customHeight="1">
      <c r="A2192" s="2" t="s">
        <v>4716</v>
      </c>
      <c r="B2192" s="2" t="s">
        <v>4717</v>
      </c>
      <c r="C2192" s="2" t="s">
        <v>40</v>
      </c>
      <c r="D2192" s="2" t="s">
        <v>41</v>
      </c>
      <c r="E2192" s="5">
        <v>-28616</v>
      </c>
      <c r="F2192" s="3" t="s">
        <v>1912</v>
      </c>
      <c r="G2192" s="3" t="s">
        <v>1913</v>
      </c>
      <c r="H2192" s="2" t="s">
        <v>21</v>
      </c>
      <c r="I2192" s="2" t="s">
        <v>4718</v>
      </c>
      <c r="J2192" s="3" t="str">
        <f>HYPERLINK("https://www.boe.es/gazeta/dias/1821/08/25/pdfs/GMD-1821-242.pdf#page=3","Abrir facsímil")</f>
        <v>Abrir facsímil</v>
      </c>
      <c r="K2192" s="3" t="s">
        <v>23</v>
      </c>
    </row>
    <row r="2193" spans="1:11" ht="42" customHeight="1">
      <c r="A2193" s="2" t="s">
        <v>4719</v>
      </c>
      <c r="B2193" s="2" t="s">
        <v>4720</v>
      </c>
      <c r="C2193" s="2" t="s">
        <v>40</v>
      </c>
      <c r="D2193" s="2" t="s">
        <v>41</v>
      </c>
      <c r="E2193" s="5">
        <v>-28834</v>
      </c>
      <c r="F2193" s="3" t="s">
        <v>369</v>
      </c>
      <c r="G2193" s="3" t="s">
        <v>20</v>
      </c>
      <c r="H2193" s="2" t="s">
        <v>21</v>
      </c>
      <c r="I2193" s="2" t="s">
        <v>4721</v>
      </c>
      <c r="J2193" s="3" t="str">
        <f>HYPERLINK("https://www.boe.es/gazeta/dias/1821/01/19/pdfs/GGB-1821-19.pdf#page=3","Abrir facsímil")</f>
        <v>Abrir facsímil</v>
      </c>
      <c r="K2193" s="3" t="s">
        <v>23</v>
      </c>
    </row>
    <row r="2194" spans="1:11" ht="42" customHeight="1">
      <c r="A2194" s="2" t="s">
        <v>4722</v>
      </c>
      <c r="B2194" s="2" t="s">
        <v>4722</v>
      </c>
      <c r="C2194" s="2" t="s">
        <v>17</v>
      </c>
      <c r="D2194" s="2" t="s">
        <v>18</v>
      </c>
      <c r="E2194" s="5">
        <v>-28772</v>
      </c>
      <c r="F2194" s="3" t="s">
        <v>62</v>
      </c>
      <c r="G2194" s="3" t="s">
        <v>88</v>
      </c>
      <c r="H2194" s="2" t="s">
        <v>21</v>
      </c>
      <c r="I2194" s="2" t="s">
        <v>4723</v>
      </c>
      <c r="J2194" s="3" t="str">
        <f>HYPERLINK("https://www.boe.es/gazeta/dias/1821/03/22/pdfs/GMD-1821-81.pdf#page=4","Abrir facsímil")</f>
        <v>Abrir facsímil</v>
      </c>
      <c r="K2194" s="3" t="s">
        <v>23</v>
      </c>
    </row>
    <row r="2195" spans="1:11" ht="42" customHeight="1">
      <c r="A2195" s="2" t="s">
        <v>4722</v>
      </c>
      <c r="B2195" s="2" t="s">
        <v>4722</v>
      </c>
      <c r="C2195" s="2" t="s">
        <v>26</v>
      </c>
      <c r="D2195" s="2" t="s">
        <v>27</v>
      </c>
      <c r="E2195" s="5">
        <v>-28763</v>
      </c>
      <c r="F2195" s="3" t="s">
        <v>1145</v>
      </c>
      <c r="G2195" s="3" t="s">
        <v>20</v>
      </c>
      <c r="H2195" s="2" t="s">
        <v>21</v>
      </c>
      <c r="I2195" s="2" t="s">
        <v>4724</v>
      </c>
      <c r="J2195" s="3" t="str">
        <f>HYPERLINK("https://www.boe.es/gazeta/dias/1821/03/31/pdfs/GMD-1821-92.pdf#page=3","Abrir facsímil")</f>
        <v>Abrir facsímil</v>
      </c>
      <c r="K2195" s="3" t="s">
        <v>23</v>
      </c>
    </row>
    <row r="2196" spans="1:11" ht="42" customHeight="1">
      <c r="A2196" s="2" t="s">
        <v>4722</v>
      </c>
      <c r="B2196" s="2" t="s">
        <v>4722</v>
      </c>
      <c r="C2196" s="2" t="s">
        <v>26</v>
      </c>
      <c r="D2196" s="2" t="s">
        <v>27</v>
      </c>
      <c r="E2196" s="5">
        <v>-28688</v>
      </c>
      <c r="F2196" s="3" t="s">
        <v>1504</v>
      </c>
      <c r="G2196" s="3" t="s">
        <v>20</v>
      </c>
      <c r="H2196" s="2" t="s">
        <v>21</v>
      </c>
      <c r="I2196" s="2" t="s">
        <v>4725</v>
      </c>
      <c r="J2196" s="3" t="str">
        <f>HYPERLINK("https://www.boe.es/gazeta/dias/1821/06/14/pdfs/GMD-1821-167.pdf#page=3","Abrir facsímil")</f>
        <v>Abrir facsímil</v>
      </c>
      <c r="K2196" s="3" t="s">
        <v>23</v>
      </c>
    </row>
    <row r="2197" spans="1:11" ht="42" customHeight="1">
      <c r="A2197" s="2" t="s">
        <v>4722</v>
      </c>
      <c r="B2197" s="2" t="s">
        <v>4722</v>
      </c>
      <c r="C2197" s="2" t="s">
        <v>114</v>
      </c>
      <c r="D2197" s="2" t="s">
        <v>27</v>
      </c>
      <c r="E2197" s="5">
        <v>-28685</v>
      </c>
      <c r="F2197" s="3" t="s">
        <v>303</v>
      </c>
      <c r="G2197" s="3" t="s">
        <v>162</v>
      </c>
      <c r="H2197" s="2" t="s">
        <v>21</v>
      </c>
      <c r="I2197" s="2" t="s">
        <v>4726</v>
      </c>
      <c r="J2197" s="3" t="str">
        <f>HYPERLINK("https://www.boe.es/gazeta/dias/1821/06/17/pdfs/GMD-1821-170.pdf#page=5","Abrir facsímil")</f>
        <v>Abrir facsímil</v>
      </c>
      <c r="K2197" s="3" t="s">
        <v>23</v>
      </c>
    </row>
    <row r="2198" spans="1:11" ht="42" customHeight="1">
      <c r="A2198" s="2" t="s">
        <v>4727</v>
      </c>
      <c r="B2198" s="2" t="s">
        <v>4727</v>
      </c>
      <c r="C2198" s="2" t="s">
        <v>40</v>
      </c>
      <c r="D2198" s="2" t="s">
        <v>41</v>
      </c>
      <c r="E2198" s="5">
        <v>-28503</v>
      </c>
      <c r="F2198" s="3" t="s">
        <v>947</v>
      </c>
      <c r="G2198" s="3" t="s">
        <v>52</v>
      </c>
      <c r="H2198" s="2" t="s">
        <v>21</v>
      </c>
      <c r="I2198" s="2" t="s">
        <v>4728</v>
      </c>
      <c r="J2198" s="3" t="str">
        <f>HYPERLINK("https://www.boe.es/gazeta/dias/1821/12/16/pdfs/GMD-1821-359.pdf#page=2","Abrir facsímil")</f>
        <v>Abrir facsímil</v>
      </c>
      <c r="K2198" s="3" t="s">
        <v>23</v>
      </c>
    </row>
    <row r="2199" spans="1:11" ht="42" customHeight="1">
      <c r="A2199" s="2" t="s">
        <v>4729</v>
      </c>
      <c r="B2199" s="2" t="s">
        <v>4730</v>
      </c>
      <c r="C2199" s="2" t="s">
        <v>40</v>
      </c>
      <c r="D2199" s="2" t="s">
        <v>41</v>
      </c>
      <c r="E2199" s="5">
        <v>-28738</v>
      </c>
      <c r="F2199" s="3" t="s">
        <v>359</v>
      </c>
      <c r="G2199" s="3" t="s">
        <v>20</v>
      </c>
      <c r="H2199" s="2" t="s">
        <v>21</v>
      </c>
      <c r="I2199" s="2" t="s">
        <v>4731</v>
      </c>
      <c r="J2199" s="3" t="str">
        <f>HYPERLINK("https://www.boe.es/gazeta/dias/1821/04/25/pdfs/GMD-1821-117.pdf#page=3","Abrir facsímil")</f>
        <v>Abrir facsímil</v>
      </c>
      <c r="K2199" s="3" t="s">
        <v>23</v>
      </c>
    </row>
    <row r="2200" spans="1:11" ht="42" customHeight="1">
      <c r="A2200" s="2" t="s">
        <v>4732</v>
      </c>
      <c r="B2200" s="2" t="s">
        <v>4732</v>
      </c>
      <c r="C2200" s="2" t="s">
        <v>174</v>
      </c>
      <c r="D2200" s="2" t="s">
        <v>27</v>
      </c>
      <c r="E2200" s="5">
        <v>-28782</v>
      </c>
      <c r="F2200" s="3" t="s">
        <v>508</v>
      </c>
      <c r="G2200" s="3" t="s">
        <v>43</v>
      </c>
      <c r="H2200" s="2" t="s">
        <v>21</v>
      </c>
      <c r="I2200" s="2" t="s">
        <v>4733</v>
      </c>
      <c r="J2200" s="3" t="str">
        <f>HYPERLINK("https://www.boe.es/gazeta/dias/1821/03/12/pdfs/GMD-1821-71.pdf#page=1","Abrir facsímil")</f>
        <v>Abrir facsímil</v>
      </c>
      <c r="K2200" s="3" t="s">
        <v>23</v>
      </c>
    </row>
    <row r="2201" spans="1:11" ht="42" customHeight="1">
      <c r="A2201" s="2" t="s">
        <v>4734</v>
      </c>
      <c r="B2201" s="2" t="s">
        <v>4735</v>
      </c>
      <c r="C2201" s="2" t="s">
        <v>17</v>
      </c>
      <c r="D2201" s="2" t="s">
        <v>18</v>
      </c>
      <c r="E2201" s="5">
        <v>-28633</v>
      </c>
      <c r="F2201" s="3" t="s">
        <v>2601</v>
      </c>
      <c r="G2201" s="3" t="s">
        <v>88</v>
      </c>
      <c r="H2201" s="2" t="s">
        <v>21</v>
      </c>
      <c r="I2201" s="2" t="s">
        <v>4736</v>
      </c>
      <c r="J2201" s="3" t="str">
        <f>HYPERLINK("https://www.boe.es/gazeta/dias/1821/08/08/pdfs/GMD-1821-224.pdf#page=4","Abrir facsímil")</f>
        <v>Abrir facsímil</v>
      </c>
      <c r="K2201" s="3" t="s">
        <v>23</v>
      </c>
    </row>
    <row r="2202" spans="1:11" ht="42" customHeight="1">
      <c r="A2202" s="2" t="s">
        <v>4737</v>
      </c>
      <c r="B2202" s="2" t="s">
        <v>4737</v>
      </c>
      <c r="C2202" s="2" t="s">
        <v>174</v>
      </c>
      <c r="D2202" s="2" t="s">
        <v>27</v>
      </c>
      <c r="E2202" s="5">
        <v>-28814</v>
      </c>
      <c r="F2202" s="3" t="s">
        <v>2090</v>
      </c>
      <c r="G2202" s="3" t="s">
        <v>3053</v>
      </c>
      <c r="H2202" s="2" t="s">
        <v>21</v>
      </c>
      <c r="I2202" s="2" t="s">
        <v>4738</v>
      </c>
      <c r="J2202" s="3" t="str">
        <f>HYPERLINK("https://www.boe.es/gazeta/dias/1821/02/08/pdfs/GGB-1821-39.pdf#page=3","Abrir facsímil")</f>
        <v>Abrir facsímil</v>
      </c>
      <c r="K2202" s="3" t="s">
        <v>23</v>
      </c>
    </row>
    <row r="2203" spans="1:11" ht="42" customHeight="1">
      <c r="A2203" s="2" t="s">
        <v>4739</v>
      </c>
      <c r="B2203" s="2" t="s">
        <v>4740</v>
      </c>
      <c r="C2203" s="2" t="s">
        <v>26</v>
      </c>
      <c r="D2203" s="2" t="s">
        <v>27</v>
      </c>
      <c r="E2203" s="5">
        <v>-28543</v>
      </c>
      <c r="F2203" s="3" t="s">
        <v>136</v>
      </c>
      <c r="G2203" s="3" t="s">
        <v>52</v>
      </c>
      <c r="H2203" s="2" t="s">
        <v>21</v>
      </c>
      <c r="I2203" s="2" t="s">
        <v>4741</v>
      </c>
      <c r="J2203" s="3" t="str">
        <f>HYPERLINK("https://www.boe.es/gazeta/dias/1821/11/06/pdfs/GMD-1821-317.pdf#page=2","Abrir facsímil")</f>
        <v>Abrir facsímil</v>
      </c>
      <c r="K2203" s="3" t="s">
        <v>23</v>
      </c>
    </row>
    <row r="2204" spans="1:11" ht="42" customHeight="1">
      <c r="A2204" s="2" t="s">
        <v>4742</v>
      </c>
      <c r="B2204" s="2" t="s">
        <v>4743</v>
      </c>
      <c r="C2204" s="2" t="s">
        <v>26</v>
      </c>
      <c r="D2204" s="2" t="s">
        <v>27</v>
      </c>
      <c r="E2204" s="5">
        <v>-28682</v>
      </c>
      <c r="F2204" s="3" t="s">
        <v>1064</v>
      </c>
      <c r="G2204" s="3" t="s">
        <v>29</v>
      </c>
      <c r="H2204" s="2" t="s">
        <v>21</v>
      </c>
      <c r="I2204" s="2" t="s">
        <v>4744</v>
      </c>
      <c r="J2204" s="3" t="str">
        <f>HYPERLINK("https://www.boe.es/gazeta/dias/1821/06/20/pdfs/GMD-1821-173.pdf#page=6","Abrir facsímil")</f>
        <v>Abrir facsímil</v>
      </c>
      <c r="K2204" s="3" t="s">
        <v>23</v>
      </c>
    </row>
    <row r="2205" spans="1:11" ht="42" customHeight="1">
      <c r="A2205" s="2" t="s">
        <v>4742</v>
      </c>
      <c r="B2205" s="2" t="s">
        <v>4743</v>
      </c>
      <c r="C2205" s="2" t="s">
        <v>114</v>
      </c>
      <c r="D2205" s="2" t="s">
        <v>27</v>
      </c>
      <c r="E2205" s="5">
        <v>-28515</v>
      </c>
      <c r="F2205" s="3" t="s">
        <v>260</v>
      </c>
      <c r="G2205" s="3" t="s">
        <v>52</v>
      </c>
      <c r="H2205" s="2" t="s">
        <v>21</v>
      </c>
      <c r="I2205" s="2" t="s">
        <v>4745</v>
      </c>
      <c r="J2205" s="3" t="str">
        <f>HYPERLINK("https://www.boe.es/gazeta/dias/1821/12/04/pdfs/GMD-1821-346.pdf#page=2","Abrir facsímil")</f>
        <v>Abrir facsímil</v>
      </c>
      <c r="K2205" s="3" t="s">
        <v>23</v>
      </c>
    </row>
    <row r="2206" spans="1:11" ht="42" customHeight="1">
      <c r="A2206" s="2" t="s">
        <v>4746</v>
      </c>
      <c r="B2206" s="2" t="s">
        <v>4747</v>
      </c>
      <c r="C2206" s="2" t="s">
        <v>26</v>
      </c>
      <c r="D2206" s="2" t="s">
        <v>27</v>
      </c>
      <c r="E2206" s="5">
        <v>-28743</v>
      </c>
      <c r="F2206" s="3" t="s">
        <v>51</v>
      </c>
      <c r="G2206" s="3" t="s">
        <v>88</v>
      </c>
      <c r="H2206" s="2" t="s">
        <v>21</v>
      </c>
      <c r="I2206" s="2" t="s">
        <v>4748</v>
      </c>
      <c r="J2206" s="3" t="str">
        <f>HYPERLINK("https://www.boe.es/gazeta/dias/1821/04/20/pdfs/GMD-1821-112.pdf#page=4","Abrir facsímil")</f>
        <v>Abrir facsímil</v>
      </c>
      <c r="K2206" s="3" t="s">
        <v>23</v>
      </c>
    </row>
    <row r="2207" spans="1:11" ht="42" customHeight="1">
      <c r="A2207" s="2" t="s">
        <v>4749</v>
      </c>
      <c r="B2207" s="2" t="s">
        <v>4750</v>
      </c>
      <c r="C2207" s="2" t="s">
        <v>40</v>
      </c>
      <c r="D2207" s="2" t="s">
        <v>41</v>
      </c>
      <c r="E2207" s="5">
        <v>-28701</v>
      </c>
      <c r="F2207" s="3" t="s">
        <v>202</v>
      </c>
      <c r="G2207" s="3" t="s">
        <v>43</v>
      </c>
      <c r="H2207" s="2" t="s">
        <v>21</v>
      </c>
      <c r="I2207" s="2" t="s">
        <v>4751</v>
      </c>
      <c r="J2207" s="3" t="str">
        <f>HYPERLINK("https://www.boe.es/gazeta/dias/1821/06/01/pdfs/GMD-1821-154.pdf#page=1","Abrir facsímil")</f>
        <v>Abrir facsímil</v>
      </c>
      <c r="K2207" s="3" t="s">
        <v>23</v>
      </c>
    </row>
    <row r="2208" spans="1:11" ht="42" customHeight="1">
      <c r="A2208" s="2" t="s">
        <v>4752</v>
      </c>
      <c r="B2208" s="2" t="s">
        <v>4753</v>
      </c>
      <c r="C2208" s="2" t="s">
        <v>26</v>
      </c>
      <c r="D2208" s="2" t="s">
        <v>27</v>
      </c>
      <c r="E2208" s="5">
        <v>-28547</v>
      </c>
      <c r="F2208" s="3" t="s">
        <v>247</v>
      </c>
      <c r="G2208" s="3" t="s">
        <v>248</v>
      </c>
      <c r="H2208" s="2" t="s">
        <v>21</v>
      </c>
      <c r="I2208" s="2" t="s">
        <v>4754</v>
      </c>
      <c r="J2208" s="3" t="str">
        <f>HYPERLINK("https://www.boe.es/gazeta/dias/1821/11/02/pdfs/GMD-1821-312.pdf#page=2","Abrir facsímil")</f>
        <v>Abrir facsímil</v>
      </c>
      <c r="K2208" s="3" t="s">
        <v>23</v>
      </c>
    </row>
    <row r="2209" spans="1:11" ht="42" customHeight="1">
      <c r="A2209" s="2" t="s">
        <v>4755</v>
      </c>
      <c r="B2209" s="2" t="s">
        <v>4756</v>
      </c>
      <c r="C2209" s="2" t="s">
        <v>40</v>
      </c>
      <c r="D2209" s="2" t="s">
        <v>41</v>
      </c>
      <c r="E2209" s="5">
        <v>-28750</v>
      </c>
      <c r="F2209" s="3" t="s">
        <v>917</v>
      </c>
      <c r="G2209" s="3" t="s">
        <v>52</v>
      </c>
      <c r="H2209" s="2" t="s">
        <v>21</v>
      </c>
      <c r="I2209" s="2" t="s">
        <v>4757</v>
      </c>
      <c r="J2209" s="3" t="str">
        <f>HYPERLINK("https://www.boe.es/gazeta/dias/1821/04/13/pdfs/GMD-1821-105.pdf#page=2","Abrir facsímil")</f>
        <v>Abrir facsímil</v>
      </c>
      <c r="K2209" s="3" t="s">
        <v>23</v>
      </c>
    </row>
    <row r="2210" spans="1:11" ht="42" customHeight="1">
      <c r="A2210" s="2" t="s">
        <v>4758</v>
      </c>
      <c r="B2210" s="2" t="s">
        <v>4759</v>
      </c>
      <c r="C2210" s="2" t="s">
        <v>174</v>
      </c>
      <c r="D2210" s="2" t="s">
        <v>27</v>
      </c>
      <c r="E2210" s="5">
        <v>-28547</v>
      </c>
      <c r="F2210" s="3" t="s">
        <v>247</v>
      </c>
      <c r="G2210" s="3" t="s">
        <v>248</v>
      </c>
      <c r="H2210" s="2" t="s">
        <v>21</v>
      </c>
      <c r="I2210" s="2" t="s">
        <v>4760</v>
      </c>
      <c r="J2210" s="3" t="str">
        <f>HYPERLINK("https://www.boe.es/gazeta/dias/1821/11/02/pdfs/GMD-1821-312.pdf#page=2","Abrir facsímil")</f>
        <v>Abrir facsímil</v>
      </c>
      <c r="K2210" s="3" t="s">
        <v>23</v>
      </c>
    </row>
    <row r="2211" spans="1:11" ht="42" customHeight="1">
      <c r="A2211" s="2" t="s">
        <v>4761</v>
      </c>
      <c r="B2211" s="2" t="s">
        <v>4761</v>
      </c>
      <c r="C2211" s="2" t="s">
        <v>40</v>
      </c>
      <c r="D2211" s="2" t="s">
        <v>41</v>
      </c>
      <c r="E2211" s="5">
        <v>-28806</v>
      </c>
      <c r="F2211" s="3" t="s">
        <v>1201</v>
      </c>
      <c r="G2211" s="3" t="s">
        <v>52</v>
      </c>
      <c r="H2211" s="2" t="s">
        <v>21</v>
      </c>
      <c r="I2211" s="2" t="s">
        <v>4762</v>
      </c>
      <c r="J2211" s="3" t="str">
        <f>HYPERLINK("https://www.boe.es/gazeta/dias/1821/02/16/pdfs/GGB-1821-47.pdf#page=2","Abrir facsímil")</f>
        <v>Abrir facsímil</v>
      </c>
      <c r="K2211" s="3" t="s">
        <v>23</v>
      </c>
    </row>
    <row r="2212" spans="1:11" ht="42" customHeight="1">
      <c r="A2212" s="2" t="s">
        <v>4761</v>
      </c>
      <c r="B2212" s="2" t="s">
        <v>4761</v>
      </c>
      <c r="C2212" s="2" t="s">
        <v>70</v>
      </c>
      <c r="D2212" s="2" t="s">
        <v>27</v>
      </c>
      <c r="E2212" s="5">
        <v>-28805</v>
      </c>
      <c r="F2212" s="3" t="s">
        <v>382</v>
      </c>
      <c r="G2212" s="3" t="s">
        <v>52</v>
      </c>
      <c r="H2212" s="2" t="s">
        <v>21</v>
      </c>
      <c r="I2212" s="2" t="s">
        <v>4763</v>
      </c>
      <c r="J2212" s="3" t="str">
        <f>HYPERLINK("https://www.boe.es/gazeta/dias/1821/02/17/pdfs/GGB-1821-48.pdf#page=2","Abrir facsímil")</f>
        <v>Abrir facsímil</v>
      </c>
      <c r="K2212" s="3" t="s">
        <v>23</v>
      </c>
    </row>
    <row r="2213" spans="1:11" ht="42" customHeight="1">
      <c r="A2213" s="2" t="s">
        <v>4764</v>
      </c>
      <c r="B2213" s="2" t="s">
        <v>4764</v>
      </c>
      <c r="C2213" s="2" t="s">
        <v>40</v>
      </c>
      <c r="D2213" s="2" t="s">
        <v>41</v>
      </c>
      <c r="E2213" s="5">
        <v>-28810</v>
      </c>
      <c r="F2213" s="3" t="s">
        <v>308</v>
      </c>
      <c r="G2213" s="3" t="s">
        <v>20</v>
      </c>
      <c r="H2213" s="2" t="s">
        <v>21</v>
      </c>
      <c r="I2213" s="2" t="s">
        <v>4765</v>
      </c>
      <c r="J2213" s="3" t="str">
        <f>HYPERLINK("https://www.boe.es/gazeta/dias/1821/02/12/pdfs/GGB-1821-43.pdf#page=3","Abrir facsímil")</f>
        <v>Abrir facsímil</v>
      </c>
      <c r="K2213" s="3" t="s">
        <v>23</v>
      </c>
    </row>
    <row r="2214" spans="1:11" ht="42" customHeight="1">
      <c r="A2214" s="2" t="s">
        <v>4766</v>
      </c>
      <c r="B2214" s="2" t="s">
        <v>4767</v>
      </c>
      <c r="C2214" s="2" t="s">
        <v>26</v>
      </c>
      <c r="D2214" s="2" t="s">
        <v>27</v>
      </c>
      <c r="E2214" s="5">
        <v>-28565</v>
      </c>
      <c r="F2214" s="3" t="s">
        <v>326</v>
      </c>
      <c r="G2214" s="3" t="s">
        <v>162</v>
      </c>
      <c r="H2214" s="2" t="s">
        <v>21</v>
      </c>
      <c r="I2214" s="2" t="s">
        <v>4768</v>
      </c>
      <c r="J2214" s="3" t="str">
        <f>HYPERLINK("https://www.boe.es/gazeta/dias/1821/10/15/pdfs/GMD-1821-294.pdf#page=5","Abrir facsímil")</f>
        <v>Abrir facsímil</v>
      </c>
      <c r="K2214" s="3" t="s">
        <v>23</v>
      </c>
    </row>
    <row r="2215" spans="1:11" ht="42" customHeight="1">
      <c r="A2215" s="2" t="s">
        <v>4769</v>
      </c>
      <c r="B2215" s="2" t="s">
        <v>4769</v>
      </c>
      <c r="C2215" s="2" t="s">
        <v>17</v>
      </c>
      <c r="D2215" s="2" t="s">
        <v>18</v>
      </c>
      <c r="E2215" s="5">
        <v>-28815</v>
      </c>
      <c r="F2215" s="3" t="s">
        <v>2394</v>
      </c>
      <c r="G2215" s="3" t="s">
        <v>20</v>
      </c>
      <c r="H2215" s="2" t="s">
        <v>21</v>
      </c>
      <c r="I2215" s="2" t="s">
        <v>4770</v>
      </c>
      <c r="J2215" s="3" t="str">
        <f>HYPERLINK("https://www.boe.es/gazeta/dias/1821/02/07/pdfs/GGB-1821-38.pdf#page=3","Abrir facsímil")</f>
        <v>Abrir facsímil</v>
      </c>
      <c r="K2215" s="3" t="s">
        <v>23</v>
      </c>
    </row>
    <row r="2216" spans="1:11" ht="42" customHeight="1">
      <c r="A2216" s="2" t="s">
        <v>4771</v>
      </c>
      <c r="B2216" s="2" t="s">
        <v>4771</v>
      </c>
      <c r="C2216" s="2" t="s">
        <v>26</v>
      </c>
      <c r="D2216" s="2" t="s">
        <v>27</v>
      </c>
      <c r="E2216" s="5">
        <v>-28717</v>
      </c>
      <c r="F2216" s="3" t="s">
        <v>1044</v>
      </c>
      <c r="G2216" s="3" t="s">
        <v>52</v>
      </c>
      <c r="H2216" s="2" t="s">
        <v>21</v>
      </c>
      <c r="I2216" s="2" t="s">
        <v>4772</v>
      </c>
      <c r="J2216" s="3" t="str">
        <f>HYPERLINK("https://www.boe.es/gazeta/dias/1821/05/16/pdfs/GMD-1821-138.pdf#page=2","Abrir facsímil")</f>
        <v>Abrir facsímil</v>
      </c>
      <c r="K2216" s="3" t="s">
        <v>23</v>
      </c>
    </row>
    <row r="2217" spans="1:11" ht="42" customHeight="1">
      <c r="A2217" s="2" t="s">
        <v>4773</v>
      </c>
      <c r="B2217" s="2" t="s">
        <v>4774</v>
      </c>
      <c r="C2217" s="2" t="s">
        <v>40</v>
      </c>
      <c r="D2217" s="2" t="s">
        <v>41</v>
      </c>
      <c r="E2217" s="5">
        <v>-28511</v>
      </c>
      <c r="F2217" s="3" t="s">
        <v>340</v>
      </c>
      <c r="G2217" s="3" t="s">
        <v>52</v>
      </c>
      <c r="H2217" s="2" t="s">
        <v>21</v>
      </c>
      <c r="I2217" s="2" t="s">
        <v>4775</v>
      </c>
      <c r="J2217" s="3" t="str">
        <f>HYPERLINK("https://www.boe.es/gazeta/dias/1821/12/08/pdfs/GMD-1821-350.pdf#page=2","Abrir facsímil")</f>
        <v>Abrir facsímil</v>
      </c>
      <c r="K2217" s="3" t="s">
        <v>23</v>
      </c>
    </row>
    <row r="2218" spans="1:11" ht="42" customHeight="1">
      <c r="A2218" s="2" t="s">
        <v>4776</v>
      </c>
      <c r="B2218" s="2" t="s">
        <v>4777</v>
      </c>
      <c r="C2218" s="2" t="s">
        <v>40</v>
      </c>
      <c r="D2218" s="2" t="s">
        <v>41</v>
      </c>
      <c r="E2218" s="5">
        <v>-28768</v>
      </c>
      <c r="F2218" s="3" t="s">
        <v>1114</v>
      </c>
      <c r="G2218" s="3" t="s">
        <v>88</v>
      </c>
      <c r="H2218" s="2" t="s">
        <v>21</v>
      </c>
      <c r="I2218" s="2" t="s">
        <v>4778</v>
      </c>
      <c r="J2218" s="3" t="str">
        <f>HYPERLINK("https://www.boe.es/gazeta/dias/1821/03/26/pdfs/GMD-1821-86.pdf#page=4","Abrir facsímil")</f>
        <v>Abrir facsímil</v>
      </c>
      <c r="K2218" s="3" t="s">
        <v>23</v>
      </c>
    </row>
    <row r="2219" spans="1:11" ht="42" customHeight="1">
      <c r="A2219" s="2" t="s">
        <v>4779</v>
      </c>
      <c r="B2219" s="2" t="s">
        <v>4780</v>
      </c>
      <c r="C2219" s="2" t="s">
        <v>40</v>
      </c>
      <c r="D2219" s="2" t="s">
        <v>41</v>
      </c>
      <c r="E2219" s="5">
        <v>-28704</v>
      </c>
      <c r="F2219" s="3" t="s">
        <v>1050</v>
      </c>
      <c r="G2219" s="3" t="s">
        <v>52</v>
      </c>
      <c r="H2219" s="2" t="s">
        <v>21</v>
      </c>
      <c r="I2219" s="2" t="s">
        <v>4781</v>
      </c>
      <c r="J2219" s="3" t="str">
        <f>HYPERLINK("https://www.boe.es/gazeta/dias/1821/05/29/pdfs/GMD-1821-151.pdf#page=2","Abrir facsímil")</f>
        <v>Abrir facsímil</v>
      </c>
      <c r="K2219" s="3" t="s">
        <v>23</v>
      </c>
    </row>
    <row r="2220" spans="1:11" ht="42" customHeight="1">
      <c r="A2220" s="2" t="s">
        <v>4779</v>
      </c>
      <c r="B2220" s="2" t="s">
        <v>4780</v>
      </c>
      <c r="C2220" s="2" t="s">
        <v>17</v>
      </c>
      <c r="D2220" s="2" t="s">
        <v>18</v>
      </c>
      <c r="E2220" s="5">
        <v>-28650</v>
      </c>
      <c r="F2220" s="3" t="s">
        <v>3285</v>
      </c>
      <c r="G2220" s="3" t="s">
        <v>88</v>
      </c>
      <c r="H2220" s="2" t="s">
        <v>21</v>
      </c>
      <c r="I2220" s="2" t="s">
        <v>4782</v>
      </c>
      <c r="J2220" s="3" t="str">
        <f>HYPERLINK("https://www.boe.es/gazeta/dias/1821/07/22/pdfs/GMD-1821-207.pdf#page=4","Abrir facsímil")</f>
        <v>Abrir facsímil</v>
      </c>
      <c r="K2220" s="3" t="s">
        <v>23</v>
      </c>
    </row>
    <row r="2221" spans="1:11" ht="42" customHeight="1">
      <c r="A2221" s="2" t="s">
        <v>4783</v>
      </c>
      <c r="B2221" s="2" t="s">
        <v>4784</v>
      </c>
      <c r="C2221" s="2" t="s">
        <v>17</v>
      </c>
      <c r="D2221" s="2" t="s">
        <v>18</v>
      </c>
      <c r="E2221" s="5">
        <v>-28662</v>
      </c>
      <c r="F2221" s="3" t="s">
        <v>3289</v>
      </c>
      <c r="G2221" s="3" t="s">
        <v>20</v>
      </c>
      <c r="H2221" s="2" t="s">
        <v>21</v>
      </c>
      <c r="I2221" s="2" t="s">
        <v>4785</v>
      </c>
      <c r="J2221" s="3" t="str">
        <f>HYPERLINK("https://www.boe.es/gazeta/dias/1821/07/10/pdfs/GMD-1821-195.pdf#page=3","Abrir facsímil")</f>
        <v>Abrir facsímil</v>
      </c>
      <c r="K2221" s="3" t="s">
        <v>23</v>
      </c>
    </row>
    <row r="2222" spans="1:11" ht="42" customHeight="1">
      <c r="A2222" s="2" t="s">
        <v>4786</v>
      </c>
      <c r="B2222" s="2" t="s">
        <v>4787</v>
      </c>
      <c r="C2222" s="2" t="s">
        <v>40</v>
      </c>
      <c r="D2222" s="2" t="s">
        <v>41</v>
      </c>
      <c r="E2222" s="5">
        <v>-28737</v>
      </c>
      <c r="F2222" s="3" t="s">
        <v>732</v>
      </c>
      <c r="G2222" s="3" t="s">
        <v>20</v>
      </c>
      <c r="H2222" s="2" t="s">
        <v>21</v>
      </c>
      <c r="I2222" s="2" t="s">
        <v>4788</v>
      </c>
      <c r="J2222" s="3" t="str">
        <f>HYPERLINK("https://www.boe.es/gazeta/dias/1821/04/26/pdfs/GMD-1821-118.pdf#page=3","Abrir facsímil")</f>
        <v>Abrir facsímil</v>
      </c>
      <c r="K2222" s="3" t="s">
        <v>23</v>
      </c>
    </row>
    <row r="2223" spans="1:11" ht="42" customHeight="1">
      <c r="A2223" s="2" t="s">
        <v>4789</v>
      </c>
      <c r="B2223" s="2" t="s">
        <v>4790</v>
      </c>
      <c r="C2223" s="2" t="s">
        <v>17</v>
      </c>
      <c r="D2223" s="2" t="s">
        <v>18</v>
      </c>
      <c r="E2223" s="5">
        <v>-28706</v>
      </c>
      <c r="F2223" s="3" t="s">
        <v>4791</v>
      </c>
      <c r="G2223" s="3" t="s">
        <v>52</v>
      </c>
      <c r="H2223" s="2" t="s">
        <v>21</v>
      </c>
      <c r="I2223" s="2" t="s">
        <v>4792</v>
      </c>
      <c r="J2223" s="3" t="str">
        <f>HYPERLINK("https://www.boe.es/gazeta/dias/1821/05/27/pdfs/GMD-1821-149.pdf#page=2","Abrir facsímil")</f>
        <v>Abrir facsímil</v>
      </c>
      <c r="K2223" s="3" t="s">
        <v>23</v>
      </c>
    </row>
    <row r="2224" spans="1:11" ht="42" customHeight="1">
      <c r="A2224" s="2" t="s">
        <v>4793</v>
      </c>
      <c r="B2224" s="2" t="s">
        <v>4794</v>
      </c>
      <c r="C2224" s="2" t="s">
        <v>40</v>
      </c>
      <c r="D2224" s="2" t="s">
        <v>41</v>
      </c>
      <c r="E2224" s="5">
        <v>-28738</v>
      </c>
      <c r="F2224" s="3" t="s">
        <v>359</v>
      </c>
      <c r="G2224" s="3" t="s">
        <v>88</v>
      </c>
      <c r="H2224" s="2" t="s">
        <v>21</v>
      </c>
      <c r="I2224" s="2" t="s">
        <v>4795</v>
      </c>
      <c r="J2224" s="3" t="str">
        <f>HYPERLINK("https://www.boe.es/gazeta/dias/1821/04/25/pdfs/GMD-1821-117.pdf#page=4","Abrir facsímil")</f>
        <v>Abrir facsímil</v>
      </c>
      <c r="K2224" s="3" t="s">
        <v>23</v>
      </c>
    </row>
    <row r="2225" spans="1:11" ht="42" customHeight="1">
      <c r="A2225" s="2" t="s">
        <v>4796</v>
      </c>
      <c r="B2225" s="2" t="s">
        <v>4796</v>
      </c>
      <c r="C2225" s="2" t="s">
        <v>35</v>
      </c>
      <c r="D2225" s="2" t="s">
        <v>27</v>
      </c>
      <c r="E2225" s="5">
        <v>-28799</v>
      </c>
      <c r="F2225" s="3" t="s">
        <v>3158</v>
      </c>
      <c r="G2225" s="3" t="s">
        <v>52</v>
      </c>
      <c r="H2225" s="2" t="s">
        <v>21</v>
      </c>
      <c r="I2225" s="2" t="s">
        <v>4797</v>
      </c>
      <c r="J2225" s="3" t="str">
        <f>HYPERLINK("https://www.boe.es/gazeta/dias/1821/02/23/pdfs/GGB-1821-54.pdf#page=2","Abrir facsímil")</f>
        <v>Abrir facsímil</v>
      </c>
      <c r="K2225" s="3" t="s">
        <v>23</v>
      </c>
    </row>
    <row r="2226" spans="1:11" ht="42" customHeight="1">
      <c r="A2226" s="2" t="s">
        <v>4796</v>
      </c>
      <c r="B2226" s="2" t="s">
        <v>4796</v>
      </c>
      <c r="C2226" s="2" t="s">
        <v>40</v>
      </c>
      <c r="D2226" s="2" t="s">
        <v>41</v>
      </c>
      <c r="E2226" s="5">
        <v>-28782</v>
      </c>
      <c r="F2226" s="3" t="s">
        <v>508</v>
      </c>
      <c r="G2226" s="3" t="s">
        <v>52</v>
      </c>
      <c r="H2226" s="2" t="s">
        <v>21</v>
      </c>
      <c r="I2226" s="2" t="s">
        <v>4798</v>
      </c>
      <c r="J2226" s="3" t="str">
        <f>HYPERLINK("https://www.boe.es/gazeta/dias/1821/03/12/pdfs/GMD-1821-71.pdf#page=2","Abrir facsímil")</f>
        <v>Abrir facsímil</v>
      </c>
      <c r="K2226" s="3" t="s">
        <v>23</v>
      </c>
    </row>
    <row r="2227" spans="1:11" ht="42" customHeight="1">
      <c r="A2227" s="2" t="s">
        <v>4799</v>
      </c>
      <c r="B2227" s="2" t="s">
        <v>4799</v>
      </c>
      <c r="C2227" s="2" t="s">
        <v>35</v>
      </c>
      <c r="D2227" s="2" t="s">
        <v>27</v>
      </c>
      <c r="E2227" s="5">
        <v>-28731</v>
      </c>
      <c r="F2227" s="3" t="s">
        <v>577</v>
      </c>
      <c r="G2227" s="3" t="s">
        <v>43</v>
      </c>
      <c r="H2227" s="2" t="s">
        <v>21</v>
      </c>
      <c r="I2227" s="2" t="s">
        <v>4800</v>
      </c>
      <c r="J2227" s="3" t="str">
        <f>HYPERLINK("https://www.boe.es/gazeta/dias/1821/05/02/pdfs/GMD-1821-124.pdf#page=1","Abrir facsímil")</f>
        <v>Abrir facsímil</v>
      </c>
      <c r="K2227" s="3" t="s">
        <v>23</v>
      </c>
    </row>
    <row r="2228" spans="1:11" ht="42" customHeight="1">
      <c r="A2228" s="2" t="s">
        <v>4801</v>
      </c>
      <c r="B2228" s="2" t="s">
        <v>4801</v>
      </c>
      <c r="C2228" s="2" t="s">
        <v>40</v>
      </c>
      <c r="D2228" s="2" t="s">
        <v>41</v>
      </c>
      <c r="E2228" s="5">
        <v>-28813</v>
      </c>
      <c r="F2228" s="3" t="s">
        <v>268</v>
      </c>
      <c r="G2228" s="3" t="s">
        <v>20</v>
      </c>
      <c r="H2228" s="2" t="s">
        <v>21</v>
      </c>
      <c r="I2228" s="2" t="s">
        <v>4802</v>
      </c>
      <c r="J2228" s="3" t="str">
        <f>HYPERLINK("https://www.boe.es/gazeta/dias/1821/02/09/pdfs/GGB-1821-40.pdf#page=3","Abrir facsímil")</f>
        <v>Abrir facsímil</v>
      </c>
      <c r="K2228" s="3" t="s">
        <v>23</v>
      </c>
    </row>
    <row r="2229" spans="1:11" ht="42" customHeight="1">
      <c r="A2229" s="2" t="s">
        <v>4803</v>
      </c>
      <c r="B2229" s="2" t="s">
        <v>4803</v>
      </c>
      <c r="C2229" s="2" t="s">
        <v>26</v>
      </c>
      <c r="D2229" s="2" t="s">
        <v>27</v>
      </c>
      <c r="E2229" s="5">
        <v>-28665</v>
      </c>
      <c r="F2229" s="3" t="s">
        <v>789</v>
      </c>
      <c r="G2229" s="3" t="s">
        <v>43</v>
      </c>
      <c r="H2229" s="2" t="s">
        <v>21</v>
      </c>
      <c r="I2229" s="2" t="s">
        <v>4804</v>
      </c>
      <c r="J2229" s="3" t="str">
        <f>HYPERLINK("https://www.boe.es/gazeta/dias/1821/07/07/pdfs/GMD-1821-191.pdf#page=1","Abrir facsímil")</f>
        <v>Abrir facsímil</v>
      </c>
      <c r="K2229" s="3" t="s">
        <v>23</v>
      </c>
    </row>
    <row r="2230" spans="1:11" ht="42" customHeight="1">
      <c r="A2230" s="2" t="s">
        <v>4805</v>
      </c>
      <c r="B2230" s="2" t="s">
        <v>4805</v>
      </c>
      <c r="C2230" s="2" t="s">
        <v>40</v>
      </c>
      <c r="D2230" s="2" t="s">
        <v>41</v>
      </c>
      <c r="E2230" s="5">
        <v>-28792</v>
      </c>
      <c r="F2230" s="3" t="s">
        <v>2289</v>
      </c>
      <c r="G2230" s="3" t="s">
        <v>43</v>
      </c>
      <c r="H2230" s="2" t="s">
        <v>21</v>
      </c>
      <c r="I2230" s="2" t="s">
        <v>4806</v>
      </c>
      <c r="J2230" s="3" t="str">
        <f>HYPERLINK("https://www.boe.es/gazeta/dias/1821/03/02/pdfs/GGB-1821-61.pdf#page=1","Abrir facsímil")</f>
        <v>Abrir facsímil</v>
      </c>
      <c r="K2230" s="3" t="s">
        <v>23</v>
      </c>
    </row>
    <row r="2231" spans="1:11" ht="42" customHeight="1">
      <c r="A2231" s="2" t="s">
        <v>4807</v>
      </c>
      <c r="B2231" s="2" t="s">
        <v>4807</v>
      </c>
      <c r="C2231" s="2" t="s">
        <v>40</v>
      </c>
      <c r="D2231" s="2" t="s">
        <v>41</v>
      </c>
      <c r="E2231" s="5">
        <v>-28849</v>
      </c>
      <c r="F2231" s="3" t="s">
        <v>1989</v>
      </c>
      <c r="G2231" s="3" t="s">
        <v>20</v>
      </c>
      <c r="H2231" s="2" t="s">
        <v>21</v>
      </c>
      <c r="I2231" s="2" t="s">
        <v>4808</v>
      </c>
      <c r="J2231" s="3" t="str">
        <f>HYPERLINK("https://www.boe.es/gazeta/dias/1821/01/04/pdfs/GGB-1821-4.pdf#page=3","Abrir facsímil")</f>
        <v>Abrir facsímil</v>
      </c>
      <c r="K2231" s="3" t="s">
        <v>23</v>
      </c>
    </row>
    <row r="2232" spans="1:11" ht="42" customHeight="1">
      <c r="A2232" s="2" t="s">
        <v>4807</v>
      </c>
      <c r="B2232" s="2" t="s">
        <v>4807</v>
      </c>
      <c r="C2232" s="2" t="s">
        <v>40</v>
      </c>
      <c r="D2232" s="2" t="s">
        <v>41</v>
      </c>
      <c r="E2232" s="5">
        <v>-28844</v>
      </c>
      <c r="F2232" s="3" t="s">
        <v>1743</v>
      </c>
      <c r="G2232" s="3" t="s">
        <v>20</v>
      </c>
      <c r="H2232" s="2" t="s">
        <v>21</v>
      </c>
      <c r="I2232" s="2" t="s">
        <v>4809</v>
      </c>
      <c r="J2232" s="3" t="str">
        <f>HYPERLINK("https://www.boe.es/gazeta/dias/1821/01/09/pdfs/GGB-1821-9.pdf#page=3","Abrir facsímil")</f>
        <v>Abrir facsímil</v>
      </c>
      <c r="K2232" s="3" t="s">
        <v>23</v>
      </c>
    </row>
    <row r="2233" spans="1:11" ht="42" customHeight="1">
      <c r="A2233" s="2" t="s">
        <v>4807</v>
      </c>
      <c r="B2233" s="2" t="s">
        <v>4807</v>
      </c>
      <c r="C2233" s="2" t="s">
        <v>26</v>
      </c>
      <c r="D2233" s="2" t="s">
        <v>27</v>
      </c>
      <c r="E2233" s="5">
        <v>-28843</v>
      </c>
      <c r="F2233" s="3" t="s">
        <v>4068</v>
      </c>
      <c r="G2233" s="3" t="s">
        <v>43</v>
      </c>
      <c r="H2233" s="2" t="s">
        <v>21</v>
      </c>
      <c r="I2233" s="2" t="s">
        <v>4810</v>
      </c>
      <c r="J2233" s="3" t="str">
        <f>HYPERLINK("https://www.boe.es/gazeta/dias/1821/01/10/pdfs/GGB-1821-10.pdf#page=1","Abrir facsímil")</f>
        <v>Abrir facsímil</v>
      </c>
      <c r="K2233" s="3" t="s">
        <v>23</v>
      </c>
    </row>
    <row r="2234" spans="1:11" ht="42" customHeight="1">
      <c r="A2234" s="2" t="s">
        <v>4807</v>
      </c>
      <c r="B2234" s="2" t="s">
        <v>4807</v>
      </c>
      <c r="C2234" s="2" t="s">
        <v>17</v>
      </c>
      <c r="D2234" s="2" t="s">
        <v>18</v>
      </c>
      <c r="E2234" s="5">
        <v>-28829</v>
      </c>
      <c r="F2234" s="3" t="s">
        <v>2980</v>
      </c>
      <c r="G2234" s="3" t="s">
        <v>52</v>
      </c>
      <c r="H2234" s="2" t="s">
        <v>21</v>
      </c>
      <c r="I2234" s="2" t="s">
        <v>4811</v>
      </c>
      <c r="J2234" s="3" t="str">
        <f>HYPERLINK("https://www.boe.es/gazeta/dias/1821/01/24/pdfs/GGB-1821-24.pdf#page=2","Abrir facsímil")</f>
        <v>Abrir facsímil</v>
      </c>
      <c r="K2234" s="3" t="s">
        <v>23</v>
      </c>
    </row>
    <row r="2235" spans="1:11" ht="42" customHeight="1">
      <c r="A2235" s="2" t="s">
        <v>4807</v>
      </c>
      <c r="B2235" s="2" t="s">
        <v>4807</v>
      </c>
      <c r="C2235" s="2" t="s">
        <v>17</v>
      </c>
      <c r="D2235" s="2" t="s">
        <v>18</v>
      </c>
      <c r="E2235" s="5">
        <v>-28806</v>
      </c>
      <c r="F2235" s="3" t="s">
        <v>1201</v>
      </c>
      <c r="G2235" s="3" t="s">
        <v>52</v>
      </c>
      <c r="H2235" s="2" t="s">
        <v>21</v>
      </c>
      <c r="I2235" s="2" t="s">
        <v>4812</v>
      </c>
      <c r="J2235" s="3" t="str">
        <f>HYPERLINK("https://www.boe.es/gazeta/dias/1821/02/16/pdfs/GGB-1821-47.pdf#page=2","Abrir facsímil")</f>
        <v>Abrir facsímil</v>
      </c>
      <c r="K2235" s="3" t="s">
        <v>23</v>
      </c>
    </row>
    <row r="2236" spans="1:11" ht="42" customHeight="1">
      <c r="A2236" s="2" t="s">
        <v>4807</v>
      </c>
      <c r="B2236" s="2" t="s">
        <v>4807</v>
      </c>
      <c r="C2236" s="2" t="s">
        <v>40</v>
      </c>
      <c r="D2236" s="2" t="s">
        <v>41</v>
      </c>
      <c r="E2236" s="5">
        <v>-28806</v>
      </c>
      <c r="F2236" s="3" t="s">
        <v>1201</v>
      </c>
      <c r="G2236" s="3" t="s">
        <v>88</v>
      </c>
      <c r="H2236" s="2" t="s">
        <v>21</v>
      </c>
      <c r="I2236" s="2" t="s">
        <v>4813</v>
      </c>
      <c r="J2236" s="3" t="str">
        <f>HYPERLINK("https://www.boe.es/gazeta/dias/1821/02/16/pdfs/GGB-1821-47.pdf#page=4","Abrir facsímil")</f>
        <v>Abrir facsímil</v>
      </c>
      <c r="K2236" s="3" t="s">
        <v>23</v>
      </c>
    </row>
    <row r="2237" spans="1:11" ht="42" customHeight="1">
      <c r="A2237" s="2" t="s">
        <v>4807</v>
      </c>
      <c r="B2237" s="2" t="s">
        <v>4807</v>
      </c>
      <c r="C2237" s="2" t="s">
        <v>17</v>
      </c>
      <c r="D2237" s="2" t="s">
        <v>18</v>
      </c>
      <c r="E2237" s="5">
        <v>-28802</v>
      </c>
      <c r="F2237" s="3" t="s">
        <v>4814</v>
      </c>
      <c r="G2237" s="3" t="s">
        <v>52</v>
      </c>
      <c r="H2237" s="2" t="s">
        <v>21</v>
      </c>
      <c r="I2237" s="2" t="s">
        <v>4815</v>
      </c>
      <c r="J2237" s="3" t="str">
        <f>HYPERLINK("https://www.boe.es/gazeta/dias/1821/02/20/pdfs/GGB-1821-51.pdf#page=2","Abrir facsímil")</f>
        <v>Abrir facsímil</v>
      </c>
      <c r="K2237" s="3" t="s">
        <v>23</v>
      </c>
    </row>
    <row r="2238" spans="1:11" ht="42" customHeight="1">
      <c r="A2238" s="2" t="s">
        <v>4807</v>
      </c>
      <c r="B2238" s="2" t="s">
        <v>4807</v>
      </c>
      <c r="C2238" s="2" t="s">
        <v>26</v>
      </c>
      <c r="D2238" s="2" t="s">
        <v>27</v>
      </c>
      <c r="E2238" s="5">
        <v>-28800</v>
      </c>
      <c r="F2238" s="3" t="s">
        <v>1753</v>
      </c>
      <c r="G2238" s="3" t="s">
        <v>52</v>
      </c>
      <c r="H2238" s="2" t="s">
        <v>21</v>
      </c>
      <c r="I2238" s="2" t="s">
        <v>4816</v>
      </c>
      <c r="J2238" s="3" t="str">
        <f>HYPERLINK("https://www.boe.es/gazeta/dias/1821/02/22/pdfs/GGB-1821-53.pdf#page=2","Abrir facsímil")</f>
        <v>Abrir facsímil</v>
      </c>
      <c r="K2238" s="3" t="s">
        <v>23</v>
      </c>
    </row>
    <row r="2239" spans="1:11" ht="42" customHeight="1">
      <c r="A2239" s="2" t="s">
        <v>4807</v>
      </c>
      <c r="B2239" s="2" t="s">
        <v>4807</v>
      </c>
      <c r="C2239" s="2" t="s">
        <v>17</v>
      </c>
      <c r="D2239" s="2" t="s">
        <v>18</v>
      </c>
      <c r="E2239" s="5">
        <v>-28799</v>
      </c>
      <c r="F2239" s="3" t="s">
        <v>3158</v>
      </c>
      <c r="G2239" s="3" t="s">
        <v>52</v>
      </c>
      <c r="H2239" s="2" t="s">
        <v>21</v>
      </c>
      <c r="I2239" s="2" t="s">
        <v>4817</v>
      </c>
      <c r="J2239" s="3" t="str">
        <f>HYPERLINK("https://www.boe.es/gazeta/dias/1821/02/23/pdfs/GGB-1821-54.pdf#page=2","Abrir facsímil")</f>
        <v>Abrir facsímil</v>
      </c>
      <c r="K2239" s="3" t="s">
        <v>23</v>
      </c>
    </row>
    <row r="2240" spans="1:11" ht="42" customHeight="1">
      <c r="A2240" s="2" t="s">
        <v>4807</v>
      </c>
      <c r="B2240" s="2" t="s">
        <v>4807</v>
      </c>
      <c r="C2240" s="2" t="s">
        <v>40</v>
      </c>
      <c r="D2240" s="2" t="s">
        <v>41</v>
      </c>
      <c r="E2240" s="5">
        <v>-28798</v>
      </c>
      <c r="F2240" s="3" t="s">
        <v>60</v>
      </c>
      <c r="G2240" s="3" t="s">
        <v>43</v>
      </c>
      <c r="H2240" s="2" t="s">
        <v>21</v>
      </c>
      <c r="I2240" s="2" t="s">
        <v>4818</v>
      </c>
      <c r="J2240" s="3" t="str">
        <f>HYPERLINK("https://www.boe.es/gazeta/dias/1821/02/24/pdfs/GGB-1821-55.pdf#page=1","Abrir facsímil")</f>
        <v>Abrir facsímil</v>
      </c>
      <c r="K2240" s="3" t="s">
        <v>23</v>
      </c>
    </row>
    <row r="2241" spans="1:11" ht="42" customHeight="1">
      <c r="A2241" s="2" t="s">
        <v>4807</v>
      </c>
      <c r="B2241" s="2" t="s">
        <v>4807</v>
      </c>
      <c r="C2241" s="2" t="s">
        <v>26</v>
      </c>
      <c r="D2241" s="2" t="s">
        <v>27</v>
      </c>
      <c r="E2241" s="5">
        <v>-28797</v>
      </c>
      <c r="F2241" s="3" t="s">
        <v>2281</v>
      </c>
      <c r="G2241" s="3" t="s">
        <v>52</v>
      </c>
      <c r="H2241" s="2" t="s">
        <v>21</v>
      </c>
      <c r="I2241" s="2" t="s">
        <v>4819</v>
      </c>
      <c r="J2241" s="3" t="str">
        <f>HYPERLINK("https://www.boe.es/gazeta/dias/1821/02/25/pdfs/GGB-1821-56.pdf#page=2","Abrir facsímil")</f>
        <v>Abrir facsímil</v>
      </c>
      <c r="K2241" s="3" t="s">
        <v>23</v>
      </c>
    </row>
    <row r="2242" spans="1:11" ht="42" customHeight="1">
      <c r="A2242" s="2" t="s">
        <v>4807</v>
      </c>
      <c r="B2242" s="2" t="s">
        <v>4807</v>
      </c>
      <c r="C2242" s="2" t="s">
        <v>40</v>
      </c>
      <c r="D2242" s="2" t="s">
        <v>41</v>
      </c>
      <c r="E2242" s="5">
        <v>-28787</v>
      </c>
      <c r="F2242" s="3" t="s">
        <v>486</v>
      </c>
      <c r="G2242" s="3" t="s">
        <v>43</v>
      </c>
      <c r="H2242" s="2" t="s">
        <v>21</v>
      </c>
      <c r="I2242" s="2" t="s">
        <v>4820</v>
      </c>
      <c r="J2242" s="3" t="str">
        <f>HYPERLINK("https://www.boe.es/gazeta/dias/1821/03/07/pdfs/GGB-1821-66.pdf#page=1","Abrir facsímil")</f>
        <v>Abrir facsímil</v>
      </c>
      <c r="K2242" s="3" t="s">
        <v>23</v>
      </c>
    </row>
    <row r="2243" spans="1:11" ht="42" customHeight="1">
      <c r="A2243" s="2" t="s">
        <v>4807</v>
      </c>
      <c r="B2243" s="2" t="s">
        <v>4807</v>
      </c>
      <c r="C2243" s="2" t="s">
        <v>35</v>
      </c>
      <c r="D2243" s="2" t="s">
        <v>27</v>
      </c>
      <c r="E2243" s="5">
        <v>-28786</v>
      </c>
      <c r="F2243" s="3" t="s">
        <v>1933</v>
      </c>
      <c r="G2243" s="3" t="s">
        <v>52</v>
      </c>
      <c r="H2243" s="2" t="s">
        <v>21</v>
      </c>
      <c r="I2243" s="2" t="s">
        <v>4821</v>
      </c>
      <c r="J2243" s="3" t="str">
        <f>HYPERLINK("https://www.boe.es/gazeta/dias/1821/03/08/pdfs/GGB-1821-67.pdf#page=2","Abrir facsímil")</f>
        <v>Abrir facsímil</v>
      </c>
      <c r="K2243" s="3" t="s">
        <v>23</v>
      </c>
    </row>
    <row r="2244" spans="1:11" ht="42" customHeight="1">
      <c r="A2244" s="2" t="s">
        <v>4807</v>
      </c>
      <c r="B2244" s="2" t="s">
        <v>4807</v>
      </c>
      <c r="C2244" s="2" t="s">
        <v>174</v>
      </c>
      <c r="D2244" s="2" t="s">
        <v>27</v>
      </c>
      <c r="E2244" s="5">
        <v>-28785</v>
      </c>
      <c r="F2244" s="3" t="s">
        <v>1935</v>
      </c>
      <c r="G2244" s="3" t="s">
        <v>88</v>
      </c>
      <c r="H2244" s="2" t="s">
        <v>21</v>
      </c>
      <c r="I2244" s="2" t="s">
        <v>4822</v>
      </c>
      <c r="J2244" s="3" t="str">
        <f>HYPERLINK("https://www.boe.es/gazeta/dias/1821/03/09/pdfs/GGB-1821-68.pdf#page=4","Abrir facsímil")</f>
        <v>Abrir facsímil</v>
      </c>
      <c r="K2244" s="3" t="s">
        <v>23</v>
      </c>
    </row>
    <row r="2245" spans="1:11" ht="42" customHeight="1">
      <c r="A2245" s="2" t="s">
        <v>4807</v>
      </c>
      <c r="B2245" s="2" t="s">
        <v>4807</v>
      </c>
      <c r="C2245" s="2" t="s">
        <v>40</v>
      </c>
      <c r="D2245" s="2" t="s">
        <v>41</v>
      </c>
      <c r="E2245" s="5">
        <v>-28782</v>
      </c>
      <c r="F2245" s="3" t="s">
        <v>508</v>
      </c>
      <c r="G2245" s="3" t="s">
        <v>43</v>
      </c>
      <c r="H2245" s="2" t="s">
        <v>21</v>
      </c>
      <c r="I2245" s="2" t="s">
        <v>4823</v>
      </c>
      <c r="J2245" s="3" t="str">
        <f>HYPERLINK("https://www.boe.es/gazeta/dias/1821/03/12/pdfs/GMD-1821-71.pdf#page=1","Abrir facsímil")</f>
        <v>Abrir facsímil</v>
      </c>
      <c r="K2245" s="3" t="s">
        <v>23</v>
      </c>
    </row>
    <row r="2246" spans="1:11" ht="42" customHeight="1">
      <c r="A2246" s="2" t="s">
        <v>4807</v>
      </c>
      <c r="B2246" s="2" t="s">
        <v>4807</v>
      </c>
      <c r="C2246" s="2" t="s">
        <v>70</v>
      </c>
      <c r="D2246" s="2" t="s">
        <v>27</v>
      </c>
      <c r="E2246" s="5">
        <v>-28775</v>
      </c>
      <c r="F2246" s="3" t="s">
        <v>132</v>
      </c>
      <c r="G2246" s="3" t="s">
        <v>43</v>
      </c>
      <c r="H2246" s="2" t="s">
        <v>21</v>
      </c>
      <c r="I2246" s="2" t="s">
        <v>4824</v>
      </c>
      <c r="J2246" s="3" t="str">
        <f>HYPERLINK("https://www.boe.es/gazeta/dias/1821/03/19/pdfs/GMD-1821-78.pdf#page=1","Abrir facsímil")</f>
        <v>Abrir facsímil</v>
      </c>
      <c r="K2246" s="3" t="s">
        <v>23</v>
      </c>
    </row>
    <row r="2247" spans="1:11" ht="42" customHeight="1">
      <c r="A2247" s="2" t="s">
        <v>4807</v>
      </c>
      <c r="B2247" s="2" t="s">
        <v>4807</v>
      </c>
      <c r="C2247" s="2" t="s">
        <v>40</v>
      </c>
      <c r="D2247" s="2" t="s">
        <v>41</v>
      </c>
      <c r="E2247" s="5">
        <v>-28775</v>
      </c>
      <c r="F2247" s="3" t="s">
        <v>132</v>
      </c>
      <c r="G2247" s="3" t="s">
        <v>52</v>
      </c>
      <c r="H2247" s="2" t="s">
        <v>21</v>
      </c>
      <c r="I2247" s="2" t="s">
        <v>4825</v>
      </c>
      <c r="J2247" s="3" t="str">
        <f>HYPERLINK("https://www.boe.es/gazeta/dias/1821/03/19/pdfs/GMD-1821-78.pdf#page=2","Abrir facsímil")</f>
        <v>Abrir facsímil</v>
      </c>
      <c r="K2247" s="3" t="s">
        <v>23</v>
      </c>
    </row>
    <row r="2248" spans="1:11" ht="42" customHeight="1">
      <c r="A2248" s="2" t="s">
        <v>4807</v>
      </c>
      <c r="B2248" s="2" t="s">
        <v>4807</v>
      </c>
      <c r="C2248" s="2" t="s">
        <v>26</v>
      </c>
      <c r="D2248" s="2" t="s">
        <v>27</v>
      </c>
      <c r="E2248" s="5">
        <v>-28771</v>
      </c>
      <c r="F2248" s="3" t="s">
        <v>110</v>
      </c>
      <c r="G2248" s="3" t="s">
        <v>43</v>
      </c>
      <c r="H2248" s="2" t="s">
        <v>21</v>
      </c>
      <c r="I2248" s="2" t="s">
        <v>4826</v>
      </c>
      <c r="J2248" s="3" t="str">
        <f>HYPERLINK("https://www.boe.es/gazeta/dias/1821/03/23/pdfs/GMD-1821-83.pdf#page=1","Abrir facsímil")</f>
        <v>Abrir facsímil</v>
      </c>
      <c r="K2248" s="3" t="s">
        <v>23</v>
      </c>
    </row>
    <row r="2249" spans="1:11" ht="42" customHeight="1">
      <c r="A2249" s="2" t="s">
        <v>4807</v>
      </c>
      <c r="B2249" s="2" t="s">
        <v>4807</v>
      </c>
      <c r="C2249" s="2" t="s">
        <v>26</v>
      </c>
      <c r="D2249" s="2" t="s">
        <v>27</v>
      </c>
      <c r="E2249" s="5">
        <v>-28760</v>
      </c>
      <c r="F2249" s="3" t="s">
        <v>170</v>
      </c>
      <c r="G2249" s="3" t="s">
        <v>43</v>
      </c>
      <c r="H2249" s="2" t="s">
        <v>21</v>
      </c>
      <c r="I2249" s="2" t="s">
        <v>4827</v>
      </c>
      <c r="J2249" s="3" t="str">
        <f>HYPERLINK("https://www.boe.es/gazeta/dias/1821/04/03/pdfs/GMD-1821-95.pdf#page=1","Abrir facsímil")</f>
        <v>Abrir facsímil</v>
      </c>
      <c r="K2249" s="3" t="s">
        <v>23</v>
      </c>
    </row>
    <row r="2250" spans="1:11" ht="42" customHeight="1">
      <c r="A2250" s="2" t="s">
        <v>4807</v>
      </c>
      <c r="B2250" s="2" t="s">
        <v>4807</v>
      </c>
      <c r="C2250" s="2" t="s">
        <v>35</v>
      </c>
      <c r="D2250" s="2" t="s">
        <v>27</v>
      </c>
      <c r="E2250" s="5">
        <v>-28746</v>
      </c>
      <c r="F2250" s="3" t="s">
        <v>687</v>
      </c>
      <c r="G2250" s="3" t="s">
        <v>43</v>
      </c>
      <c r="H2250" s="2" t="s">
        <v>21</v>
      </c>
      <c r="I2250" s="2" t="s">
        <v>4828</v>
      </c>
      <c r="J2250" s="3" t="str">
        <f>HYPERLINK("https://www.boe.es/gazeta/dias/1821/04/17/pdfs/GMD-1821-109.pdf#page=1","Abrir facsímil")</f>
        <v>Abrir facsímil</v>
      </c>
      <c r="K2250" s="3" t="s">
        <v>23</v>
      </c>
    </row>
    <row r="2251" spans="1:11" ht="42" customHeight="1">
      <c r="A2251" s="2" t="s">
        <v>4807</v>
      </c>
      <c r="B2251" s="2" t="s">
        <v>4807</v>
      </c>
      <c r="C2251" s="2" t="s">
        <v>26</v>
      </c>
      <c r="D2251" s="2" t="s">
        <v>27</v>
      </c>
      <c r="E2251" s="5">
        <v>-28746</v>
      </c>
      <c r="F2251" s="3" t="s">
        <v>687</v>
      </c>
      <c r="G2251" s="3" t="s">
        <v>52</v>
      </c>
      <c r="H2251" s="2" t="s">
        <v>21</v>
      </c>
      <c r="I2251" s="2" t="s">
        <v>4829</v>
      </c>
      <c r="J2251" s="3" t="str">
        <f>HYPERLINK("https://www.boe.es/gazeta/dias/1821/04/17/pdfs/GMD-1821-109.pdf#page=2","Abrir facsímil")</f>
        <v>Abrir facsímil</v>
      </c>
      <c r="K2251" s="3" t="s">
        <v>23</v>
      </c>
    </row>
    <row r="2252" spans="1:11" ht="42" customHeight="1">
      <c r="A2252" s="2" t="s">
        <v>4807</v>
      </c>
      <c r="B2252" s="2" t="s">
        <v>4807</v>
      </c>
      <c r="C2252" s="2" t="s">
        <v>35</v>
      </c>
      <c r="D2252" s="2" t="s">
        <v>27</v>
      </c>
      <c r="E2252" s="5">
        <v>-28719</v>
      </c>
      <c r="F2252" s="3" t="s">
        <v>647</v>
      </c>
      <c r="G2252" s="3" t="s">
        <v>52</v>
      </c>
      <c r="H2252" s="2" t="s">
        <v>21</v>
      </c>
      <c r="I2252" s="2" t="s">
        <v>4830</v>
      </c>
      <c r="J2252" s="3" t="str">
        <f>HYPERLINK("https://www.boe.es/gazeta/dias/1821/05/14/pdfs/GMD-1821-136.pdf#page=2","Abrir facsímil")</f>
        <v>Abrir facsímil</v>
      </c>
      <c r="K2252" s="3" t="s">
        <v>23</v>
      </c>
    </row>
    <row r="2253" spans="1:11" ht="42" customHeight="1">
      <c r="A2253" s="2" t="s">
        <v>4807</v>
      </c>
      <c r="B2253" s="2" t="s">
        <v>4807</v>
      </c>
      <c r="C2253" s="2" t="s">
        <v>17</v>
      </c>
      <c r="D2253" s="2" t="s">
        <v>18</v>
      </c>
      <c r="E2253" s="5">
        <v>-28718</v>
      </c>
      <c r="F2253" s="3" t="s">
        <v>583</v>
      </c>
      <c r="G2253" s="3" t="s">
        <v>88</v>
      </c>
      <c r="H2253" s="2" t="s">
        <v>21</v>
      </c>
      <c r="I2253" s="2" t="s">
        <v>4831</v>
      </c>
      <c r="J2253" s="3" t="str">
        <f>HYPERLINK("https://www.boe.es/gazeta/dias/1821/05/15/pdfs/GMD-1821-137.pdf#page=4","Abrir facsímil")</f>
        <v>Abrir facsímil</v>
      </c>
      <c r="K2253" s="3" t="s">
        <v>23</v>
      </c>
    </row>
    <row r="2254" spans="1:11" ht="42" customHeight="1">
      <c r="A2254" s="2" t="s">
        <v>4807</v>
      </c>
      <c r="B2254" s="2" t="s">
        <v>4807</v>
      </c>
      <c r="C2254" s="2" t="s">
        <v>26</v>
      </c>
      <c r="D2254" s="2" t="s">
        <v>27</v>
      </c>
      <c r="E2254" s="5">
        <v>-28707</v>
      </c>
      <c r="F2254" s="3" t="s">
        <v>495</v>
      </c>
      <c r="G2254" s="3" t="s">
        <v>88</v>
      </c>
      <c r="H2254" s="2" t="s">
        <v>21</v>
      </c>
      <c r="I2254" s="2" t="s">
        <v>4832</v>
      </c>
      <c r="J2254" s="3" t="str">
        <f>HYPERLINK("https://www.boe.es/gazeta/dias/1821/05/26/pdfs/GMD-1821-148.pdf#page=4","Abrir facsímil")</f>
        <v>Abrir facsímil</v>
      </c>
      <c r="K2254" s="3" t="s">
        <v>23</v>
      </c>
    </row>
    <row r="2255" spans="1:11" ht="42" customHeight="1">
      <c r="A2255" s="2" t="s">
        <v>4807</v>
      </c>
      <c r="B2255" s="2" t="s">
        <v>4807</v>
      </c>
      <c r="C2255" s="2" t="s">
        <v>40</v>
      </c>
      <c r="D2255" s="2" t="s">
        <v>41</v>
      </c>
      <c r="E2255" s="5">
        <v>-28706</v>
      </c>
      <c r="F2255" s="3" t="s">
        <v>4791</v>
      </c>
      <c r="G2255" s="3" t="s">
        <v>43</v>
      </c>
      <c r="H2255" s="2" t="s">
        <v>21</v>
      </c>
      <c r="I2255" s="2" t="s">
        <v>4833</v>
      </c>
      <c r="J2255" s="3" t="str">
        <f>HYPERLINK("https://www.boe.es/gazeta/dias/1821/05/27/pdfs/GMD-1821-149.pdf#page=1","Abrir facsímil")</f>
        <v>Abrir facsímil</v>
      </c>
      <c r="K2255" s="3" t="s">
        <v>23</v>
      </c>
    </row>
    <row r="2256" spans="1:11" ht="42" customHeight="1">
      <c r="A2256" s="2" t="s">
        <v>4807</v>
      </c>
      <c r="B2256" s="2" t="s">
        <v>4807</v>
      </c>
      <c r="C2256" s="2" t="s">
        <v>174</v>
      </c>
      <c r="D2256" s="2" t="s">
        <v>27</v>
      </c>
      <c r="E2256" s="5">
        <v>-28700</v>
      </c>
      <c r="F2256" s="3" t="s">
        <v>701</v>
      </c>
      <c r="G2256" s="3" t="s">
        <v>43</v>
      </c>
      <c r="H2256" s="2" t="s">
        <v>21</v>
      </c>
      <c r="I2256" s="2" t="s">
        <v>4834</v>
      </c>
      <c r="J2256" s="3" t="str">
        <f>HYPERLINK("https://www.boe.es/gazeta/dias/1821/06/02/pdfs/GMD-1821-155.pdf#page=1","Abrir facsímil")</f>
        <v>Abrir facsímil</v>
      </c>
      <c r="K2256" s="3" t="s">
        <v>23</v>
      </c>
    </row>
    <row r="2257" spans="1:11" ht="42" customHeight="1">
      <c r="A2257" s="2" t="s">
        <v>4807</v>
      </c>
      <c r="B2257" s="2" t="s">
        <v>4807</v>
      </c>
      <c r="C2257" s="2" t="s">
        <v>35</v>
      </c>
      <c r="D2257" s="2" t="s">
        <v>27</v>
      </c>
      <c r="E2257" s="5">
        <v>-28692</v>
      </c>
      <c r="F2257" s="3" t="s">
        <v>3807</v>
      </c>
      <c r="G2257" s="3" t="s">
        <v>43</v>
      </c>
      <c r="H2257" s="2" t="s">
        <v>21</v>
      </c>
      <c r="I2257" s="2" t="s">
        <v>4835</v>
      </c>
      <c r="J2257" s="3" t="str">
        <f>HYPERLINK("https://www.boe.es/gazeta/dias/1821/06/10/pdfs/GMD-1821-163.pdf#page=1","Abrir facsímil")</f>
        <v>Abrir facsímil</v>
      </c>
      <c r="K2257" s="3" t="s">
        <v>23</v>
      </c>
    </row>
    <row r="2258" spans="1:11" ht="42" customHeight="1">
      <c r="A2258" s="2" t="s">
        <v>4807</v>
      </c>
      <c r="B2258" s="2" t="s">
        <v>4807</v>
      </c>
      <c r="C2258" s="2" t="s">
        <v>40</v>
      </c>
      <c r="D2258" s="2" t="s">
        <v>41</v>
      </c>
      <c r="E2258" s="5">
        <v>-28633</v>
      </c>
      <c r="F2258" s="3" t="s">
        <v>2601</v>
      </c>
      <c r="G2258" s="3" t="s">
        <v>43</v>
      </c>
      <c r="H2258" s="2" t="s">
        <v>21</v>
      </c>
      <c r="I2258" s="2" t="s">
        <v>4836</v>
      </c>
      <c r="J2258" s="3" t="str">
        <f>HYPERLINK("https://www.boe.es/gazeta/dias/1821/08/08/pdfs/GMD-1821-224.pdf#page=1","Abrir facsímil")</f>
        <v>Abrir facsímil</v>
      </c>
      <c r="K2258" s="3" t="s">
        <v>23</v>
      </c>
    </row>
    <row r="2259" spans="1:11" ht="42" customHeight="1">
      <c r="A2259" s="2" t="s">
        <v>4807</v>
      </c>
      <c r="B2259" s="2" t="s">
        <v>4807</v>
      </c>
      <c r="C2259" s="2" t="s">
        <v>35</v>
      </c>
      <c r="D2259" s="2" t="s">
        <v>27</v>
      </c>
      <c r="E2259" s="5">
        <v>-28562</v>
      </c>
      <c r="F2259" s="3" t="s">
        <v>3093</v>
      </c>
      <c r="G2259" s="3" t="s">
        <v>43</v>
      </c>
      <c r="H2259" s="2" t="s">
        <v>21</v>
      </c>
      <c r="I2259" s="2" t="s">
        <v>4837</v>
      </c>
      <c r="J2259" s="3" t="str">
        <f>HYPERLINK("https://www.boe.es/gazeta/dias/1821/10/18/pdfs/GMD-1821-297.pdf#page=1","Abrir facsímil")</f>
        <v>Abrir facsímil</v>
      </c>
      <c r="K2259" s="3" t="s">
        <v>23</v>
      </c>
    </row>
    <row r="2260" spans="1:11" ht="42" customHeight="1">
      <c r="A2260" s="2" t="s">
        <v>4807</v>
      </c>
      <c r="B2260" s="2" t="s">
        <v>4807</v>
      </c>
      <c r="C2260" s="2" t="s">
        <v>26</v>
      </c>
      <c r="D2260" s="2" t="s">
        <v>27</v>
      </c>
      <c r="E2260" s="5">
        <v>-28560</v>
      </c>
      <c r="F2260" s="3" t="s">
        <v>363</v>
      </c>
      <c r="G2260" s="3" t="s">
        <v>43</v>
      </c>
      <c r="H2260" s="2" t="s">
        <v>21</v>
      </c>
      <c r="I2260" s="2" t="s">
        <v>4838</v>
      </c>
      <c r="J2260" s="3" t="str">
        <f>HYPERLINK("https://www.boe.es/gazeta/dias/1821/10/20/pdfs/GMD-1821-299.pdf#page=1","Abrir facsímil")</f>
        <v>Abrir facsímil</v>
      </c>
      <c r="K2260" s="3" t="s">
        <v>23</v>
      </c>
    </row>
    <row r="2261" spans="1:11" ht="42" customHeight="1">
      <c r="A2261" s="2" t="s">
        <v>4807</v>
      </c>
      <c r="B2261" s="2" t="s">
        <v>4807</v>
      </c>
      <c r="C2261" s="2" t="s">
        <v>17</v>
      </c>
      <c r="D2261" s="2" t="s">
        <v>18</v>
      </c>
      <c r="E2261" s="5">
        <v>-28549</v>
      </c>
      <c r="F2261" s="3" t="s">
        <v>930</v>
      </c>
      <c r="G2261" s="3" t="s">
        <v>43</v>
      </c>
      <c r="H2261" s="2" t="s">
        <v>21</v>
      </c>
      <c r="I2261" s="2" t="s">
        <v>4839</v>
      </c>
      <c r="J2261" s="3" t="str">
        <f>HYPERLINK("https://www.boe.es/gazeta/dias/1821/10/31/pdfs/GMD-1821-310.pdf#page=1","Abrir facsímil")</f>
        <v>Abrir facsímil</v>
      </c>
      <c r="K2261" s="3" t="s">
        <v>23</v>
      </c>
    </row>
    <row r="2262" spans="1:11" ht="42" customHeight="1">
      <c r="A2262" s="2" t="s">
        <v>4807</v>
      </c>
      <c r="B2262" s="2" t="s">
        <v>4807</v>
      </c>
      <c r="C2262" s="2" t="s">
        <v>40</v>
      </c>
      <c r="D2262" s="2" t="s">
        <v>41</v>
      </c>
      <c r="E2262" s="5">
        <v>-28543</v>
      </c>
      <c r="F2262" s="3" t="s">
        <v>136</v>
      </c>
      <c r="G2262" s="3" t="s">
        <v>43</v>
      </c>
      <c r="H2262" s="2" t="s">
        <v>21</v>
      </c>
      <c r="I2262" s="2" t="s">
        <v>4840</v>
      </c>
      <c r="J2262" s="3" t="str">
        <f>HYPERLINK("https://www.boe.es/gazeta/dias/1821/11/06/pdfs/GMD-1821-317.pdf#page=1","Abrir facsímil")</f>
        <v>Abrir facsímil</v>
      </c>
      <c r="K2262" s="3" t="s">
        <v>23</v>
      </c>
    </row>
    <row r="2263" spans="1:11" ht="42" customHeight="1">
      <c r="A2263" s="2" t="s">
        <v>4807</v>
      </c>
      <c r="B2263" s="2" t="s">
        <v>4807</v>
      </c>
      <c r="C2263" s="2" t="s">
        <v>40</v>
      </c>
      <c r="D2263" s="2" t="s">
        <v>41</v>
      </c>
      <c r="E2263" s="5">
        <v>-28533</v>
      </c>
      <c r="F2263" s="3" t="s">
        <v>559</v>
      </c>
      <c r="G2263" s="3" t="s">
        <v>43</v>
      </c>
      <c r="H2263" s="2" t="s">
        <v>21</v>
      </c>
      <c r="I2263" s="2" t="s">
        <v>4841</v>
      </c>
      <c r="J2263" s="3" t="str">
        <f>HYPERLINK("https://www.boe.es/gazeta/dias/1821/11/16/pdfs/GMD-1821-327.pdf#page=1","Abrir facsímil")</f>
        <v>Abrir facsímil</v>
      </c>
      <c r="K2263" s="3" t="s">
        <v>23</v>
      </c>
    </row>
    <row r="2264" spans="1:11" ht="42" customHeight="1">
      <c r="A2264" s="2" t="s">
        <v>4842</v>
      </c>
      <c r="B2264" s="2" t="s">
        <v>4842</v>
      </c>
      <c r="C2264" s="2" t="s">
        <v>35</v>
      </c>
      <c r="D2264" s="2" t="s">
        <v>27</v>
      </c>
      <c r="E2264" s="5">
        <v>-28664</v>
      </c>
      <c r="F2264" s="3" t="s">
        <v>1365</v>
      </c>
      <c r="G2264" s="3" t="s">
        <v>88</v>
      </c>
      <c r="H2264" s="2" t="s">
        <v>21</v>
      </c>
      <c r="I2264" s="2" t="s">
        <v>4843</v>
      </c>
      <c r="J2264" s="3" t="str">
        <f>HYPERLINK("https://www.boe.es/gazeta/dias/1821/07/08/pdfs/GMD-1821-193.pdf#page=4","Abrir facsímil")</f>
        <v>Abrir facsímil</v>
      </c>
      <c r="K2264" s="3" t="s">
        <v>23</v>
      </c>
    </row>
    <row r="2265" spans="1:11" ht="42" customHeight="1">
      <c r="A2265" s="2" t="s">
        <v>4842</v>
      </c>
      <c r="B2265" s="2" t="s">
        <v>4842</v>
      </c>
      <c r="C2265" s="2" t="s">
        <v>17</v>
      </c>
      <c r="D2265" s="2" t="s">
        <v>18</v>
      </c>
      <c r="E2265" s="5">
        <v>-28562</v>
      </c>
      <c r="F2265" s="3" t="s">
        <v>3093</v>
      </c>
      <c r="G2265" s="3" t="s">
        <v>43</v>
      </c>
      <c r="H2265" s="2" t="s">
        <v>21</v>
      </c>
      <c r="I2265" s="2" t="s">
        <v>4844</v>
      </c>
      <c r="J2265" s="3" t="str">
        <f>HYPERLINK("https://www.boe.es/gazeta/dias/1821/10/18/pdfs/GMD-1821-297.pdf#page=1","Abrir facsímil")</f>
        <v>Abrir facsímil</v>
      </c>
      <c r="K2265" s="3" t="s">
        <v>23</v>
      </c>
    </row>
    <row r="2266" spans="1:11" ht="42" customHeight="1">
      <c r="A2266" s="2" t="s">
        <v>4845</v>
      </c>
      <c r="B2266" s="2" t="s">
        <v>4845</v>
      </c>
      <c r="C2266" s="2" t="s">
        <v>35</v>
      </c>
      <c r="D2266" s="2" t="s">
        <v>27</v>
      </c>
      <c r="E2266" s="5">
        <v>-28810</v>
      </c>
      <c r="F2266" s="3" t="s">
        <v>308</v>
      </c>
      <c r="G2266" s="3" t="s">
        <v>52</v>
      </c>
      <c r="H2266" s="2" t="s">
        <v>21</v>
      </c>
      <c r="I2266" s="2" t="s">
        <v>4846</v>
      </c>
      <c r="J2266" s="3" t="str">
        <f>HYPERLINK("https://www.boe.es/gazeta/dias/1821/02/12/pdfs/GGB-1821-43.pdf#page=2","Abrir facsímil")</f>
        <v>Abrir facsímil</v>
      </c>
      <c r="K2266" s="3" t="s">
        <v>23</v>
      </c>
    </row>
    <row r="2267" spans="1:11" ht="42" customHeight="1">
      <c r="A2267" s="2" t="s">
        <v>4847</v>
      </c>
      <c r="B2267" s="2" t="s">
        <v>4848</v>
      </c>
      <c r="C2267" s="2" t="s">
        <v>40</v>
      </c>
      <c r="D2267" s="2" t="s">
        <v>41</v>
      </c>
      <c r="E2267" s="5">
        <v>-28713</v>
      </c>
      <c r="F2267" s="3" t="s">
        <v>1976</v>
      </c>
      <c r="G2267" s="3" t="s">
        <v>52</v>
      </c>
      <c r="H2267" s="2" t="s">
        <v>21</v>
      </c>
      <c r="I2267" s="2" t="s">
        <v>4849</v>
      </c>
      <c r="J2267" s="3" t="str">
        <f>HYPERLINK("https://www.boe.es/gazeta/dias/1821/05/20/pdfs/GMD-1821-142.pdf#page=2","Abrir facsímil")</f>
        <v>Abrir facsímil</v>
      </c>
      <c r="K2267" s="3" t="s">
        <v>23</v>
      </c>
    </row>
    <row r="2268" spans="1:11" ht="42" customHeight="1">
      <c r="A2268" s="2" t="s">
        <v>4847</v>
      </c>
      <c r="B2268" s="2" t="s">
        <v>4848</v>
      </c>
      <c r="C2268" s="2" t="s">
        <v>17</v>
      </c>
      <c r="D2268" s="2" t="s">
        <v>18</v>
      </c>
      <c r="E2268" s="5">
        <v>-28712</v>
      </c>
      <c r="F2268" s="3" t="s">
        <v>695</v>
      </c>
      <c r="G2268" s="3" t="s">
        <v>52</v>
      </c>
      <c r="H2268" s="2" t="s">
        <v>21</v>
      </c>
      <c r="I2268" s="2" t="s">
        <v>4850</v>
      </c>
      <c r="J2268" s="3" t="str">
        <f>HYPERLINK("https://www.boe.es/gazeta/dias/1821/05/21/pdfs/GMD-1821-143.pdf#page=2","Abrir facsímil")</f>
        <v>Abrir facsímil</v>
      </c>
      <c r="K2268" s="3" t="s">
        <v>23</v>
      </c>
    </row>
    <row r="2269" spans="1:11" ht="42" customHeight="1">
      <c r="A2269" s="2" t="s">
        <v>4851</v>
      </c>
      <c r="B2269" s="2" t="s">
        <v>4852</v>
      </c>
      <c r="C2269" s="2" t="s">
        <v>17</v>
      </c>
      <c r="D2269" s="2" t="s">
        <v>18</v>
      </c>
      <c r="E2269" s="5">
        <v>-28789</v>
      </c>
      <c r="F2269" s="3" t="s">
        <v>36</v>
      </c>
      <c r="G2269" s="3" t="s">
        <v>20</v>
      </c>
      <c r="H2269" s="2" t="s">
        <v>21</v>
      </c>
      <c r="I2269" s="2" t="s">
        <v>4853</v>
      </c>
      <c r="J2269" s="3" t="str">
        <f>HYPERLINK("https://www.boe.es/gazeta/dias/1821/03/05/pdfs/GGB-1821-64.pdf#page=3","Abrir facsímil")</f>
        <v>Abrir facsímil</v>
      </c>
      <c r="K2269" s="3" t="s">
        <v>23</v>
      </c>
    </row>
    <row r="2270" spans="1:11" ht="42" customHeight="1">
      <c r="A2270" s="2" t="s">
        <v>4854</v>
      </c>
      <c r="B2270" s="2" t="s">
        <v>4854</v>
      </c>
      <c r="C2270" s="2" t="s">
        <v>17</v>
      </c>
      <c r="D2270" s="2" t="s">
        <v>18</v>
      </c>
      <c r="E2270" s="5">
        <v>-28749</v>
      </c>
      <c r="F2270" s="3" t="s">
        <v>832</v>
      </c>
      <c r="G2270" s="3" t="s">
        <v>52</v>
      </c>
      <c r="H2270" s="2" t="s">
        <v>21</v>
      </c>
      <c r="I2270" s="2" t="s">
        <v>4855</v>
      </c>
      <c r="J2270" s="3" t="str">
        <f>HYPERLINK("https://www.boe.es/gazeta/dias/1821/04/14/pdfs/GMD-1821-106.pdf#page=2","Abrir facsímil")</f>
        <v>Abrir facsímil</v>
      </c>
      <c r="K2270" s="3" t="s">
        <v>23</v>
      </c>
    </row>
    <row r="2271" spans="1:11" ht="42" customHeight="1">
      <c r="A2271" s="2" t="s">
        <v>4854</v>
      </c>
      <c r="B2271" s="2" t="s">
        <v>4854</v>
      </c>
      <c r="C2271" s="2" t="s">
        <v>40</v>
      </c>
      <c r="D2271" s="2" t="s">
        <v>41</v>
      </c>
      <c r="E2271" s="5">
        <v>-28749</v>
      </c>
      <c r="F2271" s="3" t="s">
        <v>832</v>
      </c>
      <c r="G2271" s="3" t="s">
        <v>88</v>
      </c>
      <c r="H2271" s="2" t="s">
        <v>21</v>
      </c>
      <c r="I2271" s="2" t="s">
        <v>4856</v>
      </c>
      <c r="J2271" s="3" t="str">
        <f>HYPERLINK("https://www.boe.es/gazeta/dias/1821/04/14/pdfs/GMD-1821-106.pdf#page=4","Abrir facsímil")</f>
        <v>Abrir facsímil</v>
      </c>
      <c r="K2271" s="3" t="s">
        <v>23</v>
      </c>
    </row>
    <row r="2272" spans="1:11" ht="42" customHeight="1">
      <c r="A2272" s="2" t="s">
        <v>4854</v>
      </c>
      <c r="B2272" s="2" t="s">
        <v>4854</v>
      </c>
      <c r="C2272" s="2" t="s">
        <v>17</v>
      </c>
      <c r="D2272" s="2" t="s">
        <v>18</v>
      </c>
      <c r="E2272" s="5">
        <v>-28719</v>
      </c>
      <c r="F2272" s="3" t="s">
        <v>647</v>
      </c>
      <c r="G2272" s="3" t="s">
        <v>20</v>
      </c>
      <c r="H2272" s="2" t="s">
        <v>21</v>
      </c>
      <c r="I2272" s="2" t="s">
        <v>4857</v>
      </c>
      <c r="J2272" s="3" t="str">
        <f>HYPERLINK("https://www.boe.es/gazeta/dias/1821/05/14/pdfs/GMD-1821-136.pdf#page=3","Abrir facsímil")</f>
        <v>Abrir facsímil</v>
      </c>
      <c r="K2272" s="3" t="s">
        <v>23</v>
      </c>
    </row>
    <row r="2273" spans="1:11" ht="42" customHeight="1">
      <c r="A2273" s="2" t="s">
        <v>4854</v>
      </c>
      <c r="B2273" s="2" t="s">
        <v>4854</v>
      </c>
      <c r="C2273" s="2" t="s">
        <v>40</v>
      </c>
      <c r="D2273" s="2" t="s">
        <v>41</v>
      </c>
      <c r="E2273" s="5">
        <v>-28708</v>
      </c>
      <c r="F2273" s="3" t="s">
        <v>528</v>
      </c>
      <c r="G2273" s="3" t="s">
        <v>20</v>
      </c>
      <c r="H2273" s="2" t="s">
        <v>21</v>
      </c>
      <c r="I2273" s="2" t="s">
        <v>4858</v>
      </c>
      <c r="J2273" s="3" t="str">
        <f>HYPERLINK("https://www.boe.es/gazeta/dias/1821/05/25/pdfs/GMD-1821-147.pdf#page=3","Abrir facsímil")</f>
        <v>Abrir facsímil</v>
      </c>
      <c r="K2273" s="3" t="s">
        <v>23</v>
      </c>
    </row>
    <row r="2274" spans="1:11" ht="42" customHeight="1">
      <c r="A2274" s="2" t="s">
        <v>4854</v>
      </c>
      <c r="B2274" s="2" t="s">
        <v>4854</v>
      </c>
      <c r="C2274" s="2" t="s">
        <v>40</v>
      </c>
      <c r="D2274" s="2" t="s">
        <v>41</v>
      </c>
      <c r="E2274" s="5">
        <v>-28674</v>
      </c>
      <c r="F2274" s="3" t="s">
        <v>536</v>
      </c>
      <c r="G2274" s="3" t="s">
        <v>88</v>
      </c>
      <c r="H2274" s="2" t="s">
        <v>21</v>
      </c>
      <c r="I2274" s="2" t="s">
        <v>4859</v>
      </c>
      <c r="J2274" s="3" t="str">
        <f>HYPERLINK("https://www.boe.es/gazeta/dias/1821/06/28/pdfs/GMD-1821-181.pdf#page=4","Abrir facsímil")</f>
        <v>Abrir facsímil</v>
      </c>
      <c r="K2274" s="3" t="s">
        <v>23</v>
      </c>
    </row>
    <row r="2275" spans="1:11" ht="42" customHeight="1">
      <c r="A2275" s="2" t="s">
        <v>4854</v>
      </c>
      <c r="B2275" s="2" t="s">
        <v>4854</v>
      </c>
      <c r="C2275" s="2" t="s">
        <v>17</v>
      </c>
      <c r="D2275" s="2" t="s">
        <v>18</v>
      </c>
      <c r="E2275" s="5">
        <v>-28556</v>
      </c>
      <c r="F2275" s="3" t="s">
        <v>264</v>
      </c>
      <c r="G2275" s="3" t="s">
        <v>88</v>
      </c>
      <c r="H2275" s="2" t="s">
        <v>21</v>
      </c>
      <c r="I2275" s="2" t="s">
        <v>4860</v>
      </c>
      <c r="J2275" s="3" t="str">
        <f>HYPERLINK("https://www.boe.es/gazeta/dias/1821/10/24/pdfs/GMD-1821-303.pdf#page=4","Abrir facsímil")</f>
        <v>Abrir facsímil</v>
      </c>
      <c r="K2275" s="3" t="s">
        <v>23</v>
      </c>
    </row>
    <row r="2276" spans="1:11" ht="42" customHeight="1">
      <c r="A2276" s="2" t="s">
        <v>4854</v>
      </c>
      <c r="B2276" s="2" t="s">
        <v>4854</v>
      </c>
      <c r="C2276" s="2" t="s">
        <v>26</v>
      </c>
      <c r="D2276" s="2" t="s">
        <v>27</v>
      </c>
      <c r="E2276" s="5">
        <v>-28523</v>
      </c>
      <c r="F2276" s="3" t="s">
        <v>257</v>
      </c>
      <c r="G2276" s="3" t="s">
        <v>88</v>
      </c>
      <c r="H2276" s="2" t="s">
        <v>21</v>
      </c>
      <c r="I2276" s="2" t="s">
        <v>4861</v>
      </c>
      <c r="J2276" s="3" t="str">
        <f>HYPERLINK("https://www.boe.es/gazeta/dias/1821/11/26/pdfs/GMD-1821-337.pdf#page=4","Abrir facsímil")</f>
        <v>Abrir facsímil</v>
      </c>
      <c r="K2276" s="3" t="s">
        <v>23</v>
      </c>
    </row>
    <row r="2277" spans="1:11" ht="42" customHeight="1">
      <c r="A2277" s="2" t="s">
        <v>4854</v>
      </c>
      <c r="B2277" s="2" t="s">
        <v>4854</v>
      </c>
      <c r="C2277" s="2" t="s">
        <v>40</v>
      </c>
      <c r="D2277" s="2" t="s">
        <v>41</v>
      </c>
      <c r="E2277" s="5">
        <v>-28508</v>
      </c>
      <c r="F2277" s="3" t="s">
        <v>42</v>
      </c>
      <c r="G2277" s="3" t="s">
        <v>52</v>
      </c>
      <c r="H2277" s="2" t="s">
        <v>21</v>
      </c>
      <c r="I2277" s="2" t="s">
        <v>4862</v>
      </c>
      <c r="J2277" s="3" t="str">
        <f>HYPERLINK("https://www.boe.es/gazeta/dias/1821/12/11/pdfs/GMD-1821-353.pdf#page=2","Abrir facsímil")</f>
        <v>Abrir facsímil</v>
      </c>
      <c r="K2277" s="3" t="s">
        <v>23</v>
      </c>
    </row>
    <row r="2278" spans="1:11" ht="42" customHeight="1">
      <c r="A2278" s="2" t="s">
        <v>4854</v>
      </c>
      <c r="B2278" s="2" t="s">
        <v>4854</v>
      </c>
      <c r="C2278" s="2" t="s">
        <v>26</v>
      </c>
      <c r="D2278" s="2" t="s">
        <v>27</v>
      </c>
      <c r="E2278" s="5">
        <v>-28506</v>
      </c>
      <c r="F2278" s="3" t="s">
        <v>1095</v>
      </c>
      <c r="G2278" s="3" t="s">
        <v>88</v>
      </c>
      <c r="H2278" s="2" t="s">
        <v>21</v>
      </c>
      <c r="I2278" s="2" t="s">
        <v>4863</v>
      </c>
      <c r="J2278" s="3" t="str">
        <f>HYPERLINK("https://www.boe.es/gazeta/dias/1821/12/13/pdfs/GMD-1821-356.pdf#page=4","Abrir facsímil")</f>
        <v>Abrir facsímil</v>
      </c>
      <c r="K2278" s="3" t="s">
        <v>23</v>
      </c>
    </row>
    <row r="2279" spans="1:11" ht="42" customHeight="1">
      <c r="A2279" s="2" t="s">
        <v>4864</v>
      </c>
      <c r="B2279" s="2" t="s">
        <v>4865</v>
      </c>
      <c r="C2279" s="2" t="s">
        <v>70</v>
      </c>
      <c r="D2279" s="2" t="s">
        <v>27</v>
      </c>
      <c r="E2279" s="5">
        <v>-28837</v>
      </c>
      <c r="F2279" s="3" t="s">
        <v>1234</v>
      </c>
      <c r="G2279" s="3" t="s">
        <v>88</v>
      </c>
      <c r="H2279" s="2" t="s">
        <v>21</v>
      </c>
      <c r="I2279" s="2" t="s">
        <v>4866</v>
      </c>
      <c r="J2279" s="3" t="str">
        <f>HYPERLINK("https://www.boe.es/gazeta/dias/1821/01/16/pdfs/GGB-1821-16.pdf#page=4","Abrir facsímil")</f>
        <v>Abrir facsímil</v>
      </c>
      <c r="K2279" s="3" t="s">
        <v>23</v>
      </c>
    </row>
    <row r="2280" spans="1:11" ht="42" customHeight="1">
      <c r="A2280" s="2" t="s">
        <v>4867</v>
      </c>
      <c r="B2280" s="2" t="s">
        <v>4868</v>
      </c>
      <c r="C2280" s="2" t="s">
        <v>17</v>
      </c>
      <c r="D2280" s="2" t="s">
        <v>18</v>
      </c>
      <c r="E2280" s="5">
        <v>-28729</v>
      </c>
      <c r="F2280" s="3" t="s">
        <v>838</v>
      </c>
      <c r="G2280" s="3" t="s">
        <v>52</v>
      </c>
      <c r="H2280" s="2" t="s">
        <v>21</v>
      </c>
      <c r="I2280" s="2" t="s">
        <v>4869</v>
      </c>
      <c r="J2280" s="3" t="str">
        <f>HYPERLINK("https://www.boe.es/gazeta/dias/1821/05/04/pdfs/GMD-1821-126.pdf#page=2","Abrir facsímil")</f>
        <v>Abrir facsímil</v>
      </c>
      <c r="K2280" s="3" t="s">
        <v>23</v>
      </c>
    </row>
    <row r="2281" spans="1:11" ht="42" customHeight="1">
      <c r="A2281" s="2" t="s">
        <v>4867</v>
      </c>
      <c r="B2281" s="2" t="s">
        <v>4868</v>
      </c>
      <c r="C2281" s="2" t="s">
        <v>17</v>
      </c>
      <c r="D2281" s="2" t="s">
        <v>18</v>
      </c>
      <c r="E2281" s="5">
        <v>-28512</v>
      </c>
      <c r="F2281" s="3" t="s">
        <v>66</v>
      </c>
      <c r="G2281" s="3" t="s">
        <v>43</v>
      </c>
      <c r="H2281" s="2" t="s">
        <v>21</v>
      </c>
      <c r="I2281" s="2" t="s">
        <v>4870</v>
      </c>
      <c r="J2281" s="3" t="str">
        <f>HYPERLINK("https://www.boe.es/gazeta/dias/1821/12/07/pdfs/GMD-1821-349.pdf#page=1","Abrir facsímil")</f>
        <v>Abrir facsímil</v>
      </c>
      <c r="K2281" s="3" t="s">
        <v>23</v>
      </c>
    </row>
    <row r="2282" spans="1:11" ht="42" customHeight="1">
      <c r="A2282" s="2" t="s">
        <v>4871</v>
      </c>
      <c r="B2282" s="2" t="s">
        <v>4872</v>
      </c>
      <c r="C2282" s="2" t="s">
        <v>70</v>
      </c>
      <c r="D2282" s="2" t="s">
        <v>27</v>
      </c>
      <c r="E2282" s="5">
        <v>-28788</v>
      </c>
      <c r="F2282" s="3" t="s">
        <v>996</v>
      </c>
      <c r="G2282" s="3" t="s">
        <v>88</v>
      </c>
      <c r="H2282" s="2" t="s">
        <v>30</v>
      </c>
      <c r="I2282" s="2" t="s">
        <v>4873</v>
      </c>
      <c r="J2282" s="3" t="str">
        <f>HYPERLINK("https://www.boe.es/gazeta/dias/1821/03/06/pdfs/GGB-1821-65.pdf#page=4","Abrir facsímil")</f>
        <v>Abrir facsímil</v>
      </c>
      <c r="K2282" s="3" t="s">
        <v>32</v>
      </c>
    </row>
    <row r="2283" spans="1:11" ht="42" customHeight="1">
      <c r="A2283" s="2" t="s">
        <v>4874</v>
      </c>
      <c r="B2283" s="2" t="s">
        <v>4875</v>
      </c>
      <c r="C2283" s="2" t="s">
        <v>40</v>
      </c>
      <c r="D2283" s="2" t="s">
        <v>41</v>
      </c>
      <c r="E2283" s="5">
        <v>-28641</v>
      </c>
      <c r="F2283" s="3" t="s">
        <v>398</v>
      </c>
      <c r="G2283" s="3" t="s">
        <v>20</v>
      </c>
      <c r="H2283" s="2" t="s">
        <v>21</v>
      </c>
      <c r="I2283" s="2" t="s">
        <v>4876</v>
      </c>
      <c r="J2283" s="3" t="str">
        <f>HYPERLINK("https://www.boe.es/gazeta/dias/1821/07/31/pdfs/GMD-1821-216.pdf#page=3","Abrir facsímil")</f>
        <v>Abrir facsímil</v>
      </c>
      <c r="K2283" s="3" t="s">
        <v>23</v>
      </c>
    </row>
    <row r="2284" spans="1:11" ht="42" customHeight="1">
      <c r="A2284" s="2" t="s">
        <v>4877</v>
      </c>
      <c r="B2284" s="2" t="s">
        <v>4878</v>
      </c>
      <c r="C2284" s="2" t="s">
        <v>17</v>
      </c>
      <c r="D2284" s="2" t="s">
        <v>18</v>
      </c>
      <c r="E2284" s="5">
        <v>-28789</v>
      </c>
      <c r="F2284" s="3" t="s">
        <v>36</v>
      </c>
      <c r="G2284" s="3" t="s">
        <v>20</v>
      </c>
      <c r="H2284" s="2" t="s">
        <v>21</v>
      </c>
      <c r="I2284" s="2" t="s">
        <v>4879</v>
      </c>
      <c r="J2284" s="3" t="str">
        <f>HYPERLINK("https://www.boe.es/gazeta/dias/1821/03/05/pdfs/GGB-1821-64.pdf#page=3","Abrir facsímil")</f>
        <v>Abrir facsímil</v>
      </c>
      <c r="K2284" s="3" t="s">
        <v>23</v>
      </c>
    </row>
    <row r="2285" spans="1:11" ht="42" customHeight="1">
      <c r="A2285" s="2" t="s">
        <v>4880</v>
      </c>
      <c r="B2285" s="2" t="s">
        <v>4881</v>
      </c>
      <c r="C2285" s="2" t="s">
        <v>40</v>
      </c>
      <c r="D2285" s="2" t="s">
        <v>41</v>
      </c>
      <c r="E2285" s="5">
        <v>-28667</v>
      </c>
      <c r="F2285" s="3" t="s">
        <v>107</v>
      </c>
      <c r="G2285" s="3" t="s">
        <v>52</v>
      </c>
      <c r="H2285" s="2" t="s">
        <v>21</v>
      </c>
      <c r="I2285" s="2" t="s">
        <v>4882</v>
      </c>
      <c r="J2285" s="3" t="str">
        <f>HYPERLINK("https://www.boe.es/gazeta/dias/1821/07/05/pdfs/GMD-1821-189.pdf#page=2","Abrir facsímil")</f>
        <v>Abrir facsímil</v>
      </c>
      <c r="K2285" s="3" t="s">
        <v>23</v>
      </c>
    </row>
    <row r="2286" spans="1:11" ht="42" customHeight="1">
      <c r="A2286" s="2" t="s">
        <v>4883</v>
      </c>
      <c r="B2286" s="2" t="s">
        <v>4883</v>
      </c>
      <c r="C2286" s="2" t="s">
        <v>70</v>
      </c>
      <c r="D2286" s="2" t="s">
        <v>27</v>
      </c>
      <c r="E2286" s="5">
        <v>-28501</v>
      </c>
      <c r="F2286" s="3" t="s">
        <v>456</v>
      </c>
      <c r="G2286" s="3" t="s">
        <v>457</v>
      </c>
      <c r="H2286" s="2" t="s">
        <v>21</v>
      </c>
      <c r="I2286" s="2" t="s">
        <v>4884</v>
      </c>
      <c r="J2286" s="3" t="str">
        <f>HYPERLINK("https://www.boe.es/gazeta/dias/1821/12/18/pdfs/GMD-1821-361.pdf#page=5","Abrir facsímil")</f>
        <v>Abrir facsímil</v>
      </c>
      <c r="K2286" s="3" t="s">
        <v>23</v>
      </c>
    </row>
    <row r="2287" spans="1:11" ht="42" customHeight="1">
      <c r="A2287" s="2" t="s">
        <v>4885</v>
      </c>
      <c r="B2287" s="2" t="s">
        <v>4886</v>
      </c>
      <c r="C2287" s="2" t="s">
        <v>40</v>
      </c>
      <c r="D2287" s="2" t="s">
        <v>41</v>
      </c>
      <c r="E2287" s="5">
        <v>-28492</v>
      </c>
      <c r="F2287" s="3" t="s">
        <v>1550</v>
      </c>
      <c r="G2287" s="3" t="s">
        <v>88</v>
      </c>
      <c r="H2287" s="2" t="s">
        <v>21</v>
      </c>
      <c r="I2287" s="2" t="s">
        <v>4887</v>
      </c>
      <c r="J2287" s="3" t="str">
        <f>HYPERLINK("https://www.boe.es/gazeta/dias/1821/12/27/pdfs/GMD-1821-370.pdf#page=4","Abrir facsímil")</f>
        <v>Abrir facsímil</v>
      </c>
      <c r="K2287" s="3" t="s">
        <v>23</v>
      </c>
    </row>
    <row r="2288" spans="1:11" ht="42" customHeight="1">
      <c r="A2288" s="2" t="s">
        <v>4888</v>
      </c>
      <c r="B2288" s="2" t="s">
        <v>4889</v>
      </c>
      <c r="C2288" s="2" t="s">
        <v>40</v>
      </c>
      <c r="D2288" s="2" t="s">
        <v>41</v>
      </c>
      <c r="E2288" s="5">
        <v>-28536</v>
      </c>
      <c r="F2288" s="3" t="s">
        <v>553</v>
      </c>
      <c r="G2288" s="3" t="s">
        <v>52</v>
      </c>
      <c r="H2288" s="2" t="s">
        <v>21</v>
      </c>
      <c r="I2288" s="2" t="s">
        <v>4890</v>
      </c>
      <c r="J2288" s="3" t="str">
        <f>HYPERLINK("https://www.boe.es/gazeta/dias/1821/11/13/pdfs/GMD-1821-324.pdf#page=2","Abrir facsímil")</f>
        <v>Abrir facsímil</v>
      </c>
      <c r="K2288" s="3" t="s">
        <v>23</v>
      </c>
    </row>
    <row r="2289" spans="1:11" ht="42" customHeight="1">
      <c r="A2289" s="2" t="s">
        <v>4891</v>
      </c>
      <c r="B2289" s="2" t="s">
        <v>4891</v>
      </c>
      <c r="C2289" s="2" t="s">
        <v>26</v>
      </c>
      <c r="D2289" s="2" t="s">
        <v>27</v>
      </c>
      <c r="E2289" s="5">
        <v>-28808</v>
      </c>
      <c r="F2289" s="3" t="s">
        <v>3445</v>
      </c>
      <c r="G2289" s="3" t="s">
        <v>52</v>
      </c>
      <c r="H2289" s="2" t="s">
        <v>21</v>
      </c>
      <c r="I2289" s="2" t="s">
        <v>4892</v>
      </c>
      <c r="J2289" s="3" t="str">
        <f>HYPERLINK("https://www.boe.es/gazeta/dias/1821/02/14/pdfs/GGB-1821-45.pdf#page=2","Abrir facsímil")</f>
        <v>Abrir facsímil</v>
      </c>
      <c r="K2289" s="3" t="s">
        <v>23</v>
      </c>
    </row>
    <row r="2290" spans="1:11" ht="42" customHeight="1">
      <c r="A2290" s="2" t="s">
        <v>4893</v>
      </c>
      <c r="B2290" s="2" t="s">
        <v>4893</v>
      </c>
      <c r="C2290" s="2" t="s">
        <v>174</v>
      </c>
      <c r="D2290" s="2" t="s">
        <v>27</v>
      </c>
      <c r="E2290" s="5">
        <v>-28804</v>
      </c>
      <c r="F2290" s="3" t="s">
        <v>1580</v>
      </c>
      <c r="G2290" s="3" t="s">
        <v>20</v>
      </c>
      <c r="H2290" s="2" t="s">
        <v>21</v>
      </c>
      <c r="I2290" s="2" t="s">
        <v>4894</v>
      </c>
      <c r="J2290" s="3" t="str">
        <f>HYPERLINK("https://www.boe.es/gazeta/dias/1821/02/18/pdfs/GGB-1821-49.pdf#page=3","Abrir facsímil")</f>
        <v>Abrir facsímil</v>
      </c>
      <c r="K2290" s="3" t="s">
        <v>23</v>
      </c>
    </row>
    <row r="2291" spans="1:11" ht="42" customHeight="1">
      <c r="A2291" s="2" t="s">
        <v>4895</v>
      </c>
      <c r="B2291" s="2" t="s">
        <v>4895</v>
      </c>
      <c r="C2291" s="2" t="s">
        <v>26</v>
      </c>
      <c r="D2291" s="2" t="s">
        <v>27</v>
      </c>
      <c r="E2291" s="5">
        <v>-28631</v>
      </c>
      <c r="F2291" s="3" t="s">
        <v>751</v>
      </c>
      <c r="G2291" s="3" t="s">
        <v>20</v>
      </c>
      <c r="H2291" s="2" t="s">
        <v>21</v>
      </c>
      <c r="I2291" s="2" t="s">
        <v>4896</v>
      </c>
      <c r="J2291" s="3" t="str">
        <f>HYPERLINK("https://www.boe.es/gazeta/dias/1821/08/10/pdfs/GMD-1821-227.pdf#page=3","Abrir facsímil")</f>
        <v>Abrir facsímil</v>
      </c>
      <c r="K2291" s="3" t="s">
        <v>23</v>
      </c>
    </row>
    <row r="2292" spans="1:11" ht="42" customHeight="1">
      <c r="A2292" s="2" t="s">
        <v>4897</v>
      </c>
      <c r="B2292" s="2" t="s">
        <v>4898</v>
      </c>
      <c r="C2292" s="2" t="s">
        <v>35</v>
      </c>
      <c r="D2292" s="2" t="s">
        <v>27</v>
      </c>
      <c r="E2292" s="5">
        <v>-28712</v>
      </c>
      <c r="F2292" s="3" t="s">
        <v>695</v>
      </c>
      <c r="G2292" s="3" t="s">
        <v>52</v>
      </c>
      <c r="H2292" s="2" t="s">
        <v>21</v>
      </c>
      <c r="I2292" s="2" t="s">
        <v>4899</v>
      </c>
      <c r="J2292" s="3" t="str">
        <f>HYPERLINK("https://www.boe.es/gazeta/dias/1821/05/21/pdfs/GMD-1821-143.pdf#page=2","Abrir facsímil")</f>
        <v>Abrir facsímil</v>
      </c>
      <c r="K2292" s="3" t="s">
        <v>23</v>
      </c>
    </row>
    <row r="2293" spans="1:11" ht="42" customHeight="1">
      <c r="A2293" s="2" t="s">
        <v>4900</v>
      </c>
      <c r="B2293" s="2" t="s">
        <v>4900</v>
      </c>
      <c r="C2293" s="2" t="s">
        <v>26</v>
      </c>
      <c r="D2293" s="2" t="s">
        <v>27</v>
      </c>
      <c r="E2293" s="5">
        <v>-28840</v>
      </c>
      <c r="F2293" s="3" t="s">
        <v>161</v>
      </c>
      <c r="G2293" s="3" t="s">
        <v>20</v>
      </c>
      <c r="H2293" s="2" t="s">
        <v>21</v>
      </c>
      <c r="I2293" s="2" t="s">
        <v>4901</v>
      </c>
      <c r="J2293" s="3" t="str">
        <f>HYPERLINK("https://www.boe.es/gazeta/dias/1821/01/13/pdfs/GGB-1821-13.pdf#page=3","Abrir facsímil")</f>
        <v>Abrir facsímil</v>
      </c>
      <c r="K2293" s="3" t="s">
        <v>23</v>
      </c>
    </row>
    <row r="2294" spans="1:11" ht="42" customHeight="1">
      <c r="A2294" s="2" t="s">
        <v>4902</v>
      </c>
      <c r="B2294" s="2" t="s">
        <v>4903</v>
      </c>
      <c r="C2294" s="2" t="s">
        <v>40</v>
      </c>
      <c r="D2294" s="2" t="s">
        <v>41</v>
      </c>
      <c r="E2294" s="5">
        <v>-28621</v>
      </c>
      <c r="F2294" s="3" t="s">
        <v>1317</v>
      </c>
      <c r="G2294" s="3" t="s">
        <v>43</v>
      </c>
      <c r="H2294" s="2" t="s">
        <v>21</v>
      </c>
      <c r="I2294" s="2" t="s">
        <v>4904</v>
      </c>
      <c r="J2294" s="3" t="str">
        <f>HYPERLINK("https://www.boe.es/gazeta/dias/1821/08/20/pdfs/GMD-1821-237.pdf#page=1","Abrir facsímil")</f>
        <v>Abrir facsímil</v>
      </c>
      <c r="K2294" s="3" t="s">
        <v>23</v>
      </c>
    </row>
    <row r="2295" spans="1:11" ht="42" customHeight="1">
      <c r="A2295" s="2" t="s">
        <v>4905</v>
      </c>
      <c r="B2295" s="2" t="s">
        <v>4905</v>
      </c>
      <c r="C2295" s="2" t="s">
        <v>35</v>
      </c>
      <c r="D2295" s="2" t="s">
        <v>27</v>
      </c>
      <c r="E2295" s="5">
        <v>-28825</v>
      </c>
      <c r="F2295" s="3" t="s">
        <v>1199</v>
      </c>
      <c r="G2295" s="3" t="s">
        <v>88</v>
      </c>
      <c r="H2295" s="2" t="s">
        <v>21</v>
      </c>
      <c r="I2295" s="2" t="s">
        <v>4906</v>
      </c>
      <c r="J2295" s="3" t="str">
        <f>HYPERLINK("https://www.boe.es/gazeta/dias/1821/01/28/pdfs/GGB-1821-28.pdf#page=4","Abrir facsímil")</f>
        <v>Abrir facsímil</v>
      </c>
      <c r="K2295" s="3" t="s">
        <v>23</v>
      </c>
    </row>
    <row r="2296" spans="1:11" ht="42" customHeight="1">
      <c r="A2296" s="2" t="s">
        <v>4905</v>
      </c>
      <c r="B2296" s="2" t="s">
        <v>4905</v>
      </c>
      <c r="C2296" s="2" t="s">
        <v>17</v>
      </c>
      <c r="D2296" s="2" t="s">
        <v>18</v>
      </c>
      <c r="E2296" s="5">
        <v>-28649</v>
      </c>
      <c r="F2296" s="3" t="s">
        <v>4688</v>
      </c>
      <c r="G2296" s="3" t="s">
        <v>20</v>
      </c>
      <c r="H2296" s="2" t="s">
        <v>21</v>
      </c>
      <c r="I2296" s="2" t="s">
        <v>4907</v>
      </c>
      <c r="J2296" s="3" t="str">
        <f>HYPERLINK("https://www.boe.es/gazeta/dias/1821/07/23/pdfs/GMD-1821-208.pdf#page=3","Abrir facsímil")</f>
        <v>Abrir facsímil</v>
      </c>
      <c r="K2296" s="3" t="s">
        <v>23</v>
      </c>
    </row>
    <row r="2297" spans="1:11" ht="42" customHeight="1">
      <c r="A2297" s="2" t="s">
        <v>4908</v>
      </c>
      <c r="B2297" s="2" t="s">
        <v>4909</v>
      </c>
      <c r="C2297" s="2" t="s">
        <v>26</v>
      </c>
      <c r="D2297" s="2" t="s">
        <v>27</v>
      </c>
      <c r="E2297" s="5">
        <v>-28547</v>
      </c>
      <c r="F2297" s="3" t="s">
        <v>247</v>
      </c>
      <c r="G2297" s="3" t="s">
        <v>248</v>
      </c>
      <c r="H2297" s="2" t="s">
        <v>21</v>
      </c>
      <c r="I2297" s="2" t="s">
        <v>4910</v>
      </c>
      <c r="J2297" s="3" t="str">
        <f>HYPERLINK("https://www.boe.es/gazeta/dias/1821/11/02/pdfs/GMD-1821-312.pdf#page=2","Abrir facsímil")</f>
        <v>Abrir facsímil</v>
      </c>
      <c r="K2297" s="3" t="s">
        <v>23</v>
      </c>
    </row>
    <row r="2298" spans="1:11" ht="42" customHeight="1">
      <c r="A2298" s="2" t="s">
        <v>4911</v>
      </c>
      <c r="B2298" s="2" t="s">
        <v>4912</v>
      </c>
      <c r="C2298" s="2" t="s">
        <v>40</v>
      </c>
      <c r="D2298" s="2" t="s">
        <v>41</v>
      </c>
      <c r="E2298" s="5">
        <v>-28734</v>
      </c>
      <c r="F2298" s="3" t="s">
        <v>1553</v>
      </c>
      <c r="G2298" s="3" t="s">
        <v>20</v>
      </c>
      <c r="H2298" s="2" t="s">
        <v>30</v>
      </c>
      <c r="I2298" s="2" t="s">
        <v>4913</v>
      </c>
      <c r="J2298" s="3" t="str">
        <f>HYPERLINK("https://www.boe.es/gazeta/dias/1821/04/29/pdfs/GMD-1821-121.pdf#page=3","Abrir facsímil")</f>
        <v>Abrir facsímil</v>
      </c>
      <c r="K2298" s="3" t="s">
        <v>32</v>
      </c>
    </row>
    <row r="2299" spans="1:11" ht="42" customHeight="1">
      <c r="A2299" s="2" t="s">
        <v>4914</v>
      </c>
      <c r="B2299" s="2" t="s">
        <v>4914</v>
      </c>
      <c r="C2299" s="2" t="s">
        <v>17</v>
      </c>
      <c r="D2299" s="2" t="s">
        <v>18</v>
      </c>
      <c r="E2299" s="5">
        <v>-28834</v>
      </c>
      <c r="F2299" s="3" t="s">
        <v>369</v>
      </c>
      <c r="G2299" s="3" t="s">
        <v>88</v>
      </c>
      <c r="H2299" s="2" t="s">
        <v>21</v>
      </c>
      <c r="I2299" s="2" t="s">
        <v>4915</v>
      </c>
      <c r="J2299" s="3" t="str">
        <f>HYPERLINK("https://www.boe.es/gazeta/dias/1821/01/19/pdfs/GGB-1821-19.pdf#page=4","Abrir facsímil")</f>
        <v>Abrir facsímil</v>
      </c>
      <c r="K2299" s="3" t="s">
        <v>23</v>
      </c>
    </row>
    <row r="2300" spans="1:11" ht="42" customHeight="1">
      <c r="A2300" s="2" t="s">
        <v>4916</v>
      </c>
      <c r="B2300" s="2" t="s">
        <v>4917</v>
      </c>
      <c r="C2300" s="2" t="s">
        <v>40</v>
      </c>
      <c r="D2300" s="2" t="s">
        <v>41</v>
      </c>
      <c r="E2300" s="5">
        <v>-28727</v>
      </c>
      <c r="F2300" s="3" t="s">
        <v>200</v>
      </c>
      <c r="G2300" s="3" t="s">
        <v>88</v>
      </c>
      <c r="H2300" s="2" t="s">
        <v>21</v>
      </c>
      <c r="I2300" s="2" t="s">
        <v>4918</v>
      </c>
      <c r="J2300" s="3" t="str">
        <f>HYPERLINK("https://www.boe.es/gazeta/dias/1821/05/06/pdfs/GMD-1821-128.pdf#page=4","Abrir facsímil")</f>
        <v>Abrir facsímil</v>
      </c>
      <c r="K2300" s="3" t="s">
        <v>23</v>
      </c>
    </row>
    <row r="2301" spans="1:11" ht="42" customHeight="1">
      <c r="A2301" s="2" t="s">
        <v>4919</v>
      </c>
      <c r="B2301" s="2" t="s">
        <v>4920</v>
      </c>
      <c r="C2301" s="2" t="s">
        <v>40</v>
      </c>
      <c r="D2301" s="2" t="s">
        <v>41</v>
      </c>
      <c r="E2301" s="5">
        <v>-28743</v>
      </c>
      <c r="F2301" s="3" t="s">
        <v>51</v>
      </c>
      <c r="G2301" s="3" t="s">
        <v>20</v>
      </c>
      <c r="H2301" s="2" t="s">
        <v>21</v>
      </c>
      <c r="I2301" s="2" t="s">
        <v>4921</v>
      </c>
      <c r="J2301" s="3" t="str">
        <f>HYPERLINK("https://www.boe.es/gazeta/dias/1821/04/20/pdfs/GMD-1821-112.pdf#page=3","Abrir facsímil")</f>
        <v>Abrir facsímil</v>
      </c>
      <c r="K2301" s="3" t="s">
        <v>23</v>
      </c>
    </row>
    <row r="2302" spans="1:11" ht="42" customHeight="1">
      <c r="A2302" s="2" t="s">
        <v>4922</v>
      </c>
      <c r="B2302" s="2" t="s">
        <v>4922</v>
      </c>
      <c r="C2302" s="2" t="s">
        <v>17</v>
      </c>
      <c r="D2302" s="2" t="s">
        <v>18</v>
      </c>
      <c r="E2302" s="5">
        <v>-28801</v>
      </c>
      <c r="F2302" s="3" t="s">
        <v>378</v>
      </c>
      <c r="G2302" s="3" t="s">
        <v>20</v>
      </c>
      <c r="H2302" s="2" t="s">
        <v>21</v>
      </c>
      <c r="I2302" s="2" t="s">
        <v>4923</v>
      </c>
      <c r="J2302" s="3" t="str">
        <f>HYPERLINK("https://www.boe.es/gazeta/dias/1821/02/21/pdfs/GGB-1821-52.pdf#page=3","Abrir facsímil")</f>
        <v>Abrir facsímil</v>
      </c>
      <c r="K2302" s="3" t="s">
        <v>23</v>
      </c>
    </row>
    <row r="2303" spans="1:11" ht="42" customHeight="1">
      <c r="A2303" s="2" t="s">
        <v>4924</v>
      </c>
      <c r="B2303" s="2" t="s">
        <v>4924</v>
      </c>
      <c r="C2303" s="2" t="s">
        <v>26</v>
      </c>
      <c r="D2303" s="2" t="s">
        <v>27</v>
      </c>
      <c r="E2303" s="5">
        <v>-28519</v>
      </c>
      <c r="F2303" s="3" t="s">
        <v>880</v>
      </c>
      <c r="G2303" s="3" t="s">
        <v>3835</v>
      </c>
      <c r="H2303" s="2" t="s">
        <v>21</v>
      </c>
      <c r="I2303" s="2" t="s">
        <v>4925</v>
      </c>
      <c r="J2303" s="3" t="str">
        <f>HYPERLINK("https://www.boe.es/gazeta/dias/1821/11/30/pdfs/GMD-1821-342.pdf#page=3","Abrir facsímil")</f>
        <v>Abrir facsímil</v>
      </c>
      <c r="K2303" s="3" t="s">
        <v>23</v>
      </c>
    </row>
    <row r="2304" spans="1:11" ht="42" customHeight="1">
      <c r="A2304" s="2" t="s">
        <v>4926</v>
      </c>
      <c r="B2304" s="2" t="s">
        <v>4926</v>
      </c>
      <c r="C2304" s="2" t="s">
        <v>40</v>
      </c>
      <c r="D2304" s="2" t="s">
        <v>41</v>
      </c>
      <c r="E2304" s="5">
        <v>-28772</v>
      </c>
      <c r="F2304" s="3" t="s">
        <v>62</v>
      </c>
      <c r="G2304" s="3" t="s">
        <v>20</v>
      </c>
      <c r="H2304" s="2" t="s">
        <v>21</v>
      </c>
      <c r="I2304" s="2" t="s">
        <v>4927</v>
      </c>
      <c r="J2304" s="3" t="str">
        <f>HYPERLINK("https://www.boe.es/gazeta/dias/1821/03/22/pdfs/GMD-1821-81.pdf#page=3","Abrir facsímil")</f>
        <v>Abrir facsímil</v>
      </c>
      <c r="K2304" s="3" t="s">
        <v>23</v>
      </c>
    </row>
    <row r="2305" spans="1:11" ht="42" customHeight="1">
      <c r="A2305" s="2" t="s">
        <v>4928</v>
      </c>
      <c r="B2305" s="2" t="s">
        <v>4928</v>
      </c>
      <c r="C2305" s="2" t="s">
        <v>17</v>
      </c>
      <c r="D2305" s="2" t="s">
        <v>18</v>
      </c>
      <c r="E2305" s="5">
        <v>-28787</v>
      </c>
      <c r="F2305" s="3" t="s">
        <v>486</v>
      </c>
      <c r="G2305" s="3" t="s">
        <v>20</v>
      </c>
      <c r="H2305" s="2" t="s">
        <v>21</v>
      </c>
      <c r="I2305" s="2" t="s">
        <v>4929</v>
      </c>
      <c r="J2305" s="3" t="str">
        <f>HYPERLINK("https://www.boe.es/gazeta/dias/1821/03/07/pdfs/GGB-1821-66.pdf#page=3","Abrir facsímil")</f>
        <v>Abrir facsímil</v>
      </c>
      <c r="K2305" s="3" t="s">
        <v>23</v>
      </c>
    </row>
    <row r="2306" spans="1:11" ht="42" customHeight="1">
      <c r="A2306" s="2" t="s">
        <v>4928</v>
      </c>
      <c r="B2306" s="2" t="s">
        <v>4928</v>
      </c>
      <c r="C2306" s="2" t="s">
        <v>26</v>
      </c>
      <c r="D2306" s="2" t="s">
        <v>27</v>
      </c>
      <c r="E2306" s="5">
        <v>-28760</v>
      </c>
      <c r="F2306" s="3" t="s">
        <v>170</v>
      </c>
      <c r="G2306" s="3" t="s">
        <v>52</v>
      </c>
      <c r="H2306" s="2" t="s">
        <v>21</v>
      </c>
      <c r="I2306" s="2" t="s">
        <v>4930</v>
      </c>
      <c r="J2306" s="3" t="str">
        <f>HYPERLINK("https://www.boe.es/gazeta/dias/1821/04/03/pdfs/GMD-1821-95.pdf#page=2","Abrir facsímil")</f>
        <v>Abrir facsímil</v>
      </c>
      <c r="K2306" s="3" t="s">
        <v>23</v>
      </c>
    </row>
    <row r="2307" spans="1:11" ht="42" customHeight="1">
      <c r="A2307" s="2" t="s">
        <v>4928</v>
      </c>
      <c r="B2307" s="2" t="s">
        <v>4928</v>
      </c>
      <c r="C2307" s="2" t="s">
        <v>26</v>
      </c>
      <c r="D2307" s="2" t="s">
        <v>27</v>
      </c>
      <c r="E2307" s="5">
        <v>-28746</v>
      </c>
      <c r="F2307" s="3" t="s">
        <v>687</v>
      </c>
      <c r="G2307" s="3" t="s">
        <v>29</v>
      </c>
      <c r="H2307" s="2" t="s">
        <v>21</v>
      </c>
      <c r="I2307" s="2" t="s">
        <v>4931</v>
      </c>
      <c r="J2307" s="3" t="str">
        <f>HYPERLINK("https://www.boe.es/gazeta/dias/1821/04/17/pdfs/GMD-1821-109.pdf#page=6","Abrir facsímil")</f>
        <v>Abrir facsímil</v>
      </c>
      <c r="K2307" s="3" t="s">
        <v>23</v>
      </c>
    </row>
    <row r="2308" spans="1:11" ht="42" customHeight="1">
      <c r="A2308" s="2" t="s">
        <v>4928</v>
      </c>
      <c r="B2308" s="2" t="s">
        <v>4928</v>
      </c>
      <c r="C2308" s="2" t="s">
        <v>174</v>
      </c>
      <c r="D2308" s="2" t="s">
        <v>27</v>
      </c>
      <c r="E2308" s="5">
        <v>-28715</v>
      </c>
      <c r="F2308" s="3" t="s">
        <v>1046</v>
      </c>
      <c r="G2308" s="3" t="s">
        <v>43</v>
      </c>
      <c r="H2308" s="2" t="s">
        <v>21</v>
      </c>
      <c r="I2308" s="2" t="s">
        <v>4932</v>
      </c>
      <c r="J2308" s="3" t="str">
        <f>HYPERLINK("https://www.boe.es/gazeta/dias/1821/05/18/pdfs/GMD-1821-140.pdf#page=1","Abrir facsímil")</f>
        <v>Abrir facsímil</v>
      </c>
      <c r="K2308" s="3" t="s">
        <v>23</v>
      </c>
    </row>
    <row r="2309" spans="1:11" ht="42" customHeight="1">
      <c r="A2309" s="2" t="s">
        <v>4928</v>
      </c>
      <c r="B2309" s="2" t="s">
        <v>4928</v>
      </c>
      <c r="C2309" s="2" t="s">
        <v>494</v>
      </c>
      <c r="D2309" s="2" t="s">
        <v>18</v>
      </c>
      <c r="E2309" s="5">
        <v>-28708</v>
      </c>
      <c r="F2309" s="3" t="s">
        <v>528</v>
      </c>
      <c r="G2309" s="3" t="s">
        <v>88</v>
      </c>
      <c r="H2309" s="2" t="s">
        <v>21</v>
      </c>
      <c r="I2309" s="2" t="s">
        <v>4933</v>
      </c>
      <c r="J2309" s="3" t="str">
        <f>HYPERLINK("https://www.boe.es/gazeta/dias/1821/05/25/pdfs/GMD-1821-147.pdf#page=4","Abrir facsímil")</f>
        <v>Abrir facsímil</v>
      </c>
      <c r="K2309" s="3" t="s">
        <v>23</v>
      </c>
    </row>
    <row r="2310" spans="1:11" ht="42" customHeight="1">
      <c r="A2310" s="2" t="s">
        <v>4928</v>
      </c>
      <c r="B2310" s="2" t="s">
        <v>4928</v>
      </c>
      <c r="C2310" s="2" t="s">
        <v>494</v>
      </c>
      <c r="D2310" s="2" t="s">
        <v>18</v>
      </c>
      <c r="E2310" s="5">
        <v>-28707</v>
      </c>
      <c r="F2310" s="3" t="s">
        <v>495</v>
      </c>
      <c r="G2310" s="3" t="s">
        <v>52</v>
      </c>
      <c r="H2310" s="2" t="s">
        <v>21</v>
      </c>
      <c r="I2310" s="2" t="s">
        <v>4934</v>
      </c>
      <c r="J2310" s="3" t="str">
        <f>HYPERLINK("https://www.boe.es/gazeta/dias/1821/05/26/pdfs/GMD-1821-148.pdf#page=2","Abrir facsímil")</f>
        <v>Abrir facsímil</v>
      </c>
      <c r="K2310" s="3" t="s">
        <v>23</v>
      </c>
    </row>
    <row r="2311" spans="1:11" ht="42" customHeight="1">
      <c r="A2311" s="2" t="s">
        <v>4928</v>
      </c>
      <c r="B2311" s="2" t="s">
        <v>4928</v>
      </c>
      <c r="C2311" s="2" t="s">
        <v>26</v>
      </c>
      <c r="D2311" s="2" t="s">
        <v>27</v>
      </c>
      <c r="E2311" s="5">
        <v>-28695</v>
      </c>
      <c r="F2311" s="3" t="s">
        <v>1309</v>
      </c>
      <c r="G2311" s="3" t="s">
        <v>52</v>
      </c>
      <c r="H2311" s="2" t="s">
        <v>21</v>
      </c>
      <c r="I2311" s="2" t="s">
        <v>4935</v>
      </c>
      <c r="J2311" s="3" t="str">
        <f>HYPERLINK("https://www.boe.es/gazeta/dias/1821/06/07/pdfs/GMD-1821-160.pdf#page=2","Abrir facsímil")</f>
        <v>Abrir facsímil</v>
      </c>
      <c r="K2311" s="3" t="s">
        <v>23</v>
      </c>
    </row>
    <row r="2312" spans="1:11" ht="42" customHeight="1">
      <c r="A2312" s="2" t="s">
        <v>4928</v>
      </c>
      <c r="B2312" s="2" t="s">
        <v>4928</v>
      </c>
      <c r="C2312" s="2" t="s">
        <v>70</v>
      </c>
      <c r="D2312" s="2" t="s">
        <v>27</v>
      </c>
      <c r="E2312" s="5">
        <v>-28687</v>
      </c>
      <c r="F2312" s="3" t="s">
        <v>851</v>
      </c>
      <c r="G2312" s="3" t="s">
        <v>20</v>
      </c>
      <c r="H2312" s="2" t="s">
        <v>21</v>
      </c>
      <c r="I2312" s="2" t="s">
        <v>4936</v>
      </c>
      <c r="J2312" s="3" t="str">
        <f>HYPERLINK("https://www.boe.es/gazeta/dias/1821/06/15/pdfs/GMD-1821-168.pdf#page=3","Abrir facsímil")</f>
        <v>Abrir facsímil</v>
      </c>
      <c r="K2312" s="3" t="s">
        <v>23</v>
      </c>
    </row>
    <row r="2313" spans="1:11" ht="42" customHeight="1">
      <c r="A2313" s="2" t="s">
        <v>4928</v>
      </c>
      <c r="B2313" s="2" t="s">
        <v>4928</v>
      </c>
      <c r="C2313" s="2" t="s">
        <v>35</v>
      </c>
      <c r="D2313" s="2" t="s">
        <v>27</v>
      </c>
      <c r="E2313" s="5">
        <v>-28675</v>
      </c>
      <c r="F2313" s="3" t="s">
        <v>943</v>
      </c>
      <c r="G2313" s="3" t="s">
        <v>162</v>
      </c>
      <c r="H2313" s="2" t="s">
        <v>21</v>
      </c>
      <c r="I2313" s="2" t="s">
        <v>4937</v>
      </c>
      <c r="J2313" s="3" t="str">
        <f>HYPERLINK("https://www.boe.es/gazeta/dias/1821/06/27/pdfs/GMD-1821-180.pdf#page=5","Abrir facsímil")</f>
        <v>Abrir facsímil</v>
      </c>
      <c r="K2313" s="3" t="s">
        <v>23</v>
      </c>
    </row>
    <row r="2314" spans="1:11" ht="42" customHeight="1">
      <c r="A2314" s="2" t="s">
        <v>4928</v>
      </c>
      <c r="B2314" s="2" t="s">
        <v>4928</v>
      </c>
      <c r="C2314" s="2" t="s">
        <v>35</v>
      </c>
      <c r="D2314" s="2" t="s">
        <v>27</v>
      </c>
      <c r="E2314" s="5">
        <v>-28550</v>
      </c>
      <c r="F2314" s="3" t="s">
        <v>546</v>
      </c>
      <c r="G2314" s="3" t="s">
        <v>88</v>
      </c>
      <c r="H2314" s="2" t="s">
        <v>21</v>
      </c>
      <c r="I2314" s="2" t="s">
        <v>4938</v>
      </c>
      <c r="J2314" s="3" t="str">
        <f>HYPERLINK("https://www.boe.es/gazeta/dias/1821/10/30/pdfs/GMD-1821-309.pdf#page=4","Abrir facsímil")</f>
        <v>Abrir facsímil</v>
      </c>
      <c r="K2314" s="3" t="s">
        <v>23</v>
      </c>
    </row>
    <row r="2315" spans="1:11" ht="42" customHeight="1">
      <c r="A2315" s="2" t="s">
        <v>4928</v>
      </c>
      <c r="B2315" s="2" t="s">
        <v>4928</v>
      </c>
      <c r="C2315" s="2" t="s">
        <v>114</v>
      </c>
      <c r="D2315" s="2" t="s">
        <v>27</v>
      </c>
      <c r="E2315" s="5">
        <v>-28539</v>
      </c>
      <c r="F2315" s="3" t="s">
        <v>153</v>
      </c>
      <c r="G2315" s="3" t="s">
        <v>162</v>
      </c>
      <c r="H2315" s="2" t="s">
        <v>21</v>
      </c>
      <c r="I2315" s="2" t="s">
        <v>4939</v>
      </c>
      <c r="J2315" s="3" t="str">
        <f>HYPERLINK("https://www.boe.es/gazeta/dias/1821/11/10/pdfs/GMD-1821-321.pdf#page=5","Abrir facsímil")</f>
        <v>Abrir facsímil</v>
      </c>
      <c r="K2315" s="3" t="s">
        <v>23</v>
      </c>
    </row>
    <row r="2316" spans="1:11" ht="42" customHeight="1">
      <c r="A2316" s="2" t="s">
        <v>4928</v>
      </c>
      <c r="B2316" s="2" t="s">
        <v>4928</v>
      </c>
      <c r="C2316" s="2" t="s">
        <v>40</v>
      </c>
      <c r="D2316" s="2" t="s">
        <v>41</v>
      </c>
      <c r="E2316" s="5">
        <v>-28528</v>
      </c>
      <c r="F2316" s="3" t="s">
        <v>1872</v>
      </c>
      <c r="G2316" s="3" t="s">
        <v>88</v>
      </c>
      <c r="H2316" s="2" t="s">
        <v>21</v>
      </c>
      <c r="I2316" s="2" t="s">
        <v>4940</v>
      </c>
      <c r="J2316" s="3" t="str">
        <f>HYPERLINK("https://www.boe.es/gazeta/dias/1821/11/21/pdfs/GMD-1821-332.pdf#page=4","Abrir facsímil")</f>
        <v>Abrir facsímil</v>
      </c>
      <c r="K2316" s="3" t="s">
        <v>23</v>
      </c>
    </row>
    <row r="2317" spans="1:11" ht="42" customHeight="1">
      <c r="A2317" s="2" t="s">
        <v>4941</v>
      </c>
      <c r="B2317" s="2" t="s">
        <v>4941</v>
      </c>
      <c r="C2317" s="2" t="s">
        <v>26</v>
      </c>
      <c r="D2317" s="2" t="s">
        <v>27</v>
      </c>
      <c r="E2317" s="5">
        <v>-28526</v>
      </c>
      <c r="F2317" s="3" t="s">
        <v>223</v>
      </c>
      <c r="G2317" s="3" t="s">
        <v>88</v>
      </c>
      <c r="H2317" s="2" t="s">
        <v>21</v>
      </c>
      <c r="I2317" s="2" t="s">
        <v>4942</v>
      </c>
      <c r="J2317" s="3" t="str">
        <f>HYPERLINK("https://www.boe.es/gazeta/dias/1821/11/23/pdfs/GMD-1821-334.pdf#page=4","Abrir facsímil")</f>
        <v>Abrir facsímil</v>
      </c>
      <c r="K2317" s="3" t="s">
        <v>23</v>
      </c>
    </row>
    <row r="2318" spans="1:11" ht="42" customHeight="1">
      <c r="A2318" s="2" t="s">
        <v>4928</v>
      </c>
      <c r="B2318" s="2" t="s">
        <v>4928</v>
      </c>
      <c r="C2318" s="2" t="s">
        <v>17</v>
      </c>
      <c r="D2318" s="2" t="s">
        <v>18</v>
      </c>
      <c r="E2318" s="5">
        <v>-28519</v>
      </c>
      <c r="F2318" s="3" t="s">
        <v>880</v>
      </c>
      <c r="G2318" s="3" t="s">
        <v>52</v>
      </c>
      <c r="H2318" s="2" t="s">
        <v>21</v>
      </c>
      <c r="I2318" s="2" t="s">
        <v>4943</v>
      </c>
      <c r="J2318" s="3" t="str">
        <f>HYPERLINK("https://www.boe.es/gazeta/dias/1821/11/30/pdfs/GMD-1821-342.pdf#page=2","Abrir facsímil")</f>
        <v>Abrir facsímil</v>
      </c>
      <c r="K2318" s="3" t="s">
        <v>23</v>
      </c>
    </row>
    <row r="2319" spans="1:11" ht="42" customHeight="1">
      <c r="A2319" s="2" t="s">
        <v>4928</v>
      </c>
      <c r="B2319" s="2" t="s">
        <v>4928</v>
      </c>
      <c r="C2319" s="2" t="s">
        <v>17</v>
      </c>
      <c r="D2319" s="2" t="s">
        <v>18</v>
      </c>
      <c r="E2319" s="5">
        <v>-28495</v>
      </c>
      <c r="F2319" s="3" t="s">
        <v>227</v>
      </c>
      <c r="G2319" s="3" t="s">
        <v>52</v>
      </c>
      <c r="H2319" s="2" t="s">
        <v>21</v>
      </c>
      <c r="I2319" s="2" t="s">
        <v>4944</v>
      </c>
      <c r="J2319" s="3" t="str">
        <f>HYPERLINK("https://www.boe.es/gazeta/dias/1821/12/24/pdfs/GMD-1821-367.pdf#page=2","Abrir facsímil")</f>
        <v>Abrir facsímil</v>
      </c>
      <c r="K2319" s="3" t="s">
        <v>23</v>
      </c>
    </row>
    <row r="2320" spans="1:11" ht="42" customHeight="1">
      <c r="A2320" s="2" t="s">
        <v>4945</v>
      </c>
      <c r="B2320" s="2" t="s">
        <v>4946</v>
      </c>
      <c r="C2320" s="2" t="s">
        <v>17</v>
      </c>
      <c r="D2320" s="2" t="s">
        <v>18</v>
      </c>
      <c r="E2320" s="5">
        <v>-28803</v>
      </c>
      <c r="F2320" s="3" t="s">
        <v>320</v>
      </c>
      <c r="G2320" s="3" t="s">
        <v>20</v>
      </c>
      <c r="H2320" s="2" t="s">
        <v>21</v>
      </c>
      <c r="I2320" s="2" t="s">
        <v>4947</v>
      </c>
      <c r="J2320" s="3" t="str">
        <f>HYPERLINK("https://www.boe.es/gazeta/dias/1821/02/19/pdfs/GGB-1821-50.pdf#page=3","Abrir facsímil")</f>
        <v>Abrir facsímil</v>
      </c>
      <c r="K2320" s="3" t="s">
        <v>23</v>
      </c>
    </row>
    <row r="2321" spans="1:11" ht="42" customHeight="1">
      <c r="A2321" s="2" t="s">
        <v>4948</v>
      </c>
      <c r="B2321" s="2" t="s">
        <v>4948</v>
      </c>
      <c r="C2321" s="2" t="s">
        <v>26</v>
      </c>
      <c r="D2321" s="2" t="s">
        <v>27</v>
      </c>
      <c r="E2321" s="5">
        <v>-28552</v>
      </c>
      <c r="F2321" s="3" t="s">
        <v>28</v>
      </c>
      <c r="G2321" s="3" t="s">
        <v>2457</v>
      </c>
      <c r="H2321" s="2" t="s">
        <v>21</v>
      </c>
      <c r="I2321" s="2" t="s">
        <v>4949</v>
      </c>
      <c r="J2321" s="3" t="str">
        <f>HYPERLINK("https://www.boe.es/gazeta/dias/1821/10/28/pdfs/GMD-1821-307.pdf#page=4","Abrir facsímil")</f>
        <v>Abrir facsímil</v>
      </c>
      <c r="K2321" s="3" t="s">
        <v>23</v>
      </c>
    </row>
    <row r="2322" spans="1:11" ht="42" customHeight="1">
      <c r="A2322" s="2" t="s">
        <v>4950</v>
      </c>
      <c r="B2322" s="2" t="s">
        <v>4950</v>
      </c>
      <c r="C2322" s="2" t="s">
        <v>26</v>
      </c>
      <c r="D2322" s="2" t="s">
        <v>27</v>
      </c>
      <c r="E2322" s="5">
        <v>-28526</v>
      </c>
      <c r="F2322" s="3" t="s">
        <v>223</v>
      </c>
      <c r="G2322" s="3" t="s">
        <v>1251</v>
      </c>
      <c r="H2322" s="2" t="s">
        <v>21</v>
      </c>
      <c r="I2322" s="2" t="s">
        <v>4951</v>
      </c>
      <c r="J2322" s="3" t="str">
        <f>HYPERLINK("https://www.boe.es/gazeta/dias/1821/11/23/pdfs/GMD-1821-334.pdf#page=3","Abrir facsímil")</f>
        <v>Abrir facsímil</v>
      </c>
      <c r="K2322" s="3" t="s">
        <v>23</v>
      </c>
    </row>
    <row r="2323" spans="1:11" ht="42" customHeight="1">
      <c r="A2323" s="2" t="s">
        <v>4952</v>
      </c>
      <c r="B2323" s="2" t="s">
        <v>4952</v>
      </c>
      <c r="C2323" s="2" t="s">
        <v>40</v>
      </c>
      <c r="D2323" s="2" t="s">
        <v>41</v>
      </c>
      <c r="E2323" s="5">
        <v>-28629</v>
      </c>
      <c r="F2323" s="3" t="s">
        <v>235</v>
      </c>
      <c r="G2323" s="3" t="s">
        <v>88</v>
      </c>
      <c r="H2323" s="2" t="s">
        <v>21</v>
      </c>
      <c r="I2323" s="2" t="s">
        <v>4953</v>
      </c>
      <c r="J2323" s="3" t="str">
        <f>HYPERLINK("https://www.boe.es/gazeta/dias/1821/08/12/pdfs/GMD-1821-229.pdf#page=4","Abrir facsímil")</f>
        <v>Abrir facsímil</v>
      </c>
      <c r="K2323" s="3" t="s">
        <v>23</v>
      </c>
    </row>
    <row r="2324" spans="1:11" ht="42" customHeight="1">
      <c r="A2324" s="2" t="s">
        <v>4954</v>
      </c>
      <c r="B2324" s="2" t="s">
        <v>4955</v>
      </c>
      <c r="C2324" s="2" t="s">
        <v>35</v>
      </c>
      <c r="D2324" s="2" t="s">
        <v>27</v>
      </c>
      <c r="E2324" s="5">
        <v>-28682</v>
      </c>
      <c r="F2324" s="3" t="s">
        <v>1064</v>
      </c>
      <c r="G2324" s="3" t="s">
        <v>162</v>
      </c>
      <c r="H2324" s="2" t="s">
        <v>21</v>
      </c>
      <c r="I2324" s="2" t="s">
        <v>4956</v>
      </c>
      <c r="J2324" s="3" t="str">
        <f>HYPERLINK("https://www.boe.es/gazeta/dias/1821/06/20/pdfs/GMD-1821-173.pdf#page=5","Abrir facsímil")</f>
        <v>Abrir facsímil</v>
      </c>
      <c r="K2324" s="3" t="s">
        <v>23</v>
      </c>
    </row>
    <row r="2325" spans="1:11" ht="42" customHeight="1">
      <c r="A2325" s="2" t="s">
        <v>4957</v>
      </c>
      <c r="B2325" s="2" t="s">
        <v>4958</v>
      </c>
      <c r="C2325" s="2" t="s">
        <v>17</v>
      </c>
      <c r="D2325" s="2" t="s">
        <v>18</v>
      </c>
      <c r="E2325" s="5">
        <v>-28531</v>
      </c>
      <c r="F2325" s="3" t="s">
        <v>365</v>
      </c>
      <c r="G2325" s="3" t="s">
        <v>20</v>
      </c>
      <c r="H2325" s="2" t="s">
        <v>21</v>
      </c>
      <c r="I2325" s="2" t="s">
        <v>4959</v>
      </c>
      <c r="J2325" s="3" t="str">
        <f>HYPERLINK("https://www.boe.es/gazeta/dias/1821/11/18/pdfs/GMD-1821-329.pdf#page=3","Abrir facsímil")</f>
        <v>Abrir facsímil</v>
      </c>
      <c r="K2325" s="3" t="s">
        <v>23</v>
      </c>
    </row>
    <row r="2326" spans="1:11" ht="42" customHeight="1">
      <c r="A2326" s="2" t="s">
        <v>4960</v>
      </c>
      <c r="B2326" s="2" t="s">
        <v>4961</v>
      </c>
      <c r="C2326" s="2" t="s">
        <v>70</v>
      </c>
      <c r="D2326" s="2" t="s">
        <v>27</v>
      </c>
      <c r="E2326" s="5">
        <v>-28587</v>
      </c>
      <c r="F2326" s="3" t="s">
        <v>392</v>
      </c>
      <c r="G2326" s="3" t="s">
        <v>88</v>
      </c>
      <c r="H2326" s="2" t="s">
        <v>21</v>
      </c>
      <c r="I2326" s="2" t="s">
        <v>4962</v>
      </c>
      <c r="J2326" s="3" t="str">
        <f>HYPERLINK("https://www.boe.es/gazeta/dias/1821/09/23/pdfs/GMD-1821-271.pdf#page=4","Abrir facsímil")</f>
        <v>Abrir facsímil</v>
      </c>
      <c r="K2326" s="3" t="s">
        <v>23</v>
      </c>
    </row>
    <row r="2327" spans="1:11" ht="42" customHeight="1">
      <c r="A2327" s="2" t="s">
        <v>4963</v>
      </c>
      <c r="B2327" s="2" t="s">
        <v>4964</v>
      </c>
      <c r="C2327" s="2" t="s">
        <v>40</v>
      </c>
      <c r="D2327" s="2" t="s">
        <v>41</v>
      </c>
      <c r="E2327" s="5">
        <v>-28798</v>
      </c>
      <c r="F2327" s="3" t="s">
        <v>60</v>
      </c>
      <c r="G2327" s="3" t="s">
        <v>52</v>
      </c>
      <c r="H2327" s="2" t="s">
        <v>21</v>
      </c>
      <c r="I2327" s="2" t="s">
        <v>4965</v>
      </c>
      <c r="J2327" s="3" t="str">
        <f>HYPERLINK("https://www.boe.es/gazeta/dias/1821/02/24/pdfs/GGB-1821-55.pdf#page=2","Abrir facsímil")</f>
        <v>Abrir facsímil</v>
      </c>
      <c r="K2327" s="3" t="s">
        <v>23</v>
      </c>
    </row>
    <row r="2328" spans="1:11" ht="42" customHeight="1">
      <c r="A2328" s="2" t="s">
        <v>4966</v>
      </c>
      <c r="B2328" s="2" t="s">
        <v>4966</v>
      </c>
      <c r="C2328" s="2" t="s">
        <v>35</v>
      </c>
      <c r="D2328" s="2" t="s">
        <v>27</v>
      </c>
      <c r="E2328" s="5">
        <v>-28756</v>
      </c>
      <c r="F2328" s="3" t="s">
        <v>3145</v>
      </c>
      <c r="G2328" s="3" t="s">
        <v>20</v>
      </c>
      <c r="H2328" s="2" t="s">
        <v>21</v>
      </c>
      <c r="I2328" s="2" t="s">
        <v>4967</v>
      </c>
      <c r="J2328" s="3" t="str">
        <f>HYPERLINK("https://www.boe.es/gazeta/dias/1821/04/07/pdfs/GMD-1821-99.pdf#page=3","Abrir facsímil")</f>
        <v>Abrir facsímil</v>
      </c>
      <c r="K2328" s="3" t="s">
        <v>23</v>
      </c>
    </row>
    <row r="2329" spans="1:11" ht="42" customHeight="1">
      <c r="A2329" s="2" t="s">
        <v>4968</v>
      </c>
      <c r="B2329" s="2" t="s">
        <v>4969</v>
      </c>
      <c r="C2329" s="2" t="s">
        <v>26</v>
      </c>
      <c r="D2329" s="2" t="s">
        <v>27</v>
      </c>
      <c r="E2329" s="5">
        <v>-28788</v>
      </c>
      <c r="F2329" s="3" t="s">
        <v>996</v>
      </c>
      <c r="G2329" s="3" t="s">
        <v>20</v>
      </c>
      <c r="H2329" s="2" t="s">
        <v>21</v>
      </c>
      <c r="I2329" s="2" t="s">
        <v>4970</v>
      </c>
      <c r="J2329" s="3" t="str">
        <f>HYPERLINK("https://www.boe.es/gazeta/dias/1821/03/06/pdfs/GGB-1821-65.pdf#page=3","Abrir facsímil")</f>
        <v>Abrir facsímil</v>
      </c>
      <c r="K2329" s="3" t="s">
        <v>23</v>
      </c>
    </row>
    <row r="2330" spans="1:11" ht="42" customHeight="1">
      <c r="A2330" s="2" t="s">
        <v>4971</v>
      </c>
      <c r="B2330" s="2" t="s">
        <v>4971</v>
      </c>
      <c r="C2330" s="2" t="s">
        <v>40</v>
      </c>
      <c r="D2330" s="2" t="s">
        <v>41</v>
      </c>
      <c r="E2330" s="5">
        <v>-28783</v>
      </c>
      <c r="F2330" s="3" t="s">
        <v>198</v>
      </c>
      <c r="G2330" s="3" t="s">
        <v>20</v>
      </c>
      <c r="H2330" s="2" t="s">
        <v>21</v>
      </c>
      <c r="I2330" s="2" t="s">
        <v>4972</v>
      </c>
      <c r="J2330" s="3" t="str">
        <f>HYPERLINK("https://www.boe.es/gazeta/dias/1821/03/11/pdfs/GGB-1821-70.pdf#page=3","Abrir facsímil")</f>
        <v>Abrir facsímil</v>
      </c>
      <c r="K2330" s="3" t="s">
        <v>23</v>
      </c>
    </row>
    <row r="2331" spans="1:11" ht="42" customHeight="1">
      <c r="A2331" s="2" t="s">
        <v>4971</v>
      </c>
      <c r="B2331" s="2" t="s">
        <v>4971</v>
      </c>
      <c r="C2331" s="2" t="s">
        <v>17</v>
      </c>
      <c r="D2331" s="2" t="s">
        <v>18</v>
      </c>
      <c r="E2331" s="5">
        <v>-28742</v>
      </c>
      <c r="F2331" s="3" t="s">
        <v>324</v>
      </c>
      <c r="G2331" s="3" t="s">
        <v>43</v>
      </c>
      <c r="H2331" s="2" t="s">
        <v>21</v>
      </c>
      <c r="I2331" s="2" t="s">
        <v>4973</v>
      </c>
      <c r="J2331" s="3" t="str">
        <f>HYPERLINK("https://www.boe.es/gazeta/dias/1821/04/21/pdfs/GMD-1821-113.pdf#page=1","Abrir facsímil")</f>
        <v>Abrir facsímil</v>
      </c>
      <c r="K2331" s="3" t="s">
        <v>23</v>
      </c>
    </row>
    <row r="2332" spans="1:11" ht="42" customHeight="1">
      <c r="A2332" s="2" t="s">
        <v>4971</v>
      </c>
      <c r="B2332" s="2" t="s">
        <v>4971</v>
      </c>
      <c r="C2332" s="2" t="s">
        <v>40</v>
      </c>
      <c r="D2332" s="2" t="s">
        <v>41</v>
      </c>
      <c r="E2332" s="5">
        <v>-28510</v>
      </c>
      <c r="F2332" s="3" t="s">
        <v>83</v>
      </c>
      <c r="G2332" s="3" t="s">
        <v>29</v>
      </c>
      <c r="H2332" s="2" t="s">
        <v>21</v>
      </c>
      <c r="I2332" s="2" t="s">
        <v>4974</v>
      </c>
      <c r="J2332" s="3" t="str">
        <f>HYPERLINK("https://www.boe.es/gazeta/dias/1821/12/09/pdfs/GMD-1821-351.pdf#page=6","Abrir facsímil")</f>
        <v>Abrir facsímil</v>
      </c>
      <c r="K2332" s="3" t="s">
        <v>23</v>
      </c>
    </row>
    <row r="2333" spans="1:11" ht="42" customHeight="1">
      <c r="A2333" s="2" t="s">
        <v>4975</v>
      </c>
      <c r="B2333" s="2" t="s">
        <v>4976</v>
      </c>
      <c r="C2333" s="2" t="s">
        <v>26</v>
      </c>
      <c r="D2333" s="2" t="s">
        <v>27</v>
      </c>
      <c r="E2333" s="5">
        <v>-28711</v>
      </c>
      <c r="F2333" s="3" t="s">
        <v>1048</v>
      </c>
      <c r="G2333" s="3" t="s">
        <v>43</v>
      </c>
      <c r="H2333" s="2" t="s">
        <v>21</v>
      </c>
      <c r="I2333" s="2" t="s">
        <v>4977</v>
      </c>
      <c r="J2333" s="3" t="str">
        <f>HYPERLINK("https://www.boe.es/gazeta/dias/1821/05/22/pdfs/GMD-1821-144.pdf#page=1","Abrir facsímil")</f>
        <v>Abrir facsímil</v>
      </c>
      <c r="K2333" s="3" t="s">
        <v>23</v>
      </c>
    </row>
    <row r="2334" spans="1:11" ht="42" customHeight="1">
      <c r="A2334" s="2" t="s">
        <v>4978</v>
      </c>
      <c r="B2334" s="2" t="s">
        <v>4978</v>
      </c>
      <c r="C2334" s="2" t="s">
        <v>35</v>
      </c>
      <c r="D2334" s="2" t="s">
        <v>27</v>
      </c>
      <c r="E2334" s="5">
        <v>-28585</v>
      </c>
      <c r="F2334" s="3" t="s">
        <v>627</v>
      </c>
      <c r="G2334" s="3" t="s">
        <v>52</v>
      </c>
      <c r="H2334" s="2" t="s">
        <v>21</v>
      </c>
      <c r="I2334" s="2" t="s">
        <v>4979</v>
      </c>
      <c r="J2334" s="3" t="str">
        <f>HYPERLINK("https://www.boe.es/gazeta/dias/1821/09/25/pdfs/GMD-1821-273.pdf#page=2","Abrir facsímil")</f>
        <v>Abrir facsímil</v>
      </c>
      <c r="K2334" s="3" t="s">
        <v>23</v>
      </c>
    </row>
    <row r="2335" spans="1:11" ht="42" customHeight="1">
      <c r="A2335" s="2" t="s">
        <v>4980</v>
      </c>
      <c r="B2335" s="2" t="s">
        <v>4981</v>
      </c>
      <c r="C2335" s="2" t="s">
        <v>17</v>
      </c>
      <c r="D2335" s="2" t="s">
        <v>18</v>
      </c>
      <c r="E2335" s="5">
        <v>-28667</v>
      </c>
      <c r="F2335" s="3" t="s">
        <v>107</v>
      </c>
      <c r="G2335" s="3" t="s">
        <v>20</v>
      </c>
      <c r="H2335" s="2" t="s">
        <v>21</v>
      </c>
      <c r="I2335" s="2" t="s">
        <v>4982</v>
      </c>
      <c r="J2335" s="3" t="str">
        <f>HYPERLINK("https://www.boe.es/gazeta/dias/1821/07/05/pdfs/GMD-1821-189.pdf#page=3","Abrir facsímil")</f>
        <v>Abrir facsímil</v>
      </c>
      <c r="K2335" s="3" t="s">
        <v>23</v>
      </c>
    </row>
    <row r="2336" spans="1:11" ht="42" customHeight="1">
      <c r="A2336" s="2" t="s">
        <v>4983</v>
      </c>
      <c r="B2336" s="2" t="s">
        <v>4984</v>
      </c>
      <c r="C2336" s="2" t="s">
        <v>17</v>
      </c>
      <c r="D2336" s="2" t="s">
        <v>18</v>
      </c>
      <c r="E2336" s="5">
        <v>-28687</v>
      </c>
      <c r="F2336" s="3" t="s">
        <v>851</v>
      </c>
      <c r="G2336" s="3" t="s">
        <v>52</v>
      </c>
      <c r="H2336" s="2" t="s">
        <v>21</v>
      </c>
      <c r="I2336" s="2" t="s">
        <v>4985</v>
      </c>
      <c r="J2336" s="3" t="str">
        <f>HYPERLINK("https://www.boe.es/gazeta/dias/1821/06/15/pdfs/GMD-1821-168.pdf#page=2","Abrir facsímil")</f>
        <v>Abrir facsímil</v>
      </c>
      <c r="K2336" s="3" t="s">
        <v>23</v>
      </c>
    </row>
    <row r="2337" spans="1:11" ht="42" customHeight="1">
      <c r="A2337" s="2" t="s">
        <v>4986</v>
      </c>
      <c r="B2337" s="2" t="s">
        <v>4986</v>
      </c>
      <c r="C2337" s="2" t="s">
        <v>17</v>
      </c>
      <c r="D2337" s="2" t="s">
        <v>18</v>
      </c>
      <c r="E2337" s="5">
        <v>-28756</v>
      </c>
      <c r="F2337" s="3" t="s">
        <v>3145</v>
      </c>
      <c r="G2337" s="3" t="s">
        <v>20</v>
      </c>
      <c r="H2337" s="2" t="s">
        <v>21</v>
      </c>
      <c r="I2337" s="2" t="s">
        <v>4987</v>
      </c>
      <c r="J2337" s="3" t="str">
        <f>HYPERLINK("https://www.boe.es/gazeta/dias/1821/04/07/pdfs/GMD-1821-99.pdf#page=3","Abrir facsímil")</f>
        <v>Abrir facsímil</v>
      </c>
      <c r="K2337" s="3" t="s">
        <v>23</v>
      </c>
    </row>
    <row r="2338" spans="1:11" ht="42" customHeight="1">
      <c r="A2338" s="2" t="s">
        <v>4988</v>
      </c>
      <c r="B2338" s="2" t="s">
        <v>4989</v>
      </c>
      <c r="C2338" s="2" t="s">
        <v>35</v>
      </c>
      <c r="D2338" s="2" t="s">
        <v>27</v>
      </c>
      <c r="E2338" s="5">
        <v>-28739</v>
      </c>
      <c r="F2338" s="3" t="s">
        <v>1024</v>
      </c>
      <c r="G2338" s="3" t="s">
        <v>52</v>
      </c>
      <c r="H2338" s="2" t="s">
        <v>21</v>
      </c>
      <c r="I2338" s="2" t="s">
        <v>4990</v>
      </c>
      <c r="J2338" s="3" t="str">
        <f>HYPERLINK("https://www.boe.es/gazeta/dias/1821/04/24/pdfs/GMD-1821-116.pdf#page=2","Abrir facsímil")</f>
        <v>Abrir facsímil</v>
      </c>
      <c r="K2338" s="3" t="s">
        <v>23</v>
      </c>
    </row>
    <row r="2339" spans="1:11" ht="42" customHeight="1">
      <c r="A2339" s="2" t="s">
        <v>4991</v>
      </c>
      <c r="B2339" s="2" t="s">
        <v>4992</v>
      </c>
      <c r="C2339" s="2" t="s">
        <v>40</v>
      </c>
      <c r="D2339" s="2" t="s">
        <v>41</v>
      </c>
      <c r="E2339" s="5">
        <v>-28577</v>
      </c>
      <c r="F2339" s="3" t="s">
        <v>858</v>
      </c>
      <c r="G2339" s="3" t="s">
        <v>88</v>
      </c>
      <c r="H2339" s="2" t="s">
        <v>21</v>
      </c>
      <c r="I2339" s="2" t="s">
        <v>4993</v>
      </c>
      <c r="J2339" s="3" t="str">
        <f>HYPERLINK("https://www.boe.es/gazeta/dias/1821/10/03/pdfs/GMD-1821-282.pdf#page=4","Abrir facsímil")</f>
        <v>Abrir facsímil</v>
      </c>
      <c r="K2339" s="3" t="s">
        <v>23</v>
      </c>
    </row>
    <row r="2340" spans="1:11" ht="42" customHeight="1">
      <c r="A2340" s="2" t="s">
        <v>4994</v>
      </c>
      <c r="B2340" s="2" t="s">
        <v>4994</v>
      </c>
      <c r="C2340" s="2" t="s">
        <v>26</v>
      </c>
      <c r="D2340" s="2" t="s">
        <v>27</v>
      </c>
      <c r="E2340" s="5">
        <v>-28565</v>
      </c>
      <c r="F2340" s="3" t="s">
        <v>326</v>
      </c>
      <c r="G2340" s="3" t="s">
        <v>88</v>
      </c>
      <c r="H2340" s="2" t="s">
        <v>21</v>
      </c>
      <c r="I2340" s="2" t="s">
        <v>4995</v>
      </c>
      <c r="J2340" s="3" t="str">
        <f>HYPERLINK("https://www.boe.es/gazeta/dias/1821/10/15/pdfs/GMD-1821-294.pdf#page=4","Abrir facsímil")</f>
        <v>Abrir facsímil</v>
      </c>
      <c r="K2340" s="3" t="s">
        <v>23</v>
      </c>
    </row>
    <row r="2341" spans="1:11" ht="42" customHeight="1">
      <c r="A2341" s="2" t="s">
        <v>4994</v>
      </c>
      <c r="B2341" s="2" t="s">
        <v>4994</v>
      </c>
      <c r="C2341" s="2" t="s">
        <v>40</v>
      </c>
      <c r="D2341" s="2" t="s">
        <v>41</v>
      </c>
      <c r="E2341" s="5">
        <v>-28565</v>
      </c>
      <c r="F2341" s="3" t="s">
        <v>326</v>
      </c>
      <c r="G2341" s="3" t="s">
        <v>162</v>
      </c>
      <c r="H2341" s="2" t="s">
        <v>21</v>
      </c>
      <c r="I2341" s="2" t="s">
        <v>4996</v>
      </c>
      <c r="J2341" s="3" t="str">
        <f>HYPERLINK("https://www.boe.es/gazeta/dias/1821/10/15/pdfs/GMD-1821-294.pdf#page=5","Abrir facsímil")</f>
        <v>Abrir facsímil</v>
      </c>
      <c r="K2341" s="3" t="s">
        <v>23</v>
      </c>
    </row>
    <row r="2342" spans="1:11" ht="42" customHeight="1">
      <c r="A2342" s="2" t="s">
        <v>4997</v>
      </c>
      <c r="B2342" s="2" t="s">
        <v>4998</v>
      </c>
      <c r="C2342" s="2" t="s">
        <v>26</v>
      </c>
      <c r="D2342" s="2" t="s">
        <v>27</v>
      </c>
      <c r="E2342" s="5">
        <v>-28667</v>
      </c>
      <c r="F2342" s="3" t="s">
        <v>107</v>
      </c>
      <c r="G2342" s="3" t="s">
        <v>52</v>
      </c>
      <c r="H2342" s="2" t="s">
        <v>21</v>
      </c>
      <c r="I2342" s="2" t="s">
        <v>4999</v>
      </c>
      <c r="J2342" s="3" t="str">
        <f>HYPERLINK("https://www.boe.es/gazeta/dias/1821/07/05/pdfs/GMD-1821-189.pdf#page=2","Abrir facsímil")</f>
        <v>Abrir facsímil</v>
      </c>
      <c r="K2342" s="3" t="s">
        <v>23</v>
      </c>
    </row>
    <row r="2343" spans="1:11" ht="42" customHeight="1">
      <c r="A2343" s="2" t="s">
        <v>5000</v>
      </c>
      <c r="B2343" s="2" t="s">
        <v>5001</v>
      </c>
      <c r="C2343" s="2" t="s">
        <v>40</v>
      </c>
      <c r="D2343" s="2" t="s">
        <v>41</v>
      </c>
      <c r="E2343" s="5">
        <v>-28824</v>
      </c>
      <c r="F2343" s="3" t="s">
        <v>1227</v>
      </c>
      <c r="G2343" s="3" t="s">
        <v>20</v>
      </c>
      <c r="H2343" s="2" t="s">
        <v>21</v>
      </c>
      <c r="I2343" s="2" t="s">
        <v>5002</v>
      </c>
      <c r="J2343" s="3" t="str">
        <f>HYPERLINK("https://www.boe.es/gazeta/dias/1821/01/29/pdfs/GGB-1821-29.pdf#page=3","Abrir facsímil")</f>
        <v>Abrir facsímil</v>
      </c>
      <c r="K2343" s="3" t="s">
        <v>23</v>
      </c>
    </row>
    <row r="2344" spans="1:11" ht="42" customHeight="1">
      <c r="A2344" s="2" t="s">
        <v>5003</v>
      </c>
      <c r="B2344" s="2" t="s">
        <v>5003</v>
      </c>
      <c r="C2344" s="2" t="s">
        <v>40</v>
      </c>
      <c r="D2344" s="2" t="s">
        <v>41</v>
      </c>
      <c r="E2344" s="5">
        <v>-28565</v>
      </c>
      <c r="F2344" s="3" t="s">
        <v>326</v>
      </c>
      <c r="G2344" s="3" t="s">
        <v>162</v>
      </c>
      <c r="H2344" s="2" t="s">
        <v>21</v>
      </c>
      <c r="I2344" s="2" t="s">
        <v>5004</v>
      </c>
      <c r="J2344" s="3" t="str">
        <f>HYPERLINK("https://www.boe.es/gazeta/dias/1821/10/15/pdfs/GMD-1821-294.pdf#page=5","Abrir facsímil")</f>
        <v>Abrir facsímil</v>
      </c>
      <c r="K2344" s="3" t="s">
        <v>23</v>
      </c>
    </row>
    <row r="2345" spans="1:11" ht="42" customHeight="1">
      <c r="A2345" s="2" t="s">
        <v>5005</v>
      </c>
      <c r="B2345" s="2" t="s">
        <v>5006</v>
      </c>
      <c r="C2345" s="2" t="s">
        <v>40</v>
      </c>
      <c r="D2345" s="2" t="s">
        <v>41</v>
      </c>
      <c r="E2345" s="5">
        <v>-28530</v>
      </c>
      <c r="F2345" s="3" t="s">
        <v>237</v>
      </c>
      <c r="G2345" s="3" t="s">
        <v>52</v>
      </c>
      <c r="H2345" s="2" t="s">
        <v>21</v>
      </c>
      <c r="I2345" s="2" t="s">
        <v>5007</v>
      </c>
      <c r="J2345" s="3" t="str">
        <f>HYPERLINK("https://www.boe.es/gazeta/dias/1821/11/19/pdfs/GMD-1821-330.pdf#page=2","Abrir facsímil")</f>
        <v>Abrir facsímil</v>
      </c>
      <c r="K2345" s="3" t="s">
        <v>23</v>
      </c>
    </row>
    <row r="2346" spans="1:11" ht="42" customHeight="1">
      <c r="A2346" s="2" t="s">
        <v>5008</v>
      </c>
      <c r="B2346" s="2" t="s">
        <v>5009</v>
      </c>
      <c r="C2346" s="2" t="s">
        <v>40</v>
      </c>
      <c r="D2346" s="2" t="s">
        <v>41</v>
      </c>
      <c r="E2346" s="5">
        <v>-28636</v>
      </c>
      <c r="F2346" s="3" t="s">
        <v>122</v>
      </c>
      <c r="G2346" s="3" t="s">
        <v>20</v>
      </c>
      <c r="H2346" s="2" t="s">
        <v>21</v>
      </c>
      <c r="I2346" s="2" t="s">
        <v>5010</v>
      </c>
      <c r="J2346" s="3" t="str">
        <f>HYPERLINK("https://www.boe.es/gazeta/dias/1821/08/05/pdfs/GMD-1821-221.pdf#page=3","Abrir facsímil")</f>
        <v>Abrir facsímil</v>
      </c>
      <c r="K2346" s="3" t="s">
        <v>23</v>
      </c>
    </row>
    <row r="2347" spans="1:11" ht="42" customHeight="1">
      <c r="A2347" s="2" t="s">
        <v>5011</v>
      </c>
      <c r="B2347" s="2" t="s">
        <v>5011</v>
      </c>
      <c r="C2347" s="2" t="s">
        <v>26</v>
      </c>
      <c r="D2347" s="2" t="s">
        <v>27</v>
      </c>
      <c r="E2347" s="5">
        <v>-28510</v>
      </c>
      <c r="F2347" s="3" t="s">
        <v>83</v>
      </c>
      <c r="G2347" s="3" t="s">
        <v>88</v>
      </c>
      <c r="H2347" s="2" t="s">
        <v>21</v>
      </c>
      <c r="I2347" s="2" t="s">
        <v>5012</v>
      </c>
      <c r="J2347" s="3" t="str">
        <f>HYPERLINK("https://www.boe.es/gazeta/dias/1821/12/09/pdfs/GMD-1821-351.pdf#page=4","Abrir facsímil")</f>
        <v>Abrir facsímil</v>
      </c>
      <c r="K2347" s="3" t="s">
        <v>23</v>
      </c>
    </row>
    <row r="2348" spans="1:11" ht="42" customHeight="1">
      <c r="A2348" s="2" t="s">
        <v>5013</v>
      </c>
      <c r="B2348" s="2" t="s">
        <v>5013</v>
      </c>
      <c r="C2348" s="2" t="s">
        <v>17</v>
      </c>
      <c r="D2348" s="2" t="s">
        <v>18</v>
      </c>
      <c r="E2348" s="5">
        <v>-28733</v>
      </c>
      <c r="F2348" s="3" t="s">
        <v>1033</v>
      </c>
      <c r="G2348" s="3" t="s">
        <v>52</v>
      </c>
      <c r="H2348" s="2" t="s">
        <v>21</v>
      </c>
      <c r="I2348" s="2" t="s">
        <v>5014</v>
      </c>
      <c r="J2348" s="3" t="str">
        <f>HYPERLINK("https://www.boe.es/gazeta/dias/1821/04/30/pdfs/GMD-1821-122.pdf#page=2","Abrir facsímil")</f>
        <v>Abrir facsímil</v>
      </c>
      <c r="K2348" s="3" t="s">
        <v>23</v>
      </c>
    </row>
    <row r="2349" spans="1:11" ht="42" customHeight="1">
      <c r="A2349" s="2" t="s">
        <v>5013</v>
      </c>
      <c r="B2349" s="2" t="s">
        <v>5013</v>
      </c>
      <c r="C2349" s="2" t="s">
        <v>35</v>
      </c>
      <c r="D2349" s="2" t="s">
        <v>27</v>
      </c>
      <c r="E2349" s="5">
        <v>-28684</v>
      </c>
      <c r="F2349" s="3" t="s">
        <v>208</v>
      </c>
      <c r="G2349" s="3" t="s">
        <v>52</v>
      </c>
      <c r="H2349" s="2" t="s">
        <v>21</v>
      </c>
      <c r="I2349" s="2" t="s">
        <v>5015</v>
      </c>
      <c r="J2349" s="3" t="str">
        <f>HYPERLINK("https://www.boe.es/gazeta/dias/1821/06/18/pdfs/GMD-1821-171.pdf#page=2","Abrir facsímil")</f>
        <v>Abrir facsímil</v>
      </c>
      <c r="K2349" s="3" t="s">
        <v>23</v>
      </c>
    </row>
    <row r="2350" spans="1:11" ht="42" customHeight="1">
      <c r="A2350" s="2" t="s">
        <v>5013</v>
      </c>
      <c r="B2350" s="2" t="s">
        <v>5013</v>
      </c>
      <c r="C2350" s="2" t="s">
        <v>35</v>
      </c>
      <c r="D2350" s="2" t="s">
        <v>27</v>
      </c>
      <c r="E2350" s="5">
        <v>-28682</v>
      </c>
      <c r="F2350" s="3" t="s">
        <v>1064</v>
      </c>
      <c r="G2350" s="3" t="s">
        <v>52</v>
      </c>
      <c r="H2350" s="2" t="s">
        <v>21</v>
      </c>
      <c r="I2350" s="2" t="s">
        <v>5016</v>
      </c>
      <c r="J2350" s="3" t="str">
        <f>HYPERLINK("https://www.boe.es/gazeta/dias/1821/06/20/pdfs/GMD-1821-173.pdf#page=2","Abrir facsímil")</f>
        <v>Abrir facsímil</v>
      </c>
      <c r="K2350" s="3" t="s">
        <v>23</v>
      </c>
    </row>
    <row r="2351" spans="1:11" ht="42" customHeight="1">
      <c r="A2351" s="2" t="s">
        <v>5013</v>
      </c>
      <c r="B2351" s="2" t="s">
        <v>5013</v>
      </c>
      <c r="C2351" s="2" t="s">
        <v>17</v>
      </c>
      <c r="D2351" s="2" t="s">
        <v>18</v>
      </c>
      <c r="E2351" s="5">
        <v>-28498</v>
      </c>
      <c r="F2351" s="3" t="s">
        <v>447</v>
      </c>
      <c r="G2351" s="3" t="s">
        <v>1547</v>
      </c>
      <c r="H2351" s="2" t="s">
        <v>21</v>
      </c>
      <c r="I2351" s="2" t="s">
        <v>5017</v>
      </c>
      <c r="J2351" s="3" t="str">
        <f>HYPERLINK("https://www.boe.es/gazeta/dias/1821/12/21/pdfs/GMD-1821-364.pdf#page=2","Abrir facsímil")</f>
        <v>Abrir facsímil</v>
      </c>
      <c r="K2351" s="3" t="s">
        <v>23</v>
      </c>
    </row>
    <row r="2352" spans="1:11" ht="42" customHeight="1">
      <c r="A2352" s="2" t="s">
        <v>5018</v>
      </c>
      <c r="B2352" s="2" t="s">
        <v>5019</v>
      </c>
      <c r="C2352" s="2" t="s">
        <v>17</v>
      </c>
      <c r="D2352" s="2" t="s">
        <v>18</v>
      </c>
      <c r="E2352" s="5">
        <v>-28770</v>
      </c>
      <c r="F2352" s="3" t="s">
        <v>1009</v>
      </c>
      <c r="G2352" s="3" t="s">
        <v>20</v>
      </c>
      <c r="H2352" s="2" t="s">
        <v>21</v>
      </c>
      <c r="I2352" s="2" t="s">
        <v>5020</v>
      </c>
      <c r="J2352" s="3" t="str">
        <f>HYPERLINK("https://www.boe.es/gazeta/dias/1821/03/24/pdfs/GMD-1821-84.pdf#page=3","Abrir facsímil")</f>
        <v>Abrir facsímil</v>
      </c>
      <c r="K2352" s="3" t="s">
        <v>23</v>
      </c>
    </row>
    <row r="2353" spans="1:11" ht="42" customHeight="1">
      <c r="A2353" s="2" t="s">
        <v>5021</v>
      </c>
      <c r="B2353" s="2" t="s">
        <v>5021</v>
      </c>
      <c r="C2353" s="2" t="s">
        <v>35</v>
      </c>
      <c r="D2353" s="2" t="s">
        <v>27</v>
      </c>
      <c r="E2353" s="5">
        <v>-28763</v>
      </c>
      <c r="F2353" s="3" t="s">
        <v>1145</v>
      </c>
      <c r="G2353" s="3" t="s">
        <v>20</v>
      </c>
      <c r="H2353" s="2" t="s">
        <v>21</v>
      </c>
      <c r="I2353" s="2" t="s">
        <v>5022</v>
      </c>
      <c r="J2353" s="3" t="str">
        <f>HYPERLINK("https://www.boe.es/gazeta/dias/1821/03/31/pdfs/GMD-1821-92.pdf#page=3","Abrir facsímil")</f>
        <v>Abrir facsímil</v>
      </c>
      <c r="K2353" s="3" t="s">
        <v>23</v>
      </c>
    </row>
    <row r="2354" spans="1:11" ht="42" customHeight="1">
      <c r="A2354" s="2" t="s">
        <v>5021</v>
      </c>
      <c r="B2354" s="2" t="s">
        <v>5021</v>
      </c>
      <c r="C2354" s="2" t="s">
        <v>40</v>
      </c>
      <c r="D2354" s="2" t="s">
        <v>41</v>
      </c>
      <c r="E2354" s="5">
        <v>-28736</v>
      </c>
      <c r="F2354" s="3" t="s">
        <v>464</v>
      </c>
      <c r="G2354" s="3" t="s">
        <v>52</v>
      </c>
      <c r="H2354" s="2" t="s">
        <v>21</v>
      </c>
      <c r="I2354" s="2" t="s">
        <v>5023</v>
      </c>
      <c r="J2354" s="3" t="str">
        <f>HYPERLINK("https://www.boe.es/gazeta/dias/1821/04/27/pdfs/GMD-1821-119.pdf#page=2","Abrir facsímil")</f>
        <v>Abrir facsímil</v>
      </c>
      <c r="K2354" s="3" t="s">
        <v>23</v>
      </c>
    </row>
    <row r="2355" spans="1:11" ht="42" customHeight="1">
      <c r="A2355" s="2" t="s">
        <v>5021</v>
      </c>
      <c r="B2355" s="2" t="s">
        <v>5021</v>
      </c>
      <c r="C2355" s="2" t="s">
        <v>17</v>
      </c>
      <c r="D2355" s="2" t="s">
        <v>18</v>
      </c>
      <c r="E2355" s="5">
        <v>-28583</v>
      </c>
      <c r="F2355" s="3" t="s">
        <v>2668</v>
      </c>
      <c r="G2355" s="3" t="s">
        <v>88</v>
      </c>
      <c r="H2355" s="2" t="s">
        <v>21</v>
      </c>
      <c r="I2355" s="2" t="s">
        <v>5024</v>
      </c>
      <c r="J2355" s="3" t="str">
        <f>HYPERLINK("https://www.boe.es/gazeta/dias/1821/09/27/pdfs/GMD-1821-275.pdf#page=4","Abrir facsímil")</f>
        <v>Abrir facsímil</v>
      </c>
      <c r="K2355" s="3" t="s">
        <v>23</v>
      </c>
    </row>
    <row r="2356" spans="1:11" ht="42" customHeight="1">
      <c r="A2356" s="2" t="s">
        <v>5021</v>
      </c>
      <c r="B2356" s="2" t="s">
        <v>5021</v>
      </c>
      <c r="C2356" s="2" t="s">
        <v>174</v>
      </c>
      <c r="D2356" s="2" t="s">
        <v>27</v>
      </c>
      <c r="E2356" s="5">
        <v>-28520</v>
      </c>
      <c r="F2356" s="3" t="s">
        <v>878</v>
      </c>
      <c r="G2356" s="3" t="s">
        <v>52</v>
      </c>
      <c r="H2356" s="2" t="s">
        <v>21</v>
      </c>
      <c r="I2356" s="2" t="s">
        <v>5025</v>
      </c>
      <c r="J2356" s="3" t="str">
        <f>HYPERLINK("https://www.boe.es/gazeta/dias/1821/11/29/pdfs/GMD-1821-341.pdf#page=2","Abrir facsímil")</f>
        <v>Abrir facsímil</v>
      </c>
      <c r="K2356" s="3" t="s">
        <v>23</v>
      </c>
    </row>
    <row r="2357" spans="1:11" ht="42" customHeight="1">
      <c r="A2357" s="2" t="s">
        <v>5021</v>
      </c>
      <c r="B2357" s="2" t="s">
        <v>5021</v>
      </c>
      <c r="C2357" s="2" t="s">
        <v>17</v>
      </c>
      <c r="D2357" s="2" t="s">
        <v>18</v>
      </c>
      <c r="E2357" s="5">
        <v>-28510</v>
      </c>
      <c r="F2357" s="3" t="s">
        <v>83</v>
      </c>
      <c r="G2357" s="3" t="s">
        <v>20</v>
      </c>
      <c r="H2357" s="2" t="s">
        <v>21</v>
      </c>
      <c r="I2357" s="2" t="s">
        <v>5026</v>
      </c>
      <c r="J2357" s="3" t="str">
        <f>HYPERLINK("https://www.boe.es/gazeta/dias/1821/12/09/pdfs/GMD-1821-351.pdf#page=3","Abrir facsímil")</f>
        <v>Abrir facsímil</v>
      </c>
      <c r="K2357" s="3" t="s">
        <v>23</v>
      </c>
    </row>
    <row r="2358" spans="1:11" ht="42" customHeight="1">
      <c r="A2358" s="2" t="s">
        <v>5021</v>
      </c>
      <c r="B2358" s="2" t="s">
        <v>5021</v>
      </c>
      <c r="C2358" s="2" t="s">
        <v>26</v>
      </c>
      <c r="D2358" s="2" t="s">
        <v>27</v>
      </c>
      <c r="E2358" s="5">
        <v>-28510</v>
      </c>
      <c r="F2358" s="3" t="s">
        <v>83</v>
      </c>
      <c r="G2358" s="3" t="s">
        <v>88</v>
      </c>
      <c r="H2358" s="2" t="s">
        <v>21</v>
      </c>
      <c r="I2358" s="2" t="s">
        <v>5027</v>
      </c>
      <c r="J2358" s="3" t="str">
        <f>HYPERLINK("https://www.boe.es/gazeta/dias/1821/12/09/pdfs/GMD-1821-351.pdf#page=4","Abrir facsímil")</f>
        <v>Abrir facsímil</v>
      </c>
      <c r="K2358" s="3" t="s">
        <v>23</v>
      </c>
    </row>
    <row r="2359" spans="1:11" ht="42" customHeight="1">
      <c r="A2359" s="2" t="s">
        <v>5028</v>
      </c>
      <c r="B2359" s="2" t="s">
        <v>5028</v>
      </c>
      <c r="C2359" s="2" t="s">
        <v>26</v>
      </c>
      <c r="D2359" s="2" t="s">
        <v>27</v>
      </c>
      <c r="E2359" s="5">
        <v>-28510</v>
      </c>
      <c r="F2359" s="3" t="s">
        <v>83</v>
      </c>
      <c r="G2359" s="3" t="s">
        <v>88</v>
      </c>
      <c r="H2359" s="2" t="s">
        <v>21</v>
      </c>
      <c r="I2359" s="2" t="s">
        <v>5029</v>
      </c>
      <c r="J2359" s="3" t="str">
        <f>HYPERLINK("https://www.boe.es/gazeta/dias/1821/12/09/pdfs/GMD-1821-351.pdf#page=4","Abrir facsímil")</f>
        <v>Abrir facsímil</v>
      </c>
      <c r="K2359" s="3" t="s">
        <v>23</v>
      </c>
    </row>
    <row r="2360" spans="1:11" ht="42" customHeight="1">
      <c r="A2360" s="2" t="s">
        <v>5030</v>
      </c>
      <c r="B2360" s="2" t="s">
        <v>5030</v>
      </c>
      <c r="C2360" s="2" t="s">
        <v>174</v>
      </c>
      <c r="D2360" s="2" t="s">
        <v>27</v>
      </c>
      <c r="E2360" s="5">
        <v>-28790</v>
      </c>
      <c r="F2360" s="3" t="s">
        <v>991</v>
      </c>
      <c r="G2360" s="3" t="s">
        <v>88</v>
      </c>
      <c r="H2360" s="2" t="s">
        <v>21</v>
      </c>
      <c r="I2360" s="2" t="s">
        <v>5031</v>
      </c>
      <c r="J2360" s="3" t="str">
        <f>HYPERLINK("https://www.boe.es/gazeta/dias/1821/03/04/pdfs/GGB-1821-63.pdf#page=4","Abrir facsímil")</f>
        <v>Abrir facsímil</v>
      </c>
      <c r="K2360" s="3" t="s">
        <v>23</v>
      </c>
    </row>
    <row r="2361" spans="1:11" ht="42" customHeight="1">
      <c r="A2361" s="2" t="s">
        <v>5030</v>
      </c>
      <c r="B2361" s="2" t="s">
        <v>5030</v>
      </c>
      <c r="C2361" s="2" t="s">
        <v>17</v>
      </c>
      <c r="D2361" s="2" t="s">
        <v>18</v>
      </c>
      <c r="E2361" s="5">
        <v>-28783</v>
      </c>
      <c r="F2361" s="3" t="s">
        <v>198</v>
      </c>
      <c r="G2361" s="3" t="s">
        <v>88</v>
      </c>
      <c r="H2361" s="2" t="s">
        <v>21</v>
      </c>
      <c r="I2361" s="2" t="s">
        <v>5032</v>
      </c>
      <c r="J2361" s="3" t="str">
        <f>HYPERLINK("https://www.boe.es/gazeta/dias/1821/03/11/pdfs/GGB-1821-70.pdf#page=4","Abrir facsímil")</f>
        <v>Abrir facsímil</v>
      </c>
      <c r="K2361" s="3" t="s">
        <v>23</v>
      </c>
    </row>
    <row r="2362" spans="1:11" ht="42" customHeight="1">
      <c r="A2362" s="2" t="s">
        <v>5030</v>
      </c>
      <c r="B2362" s="2" t="s">
        <v>5030</v>
      </c>
      <c r="C2362" s="2" t="s">
        <v>26</v>
      </c>
      <c r="D2362" s="2" t="s">
        <v>27</v>
      </c>
      <c r="E2362" s="5">
        <v>-28778</v>
      </c>
      <c r="F2362" s="3" t="s">
        <v>1301</v>
      </c>
      <c r="G2362" s="3" t="s">
        <v>88</v>
      </c>
      <c r="H2362" s="2" t="s">
        <v>21</v>
      </c>
      <c r="I2362" s="2" t="s">
        <v>5033</v>
      </c>
      <c r="J2362" s="3" t="str">
        <f>HYPERLINK("https://www.boe.es/gazeta/dias/1821/03/16/pdfs/GMD-1821-75.pdf#page=4","Abrir facsímil")</f>
        <v>Abrir facsímil</v>
      </c>
      <c r="K2362" s="3" t="s">
        <v>23</v>
      </c>
    </row>
    <row r="2363" spans="1:11" ht="42" customHeight="1">
      <c r="A2363" s="2" t="s">
        <v>5030</v>
      </c>
      <c r="B2363" s="2" t="s">
        <v>5030</v>
      </c>
      <c r="C2363" s="2" t="s">
        <v>40</v>
      </c>
      <c r="D2363" s="2" t="s">
        <v>41</v>
      </c>
      <c r="E2363" s="5">
        <v>-28772</v>
      </c>
      <c r="F2363" s="3" t="s">
        <v>62</v>
      </c>
      <c r="G2363" s="3" t="s">
        <v>88</v>
      </c>
      <c r="H2363" s="2" t="s">
        <v>21</v>
      </c>
      <c r="I2363" s="2" t="s">
        <v>5034</v>
      </c>
      <c r="J2363" s="3" t="str">
        <f>HYPERLINK("https://www.boe.es/gazeta/dias/1821/03/22/pdfs/GMD-1821-81.pdf#page=4","Abrir facsímil")</f>
        <v>Abrir facsímil</v>
      </c>
      <c r="K2363" s="3" t="s">
        <v>23</v>
      </c>
    </row>
    <row r="2364" spans="1:11" ht="42" customHeight="1">
      <c r="A2364" s="2" t="s">
        <v>5030</v>
      </c>
      <c r="B2364" s="2" t="s">
        <v>5030</v>
      </c>
      <c r="C2364" s="2" t="s">
        <v>35</v>
      </c>
      <c r="D2364" s="2" t="s">
        <v>27</v>
      </c>
      <c r="E2364" s="5">
        <v>-28770</v>
      </c>
      <c r="F2364" s="3" t="s">
        <v>1009</v>
      </c>
      <c r="G2364" s="3" t="s">
        <v>88</v>
      </c>
      <c r="H2364" s="2" t="s">
        <v>21</v>
      </c>
      <c r="I2364" s="2" t="s">
        <v>5035</v>
      </c>
      <c r="J2364" s="3" t="str">
        <f>HYPERLINK("https://www.boe.es/gazeta/dias/1821/03/24/pdfs/GMD-1821-84.pdf#page=4","Abrir facsímil")</f>
        <v>Abrir facsímil</v>
      </c>
      <c r="K2364" s="3" t="s">
        <v>23</v>
      </c>
    </row>
    <row r="2365" spans="1:11" ht="42" customHeight="1">
      <c r="A2365" s="2" t="s">
        <v>5030</v>
      </c>
      <c r="B2365" s="2" t="s">
        <v>5030</v>
      </c>
      <c r="C2365" s="2" t="s">
        <v>40</v>
      </c>
      <c r="D2365" s="2" t="s">
        <v>41</v>
      </c>
      <c r="E2365" s="5">
        <v>-28763</v>
      </c>
      <c r="F2365" s="3" t="s">
        <v>1145</v>
      </c>
      <c r="G2365" s="3" t="s">
        <v>88</v>
      </c>
      <c r="H2365" s="2" t="s">
        <v>21</v>
      </c>
      <c r="I2365" s="2" t="s">
        <v>5036</v>
      </c>
      <c r="J2365" s="3" t="str">
        <f>HYPERLINK("https://www.boe.es/gazeta/dias/1821/03/31/pdfs/GMD-1821-92.pdf#page=4","Abrir facsímil")</f>
        <v>Abrir facsímil</v>
      </c>
      <c r="K2365" s="3" t="s">
        <v>23</v>
      </c>
    </row>
    <row r="2366" spans="1:11" ht="42" customHeight="1">
      <c r="A2366" s="2" t="s">
        <v>5030</v>
      </c>
      <c r="B2366" s="2" t="s">
        <v>5030</v>
      </c>
      <c r="C2366" s="2" t="s">
        <v>35</v>
      </c>
      <c r="D2366" s="2" t="s">
        <v>27</v>
      </c>
      <c r="E2366" s="5">
        <v>-28751</v>
      </c>
      <c r="F2366" s="3" t="s">
        <v>356</v>
      </c>
      <c r="G2366" s="3" t="s">
        <v>52</v>
      </c>
      <c r="H2366" s="2" t="s">
        <v>21</v>
      </c>
      <c r="I2366" s="2" t="s">
        <v>5037</v>
      </c>
      <c r="J2366" s="3" t="str">
        <f>HYPERLINK("https://www.boe.es/gazeta/dias/1821/04/12/pdfs/GMD-1821-104.pdf#page=2","Abrir facsímil")</f>
        <v>Abrir facsímil</v>
      </c>
      <c r="K2366" s="3" t="s">
        <v>23</v>
      </c>
    </row>
    <row r="2367" spans="1:11" ht="42" customHeight="1">
      <c r="A2367" s="2" t="s">
        <v>5030</v>
      </c>
      <c r="B2367" s="2" t="s">
        <v>5030</v>
      </c>
      <c r="C2367" s="2" t="s">
        <v>35</v>
      </c>
      <c r="D2367" s="2" t="s">
        <v>27</v>
      </c>
      <c r="E2367" s="5">
        <v>-28749</v>
      </c>
      <c r="F2367" s="3" t="s">
        <v>832</v>
      </c>
      <c r="G2367" s="3" t="s">
        <v>20</v>
      </c>
      <c r="H2367" s="2" t="s">
        <v>21</v>
      </c>
      <c r="I2367" s="2" t="s">
        <v>5038</v>
      </c>
      <c r="J2367" s="3" t="str">
        <f>HYPERLINK("https://www.boe.es/gazeta/dias/1821/04/14/pdfs/GMD-1821-106.pdf#page=3","Abrir facsímil")</f>
        <v>Abrir facsímil</v>
      </c>
      <c r="K2367" s="3" t="s">
        <v>23</v>
      </c>
    </row>
    <row r="2368" spans="1:11" ht="42" customHeight="1">
      <c r="A2368" s="2" t="s">
        <v>5030</v>
      </c>
      <c r="B2368" s="2" t="s">
        <v>5030</v>
      </c>
      <c r="C2368" s="2" t="s">
        <v>40</v>
      </c>
      <c r="D2368" s="2" t="s">
        <v>41</v>
      </c>
      <c r="E2368" s="5">
        <v>-28749</v>
      </c>
      <c r="F2368" s="3" t="s">
        <v>832</v>
      </c>
      <c r="G2368" s="3" t="s">
        <v>88</v>
      </c>
      <c r="H2368" s="2" t="s">
        <v>21</v>
      </c>
      <c r="I2368" s="2" t="s">
        <v>5039</v>
      </c>
      <c r="J2368" s="3" t="str">
        <f>HYPERLINK("https://www.boe.es/gazeta/dias/1821/04/14/pdfs/GMD-1821-106.pdf#page=4","Abrir facsímil")</f>
        <v>Abrir facsímil</v>
      </c>
      <c r="K2368" s="3" t="s">
        <v>23</v>
      </c>
    </row>
    <row r="2369" spans="1:11" ht="42" customHeight="1">
      <c r="A2369" s="2" t="s">
        <v>5030</v>
      </c>
      <c r="B2369" s="2" t="s">
        <v>5030</v>
      </c>
      <c r="C2369" s="2" t="s">
        <v>40</v>
      </c>
      <c r="D2369" s="2" t="s">
        <v>41</v>
      </c>
      <c r="E2369" s="5">
        <v>-28747</v>
      </c>
      <c r="F2369" s="3" t="s">
        <v>1016</v>
      </c>
      <c r="G2369" s="3" t="s">
        <v>88</v>
      </c>
      <c r="H2369" s="2" t="s">
        <v>21</v>
      </c>
      <c r="I2369" s="2" t="s">
        <v>5040</v>
      </c>
      <c r="J2369" s="3" t="str">
        <f>HYPERLINK("https://www.boe.es/gazeta/dias/1821/04/16/pdfs/GMD-1821-108.pdf#page=4","Abrir facsímil")</f>
        <v>Abrir facsímil</v>
      </c>
      <c r="K2369" s="3" t="s">
        <v>23</v>
      </c>
    </row>
    <row r="2370" spans="1:11" ht="42" customHeight="1">
      <c r="A2370" s="2" t="s">
        <v>5030</v>
      </c>
      <c r="B2370" s="2" t="s">
        <v>5030</v>
      </c>
      <c r="C2370" s="2" t="s">
        <v>40</v>
      </c>
      <c r="D2370" s="2" t="s">
        <v>41</v>
      </c>
      <c r="E2370" s="5">
        <v>-28746</v>
      </c>
      <c r="F2370" s="3" t="s">
        <v>687</v>
      </c>
      <c r="G2370" s="3" t="s">
        <v>29</v>
      </c>
      <c r="H2370" s="2" t="s">
        <v>21</v>
      </c>
      <c r="I2370" s="2" t="s">
        <v>5041</v>
      </c>
      <c r="J2370" s="3" t="str">
        <f>HYPERLINK("https://www.boe.es/gazeta/dias/1821/04/17/pdfs/GMD-1821-109.pdf#page=6","Abrir facsímil")</f>
        <v>Abrir facsímil</v>
      </c>
      <c r="K2370" s="3" t="s">
        <v>23</v>
      </c>
    </row>
    <row r="2371" spans="1:11" ht="42" customHeight="1">
      <c r="A2371" s="2" t="s">
        <v>5030</v>
      </c>
      <c r="B2371" s="2" t="s">
        <v>5030</v>
      </c>
      <c r="C2371" s="2" t="s">
        <v>26</v>
      </c>
      <c r="D2371" s="2" t="s">
        <v>27</v>
      </c>
      <c r="E2371" s="5">
        <v>-28745</v>
      </c>
      <c r="F2371" s="3" t="s">
        <v>1020</v>
      </c>
      <c r="G2371" s="3" t="s">
        <v>20</v>
      </c>
      <c r="H2371" s="2" t="s">
        <v>21</v>
      </c>
      <c r="I2371" s="2" t="s">
        <v>5042</v>
      </c>
      <c r="J2371" s="3" t="str">
        <f>HYPERLINK("https://www.boe.es/gazeta/dias/1821/04/18/pdfs/GMD-1821-110.pdf#page=3","Abrir facsímil")</f>
        <v>Abrir facsímil</v>
      </c>
      <c r="K2371" s="3" t="s">
        <v>23</v>
      </c>
    </row>
    <row r="2372" spans="1:11" ht="42" customHeight="1">
      <c r="A2372" s="2" t="s">
        <v>5030</v>
      </c>
      <c r="B2372" s="2" t="s">
        <v>5030</v>
      </c>
      <c r="C2372" s="2" t="s">
        <v>35</v>
      </c>
      <c r="D2372" s="2" t="s">
        <v>27</v>
      </c>
      <c r="E2372" s="5">
        <v>-28735</v>
      </c>
      <c r="F2372" s="3" t="s">
        <v>836</v>
      </c>
      <c r="G2372" s="3" t="s">
        <v>88</v>
      </c>
      <c r="H2372" s="2" t="s">
        <v>21</v>
      </c>
      <c r="I2372" s="2" t="s">
        <v>5043</v>
      </c>
      <c r="J2372" s="3" t="str">
        <f>HYPERLINK("https://www.boe.es/gazeta/dias/1821/04/28/pdfs/GMD-1821-120.pdf#page=4","Abrir facsímil")</f>
        <v>Abrir facsímil</v>
      </c>
      <c r="K2372" s="3" t="s">
        <v>23</v>
      </c>
    </row>
    <row r="2373" spans="1:11" ht="42" customHeight="1">
      <c r="A2373" s="2" t="s">
        <v>5030</v>
      </c>
      <c r="B2373" s="2" t="s">
        <v>5030</v>
      </c>
      <c r="C2373" s="2" t="s">
        <v>17</v>
      </c>
      <c r="D2373" s="2" t="s">
        <v>18</v>
      </c>
      <c r="E2373" s="5">
        <v>-28730</v>
      </c>
      <c r="F2373" s="3" t="s">
        <v>747</v>
      </c>
      <c r="G2373" s="3" t="s">
        <v>20</v>
      </c>
      <c r="H2373" s="2" t="s">
        <v>21</v>
      </c>
      <c r="I2373" s="2" t="s">
        <v>5044</v>
      </c>
      <c r="J2373" s="3" t="str">
        <f>HYPERLINK("https://www.boe.es/gazeta/dias/1821/05/03/pdfs/GMD-1821-125.pdf#page=3","Abrir facsímil")</f>
        <v>Abrir facsímil</v>
      </c>
      <c r="K2373" s="3" t="s">
        <v>23</v>
      </c>
    </row>
    <row r="2374" spans="1:11" ht="42" customHeight="1">
      <c r="A2374" s="2" t="s">
        <v>5030</v>
      </c>
      <c r="B2374" s="2" t="s">
        <v>5030</v>
      </c>
      <c r="C2374" s="2" t="s">
        <v>40</v>
      </c>
      <c r="D2374" s="2" t="s">
        <v>41</v>
      </c>
      <c r="E2374" s="5">
        <v>-28730</v>
      </c>
      <c r="F2374" s="3" t="s">
        <v>747</v>
      </c>
      <c r="G2374" s="3" t="s">
        <v>88</v>
      </c>
      <c r="H2374" s="2" t="s">
        <v>21</v>
      </c>
      <c r="I2374" s="2" t="s">
        <v>5045</v>
      </c>
      <c r="J2374" s="3" t="str">
        <f>HYPERLINK("https://www.boe.es/gazeta/dias/1821/05/03/pdfs/GMD-1821-125.pdf#page=4","Abrir facsímil")</f>
        <v>Abrir facsímil</v>
      </c>
      <c r="K2374" s="3" t="s">
        <v>23</v>
      </c>
    </row>
    <row r="2375" spans="1:11" ht="42" customHeight="1">
      <c r="A2375" s="2" t="s">
        <v>5030</v>
      </c>
      <c r="B2375" s="2" t="s">
        <v>5030</v>
      </c>
      <c r="C2375" s="2" t="s">
        <v>35</v>
      </c>
      <c r="D2375" s="2" t="s">
        <v>27</v>
      </c>
      <c r="E2375" s="5">
        <v>-28729</v>
      </c>
      <c r="F2375" s="3" t="s">
        <v>838</v>
      </c>
      <c r="G2375" s="3" t="s">
        <v>20</v>
      </c>
      <c r="H2375" s="2" t="s">
        <v>21</v>
      </c>
      <c r="I2375" s="2" t="s">
        <v>5046</v>
      </c>
      <c r="J2375" s="3" t="str">
        <f>HYPERLINK("https://www.boe.es/gazeta/dias/1821/05/04/pdfs/GMD-1821-126.pdf#page=3","Abrir facsímil")</f>
        <v>Abrir facsímil</v>
      </c>
      <c r="K2375" s="3" t="s">
        <v>23</v>
      </c>
    </row>
    <row r="2376" spans="1:11" ht="42" customHeight="1">
      <c r="A2376" s="2" t="s">
        <v>5030</v>
      </c>
      <c r="B2376" s="2" t="s">
        <v>5030</v>
      </c>
      <c r="C2376" s="2" t="s">
        <v>40</v>
      </c>
      <c r="D2376" s="2" t="s">
        <v>41</v>
      </c>
      <c r="E2376" s="5">
        <v>-28720</v>
      </c>
      <c r="F2376" s="3" t="s">
        <v>492</v>
      </c>
      <c r="G2376" s="3" t="s">
        <v>52</v>
      </c>
      <c r="H2376" s="2" t="s">
        <v>21</v>
      </c>
      <c r="I2376" s="2" t="s">
        <v>5047</v>
      </c>
      <c r="J2376" s="3" t="str">
        <f>HYPERLINK("https://www.boe.es/gazeta/dias/1821/05/13/pdfs/GMD-1821-135.pdf#page=2","Abrir facsímil")</f>
        <v>Abrir facsímil</v>
      </c>
      <c r="K2376" s="3" t="s">
        <v>23</v>
      </c>
    </row>
    <row r="2377" spans="1:11" ht="42" customHeight="1">
      <c r="A2377" s="2" t="s">
        <v>5030</v>
      </c>
      <c r="B2377" s="2" t="s">
        <v>5030</v>
      </c>
      <c r="C2377" s="2" t="s">
        <v>40</v>
      </c>
      <c r="D2377" s="2" t="s">
        <v>41</v>
      </c>
      <c r="E2377" s="5">
        <v>-28719</v>
      </c>
      <c r="F2377" s="3" t="s">
        <v>647</v>
      </c>
      <c r="G2377" s="3" t="s">
        <v>20</v>
      </c>
      <c r="H2377" s="2" t="s">
        <v>21</v>
      </c>
      <c r="I2377" s="2" t="s">
        <v>5048</v>
      </c>
      <c r="J2377" s="3" t="str">
        <f>HYPERLINK("https://www.boe.es/gazeta/dias/1821/05/14/pdfs/GMD-1821-136.pdf#page=3","Abrir facsímil")</f>
        <v>Abrir facsímil</v>
      </c>
      <c r="K2377" s="3" t="s">
        <v>23</v>
      </c>
    </row>
    <row r="2378" spans="1:11" ht="42" customHeight="1">
      <c r="A2378" s="2" t="s">
        <v>5030</v>
      </c>
      <c r="B2378" s="2" t="s">
        <v>5030</v>
      </c>
      <c r="C2378" s="2" t="s">
        <v>17</v>
      </c>
      <c r="D2378" s="2" t="s">
        <v>18</v>
      </c>
      <c r="E2378" s="5">
        <v>-28710</v>
      </c>
      <c r="F2378" s="3" t="s">
        <v>375</v>
      </c>
      <c r="G2378" s="3" t="s">
        <v>52</v>
      </c>
      <c r="H2378" s="2" t="s">
        <v>21</v>
      </c>
      <c r="I2378" s="2" t="s">
        <v>5049</v>
      </c>
      <c r="J2378" s="3" t="str">
        <f>HYPERLINK("https://www.boe.es/gazeta/dias/1821/05/23/pdfs/GMD-1821-145.pdf#page=2","Abrir facsímil")</f>
        <v>Abrir facsímil</v>
      </c>
      <c r="K2378" s="3" t="s">
        <v>23</v>
      </c>
    </row>
    <row r="2379" spans="1:11" ht="42" customHeight="1">
      <c r="A2379" s="2" t="s">
        <v>5030</v>
      </c>
      <c r="B2379" s="2" t="s">
        <v>5030</v>
      </c>
      <c r="C2379" s="2" t="s">
        <v>26</v>
      </c>
      <c r="D2379" s="2" t="s">
        <v>27</v>
      </c>
      <c r="E2379" s="5">
        <v>-28696</v>
      </c>
      <c r="F2379" s="3" t="s">
        <v>497</v>
      </c>
      <c r="G2379" s="3" t="s">
        <v>20</v>
      </c>
      <c r="H2379" s="2" t="s">
        <v>21</v>
      </c>
      <c r="I2379" s="2" t="s">
        <v>5050</v>
      </c>
      <c r="J2379" s="3" t="str">
        <f>HYPERLINK("https://www.boe.es/gazeta/dias/1821/06/06/pdfs/GMD-1821-159.pdf#page=3","Abrir facsímil")</f>
        <v>Abrir facsímil</v>
      </c>
      <c r="K2379" s="3" t="s">
        <v>23</v>
      </c>
    </row>
    <row r="2380" spans="1:11" ht="42" customHeight="1">
      <c r="A2380" s="2" t="s">
        <v>5030</v>
      </c>
      <c r="B2380" s="2" t="s">
        <v>5030</v>
      </c>
      <c r="C2380" s="2" t="s">
        <v>17</v>
      </c>
      <c r="D2380" s="2" t="s">
        <v>18</v>
      </c>
      <c r="E2380" s="5">
        <v>-28696</v>
      </c>
      <c r="F2380" s="3" t="s">
        <v>497</v>
      </c>
      <c r="G2380" s="3" t="s">
        <v>88</v>
      </c>
      <c r="H2380" s="2" t="s">
        <v>21</v>
      </c>
      <c r="I2380" s="2" t="s">
        <v>5051</v>
      </c>
      <c r="J2380" s="3" t="str">
        <f>HYPERLINK("https://www.boe.es/gazeta/dias/1821/06/06/pdfs/GMD-1821-159.pdf#page=4","Abrir facsímil")</f>
        <v>Abrir facsímil</v>
      </c>
      <c r="K2380" s="3" t="s">
        <v>23</v>
      </c>
    </row>
    <row r="2381" spans="1:11" ht="42" customHeight="1">
      <c r="A2381" s="2" t="s">
        <v>5030</v>
      </c>
      <c r="B2381" s="2" t="s">
        <v>5030</v>
      </c>
      <c r="C2381" s="2" t="s">
        <v>70</v>
      </c>
      <c r="D2381" s="2" t="s">
        <v>27</v>
      </c>
      <c r="E2381" s="5">
        <v>-28694</v>
      </c>
      <c r="F2381" s="3" t="s">
        <v>1057</v>
      </c>
      <c r="G2381" s="3" t="s">
        <v>20</v>
      </c>
      <c r="H2381" s="2" t="s">
        <v>21</v>
      </c>
      <c r="I2381" s="2" t="s">
        <v>5052</v>
      </c>
      <c r="J2381" s="3" t="str">
        <f>HYPERLINK("https://www.boe.es/gazeta/dias/1821/06/08/pdfs/GMD-1821-161.pdf#page=3","Abrir facsímil")</f>
        <v>Abrir facsímil</v>
      </c>
      <c r="K2381" s="3" t="s">
        <v>23</v>
      </c>
    </row>
    <row r="2382" spans="1:11" ht="42" customHeight="1">
      <c r="A2382" s="2" t="s">
        <v>5030</v>
      </c>
      <c r="B2382" s="2" t="s">
        <v>5030</v>
      </c>
      <c r="C2382" s="2" t="s">
        <v>17</v>
      </c>
      <c r="D2382" s="2" t="s">
        <v>18</v>
      </c>
      <c r="E2382" s="5">
        <v>-28689</v>
      </c>
      <c r="F2382" s="3" t="s">
        <v>194</v>
      </c>
      <c r="G2382" s="3" t="s">
        <v>20</v>
      </c>
      <c r="H2382" s="2" t="s">
        <v>21</v>
      </c>
      <c r="I2382" s="2" t="s">
        <v>5053</v>
      </c>
      <c r="J2382" s="3" t="str">
        <f>HYPERLINK("https://www.boe.es/gazeta/dias/1821/06/13/pdfs/GMD-1821-166.pdf#page=3","Abrir facsímil")</f>
        <v>Abrir facsímil</v>
      </c>
      <c r="K2382" s="3" t="s">
        <v>23</v>
      </c>
    </row>
    <row r="2383" spans="1:11" ht="42" customHeight="1">
      <c r="A2383" s="2" t="s">
        <v>5030</v>
      </c>
      <c r="B2383" s="2" t="s">
        <v>5030</v>
      </c>
      <c r="C2383" s="2" t="s">
        <v>40</v>
      </c>
      <c r="D2383" s="2" t="s">
        <v>41</v>
      </c>
      <c r="E2383" s="5">
        <v>-28689</v>
      </c>
      <c r="F2383" s="3" t="s">
        <v>194</v>
      </c>
      <c r="G2383" s="3" t="s">
        <v>88</v>
      </c>
      <c r="H2383" s="2" t="s">
        <v>21</v>
      </c>
      <c r="I2383" s="2" t="s">
        <v>5054</v>
      </c>
      <c r="J2383" s="3" t="str">
        <f>HYPERLINK("https://www.boe.es/gazeta/dias/1821/06/13/pdfs/GMD-1821-166.pdf#page=4","Abrir facsímil")</f>
        <v>Abrir facsímil</v>
      </c>
      <c r="K2383" s="3" t="s">
        <v>23</v>
      </c>
    </row>
    <row r="2384" spans="1:11" ht="42" customHeight="1">
      <c r="A2384" s="2" t="s">
        <v>5030</v>
      </c>
      <c r="B2384" s="2" t="s">
        <v>5030</v>
      </c>
      <c r="C2384" s="2" t="s">
        <v>40</v>
      </c>
      <c r="D2384" s="2" t="s">
        <v>41</v>
      </c>
      <c r="E2384" s="5">
        <v>-28688</v>
      </c>
      <c r="F2384" s="3" t="s">
        <v>1504</v>
      </c>
      <c r="G2384" s="3" t="s">
        <v>20</v>
      </c>
      <c r="H2384" s="2" t="s">
        <v>21</v>
      </c>
      <c r="I2384" s="2" t="s">
        <v>5055</v>
      </c>
      <c r="J2384" s="3" t="str">
        <f>HYPERLINK("https://www.boe.es/gazeta/dias/1821/06/14/pdfs/GMD-1821-167.pdf#page=3","Abrir facsímil")</f>
        <v>Abrir facsímil</v>
      </c>
      <c r="K2384" s="3" t="s">
        <v>23</v>
      </c>
    </row>
    <row r="2385" spans="1:11" ht="42" customHeight="1">
      <c r="A2385" s="2" t="s">
        <v>5030</v>
      </c>
      <c r="B2385" s="2" t="s">
        <v>5030</v>
      </c>
      <c r="C2385" s="2" t="s">
        <v>35</v>
      </c>
      <c r="D2385" s="2" t="s">
        <v>27</v>
      </c>
      <c r="E2385" s="5">
        <v>-28687</v>
      </c>
      <c r="F2385" s="3" t="s">
        <v>851</v>
      </c>
      <c r="G2385" s="3" t="s">
        <v>20</v>
      </c>
      <c r="H2385" s="2" t="s">
        <v>21</v>
      </c>
      <c r="I2385" s="2" t="s">
        <v>5056</v>
      </c>
      <c r="J2385" s="3" t="str">
        <f>HYPERLINK("https://www.boe.es/gazeta/dias/1821/06/15/pdfs/GMD-1821-168.pdf#page=3","Abrir facsímil")</f>
        <v>Abrir facsímil</v>
      </c>
      <c r="K2385" s="3" t="s">
        <v>23</v>
      </c>
    </row>
    <row r="2386" spans="1:11" ht="42" customHeight="1">
      <c r="A2386" s="2" t="s">
        <v>5030</v>
      </c>
      <c r="B2386" s="2" t="s">
        <v>5030</v>
      </c>
      <c r="C2386" s="2" t="s">
        <v>35</v>
      </c>
      <c r="D2386" s="2" t="s">
        <v>27</v>
      </c>
      <c r="E2386" s="5">
        <v>-28685</v>
      </c>
      <c r="F2386" s="3" t="s">
        <v>303</v>
      </c>
      <c r="G2386" s="3" t="s">
        <v>52</v>
      </c>
      <c r="H2386" s="2" t="s">
        <v>21</v>
      </c>
      <c r="I2386" s="2" t="s">
        <v>5057</v>
      </c>
      <c r="J2386" s="3" t="str">
        <f>HYPERLINK("https://www.boe.es/gazeta/dias/1821/06/17/pdfs/GMD-1821-170.pdf#page=2","Abrir facsímil")</f>
        <v>Abrir facsímil</v>
      </c>
      <c r="K2386" s="3" t="s">
        <v>23</v>
      </c>
    </row>
    <row r="2387" spans="1:11" ht="42" customHeight="1">
      <c r="A2387" s="2" t="s">
        <v>5030</v>
      </c>
      <c r="B2387" s="2" t="s">
        <v>5030</v>
      </c>
      <c r="C2387" s="2" t="s">
        <v>70</v>
      </c>
      <c r="D2387" s="2" t="s">
        <v>27</v>
      </c>
      <c r="E2387" s="5">
        <v>-28675</v>
      </c>
      <c r="F2387" s="3" t="s">
        <v>943</v>
      </c>
      <c r="G2387" s="3" t="s">
        <v>20</v>
      </c>
      <c r="H2387" s="2" t="s">
        <v>21</v>
      </c>
      <c r="I2387" s="2" t="s">
        <v>5058</v>
      </c>
      <c r="J2387" s="3" t="str">
        <f>HYPERLINK("https://www.boe.es/gazeta/dias/1821/06/27/pdfs/GMD-1821-180.pdf#page=3","Abrir facsímil")</f>
        <v>Abrir facsímil</v>
      </c>
      <c r="K2387" s="3" t="s">
        <v>23</v>
      </c>
    </row>
    <row r="2388" spans="1:11" ht="42" customHeight="1">
      <c r="A2388" s="2" t="s">
        <v>5030</v>
      </c>
      <c r="B2388" s="2" t="s">
        <v>5030</v>
      </c>
      <c r="C2388" s="2" t="s">
        <v>40</v>
      </c>
      <c r="D2388" s="2" t="s">
        <v>41</v>
      </c>
      <c r="E2388" s="5">
        <v>-28671</v>
      </c>
      <c r="F2388" s="3" t="s">
        <v>5059</v>
      </c>
      <c r="G2388" s="3" t="s">
        <v>52</v>
      </c>
      <c r="H2388" s="2" t="s">
        <v>21</v>
      </c>
      <c r="I2388" s="2" t="s">
        <v>5060</v>
      </c>
      <c r="J2388" s="3" t="str">
        <f>HYPERLINK("https://www.boe.es/gazeta/dias/1821/07/01/pdfs/GMD-1821-185.pdf#page=2","Abrir facsímil")</f>
        <v>Abrir facsímil</v>
      </c>
      <c r="K2388" s="3" t="s">
        <v>23</v>
      </c>
    </row>
    <row r="2389" spans="1:11" ht="42" customHeight="1">
      <c r="A2389" s="2" t="s">
        <v>5030</v>
      </c>
      <c r="B2389" s="2" t="s">
        <v>5030</v>
      </c>
      <c r="C2389" s="2" t="s">
        <v>26</v>
      </c>
      <c r="D2389" s="2" t="s">
        <v>27</v>
      </c>
      <c r="E2389" s="5">
        <v>-28521</v>
      </c>
      <c r="F2389" s="3" t="s">
        <v>499</v>
      </c>
      <c r="G2389" s="3" t="s">
        <v>20</v>
      </c>
      <c r="H2389" s="2" t="s">
        <v>21</v>
      </c>
      <c r="I2389" s="2" t="s">
        <v>5061</v>
      </c>
      <c r="J2389" s="3" t="str">
        <f>HYPERLINK("https://www.boe.es/gazeta/dias/1821/11/28/pdfs/GMD-1821-340.pdf#page=3","Abrir facsímil")</f>
        <v>Abrir facsímil</v>
      </c>
      <c r="K2389" s="3" t="s">
        <v>23</v>
      </c>
    </row>
    <row r="2390" spans="1:11" ht="42" customHeight="1">
      <c r="A2390" s="2" t="s">
        <v>5030</v>
      </c>
      <c r="B2390" s="2" t="s">
        <v>5030</v>
      </c>
      <c r="C2390" s="2" t="s">
        <v>26</v>
      </c>
      <c r="D2390" s="2" t="s">
        <v>27</v>
      </c>
      <c r="E2390" s="5">
        <v>-28515</v>
      </c>
      <c r="F2390" s="3" t="s">
        <v>260</v>
      </c>
      <c r="G2390" s="3" t="s">
        <v>162</v>
      </c>
      <c r="H2390" s="2" t="s">
        <v>21</v>
      </c>
      <c r="I2390" s="2" t="s">
        <v>5062</v>
      </c>
      <c r="J2390" s="3" t="str">
        <f>HYPERLINK("https://www.boe.es/gazeta/dias/1821/12/04/pdfs/GMD-1821-346.pdf#page=5","Abrir facsímil")</f>
        <v>Abrir facsímil</v>
      </c>
      <c r="K2390" s="3" t="s">
        <v>23</v>
      </c>
    </row>
    <row r="2391" spans="1:11" ht="42" customHeight="1">
      <c r="A2391" s="2" t="s">
        <v>5030</v>
      </c>
      <c r="B2391" s="2" t="s">
        <v>5030</v>
      </c>
      <c r="C2391" s="2" t="s">
        <v>17</v>
      </c>
      <c r="D2391" s="2" t="s">
        <v>18</v>
      </c>
      <c r="E2391" s="5">
        <v>-28506</v>
      </c>
      <c r="F2391" s="3" t="s">
        <v>1095</v>
      </c>
      <c r="G2391" s="3" t="s">
        <v>20</v>
      </c>
      <c r="H2391" s="2" t="s">
        <v>21</v>
      </c>
      <c r="I2391" s="2" t="s">
        <v>5063</v>
      </c>
      <c r="J2391" s="3" t="str">
        <f>HYPERLINK("https://www.boe.es/gazeta/dias/1821/12/13/pdfs/GMD-1821-356.pdf#page=3","Abrir facsímil")</f>
        <v>Abrir facsímil</v>
      </c>
      <c r="K2391" s="3" t="s">
        <v>23</v>
      </c>
    </row>
    <row r="2392" spans="1:11" ht="42" customHeight="1">
      <c r="A2392" s="2" t="s">
        <v>5030</v>
      </c>
      <c r="B2392" s="2" t="s">
        <v>5030</v>
      </c>
      <c r="C2392" s="2" t="s">
        <v>17</v>
      </c>
      <c r="D2392" s="2" t="s">
        <v>18</v>
      </c>
      <c r="E2392" s="5">
        <v>-28505</v>
      </c>
      <c r="F2392" s="3" t="s">
        <v>567</v>
      </c>
      <c r="G2392" s="3" t="s">
        <v>52</v>
      </c>
      <c r="H2392" s="2" t="s">
        <v>21</v>
      </c>
      <c r="I2392" s="2" t="s">
        <v>5064</v>
      </c>
      <c r="J2392" s="3" t="str">
        <f>HYPERLINK("https://www.boe.es/gazeta/dias/1821/12/14/pdfs/GMD-1821-357.pdf#page=2","Abrir facsímil")</f>
        <v>Abrir facsímil</v>
      </c>
      <c r="K2392" s="3" t="s">
        <v>23</v>
      </c>
    </row>
    <row r="2393" spans="1:11" ht="42" customHeight="1">
      <c r="A2393" s="2" t="s">
        <v>5030</v>
      </c>
      <c r="B2393" s="2" t="s">
        <v>5030</v>
      </c>
      <c r="C2393" s="2" t="s">
        <v>40</v>
      </c>
      <c r="D2393" s="2" t="s">
        <v>41</v>
      </c>
      <c r="E2393" s="5">
        <v>-28492</v>
      </c>
      <c r="F2393" s="3" t="s">
        <v>1550</v>
      </c>
      <c r="G2393" s="3" t="s">
        <v>88</v>
      </c>
      <c r="H2393" s="2" t="s">
        <v>21</v>
      </c>
      <c r="I2393" s="2" t="s">
        <v>5065</v>
      </c>
      <c r="J2393" s="3" t="str">
        <f>HYPERLINK("https://www.boe.es/gazeta/dias/1821/12/27/pdfs/GMD-1821-370.pdf#page=4","Abrir facsímil")</f>
        <v>Abrir facsímil</v>
      </c>
      <c r="K2393" s="3" t="s">
        <v>23</v>
      </c>
    </row>
    <row r="2394" spans="1:11" ht="42" customHeight="1">
      <c r="A2394" s="2" t="s">
        <v>5066</v>
      </c>
      <c r="B2394" s="2" t="s">
        <v>5067</v>
      </c>
      <c r="C2394" s="2" t="s">
        <v>17</v>
      </c>
      <c r="D2394" s="2" t="s">
        <v>18</v>
      </c>
      <c r="E2394" s="5">
        <v>-28583</v>
      </c>
      <c r="F2394" s="3" t="s">
        <v>2668</v>
      </c>
      <c r="G2394" s="3" t="s">
        <v>88</v>
      </c>
      <c r="H2394" s="2" t="s">
        <v>21</v>
      </c>
      <c r="I2394" s="2" t="s">
        <v>5068</v>
      </c>
      <c r="J2394" s="3" t="str">
        <f>HYPERLINK("https://www.boe.es/gazeta/dias/1821/09/27/pdfs/GMD-1821-275.pdf#page=4","Abrir facsímil")</f>
        <v>Abrir facsímil</v>
      </c>
      <c r="K2394" s="3" t="s">
        <v>23</v>
      </c>
    </row>
    <row r="2395" spans="1:11" ht="42" customHeight="1">
      <c r="A2395" s="2" t="s">
        <v>5069</v>
      </c>
      <c r="B2395" s="2" t="s">
        <v>5069</v>
      </c>
      <c r="C2395" s="2" t="s">
        <v>40</v>
      </c>
      <c r="D2395" s="2" t="s">
        <v>41</v>
      </c>
      <c r="E2395" s="5">
        <v>-28589</v>
      </c>
      <c r="F2395" s="3" t="s">
        <v>3130</v>
      </c>
      <c r="G2395" s="3" t="s">
        <v>52</v>
      </c>
      <c r="H2395" s="2" t="s">
        <v>21</v>
      </c>
      <c r="I2395" s="2" t="s">
        <v>5070</v>
      </c>
      <c r="J2395" s="3" t="str">
        <f>HYPERLINK("https://www.boe.es/gazeta/dias/1821/09/21/pdfs/GMD-1821-269.pdf#page=2","Abrir facsímil")</f>
        <v>Abrir facsímil</v>
      </c>
      <c r="K2395" s="3" t="s">
        <v>23</v>
      </c>
    </row>
    <row r="2396" spans="1:11" ht="42" customHeight="1">
      <c r="A2396" s="2" t="s">
        <v>5071</v>
      </c>
      <c r="B2396" s="2" t="s">
        <v>5072</v>
      </c>
      <c r="C2396" s="2" t="s">
        <v>26</v>
      </c>
      <c r="D2396" s="2" t="s">
        <v>27</v>
      </c>
      <c r="E2396" s="5">
        <v>-28755</v>
      </c>
      <c r="F2396" s="3" t="s">
        <v>906</v>
      </c>
      <c r="G2396" s="3" t="s">
        <v>907</v>
      </c>
      <c r="H2396" s="2" t="s">
        <v>21</v>
      </c>
      <c r="I2396" s="2" t="s">
        <v>5073</v>
      </c>
      <c r="J2396" s="3" t="str">
        <f>HYPERLINK("https://www.boe.es/gazeta/dias/1821/04/08/pdfs/GMD-1821-100.pdf#page=4","Abrir facsímil")</f>
        <v>Abrir facsímil</v>
      </c>
      <c r="K2396" s="3" t="s">
        <v>23</v>
      </c>
    </row>
    <row r="2397" spans="1:11" ht="42" customHeight="1">
      <c r="A2397" s="2" t="s">
        <v>5074</v>
      </c>
      <c r="B2397" s="2" t="s">
        <v>5075</v>
      </c>
      <c r="C2397" s="2" t="s">
        <v>17</v>
      </c>
      <c r="D2397" s="2" t="s">
        <v>18</v>
      </c>
      <c r="E2397" s="5">
        <v>-28675</v>
      </c>
      <c r="F2397" s="3" t="s">
        <v>943</v>
      </c>
      <c r="G2397" s="3" t="s">
        <v>333</v>
      </c>
      <c r="H2397" s="2" t="s">
        <v>21</v>
      </c>
      <c r="I2397" s="2" t="s">
        <v>5076</v>
      </c>
      <c r="J2397" s="3" t="str">
        <f>HYPERLINK("https://www.boe.es/gazeta/dias/1821/06/27/pdfs/GMD-1821-180.pdf#page=8","Abrir facsímil")</f>
        <v>Abrir facsímil</v>
      </c>
      <c r="K2397" s="3" t="s">
        <v>23</v>
      </c>
    </row>
    <row r="2398" spans="1:11" ht="42" customHeight="1">
      <c r="A2398" s="2" t="s">
        <v>5077</v>
      </c>
      <c r="B2398" s="2" t="s">
        <v>5078</v>
      </c>
      <c r="C2398" s="2" t="s">
        <v>40</v>
      </c>
      <c r="D2398" s="2" t="s">
        <v>41</v>
      </c>
      <c r="E2398" s="5">
        <v>-28690</v>
      </c>
      <c r="F2398" s="3" t="s">
        <v>846</v>
      </c>
      <c r="G2398" s="3" t="s">
        <v>847</v>
      </c>
      <c r="H2398" s="2" t="s">
        <v>21</v>
      </c>
      <c r="I2398" s="2" t="s">
        <v>5079</v>
      </c>
      <c r="J2398" s="3" t="str">
        <f>HYPERLINK("https://www.boe.es/gazeta/dias/1821/06/12/pdfs/GMD-1821-165.pdf#page=2","Abrir facsímil")</f>
        <v>Abrir facsímil</v>
      </c>
      <c r="K2398" s="3" t="s">
        <v>23</v>
      </c>
    </row>
    <row r="2399" spans="1:11" ht="42" customHeight="1">
      <c r="A2399" s="2" t="s">
        <v>5080</v>
      </c>
      <c r="B2399" s="2" t="s">
        <v>5081</v>
      </c>
      <c r="C2399" s="2" t="s">
        <v>174</v>
      </c>
      <c r="D2399" s="2" t="s">
        <v>27</v>
      </c>
      <c r="E2399" s="5">
        <v>-28834</v>
      </c>
      <c r="F2399" s="3" t="s">
        <v>369</v>
      </c>
      <c r="G2399" s="3" t="s">
        <v>88</v>
      </c>
      <c r="H2399" s="2" t="s">
        <v>21</v>
      </c>
      <c r="I2399" s="2" t="s">
        <v>5082</v>
      </c>
      <c r="J2399" s="3" t="str">
        <f>HYPERLINK("https://www.boe.es/gazeta/dias/1821/01/19/pdfs/GGB-1821-19.pdf#page=4","Abrir facsímil")</f>
        <v>Abrir facsímil</v>
      </c>
      <c r="K2399" s="3" t="s">
        <v>23</v>
      </c>
    </row>
    <row r="2400" spans="1:11" ht="42" customHeight="1">
      <c r="A2400" s="2" t="s">
        <v>5083</v>
      </c>
      <c r="B2400" s="2" t="s">
        <v>5083</v>
      </c>
      <c r="C2400" s="2" t="s">
        <v>26</v>
      </c>
      <c r="D2400" s="2" t="s">
        <v>27</v>
      </c>
      <c r="E2400" s="5">
        <v>-28496</v>
      </c>
      <c r="F2400" s="3" t="s">
        <v>785</v>
      </c>
      <c r="G2400" s="3" t="s">
        <v>20</v>
      </c>
      <c r="H2400" s="2" t="s">
        <v>21</v>
      </c>
      <c r="I2400" s="2" t="s">
        <v>5084</v>
      </c>
      <c r="J2400" s="3" t="str">
        <f>HYPERLINK("https://www.boe.es/gazeta/dias/1821/12/23/pdfs/GMD-1821-366.pdf#page=3","Abrir facsímil")</f>
        <v>Abrir facsímil</v>
      </c>
      <c r="K2400" s="3" t="s">
        <v>23</v>
      </c>
    </row>
    <row r="2401" spans="1:11" ht="42" customHeight="1">
      <c r="A2401" s="2" t="s">
        <v>5085</v>
      </c>
      <c r="B2401" s="2" t="s">
        <v>5086</v>
      </c>
      <c r="C2401" s="2" t="s">
        <v>17</v>
      </c>
      <c r="D2401" s="2" t="s">
        <v>18</v>
      </c>
      <c r="E2401" s="5">
        <v>-28659</v>
      </c>
      <c r="F2401" s="3" t="s">
        <v>2850</v>
      </c>
      <c r="G2401" s="3" t="s">
        <v>5087</v>
      </c>
      <c r="H2401" s="2" t="s">
        <v>21</v>
      </c>
      <c r="I2401" s="2" t="s">
        <v>5088</v>
      </c>
      <c r="J2401" s="3" t="str">
        <f>HYPERLINK("https://www.boe.es/gazeta/dias/1821/07/13/pdfs/GMD-1821-198.pdf#page=4","Abrir facsímil")</f>
        <v>Abrir facsímil</v>
      </c>
      <c r="K2401" s="3" t="s">
        <v>23</v>
      </c>
    </row>
    <row r="2402" spans="1:11" ht="42" customHeight="1">
      <c r="A2402" s="2" t="s">
        <v>5089</v>
      </c>
      <c r="B2402" s="2" t="s">
        <v>5090</v>
      </c>
      <c r="C2402" s="2" t="s">
        <v>40</v>
      </c>
      <c r="D2402" s="2" t="s">
        <v>41</v>
      </c>
      <c r="E2402" s="5">
        <v>-28834</v>
      </c>
      <c r="F2402" s="3" t="s">
        <v>369</v>
      </c>
      <c r="G2402" s="3" t="s">
        <v>20</v>
      </c>
      <c r="H2402" s="2" t="s">
        <v>21</v>
      </c>
      <c r="I2402" s="2" t="s">
        <v>5091</v>
      </c>
      <c r="J2402" s="3" t="str">
        <f>HYPERLINK("https://www.boe.es/gazeta/dias/1821/01/19/pdfs/GGB-1821-19.pdf#page=3","Abrir facsímil")</f>
        <v>Abrir facsímil</v>
      </c>
      <c r="K2402" s="3" t="s">
        <v>23</v>
      </c>
    </row>
    <row r="2403" spans="1:11" ht="42" customHeight="1">
      <c r="A2403" s="2" t="s">
        <v>5092</v>
      </c>
      <c r="B2403" s="2" t="s">
        <v>5093</v>
      </c>
      <c r="C2403" s="2" t="s">
        <v>40</v>
      </c>
      <c r="D2403" s="2" t="s">
        <v>41</v>
      </c>
      <c r="E2403" s="5">
        <v>-28743</v>
      </c>
      <c r="F2403" s="3" t="s">
        <v>51</v>
      </c>
      <c r="G2403" s="3" t="s">
        <v>88</v>
      </c>
      <c r="H2403" s="2" t="s">
        <v>21</v>
      </c>
      <c r="I2403" s="2" t="s">
        <v>5094</v>
      </c>
      <c r="J2403" s="3" t="str">
        <f>HYPERLINK("https://www.boe.es/gazeta/dias/1821/04/20/pdfs/GMD-1821-112.pdf#page=4","Abrir facsímil")</f>
        <v>Abrir facsímil</v>
      </c>
      <c r="K2403" s="3" t="s">
        <v>23</v>
      </c>
    </row>
    <row r="2404" spans="1:11" ht="42" customHeight="1">
      <c r="A2404" s="2" t="s">
        <v>5095</v>
      </c>
      <c r="B2404" s="2" t="s">
        <v>5095</v>
      </c>
      <c r="C2404" s="2" t="s">
        <v>40</v>
      </c>
      <c r="D2404" s="2" t="s">
        <v>41</v>
      </c>
      <c r="E2404" s="5">
        <v>-28801</v>
      </c>
      <c r="F2404" s="3" t="s">
        <v>378</v>
      </c>
      <c r="G2404" s="3" t="s">
        <v>52</v>
      </c>
      <c r="H2404" s="2" t="s">
        <v>21</v>
      </c>
      <c r="I2404" s="2" t="s">
        <v>5096</v>
      </c>
      <c r="J2404" s="3" t="str">
        <f>HYPERLINK("https://www.boe.es/gazeta/dias/1821/02/21/pdfs/GGB-1821-52.pdf#page=2","Abrir facsímil")</f>
        <v>Abrir facsímil</v>
      </c>
      <c r="K2404" s="3" t="s">
        <v>23</v>
      </c>
    </row>
    <row r="2405" spans="1:11" ht="42" customHeight="1">
      <c r="A2405" s="2" t="s">
        <v>5097</v>
      </c>
      <c r="B2405" s="2" t="s">
        <v>5098</v>
      </c>
      <c r="C2405" s="2" t="s">
        <v>17</v>
      </c>
      <c r="D2405" s="2" t="s">
        <v>18</v>
      </c>
      <c r="E2405" s="5">
        <v>-28820</v>
      </c>
      <c r="F2405" s="3" t="s">
        <v>1430</v>
      </c>
      <c r="G2405" s="3" t="s">
        <v>162</v>
      </c>
      <c r="H2405" s="2" t="s">
        <v>21</v>
      </c>
      <c r="I2405" s="2" t="s">
        <v>5099</v>
      </c>
      <c r="J2405" s="3" t="str">
        <f>HYPERLINK("https://www.boe.es/gazeta/dias/1821/02/02/pdfs/GGB-1821-33.pdf#page=5","Abrir facsímil")</f>
        <v>Abrir facsímil</v>
      </c>
      <c r="K2405" s="3" t="s">
        <v>23</v>
      </c>
    </row>
    <row r="2406" spans="1:11" ht="42" customHeight="1">
      <c r="A2406" s="2" t="s">
        <v>5100</v>
      </c>
      <c r="B2406" s="2" t="s">
        <v>5100</v>
      </c>
      <c r="C2406" s="2" t="s">
        <v>114</v>
      </c>
      <c r="D2406" s="2" t="s">
        <v>27</v>
      </c>
      <c r="E2406" s="5">
        <v>-28809</v>
      </c>
      <c r="F2406" s="3" t="s">
        <v>1173</v>
      </c>
      <c r="G2406" s="3" t="s">
        <v>88</v>
      </c>
      <c r="H2406" s="2" t="s">
        <v>21</v>
      </c>
      <c r="I2406" s="2" t="s">
        <v>5101</v>
      </c>
      <c r="J2406" s="3" t="str">
        <f>HYPERLINK("https://www.boe.es/gazeta/dias/1821/02/13/pdfs/GGB-1821-44.pdf#page=4","Abrir facsímil")</f>
        <v>Abrir facsímil</v>
      </c>
      <c r="K2406" s="3" t="s">
        <v>23</v>
      </c>
    </row>
    <row r="2407" spans="1:11" ht="42" customHeight="1">
      <c r="A2407" s="2" t="s">
        <v>5102</v>
      </c>
      <c r="B2407" s="2" t="s">
        <v>5103</v>
      </c>
      <c r="C2407" s="2" t="s">
        <v>26</v>
      </c>
      <c r="D2407" s="2" t="s">
        <v>27</v>
      </c>
      <c r="E2407" s="5">
        <v>-28735</v>
      </c>
      <c r="F2407" s="3" t="s">
        <v>836</v>
      </c>
      <c r="G2407" s="3" t="s">
        <v>43</v>
      </c>
      <c r="H2407" s="2" t="s">
        <v>21</v>
      </c>
      <c r="I2407" s="2" t="s">
        <v>5104</v>
      </c>
      <c r="J2407" s="3" t="str">
        <f>HYPERLINK("https://www.boe.es/gazeta/dias/1821/04/28/pdfs/GMD-1821-120.pdf#page=1","Abrir facsímil")</f>
        <v>Abrir facsímil</v>
      </c>
      <c r="K2407" s="3" t="s">
        <v>23</v>
      </c>
    </row>
    <row r="2408" spans="1:11" ht="42" customHeight="1">
      <c r="A2408" s="2" t="s">
        <v>5105</v>
      </c>
      <c r="B2408" s="2" t="s">
        <v>5105</v>
      </c>
      <c r="C2408" s="2" t="s">
        <v>17</v>
      </c>
      <c r="D2408" s="2" t="s">
        <v>18</v>
      </c>
      <c r="E2408" s="5">
        <v>-28731</v>
      </c>
      <c r="F2408" s="3" t="s">
        <v>577</v>
      </c>
      <c r="G2408" s="3" t="s">
        <v>88</v>
      </c>
      <c r="H2408" s="2" t="s">
        <v>21</v>
      </c>
      <c r="I2408" s="2" t="s">
        <v>5106</v>
      </c>
      <c r="J2408" s="3" t="str">
        <f>HYPERLINK("https://www.boe.es/gazeta/dias/1821/05/02/pdfs/GMD-1821-124.pdf#page=4","Abrir facsímil")</f>
        <v>Abrir facsímil</v>
      </c>
      <c r="K2408" s="3" t="s">
        <v>23</v>
      </c>
    </row>
    <row r="2409" spans="1:11" ht="42" customHeight="1">
      <c r="A2409" s="2" t="s">
        <v>5107</v>
      </c>
      <c r="B2409" s="2" t="s">
        <v>5107</v>
      </c>
      <c r="C2409" s="2" t="s">
        <v>40</v>
      </c>
      <c r="D2409" s="2" t="s">
        <v>41</v>
      </c>
      <c r="E2409" s="5">
        <v>-28494</v>
      </c>
      <c r="F2409" s="3" t="s">
        <v>1665</v>
      </c>
      <c r="G2409" s="3" t="s">
        <v>2803</v>
      </c>
      <c r="H2409" s="2" t="s">
        <v>21</v>
      </c>
      <c r="I2409" s="2" t="s">
        <v>5108</v>
      </c>
      <c r="J2409" s="3" t="str">
        <f>HYPERLINK("https://www.boe.es/gazeta/dias/1821/12/25/pdfs/GMD-1821-368.pdf#page=2","Abrir facsímil")</f>
        <v>Abrir facsímil</v>
      </c>
      <c r="K2409" s="3" t="s">
        <v>23</v>
      </c>
    </row>
    <row r="2410" spans="1:11" ht="42" customHeight="1">
      <c r="A2410" s="2" t="s">
        <v>5109</v>
      </c>
      <c r="B2410" s="2" t="s">
        <v>5110</v>
      </c>
      <c r="C2410" s="2" t="s">
        <v>17</v>
      </c>
      <c r="D2410" s="2" t="s">
        <v>18</v>
      </c>
      <c r="E2410" s="5">
        <v>-28653</v>
      </c>
      <c r="F2410" s="3" t="s">
        <v>1179</v>
      </c>
      <c r="G2410" s="3" t="s">
        <v>29</v>
      </c>
      <c r="H2410" s="2" t="s">
        <v>21</v>
      </c>
      <c r="I2410" s="2" t="s">
        <v>5111</v>
      </c>
      <c r="J2410" s="3" t="str">
        <f>HYPERLINK("https://www.boe.es/gazeta/dias/1821/07/19/pdfs/GMD-1821-204.pdf#page=6","Abrir facsímil")</f>
        <v>Abrir facsímil</v>
      </c>
      <c r="K2410" s="3" t="s">
        <v>23</v>
      </c>
    </row>
    <row r="2411" spans="1:11" ht="42" customHeight="1">
      <c r="A2411" s="2" t="s">
        <v>5112</v>
      </c>
      <c r="B2411" s="2" t="s">
        <v>5113</v>
      </c>
      <c r="C2411" s="2" t="s">
        <v>40</v>
      </c>
      <c r="D2411" s="2" t="s">
        <v>41</v>
      </c>
      <c r="E2411" s="5">
        <v>-28704</v>
      </c>
      <c r="F2411" s="3" t="s">
        <v>1050</v>
      </c>
      <c r="G2411" s="3" t="s">
        <v>52</v>
      </c>
      <c r="H2411" s="2" t="s">
        <v>21</v>
      </c>
      <c r="I2411" s="2" t="s">
        <v>5114</v>
      </c>
      <c r="J2411" s="3" t="str">
        <f>HYPERLINK("https://www.boe.es/gazeta/dias/1821/05/29/pdfs/GMD-1821-151.pdf#page=2","Abrir facsímil")</f>
        <v>Abrir facsímil</v>
      </c>
      <c r="K2411" s="3" t="s">
        <v>23</v>
      </c>
    </row>
    <row r="2412" spans="1:11" ht="42" customHeight="1">
      <c r="A2412" s="2" t="s">
        <v>5115</v>
      </c>
      <c r="B2412" s="2" t="s">
        <v>5116</v>
      </c>
      <c r="C2412" s="2" t="s">
        <v>26</v>
      </c>
      <c r="D2412" s="2" t="s">
        <v>27</v>
      </c>
      <c r="E2412" s="5">
        <v>-28785</v>
      </c>
      <c r="F2412" s="3" t="s">
        <v>1935</v>
      </c>
      <c r="G2412" s="3" t="s">
        <v>52</v>
      </c>
      <c r="H2412" s="2" t="s">
        <v>21</v>
      </c>
      <c r="I2412" s="2" t="s">
        <v>5117</v>
      </c>
      <c r="J2412" s="3" t="str">
        <f>HYPERLINK("https://www.boe.es/gazeta/dias/1821/03/09/pdfs/GGB-1821-68.pdf#page=2","Abrir facsímil")</f>
        <v>Abrir facsímil</v>
      </c>
      <c r="K2412" s="3" t="s">
        <v>23</v>
      </c>
    </row>
    <row r="2413" spans="1:11" ht="42" customHeight="1">
      <c r="A2413" s="2" t="s">
        <v>5118</v>
      </c>
      <c r="B2413" s="2" t="s">
        <v>5119</v>
      </c>
      <c r="C2413" s="2" t="s">
        <v>114</v>
      </c>
      <c r="D2413" s="2" t="s">
        <v>27</v>
      </c>
      <c r="E2413" s="5">
        <v>-28818</v>
      </c>
      <c r="F2413" s="3" t="s">
        <v>2337</v>
      </c>
      <c r="G2413" s="3" t="s">
        <v>4055</v>
      </c>
      <c r="H2413" s="2" t="s">
        <v>21</v>
      </c>
      <c r="I2413" s="2" t="s">
        <v>5120</v>
      </c>
      <c r="J2413" s="3" t="str">
        <f>HYPERLINK("https://www.boe.es/gazeta/dias/1821/02/04/pdfs/GGB-1821-35.pdf#page=6","Abrir facsímil")</f>
        <v>Abrir facsímil</v>
      </c>
      <c r="K2413" s="3" t="s">
        <v>23</v>
      </c>
    </row>
    <row r="2414" spans="1:11" ht="42" customHeight="1">
      <c r="A2414" s="2" t="s">
        <v>5121</v>
      </c>
      <c r="B2414" s="2" t="s">
        <v>5121</v>
      </c>
      <c r="C2414" s="2" t="s">
        <v>40</v>
      </c>
      <c r="D2414" s="2" t="s">
        <v>41</v>
      </c>
      <c r="E2414" s="5">
        <v>-28688</v>
      </c>
      <c r="F2414" s="3" t="s">
        <v>1504</v>
      </c>
      <c r="G2414" s="3" t="s">
        <v>20</v>
      </c>
      <c r="H2414" s="2" t="s">
        <v>21</v>
      </c>
      <c r="I2414" s="2" t="s">
        <v>5122</v>
      </c>
      <c r="J2414" s="3" t="str">
        <f>HYPERLINK("https://www.boe.es/gazeta/dias/1821/06/14/pdfs/GMD-1821-167.pdf#page=3","Abrir facsímil")</f>
        <v>Abrir facsímil</v>
      </c>
      <c r="K2414" s="3" t="s">
        <v>23</v>
      </c>
    </row>
    <row r="2415" spans="1:11" ht="42" customHeight="1">
      <c r="A2415" s="2" t="s">
        <v>5123</v>
      </c>
      <c r="B2415" s="2" t="s">
        <v>5123</v>
      </c>
      <c r="C2415" s="2" t="s">
        <v>40</v>
      </c>
      <c r="D2415" s="2" t="s">
        <v>41</v>
      </c>
      <c r="E2415" s="5">
        <v>-28735</v>
      </c>
      <c r="F2415" s="3" t="s">
        <v>836</v>
      </c>
      <c r="G2415" s="3" t="s">
        <v>88</v>
      </c>
      <c r="H2415" s="2" t="s">
        <v>21</v>
      </c>
      <c r="I2415" s="2" t="s">
        <v>5124</v>
      </c>
      <c r="J2415" s="3" t="str">
        <f>HYPERLINK("https://www.boe.es/gazeta/dias/1821/04/28/pdfs/GMD-1821-120.pdf#page=4","Abrir facsímil")</f>
        <v>Abrir facsímil</v>
      </c>
      <c r="K2415" s="3" t="s">
        <v>23</v>
      </c>
    </row>
    <row r="2416" spans="1:11" ht="42" customHeight="1">
      <c r="A2416" s="2" t="s">
        <v>5125</v>
      </c>
      <c r="B2416" s="2" t="s">
        <v>5125</v>
      </c>
      <c r="C2416" s="2" t="s">
        <v>40</v>
      </c>
      <c r="D2416" s="2" t="s">
        <v>41</v>
      </c>
      <c r="E2416" s="5">
        <v>-28629</v>
      </c>
      <c r="F2416" s="3" t="s">
        <v>235</v>
      </c>
      <c r="G2416" s="3" t="s">
        <v>20</v>
      </c>
      <c r="H2416" s="2" t="s">
        <v>21</v>
      </c>
      <c r="I2416" s="2" t="s">
        <v>5126</v>
      </c>
      <c r="J2416" s="3" t="str">
        <f>HYPERLINK("https://www.boe.es/gazeta/dias/1821/08/12/pdfs/GMD-1821-229.pdf#page=3","Abrir facsímil")</f>
        <v>Abrir facsímil</v>
      </c>
      <c r="K2416" s="3" t="s">
        <v>23</v>
      </c>
    </row>
    <row r="2417" spans="1:11" ht="42" customHeight="1">
      <c r="A2417" s="2" t="s">
        <v>5127</v>
      </c>
      <c r="B2417" s="2" t="s">
        <v>5128</v>
      </c>
      <c r="C2417" s="2" t="s">
        <v>40</v>
      </c>
      <c r="D2417" s="2" t="s">
        <v>41</v>
      </c>
      <c r="E2417" s="5">
        <v>-28626</v>
      </c>
      <c r="F2417" s="3" t="s">
        <v>468</v>
      </c>
      <c r="G2417" s="3" t="s">
        <v>88</v>
      </c>
      <c r="H2417" s="2" t="s">
        <v>21</v>
      </c>
      <c r="I2417" s="2" t="s">
        <v>5129</v>
      </c>
      <c r="J2417" s="3" t="str">
        <f>HYPERLINK("https://www.boe.es/gazeta/dias/1821/08/15/pdfs/GMD-1821-232.pdf#page=4","Abrir facsímil")</f>
        <v>Abrir facsímil</v>
      </c>
      <c r="K2417" s="3" t="s">
        <v>23</v>
      </c>
    </row>
    <row r="2418" spans="1:11" ht="42" customHeight="1">
      <c r="A2418" s="2" t="s">
        <v>5130</v>
      </c>
      <c r="B2418" s="2" t="s">
        <v>5131</v>
      </c>
      <c r="C2418" s="2" t="s">
        <v>40</v>
      </c>
      <c r="D2418" s="2" t="s">
        <v>41</v>
      </c>
      <c r="E2418" s="5">
        <v>-28492</v>
      </c>
      <c r="F2418" s="3" t="s">
        <v>1550</v>
      </c>
      <c r="G2418" s="3" t="s">
        <v>88</v>
      </c>
      <c r="H2418" s="2" t="s">
        <v>21</v>
      </c>
      <c r="I2418" s="2" t="s">
        <v>5132</v>
      </c>
      <c r="J2418" s="3" t="str">
        <f>HYPERLINK("https://www.boe.es/gazeta/dias/1821/12/27/pdfs/GMD-1821-370.pdf#page=4","Abrir facsímil")</f>
        <v>Abrir facsímil</v>
      </c>
      <c r="K2418" s="3" t="s">
        <v>23</v>
      </c>
    </row>
    <row r="2419" spans="1:11" ht="42" customHeight="1">
      <c r="A2419" s="2" t="s">
        <v>5133</v>
      </c>
      <c r="B2419" s="2" t="s">
        <v>5134</v>
      </c>
      <c r="C2419" s="2" t="s">
        <v>70</v>
      </c>
      <c r="D2419" s="2" t="s">
        <v>27</v>
      </c>
      <c r="E2419" s="5">
        <v>-28782</v>
      </c>
      <c r="F2419" s="3" t="s">
        <v>508</v>
      </c>
      <c r="G2419" s="3" t="s">
        <v>20</v>
      </c>
      <c r="H2419" s="2" t="s">
        <v>21</v>
      </c>
      <c r="I2419" s="2" t="s">
        <v>5135</v>
      </c>
      <c r="J2419" s="3" t="str">
        <f>HYPERLINK("https://www.boe.es/gazeta/dias/1821/03/12/pdfs/GMD-1821-71.pdf#page=3","Abrir facsímil")</f>
        <v>Abrir facsímil</v>
      </c>
      <c r="K2419" s="3" t="s">
        <v>23</v>
      </c>
    </row>
    <row r="2420" spans="1:11" ht="42" customHeight="1">
      <c r="A2420" s="2" t="s">
        <v>5136</v>
      </c>
      <c r="B2420" s="2" t="s">
        <v>5137</v>
      </c>
      <c r="C2420" s="2" t="s">
        <v>17</v>
      </c>
      <c r="D2420" s="2" t="s">
        <v>18</v>
      </c>
      <c r="E2420" s="5">
        <v>-28686</v>
      </c>
      <c r="F2420" s="3" t="s">
        <v>115</v>
      </c>
      <c r="G2420" s="3" t="s">
        <v>52</v>
      </c>
      <c r="H2420" s="2" t="s">
        <v>21</v>
      </c>
      <c r="I2420" s="2" t="s">
        <v>5138</v>
      </c>
      <c r="J2420" s="3" t="str">
        <f>HYPERLINK("https://www.boe.es/gazeta/dias/1821/06/16/pdfs/GMD-1821-169.pdf#page=2","Abrir facsímil")</f>
        <v>Abrir facsímil</v>
      </c>
      <c r="K2420" s="3" t="s">
        <v>23</v>
      </c>
    </row>
    <row r="2421" spans="1:11" ht="42" customHeight="1">
      <c r="A2421" s="2" t="s">
        <v>5139</v>
      </c>
      <c r="B2421" s="2" t="s">
        <v>5140</v>
      </c>
      <c r="C2421" s="2" t="s">
        <v>26</v>
      </c>
      <c r="D2421" s="2" t="s">
        <v>27</v>
      </c>
      <c r="E2421" s="5">
        <v>-28551</v>
      </c>
      <c r="F2421" s="3" t="s">
        <v>542</v>
      </c>
      <c r="G2421" s="3" t="s">
        <v>52</v>
      </c>
      <c r="H2421" s="2" t="s">
        <v>21</v>
      </c>
      <c r="I2421" s="2" t="s">
        <v>5141</v>
      </c>
      <c r="J2421" s="3" t="str">
        <f>HYPERLINK("https://www.boe.es/gazeta/dias/1821/10/29/pdfs/GMD-1821-308.pdf#page=2","Abrir facsímil")</f>
        <v>Abrir facsímil</v>
      </c>
      <c r="K2421" s="3" t="s">
        <v>23</v>
      </c>
    </row>
    <row r="2422" spans="1:11" ht="42" customHeight="1">
      <c r="A2422" s="2" t="s">
        <v>5142</v>
      </c>
      <c r="B2422" s="2" t="s">
        <v>5142</v>
      </c>
      <c r="C2422" s="2" t="s">
        <v>26</v>
      </c>
      <c r="D2422" s="2" t="s">
        <v>27</v>
      </c>
      <c r="E2422" s="5">
        <v>-28829</v>
      </c>
      <c r="F2422" s="3" t="s">
        <v>2980</v>
      </c>
      <c r="G2422" s="3" t="s">
        <v>88</v>
      </c>
      <c r="H2422" s="2" t="s">
        <v>21</v>
      </c>
      <c r="I2422" s="2" t="s">
        <v>5143</v>
      </c>
      <c r="J2422" s="3" t="str">
        <f>HYPERLINK("https://www.boe.es/gazeta/dias/1821/01/24/pdfs/GGB-1821-24.pdf#page=4","Abrir facsímil")</f>
        <v>Abrir facsímil</v>
      </c>
      <c r="K2422" s="3" t="s">
        <v>23</v>
      </c>
    </row>
    <row r="2423" spans="1:11" ht="42" customHeight="1">
      <c r="A2423" s="2" t="s">
        <v>5144</v>
      </c>
      <c r="B2423" s="2" t="s">
        <v>5145</v>
      </c>
      <c r="C2423" s="2" t="s">
        <v>40</v>
      </c>
      <c r="D2423" s="2" t="s">
        <v>41</v>
      </c>
      <c r="E2423" s="5">
        <v>-28786</v>
      </c>
      <c r="F2423" s="3" t="s">
        <v>1933</v>
      </c>
      <c r="G2423" s="3" t="s">
        <v>20</v>
      </c>
      <c r="H2423" s="2" t="s">
        <v>21</v>
      </c>
      <c r="I2423" s="2" t="s">
        <v>5146</v>
      </c>
      <c r="J2423" s="3" t="str">
        <f>HYPERLINK("https://www.boe.es/gazeta/dias/1821/03/08/pdfs/GGB-1821-67.pdf#page=3","Abrir facsímil")</f>
        <v>Abrir facsímil</v>
      </c>
      <c r="K2423" s="3" t="s">
        <v>23</v>
      </c>
    </row>
    <row r="2424" spans="1:11" ht="42" customHeight="1">
      <c r="A2424" s="2" t="s">
        <v>5147</v>
      </c>
      <c r="B2424" s="2" t="s">
        <v>5147</v>
      </c>
      <c r="C2424" s="2" t="s">
        <v>17</v>
      </c>
      <c r="D2424" s="2" t="s">
        <v>18</v>
      </c>
      <c r="E2424" s="5">
        <v>-28791</v>
      </c>
      <c r="F2424" s="3" t="s">
        <v>47</v>
      </c>
      <c r="G2424" s="3" t="s">
        <v>88</v>
      </c>
      <c r="H2424" s="2" t="s">
        <v>21</v>
      </c>
      <c r="I2424" s="2" t="s">
        <v>5148</v>
      </c>
      <c r="J2424" s="3" t="str">
        <f>HYPERLINK("https://www.boe.es/gazeta/dias/1821/03/03/pdfs/GGB-1821-62.pdf#page=4","Abrir facsímil")</f>
        <v>Abrir facsímil</v>
      </c>
      <c r="K2424" s="3" t="s">
        <v>23</v>
      </c>
    </row>
    <row r="2425" spans="1:11" ht="42" customHeight="1">
      <c r="A2425" s="2" t="s">
        <v>5149</v>
      </c>
      <c r="B2425" s="2" t="s">
        <v>5150</v>
      </c>
      <c r="C2425" s="2" t="s">
        <v>40</v>
      </c>
      <c r="D2425" s="2" t="s">
        <v>41</v>
      </c>
      <c r="E2425" s="5">
        <v>-28754</v>
      </c>
      <c r="F2425" s="3" t="s">
        <v>1942</v>
      </c>
      <c r="G2425" s="3" t="s">
        <v>52</v>
      </c>
      <c r="H2425" s="2" t="s">
        <v>21</v>
      </c>
      <c r="I2425" s="2" t="s">
        <v>5151</v>
      </c>
      <c r="J2425" s="3" t="str">
        <f>HYPERLINK("https://www.boe.es/gazeta/dias/1821/04/09/pdfs/GMD-1821-101.pdf#page=2","Abrir facsímil")</f>
        <v>Abrir facsímil</v>
      </c>
      <c r="K2425" s="3" t="s">
        <v>23</v>
      </c>
    </row>
    <row r="2426" spans="1:11" ht="42" customHeight="1">
      <c r="A2426" s="2" t="s">
        <v>5152</v>
      </c>
      <c r="B2426" s="2" t="s">
        <v>5153</v>
      </c>
      <c r="C2426" s="2" t="s">
        <v>35</v>
      </c>
      <c r="D2426" s="2" t="s">
        <v>27</v>
      </c>
      <c r="E2426" s="5">
        <v>-28545</v>
      </c>
      <c r="F2426" s="3" t="s">
        <v>284</v>
      </c>
      <c r="G2426" s="3" t="s">
        <v>52</v>
      </c>
      <c r="H2426" s="2" t="s">
        <v>30</v>
      </c>
      <c r="I2426" s="2" t="s">
        <v>5154</v>
      </c>
      <c r="J2426" s="3" t="str">
        <f>HYPERLINK("https://www.boe.es/gazeta/dias/1821/11/04/pdfs/GMD-1821-315.pdf#page=2","Abrir facsímil")</f>
        <v>Abrir facsímil</v>
      </c>
      <c r="K2426" s="3" t="s">
        <v>32</v>
      </c>
    </row>
    <row r="2427" spans="1:11" ht="42" customHeight="1">
      <c r="A2427" s="2" t="s">
        <v>5155</v>
      </c>
      <c r="B2427" s="2" t="s">
        <v>5155</v>
      </c>
      <c r="C2427" s="2" t="s">
        <v>70</v>
      </c>
      <c r="D2427" s="2" t="s">
        <v>27</v>
      </c>
      <c r="E2427" s="5">
        <v>-28750</v>
      </c>
      <c r="F2427" s="3" t="s">
        <v>917</v>
      </c>
      <c r="G2427" s="3" t="s">
        <v>20</v>
      </c>
      <c r="H2427" s="2" t="s">
        <v>21</v>
      </c>
      <c r="I2427" s="2" t="s">
        <v>5156</v>
      </c>
      <c r="J2427" s="3" t="str">
        <f>HYPERLINK("https://www.boe.es/gazeta/dias/1821/04/13/pdfs/GMD-1821-105.pdf#page=3","Abrir facsímil")</f>
        <v>Abrir facsímil</v>
      </c>
      <c r="K2427" s="3" t="s">
        <v>23</v>
      </c>
    </row>
    <row r="2428" spans="1:11" ht="42" customHeight="1">
      <c r="A2428" s="2" t="s">
        <v>5157</v>
      </c>
      <c r="B2428" s="2" t="s">
        <v>5157</v>
      </c>
      <c r="C2428" s="2" t="s">
        <v>174</v>
      </c>
      <c r="D2428" s="2" t="s">
        <v>27</v>
      </c>
      <c r="E2428" s="5">
        <v>-28534</v>
      </c>
      <c r="F2428" s="3" t="s">
        <v>414</v>
      </c>
      <c r="G2428" s="3" t="s">
        <v>162</v>
      </c>
      <c r="H2428" s="2" t="s">
        <v>21</v>
      </c>
      <c r="I2428" s="2" t="s">
        <v>5158</v>
      </c>
      <c r="J2428" s="3" t="str">
        <f>HYPERLINK("https://www.boe.es/gazeta/dias/1821/11/15/pdfs/GMD-1821-326.pdf#page=5","Abrir facsímil")</f>
        <v>Abrir facsímil</v>
      </c>
      <c r="K2428" s="3" t="s">
        <v>23</v>
      </c>
    </row>
    <row r="2429" spans="1:11" ht="42" customHeight="1">
      <c r="A2429" s="2" t="s">
        <v>5159</v>
      </c>
      <c r="B2429" s="2" t="s">
        <v>5160</v>
      </c>
      <c r="C2429" s="2" t="s">
        <v>26</v>
      </c>
      <c r="D2429" s="2" t="s">
        <v>27</v>
      </c>
      <c r="E2429" s="5">
        <v>-28684</v>
      </c>
      <c r="F2429" s="3" t="s">
        <v>208</v>
      </c>
      <c r="G2429" s="3" t="s">
        <v>52</v>
      </c>
      <c r="H2429" s="2" t="s">
        <v>21</v>
      </c>
      <c r="I2429" s="2" t="s">
        <v>5161</v>
      </c>
      <c r="J2429" s="3" t="str">
        <f>HYPERLINK("https://www.boe.es/gazeta/dias/1821/06/18/pdfs/GMD-1821-171.pdf#page=2","Abrir facsímil")</f>
        <v>Abrir facsímil</v>
      </c>
      <c r="K2429" s="3" t="s">
        <v>23</v>
      </c>
    </row>
    <row r="2430" spans="1:11" ht="42" customHeight="1">
      <c r="A2430" s="2" t="s">
        <v>5162</v>
      </c>
      <c r="B2430" s="2" t="s">
        <v>5162</v>
      </c>
      <c r="C2430" s="2" t="s">
        <v>40</v>
      </c>
      <c r="D2430" s="2" t="s">
        <v>41</v>
      </c>
      <c r="E2430" s="5">
        <v>-28760</v>
      </c>
      <c r="F2430" s="3" t="s">
        <v>170</v>
      </c>
      <c r="G2430" s="3" t="s">
        <v>88</v>
      </c>
      <c r="H2430" s="2" t="s">
        <v>21</v>
      </c>
      <c r="I2430" s="2" t="s">
        <v>5163</v>
      </c>
      <c r="J2430" s="3" t="str">
        <f>HYPERLINK("https://www.boe.es/gazeta/dias/1821/04/03/pdfs/GMD-1821-95.pdf#page=4","Abrir facsímil")</f>
        <v>Abrir facsímil</v>
      </c>
      <c r="K2430" s="3" t="s">
        <v>23</v>
      </c>
    </row>
    <row r="2431" spans="1:11" ht="42" customHeight="1">
      <c r="A2431" s="2" t="s">
        <v>5164</v>
      </c>
      <c r="B2431" s="2" t="s">
        <v>5165</v>
      </c>
      <c r="C2431" s="2" t="s">
        <v>26</v>
      </c>
      <c r="D2431" s="2" t="s">
        <v>27</v>
      </c>
      <c r="E2431" s="5">
        <v>-28649</v>
      </c>
      <c r="F2431" s="3" t="s">
        <v>4688</v>
      </c>
      <c r="G2431" s="3" t="s">
        <v>52</v>
      </c>
      <c r="H2431" s="2" t="s">
        <v>21</v>
      </c>
      <c r="I2431" s="2" t="s">
        <v>5166</v>
      </c>
      <c r="J2431" s="3" t="str">
        <f>HYPERLINK("https://www.boe.es/gazeta/dias/1821/07/23/pdfs/GMD-1821-208.pdf#page=2","Abrir facsímil")</f>
        <v>Abrir facsímil</v>
      </c>
      <c r="K2431" s="3" t="s">
        <v>23</v>
      </c>
    </row>
    <row r="2432" spans="1:11" ht="42" customHeight="1">
      <c r="A2432" s="2" t="s">
        <v>5167</v>
      </c>
      <c r="B2432" s="2" t="s">
        <v>5168</v>
      </c>
      <c r="C2432" s="2" t="s">
        <v>40</v>
      </c>
      <c r="D2432" s="2" t="s">
        <v>41</v>
      </c>
      <c r="E2432" s="5">
        <v>-28680</v>
      </c>
      <c r="F2432" s="3" t="s">
        <v>531</v>
      </c>
      <c r="G2432" s="3" t="s">
        <v>52</v>
      </c>
      <c r="H2432" s="2" t="s">
        <v>21</v>
      </c>
      <c r="I2432" s="2" t="s">
        <v>5169</v>
      </c>
      <c r="J2432" s="3" t="str">
        <f>HYPERLINK("https://www.boe.es/gazeta/dias/1821/06/22/pdfs/GMD-1821-175.pdf#page=2","Abrir facsímil")</f>
        <v>Abrir facsímil</v>
      </c>
      <c r="K2432" s="3" t="s">
        <v>23</v>
      </c>
    </row>
    <row r="2433" spans="1:11" ht="42" customHeight="1">
      <c r="A2433" s="2" t="s">
        <v>5170</v>
      </c>
      <c r="B2433" s="2" t="s">
        <v>5171</v>
      </c>
      <c r="C2433" s="2" t="s">
        <v>40</v>
      </c>
      <c r="D2433" s="2" t="s">
        <v>41</v>
      </c>
      <c r="E2433" s="5">
        <v>-28571</v>
      </c>
      <c r="F2433" s="3" t="s">
        <v>482</v>
      </c>
      <c r="G2433" s="3" t="s">
        <v>52</v>
      </c>
      <c r="H2433" s="2" t="s">
        <v>30</v>
      </c>
      <c r="I2433" s="2" t="s">
        <v>5172</v>
      </c>
      <c r="J2433" s="3" t="str">
        <f>HYPERLINK("https://www.boe.es/gazeta/dias/1821/10/09/pdfs/GMD-1821-288.pdf#page=2","Abrir facsímil")</f>
        <v>Abrir facsímil</v>
      </c>
      <c r="K2433" s="3" t="s">
        <v>32</v>
      </c>
    </row>
    <row r="2434" spans="1:11" ht="42" customHeight="1">
      <c r="A2434" s="2" t="s">
        <v>5173</v>
      </c>
      <c r="B2434" s="2" t="s">
        <v>5173</v>
      </c>
      <c r="C2434" s="2" t="s">
        <v>40</v>
      </c>
      <c r="D2434" s="2" t="s">
        <v>41</v>
      </c>
      <c r="E2434" s="5">
        <v>-28571</v>
      </c>
      <c r="F2434" s="3" t="s">
        <v>482</v>
      </c>
      <c r="G2434" s="3" t="s">
        <v>52</v>
      </c>
      <c r="H2434" s="2" t="s">
        <v>21</v>
      </c>
      <c r="I2434" s="2" t="s">
        <v>5174</v>
      </c>
      <c r="J2434" s="3" t="str">
        <f>HYPERLINK("https://www.boe.es/gazeta/dias/1821/10/09/pdfs/GMD-1821-288.pdf#page=2","Abrir facsímil")</f>
        <v>Abrir facsímil</v>
      </c>
      <c r="K2434" s="3" t="s">
        <v>23</v>
      </c>
    </row>
    <row r="2435" spans="1:11" ht="42" customHeight="1">
      <c r="A2435" s="2" t="s">
        <v>5175</v>
      </c>
      <c r="B2435" s="2" t="s">
        <v>5176</v>
      </c>
      <c r="C2435" s="2" t="s">
        <v>40</v>
      </c>
      <c r="D2435" s="2" t="s">
        <v>41</v>
      </c>
      <c r="E2435" s="5">
        <v>-28534</v>
      </c>
      <c r="F2435" s="3" t="s">
        <v>414</v>
      </c>
      <c r="G2435" s="3" t="s">
        <v>43</v>
      </c>
      <c r="H2435" s="2" t="s">
        <v>21</v>
      </c>
      <c r="I2435" s="2" t="s">
        <v>5177</v>
      </c>
      <c r="J2435" s="3" t="str">
        <f>HYPERLINK("https://www.boe.es/gazeta/dias/1821/11/15/pdfs/GMD-1821-326.pdf#page=1","Abrir facsímil")</f>
        <v>Abrir facsímil</v>
      </c>
      <c r="K2435" s="3" t="s">
        <v>23</v>
      </c>
    </row>
    <row r="2436" spans="1:11" ht="42" customHeight="1">
      <c r="A2436" s="2" t="s">
        <v>5178</v>
      </c>
      <c r="B2436" s="2" t="s">
        <v>5178</v>
      </c>
      <c r="C2436" s="2" t="s">
        <v>40</v>
      </c>
      <c r="D2436" s="2" t="s">
        <v>41</v>
      </c>
      <c r="E2436" s="5">
        <v>-28851</v>
      </c>
      <c r="F2436" s="3" t="s">
        <v>3227</v>
      </c>
      <c r="G2436" s="3" t="s">
        <v>52</v>
      </c>
      <c r="H2436" s="2" t="s">
        <v>21</v>
      </c>
      <c r="I2436" s="2" t="s">
        <v>5179</v>
      </c>
      <c r="J2436" s="3" t="str">
        <f>HYPERLINK("https://www.boe.es/gazeta/dias/1821/01/02/pdfs/GGB-1821-2.pdf#page=2","Abrir facsímil")</f>
        <v>Abrir facsímil</v>
      </c>
      <c r="K2436" s="3" t="s">
        <v>23</v>
      </c>
    </row>
    <row r="2437" spans="1:11" ht="42" customHeight="1">
      <c r="A2437" s="2" t="s">
        <v>5178</v>
      </c>
      <c r="B2437" s="2" t="s">
        <v>5178</v>
      </c>
      <c r="C2437" s="2" t="s">
        <v>40</v>
      </c>
      <c r="D2437" s="2" t="s">
        <v>41</v>
      </c>
      <c r="E2437" s="5">
        <v>-28844</v>
      </c>
      <c r="F2437" s="3" t="s">
        <v>1743</v>
      </c>
      <c r="G2437" s="3" t="s">
        <v>52</v>
      </c>
      <c r="H2437" s="2" t="s">
        <v>21</v>
      </c>
      <c r="I2437" s="2" t="s">
        <v>5180</v>
      </c>
      <c r="J2437" s="3" t="str">
        <f>HYPERLINK("https://www.boe.es/gazeta/dias/1821/01/09/pdfs/GGB-1821-9.pdf#page=2","Abrir facsímil")</f>
        <v>Abrir facsímil</v>
      </c>
      <c r="K2437" s="3" t="s">
        <v>23</v>
      </c>
    </row>
    <row r="2438" spans="1:11" ht="42" customHeight="1">
      <c r="A2438" s="2" t="s">
        <v>5178</v>
      </c>
      <c r="B2438" s="2" t="s">
        <v>5178</v>
      </c>
      <c r="C2438" s="2" t="s">
        <v>40</v>
      </c>
      <c r="D2438" s="2" t="s">
        <v>41</v>
      </c>
      <c r="E2438" s="5">
        <v>-28765</v>
      </c>
      <c r="F2438" s="3" t="s">
        <v>974</v>
      </c>
      <c r="G2438" s="3" t="s">
        <v>43</v>
      </c>
      <c r="H2438" s="2" t="s">
        <v>21</v>
      </c>
      <c r="I2438" s="2" t="s">
        <v>5181</v>
      </c>
      <c r="J2438" s="3" t="str">
        <f>HYPERLINK("https://www.boe.es/gazeta/dias/1821/03/29/pdfs/GMD-1821-90.pdf#page=1","Abrir facsímil")</f>
        <v>Abrir facsímil</v>
      </c>
      <c r="K2438" s="3" t="s">
        <v>23</v>
      </c>
    </row>
    <row r="2439" spans="1:11" ht="42" customHeight="1">
      <c r="A2439" s="2" t="s">
        <v>5178</v>
      </c>
      <c r="B2439" s="2" t="s">
        <v>5178</v>
      </c>
      <c r="C2439" s="2" t="s">
        <v>40</v>
      </c>
      <c r="D2439" s="2" t="s">
        <v>41</v>
      </c>
      <c r="E2439" s="5">
        <v>-28755</v>
      </c>
      <c r="F2439" s="3" t="s">
        <v>906</v>
      </c>
      <c r="G2439" s="3" t="s">
        <v>907</v>
      </c>
      <c r="H2439" s="2" t="s">
        <v>21</v>
      </c>
      <c r="I2439" s="2" t="s">
        <v>5182</v>
      </c>
      <c r="J2439" s="3" t="str">
        <f>HYPERLINK("https://www.boe.es/gazeta/dias/1821/04/08/pdfs/GMD-1821-100.pdf#page=4","Abrir facsímil")</f>
        <v>Abrir facsímil</v>
      </c>
      <c r="K2439" s="3" t="s">
        <v>23</v>
      </c>
    </row>
    <row r="2440" spans="1:11" ht="42" customHeight="1">
      <c r="A2440" s="2" t="s">
        <v>5178</v>
      </c>
      <c r="B2440" s="2" t="s">
        <v>5178</v>
      </c>
      <c r="C2440" s="2" t="s">
        <v>40</v>
      </c>
      <c r="D2440" s="2" t="s">
        <v>41</v>
      </c>
      <c r="E2440" s="5">
        <v>-28710</v>
      </c>
      <c r="F2440" s="3" t="s">
        <v>375</v>
      </c>
      <c r="G2440" s="3" t="s">
        <v>43</v>
      </c>
      <c r="H2440" s="2" t="s">
        <v>21</v>
      </c>
      <c r="I2440" s="2" t="s">
        <v>5183</v>
      </c>
      <c r="J2440" s="3" t="str">
        <f>HYPERLINK("https://www.boe.es/gazeta/dias/1821/05/23/pdfs/GMD-1821-145.pdf#page=1","Abrir facsímil")</f>
        <v>Abrir facsímil</v>
      </c>
      <c r="K2440" s="3" t="s">
        <v>23</v>
      </c>
    </row>
    <row r="2441" spans="1:11" ht="42" customHeight="1">
      <c r="A2441" s="2" t="s">
        <v>5184</v>
      </c>
      <c r="B2441" s="2" t="s">
        <v>5184</v>
      </c>
      <c r="C2441" s="2" t="s">
        <v>40</v>
      </c>
      <c r="D2441" s="2" t="s">
        <v>41</v>
      </c>
      <c r="E2441" s="5">
        <v>-28845</v>
      </c>
      <c r="F2441" s="3" t="s">
        <v>5185</v>
      </c>
      <c r="G2441" s="3" t="s">
        <v>43</v>
      </c>
      <c r="H2441" s="2" t="s">
        <v>21</v>
      </c>
      <c r="I2441" s="2" t="s">
        <v>5186</v>
      </c>
      <c r="J2441" s="3" t="str">
        <f>HYPERLINK("https://www.boe.es/gazeta/dias/1821/01/08/pdfs/GGB-1821-8.pdf#page=1","Abrir facsímil")</f>
        <v>Abrir facsímil</v>
      </c>
      <c r="K2441" s="3" t="s">
        <v>23</v>
      </c>
    </row>
    <row r="2442" spans="1:11" ht="42" customHeight="1">
      <c r="A2442" s="2" t="s">
        <v>5187</v>
      </c>
      <c r="B2442" s="2" t="s">
        <v>5188</v>
      </c>
      <c r="C2442" s="2" t="s">
        <v>279</v>
      </c>
      <c r="D2442" s="2" t="s">
        <v>27</v>
      </c>
      <c r="E2442" s="5">
        <v>-28747</v>
      </c>
      <c r="F2442" s="3" t="s">
        <v>1016</v>
      </c>
      <c r="G2442" s="3" t="s">
        <v>43</v>
      </c>
      <c r="H2442" s="2" t="s">
        <v>21</v>
      </c>
      <c r="I2442" s="2" t="s">
        <v>5189</v>
      </c>
      <c r="J2442" s="3" t="str">
        <f>HYPERLINK("https://www.boe.es/gazeta/dias/1821/04/16/pdfs/GMD-1821-108.pdf#page=1","Abrir facsímil")</f>
        <v>Abrir facsímil</v>
      </c>
      <c r="K2442" s="3" t="s">
        <v>23</v>
      </c>
    </row>
    <row r="2443" spans="1:11" ht="42" customHeight="1">
      <c r="A2443" s="2" t="s">
        <v>5190</v>
      </c>
      <c r="B2443" s="2" t="s">
        <v>5191</v>
      </c>
      <c r="C2443" s="2" t="s">
        <v>17</v>
      </c>
      <c r="D2443" s="2" t="s">
        <v>18</v>
      </c>
      <c r="E2443" s="5">
        <v>-28742</v>
      </c>
      <c r="F2443" s="3" t="s">
        <v>324</v>
      </c>
      <c r="G2443" s="3" t="s">
        <v>20</v>
      </c>
      <c r="H2443" s="2" t="s">
        <v>21</v>
      </c>
      <c r="I2443" s="2" t="s">
        <v>5192</v>
      </c>
      <c r="J2443" s="3" t="str">
        <f>HYPERLINK("https://www.boe.es/gazeta/dias/1821/04/21/pdfs/GMD-1821-113.pdf#page=3","Abrir facsímil")</f>
        <v>Abrir facsímil</v>
      </c>
      <c r="K2443" s="3" t="s">
        <v>23</v>
      </c>
    </row>
    <row r="2444" spans="1:11" ht="42" customHeight="1">
      <c r="A2444" s="2" t="s">
        <v>5193</v>
      </c>
      <c r="B2444" s="2" t="s">
        <v>5194</v>
      </c>
      <c r="C2444" s="2" t="s">
        <v>17</v>
      </c>
      <c r="D2444" s="2" t="s">
        <v>18</v>
      </c>
      <c r="E2444" s="5">
        <v>-28741</v>
      </c>
      <c r="F2444" s="3" t="s">
        <v>1841</v>
      </c>
      <c r="G2444" s="3" t="s">
        <v>88</v>
      </c>
      <c r="H2444" s="2" t="s">
        <v>21</v>
      </c>
      <c r="I2444" s="2" t="s">
        <v>5195</v>
      </c>
      <c r="J2444" s="3" t="str">
        <f>HYPERLINK("https://www.boe.es/gazeta/dias/1821/04/22/pdfs/GMD-1821-114.pdf#page=4","Abrir facsímil")</f>
        <v>Abrir facsímil</v>
      </c>
      <c r="K2444" s="3" t="s">
        <v>23</v>
      </c>
    </row>
    <row r="2445" spans="1:11" ht="42" customHeight="1">
      <c r="A2445" s="2" t="s">
        <v>5196</v>
      </c>
      <c r="B2445" s="2" t="s">
        <v>5197</v>
      </c>
      <c r="C2445" s="2" t="s">
        <v>26</v>
      </c>
      <c r="D2445" s="2" t="s">
        <v>27</v>
      </c>
      <c r="E2445" s="5">
        <v>-28541</v>
      </c>
      <c r="F2445" s="3" t="s">
        <v>275</v>
      </c>
      <c r="G2445" s="3" t="s">
        <v>52</v>
      </c>
      <c r="H2445" s="2" t="s">
        <v>21</v>
      </c>
      <c r="I2445" s="2" t="s">
        <v>5198</v>
      </c>
      <c r="J2445" s="3" t="str">
        <f>HYPERLINK("https://www.boe.es/gazeta/dias/1821/11/08/pdfs/GMD-1821-319.pdf#page=2","Abrir facsímil")</f>
        <v>Abrir facsímil</v>
      </c>
      <c r="K2445" s="3" t="s">
        <v>23</v>
      </c>
    </row>
    <row r="2446" spans="1:11" ht="42" customHeight="1">
      <c r="A2446" s="2" t="s">
        <v>5199</v>
      </c>
      <c r="B2446" s="2" t="s">
        <v>5199</v>
      </c>
      <c r="C2446" s="2" t="s">
        <v>17</v>
      </c>
      <c r="D2446" s="2" t="s">
        <v>18</v>
      </c>
      <c r="E2446" s="5">
        <v>-28559</v>
      </c>
      <c r="F2446" s="3" t="s">
        <v>1078</v>
      </c>
      <c r="G2446" s="3" t="s">
        <v>20</v>
      </c>
      <c r="H2446" s="2" t="s">
        <v>21</v>
      </c>
      <c r="I2446" s="2" t="s">
        <v>5200</v>
      </c>
      <c r="J2446" s="3" t="str">
        <f>HYPERLINK("https://www.boe.es/gazeta/dias/1821/10/21/pdfs/GMD-1821-300.pdf#page=3","Abrir facsímil")</f>
        <v>Abrir facsímil</v>
      </c>
      <c r="K2446" s="3" t="s">
        <v>23</v>
      </c>
    </row>
    <row r="2447" spans="1:11" ht="42" customHeight="1">
      <c r="A2447" s="2" t="s">
        <v>5201</v>
      </c>
      <c r="B2447" s="2" t="s">
        <v>5202</v>
      </c>
      <c r="C2447" s="2" t="s">
        <v>26</v>
      </c>
      <c r="D2447" s="2" t="s">
        <v>27</v>
      </c>
      <c r="E2447" s="5">
        <v>-28620</v>
      </c>
      <c r="F2447" s="3" t="s">
        <v>87</v>
      </c>
      <c r="G2447" s="3" t="s">
        <v>88</v>
      </c>
      <c r="H2447" s="2" t="s">
        <v>21</v>
      </c>
      <c r="I2447" s="2" t="s">
        <v>5203</v>
      </c>
      <c r="J2447" s="3" t="str">
        <f>HYPERLINK("https://www.boe.es/gazeta/dias/1821/08/21/pdfs/GMD-1821-238.pdf#page=4","Abrir facsímil")</f>
        <v>Abrir facsímil</v>
      </c>
      <c r="K2447" s="3" t="s">
        <v>23</v>
      </c>
    </row>
    <row r="2448" spans="1:11" ht="42" customHeight="1">
      <c r="A2448" s="2" t="s">
        <v>5204</v>
      </c>
      <c r="B2448" s="2" t="s">
        <v>5205</v>
      </c>
      <c r="C2448" s="2" t="s">
        <v>114</v>
      </c>
      <c r="D2448" s="2" t="s">
        <v>27</v>
      </c>
      <c r="E2448" s="5">
        <v>-28644</v>
      </c>
      <c r="F2448" s="3" t="s">
        <v>1340</v>
      </c>
      <c r="G2448" s="3" t="s">
        <v>88</v>
      </c>
      <c r="H2448" s="2" t="s">
        <v>21</v>
      </c>
      <c r="I2448" s="2" t="s">
        <v>5206</v>
      </c>
      <c r="J2448" s="3" t="str">
        <f>HYPERLINK("https://www.boe.es/gazeta/dias/1821/07/28/pdfs/GMD-1821-213.pdf#page=4","Abrir facsímil")</f>
        <v>Abrir facsímil</v>
      </c>
      <c r="K2448" s="3" t="s">
        <v>23</v>
      </c>
    </row>
    <row r="2449" spans="1:11" ht="42" customHeight="1">
      <c r="A2449" s="2" t="s">
        <v>5207</v>
      </c>
      <c r="B2449" s="2" t="s">
        <v>5208</v>
      </c>
      <c r="C2449" s="2" t="s">
        <v>17</v>
      </c>
      <c r="D2449" s="2" t="s">
        <v>18</v>
      </c>
      <c r="E2449" s="5">
        <v>-28531</v>
      </c>
      <c r="F2449" s="3" t="s">
        <v>365</v>
      </c>
      <c r="G2449" s="3" t="s">
        <v>20</v>
      </c>
      <c r="H2449" s="2" t="s">
        <v>21</v>
      </c>
      <c r="I2449" s="2" t="s">
        <v>5209</v>
      </c>
      <c r="J2449" s="3" t="str">
        <f>HYPERLINK("https://www.boe.es/gazeta/dias/1821/11/18/pdfs/GMD-1821-329.pdf#page=3","Abrir facsímil")</f>
        <v>Abrir facsímil</v>
      </c>
      <c r="K2449" s="3" t="s">
        <v>23</v>
      </c>
    </row>
    <row r="2450" spans="1:11" ht="42" customHeight="1">
      <c r="A2450" s="2" t="s">
        <v>5210</v>
      </c>
      <c r="B2450" s="2" t="s">
        <v>5211</v>
      </c>
      <c r="C2450" s="2" t="s">
        <v>26</v>
      </c>
      <c r="D2450" s="2" t="s">
        <v>27</v>
      </c>
      <c r="E2450" s="5">
        <v>-28708</v>
      </c>
      <c r="F2450" s="3" t="s">
        <v>528</v>
      </c>
      <c r="G2450" s="3" t="s">
        <v>88</v>
      </c>
      <c r="H2450" s="2" t="s">
        <v>21</v>
      </c>
      <c r="I2450" s="2" t="s">
        <v>5212</v>
      </c>
      <c r="J2450" s="3" t="str">
        <f>HYPERLINK("https://www.boe.es/gazeta/dias/1821/05/25/pdfs/GMD-1821-147.pdf#page=4","Abrir facsímil")</f>
        <v>Abrir facsímil</v>
      </c>
      <c r="K2450" s="3" t="s">
        <v>23</v>
      </c>
    </row>
    <row r="2451" spans="1:11" ht="42" customHeight="1">
      <c r="A2451" s="2" t="s">
        <v>5210</v>
      </c>
      <c r="B2451" s="2" t="s">
        <v>5211</v>
      </c>
      <c r="C2451" s="2" t="s">
        <v>40</v>
      </c>
      <c r="D2451" s="2" t="s">
        <v>41</v>
      </c>
      <c r="E2451" s="5">
        <v>-28707</v>
      </c>
      <c r="F2451" s="3" t="s">
        <v>495</v>
      </c>
      <c r="G2451" s="3" t="s">
        <v>52</v>
      </c>
      <c r="H2451" s="2" t="s">
        <v>21</v>
      </c>
      <c r="I2451" s="2" t="s">
        <v>5213</v>
      </c>
      <c r="J2451" s="3" t="str">
        <f>HYPERLINK("https://www.boe.es/gazeta/dias/1821/05/26/pdfs/GMD-1821-148.pdf#page=2","Abrir facsímil")</f>
        <v>Abrir facsímil</v>
      </c>
      <c r="K2451" s="3" t="s">
        <v>23</v>
      </c>
    </row>
    <row r="2452" spans="1:11" ht="42" customHeight="1">
      <c r="A2452" s="2" t="s">
        <v>5210</v>
      </c>
      <c r="B2452" s="2" t="s">
        <v>5211</v>
      </c>
      <c r="C2452" s="2" t="s">
        <v>17</v>
      </c>
      <c r="D2452" s="2" t="s">
        <v>18</v>
      </c>
      <c r="E2452" s="5">
        <v>-28698</v>
      </c>
      <c r="F2452" s="3" t="s">
        <v>2067</v>
      </c>
      <c r="G2452" s="3" t="s">
        <v>3804</v>
      </c>
      <c r="H2452" s="2" t="s">
        <v>21</v>
      </c>
      <c r="I2452" s="2" t="s">
        <v>5214</v>
      </c>
      <c r="J2452" s="3" t="str">
        <f>HYPERLINK("https://www.boe.es/gazeta/dias/1821/06/04/pdfs/GMD-1821-157.pdf#page=2","Abrir facsímil")</f>
        <v>Abrir facsímil</v>
      </c>
      <c r="K2452" s="3" t="s">
        <v>23</v>
      </c>
    </row>
    <row r="2453" spans="1:11" ht="42" customHeight="1">
      <c r="A2453" s="2" t="s">
        <v>5210</v>
      </c>
      <c r="B2453" s="2" t="s">
        <v>5211</v>
      </c>
      <c r="C2453" s="2" t="s">
        <v>70</v>
      </c>
      <c r="D2453" s="2" t="s">
        <v>27</v>
      </c>
      <c r="E2453" s="5">
        <v>-28687</v>
      </c>
      <c r="F2453" s="3" t="s">
        <v>851</v>
      </c>
      <c r="G2453" s="3" t="s">
        <v>20</v>
      </c>
      <c r="H2453" s="2" t="s">
        <v>21</v>
      </c>
      <c r="I2453" s="2" t="s">
        <v>5215</v>
      </c>
      <c r="J2453" s="3" t="str">
        <f>HYPERLINK("https://www.boe.es/gazeta/dias/1821/06/15/pdfs/GMD-1821-168.pdf#page=3","Abrir facsímil")</f>
        <v>Abrir facsímil</v>
      </c>
      <c r="K2453" s="3" t="s">
        <v>23</v>
      </c>
    </row>
    <row r="2454" spans="1:11" ht="42" customHeight="1">
      <c r="A2454" s="2" t="s">
        <v>5210</v>
      </c>
      <c r="B2454" s="2" t="s">
        <v>5211</v>
      </c>
      <c r="C2454" s="2" t="s">
        <v>114</v>
      </c>
      <c r="D2454" s="2" t="s">
        <v>27</v>
      </c>
      <c r="E2454" s="5">
        <v>-28573</v>
      </c>
      <c r="F2454" s="3" t="s">
        <v>19</v>
      </c>
      <c r="G2454" s="3" t="s">
        <v>52</v>
      </c>
      <c r="H2454" s="2" t="s">
        <v>21</v>
      </c>
      <c r="I2454" s="2" t="s">
        <v>5216</v>
      </c>
      <c r="J2454" s="3" t="str">
        <f>HYPERLINK("https://www.boe.es/gazeta/dias/1821/10/07/pdfs/GMD-1821-286.pdf#page=2","Abrir facsímil")</f>
        <v>Abrir facsímil</v>
      </c>
      <c r="K2454" s="3" t="s">
        <v>23</v>
      </c>
    </row>
    <row r="2455" spans="1:11" ht="42" customHeight="1">
      <c r="A2455" s="2" t="s">
        <v>5217</v>
      </c>
      <c r="B2455" s="2" t="s">
        <v>5217</v>
      </c>
      <c r="C2455" s="2" t="s">
        <v>35</v>
      </c>
      <c r="D2455" s="2" t="s">
        <v>27</v>
      </c>
      <c r="E2455" s="5">
        <v>-28756</v>
      </c>
      <c r="F2455" s="3" t="s">
        <v>3145</v>
      </c>
      <c r="G2455" s="3" t="s">
        <v>52</v>
      </c>
      <c r="H2455" s="2" t="s">
        <v>21</v>
      </c>
      <c r="I2455" s="2" t="s">
        <v>5218</v>
      </c>
      <c r="J2455" s="3" t="str">
        <f>HYPERLINK("https://www.boe.es/gazeta/dias/1821/04/07/pdfs/GMD-1821-99.pdf#page=2","Abrir facsímil")</f>
        <v>Abrir facsímil</v>
      </c>
      <c r="K2455" s="3" t="s">
        <v>23</v>
      </c>
    </row>
    <row r="2456" spans="1:11" ht="42" customHeight="1">
      <c r="A2456" s="2" t="s">
        <v>5219</v>
      </c>
      <c r="B2456" s="2" t="s">
        <v>5219</v>
      </c>
      <c r="C2456" s="2" t="s">
        <v>26</v>
      </c>
      <c r="D2456" s="2" t="s">
        <v>27</v>
      </c>
      <c r="E2456" s="5">
        <v>-28578</v>
      </c>
      <c r="F2456" s="3" t="s">
        <v>899</v>
      </c>
      <c r="G2456" s="3" t="s">
        <v>88</v>
      </c>
      <c r="H2456" s="2" t="s">
        <v>21</v>
      </c>
      <c r="I2456" s="2" t="s">
        <v>5220</v>
      </c>
      <c r="J2456" s="3" t="str">
        <f>HYPERLINK("https://www.boe.es/gazeta/dias/1821/10/02/pdfs/GMD-1821-281.pdf#page=4","Abrir facsímil")</f>
        <v>Abrir facsímil</v>
      </c>
      <c r="K2456" s="3" t="s">
        <v>23</v>
      </c>
    </row>
    <row r="2457" spans="1:11" ht="42" customHeight="1">
      <c r="A2457" s="2" t="s">
        <v>5219</v>
      </c>
      <c r="B2457" s="2" t="s">
        <v>5219</v>
      </c>
      <c r="C2457" s="2" t="s">
        <v>35</v>
      </c>
      <c r="D2457" s="2" t="s">
        <v>27</v>
      </c>
      <c r="E2457" s="5">
        <v>-28569</v>
      </c>
      <c r="F2457" s="3" t="s">
        <v>512</v>
      </c>
      <c r="G2457" s="3" t="s">
        <v>162</v>
      </c>
      <c r="H2457" s="2" t="s">
        <v>21</v>
      </c>
      <c r="I2457" s="2" t="s">
        <v>5221</v>
      </c>
      <c r="J2457" s="3" t="str">
        <f>HYPERLINK("https://www.boe.es/gazeta/dias/1821/10/11/pdfs/GMD-1821-290.pdf#page=5","Abrir facsímil")</f>
        <v>Abrir facsímil</v>
      </c>
      <c r="K2457" s="3" t="s">
        <v>23</v>
      </c>
    </row>
    <row r="2458" spans="1:11" ht="42" customHeight="1">
      <c r="A2458" s="2" t="s">
        <v>5219</v>
      </c>
      <c r="B2458" s="2" t="s">
        <v>5219</v>
      </c>
      <c r="C2458" s="2" t="s">
        <v>17</v>
      </c>
      <c r="D2458" s="2" t="s">
        <v>18</v>
      </c>
      <c r="E2458" s="5">
        <v>-28562</v>
      </c>
      <c r="F2458" s="3" t="s">
        <v>3093</v>
      </c>
      <c r="G2458" s="3" t="s">
        <v>162</v>
      </c>
      <c r="H2458" s="2" t="s">
        <v>21</v>
      </c>
      <c r="I2458" s="2" t="s">
        <v>5222</v>
      </c>
      <c r="J2458" s="3" t="str">
        <f>HYPERLINK("https://www.boe.es/gazeta/dias/1821/10/18/pdfs/GMD-1821-297.pdf#page=5","Abrir facsímil")</f>
        <v>Abrir facsímil</v>
      </c>
      <c r="K2458" s="3" t="s">
        <v>23</v>
      </c>
    </row>
    <row r="2459" spans="1:11" ht="42" customHeight="1">
      <c r="A2459" s="2" t="s">
        <v>5223</v>
      </c>
      <c r="B2459" s="2" t="s">
        <v>5224</v>
      </c>
      <c r="C2459" s="2" t="s">
        <v>114</v>
      </c>
      <c r="D2459" s="2" t="s">
        <v>27</v>
      </c>
      <c r="E2459" s="5">
        <v>-28727</v>
      </c>
      <c r="F2459" s="3" t="s">
        <v>200</v>
      </c>
      <c r="G2459" s="3" t="s">
        <v>43</v>
      </c>
      <c r="H2459" s="2" t="s">
        <v>21</v>
      </c>
      <c r="I2459" s="2" t="s">
        <v>5225</v>
      </c>
      <c r="J2459" s="3" t="str">
        <f>HYPERLINK("https://www.boe.es/gazeta/dias/1821/05/06/pdfs/GMD-1821-128.pdf#page=1","Abrir facsímil")</f>
        <v>Abrir facsímil</v>
      </c>
      <c r="K2459" s="3" t="s">
        <v>23</v>
      </c>
    </row>
    <row r="2460" spans="1:11" ht="42" customHeight="1">
      <c r="A2460" s="2" t="s">
        <v>5226</v>
      </c>
      <c r="B2460" s="2" t="s">
        <v>5227</v>
      </c>
      <c r="C2460" s="2" t="s">
        <v>174</v>
      </c>
      <c r="D2460" s="2" t="s">
        <v>27</v>
      </c>
      <c r="E2460" s="5">
        <v>-28806</v>
      </c>
      <c r="F2460" s="3" t="s">
        <v>1201</v>
      </c>
      <c r="G2460" s="3" t="s">
        <v>88</v>
      </c>
      <c r="H2460" s="2" t="s">
        <v>21</v>
      </c>
      <c r="I2460" s="2" t="s">
        <v>5228</v>
      </c>
      <c r="J2460" s="3" t="str">
        <f>HYPERLINK("https://www.boe.es/gazeta/dias/1821/02/16/pdfs/GGB-1821-47.pdf#page=4","Abrir facsímil")</f>
        <v>Abrir facsímil</v>
      </c>
      <c r="K2460" s="3" t="s">
        <v>23</v>
      </c>
    </row>
    <row r="2461" spans="1:11" ht="42" customHeight="1">
      <c r="A2461" s="2" t="s">
        <v>5229</v>
      </c>
      <c r="B2461" s="2" t="s">
        <v>5230</v>
      </c>
      <c r="C2461" s="2" t="s">
        <v>40</v>
      </c>
      <c r="D2461" s="2" t="s">
        <v>41</v>
      </c>
      <c r="E2461" s="5">
        <v>-28735</v>
      </c>
      <c r="F2461" s="3" t="s">
        <v>836</v>
      </c>
      <c r="G2461" s="3" t="s">
        <v>52</v>
      </c>
      <c r="H2461" s="2" t="s">
        <v>21</v>
      </c>
      <c r="I2461" s="2" t="s">
        <v>5231</v>
      </c>
      <c r="J2461" s="3" t="str">
        <f>HYPERLINK("https://www.boe.es/gazeta/dias/1821/04/28/pdfs/GMD-1821-120.pdf#page=2","Abrir facsímil")</f>
        <v>Abrir facsímil</v>
      </c>
      <c r="K2461" s="3" t="s">
        <v>23</v>
      </c>
    </row>
    <row r="2462" spans="1:11" ht="42" customHeight="1">
      <c r="A2462" s="2" t="s">
        <v>5232</v>
      </c>
      <c r="B2462" s="2" t="s">
        <v>5232</v>
      </c>
      <c r="C2462" s="2" t="s">
        <v>40</v>
      </c>
      <c r="D2462" s="2" t="s">
        <v>41</v>
      </c>
      <c r="E2462" s="5">
        <v>-28490</v>
      </c>
      <c r="F2462" s="3" t="s">
        <v>801</v>
      </c>
      <c r="G2462" s="3" t="s">
        <v>88</v>
      </c>
      <c r="H2462" s="2" t="s">
        <v>21</v>
      </c>
      <c r="I2462" s="2" t="s">
        <v>5233</v>
      </c>
      <c r="J2462" s="3" t="str">
        <f>HYPERLINK("https://www.boe.es/gazeta/dias/1821/12/29/pdfs/GMD-1821-372.pdf#page=4","Abrir facsímil")</f>
        <v>Abrir facsímil</v>
      </c>
      <c r="K2462" s="3" t="s">
        <v>23</v>
      </c>
    </row>
    <row r="2463" spans="1:11" ht="42" customHeight="1">
      <c r="A2463" s="2" t="s">
        <v>5234</v>
      </c>
      <c r="B2463" s="2" t="s">
        <v>5235</v>
      </c>
      <c r="C2463" s="2" t="s">
        <v>279</v>
      </c>
      <c r="D2463" s="2" t="s">
        <v>27</v>
      </c>
      <c r="E2463" s="5">
        <v>-28799</v>
      </c>
      <c r="F2463" s="3" t="s">
        <v>3158</v>
      </c>
      <c r="G2463" s="3" t="s">
        <v>20</v>
      </c>
      <c r="H2463" s="2" t="s">
        <v>21</v>
      </c>
      <c r="I2463" s="2" t="s">
        <v>5236</v>
      </c>
      <c r="J2463" s="3" t="str">
        <f>HYPERLINK("https://www.boe.es/gazeta/dias/1821/02/23/pdfs/GGB-1821-54.pdf#page=3","Abrir facsímil")</f>
        <v>Abrir facsímil</v>
      </c>
      <c r="K2463" s="3" t="s">
        <v>23</v>
      </c>
    </row>
    <row r="2464" spans="1:11" ht="42" customHeight="1">
      <c r="A2464" s="2" t="s">
        <v>5237</v>
      </c>
      <c r="B2464" s="2" t="s">
        <v>5237</v>
      </c>
      <c r="C2464" s="2" t="s">
        <v>26</v>
      </c>
      <c r="D2464" s="2" t="s">
        <v>27</v>
      </c>
      <c r="E2464" s="5">
        <v>-28698</v>
      </c>
      <c r="F2464" s="3" t="s">
        <v>2067</v>
      </c>
      <c r="G2464" s="3" t="s">
        <v>20</v>
      </c>
      <c r="H2464" s="2" t="s">
        <v>21</v>
      </c>
      <c r="I2464" s="2" t="s">
        <v>5238</v>
      </c>
      <c r="J2464" s="3" t="str">
        <f>HYPERLINK("https://www.boe.es/gazeta/dias/1821/06/04/pdfs/GMD-1821-157.pdf#page=3","Abrir facsímil")</f>
        <v>Abrir facsímil</v>
      </c>
      <c r="K2464" s="3" t="s">
        <v>23</v>
      </c>
    </row>
    <row r="2465" spans="1:11" ht="42" customHeight="1">
      <c r="A2465" s="2" t="s">
        <v>5237</v>
      </c>
      <c r="B2465" s="2" t="s">
        <v>5237</v>
      </c>
      <c r="C2465" s="2" t="s">
        <v>35</v>
      </c>
      <c r="D2465" s="2" t="s">
        <v>27</v>
      </c>
      <c r="E2465" s="5">
        <v>-28567</v>
      </c>
      <c r="F2465" s="3" t="s">
        <v>217</v>
      </c>
      <c r="G2465" s="3" t="s">
        <v>88</v>
      </c>
      <c r="H2465" s="2" t="s">
        <v>21</v>
      </c>
      <c r="I2465" s="2" t="s">
        <v>5239</v>
      </c>
      <c r="J2465" s="3" t="str">
        <f>HYPERLINK("https://www.boe.es/gazeta/dias/1821/10/13/pdfs/GMD-1821-292.pdf#page=4","Abrir facsímil")</f>
        <v>Abrir facsímil</v>
      </c>
      <c r="K2465" s="3" t="s">
        <v>23</v>
      </c>
    </row>
    <row r="2466" spans="1:11" ht="42" customHeight="1">
      <c r="A2466" s="2" t="s">
        <v>5240</v>
      </c>
      <c r="B2466" s="2" t="s">
        <v>5241</v>
      </c>
      <c r="C2466" s="2" t="s">
        <v>40</v>
      </c>
      <c r="D2466" s="2" t="s">
        <v>41</v>
      </c>
      <c r="E2466" s="5">
        <v>-28626</v>
      </c>
      <c r="F2466" s="3" t="s">
        <v>468</v>
      </c>
      <c r="G2466" s="3" t="s">
        <v>88</v>
      </c>
      <c r="H2466" s="2" t="s">
        <v>21</v>
      </c>
      <c r="I2466" s="2" t="s">
        <v>5242</v>
      </c>
      <c r="J2466" s="3" t="str">
        <f>HYPERLINK("https://www.boe.es/gazeta/dias/1821/08/15/pdfs/GMD-1821-232.pdf#page=4","Abrir facsímil")</f>
        <v>Abrir facsímil</v>
      </c>
      <c r="K2466" s="3" t="s">
        <v>23</v>
      </c>
    </row>
    <row r="2467" spans="1:11" ht="42" customHeight="1">
      <c r="A2467" s="2" t="s">
        <v>5243</v>
      </c>
      <c r="B2467" s="2" t="s">
        <v>5244</v>
      </c>
      <c r="C2467" s="2" t="s">
        <v>114</v>
      </c>
      <c r="D2467" s="2" t="s">
        <v>27</v>
      </c>
      <c r="E2467" s="5">
        <v>-28667</v>
      </c>
      <c r="F2467" s="3" t="s">
        <v>107</v>
      </c>
      <c r="G2467" s="3" t="s">
        <v>52</v>
      </c>
      <c r="H2467" s="2" t="s">
        <v>21</v>
      </c>
      <c r="I2467" s="2" t="s">
        <v>5245</v>
      </c>
      <c r="J2467" s="3" t="str">
        <f>HYPERLINK("https://www.boe.es/gazeta/dias/1821/07/05/pdfs/GMD-1821-189.pdf#page=2","Abrir facsímil")</f>
        <v>Abrir facsímil</v>
      </c>
      <c r="K2467" s="3" t="s">
        <v>23</v>
      </c>
    </row>
    <row r="2468" spans="1:11" ht="42" customHeight="1">
      <c r="A2468" s="2" t="s">
        <v>5246</v>
      </c>
      <c r="B2468" s="2" t="s">
        <v>5246</v>
      </c>
      <c r="C2468" s="2" t="s">
        <v>35</v>
      </c>
      <c r="D2468" s="2" t="s">
        <v>27</v>
      </c>
      <c r="E2468" s="5">
        <v>-28848</v>
      </c>
      <c r="F2468" s="3" t="s">
        <v>5247</v>
      </c>
      <c r="G2468" s="3" t="s">
        <v>52</v>
      </c>
      <c r="H2468" s="2" t="s">
        <v>21</v>
      </c>
      <c r="I2468" s="2" t="s">
        <v>5248</v>
      </c>
      <c r="J2468" s="3" t="str">
        <f>HYPERLINK("https://www.boe.es/gazeta/dias/1821/01/05/pdfs/GGB-1821-5.pdf#page=2","Abrir facsímil")</f>
        <v>Abrir facsímil</v>
      </c>
      <c r="K2468" s="3" t="s">
        <v>23</v>
      </c>
    </row>
    <row r="2469" spans="1:11" ht="42" customHeight="1">
      <c r="A2469" s="2" t="s">
        <v>5249</v>
      </c>
      <c r="B2469" s="2" t="s">
        <v>5249</v>
      </c>
      <c r="C2469" s="2" t="s">
        <v>26</v>
      </c>
      <c r="D2469" s="2" t="s">
        <v>27</v>
      </c>
      <c r="E2469" s="5">
        <v>-28733</v>
      </c>
      <c r="F2469" s="3" t="s">
        <v>1033</v>
      </c>
      <c r="G2469" s="3" t="s">
        <v>20</v>
      </c>
      <c r="H2469" s="2" t="s">
        <v>21</v>
      </c>
      <c r="I2469" s="2" t="s">
        <v>5250</v>
      </c>
      <c r="J2469" s="3" t="str">
        <f>HYPERLINK("https://www.boe.es/gazeta/dias/1821/04/30/pdfs/GMD-1821-122.pdf#page=3","Abrir facsímil")</f>
        <v>Abrir facsímil</v>
      </c>
      <c r="K2469" s="3" t="s">
        <v>23</v>
      </c>
    </row>
    <row r="2470" spans="1:11" ht="42" customHeight="1">
      <c r="A2470" s="2" t="s">
        <v>5249</v>
      </c>
      <c r="B2470" s="2" t="s">
        <v>5249</v>
      </c>
      <c r="C2470" s="2" t="s">
        <v>40</v>
      </c>
      <c r="D2470" s="2" t="s">
        <v>41</v>
      </c>
      <c r="E2470" s="5">
        <v>-28711</v>
      </c>
      <c r="F2470" s="3" t="s">
        <v>1048</v>
      </c>
      <c r="G2470" s="3" t="s">
        <v>52</v>
      </c>
      <c r="H2470" s="2" t="s">
        <v>21</v>
      </c>
      <c r="I2470" s="2" t="s">
        <v>5251</v>
      </c>
      <c r="J2470" s="3" t="str">
        <f>HYPERLINK("https://www.boe.es/gazeta/dias/1821/05/22/pdfs/GMD-1821-144.pdf#page=2","Abrir facsímil")</f>
        <v>Abrir facsímil</v>
      </c>
      <c r="K2470" s="3" t="s">
        <v>23</v>
      </c>
    </row>
    <row r="2471" spans="1:11" ht="42" customHeight="1">
      <c r="A2471" s="2" t="s">
        <v>5249</v>
      </c>
      <c r="B2471" s="2" t="s">
        <v>5249</v>
      </c>
      <c r="C2471" s="2" t="s">
        <v>70</v>
      </c>
      <c r="D2471" s="2" t="s">
        <v>27</v>
      </c>
      <c r="E2471" s="5">
        <v>-28498</v>
      </c>
      <c r="F2471" s="3" t="s">
        <v>447</v>
      </c>
      <c r="G2471" s="3" t="s">
        <v>20</v>
      </c>
      <c r="H2471" s="2" t="s">
        <v>21</v>
      </c>
      <c r="I2471" s="2" t="s">
        <v>5252</v>
      </c>
      <c r="J2471" s="3" t="str">
        <f>HYPERLINK("https://www.boe.es/gazeta/dias/1821/12/21/pdfs/GMD-1821-364.pdf#page=3","Abrir facsímil")</f>
        <v>Abrir facsímil</v>
      </c>
      <c r="K2471" s="3" t="s">
        <v>23</v>
      </c>
    </row>
    <row r="2472" spans="1:11" ht="42" customHeight="1">
      <c r="A2472" s="2" t="s">
        <v>5253</v>
      </c>
      <c r="B2472" s="2" t="s">
        <v>5253</v>
      </c>
      <c r="C2472" s="2" t="s">
        <v>17</v>
      </c>
      <c r="D2472" s="2" t="s">
        <v>18</v>
      </c>
      <c r="E2472" s="5">
        <v>-28565</v>
      </c>
      <c r="F2472" s="3" t="s">
        <v>326</v>
      </c>
      <c r="G2472" s="3" t="s">
        <v>162</v>
      </c>
      <c r="H2472" s="2" t="s">
        <v>21</v>
      </c>
      <c r="I2472" s="2" t="s">
        <v>5254</v>
      </c>
      <c r="J2472" s="3" t="str">
        <f>HYPERLINK("https://www.boe.es/gazeta/dias/1821/10/15/pdfs/GMD-1821-294.pdf#page=5","Abrir facsímil")</f>
        <v>Abrir facsímil</v>
      </c>
      <c r="K2472" s="3" t="s">
        <v>23</v>
      </c>
    </row>
    <row r="2473" spans="1:11" ht="42" customHeight="1">
      <c r="A2473" s="2" t="s">
        <v>5255</v>
      </c>
      <c r="B2473" s="2" t="s">
        <v>5256</v>
      </c>
      <c r="C2473" s="2" t="s">
        <v>17</v>
      </c>
      <c r="D2473" s="2" t="s">
        <v>18</v>
      </c>
      <c r="E2473" s="5">
        <v>-28674</v>
      </c>
      <c r="F2473" s="3" t="s">
        <v>536</v>
      </c>
      <c r="G2473" s="3" t="s">
        <v>162</v>
      </c>
      <c r="H2473" s="2" t="s">
        <v>21</v>
      </c>
      <c r="I2473" s="2" t="s">
        <v>5257</v>
      </c>
      <c r="J2473" s="3" t="str">
        <f>HYPERLINK("https://www.boe.es/gazeta/dias/1821/06/28/pdfs/GMD-1821-181.pdf#page=5","Abrir facsímil")</f>
        <v>Abrir facsímil</v>
      </c>
      <c r="K2473" s="3" t="s">
        <v>23</v>
      </c>
    </row>
    <row r="2474" spans="1:11" ht="42" customHeight="1">
      <c r="A2474" s="2" t="s">
        <v>5258</v>
      </c>
      <c r="B2474" s="2" t="s">
        <v>5259</v>
      </c>
      <c r="C2474" s="2" t="s">
        <v>17</v>
      </c>
      <c r="D2474" s="2" t="s">
        <v>18</v>
      </c>
      <c r="E2474" s="5">
        <v>-28668</v>
      </c>
      <c r="F2474" s="3" t="s">
        <v>2130</v>
      </c>
      <c r="G2474" s="3" t="s">
        <v>20</v>
      </c>
      <c r="H2474" s="2" t="s">
        <v>21</v>
      </c>
      <c r="I2474" s="2" t="s">
        <v>5260</v>
      </c>
      <c r="J2474" s="3" t="str">
        <f>HYPERLINK("https://www.boe.es/gazeta/dias/1821/07/04/pdfs/GMD-1821-188.pdf#page=3","Abrir facsímil")</f>
        <v>Abrir facsímil</v>
      </c>
      <c r="K2474" s="3" t="s">
        <v>23</v>
      </c>
    </row>
    <row r="2475" spans="1:11" ht="42" customHeight="1">
      <c r="A2475" s="2" t="s">
        <v>5261</v>
      </c>
      <c r="B2475" s="2" t="s">
        <v>5261</v>
      </c>
      <c r="C2475" s="2" t="s">
        <v>17</v>
      </c>
      <c r="D2475" s="2" t="s">
        <v>18</v>
      </c>
      <c r="E2475" s="5">
        <v>-28676</v>
      </c>
      <c r="F2475" s="3" t="s">
        <v>534</v>
      </c>
      <c r="G2475" s="3" t="s">
        <v>88</v>
      </c>
      <c r="H2475" s="2" t="s">
        <v>21</v>
      </c>
      <c r="I2475" s="2" t="s">
        <v>5262</v>
      </c>
      <c r="J2475" s="3" t="str">
        <f>HYPERLINK("https://www.boe.es/gazeta/dias/1821/06/26/pdfs/GMD-1821-179.pdf#page=4","Abrir facsímil")</f>
        <v>Abrir facsímil</v>
      </c>
      <c r="K2475" s="3" t="s">
        <v>23</v>
      </c>
    </row>
    <row r="2476" spans="1:11" ht="42" customHeight="1">
      <c r="A2476" s="2" t="s">
        <v>5261</v>
      </c>
      <c r="B2476" s="2" t="s">
        <v>5261</v>
      </c>
      <c r="C2476" s="2" t="s">
        <v>26</v>
      </c>
      <c r="D2476" s="2" t="s">
        <v>27</v>
      </c>
      <c r="E2476" s="5">
        <v>-28676</v>
      </c>
      <c r="F2476" s="3" t="s">
        <v>534</v>
      </c>
      <c r="G2476" s="3" t="s">
        <v>29</v>
      </c>
      <c r="H2476" s="2" t="s">
        <v>21</v>
      </c>
      <c r="I2476" s="2" t="s">
        <v>5263</v>
      </c>
      <c r="J2476" s="3" t="str">
        <f>HYPERLINK("https://www.boe.es/gazeta/dias/1821/06/26/pdfs/GMD-1821-179.pdf#page=6","Abrir facsímil")</f>
        <v>Abrir facsímil</v>
      </c>
      <c r="K2476" s="3" t="s">
        <v>23</v>
      </c>
    </row>
    <row r="2477" spans="1:11" ht="42" customHeight="1">
      <c r="A2477" s="2" t="s">
        <v>5264</v>
      </c>
      <c r="B2477" s="2" t="s">
        <v>5265</v>
      </c>
      <c r="C2477" s="2" t="s">
        <v>35</v>
      </c>
      <c r="D2477" s="2" t="s">
        <v>27</v>
      </c>
      <c r="E2477" s="5">
        <v>-28640</v>
      </c>
      <c r="F2477" s="3" t="s">
        <v>1590</v>
      </c>
      <c r="G2477" s="3" t="s">
        <v>20</v>
      </c>
      <c r="H2477" s="2" t="s">
        <v>30</v>
      </c>
      <c r="I2477" s="2" t="s">
        <v>5266</v>
      </c>
      <c r="J2477" s="3" t="str">
        <f>HYPERLINK("https://www.boe.es/gazeta/dias/1821/08/01/pdfs/GMD-1821-217.pdf#page=3","Abrir facsímil")</f>
        <v>Abrir facsímil</v>
      </c>
      <c r="K2477" s="3" t="s">
        <v>32</v>
      </c>
    </row>
    <row r="2478" spans="1:11" ht="42" customHeight="1">
      <c r="A2478" s="2" t="s">
        <v>5267</v>
      </c>
      <c r="B2478" s="2" t="s">
        <v>5268</v>
      </c>
      <c r="C2478" s="2" t="s">
        <v>35</v>
      </c>
      <c r="D2478" s="2" t="s">
        <v>27</v>
      </c>
      <c r="E2478" s="5">
        <v>-28565</v>
      </c>
      <c r="F2478" s="3" t="s">
        <v>326</v>
      </c>
      <c r="G2478" s="3" t="s">
        <v>29</v>
      </c>
      <c r="H2478" s="2" t="s">
        <v>21</v>
      </c>
      <c r="I2478" s="2" t="s">
        <v>5269</v>
      </c>
      <c r="J2478" s="3" t="str">
        <f>HYPERLINK("https://www.boe.es/gazeta/dias/1821/10/15/pdfs/GMD-1821-294.pdf#page=6","Abrir facsímil")</f>
        <v>Abrir facsímil</v>
      </c>
      <c r="K2478" s="3" t="s">
        <v>23</v>
      </c>
    </row>
    <row r="2479" spans="1:11" ht="42" customHeight="1">
      <c r="A2479" s="2" t="s">
        <v>5270</v>
      </c>
      <c r="B2479" s="2" t="s">
        <v>5270</v>
      </c>
      <c r="C2479" s="2" t="s">
        <v>35</v>
      </c>
      <c r="D2479" s="2" t="s">
        <v>27</v>
      </c>
      <c r="E2479" s="5">
        <v>-28760</v>
      </c>
      <c r="F2479" s="3" t="s">
        <v>170</v>
      </c>
      <c r="G2479" s="3" t="s">
        <v>20</v>
      </c>
      <c r="H2479" s="2" t="s">
        <v>21</v>
      </c>
      <c r="I2479" s="2" t="s">
        <v>5271</v>
      </c>
      <c r="J2479" s="3" t="str">
        <f>HYPERLINK("https://www.boe.es/gazeta/dias/1821/04/03/pdfs/GMD-1821-95.pdf#page=3","Abrir facsímil")</f>
        <v>Abrir facsímil</v>
      </c>
      <c r="K2479" s="3" t="s">
        <v>23</v>
      </c>
    </row>
    <row r="2480" spans="1:11" ht="42" customHeight="1">
      <c r="A2480" s="2" t="s">
        <v>5272</v>
      </c>
      <c r="B2480" s="2" t="s">
        <v>5273</v>
      </c>
      <c r="C2480" s="2" t="s">
        <v>40</v>
      </c>
      <c r="D2480" s="2" t="s">
        <v>41</v>
      </c>
      <c r="E2480" s="5">
        <v>-28799</v>
      </c>
      <c r="F2480" s="3" t="s">
        <v>3158</v>
      </c>
      <c r="G2480" s="3" t="s">
        <v>88</v>
      </c>
      <c r="H2480" s="2" t="s">
        <v>21</v>
      </c>
      <c r="I2480" s="2" t="s">
        <v>5274</v>
      </c>
      <c r="J2480" s="3" t="str">
        <f>HYPERLINK("https://www.boe.es/gazeta/dias/1821/02/23/pdfs/GGB-1821-54.pdf#page=4","Abrir facsímil")</f>
        <v>Abrir facsímil</v>
      </c>
      <c r="K2480" s="3" t="s">
        <v>23</v>
      </c>
    </row>
    <row r="2481" spans="1:11" ht="42" customHeight="1">
      <c r="A2481" s="2" t="s">
        <v>5275</v>
      </c>
      <c r="B2481" s="2" t="s">
        <v>5276</v>
      </c>
      <c r="C2481" s="2" t="s">
        <v>174</v>
      </c>
      <c r="D2481" s="2" t="s">
        <v>27</v>
      </c>
      <c r="E2481" s="5">
        <v>-28535</v>
      </c>
      <c r="F2481" s="3" t="s">
        <v>96</v>
      </c>
      <c r="G2481" s="3" t="s">
        <v>52</v>
      </c>
      <c r="H2481" s="2" t="s">
        <v>21</v>
      </c>
      <c r="I2481" s="2" t="s">
        <v>5277</v>
      </c>
      <c r="J2481" s="3" t="str">
        <f>HYPERLINK("https://www.boe.es/gazeta/dias/1821/11/14/pdfs/GMD-1821-325.pdf#page=2","Abrir facsímil")</f>
        <v>Abrir facsímil</v>
      </c>
      <c r="K2481" s="3" t="s">
        <v>23</v>
      </c>
    </row>
    <row r="2482" spans="1:11" ht="42" customHeight="1">
      <c r="A2482" s="2" t="s">
        <v>5278</v>
      </c>
      <c r="B2482" s="2" t="s">
        <v>5279</v>
      </c>
      <c r="C2482" s="2" t="s">
        <v>40</v>
      </c>
      <c r="D2482" s="2" t="s">
        <v>41</v>
      </c>
      <c r="E2482" s="5">
        <v>-28535</v>
      </c>
      <c r="F2482" s="3" t="s">
        <v>96</v>
      </c>
      <c r="G2482" s="3" t="s">
        <v>29</v>
      </c>
      <c r="H2482" s="2" t="s">
        <v>21</v>
      </c>
      <c r="I2482" s="2" t="s">
        <v>5280</v>
      </c>
      <c r="J2482" s="3" t="str">
        <f>HYPERLINK("https://www.boe.es/gazeta/dias/1821/11/14/pdfs/GMD-1821-325.pdf#page=6","Abrir facsímil")</f>
        <v>Abrir facsímil</v>
      </c>
      <c r="K2482" s="3" t="s">
        <v>23</v>
      </c>
    </row>
    <row r="2483" spans="1:11" ht="42" customHeight="1">
      <c r="A2483" s="2" t="s">
        <v>5281</v>
      </c>
      <c r="B2483" s="2" t="s">
        <v>5282</v>
      </c>
      <c r="C2483" s="2" t="s">
        <v>17</v>
      </c>
      <c r="D2483" s="2" t="s">
        <v>18</v>
      </c>
      <c r="E2483" s="5">
        <v>-28782</v>
      </c>
      <c r="F2483" s="3" t="s">
        <v>508</v>
      </c>
      <c r="G2483" s="3" t="s">
        <v>88</v>
      </c>
      <c r="H2483" s="2" t="s">
        <v>21</v>
      </c>
      <c r="I2483" s="2" t="s">
        <v>5283</v>
      </c>
      <c r="J2483" s="3" t="str">
        <f>HYPERLINK("https://www.boe.es/gazeta/dias/1821/03/12/pdfs/GMD-1821-71.pdf#page=4","Abrir facsímil")</f>
        <v>Abrir facsímil</v>
      </c>
      <c r="K2483" s="3" t="s">
        <v>23</v>
      </c>
    </row>
    <row r="2484" spans="1:11" ht="42" customHeight="1">
      <c r="A2484" s="2" t="s">
        <v>5284</v>
      </c>
      <c r="B2484" s="2" t="s">
        <v>5285</v>
      </c>
      <c r="C2484" s="2" t="s">
        <v>40</v>
      </c>
      <c r="D2484" s="2" t="s">
        <v>41</v>
      </c>
      <c r="E2484" s="5">
        <v>-28847</v>
      </c>
      <c r="F2484" s="3" t="s">
        <v>288</v>
      </c>
      <c r="G2484" s="3" t="s">
        <v>289</v>
      </c>
      <c r="H2484" s="2" t="s">
        <v>21</v>
      </c>
      <c r="I2484" s="2" t="s">
        <v>5286</v>
      </c>
      <c r="J2484" s="3" t="str">
        <f>HYPERLINK("https://www.boe.es/gazeta/dias/1821/01/06/pdfs/GGB-1821-6.pdf#page=4","Abrir facsímil")</f>
        <v>Abrir facsímil</v>
      </c>
      <c r="K2484" s="3" t="s">
        <v>23</v>
      </c>
    </row>
    <row r="2485" spans="1:11" ht="42" customHeight="1">
      <c r="A2485" s="2" t="s">
        <v>5287</v>
      </c>
      <c r="B2485" s="2" t="s">
        <v>5287</v>
      </c>
      <c r="C2485" s="2" t="s">
        <v>26</v>
      </c>
      <c r="D2485" s="2" t="s">
        <v>27</v>
      </c>
      <c r="E2485" s="5">
        <v>-28791</v>
      </c>
      <c r="F2485" s="3" t="s">
        <v>47</v>
      </c>
      <c r="G2485" s="3" t="s">
        <v>88</v>
      </c>
      <c r="H2485" s="2" t="s">
        <v>21</v>
      </c>
      <c r="I2485" s="2" t="s">
        <v>5288</v>
      </c>
      <c r="J2485" s="3" t="str">
        <f>HYPERLINK("https://www.boe.es/gazeta/dias/1821/03/03/pdfs/GGB-1821-62.pdf#page=4","Abrir facsímil")</f>
        <v>Abrir facsímil</v>
      </c>
      <c r="K2485" s="3" t="s">
        <v>23</v>
      </c>
    </row>
    <row r="2486" spans="1:11" ht="42" customHeight="1">
      <c r="A2486" s="2" t="s">
        <v>5289</v>
      </c>
      <c r="B2486" s="2" t="s">
        <v>5290</v>
      </c>
      <c r="C2486" s="2" t="s">
        <v>26</v>
      </c>
      <c r="D2486" s="2" t="s">
        <v>27</v>
      </c>
      <c r="E2486" s="5">
        <v>-28539</v>
      </c>
      <c r="F2486" s="3" t="s">
        <v>153</v>
      </c>
      <c r="G2486" s="3" t="s">
        <v>52</v>
      </c>
      <c r="H2486" s="2" t="s">
        <v>21</v>
      </c>
      <c r="I2486" s="2" t="s">
        <v>5291</v>
      </c>
      <c r="J2486" s="3" t="str">
        <f>HYPERLINK("https://www.boe.es/gazeta/dias/1821/11/10/pdfs/GMD-1821-321.pdf#page=2","Abrir facsímil")</f>
        <v>Abrir facsímil</v>
      </c>
      <c r="K2486" s="3" t="s">
        <v>23</v>
      </c>
    </row>
    <row r="2487" spans="1:11" ht="42" customHeight="1">
      <c r="A2487" s="2" t="s">
        <v>5292</v>
      </c>
      <c r="B2487" s="2" t="s">
        <v>5292</v>
      </c>
      <c r="C2487" s="2" t="s">
        <v>35</v>
      </c>
      <c r="D2487" s="2" t="s">
        <v>27</v>
      </c>
      <c r="E2487" s="5">
        <v>-28488</v>
      </c>
      <c r="F2487" s="3" t="s">
        <v>1563</v>
      </c>
      <c r="G2487" s="3" t="s">
        <v>3734</v>
      </c>
      <c r="H2487" s="2" t="s">
        <v>21</v>
      </c>
      <c r="I2487" s="2" t="s">
        <v>5293</v>
      </c>
      <c r="J2487" s="3" t="str">
        <f>HYPERLINK("https://www.boe.es/gazeta/dias/1821/12/31/pdfs/GMD-1821-374.pdf#page=3","Abrir facsímil")</f>
        <v>Abrir facsímil</v>
      </c>
      <c r="K2487" s="3" t="s">
        <v>23</v>
      </c>
    </row>
    <row r="2488" spans="1:11" ht="42" customHeight="1">
      <c r="A2488" s="2" t="s">
        <v>5294</v>
      </c>
      <c r="B2488" s="2" t="s">
        <v>5295</v>
      </c>
      <c r="C2488" s="2" t="s">
        <v>35</v>
      </c>
      <c r="D2488" s="2" t="s">
        <v>27</v>
      </c>
      <c r="E2488" s="5">
        <v>-28764</v>
      </c>
      <c r="F2488" s="3" t="s">
        <v>924</v>
      </c>
      <c r="G2488" s="3" t="s">
        <v>43</v>
      </c>
      <c r="H2488" s="2" t="s">
        <v>21</v>
      </c>
      <c r="I2488" s="2" t="s">
        <v>5296</v>
      </c>
      <c r="J2488" s="3" t="str">
        <f>HYPERLINK("https://www.boe.es/gazeta/dias/1821/03/30/pdfs/GMD-1821-91.pdf#page=1","Abrir facsímil")</f>
        <v>Abrir facsímil</v>
      </c>
      <c r="K2488" s="3" t="s">
        <v>23</v>
      </c>
    </row>
    <row r="2489" spans="1:11" ht="42" customHeight="1">
      <c r="A2489" s="2" t="s">
        <v>5297</v>
      </c>
      <c r="B2489" s="2" t="s">
        <v>5297</v>
      </c>
      <c r="C2489" s="2" t="s">
        <v>40</v>
      </c>
      <c r="D2489" s="2" t="s">
        <v>41</v>
      </c>
      <c r="E2489" s="5">
        <v>-28668</v>
      </c>
      <c r="F2489" s="3" t="s">
        <v>2130</v>
      </c>
      <c r="G2489" s="3" t="s">
        <v>88</v>
      </c>
      <c r="H2489" s="2" t="s">
        <v>21</v>
      </c>
      <c r="I2489" s="2" t="s">
        <v>5298</v>
      </c>
      <c r="J2489" s="3" t="str">
        <f>HYPERLINK("https://www.boe.es/gazeta/dias/1821/07/04/pdfs/GMD-1821-188.pdf#page=4","Abrir facsímil")</f>
        <v>Abrir facsímil</v>
      </c>
      <c r="K2489" s="3" t="s">
        <v>23</v>
      </c>
    </row>
    <row r="2490" spans="1:11" ht="42" customHeight="1">
      <c r="A2490" s="2" t="s">
        <v>5299</v>
      </c>
      <c r="B2490" s="2" t="s">
        <v>5299</v>
      </c>
      <c r="C2490" s="2" t="s">
        <v>17</v>
      </c>
      <c r="D2490" s="2" t="s">
        <v>18</v>
      </c>
      <c r="E2490" s="5">
        <v>-28832</v>
      </c>
      <c r="F2490" s="3" t="s">
        <v>353</v>
      </c>
      <c r="G2490" s="3" t="s">
        <v>88</v>
      </c>
      <c r="H2490" s="2" t="s">
        <v>21</v>
      </c>
      <c r="I2490" s="2" t="s">
        <v>5300</v>
      </c>
      <c r="J2490" s="3" t="str">
        <f>HYPERLINK("https://www.boe.es/gazeta/dias/1821/01/21/pdfs/GGB-1821-21.pdf#page=4","Abrir facsímil")</f>
        <v>Abrir facsímil</v>
      </c>
      <c r="K2490" s="3" t="s">
        <v>23</v>
      </c>
    </row>
    <row r="2491" spans="1:11" ht="42" customHeight="1">
      <c r="A2491" s="2" t="s">
        <v>5301</v>
      </c>
      <c r="B2491" s="2" t="s">
        <v>5301</v>
      </c>
      <c r="C2491" s="2" t="s">
        <v>35</v>
      </c>
      <c r="D2491" s="2" t="s">
        <v>27</v>
      </c>
      <c r="E2491" s="5">
        <v>-28526</v>
      </c>
      <c r="F2491" s="3" t="s">
        <v>223</v>
      </c>
      <c r="G2491" s="3" t="s">
        <v>43</v>
      </c>
      <c r="H2491" s="2" t="s">
        <v>21</v>
      </c>
      <c r="I2491" s="2" t="s">
        <v>5302</v>
      </c>
      <c r="J2491" s="3" t="str">
        <f>HYPERLINK("https://www.boe.es/gazeta/dias/1821/11/23/pdfs/GMD-1821-334.pdf#page=1","Abrir facsímil")</f>
        <v>Abrir facsímil</v>
      </c>
      <c r="K2491" s="3" t="s">
        <v>23</v>
      </c>
    </row>
    <row r="2492" spans="1:11" ht="42" customHeight="1">
      <c r="A2492" s="2" t="s">
        <v>5303</v>
      </c>
      <c r="B2492" s="2" t="s">
        <v>5304</v>
      </c>
      <c r="C2492" s="2" t="s">
        <v>70</v>
      </c>
      <c r="D2492" s="2" t="s">
        <v>27</v>
      </c>
      <c r="E2492" s="5">
        <v>-28699</v>
      </c>
      <c r="F2492" s="3" t="s">
        <v>280</v>
      </c>
      <c r="G2492" s="3" t="s">
        <v>29</v>
      </c>
      <c r="H2492" s="2" t="s">
        <v>21</v>
      </c>
      <c r="I2492" s="2" t="s">
        <v>5305</v>
      </c>
      <c r="J2492" s="3" t="str">
        <f>HYPERLINK("https://www.boe.es/gazeta/dias/1821/06/03/pdfs/GMD-1821-156.pdf#page=6","Abrir facsímil")</f>
        <v>Abrir facsímil</v>
      </c>
      <c r="K2492" s="3" t="s">
        <v>23</v>
      </c>
    </row>
    <row r="2493" spans="1:11" ht="42" customHeight="1">
      <c r="A2493" s="2" t="s">
        <v>5306</v>
      </c>
      <c r="B2493" s="2" t="s">
        <v>5307</v>
      </c>
      <c r="C2493" s="2" t="s">
        <v>26</v>
      </c>
      <c r="D2493" s="2" t="s">
        <v>27</v>
      </c>
      <c r="E2493" s="5">
        <v>-28714</v>
      </c>
      <c r="F2493" s="3" t="s">
        <v>522</v>
      </c>
      <c r="G2493" s="3" t="s">
        <v>52</v>
      </c>
      <c r="H2493" s="2" t="s">
        <v>21</v>
      </c>
      <c r="I2493" s="2" t="s">
        <v>5308</v>
      </c>
      <c r="J2493" s="3" t="str">
        <f>HYPERLINK("https://www.boe.es/gazeta/dias/1821/05/19/pdfs/GMD-1821-141.pdf#page=2","Abrir facsímil")</f>
        <v>Abrir facsímil</v>
      </c>
      <c r="K2493" s="3" t="s">
        <v>23</v>
      </c>
    </row>
    <row r="2494" spans="1:11" ht="42" customHeight="1">
      <c r="A2494" s="2" t="s">
        <v>5309</v>
      </c>
      <c r="B2494" s="2" t="s">
        <v>5310</v>
      </c>
      <c r="C2494" s="2" t="s">
        <v>17</v>
      </c>
      <c r="D2494" s="2" t="s">
        <v>18</v>
      </c>
      <c r="E2494" s="5">
        <v>-28802</v>
      </c>
      <c r="F2494" s="3" t="s">
        <v>4814</v>
      </c>
      <c r="G2494" s="3" t="s">
        <v>88</v>
      </c>
      <c r="H2494" s="2" t="s">
        <v>21</v>
      </c>
      <c r="I2494" s="2" t="s">
        <v>5311</v>
      </c>
      <c r="J2494" s="3" t="str">
        <f>HYPERLINK("https://www.boe.es/gazeta/dias/1821/02/20/pdfs/GGB-1821-51.pdf#page=4","Abrir facsímil")</f>
        <v>Abrir facsímil</v>
      </c>
      <c r="K2494" s="3" t="s">
        <v>23</v>
      </c>
    </row>
    <row r="2495" spans="1:11" ht="42" customHeight="1">
      <c r="A2495" s="2" t="s">
        <v>5312</v>
      </c>
      <c r="B2495" s="2" t="s">
        <v>5313</v>
      </c>
      <c r="C2495" s="2" t="s">
        <v>17</v>
      </c>
      <c r="D2495" s="2" t="s">
        <v>18</v>
      </c>
      <c r="E2495" s="5">
        <v>-28790</v>
      </c>
      <c r="F2495" s="3" t="s">
        <v>991</v>
      </c>
      <c r="G2495" s="3" t="s">
        <v>88</v>
      </c>
      <c r="H2495" s="2" t="s">
        <v>21</v>
      </c>
      <c r="I2495" s="2" t="s">
        <v>5314</v>
      </c>
      <c r="J2495" s="3" t="str">
        <f>HYPERLINK("https://www.boe.es/gazeta/dias/1821/03/04/pdfs/GGB-1821-63.pdf#page=4","Abrir facsímil")</f>
        <v>Abrir facsímil</v>
      </c>
      <c r="K2495" s="3" t="s">
        <v>23</v>
      </c>
    </row>
    <row r="2496" spans="1:11" ht="42" customHeight="1">
      <c r="A2496" s="2" t="s">
        <v>5315</v>
      </c>
      <c r="B2496" s="2" t="s">
        <v>5316</v>
      </c>
      <c r="C2496" s="2" t="s">
        <v>17</v>
      </c>
      <c r="D2496" s="2" t="s">
        <v>18</v>
      </c>
      <c r="E2496" s="5">
        <v>-28654</v>
      </c>
      <c r="F2496" s="3" t="s">
        <v>674</v>
      </c>
      <c r="G2496" s="3" t="s">
        <v>88</v>
      </c>
      <c r="H2496" s="2" t="s">
        <v>21</v>
      </c>
      <c r="I2496" s="2" t="s">
        <v>5317</v>
      </c>
      <c r="J2496" s="3" t="str">
        <f>HYPERLINK("https://www.boe.es/gazeta/dias/1821/07/18/pdfs/GMD-1821-203.pdf#page=4","Abrir facsímil")</f>
        <v>Abrir facsímil</v>
      </c>
      <c r="K2496" s="3" t="s">
        <v>23</v>
      </c>
    </row>
    <row r="2497" spans="1:11" ht="42" customHeight="1">
      <c r="A2497" s="2" t="s">
        <v>5318</v>
      </c>
      <c r="B2497" s="2" t="s">
        <v>5319</v>
      </c>
      <c r="C2497" s="2" t="s">
        <v>70</v>
      </c>
      <c r="D2497" s="2" t="s">
        <v>27</v>
      </c>
      <c r="E2497" s="5">
        <v>-28793</v>
      </c>
      <c r="F2497" s="3" t="s">
        <v>157</v>
      </c>
      <c r="G2497" s="3" t="s">
        <v>29</v>
      </c>
      <c r="H2497" s="2" t="s">
        <v>21</v>
      </c>
      <c r="I2497" s="2" t="s">
        <v>5320</v>
      </c>
      <c r="J2497" s="3" t="str">
        <f>HYPERLINK("https://www.boe.es/gazeta/dias/1821/03/01/pdfs/GGB-1821-60.pdf#page=6","Abrir facsímil")</f>
        <v>Abrir facsímil</v>
      </c>
      <c r="K2497" s="3" t="s">
        <v>23</v>
      </c>
    </row>
    <row r="2498" spans="1:11" ht="42" customHeight="1">
      <c r="A2498" s="2" t="s">
        <v>5321</v>
      </c>
      <c r="B2498" s="2" t="s">
        <v>5322</v>
      </c>
      <c r="C2498" s="2" t="s">
        <v>35</v>
      </c>
      <c r="D2498" s="2" t="s">
        <v>27</v>
      </c>
      <c r="E2498" s="5">
        <v>-28731</v>
      </c>
      <c r="F2498" s="3" t="s">
        <v>577</v>
      </c>
      <c r="G2498" s="3" t="s">
        <v>20</v>
      </c>
      <c r="H2498" s="2" t="s">
        <v>21</v>
      </c>
      <c r="I2498" s="2" t="s">
        <v>5323</v>
      </c>
      <c r="J2498" s="3" t="str">
        <f>HYPERLINK("https://www.boe.es/gazeta/dias/1821/05/02/pdfs/GMD-1821-124.pdf#page=3","Abrir facsímil")</f>
        <v>Abrir facsímil</v>
      </c>
      <c r="K2498" s="3" t="s">
        <v>23</v>
      </c>
    </row>
    <row r="2499" spans="1:11" ht="42" customHeight="1">
      <c r="A2499" s="2" t="s">
        <v>5324</v>
      </c>
      <c r="B2499" s="2" t="s">
        <v>5325</v>
      </c>
      <c r="C2499" s="2" t="s">
        <v>17</v>
      </c>
      <c r="D2499" s="2" t="s">
        <v>18</v>
      </c>
      <c r="E2499" s="5">
        <v>-28686</v>
      </c>
      <c r="F2499" s="3" t="s">
        <v>115</v>
      </c>
      <c r="G2499" s="3" t="s">
        <v>88</v>
      </c>
      <c r="H2499" s="2" t="s">
        <v>21</v>
      </c>
      <c r="I2499" s="2" t="s">
        <v>5326</v>
      </c>
      <c r="J2499" s="3" t="str">
        <f>HYPERLINK("https://www.boe.es/gazeta/dias/1821/06/16/pdfs/GMD-1821-169.pdf#page=4","Abrir facsímil")</f>
        <v>Abrir facsímil</v>
      </c>
      <c r="K2499" s="3" t="s">
        <v>23</v>
      </c>
    </row>
    <row r="2500" spans="1:11" ht="42" customHeight="1">
      <c r="A2500" s="2" t="s">
        <v>5324</v>
      </c>
      <c r="B2500" s="2" t="s">
        <v>5325</v>
      </c>
      <c r="C2500" s="2" t="s">
        <v>26</v>
      </c>
      <c r="D2500" s="2" t="s">
        <v>27</v>
      </c>
      <c r="E2500" s="5">
        <v>-28527</v>
      </c>
      <c r="F2500" s="3" t="s">
        <v>328</v>
      </c>
      <c r="G2500" s="3" t="s">
        <v>88</v>
      </c>
      <c r="H2500" s="2" t="s">
        <v>21</v>
      </c>
      <c r="I2500" s="2" t="s">
        <v>5327</v>
      </c>
      <c r="J2500" s="3" t="str">
        <f>HYPERLINK("https://www.boe.es/gazeta/dias/1821/11/22/pdfs/GMD-1821-333.pdf#page=4","Abrir facsímil")</f>
        <v>Abrir facsímil</v>
      </c>
      <c r="K2500" s="3" t="s">
        <v>23</v>
      </c>
    </row>
    <row r="2501" spans="1:11" ht="42" customHeight="1">
      <c r="A2501" s="2" t="s">
        <v>5328</v>
      </c>
      <c r="B2501" s="2" t="s">
        <v>5329</v>
      </c>
      <c r="C2501" s="2" t="s">
        <v>174</v>
      </c>
      <c r="D2501" s="2" t="s">
        <v>27</v>
      </c>
      <c r="E2501" s="5">
        <v>-28608</v>
      </c>
      <c r="F2501" s="3" t="s">
        <v>805</v>
      </c>
      <c r="G2501" s="3" t="s">
        <v>88</v>
      </c>
      <c r="H2501" s="2" t="s">
        <v>21</v>
      </c>
      <c r="I2501" s="2" t="s">
        <v>5330</v>
      </c>
      <c r="J2501" s="3" t="str">
        <f>HYPERLINK("https://www.boe.es/gazeta/dias/1821/09/02/pdfs/GMD-1821-250.pdf#page=4","Abrir facsímil")</f>
        <v>Abrir facsímil</v>
      </c>
      <c r="K2501" s="3" t="s">
        <v>23</v>
      </c>
    </row>
    <row r="2502" spans="1:11" ht="42" customHeight="1">
      <c r="A2502" s="2" t="s">
        <v>5331</v>
      </c>
      <c r="B2502" s="2" t="s">
        <v>5332</v>
      </c>
      <c r="C2502" s="2" t="s">
        <v>35</v>
      </c>
      <c r="D2502" s="2" t="s">
        <v>27</v>
      </c>
      <c r="E2502" s="5">
        <v>-28527</v>
      </c>
      <c r="F2502" s="3" t="s">
        <v>328</v>
      </c>
      <c r="G2502" s="3" t="s">
        <v>88</v>
      </c>
      <c r="H2502" s="2" t="s">
        <v>21</v>
      </c>
      <c r="I2502" s="2" t="s">
        <v>5333</v>
      </c>
      <c r="J2502" s="3" t="str">
        <f>HYPERLINK("https://www.boe.es/gazeta/dias/1821/11/22/pdfs/GMD-1821-333.pdf#page=4","Abrir facsímil")</f>
        <v>Abrir facsímil</v>
      </c>
      <c r="K2502" s="3" t="s">
        <v>23</v>
      </c>
    </row>
    <row r="2503" spans="1:11" ht="42" customHeight="1">
      <c r="A2503" s="2" t="s">
        <v>5334</v>
      </c>
      <c r="B2503" s="2" t="s">
        <v>5335</v>
      </c>
      <c r="C2503" s="2" t="s">
        <v>174</v>
      </c>
      <c r="D2503" s="2" t="s">
        <v>27</v>
      </c>
      <c r="E2503" s="5">
        <v>-28499</v>
      </c>
      <c r="F2503" s="3" t="s">
        <v>954</v>
      </c>
      <c r="G2503" s="3" t="s">
        <v>88</v>
      </c>
      <c r="H2503" s="2" t="s">
        <v>21</v>
      </c>
      <c r="I2503" s="2" t="s">
        <v>5336</v>
      </c>
      <c r="J2503" s="3" t="str">
        <f>HYPERLINK("https://www.boe.es/gazeta/dias/1821/12/20/pdfs/GMD-1821-363.pdf#page=4","Abrir facsímil")</f>
        <v>Abrir facsímil</v>
      </c>
      <c r="K2503" s="3" t="s">
        <v>23</v>
      </c>
    </row>
    <row r="2504" spans="1:11" ht="42" customHeight="1">
      <c r="A2504" s="2" t="s">
        <v>5337</v>
      </c>
      <c r="B2504" s="2" t="s">
        <v>5338</v>
      </c>
      <c r="C2504" s="2" t="s">
        <v>17</v>
      </c>
      <c r="D2504" s="2" t="s">
        <v>18</v>
      </c>
      <c r="E2504" s="5">
        <v>-28686</v>
      </c>
      <c r="F2504" s="3" t="s">
        <v>115</v>
      </c>
      <c r="G2504" s="3" t="s">
        <v>88</v>
      </c>
      <c r="H2504" s="2" t="s">
        <v>21</v>
      </c>
      <c r="I2504" s="2" t="s">
        <v>5339</v>
      </c>
      <c r="J2504" s="3" t="str">
        <f>HYPERLINK("https://www.boe.es/gazeta/dias/1821/06/16/pdfs/GMD-1821-169.pdf#page=4","Abrir facsímil")</f>
        <v>Abrir facsímil</v>
      </c>
      <c r="K2504" s="3" t="s">
        <v>23</v>
      </c>
    </row>
    <row r="2505" spans="1:11" ht="42" customHeight="1">
      <c r="A2505" s="2" t="s">
        <v>5340</v>
      </c>
      <c r="B2505" s="2" t="s">
        <v>5341</v>
      </c>
      <c r="C2505" s="2" t="s">
        <v>40</v>
      </c>
      <c r="D2505" s="2" t="s">
        <v>41</v>
      </c>
      <c r="E2505" s="5">
        <v>-28608</v>
      </c>
      <c r="F2505" s="3" t="s">
        <v>805</v>
      </c>
      <c r="G2505" s="3" t="s">
        <v>88</v>
      </c>
      <c r="H2505" s="2" t="s">
        <v>21</v>
      </c>
      <c r="I2505" s="2" t="s">
        <v>5342</v>
      </c>
      <c r="J2505" s="3" t="str">
        <f>HYPERLINK("https://www.boe.es/gazeta/dias/1821/09/02/pdfs/GMD-1821-250.pdf#page=4","Abrir facsímil")</f>
        <v>Abrir facsímil</v>
      </c>
      <c r="K2505" s="3" t="s">
        <v>23</v>
      </c>
    </row>
    <row r="2506" spans="1:11" ht="42" customHeight="1">
      <c r="A2506" s="2" t="s">
        <v>5337</v>
      </c>
      <c r="B2506" s="2" t="s">
        <v>5338</v>
      </c>
      <c r="C2506" s="2" t="s">
        <v>35</v>
      </c>
      <c r="D2506" s="2" t="s">
        <v>27</v>
      </c>
      <c r="E2506" s="5">
        <v>-28527</v>
      </c>
      <c r="F2506" s="3" t="s">
        <v>328</v>
      </c>
      <c r="G2506" s="3" t="s">
        <v>88</v>
      </c>
      <c r="H2506" s="2" t="s">
        <v>21</v>
      </c>
      <c r="I2506" s="2" t="s">
        <v>5343</v>
      </c>
      <c r="J2506" s="3" t="str">
        <f>HYPERLINK("https://www.boe.es/gazeta/dias/1821/11/22/pdfs/GMD-1821-333.pdf#page=4","Abrir facsímil")</f>
        <v>Abrir facsímil</v>
      </c>
      <c r="K2506" s="3" t="s">
        <v>23</v>
      </c>
    </row>
    <row r="2507" spans="1:11" ht="42" customHeight="1">
      <c r="A2507" s="2" t="s">
        <v>5337</v>
      </c>
      <c r="B2507" s="2" t="s">
        <v>5338</v>
      </c>
      <c r="C2507" s="2" t="s">
        <v>40</v>
      </c>
      <c r="D2507" s="2" t="s">
        <v>41</v>
      </c>
      <c r="E2507" s="5">
        <v>-28499</v>
      </c>
      <c r="F2507" s="3" t="s">
        <v>954</v>
      </c>
      <c r="G2507" s="3" t="s">
        <v>88</v>
      </c>
      <c r="H2507" s="2" t="s">
        <v>21</v>
      </c>
      <c r="I2507" s="2" t="s">
        <v>5344</v>
      </c>
      <c r="J2507" s="3" t="str">
        <f>HYPERLINK("https://www.boe.es/gazeta/dias/1821/12/20/pdfs/GMD-1821-363.pdf#page=4","Abrir facsímil")</f>
        <v>Abrir facsímil</v>
      </c>
      <c r="K2507" s="3" t="s">
        <v>23</v>
      </c>
    </row>
    <row r="2508" spans="1:11" ht="42" customHeight="1">
      <c r="A2508" s="2" t="s">
        <v>5345</v>
      </c>
      <c r="B2508" s="2" t="s">
        <v>5346</v>
      </c>
      <c r="C2508" s="2" t="s">
        <v>279</v>
      </c>
      <c r="D2508" s="2" t="s">
        <v>27</v>
      </c>
      <c r="E2508" s="5">
        <v>-28686</v>
      </c>
      <c r="F2508" s="3" t="s">
        <v>115</v>
      </c>
      <c r="G2508" s="3" t="s">
        <v>88</v>
      </c>
      <c r="H2508" s="2" t="s">
        <v>30</v>
      </c>
      <c r="I2508" s="2" t="s">
        <v>5347</v>
      </c>
      <c r="J2508" s="3" t="str">
        <f>HYPERLINK("https://www.boe.es/gazeta/dias/1821/06/16/pdfs/GMD-1821-169.pdf#page=4","Abrir facsímil")</f>
        <v>Abrir facsímil</v>
      </c>
      <c r="K2508" s="3" t="s">
        <v>32</v>
      </c>
    </row>
    <row r="2509" spans="1:11" ht="42" customHeight="1">
      <c r="A2509" s="2" t="s">
        <v>5348</v>
      </c>
      <c r="B2509" s="2" t="s">
        <v>5349</v>
      </c>
      <c r="C2509" s="2" t="s">
        <v>40</v>
      </c>
      <c r="D2509" s="2" t="s">
        <v>41</v>
      </c>
      <c r="E2509" s="5">
        <v>-28608</v>
      </c>
      <c r="F2509" s="3" t="s">
        <v>805</v>
      </c>
      <c r="G2509" s="3" t="s">
        <v>88</v>
      </c>
      <c r="H2509" s="2" t="s">
        <v>30</v>
      </c>
      <c r="I2509" s="2" t="s">
        <v>5350</v>
      </c>
      <c r="J2509" s="3" t="str">
        <f>HYPERLINK("https://www.boe.es/gazeta/dias/1821/09/02/pdfs/GMD-1821-250.pdf#page=4","Abrir facsímil")</f>
        <v>Abrir facsímil</v>
      </c>
      <c r="K2509" s="3" t="s">
        <v>32</v>
      </c>
    </row>
    <row r="2510" spans="1:11" ht="42" customHeight="1">
      <c r="A2510" s="2" t="s">
        <v>5345</v>
      </c>
      <c r="B2510" s="2" t="s">
        <v>5346</v>
      </c>
      <c r="C2510" s="2" t="s">
        <v>279</v>
      </c>
      <c r="D2510" s="2" t="s">
        <v>27</v>
      </c>
      <c r="E2510" s="5">
        <v>-28527</v>
      </c>
      <c r="F2510" s="3" t="s">
        <v>328</v>
      </c>
      <c r="G2510" s="3" t="s">
        <v>88</v>
      </c>
      <c r="H2510" s="2" t="s">
        <v>30</v>
      </c>
      <c r="I2510" s="2" t="s">
        <v>5351</v>
      </c>
      <c r="J2510" s="3" t="str">
        <f>HYPERLINK("https://www.boe.es/gazeta/dias/1821/11/22/pdfs/GMD-1821-333.pdf#page=4","Abrir facsímil")</f>
        <v>Abrir facsímil</v>
      </c>
      <c r="K2510" s="3" t="s">
        <v>32</v>
      </c>
    </row>
    <row r="2511" spans="1:11" ht="42" customHeight="1">
      <c r="A2511" s="2" t="s">
        <v>5345</v>
      </c>
      <c r="B2511" s="2" t="s">
        <v>5346</v>
      </c>
      <c r="C2511" s="2" t="s">
        <v>40</v>
      </c>
      <c r="D2511" s="2" t="s">
        <v>41</v>
      </c>
      <c r="E2511" s="5">
        <v>-28499</v>
      </c>
      <c r="F2511" s="3" t="s">
        <v>954</v>
      </c>
      <c r="G2511" s="3" t="s">
        <v>88</v>
      </c>
      <c r="H2511" s="2" t="s">
        <v>30</v>
      </c>
      <c r="I2511" s="2" t="s">
        <v>5352</v>
      </c>
      <c r="J2511" s="3" t="str">
        <f>HYPERLINK("https://www.boe.es/gazeta/dias/1821/12/20/pdfs/GMD-1821-363.pdf#page=4","Abrir facsímil")</f>
        <v>Abrir facsímil</v>
      </c>
      <c r="K2511" s="3" t="s">
        <v>32</v>
      </c>
    </row>
    <row r="2512" spans="1:11" ht="42" customHeight="1">
      <c r="A2512" s="2" t="s">
        <v>5353</v>
      </c>
      <c r="B2512" s="2" t="s">
        <v>5354</v>
      </c>
      <c r="C2512" s="2" t="s">
        <v>40</v>
      </c>
      <c r="D2512" s="2" t="s">
        <v>41</v>
      </c>
      <c r="E2512" s="5">
        <v>-28499</v>
      </c>
      <c r="F2512" s="3" t="s">
        <v>954</v>
      </c>
      <c r="G2512" s="3" t="s">
        <v>88</v>
      </c>
      <c r="H2512" s="2" t="s">
        <v>21</v>
      </c>
      <c r="I2512" s="2" t="s">
        <v>5355</v>
      </c>
      <c r="J2512" s="3" t="str">
        <f>HYPERLINK("https://www.boe.es/gazeta/dias/1821/12/20/pdfs/GMD-1821-363.pdf#page=4","Abrir facsímil")</f>
        <v>Abrir facsímil</v>
      </c>
      <c r="K2512" s="3" t="s">
        <v>23</v>
      </c>
    </row>
    <row r="2513" spans="1:11" ht="42" customHeight="1">
      <c r="A2513" s="2" t="s">
        <v>5356</v>
      </c>
      <c r="B2513" s="2" t="s">
        <v>5357</v>
      </c>
      <c r="C2513" s="2" t="s">
        <v>70</v>
      </c>
      <c r="D2513" s="2" t="s">
        <v>27</v>
      </c>
      <c r="E2513" s="5">
        <v>-28793</v>
      </c>
      <c r="F2513" s="3" t="s">
        <v>157</v>
      </c>
      <c r="G2513" s="3" t="s">
        <v>29</v>
      </c>
      <c r="H2513" s="2" t="s">
        <v>21</v>
      </c>
      <c r="I2513" s="2" t="s">
        <v>5358</v>
      </c>
      <c r="J2513" s="3" t="str">
        <f>HYPERLINK("https://www.boe.es/gazeta/dias/1821/03/01/pdfs/GGB-1821-60.pdf#page=6","Abrir facsímil")</f>
        <v>Abrir facsímil</v>
      </c>
      <c r="K2513" s="3" t="s">
        <v>23</v>
      </c>
    </row>
    <row r="2514" spans="1:11" ht="42" customHeight="1">
      <c r="A2514" s="2" t="s">
        <v>5359</v>
      </c>
      <c r="B2514" s="2" t="s">
        <v>5360</v>
      </c>
      <c r="C2514" s="2" t="s">
        <v>17</v>
      </c>
      <c r="D2514" s="2" t="s">
        <v>18</v>
      </c>
      <c r="E2514" s="5">
        <v>-28505</v>
      </c>
      <c r="F2514" s="3" t="s">
        <v>567</v>
      </c>
      <c r="G2514" s="3" t="s">
        <v>43</v>
      </c>
      <c r="H2514" s="2" t="s">
        <v>21</v>
      </c>
      <c r="I2514" s="2" t="s">
        <v>5361</v>
      </c>
      <c r="J2514" s="3" t="str">
        <f>HYPERLINK("https://www.boe.es/gazeta/dias/1821/12/14/pdfs/GMD-1821-357.pdf#page=1","Abrir facsímil")</f>
        <v>Abrir facsímil</v>
      </c>
      <c r="K2514" s="3" t="s">
        <v>23</v>
      </c>
    </row>
    <row r="2515" spans="1:11" ht="42" customHeight="1">
      <c r="A2515" s="2" t="s">
        <v>5362</v>
      </c>
      <c r="B2515" s="2" t="s">
        <v>5362</v>
      </c>
      <c r="C2515" s="2" t="s">
        <v>40</v>
      </c>
      <c r="D2515" s="2" t="s">
        <v>41</v>
      </c>
      <c r="E2515" s="5">
        <v>-28561</v>
      </c>
      <c r="F2515" s="3" t="s">
        <v>240</v>
      </c>
      <c r="G2515" s="3" t="s">
        <v>162</v>
      </c>
      <c r="H2515" s="2" t="s">
        <v>21</v>
      </c>
      <c r="I2515" s="2" t="s">
        <v>5363</v>
      </c>
      <c r="J2515" s="3" t="str">
        <f>HYPERLINK("https://www.boe.es/gazeta/dias/1821/10/19/pdfs/GMD-1821-298.pdf#page=5","Abrir facsímil")</f>
        <v>Abrir facsímil</v>
      </c>
      <c r="K2515" s="3" t="s">
        <v>23</v>
      </c>
    </row>
    <row r="2516" spans="1:11" ht="42" customHeight="1">
      <c r="A2516" s="2" t="s">
        <v>5364</v>
      </c>
      <c r="B2516" s="2" t="s">
        <v>5364</v>
      </c>
      <c r="C2516" s="2" t="s">
        <v>35</v>
      </c>
      <c r="D2516" s="2" t="s">
        <v>27</v>
      </c>
      <c r="E2516" s="5">
        <v>-28563</v>
      </c>
      <c r="F2516" s="3" t="s">
        <v>118</v>
      </c>
      <c r="G2516" s="3" t="s">
        <v>162</v>
      </c>
      <c r="H2516" s="2" t="s">
        <v>21</v>
      </c>
      <c r="I2516" s="2" t="s">
        <v>5365</v>
      </c>
      <c r="J2516" s="3" t="str">
        <f>HYPERLINK("https://www.boe.es/gazeta/dias/1821/10/17/pdfs/GMD-1821-296.pdf#page=5","Abrir facsímil")</f>
        <v>Abrir facsímil</v>
      </c>
      <c r="K2516" s="3" t="s">
        <v>23</v>
      </c>
    </row>
    <row r="2517" spans="1:11" ht="42" customHeight="1">
      <c r="A2517" s="2" t="s">
        <v>5366</v>
      </c>
      <c r="B2517" s="2" t="s">
        <v>5366</v>
      </c>
      <c r="C2517" s="2" t="s">
        <v>114</v>
      </c>
      <c r="D2517" s="2" t="s">
        <v>27</v>
      </c>
      <c r="E2517" s="5">
        <v>-28577</v>
      </c>
      <c r="F2517" s="3" t="s">
        <v>858</v>
      </c>
      <c r="G2517" s="3" t="s">
        <v>20</v>
      </c>
      <c r="H2517" s="2" t="s">
        <v>21</v>
      </c>
      <c r="I2517" s="2" t="s">
        <v>5367</v>
      </c>
      <c r="J2517" s="3" t="str">
        <f>HYPERLINK("https://www.boe.es/gazeta/dias/1821/10/03/pdfs/GMD-1821-282.pdf#page=3","Abrir facsímil")</f>
        <v>Abrir facsímil</v>
      </c>
      <c r="K2517" s="3" t="s">
        <v>23</v>
      </c>
    </row>
    <row r="2518" spans="1:11" ht="42" customHeight="1">
      <c r="A2518" s="2" t="s">
        <v>5366</v>
      </c>
      <c r="B2518" s="2" t="s">
        <v>5366</v>
      </c>
      <c r="C2518" s="2" t="s">
        <v>26</v>
      </c>
      <c r="D2518" s="2" t="s">
        <v>27</v>
      </c>
      <c r="E2518" s="5">
        <v>-28575</v>
      </c>
      <c r="F2518" s="3" t="s">
        <v>2453</v>
      </c>
      <c r="G2518" s="3" t="s">
        <v>20</v>
      </c>
      <c r="H2518" s="2" t="s">
        <v>21</v>
      </c>
      <c r="I2518" s="2" t="s">
        <v>5368</v>
      </c>
      <c r="J2518" s="3" t="str">
        <f>HYPERLINK("https://www.boe.es/gazeta/dias/1821/10/05/pdfs/GMD-1821-284.pdf#page=3","Abrir facsímil")</f>
        <v>Abrir facsímil</v>
      </c>
      <c r="K2518" s="3" t="s">
        <v>23</v>
      </c>
    </row>
    <row r="2519" spans="1:11" ht="42" customHeight="1">
      <c r="A2519" s="2" t="s">
        <v>5366</v>
      </c>
      <c r="B2519" s="2" t="s">
        <v>5366</v>
      </c>
      <c r="C2519" s="2" t="s">
        <v>17</v>
      </c>
      <c r="D2519" s="2" t="s">
        <v>18</v>
      </c>
      <c r="E2519" s="5">
        <v>-28574</v>
      </c>
      <c r="F2519" s="3" t="s">
        <v>779</v>
      </c>
      <c r="G2519" s="3" t="s">
        <v>609</v>
      </c>
      <c r="H2519" s="2" t="s">
        <v>21</v>
      </c>
      <c r="I2519" s="2" t="s">
        <v>5369</v>
      </c>
      <c r="J2519" s="3" t="str">
        <f>HYPERLINK("https://www.boe.es/gazeta/dias/1821/10/06/pdfs/GMD-1821-285.pdf#page=7","Abrir facsímil")</f>
        <v>Abrir facsímil</v>
      </c>
      <c r="K2519" s="3" t="s">
        <v>23</v>
      </c>
    </row>
    <row r="2520" spans="1:11" ht="42" customHeight="1">
      <c r="A2520" s="2" t="s">
        <v>5366</v>
      </c>
      <c r="B2520" s="2" t="s">
        <v>5366</v>
      </c>
      <c r="C2520" s="2" t="s">
        <v>114</v>
      </c>
      <c r="D2520" s="2" t="s">
        <v>27</v>
      </c>
      <c r="E2520" s="5">
        <v>-28571</v>
      </c>
      <c r="F2520" s="3" t="s">
        <v>482</v>
      </c>
      <c r="G2520" s="3" t="s">
        <v>162</v>
      </c>
      <c r="H2520" s="2" t="s">
        <v>21</v>
      </c>
      <c r="I2520" s="2" t="s">
        <v>5370</v>
      </c>
      <c r="J2520" s="3" t="str">
        <f>HYPERLINK("https://www.boe.es/gazeta/dias/1821/10/09/pdfs/GMD-1821-288.pdf#page=5","Abrir facsímil")</f>
        <v>Abrir facsímil</v>
      </c>
      <c r="K2520" s="3" t="s">
        <v>23</v>
      </c>
    </row>
    <row r="2521" spans="1:11" ht="42" customHeight="1">
      <c r="A2521" s="2" t="s">
        <v>5366</v>
      </c>
      <c r="B2521" s="2" t="s">
        <v>5366</v>
      </c>
      <c r="C2521" s="2" t="s">
        <v>26</v>
      </c>
      <c r="D2521" s="2" t="s">
        <v>27</v>
      </c>
      <c r="E2521" s="5">
        <v>-28566</v>
      </c>
      <c r="F2521" s="3" t="s">
        <v>1529</v>
      </c>
      <c r="G2521" s="3" t="s">
        <v>20</v>
      </c>
      <c r="H2521" s="2" t="s">
        <v>21</v>
      </c>
      <c r="I2521" s="2" t="s">
        <v>5371</v>
      </c>
      <c r="J2521" s="3" t="str">
        <f>HYPERLINK("https://www.boe.es/gazeta/dias/1821/10/14/pdfs/GMD-1821-293.pdf#page=3","Abrir facsímil")</f>
        <v>Abrir facsímil</v>
      </c>
      <c r="K2521" s="3" t="s">
        <v>23</v>
      </c>
    </row>
    <row r="2522" spans="1:11" ht="42" customHeight="1">
      <c r="A2522" s="2" t="s">
        <v>5366</v>
      </c>
      <c r="B2522" s="2" t="s">
        <v>5366</v>
      </c>
      <c r="C2522" s="2" t="s">
        <v>114</v>
      </c>
      <c r="D2522" s="2" t="s">
        <v>27</v>
      </c>
      <c r="E2522" s="5">
        <v>-28561</v>
      </c>
      <c r="F2522" s="3" t="s">
        <v>240</v>
      </c>
      <c r="G2522" s="3" t="s">
        <v>88</v>
      </c>
      <c r="H2522" s="2" t="s">
        <v>21</v>
      </c>
      <c r="I2522" s="2" t="s">
        <v>5372</v>
      </c>
      <c r="J2522" s="3" t="str">
        <f>HYPERLINK("https://www.boe.es/gazeta/dias/1821/10/19/pdfs/GMD-1821-298.pdf#page=4","Abrir facsímil")</f>
        <v>Abrir facsímil</v>
      </c>
      <c r="K2522" s="3" t="s">
        <v>23</v>
      </c>
    </row>
    <row r="2523" spans="1:11" ht="42" customHeight="1">
      <c r="A2523" s="2" t="s">
        <v>5366</v>
      </c>
      <c r="B2523" s="2" t="s">
        <v>5366</v>
      </c>
      <c r="C2523" s="2" t="s">
        <v>17</v>
      </c>
      <c r="D2523" s="2" t="s">
        <v>18</v>
      </c>
      <c r="E2523" s="5">
        <v>-28559</v>
      </c>
      <c r="F2523" s="3" t="s">
        <v>1078</v>
      </c>
      <c r="G2523" s="3" t="s">
        <v>20</v>
      </c>
      <c r="H2523" s="2" t="s">
        <v>21</v>
      </c>
      <c r="I2523" s="2" t="s">
        <v>5373</v>
      </c>
      <c r="J2523" s="3" t="str">
        <f>HYPERLINK("https://www.boe.es/gazeta/dias/1821/10/21/pdfs/GMD-1821-300.pdf#page=3","Abrir facsímil")</f>
        <v>Abrir facsímil</v>
      </c>
      <c r="K2523" s="3" t="s">
        <v>23</v>
      </c>
    </row>
    <row r="2524" spans="1:11" ht="42" customHeight="1">
      <c r="A2524" s="2" t="s">
        <v>5374</v>
      </c>
      <c r="B2524" s="2" t="s">
        <v>5374</v>
      </c>
      <c r="C2524" s="2" t="s">
        <v>17</v>
      </c>
      <c r="D2524" s="2" t="s">
        <v>18</v>
      </c>
      <c r="E2524" s="5">
        <v>-28796</v>
      </c>
      <c r="F2524" s="3" t="s">
        <v>1421</v>
      </c>
      <c r="G2524" s="3" t="s">
        <v>1422</v>
      </c>
      <c r="H2524" s="2" t="s">
        <v>21</v>
      </c>
      <c r="I2524" s="2" t="s">
        <v>5375</v>
      </c>
      <c r="J2524" s="3" t="str">
        <f>HYPERLINK("https://www.boe.es/gazeta/dias/1821/02/26/pdfs/GGB-1821-57.pdf#page=3","Abrir facsímil")</f>
        <v>Abrir facsímil</v>
      </c>
      <c r="K2524" s="3" t="s">
        <v>23</v>
      </c>
    </row>
    <row r="2525" spans="1:11" ht="42" customHeight="1">
      <c r="A2525" s="2" t="s">
        <v>5374</v>
      </c>
      <c r="B2525" s="2" t="s">
        <v>5374</v>
      </c>
      <c r="C2525" s="2" t="s">
        <v>35</v>
      </c>
      <c r="D2525" s="2" t="s">
        <v>27</v>
      </c>
      <c r="E2525" s="5">
        <v>-28580</v>
      </c>
      <c r="F2525" s="3" t="s">
        <v>175</v>
      </c>
      <c r="G2525" s="3" t="s">
        <v>88</v>
      </c>
      <c r="H2525" s="2" t="s">
        <v>21</v>
      </c>
      <c r="I2525" s="2" t="s">
        <v>5376</v>
      </c>
      <c r="J2525" s="3" t="str">
        <f>HYPERLINK("https://www.boe.es/gazeta/dias/1821/09/30/pdfs/GMD-1821-279.pdf#page=4","Abrir facsímil")</f>
        <v>Abrir facsímil</v>
      </c>
      <c r="K2525" s="3" t="s">
        <v>23</v>
      </c>
    </row>
    <row r="2526" spans="1:11" ht="42" customHeight="1">
      <c r="A2526" s="2" t="s">
        <v>5374</v>
      </c>
      <c r="B2526" s="2" t="s">
        <v>5374</v>
      </c>
      <c r="C2526" s="2" t="s">
        <v>26</v>
      </c>
      <c r="D2526" s="2" t="s">
        <v>27</v>
      </c>
      <c r="E2526" s="5">
        <v>-28579</v>
      </c>
      <c r="F2526" s="3" t="s">
        <v>743</v>
      </c>
      <c r="G2526" s="3" t="s">
        <v>88</v>
      </c>
      <c r="H2526" s="2" t="s">
        <v>21</v>
      </c>
      <c r="I2526" s="2" t="s">
        <v>5377</v>
      </c>
      <c r="J2526" s="3" t="str">
        <f>HYPERLINK("https://www.boe.es/gazeta/dias/1821/10/01/pdfs/GMD-1821-280.pdf#page=4","Abrir facsímil")</f>
        <v>Abrir facsímil</v>
      </c>
      <c r="K2526" s="3" t="s">
        <v>23</v>
      </c>
    </row>
    <row r="2527" spans="1:11" ht="42" customHeight="1">
      <c r="A2527" s="2" t="s">
        <v>5374</v>
      </c>
      <c r="B2527" s="2" t="s">
        <v>5374</v>
      </c>
      <c r="C2527" s="2" t="s">
        <v>26</v>
      </c>
      <c r="D2527" s="2" t="s">
        <v>27</v>
      </c>
      <c r="E2527" s="5">
        <v>-28578</v>
      </c>
      <c r="F2527" s="3" t="s">
        <v>899</v>
      </c>
      <c r="G2527" s="3" t="s">
        <v>20</v>
      </c>
      <c r="H2527" s="2" t="s">
        <v>21</v>
      </c>
      <c r="I2527" s="2" t="s">
        <v>5378</v>
      </c>
      <c r="J2527" s="3" t="str">
        <f>HYPERLINK("https://www.boe.es/gazeta/dias/1821/10/02/pdfs/GMD-1821-281.pdf#page=3","Abrir facsímil")</f>
        <v>Abrir facsímil</v>
      </c>
      <c r="K2527" s="3" t="s">
        <v>23</v>
      </c>
    </row>
    <row r="2528" spans="1:11" ht="42" customHeight="1">
      <c r="A2528" s="2" t="s">
        <v>5374</v>
      </c>
      <c r="B2528" s="2" t="s">
        <v>5374</v>
      </c>
      <c r="C2528" s="2" t="s">
        <v>174</v>
      </c>
      <c r="D2528" s="2" t="s">
        <v>27</v>
      </c>
      <c r="E2528" s="5">
        <v>-28577</v>
      </c>
      <c r="F2528" s="3" t="s">
        <v>858</v>
      </c>
      <c r="G2528" s="3" t="s">
        <v>88</v>
      </c>
      <c r="H2528" s="2" t="s">
        <v>21</v>
      </c>
      <c r="I2528" s="2" t="s">
        <v>5379</v>
      </c>
      <c r="J2528" s="3" t="str">
        <f>HYPERLINK("https://www.boe.es/gazeta/dias/1821/10/03/pdfs/GMD-1821-282.pdf#page=4","Abrir facsímil")</f>
        <v>Abrir facsímil</v>
      </c>
      <c r="K2528" s="3" t="s">
        <v>23</v>
      </c>
    </row>
    <row r="2529" spans="1:11" ht="42" customHeight="1">
      <c r="A2529" s="2" t="s">
        <v>5374</v>
      </c>
      <c r="B2529" s="2" t="s">
        <v>5374</v>
      </c>
      <c r="C2529" s="2" t="s">
        <v>26</v>
      </c>
      <c r="D2529" s="2" t="s">
        <v>27</v>
      </c>
      <c r="E2529" s="5">
        <v>-28576</v>
      </c>
      <c r="F2529" s="3" t="s">
        <v>1924</v>
      </c>
      <c r="G2529" s="3" t="s">
        <v>52</v>
      </c>
      <c r="H2529" s="2" t="s">
        <v>21</v>
      </c>
      <c r="I2529" s="2" t="s">
        <v>5380</v>
      </c>
      <c r="J2529" s="3" t="str">
        <f>HYPERLINK("https://www.boe.es/gazeta/dias/1821/10/04/pdfs/GMD-1821-283.pdf#page=2","Abrir facsímil")</f>
        <v>Abrir facsímil</v>
      </c>
      <c r="K2529" s="3" t="s">
        <v>23</v>
      </c>
    </row>
    <row r="2530" spans="1:11" ht="42" customHeight="1">
      <c r="A2530" s="2" t="s">
        <v>5374</v>
      </c>
      <c r="B2530" s="2" t="s">
        <v>5374</v>
      </c>
      <c r="C2530" s="2" t="s">
        <v>17</v>
      </c>
      <c r="D2530" s="2" t="s">
        <v>18</v>
      </c>
      <c r="E2530" s="5">
        <v>-28575</v>
      </c>
      <c r="F2530" s="3" t="s">
        <v>2453</v>
      </c>
      <c r="G2530" s="3" t="s">
        <v>88</v>
      </c>
      <c r="H2530" s="2" t="s">
        <v>21</v>
      </c>
      <c r="I2530" s="2" t="s">
        <v>5381</v>
      </c>
      <c r="J2530" s="3" t="str">
        <f>HYPERLINK("https://www.boe.es/gazeta/dias/1821/10/05/pdfs/GMD-1821-284.pdf#page=4","Abrir facsímil")</f>
        <v>Abrir facsímil</v>
      </c>
      <c r="K2530" s="3" t="s">
        <v>23</v>
      </c>
    </row>
    <row r="2531" spans="1:11" ht="42" customHeight="1">
      <c r="A2531" s="2" t="s">
        <v>5374</v>
      </c>
      <c r="B2531" s="2" t="s">
        <v>5374</v>
      </c>
      <c r="C2531" s="2" t="s">
        <v>26</v>
      </c>
      <c r="D2531" s="2" t="s">
        <v>27</v>
      </c>
      <c r="E2531" s="5">
        <v>-28574</v>
      </c>
      <c r="F2531" s="3" t="s">
        <v>779</v>
      </c>
      <c r="G2531" s="3" t="s">
        <v>333</v>
      </c>
      <c r="H2531" s="2" t="s">
        <v>21</v>
      </c>
      <c r="I2531" s="2" t="s">
        <v>5382</v>
      </c>
      <c r="J2531" s="3" t="str">
        <f>HYPERLINK("https://www.boe.es/gazeta/dias/1821/10/06/pdfs/GMD-1821-285.pdf#page=8","Abrir facsímil")</f>
        <v>Abrir facsímil</v>
      </c>
      <c r="K2531" s="3" t="s">
        <v>23</v>
      </c>
    </row>
    <row r="2532" spans="1:11" ht="42" customHeight="1">
      <c r="A2532" s="2" t="s">
        <v>5374</v>
      </c>
      <c r="B2532" s="2" t="s">
        <v>5374</v>
      </c>
      <c r="C2532" s="2" t="s">
        <v>17</v>
      </c>
      <c r="D2532" s="2" t="s">
        <v>18</v>
      </c>
      <c r="E2532" s="5">
        <v>-28573</v>
      </c>
      <c r="F2532" s="3" t="s">
        <v>19</v>
      </c>
      <c r="G2532" s="3" t="s">
        <v>20</v>
      </c>
      <c r="H2532" s="2" t="s">
        <v>21</v>
      </c>
      <c r="I2532" s="2" t="s">
        <v>5383</v>
      </c>
      <c r="J2532" s="3" t="str">
        <f>HYPERLINK("https://www.boe.es/gazeta/dias/1821/10/07/pdfs/GMD-1821-286.pdf#page=3","Abrir facsímil")</f>
        <v>Abrir facsímil</v>
      </c>
      <c r="K2532" s="3" t="s">
        <v>23</v>
      </c>
    </row>
    <row r="2533" spans="1:11" ht="42" customHeight="1">
      <c r="A2533" s="2" t="s">
        <v>5374</v>
      </c>
      <c r="B2533" s="2" t="s">
        <v>5374</v>
      </c>
      <c r="C2533" s="2" t="s">
        <v>26</v>
      </c>
      <c r="D2533" s="2" t="s">
        <v>27</v>
      </c>
      <c r="E2533" s="5">
        <v>-28572</v>
      </c>
      <c r="F2533" s="3" t="s">
        <v>1072</v>
      </c>
      <c r="G2533" s="3" t="s">
        <v>20</v>
      </c>
      <c r="H2533" s="2" t="s">
        <v>21</v>
      </c>
      <c r="I2533" s="2" t="s">
        <v>5384</v>
      </c>
      <c r="J2533" s="3" t="str">
        <f>HYPERLINK("https://www.boe.es/gazeta/dias/1821/10/08/pdfs/GMD-1821-287.pdf#page=3","Abrir facsímil")</f>
        <v>Abrir facsímil</v>
      </c>
      <c r="K2533" s="3" t="s">
        <v>23</v>
      </c>
    </row>
    <row r="2534" spans="1:11" ht="42" customHeight="1">
      <c r="A2534" s="2" t="s">
        <v>5374</v>
      </c>
      <c r="B2534" s="2" t="s">
        <v>5374</v>
      </c>
      <c r="C2534" s="2" t="s">
        <v>70</v>
      </c>
      <c r="D2534" s="2" t="s">
        <v>27</v>
      </c>
      <c r="E2534" s="5">
        <v>-28572</v>
      </c>
      <c r="F2534" s="3" t="s">
        <v>1072</v>
      </c>
      <c r="G2534" s="3" t="s">
        <v>88</v>
      </c>
      <c r="H2534" s="2" t="s">
        <v>21</v>
      </c>
      <c r="I2534" s="2" t="s">
        <v>5385</v>
      </c>
      <c r="J2534" s="3" t="str">
        <f>HYPERLINK("https://www.boe.es/gazeta/dias/1821/10/08/pdfs/GMD-1821-287.pdf#page=4","Abrir facsímil")</f>
        <v>Abrir facsímil</v>
      </c>
      <c r="K2534" s="3" t="s">
        <v>23</v>
      </c>
    </row>
    <row r="2535" spans="1:11" ht="42" customHeight="1">
      <c r="A2535" s="2" t="s">
        <v>5374</v>
      </c>
      <c r="B2535" s="2" t="s">
        <v>5374</v>
      </c>
      <c r="C2535" s="2" t="s">
        <v>35</v>
      </c>
      <c r="D2535" s="2" t="s">
        <v>27</v>
      </c>
      <c r="E2535" s="5">
        <v>-28571</v>
      </c>
      <c r="F2535" s="3" t="s">
        <v>482</v>
      </c>
      <c r="G2535" s="3" t="s">
        <v>162</v>
      </c>
      <c r="H2535" s="2" t="s">
        <v>21</v>
      </c>
      <c r="I2535" s="2" t="s">
        <v>5386</v>
      </c>
      <c r="J2535" s="3" t="str">
        <f>HYPERLINK("https://www.boe.es/gazeta/dias/1821/10/09/pdfs/GMD-1821-288.pdf#page=5","Abrir facsímil")</f>
        <v>Abrir facsímil</v>
      </c>
      <c r="K2535" s="3" t="s">
        <v>23</v>
      </c>
    </row>
    <row r="2536" spans="1:11" ht="42" customHeight="1">
      <c r="A2536" s="2" t="s">
        <v>5374</v>
      </c>
      <c r="B2536" s="2" t="s">
        <v>5374</v>
      </c>
      <c r="C2536" s="2" t="s">
        <v>26</v>
      </c>
      <c r="D2536" s="2" t="s">
        <v>27</v>
      </c>
      <c r="E2536" s="5">
        <v>-28570</v>
      </c>
      <c r="F2536" s="3" t="s">
        <v>2300</v>
      </c>
      <c r="G2536" s="3" t="s">
        <v>88</v>
      </c>
      <c r="H2536" s="2" t="s">
        <v>21</v>
      </c>
      <c r="I2536" s="2" t="s">
        <v>5387</v>
      </c>
      <c r="J2536" s="3" t="str">
        <f>HYPERLINK("https://www.boe.es/gazeta/dias/1821/10/10/pdfs/GMD-1821-289.pdf#page=4","Abrir facsímil")</f>
        <v>Abrir facsímil</v>
      </c>
      <c r="K2536" s="3" t="s">
        <v>23</v>
      </c>
    </row>
    <row r="2537" spans="1:11" ht="42" customHeight="1">
      <c r="A2537" s="2" t="s">
        <v>5374</v>
      </c>
      <c r="B2537" s="2" t="s">
        <v>5374</v>
      </c>
      <c r="C2537" s="2" t="s">
        <v>26</v>
      </c>
      <c r="D2537" s="2" t="s">
        <v>27</v>
      </c>
      <c r="E2537" s="5">
        <v>-28569</v>
      </c>
      <c r="F2537" s="3" t="s">
        <v>512</v>
      </c>
      <c r="G2537" s="3" t="s">
        <v>88</v>
      </c>
      <c r="H2537" s="2" t="s">
        <v>21</v>
      </c>
      <c r="I2537" s="2" t="s">
        <v>5388</v>
      </c>
      <c r="J2537" s="3" t="str">
        <f>HYPERLINK("https://www.boe.es/gazeta/dias/1821/10/11/pdfs/GMD-1821-290.pdf#page=4","Abrir facsímil")</f>
        <v>Abrir facsímil</v>
      </c>
      <c r="K2537" s="3" t="s">
        <v>23</v>
      </c>
    </row>
    <row r="2538" spans="1:11" ht="42" customHeight="1">
      <c r="A2538" s="2" t="s">
        <v>5374</v>
      </c>
      <c r="B2538" s="2" t="s">
        <v>5374</v>
      </c>
      <c r="C2538" s="2" t="s">
        <v>26</v>
      </c>
      <c r="D2538" s="2" t="s">
        <v>27</v>
      </c>
      <c r="E2538" s="5">
        <v>-28569</v>
      </c>
      <c r="F2538" s="3" t="s">
        <v>512</v>
      </c>
      <c r="G2538" s="3" t="s">
        <v>162</v>
      </c>
      <c r="H2538" s="2" t="s">
        <v>21</v>
      </c>
      <c r="I2538" s="2" t="s">
        <v>5389</v>
      </c>
      <c r="J2538" s="3" t="str">
        <f>HYPERLINK("https://www.boe.es/gazeta/dias/1821/10/11/pdfs/GMD-1821-290.pdf#page=5","Abrir facsímil")</f>
        <v>Abrir facsímil</v>
      </c>
      <c r="K2538" s="3" t="s">
        <v>23</v>
      </c>
    </row>
    <row r="2539" spans="1:11" ht="42" customHeight="1">
      <c r="A2539" s="2" t="s">
        <v>5374</v>
      </c>
      <c r="B2539" s="2" t="s">
        <v>5374</v>
      </c>
      <c r="C2539" s="2" t="s">
        <v>35</v>
      </c>
      <c r="D2539" s="2" t="s">
        <v>27</v>
      </c>
      <c r="E2539" s="5">
        <v>-28568</v>
      </c>
      <c r="F2539" s="3" t="s">
        <v>539</v>
      </c>
      <c r="G2539" s="3" t="s">
        <v>162</v>
      </c>
      <c r="H2539" s="2" t="s">
        <v>21</v>
      </c>
      <c r="I2539" s="2" t="s">
        <v>5390</v>
      </c>
      <c r="J2539" s="3" t="str">
        <f>HYPERLINK("https://www.boe.es/gazeta/dias/1821/10/12/pdfs/GMD-1821-291.pdf#page=5","Abrir facsímil")</f>
        <v>Abrir facsímil</v>
      </c>
      <c r="K2539" s="3" t="s">
        <v>23</v>
      </c>
    </row>
    <row r="2540" spans="1:11" ht="42" customHeight="1">
      <c r="A2540" s="2" t="s">
        <v>5391</v>
      </c>
      <c r="B2540" s="2" t="s">
        <v>5391</v>
      </c>
      <c r="C2540" s="2" t="s">
        <v>70</v>
      </c>
      <c r="D2540" s="2" t="s">
        <v>27</v>
      </c>
      <c r="E2540" s="5">
        <v>-28567</v>
      </c>
      <c r="F2540" s="3" t="s">
        <v>217</v>
      </c>
      <c r="G2540" s="3" t="s">
        <v>52</v>
      </c>
      <c r="H2540" s="2" t="s">
        <v>21</v>
      </c>
      <c r="I2540" s="2" t="s">
        <v>5392</v>
      </c>
      <c r="J2540" s="3" t="str">
        <f>HYPERLINK("https://www.boe.es/gazeta/dias/1821/10/13/pdfs/GMD-1821-292.pdf#page=2","Abrir facsímil")</f>
        <v>Abrir facsímil</v>
      </c>
      <c r="K2540" s="3" t="s">
        <v>23</v>
      </c>
    </row>
    <row r="2541" spans="1:11" ht="42" customHeight="1">
      <c r="A2541" s="2" t="s">
        <v>5374</v>
      </c>
      <c r="B2541" s="2" t="s">
        <v>5374</v>
      </c>
      <c r="C2541" s="2" t="s">
        <v>35</v>
      </c>
      <c r="D2541" s="2" t="s">
        <v>27</v>
      </c>
      <c r="E2541" s="5">
        <v>-28567</v>
      </c>
      <c r="F2541" s="3" t="s">
        <v>217</v>
      </c>
      <c r="G2541" s="3" t="s">
        <v>20</v>
      </c>
      <c r="H2541" s="2" t="s">
        <v>21</v>
      </c>
      <c r="I2541" s="2" t="s">
        <v>5393</v>
      </c>
      <c r="J2541" s="3" t="str">
        <f>HYPERLINK("https://www.boe.es/gazeta/dias/1821/10/13/pdfs/GMD-1821-292.pdf#page=3","Abrir facsímil")</f>
        <v>Abrir facsímil</v>
      </c>
      <c r="K2541" s="3" t="s">
        <v>23</v>
      </c>
    </row>
    <row r="2542" spans="1:11" ht="42" customHeight="1">
      <c r="A2542" s="2" t="s">
        <v>5374</v>
      </c>
      <c r="B2542" s="2" t="s">
        <v>5374</v>
      </c>
      <c r="C2542" s="2" t="s">
        <v>35</v>
      </c>
      <c r="D2542" s="2" t="s">
        <v>27</v>
      </c>
      <c r="E2542" s="5">
        <v>-28564</v>
      </c>
      <c r="F2542" s="3" t="s">
        <v>861</v>
      </c>
      <c r="G2542" s="3" t="s">
        <v>20</v>
      </c>
      <c r="H2542" s="2" t="s">
        <v>21</v>
      </c>
      <c r="I2542" s="2" t="s">
        <v>5394</v>
      </c>
      <c r="J2542" s="3" t="str">
        <f>HYPERLINK("https://www.boe.es/gazeta/dias/1821/10/16/pdfs/GMD-1821-295.pdf#page=3","Abrir facsímil")</f>
        <v>Abrir facsímil</v>
      </c>
      <c r="K2542" s="3" t="s">
        <v>23</v>
      </c>
    </row>
    <row r="2543" spans="1:11" ht="42" customHeight="1">
      <c r="A2543" s="2" t="s">
        <v>5374</v>
      </c>
      <c r="B2543" s="2" t="s">
        <v>5374</v>
      </c>
      <c r="C2543" s="2" t="s">
        <v>70</v>
      </c>
      <c r="D2543" s="2" t="s">
        <v>27</v>
      </c>
      <c r="E2543" s="5">
        <v>-28562</v>
      </c>
      <c r="F2543" s="3" t="s">
        <v>3093</v>
      </c>
      <c r="G2543" s="3" t="s">
        <v>162</v>
      </c>
      <c r="H2543" s="2" t="s">
        <v>21</v>
      </c>
      <c r="I2543" s="2" t="s">
        <v>5395</v>
      </c>
      <c r="J2543" s="3" t="str">
        <f>HYPERLINK("https://www.boe.es/gazeta/dias/1821/10/18/pdfs/GMD-1821-297.pdf#page=5","Abrir facsímil")</f>
        <v>Abrir facsímil</v>
      </c>
      <c r="K2543" s="3" t="s">
        <v>23</v>
      </c>
    </row>
    <row r="2544" spans="1:11" ht="42" customHeight="1">
      <c r="A2544" s="2" t="s">
        <v>5374</v>
      </c>
      <c r="B2544" s="2" t="s">
        <v>5374</v>
      </c>
      <c r="C2544" s="2" t="s">
        <v>114</v>
      </c>
      <c r="D2544" s="2" t="s">
        <v>27</v>
      </c>
      <c r="E2544" s="5">
        <v>-28562</v>
      </c>
      <c r="F2544" s="3" t="s">
        <v>3093</v>
      </c>
      <c r="G2544" s="3" t="s">
        <v>29</v>
      </c>
      <c r="H2544" s="2" t="s">
        <v>21</v>
      </c>
      <c r="I2544" s="2" t="s">
        <v>5396</v>
      </c>
      <c r="J2544" s="3" t="str">
        <f>HYPERLINK("https://www.boe.es/gazeta/dias/1821/10/18/pdfs/GMD-1821-297.pdf#page=6","Abrir facsímil")</f>
        <v>Abrir facsímil</v>
      </c>
      <c r="K2544" s="3" t="s">
        <v>23</v>
      </c>
    </row>
    <row r="2545" spans="1:11" ht="42" customHeight="1">
      <c r="A2545" s="2" t="s">
        <v>5391</v>
      </c>
      <c r="B2545" s="2" t="s">
        <v>5391</v>
      </c>
      <c r="C2545" s="2" t="s">
        <v>40</v>
      </c>
      <c r="D2545" s="2" t="s">
        <v>41</v>
      </c>
      <c r="E2545" s="5">
        <v>-28561</v>
      </c>
      <c r="F2545" s="3" t="s">
        <v>240</v>
      </c>
      <c r="G2545" s="3" t="s">
        <v>162</v>
      </c>
      <c r="H2545" s="2" t="s">
        <v>21</v>
      </c>
      <c r="I2545" s="2" t="s">
        <v>5397</v>
      </c>
      <c r="J2545" s="3" t="str">
        <f>HYPERLINK("https://www.boe.es/gazeta/dias/1821/10/19/pdfs/GMD-1821-298.pdf#page=5","Abrir facsímil")</f>
        <v>Abrir facsímil</v>
      </c>
      <c r="K2545" s="3" t="s">
        <v>23</v>
      </c>
    </row>
    <row r="2546" spans="1:11" ht="42" customHeight="1">
      <c r="A2546" s="2" t="s">
        <v>5374</v>
      </c>
      <c r="B2546" s="2" t="s">
        <v>5374</v>
      </c>
      <c r="C2546" s="2" t="s">
        <v>114</v>
      </c>
      <c r="D2546" s="2" t="s">
        <v>27</v>
      </c>
      <c r="E2546" s="5">
        <v>-28561</v>
      </c>
      <c r="F2546" s="3" t="s">
        <v>240</v>
      </c>
      <c r="G2546" s="3" t="s">
        <v>29</v>
      </c>
      <c r="H2546" s="2" t="s">
        <v>21</v>
      </c>
      <c r="I2546" s="2" t="s">
        <v>5398</v>
      </c>
      <c r="J2546" s="3" t="str">
        <f>HYPERLINK("https://www.boe.es/gazeta/dias/1821/10/19/pdfs/GMD-1821-298.pdf#page=6","Abrir facsímil")</f>
        <v>Abrir facsímil</v>
      </c>
      <c r="K2546" s="3" t="s">
        <v>23</v>
      </c>
    </row>
    <row r="2547" spans="1:11" ht="42" customHeight="1">
      <c r="A2547" s="2" t="s">
        <v>5399</v>
      </c>
      <c r="B2547" s="2" t="s">
        <v>5399</v>
      </c>
      <c r="C2547" s="2" t="s">
        <v>17</v>
      </c>
      <c r="D2547" s="2" t="s">
        <v>18</v>
      </c>
      <c r="E2547" s="5">
        <v>-28560</v>
      </c>
      <c r="F2547" s="3" t="s">
        <v>363</v>
      </c>
      <c r="G2547" s="3" t="s">
        <v>162</v>
      </c>
      <c r="H2547" s="2" t="s">
        <v>21</v>
      </c>
      <c r="I2547" s="2" t="s">
        <v>5400</v>
      </c>
      <c r="J2547" s="3" t="str">
        <f>HYPERLINK("https://www.boe.es/gazeta/dias/1821/10/20/pdfs/GMD-1821-299.pdf#page=5","Abrir facsímil")</f>
        <v>Abrir facsímil</v>
      </c>
      <c r="K2547" s="3" t="s">
        <v>23</v>
      </c>
    </row>
    <row r="2548" spans="1:11" ht="42" customHeight="1">
      <c r="A2548" s="2" t="s">
        <v>5374</v>
      </c>
      <c r="B2548" s="2" t="s">
        <v>5374</v>
      </c>
      <c r="C2548" s="2" t="s">
        <v>26</v>
      </c>
      <c r="D2548" s="2" t="s">
        <v>27</v>
      </c>
      <c r="E2548" s="5">
        <v>-28559</v>
      </c>
      <c r="F2548" s="3" t="s">
        <v>1078</v>
      </c>
      <c r="G2548" s="3" t="s">
        <v>88</v>
      </c>
      <c r="H2548" s="2" t="s">
        <v>21</v>
      </c>
      <c r="I2548" s="2" t="s">
        <v>5401</v>
      </c>
      <c r="J2548" s="3" t="str">
        <f>HYPERLINK("https://www.boe.es/gazeta/dias/1821/10/21/pdfs/GMD-1821-300.pdf#page=4","Abrir facsímil")</f>
        <v>Abrir facsímil</v>
      </c>
      <c r="K2548" s="3" t="s">
        <v>23</v>
      </c>
    </row>
    <row r="2549" spans="1:11" ht="42" customHeight="1">
      <c r="A2549" s="2" t="s">
        <v>5374</v>
      </c>
      <c r="B2549" s="2" t="s">
        <v>5374</v>
      </c>
      <c r="C2549" s="2" t="s">
        <v>35</v>
      </c>
      <c r="D2549" s="2" t="s">
        <v>27</v>
      </c>
      <c r="E2549" s="5">
        <v>-28559</v>
      </c>
      <c r="F2549" s="3" t="s">
        <v>1078</v>
      </c>
      <c r="G2549" s="3" t="s">
        <v>162</v>
      </c>
      <c r="H2549" s="2" t="s">
        <v>21</v>
      </c>
      <c r="I2549" s="2" t="s">
        <v>5402</v>
      </c>
      <c r="J2549" s="3" t="str">
        <f>HYPERLINK("https://www.boe.es/gazeta/dias/1821/10/21/pdfs/GMD-1821-300.pdf#page=5","Abrir facsímil")</f>
        <v>Abrir facsímil</v>
      </c>
      <c r="K2549" s="3" t="s">
        <v>23</v>
      </c>
    </row>
    <row r="2550" spans="1:11" ht="42" customHeight="1">
      <c r="A2550" s="2" t="s">
        <v>5374</v>
      </c>
      <c r="B2550" s="2" t="s">
        <v>5374</v>
      </c>
      <c r="C2550" s="2" t="s">
        <v>35</v>
      </c>
      <c r="D2550" s="2" t="s">
        <v>27</v>
      </c>
      <c r="E2550" s="5">
        <v>-28558</v>
      </c>
      <c r="F2550" s="3" t="s">
        <v>758</v>
      </c>
      <c r="G2550" s="3" t="s">
        <v>88</v>
      </c>
      <c r="H2550" s="2" t="s">
        <v>21</v>
      </c>
      <c r="I2550" s="2" t="s">
        <v>5403</v>
      </c>
      <c r="J2550" s="3" t="str">
        <f>HYPERLINK("https://www.boe.es/gazeta/dias/1821/10/22/pdfs/GMD-1821-301.pdf#page=4","Abrir facsímil")</f>
        <v>Abrir facsímil</v>
      </c>
      <c r="K2550" s="3" t="s">
        <v>23</v>
      </c>
    </row>
    <row r="2551" spans="1:11" ht="42" customHeight="1">
      <c r="A2551" s="2" t="s">
        <v>5374</v>
      </c>
      <c r="B2551" s="2" t="s">
        <v>5374</v>
      </c>
      <c r="C2551" s="2" t="s">
        <v>26</v>
      </c>
      <c r="D2551" s="2" t="s">
        <v>27</v>
      </c>
      <c r="E2551" s="5">
        <v>-28556</v>
      </c>
      <c r="F2551" s="3" t="s">
        <v>264</v>
      </c>
      <c r="G2551" s="3" t="s">
        <v>88</v>
      </c>
      <c r="H2551" s="2" t="s">
        <v>21</v>
      </c>
      <c r="I2551" s="2" t="s">
        <v>5404</v>
      </c>
      <c r="J2551" s="3" t="str">
        <f>HYPERLINK("https://www.boe.es/gazeta/dias/1821/10/24/pdfs/GMD-1821-303.pdf#page=4","Abrir facsímil")</f>
        <v>Abrir facsímil</v>
      </c>
      <c r="K2551" s="3" t="s">
        <v>23</v>
      </c>
    </row>
    <row r="2552" spans="1:11" ht="42" customHeight="1">
      <c r="A2552" s="2" t="s">
        <v>5374</v>
      </c>
      <c r="B2552" s="2" t="s">
        <v>5374</v>
      </c>
      <c r="C2552" s="2" t="s">
        <v>35</v>
      </c>
      <c r="D2552" s="2" t="s">
        <v>27</v>
      </c>
      <c r="E2552" s="5">
        <v>-28556</v>
      </c>
      <c r="F2552" s="3" t="s">
        <v>264</v>
      </c>
      <c r="G2552" s="3" t="s">
        <v>162</v>
      </c>
      <c r="H2552" s="2" t="s">
        <v>21</v>
      </c>
      <c r="I2552" s="2" t="s">
        <v>5405</v>
      </c>
      <c r="J2552" s="3" t="str">
        <f>HYPERLINK("https://www.boe.es/gazeta/dias/1821/10/24/pdfs/GMD-1821-303.pdf#page=5","Abrir facsímil")</f>
        <v>Abrir facsímil</v>
      </c>
      <c r="K2552" s="3" t="s">
        <v>23</v>
      </c>
    </row>
    <row r="2553" spans="1:11" ht="42" customHeight="1">
      <c r="A2553" s="2" t="s">
        <v>5374</v>
      </c>
      <c r="B2553" s="2" t="s">
        <v>5374</v>
      </c>
      <c r="C2553" s="2" t="s">
        <v>40</v>
      </c>
      <c r="D2553" s="2" t="s">
        <v>41</v>
      </c>
      <c r="E2553" s="5">
        <v>-28524</v>
      </c>
      <c r="F2553" s="3" t="s">
        <v>874</v>
      </c>
      <c r="G2553" s="3" t="s">
        <v>875</v>
      </c>
      <c r="H2553" s="2" t="s">
        <v>21</v>
      </c>
      <c r="I2553" s="2" t="s">
        <v>5406</v>
      </c>
      <c r="J2553" s="3" t="str">
        <f>HYPERLINK("https://www.boe.es/gazeta/dias/1821/11/25/pdfs/GMD-1821-336.pdf#page=3","Abrir facsímil")</f>
        <v>Abrir facsímil</v>
      </c>
      <c r="K2553" s="3" t="s">
        <v>23</v>
      </c>
    </row>
    <row r="2554" spans="1:11" ht="42" customHeight="1">
      <c r="A2554" s="2" t="s">
        <v>5374</v>
      </c>
      <c r="B2554" s="2" t="s">
        <v>5374</v>
      </c>
      <c r="C2554" s="2" t="s">
        <v>17</v>
      </c>
      <c r="D2554" s="2" t="s">
        <v>18</v>
      </c>
      <c r="E2554" s="5">
        <v>-28524</v>
      </c>
      <c r="F2554" s="3" t="s">
        <v>874</v>
      </c>
      <c r="G2554" s="3" t="s">
        <v>88</v>
      </c>
      <c r="H2554" s="2" t="s">
        <v>21</v>
      </c>
      <c r="I2554" s="2" t="s">
        <v>5407</v>
      </c>
      <c r="J2554" s="3" t="str">
        <f>HYPERLINK("https://www.boe.es/gazeta/dias/1821/11/25/pdfs/GMD-1821-336.pdf#page=4","Abrir facsímil")</f>
        <v>Abrir facsímil</v>
      </c>
      <c r="K2554" s="3" t="s">
        <v>23</v>
      </c>
    </row>
    <row r="2555" spans="1:11" ht="42" customHeight="1">
      <c r="A2555" s="2" t="s">
        <v>5374</v>
      </c>
      <c r="B2555" s="2" t="s">
        <v>5374</v>
      </c>
      <c r="C2555" s="2" t="s">
        <v>17</v>
      </c>
      <c r="D2555" s="2" t="s">
        <v>18</v>
      </c>
      <c r="E2555" s="5">
        <v>-28520</v>
      </c>
      <c r="F2555" s="3" t="s">
        <v>878</v>
      </c>
      <c r="G2555" s="3" t="s">
        <v>43</v>
      </c>
      <c r="H2555" s="2" t="s">
        <v>21</v>
      </c>
      <c r="I2555" s="2" t="s">
        <v>5408</v>
      </c>
      <c r="J2555" s="3" t="str">
        <f>HYPERLINK("https://www.boe.es/gazeta/dias/1821/11/29/pdfs/GMD-1821-341.pdf#page=1","Abrir facsímil")</f>
        <v>Abrir facsímil</v>
      </c>
      <c r="K2555" s="3" t="s">
        <v>23</v>
      </c>
    </row>
    <row r="2556" spans="1:11" ht="42" customHeight="1">
      <c r="A2556" s="2" t="s">
        <v>5374</v>
      </c>
      <c r="B2556" s="2" t="s">
        <v>5374</v>
      </c>
      <c r="C2556" s="2" t="s">
        <v>35</v>
      </c>
      <c r="D2556" s="2" t="s">
        <v>27</v>
      </c>
      <c r="E2556" s="5">
        <v>-28490</v>
      </c>
      <c r="F2556" s="3" t="s">
        <v>801</v>
      </c>
      <c r="G2556" s="3" t="s">
        <v>52</v>
      </c>
      <c r="H2556" s="2" t="s">
        <v>21</v>
      </c>
      <c r="I2556" s="2" t="s">
        <v>5409</v>
      </c>
      <c r="J2556" s="3" t="str">
        <f>HYPERLINK("https://www.boe.es/gazeta/dias/1821/12/29/pdfs/GMD-1821-372.pdf#page=2","Abrir facsímil")</f>
        <v>Abrir facsímil</v>
      </c>
      <c r="K2556" s="3" t="s">
        <v>23</v>
      </c>
    </row>
    <row r="2557" spans="1:11" ht="42" customHeight="1">
      <c r="A2557" s="2" t="s">
        <v>5374</v>
      </c>
      <c r="B2557" s="2" t="s">
        <v>5374</v>
      </c>
      <c r="C2557" s="2" t="s">
        <v>26</v>
      </c>
      <c r="D2557" s="2" t="s">
        <v>27</v>
      </c>
      <c r="E2557" s="5">
        <v>-28488</v>
      </c>
      <c r="F2557" s="3" t="s">
        <v>1563</v>
      </c>
      <c r="G2557" s="3" t="s">
        <v>52</v>
      </c>
      <c r="H2557" s="2" t="s">
        <v>21</v>
      </c>
      <c r="I2557" s="2" t="s">
        <v>5410</v>
      </c>
      <c r="J2557" s="3" t="str">
        <f>HYPERLINK("https://www.boe.es/gazeta/dias/1821/12/31/pdfs/GMD-1821-374.pdf#page=2","Abrir facsímil")</f>
        <v>Abrir facsímil</v>
      </c>
      <c r="K2557" s="3" t="s">
        <v>23</v>
      </c>
    </row>
    <row r="2558" spans="1:11" ht="42" customHeight="1">
      <c r="A2558" s="2" t="s">
        <v>5411</v>
      </c>
      <c r="B2558" s="2" t="s">
        <v>5412</v>
      </c>
      <c r="C2558" s="2" t="s">
        <v>279</v>
      </c>
      <c r="D2558" s="2" t="s">
        <v>27</v>
      </c>
      <c r="E2558" s="5">
        <v>-28683</v>
      </c>
      <c r="F2558" s="3" t="s">
        <v>332</v>
      </c>
      <c r="G2558" s="3" t="s">
        <v>333</v>
      </c>
      <c r="H2558" s="2" t="s">
        <v>21</v>
      </c>
      <c r="I2558" s="2" t="s">
        <v>5413</v>
      </c>
      <c r="J2558" s="3" t="str">
        <f>HYPERLINK("https://www.boe.es/gazeta/dias/1821/06/19/pdfs/GMD-1821-172.pdf#page=8","Abrir facsímil")</f>
        <v>Abrir facsímil</v>
      </c>
      <c r="K2558" s="3" t="s">
        <v>23</v>
      </c>
    </row>
    <row r="2559" spans="1:11" ht="42" customHeight="1">
      <c r="A2559" s="2" t="s">
        <v>5414</v>
      </c>
      <c r="B2559" s="2" t="s">
        <v>5414</v>
      </c>
      <c r="C2559" s="2" t="s">
        <v>26</v>
      </c>
      <c r="D2559" s="2" t="s">
        <v>27</v>
      </c>
      <c r="E2559" s="5">
        <v>-28575</v>
      </c>
      <c r="F2559" s="3" t="s">
        <v>2453</v>
      </c>
      <c r="G2559" s="3" t="s">
        <v>88</v>
      </c>
      <c r="H2559" s="2" t="s">
        <v>21</v>
      </c>
      <c r="I2559" s="2" t="s">
        <v>5415</v>
      </c>
      <c r="J2559" s="3" t="str">
        <f>HYPERLINK("https://www.boe.es/gazeta/dias/1821/10/05/pdfs/GMD-1821-284.pdf#page=4","Abrir facsímil")</f>
        <v>Abrir facsímil</v>
      </c>
      <c r="K2559" s="3" t="s">
        <v>23</v>
      </c>
    </row>
    <row r="2560" spans="1:11" ht="42" customHeight="1">
      <c r="A2560" s="2" t="s">
        <v>5416</v>
      </c>
      <c r="B2560" s="2" t="s">
        <v>5416</v>
      </c>
      <c r="C2560" s="2" t="s">
        <v>35</v>
      </c>
      <c r="D2560" s="2" t="s">
        <v>27</v>
      </c>
      <c r="E2560" s="5">
        <v>-28568</v>
      </c>
      <c r="F2560" s="3" t="s">
        <v>539</v>
      </c>
      <c r="G2560" s="3" t="s">
        <v>29</v>
      </c>
      <c r="H2560" s="2" t="s">
        <v>21</v>
      </c>
      <c r="I2560" s="2" t="s">
        <v>5417</v>
      </c>
      <c r="J2560" s="3" t="str">
        <f>HYPERLINK("https://www.boe.es/gazeta/dias/1821/10/12/pdfs/GMD-1821-291.pdf#page=6","Abrir facsímil")</f>
        <v>Abrir facsímil</v>
      </c>
      <c r="K2560" s="3" t="s">
        <v>23</v>
      </c>
    </row>
    <row r="2561" spans="1:11" ht="42" customHeight="1">
      <c r="A2561" s="2" t="s">
        <v>5418</v>
      </c>
      <c r="B2561" s="2" t="s">
        <v>5418</v>
      </c>
      <c r="C2561" s="2" t="s">
        <v>17</v>
      </c>
      <c r="D2561" s="2" t="s">
        <v>18</v>
      </c>
      <c r="E2561" s="5">
        <v>-28561</v>
      </c>
      <c r="F2561" s="3" t="s">
        <v>240</v>
      </c>
      <c r="G2561" s="3" t="s">
        <v>162</v>
      </c>
      <c r="H2561" s="2" t="s">
        <v>21</v>
      </c>
      <c r="I2561" s="2" t="s">
        <v>5419</v>
      </c>
      <c r="J2561" s="3" t="str">
        <f>HYPERLINK("https://www.boe.es/gazeta/dias/1821/10/19/pdfs/GMD-1821-298.pdf#page=5","Abrir facsímil")</f>
        <v>Abrir facsímil</v>
      </c>
      <c r="K2561" s="3" t="s">
        <v>23</v>
      </c>
    </row>
    <row r="2562" spans="1:11" ht="42" customHeight="1">
      <c r="A2562" s="2" t="s">
        <v>5420</v>
      </c>
      <c r="B2562" s="2" t="s">
        <v>5421</v>
      </c>
      <c r="C2562" s="2" t="s">
        <v>40</v>
      </c>
      <c r="D2562" s="2" t="s">
        <v>41</v>
      </c>
      <c r="E2562" s="5">
        <v>-28629</v>
      </c>
      <c r="F2562" s="3" t="s">
        <v>235</v>
      </c>
      <c r="G2562" s="3" t="s">
        <v>88</v>
      </c>
      <c r="H2562" s="2" t="s">
        <v>21</v>
      </c>
      <c r="I2562" s="2" t="s">
        <v>5422</v>
      </c>
      <c r="J2562" s="3" t="str">
        <f>HYPERLINK("https://www.boe.es/gazeta/dias/1821/08/12/pdfs/GMD-1821-229.pdf#page=4","Abrir facsímil")</f>
        <v>Abrir facsímil</v>
      </c>
      <c r="K2562" s="3" t="s">
        <v>23</v>
      </c>
    </row>
    <row r="2563" spans="1:11" ht="42" customHeight="1">
      <c r="A2563" s="2" t="s">
        <v>5423</v>
      </c>
      <c r="B2563" s="2" t="s">
        <v>5424</v>
      </c>
      <c r="C2563" s="2" t="s">
        <v>17</v>
      </c>
      <c r="D2563" s="2" t="s">
        <v>18</v>
      </c>
      <c r="E2563" s="5">
        <v>-28512</v>
      </c>
      <c r="F2563" s="3" t="s">
        <v>66</v>
      </c>
      <c r="G2563" s="3" t="s">
        <v>43</v>
      </c>
      <c r="H2563" s="2" t="s">
        <v>21</v>
      </c>
      <c r="I2563" s="2" t="s">
        <v>5425</v>
      </c>
      <c r="J2563" s="3" t="str">
        <f>HYPERLINK("https://www.boe.es/gazeta/dias/1821/12/07/pdfs/GMD-1821-349.pdf#page=1","Abrir facsímil")</f>
        <v>Abrir facsímil</v>
      </c>
      <c r="K2563" s="3" t="s">
        <v>23</v>
      </c>
    </row>
    <row r="2564" spans="1:11" ht="42" customHeight="1">
      <c r="A2564" s="2" t="s">
        <v>5426</v>
      </c>
      <c r="B2564" s="2" t="s">
        <v>5426</v>
      </c>
      <c r="C2564" s="2" t="s">
        <v>26</v>
      </c>
      <c r="D2564" s="2" t="s">
        <v>27</v>
      </c>
      <c r="E2564" s="5">
        <v>-28550</v>
      </c>
      <c r="F2564" s="3" t="s">
        <v>546</v>
      </c>
      <c r="G2564" s="3" t="s">
        <v>20</v>
      </c>
      <c r="H2564" s="2" t="s">
        <v>21</v>
      </c>
      <c r="I2564" s="2" t="s">
        <v>5427</v>
      </c>
      <c r="J2564" s="3" t="str">
        <f>HYPERLINK("https://www.boe.es/gazeta/dias/1821/10/30/pdfs/GMD-1821-309.pdf#page=3","Abrir facsímil")</f>
        <v>Abrir facsímil</v>
      </c>
      <c r="K2564" s="3" t="s">
        <v>23</v>
      </c>
    </row>
    <row r="2565" spans="1:11" ht="42" customHeight="1">
      <c r="A2565" s="2" t="s">
        <v>5428</v>
      </c>
      <c r="B2565" s="2" t="s">
        <v>5428</v>
      </c>
      <c r="C2565" s="2" t="s">
        <v>70</v>
      </c>
      <c r="D2565" s="2" t="s">
        <v>27</v>
      </c>
      <c r="E2565" s="5">
        <v>-28561</v>
      </c>
      <c r="F2565" s="3" t="s">
        <v>240</v>
      </c>
      <c r="G2565" s="3" t="s">
        <v>162</v>
      </c>
      <c r="H2565" s="2" t="s">
        <v>21</v>
      </c>
      <c r="I2565" s="2" t="s">
        <v>5429</v>
      </c>
      <c r="J2565" s="3" t="str">
        <f>HYPERLINK("https://www.boe.es/gazeta/dias/1821/10/19/pdfs/GMD-1821-298.pdf#page=5","Abrir facsímil")</f>
        <v>Abrir facsímil</v>
      </c>
      <c r="K2565" s="3" t="s">
        <v>23</v>
      </c>
    </row>
    <row r="2566" spans="1:11" ht="42" customHeight="1">
      <c r="A2566" s="2" t="s">
        <v>5430</v>
      </c>
      <c r="B2566" s="2" t="s">
        <v>5431</v>
      </c>
      <c r="C2566" s="2" t="s">
        <v>26</v>
      </c>
      <c r="D2566" s="2" t="s">
        <v>27</v>
      </c>
      <c r="E2566" s="5">
        <v>-28537</v>
      </c>
      <c r="F2566" s="3" t="s">
        <v>56</v>
      </c>
      <c r="G2566" s="3" t="s">
        <v>29</v>
      </c>
      <c r="H2566" s="2" t="s">
        <v>21</v>
      </c>
      <c r="I2566" s="2" t="s">
        <v>5432</v>
      </c>
      <c r="J2566" s="3" t="str">
        <f>HYPERLINK("https://www.boe.es/gazeta/dias/1821/11/12/pdfs/GMD-1821-323.pdf#page=6","Abrir facsímil")</f>
        <v>Abrir facsímil</v>
      </c>
      <c r="K2566" s="3" t="s">
        <v>23</v>
      </c>
    </row>
    <row r="2567" spans="1:11" ht="42" customHeight="1">
      <c r="A2567" s="2" t="s">
        <v>5433</v>
      </c>
      <c r="B2567" s="2" t="s">
        <v>5433</v>
      </c>
      <c r="C2567" s="2" t="s">
        <v>17</v>
      </c>
      <c r="D2567" s="2" t="s">
        <v>18</v>
      </c>
      <c r="E2567" s="5">
        <v>-28837</v>
      </c>
      <c r="F2567" s="3" t="s">
        <v>1234</v>
      </c>
      <c r="G2567" s="3" t="s">
        <v>52</v>
      </c>
      <c r="H2567" s="2" t="s">
        <v>21</v>
      </c>
      <c r="I2567" s="2" t="s">
        <v>5434</v>
      </c>
      <c r="J2567" s="3" t="str">
        <f>HYPERLINK("https://www.boe.es/gazeta/dias/1821/01/16/pdfs/GGB-1821-16.pdf#page=2","Abrir facsímil")</f>
        <v>Abrir facsímil</v>
      </c>
      <c r="K2567" s="3" t="s">
        <v>23</v>
      </c>
    </row>
    <row r="2568" spans="1:11" ht="42" customHeight="1">
      <c r="A2568" s="2" t="s">
        <v>5435</v>
      </c>
      <c r="B2568" s="2" t="s">
        <v>5435</v>
      </c>
      <c r="C2568" s="2" t="s">
        <v>17</v>
      </c>
      <c r="D2568" s="2" t="s">
        <v>18</v>
      </c>
      <c r="E2568" s="5">
        <v>-28556</v>
      </c>
      <c r="F2568" s="3" t="s">
        <v>264</v>
      </c>
      <c r="G2568" s="3" t="s">
        <v>29</v>
      </c>
      <c r="H2568" s="2" t="s">
        <v>21</v>
      </c>
      <c r="I2568" s="2" t="s">
        <v>5436</v>
      </c>
      <c r="J2568" s="3" t="str">
        <f>HYPERLINK("https://www.boe.es/gazeta/dias/1821/10/24/pdfs/GMD-1821-303.pdf#page=6","Abrir facsímil")</f>
        <v>Abrir facsímil</v>
      </c>
      <c r="K2568" s="3" t="s">
        <v>23</v>
      </c>
    </row>
    <row r="2569" spans="1:11" ht="42" customHeight="1">
      <c r="A2569" s="2" t="s">
        <v>5437</v>
      </c>
      <c r="B2569" s="2" t="s">
        <v>5438</v>
      </c>
      <c r="C2569" s="2" t="s">
        <v>26</v>
      </c>
      <c r="D2569" s="2" t="s">
        <v>27</v>
      </c>
      <c r="E2569" s="5">
        <v>-28667</v>
      </c>
      <c r="F2569" s="3" t="s">
        <v>107</v>
      </c>
      <c r="G2569" s="3" t="s">
        <v>52</v>
      </c>
      <c r="H2569" s="2" t="s">
        <v>21</v>
      </c>
      <c r="I2569" s="2" t="s">
        <v>5439</v>
      </c>
      <c r="J2569" s="3" t="str">
        <f>HYPERLINK("https://www.boe.es/gazeta/dias/1821/07/05/pdfs/GMD-1821-189.pdf#page=2","Abrir facsímil")</f>
        <v>Abrir facsímil</v>
      </c>
      <c r="K2569" s="3" t="s">
        <v>23</v>
      </c>
    </row>
    <row r="2570" spans="1:11" ht="42" customHeight="1">
      <c r="A2570" s="2" t="s">
        <v>5440</v>
      </c>
      <c r="B2570" s="2" t="s">
        <v>5440</v>
      </c>
      <c r="C2570" s="2" t="s">
        <v>17</v>
      </c>
      <c r="D2570" s="2" t="s">
        <v>18</v>
      </c>
      <c r="E2570" s="5">
        <v>-28559</v>
      </c>
      <c r="F2570" s="3" t="s">
        <v>1078</v>
      </c>
      <c r="G2570" s="3" t="s">
        <v>162</v>
      </c>
      <c r="H2570" s="2" t="s">
        <v>21</v>
      </c>
      <c r="I2570" s="2" t="s">
        <v>5441</v>
      </c>
      <c r="J2570" s="3" t="str">
        <f>HYPERLINK("https://www.boe.es/gazeta/dias/1821/10/21/pdfs/GMD-1821-300.pdf#page=5","Abrir facsímil")</f>
        <v>Abrir facsímil</v>
      </c>
      <c r="K2570" s="3" t="s">
        <v>23</v>
      </c>
    </row>
    <row r="2571" spans="1:11" ht="42" customHeight="1">
      <c r="A2571" s="2" t="s">
        <v>5442</v>
      </c>
      <c r="B2571" s="2" t="s">
        <v>5442</v>
      </c>
      <c r="C2571" s="2" t="s">
        <v>26</v>
      </c>
      <c r="D2571" s="2" t="s">
        <v>27</v>
      </c>
      <c r="E2571" s="5">
        <v>-28525</v>
      </c>
      <c r="F2571" s="3" t="s">
        <v>186</v>
      </c>
      <c r="G2571" s="3" t="s">
        <v>88</v>
      </c>
      <c r="H2571" s="2" t="s">
        <v>21</v>
      </c>
      <c r="I2571" s="2" t="s">
        <v>5443</v>
      </c>
      <c r="J2571" s="3" t="str">
        <f>HYPERLINK("https://www.boe.es/gazeta/dias/1821/11/24/pdfs/GMD-1821-335.pdf#page=4","Abrir facsímil")</f>
        <v>Abrir facsímil</v>
      </c>
      <c r="K2571" s="3" t="s">
        <v>23</v>
      </c>
    </row>
    <row r="2572" spans="1:11" ht="42" customHeight="1">
      <c r="A2572" s="2" t="s">
        <v>5444</v>
      </c>
      <c r="B2572" s="2" t="s">
        <v>5445</v>
      </c>
      <c r="C2572" s="2" t="s">
        <v>17</v>
      </c>
      <c r="D2572" s="2" t="s">
        <v>18</v>
      </c>
      <c r="E2572" s="5">
        <v>-28730</v>
      </c>
      <c r="F2572" s="3" t="s">
        <v>747</v>
      </c>
      <c r="G2572" s="3" t="s">
        <v>20</v>
      </c>
      <c r="H2572" s="2" t="s">
        <v>21</v>
      </c>
      <c r="I2572" s="2" t="s">
        <v>5446</v>
      </c>
      <c r="J2572" s="3" t="str">
        <f>HYPERLINK("https://www.boe.es/gazeta/dias/1821/05/03/pdfs/GMD-1821-125.pdf#page=3","Abrir facsímil")</f>
        <v>Abrir facsímil</v>
      </c>
      <c r="K2572" s="3" t="s">
        <v>23</v>
      </c>
    </row>
    <row r="2573" spans="1:11" ht="42" customHeight="1">
      <c r="A2573" s="2" t="s">
        <v>5447</v>
      </c>
      <c r="B2573" s="2" t="s">
        <v>5447</v>
      </c>
      <c r="C2573" s="2" t="s">
        <v>40</v>
      </c>
      <c r="D2573" s="2" t="s">
        <v>41</v>
      </c>
      <c r="E2573" s="5">
        <v>-28585</v>
      </c>
      <c r="F2573" s="3" t="s">
        <v>627</v>
      </c>
      <c r="G2573" s="3" t="s">
        <v>52</v>
      </c>
      <c r="H2573" s="2" t="s">
        <v>21</v>
      </c>
      <c r="I2573" s="2" t="s">
        <v>5448</v>
      </c>
      <c r="J2573" s="3" t="str">
        <f>HYPERLINK("https://www.boe.es/gazeta/dias/1821/09/25/pdfs/GMD-1821-273.pdf#page=2","Abrir facsímil")</f>
        <v>Abrir facsímil</v>
      </c>
      <c r="K2573" s="3" t="s">
        <v>23</v>
      </c>
    </row>
    <row r="2574" spans="1:11" ht="42" customHeight="1">
      <c r="A2574" s="2" t="s">
        <v>5449</v>
      </c>
      <c r="B2574" s="2" t="s">
        <v>5450</v>
      </c>
      <c r="C2574" s="2" t="s">
        <v>174</v>
      </c>
      <c r="D2574" s="2" t="s">
        <v>27</v>
      </c>
      <c r="E2574" s="5">
        <v>-28606</v>
      </c>
      <c r="F2574" s="3" t="s">
        <v>1799</v>
      </c>
      <c r="G2574" s="3" t="s">
        <v>52</v>
      </c>
      <c r="H2574" s="2" t="s">
        <v>21</v>
      </c>
      <c r="I2574" s="2" t="s">
        <v>5451</v>
      </c>
      <c r="J2574" s="3" t="str">
        <f>HYPERLINK("https://www.boe.es/gazeta/dias/1821/09/04/pdfs/GMD-1821-252.pdf#page=2","Abrir facsímil")</f>
        <v>Abrir facsímil</v>
      </c>
      <c r="K2574" s="3" t="s">
        <v>23</v>
      </c>
    </row>
    <row r="2575" spans="1:11" ht="42" customHeight="1">
      <c r="A2575" s="2" t="s">
        <v>5452</v>
      </c>
      <c r="B2575" s="2" t="s">
        <v>5452</v>
      </c>
      <c r="C2575" s="2" t="s">
        <v>26</v>
      </c>
      <c r="D2575" s="2" t="s">
        <v>27</v>
      </c>
      <c r="E2575" s="5">
        <v>-28822</v>
      </c>
      <c r="F2575" s="3" t="s">
        <v>1748</v>
      </c>
      <c r="G2575" s="3" t="s">
        <v>52</v>
      </c>
      <c r="H2575" s="2" t="s">
        <v>21</v>
      </c>
      <c r="I2575" s="2" t="s">
        <v>5453</v>
      </c>
      <c r="J2575" s="3" t="str">
        <f>HYPERLINK("https://www.boe.es/gazeta/dias/1821/01/31/pdfs/GGB-1821-31.pdf#page=2","Abrir facsímil")</f>
        <v>Abrir facsímil</v>
      </c>
      <c r="K2575" s="3" t="s">
        <v>23</v>
      </c>
    </row>
    <row r="2576" spans="1:11" ht="42" customHeight="1">
      <c r="A2576" s="2" t="s">
        <v>5452</v>
      </c>
      <c r="B2576" s="2" t="s">
        <v>5452</v>
      </c>
      <c r="C2576" s="2" t="s">
        <v>40</v>
      </c>
      <c r="D2576" s="2" t="s">
        <v>41</v>
      </c>
      <c r="E2576" s="5">
        <v>-28807</v>
      </c>
      <c r="F2576" s="3" t="s">
        <v>613</v>
      </c>
      <c r="G2576" s="3" t="s">
        <v>43</v>
      </c>
      <c r="H2576" s="2" t="s">
        <v>21</v>
      </c>
      <c r="I2576" s="2" t="s">
        <v>5454</v>
      </c>
      <c r="J2576" s="3" t="str">
        <f>HYPERLINK("https://www.boe.es/gazeta/dias/1821/02/15/pdfs/GGB-1821-46.pdf#page=1","Abrir facsímil")</f>
        <v>Abrir facsímil</v>
      </c>
      <c r="K2576" s="3" t="s">
        <v>23</v>
      </c>
    </row>
    <row r="2577" spans="1:11" ht="42" customHeight="1">
      <c r="A2577" s="2" t="s">
        <v>5452</v>
      </c>
      <c r="B2577" s="2" t="s">
        <v>5452</v>
      </c>
      <c r="C2577" s="2" t="s">
        <v>26</v>
      </c>
      <c r="D2577" s="2" t="s">
        <v>27</v>
      </c>
      <c r="E2577" s="5">
        <v>-28731</v>
      </c>
      <c r="F2577" s="3" t="s">
        <v>577</v>
      </c>
      <c r="G2577" s="3" t="s">
        <v>52</v>
      </c>
      <c r="H2577" s="2" t="s">
        <v>21</v>
      </c>
      <c r="I2577" s="2" t="s">
        <v>5455</v>
      </c>
      <c r="J2577" s="3" t="str">
        <f>HYPERLINK("https://www.boe.es/gazeta/dias/1821/05/02/pdfs/GMD-1821-124.pdf#page=2","Abrir facsímil")</f>
        <v>Abrir facsímil</v>
      </c>
      <c r="K2577" s="3" t="s">
        <v>23</v>
      </c>
    </row>
    <row r="2578" spans="1:11" ht="42" customHeight="1">
      <c r="A2578" s="2" t="s">
        <v>5452</v>
      </c>
      <c r="B2578" s="2" t="s">
        <v>5452</v>
      </c>
      <c r="C2578" s="2" t="s">
        <v>40</v>
      </c>
      <c r="D2578" s="2" t="s">
        <v>41</v>
      </c>
      <c r="E2578" s="5">
        <v>-28634</v>
      </c>
      <c r="F2578" s="3" t="s">
        <v>2533</v>
      </c>
      <c r="G2578" s="3" t="s">
        <v>43</v>
      </c>
      <c r="H2578" s="2" t="s">
        <v>21</v>
      </c>
      <c r="I2578" s="2" t="s">
        <v>5456</v>
      </c>
      <c r="J2578" s="3" t="str">
        <f>HYPERLINK("https://www.boe.es/gazeta/dias/1821/08/07/pdfs/GMD-1821-223.pdf#page=1","Abrir facsímil")</f>
        <v>Abrir facsímil</v>
      </c>
      <c r="K2578" s="3" t="s">
        <v>23</v>
      </c>
    </row>
    <row r="2579" spans="1:11" ht="42" customHeight="1">
      <c r="A2579" s="2" t="s">
        <v>5452</v>
      </c>
      <c r="B2579" s="2" t="s">
        <v>5452</v>
      </c>
      <c r="C2579" s="2" t="s">
        <v>40</v>
      </c>
      <c r="D2579" s="2" t="s">
        <v>41</v>
      </c>
      <c r="E2579" s="5">
        <v>-28622</v>
      </c>
      <c r="F2579" s="3" t="s">
        <v>2771</v>
      </c>
      <c r="G2579" s="3" t="s">
        <v>43</v>
      </c>
      <c r="H2579" s="2" t="s">
        <v>21</v>
      </c>
      <c r="I2579" s="2" t="s">
        <v>5457</v>
      </c>
      <c r="J2579" s="3" t="str">
        <f>HYPERLINK("https://www.boe.es/gazeta/dias/1821/08/19/pdfs/GMD-1821-236.pdf#page=1","Abrir facsímil")</f>
        <v>Abrir facsímil</v>
      </c>
      <c r="K2579" s="3" t="s">
        <v>23</v>
      </c>
    </row>
    <row r="2580" spans="1:11" ht="42" customHeight="1">
      <c r="A2580" s="2" t="s">
        <v>5452</v>
      </c>
      <c r="B2580" s="2" t="s">
        <v>5452</v>
      </c>
      <c r="C2580" s="2" t="s">
        <v>26</v>
      </c>
      <c r="D2580" s="2" t="s">
        <v>27</v>
      </c>
      <c r="E2580" s="5">
        <v>-28600</v>
      </c>
      <c r="F2580" s="3" t="s">
        <v>99</v>
      </c>
      <c r="G2580" s="3" t="s">
        <v>43</v>
      </c>
      <c r="H2580" s="2" t="s">
        <v>21</v>
      </c>
      <c r="I2580" s="2" t="s">
        <v>5458</v>
      </c>
      <c r="J2580" s="3" t="str">
        <f>HYPERLINK("https://www.boe.es/gazeta/dias/1821/09/10/pdfs/GMD-1821-258.pdf#page=1","Abrir facsímil")</f>
        <v>Abrir facsímil</v>
      </c>
      <c r="K2580" s="3" t="s">
        <v>23</v>
      </c>
    </row>
    <row r="2581" spans="1:11" ht="42" customHeight="1">
      <c r="A2581" s="2" t="s">
        <v>5452</v>
      </c>
      <c r="B2581" s="2" t="s">
        <v>5452</v>
      </c>
      <c r="C2581" s="2" t="s">
        <v>17</v>
      </c>
      <c r="D2581" s="2" t="s">
        <v>18</v>
      </c>
      <c r="E2581" s="5">
        <v>-28585</v>
      </c>
      <c r="F2581" s="3" t="s">
        <v>627</v>
      </c>
      <c r="G2581" s="3" t="s">
        <v>52</v>
      </c>
      <c r="H2581" s="2" t="s">
        <v>21</v>
      </c>
      <c r="I2581" s="2" t="s">
        <v>5459</v>
      </c>
      <c r="J2581" s="3" t="str">
        <f>HYPERLINK("https://www.boe.es/gazeta/dias/1821/09/25/pdfs/GMD-1821-273.pdf#page=2","Abrir facsímil")</f>
        <v>Abrir facsímil</v>
      </c>
      <c r="K2581" s="3" t="s">
        <v>23</v>
      </c>
    </row>
    <row r="2582" spans="1:11" ht="42" customHeight="1">
      <c r="A2582" s="2" t="s">
        <v>5452</v>
      </c>
      <c r="B2582" s="2" t="s">
        <v>5452</v>
      </c>
      <c r="C2582" s="2" t="s">
        <v>26</v>
      </c>
      <c r="D2582" s="2" t="s">
        <v>27</v>
      </c>
      <c r="E2582" s="5">
        <v>-28582</v>
      </c>
      <c r="F2582" s="3" t="s">
        <v>3039</v>
      </c>
      <c r="G2582" s="3" t="s">
        <v>5460</v>
      </c>
      <c r="H2582" s="2" t="s">
        <v>21</v>
      </c>
      <c r="I2582" s="2" t="s">
        <v>5461</v>
      </c>
      <c r="J2582" s="3" t="str">
        <f>HYPERLINK("https://www.boe.es/gazeta/dias/1821/09/28/pdfs/GMD-1821-276.pdf#page=3","Abrir facsímil")</f>
        <v>Abrir facsímil</v>
      </c>
      <c r="K2582" s="3" t="s">
        <v>23</v>
      </c>
    </row>
    <row r="2583" spans="1:11" ht="42" customHeight="1">
      <c r="A2583" s="2" t="s">
        <v>5452</v>
      </c>
      <c r="B2583" s="2" t="s">
        <v>5452</v>
      </c>
      <c r="C2583" s="2" t="s">
        <v>40</v>
      </c>
      <c r="D2583" s="2" t="s">
        <v>41</v>
      </c>
      <c r="E2583" s="5">
        <v>-28582</v>
      </c>
      <c r="F2583" s="3" t="s">
        <v>3039</v>
      </c>
      <c r="G2583" s="3" t="s">
        <v>52</v>
      </c>
      <c r="H2583" s="2" t="s">
        <v>21</v>
      </c>
      <c r="I2583" s="2" t="s">
        <v>5462</v>
      </c>
      <c r="J2583" s="3" t="str">
        <f>HYPERLINK("https://www.boe.es/gazeta/dias/1821/09/28/pdfs/GMD-1821-276.pdf#page=2","Abrir facsímil")</f>
        <v>Abrir facsímil</v>
      </c>
      <c r="K2583" s="3" t="s">
        <v>23</v>
      </c>
    </row>
    <row r="2584" spans="1:11" ht="42" customHeight="1">
      <c r="A2584" s="2" t="s">
        <v>5452</v>
      </c>
      <c r="B2584" s="2" t="s">
        <v>5452</v>
      </c>
      <c r="C2584" s="2" t="s">
        <v>35</v>
      </c>
      <c r="D2584" s="2" t="s">
        <v>27</v>
      </c>
      <c r="E2584" s="5">
        <v>-28566</v>
      </c>
      <c r="F2584" s="3" t="s">
        <v>1529</v>
      </c>
      <c r="G2584" s="3" t="s">
        <v>43</v>
      </c>
      <c r="H2584" s="2" t="s">
        <v>21</v>
      </c>
      <c r="I2584" s="2" t="s">
        <v>5463</v>
      </c>
      <c r="J2584" s="3" t="str">
        <f>HYPERLINK("https://www.boe.es/gazeta/dias/1821/10/14/pdfs/GMD-1821-293.pdf#page=1","Abrir facsímil")</f>
        <v>Abrir facsímil</v>
      </c>
      <c r="K2584" s="3" t="s">
        <v>23</v>
      </c>
    </row>
    <row r="2585" spans="1:11" ht="42" customHeight="1">
      <c r="A2585" s="2" t="s">
        <v>5464</v>
      </c>
      <c r="B2585" s="2" t="s">
        <v>5464</v>
      </c>
      <c r="C2585" s="2" t="s">
        <v>40</v>
      </c>
      <c r="D2585" s="2" t="s">
        <v>41</v>
      </c>
      <c r="E2585" s="5">
        <v>-28699</v>
      </c>
      <c r="F2585" s="3" t="s">
        <v>280</v>
      </c>
      <c r="G2585" s="3" t="s">
        <v>20</v>
      </c>
      <c r="H2585" s="2" t="s">
        <v>21</v>
      </c>
      <c r="I2585" s="2" t="s">
        <v>5465</v>
      </c>
      <c r="J2585" s="3" t="str">
        <f>HYPERLINK("https://www.boe.es/gazeta/dias/1821/06/03/pdfs/GMD-1821-156.pdf#page=3","Abrir facsímil")</f>
        <v>Abrir facsímil</v>
      </c>
      <c r="K2585" s="3" t="s">
        <v>23</v>
      </c>
    </row>
    <row r="2586" spans="1:11" ht="42" customHeight="1">
      <c r="A2586" s="2" t="s">
        <v>5466</v>
      </c>
      <c r="B2586" s="2" t="s">
        <v>5467</v>
      </c>
      <c r="C2586" s="2" t="s">
        <v>26</v>
      </c>
      <c r="D2586" s="2" t="s">
        <v>27</v>
      </c>
      <c r="E2586" s="5">
        <v>-28776</v>
      </c>
      <c r="F2586" s="3" t="s">
        <v>312</v>
      </c>
      <c r="G2586" s="3" t="s">
        <v>162</v>
      </c>
      <c r="H2586" s="2" t="s">
        <v>21</v>
      </c>
      <c r="I2586" s="2" t="s">
        <v>5468</v>
      </c>
      <c r="J2586" s="3" t="str">
        <f>HYPERLINK("https://www.boe.es/gazeta/dias/1821/03/18/pdfs/GMD-1821-77.pdf#page=5","Abrir facsímil")</f>
        <v>Abrir facsímil</v>
      </c>
      <c r="K2586" s="3" t="s">
        <v>23</v>
      </c>
    </row>
    <row r="2587" spans="1:11" ht="42" customHeight="1">
      <c r="A2587" s="2" t="s">
        <v>5469</v>
      </c>
      <c r="B2587" s="2" t="s">
        <v>5469</v>
      </c>
      <c r="C2587" s="2" t="s">
        <v>40</v>
      </c>
      <c r="D2587" s="2" t="s">
        <v>41</v>
      </c>
      <c r="E2587" s="5">
        <v>-28709</v>
      </c>
      <c r="F2587" s="3" t="s">
        <v>1434</v>
      </c>
      <c r="G2587" s="3" t="s">
        <v>43</v>
      </c>
      <c r="H2587" s="2" t="s">
        <v>21</v>
      </c>
      <c r="I2587" s="2" t="s">
        <v>5470</v>
      </c>
      <c r="J2587" s="3" t="str">
        <f>HYPERLINK("https://www.boe.es/gazeta/dias/1821/05/24/pdfs/GMD-1821-146.pdf#page=1","Abrir facsímil")</f>
        <v>Abrir facsímil</v>
      </c>
      <c r="K2587" s="3" t="s">
        <v>23</v>
      </c>
    </row>
    <row r="2588" spans="1:11" ht="42" customHeight="1">
      <c r="A2588" s="2" t="s">
        <v>5471</v>
      </c>
      <c r="B2588" s="2" t="s">
        <v>5471</v>
      </c>
      <c r="C2588" s="2" t="s">
        <v>40</v>
      </c>
      <c r="D2588" s="2" t="s">
        <v>41</v>
      </c>
      <c r="E2588" s="5">
        <v>-28646</v>
      </c>
      <c r="F2588" s="3" t="s">
        <v>1457</v>
      </c>
      <c r="G2588" s="3" t="s">
        <v>43</v>
      </c>
      <c r="H2588" s="2" t="s">
        <v>21</v>
      </c>
      <c r="I2588" s="2" t="s">
        <v>5472</v>
      </c>
      <c r="J2588" s="3" t="str">
        <f>HYPERLINK("https://www.boe.es/gazeta/dias/1821/07/26/pdfs/GMD-1821-211.pdf#page=1","Abrir facsímil")</f>
        <v>Abrir facsímil</v>
      </c>
      <c r="K2588" s="3" t="s">
        <v>23</v>
      </c>
    </row>
    <row r="2589" spans="1:11" ht="42" customHeight="1">
      <c r="A2589" s="2" t="s">
        <v>5471</v>
      </c>
      <c r="B2589" s="2" t="s">
        <v>5471</v>
      </c>
      <c r="C2589" s="2" t="s">
        <v>40</v>
      </c>
      <c r="D2589" s="2" t="s">
        <v>41</v>
      </c>
      <c r="E2589" s="5">
        <v>-28644</v>
      </c>
      <c r="F2589" s="3" t="s">
        <v>1340</v>
      </c>
      <c r="G2589" s="3" t="s">
        <v>52</v>
      </c>
      <c r="H2589" s="2" t="s">
        <v>21</v>
      </c>
      <c r="I2589" s="2" t="s">
        <v>5473</v>
      </c>
      <c r="J2589" s="3" t="str">
        <f>HYPERLINK("https://www.boe.es/gazeta/dias/1821/07/28/pdfs/GMD-1821-213.pdf#page=2","Abrir facsímil")</f>
        <v>Abrir facsímil</v>
      </c>
      <c r="K2589" s="3" t="s">
        <v>23</v>
      </c>
    </row>
    <row r="2590" spans="1:11" ht="42" customHeight="1">
      <c r="A2590" s="2" t="s">
        <v>5474</v>
      </c>
      <c r="B2590" s="2" t="s">
        <v>5474</v>
      </c>
      <c r="C2590" s="2" t="s">
        <v>26</v>
      </c>
      <c r="D2590" s="2" t="s">
        <v>27</v>
      </c>
      <c r="E2590" s="5">
        <v>-28631</v>
      </c>
      <c r="F2590" s="3" t="s">
        <v>751</v>
      </c>
      <c r="G2590" s="3" t="s">
        <v>52</v>
      </c>
      <c r="H2590" s="2" t="s">
        <v>21</v>
      </c>
      <c r="I2590" s="2" t="s">
        <v>5475</v>
      </c>
      <c r="J2590" s="3" t="str">
        <f>HYPERLINK("https://www.boe.es/gazeta/dias/1821/08/10/pdfs/GMD-1821-227.pdf#page=2","Abrir facsímil")</f>
        <v>Abrir facsímil</v>
      </c>
      <c r="K2590" s="3" t="s">
        <v>23</v>
      </c>
    </row>
    <row r="2591" spans="1:11" ht="42" customHeight="1">
      <c r="A2591" s="2" t="s">
        <v>5476</v>
      </c>
      <c r="B2591" s="2" t="s">
        <v>5477</v>
      </c>
      <c r="C2591" s="2" t="s">
        <v>40</v>
      </c>
      <c r="D2591" s="2" t="s">
        <v>41</v>
      </c>
      <c r="E2591" s="5">
        <v>-28678</v>
      </c>
      <c r="F2591" s="3" t="s">
        <v>215</v>
      </c>
      <c r="G2591" s="3" t="s">
        <v>52</v>
      </c>
      <c r="H2591" s="2" t="s">
        <v>21</v>
      </c>
      <c r="I2591" s="2" t="s">
        <v>5478</v>
      </c>
      <c r="J2591" s="3" t="str">
        <f>HYPERLINK("https://www.boe.es/gazeta/dias/1821/06/24/pdfs/GMD-1821-177.pdf#page=2","Abrir facsímil")</f>
        <v>Abrir facsímil</v>
      </c>
      <c r="K2591" s="3" t="s">
        <v>23</v>
      </c>
    </row>
    <row r="2592" spans="1:11" ht="42" customHeight="1">
      <c r="A2592" s="2" t="s">
        <v>5479</v>
      </c>
      <c r="B2592" s="2" t="s">
        <v>5479</v>
      </c>
      <c r="C2592" s="2" t="s">
        <v>35</v>
      </c>
      <c r="D2592" s="2" t="s">
        <v>27</v>
      </c>
      <c r="E2592" s="5">
        <v>-28851</v>
      </c>
      <c r="F2592" s="3" t="s">
        <v>3227</v>
      </c>
      <c r="G2592" s="3" t="s">
        <v>52</v>
      </c>
      <c r="H2592" s="2" t="s">
        <v>21</v>
      </c>
      <c r="I2592" s="2" t="s">
        <v>5480</v>
      </c>
      <c r="J2592" s="3" t="str">
        <f>HYPERLINK("https://www.boe.es/gazeta/dias/1821/01/02/pdfs/GGB-1821-2.pdf#page=2","Abrir facsímil")</f>
        <v>Abrir facsímil</v>
      </c>
      <c r="K2592" s="3" t="s">
        <v>23</v>
      </c>
    </row>
    <row r="2593" spans="1:11" ht="42" customHeight="1">
      <c r="A2593" s="2" t="s">
        <v>5481</v>
      </c>
      <c r="B2593" s="2" t="s">
        <v>5481</v>
      </c>
      <c r="C2593" s="2" t="s">
        <v>40</v>
      </c>
      <c r="D2593" s="2" t="s">
        <v>41</v>
      </c>
      <c r="E2593" s="5">
        <v>-28831</v>
      </c>
      <c r="F2593" s="3" t="s">
        <v>3179</v>
      </c>
      <c r="G2593" s="3" t="s">
        <v>52</v>
      </c>
      <c r="H2593" s="2" t="s">
        <v>21</v>
      </c>
      <c r="I2593" s="2" t="s">
        <v>5482</v>
      </c>
      <c r="J2593" s="3" t="str">
        <f>HYPERLINK("https://www.boe.es/gazeta/dias/1821/01/22/pdfs/GGB-1821-22.pdf#page=2","Abrir facsímil")</f>
        <v>Abrir facsímil</v>
      </c>
      <c r="K2593" s="3" t="s">
        <v>23</v>
      </c>
    </row>
    <row r="2594" spans="1:11" ht="42" customHeight="1">
      <c r="A2594" s="2" t="s">
        <v>5483</v>
      </c>
      <c r="B2594" s="2" t="s">
        <v>5483</v>
      </c>
      <c r="C2594" s="2" t="s">
        <v>40</v>
      </c>
      <c r="D2594" s="2" t="s">
        <v>41</v>
      </c>
      <c r="E2594" s="5">
        <v>-28850</v>
      </c>
      <c r="F2594" s="3" t="s">
        <v>664</v>
      </c>
      <c r="G2594" s="3" t="s">
        <v>43</v>
      </c>
      <c r="H2594" s="2" t="s">
        <v>21</v>
      </c>
      <c r="I2594" s="2" t="s">
        <v>5484</v>
      </c>
      <c r="J2594" s="3" t="str">
        <f>HYPERLINK("https://www.boe.es/gazeta/dias/1821/01/03/pdfs/GGB-1821-3.pdf#page=1","Abrir facsímil")</f>
        <v>Abrir facsímil</v>
      </c>
      <c r="K2594" s="3" t="s">
        <v>23</v>
      </c>
    </row>
    <row r="2595" spans="1:11" ht="42" customHeight="1">
      <c r="A2595" s="2" t="s">
        <v>5485</v>
      </c>
      <c r="B2595" s="2" t="s">
        <v>5485</v>
      </c>
      <c r="C2595" s="2" t="s">
        <v>40</v>
      </c>
      <c r="D2595" s="2" t="s">
        <v>41</v>
      </c>
      <c r="E2595" s="5">
        <v>-28638</v>
      </c>
      <c r="F2595" s="3" t="s">
        <v>736</v>
      </c>
      <c r="G2595" s="3" t="s">
        <v>52</v>
      </c>
      <c r="H2595" s="2" t="s">
        <v>21</v>
      </c>
      <c r="I2595" s="2" t="s">
        <v>5486</v>
      </c>
      <c r="J2595" s="3" t="str">
        <f>HYPERLINK("https://www.boe.es/gazeta/dias/1821/08/03/pdfs/GMD-1821-219.pdf#page=2","Abrir facsímil")</f>
        <v>Abrir facsímil</v>
      </c>
      <c r="K2595" s="3" t="s">
        <v>23</v>
      </c>
    </row>
    <row r="2596" spans="1:11" ht="42" customHeight="1">
      <c r="A2596" s="2" t="s">
        <v>5487</v>
      </c>
      <c r="B2596" s="2" t="s">
        <v>5488</v>
      </c>
      <c r="C2596" s="2" t="s">
        <v>40</v>
      </c>
      <c r="D2596" s="2" t="s">
        <v>41</v>
      </c>
      <c r="E2596" s="5">
        <v>-28638</v>
      </c>
      <c r="F2596" s="3" t="s">
        <v>736</v>
      </c>
      <c r="G2596" s="3" t="s">
        <v>52</v>
      </c>
      <c r="H2596" s="2" t="s">
        <v>21</v>
      </c>
      <c r="I2596" s="2" t="s">
        <v>5489</v>
      </c>
      <c r="J2596" s="3" t="str">
        <f>HYPERLINK("https://www.boe.es/gazeta/dias/1821/08/03/pdfs/GMD-1821-219.pdf#page=2","Abrir facsímil")</f>
        <v>Abrir facsímil</v>
      </c>
      <c r="K2596" s="3" t="s">
        <v>23</v>
      </c>
    </row>
    <row r="2597" spans="1:11" ht="42" customHeight="1">
      <c r="A2597" s="2" t="s">
        <v>5490</v>
      </c>
      <c r="B2597" s="2" t="s">
        <v>5491</v>
      </c>
      <c r="C2597" s="2" t="s">
        <v>17</v>
      </c>
      <c r="D2597" s="2" t="s">
        <v>18</v>
      </c>
      <c r="E2597" s="5">
        <v>-28699</v>
      </c>
      <c r="F2597" s="3" t="s">
        <v>280</v>
      </c>
      <c r="G2597" s="3" t="s">
        <v>20</v>
      </c>
      <c r="H2597" s="2" t="s">
        <v>21</v>
      </c>
      <c r="I2597" s="2" t="s">
        <v>5492</v>
      </c>
      <c r="J2597" s="3" t="str">
        <f>HYPERLINK("https://www.boe.es/gazeta/dias/1821/06/03/pdfs/GMD-1821-156.pdf#page=3","Abrir facsímil")</f>
        <v>Abrir facsímil</v>
      </c>
      <c r="K2597" s="3" t="s">
        <v>23</v>
      </c>
    </row>
    <row r="2598" spans="1:11" ht="42" customHeight="1">
      <c r="A2598" s="2" t="s">
        <v>5493</v>
      </c>
      <c r="B2598" s="2" t="s">
        <v>5494</v>
      </c>
      <c r="C2598" s="2" t="s">
        <v>174</v>
      </c>
      <c r="D2598" s="2" t="s">
        <v>27</v>
      </c>
      <c r="E2598" s="5">
        <v>-28629</v>
      </c>
      <c r="F2598" s="3" t="s">
        <v>235</v>
      </c>
      <c r="G2598" s="3" t="s">
        <v>88</v>
      </c>
      <c r="H2598" s="2" t="s">
        <v>21</v>
      </c>
      <c r="I2598" s="2" t="s">
        <v>5495</v>
      </c>
      <c r="J2598" s="3" t="str">
        <f>HYPERLINK("https://www.boe.es/gazeta/dias/1821/08/12/pdfs/GMD-1821-229.pdf#page=4","Abrir facsímil")</f>
        <v>Abrir facsímil</v>
      </c>
      <c r="K2598" s="3" t="s">
        <v>23</v>
      </c>
    </row>
    <row r="2599" spans="1:11" ht="42" customHeight="1">
      <c r="A2599" s="2" t="s">
        <v>5496</v>
      </c>
      <c r="B2599" s="2" t="s">
        <v>5497</v>
      </c>
      <c r="C2599" s="2" t="s">
        <v>17</v>
      </c>
      <c r="D2599" s="2" t="s">
        <v>18</v>
      </c>
      <c r="E2599" s="5">
        <v>-28802</v>
      </c>
      <c r="F2599" s="3" t="s">
        <v>4814</v>
      </c>
      <c r="G2599" s="3" t="s">
        <v>20</v>
      </c>
      <c r="H2599" s="2" t="s">
        <v>21</v>
      </c>
      <c r="I2599" s="2" t="s">
        <v>5498</v>
      </c>
      <c r="J2599" s="3" t="str">
        <f>HYPERLINK("https://www.boe.es/gazeta/dias/1821/02/20/pdfs/GGB-1821-51.pdf#page=3","Abrir facsímil")</f>
        <v>Abrir facsímil</v>
      </c>
      <c r="K2599" s="3" t="s">
        <v>23</v>
      </c>
    </row>
    <row r="2600" spans="1:11" ht="42" customHeight="1">
      <c r="A2600" s="2" t="s">
        <v>5499</v>
      </c>
      <c r="B2600" s="2" t="s">
        <v>5500</v>
      </c>
      <c r="C2600" s="2" t="s">
        <v>17</v>
      </c>
      <c r="D2600" s="2" t="s">
        <v>18</v>
      </c>
      <c r="E2600" s="5">
        <v>-28541</v>
      </c>
      <c r="F2600" s="3" t="s">
        <v>275</v>
      </c>
      <c r="G2600" s="3" t="s">
        <v>52</v>
      </c>
      <c r="H2600" s="2" t="s">
        <v>21</v>
      </c>
      <c r="I2600" s="2" t="s">
        <v>5501</v>
      </c>
      <c r="J2600" s="3" t="str">
        <f>HYPERLINK("https://www.boe.es/gazeta/dias/1821/11/08/pdfs/GMD-1821-319.pdf#page=2","Abrir facsímil")</f>
        <v>Abrir facsímil</v>
      </c>
      <c r="K2600" s="3" t="s">
        <v>23</v>
      </c>
    </row>
    <row r="2601" spans="1:11" ht="42" customHeight="1">
      <c r="A2601" s="2" t="s">
        <v>5502</v>
      </c>
      <c r="B2601" s="2" t="s">
        <v>5503</v>
      </c>
      <c r="C2601" s="2" t="s">
        <v>40</v>
      </c>
      <c r="D2601" s="2" t="s">
        <v>41</v>
      </c>
      <c r="E2601" s="5">
        <v>-28616</v>
      </c>
      <c r="F2601" s="3" t="s">
        <v>1912</v>
      </c>
      <c r="G2601" s="3" t="s">
        <v>1913</v>
      </c>
      <c r="H2601" s="2" t="s">
        <v>21</v>
      </c>
      <c r="I2601" s="2" t="s">
        <v>5504</v>
      </c>
      <c r="J2601" s="3" t="str">
        <f>HYPERLINK("https://www.boe.es/gazeta/dias/1821/08/25/pdfs/GMD-1821-242.pdf#page=3","Abrir facsímil")</f>
        <v>Abrir facsímil</v>
      </c>
      <c r="K2601" s="3" t="s">
        <v>23</v>
      </c>
    </row>
    <row r="2602" spans="1:11" ht="42" customHeight="1">
      <c r="A2602" s="2" t="s">
        <v>5505</v>
      </c>
      <c r="B2602" s="2" t="s">
        <v>5505</v>
      </c>
      <c r="C2602" s="2" t="s">
        <v>17</v>
      </c>
      <c r="D2602" s="2" t="s">
        <v>18</v>
      </c>
      <c r="E2602" s="5">
        <v>-28648</v>
      </c>
      <c r="F2602" s="3" t="s">
        <v>1520</v>
      </c>
      <c r="G2602" s="3" t="s">
        <v>43</v>
      </c>
      <c r="H2602" s="2" t="s">
        <v>21</v>
      </c>
      <c r="I2602" s="2" t="s">
        <v>5506</v>
      </c>
      <c r="J2602" s="3" t="str">
        <f>HYPERLINK("https://www.boe.es/gazeta/dias/1821/07/24/pdfs/GMD-1821-209.pdf#page=1","Abrir facsímil")</f>
        <v>Abrir facsímil</v>
      </c>
      <c r="K2602" s="3" t="s">
        <v>23</v>
      </c>
    </row>
    <row r="2603" spans="1:11" ht="42" customHeight="1">
      <c r="A2603" s="2" t="s">
        <v>5507</v>
      </c>
      <c r="B2603" s="2" t="s">
        <v>5507</v>
      </c>
      <c r="C2603" s="2" t="s">
        <v>40</v>
      </c>
      <c r="D2603" s="2" t="s">
        <v>41</v>
      </c>
      <c r="E2603" s="5">
        <v>-28694</v>
      </c>
      <c r="F2603" s="3" t="s">
        <v>1057</v>
      </c>
      <c r="G2603" s="3" t="s">
        <v>43</v>
      </c>
      <c r="H2603" s="2" t="s">
        <v>21</v>
      </c>
      <c r="I2603" s="2" t="s">
        <v>5508</v>
      </c>
      <c r="J2603" s="3" t="str">
        <f>HYPERLINK("https://www.boe.es/gazeta/dias/1821/06/08/pdfs/GMD-1821-161.pdf#page=1","Abrir facsímil")</f>
        <v>Abrir facsímil</v>
      </c>
      <c r="K2603" s="3" t="s">
        <v>23</v>
      </c>
    </row>
    <row r="2604" spans="1:11" ht="42" customHeight="1">
      <c r="A2604" s="2" t="s">
        <v>5509</v>
      </c>
      <c r="B2604" s="2" t="s">
        <v>5509</v>
      </c>
      <c r="C2604" s="2" t="s">
        <v>40</v>
      </c>
      <c r="D2604" s="2" t="s">
        <v>41</v>
      </c>
      <c r="E2604" s="5">
        <v>-28685</v>
      </c>
      <c r="F2604" s="3" t="s">
        <v>303</v>
      </c>
      <c r="G2604" s="3" t="s">
        <v>43</v>
      </c>
      <c r="H2604" s="2" t="s">
        <v>21</v>
      </c>
      <c r="I2604" s="2" t="s">
        <v>5510</v>
      </c>
      <c r="J2604" s="3" t="str">
        <f>HYPERLINK("https://www.boe.es/gazeta/dias/1821/06/17/pdfs/GMD-1821-170.pdf#page=1","Abrir facsímil")</f>
        <v>Abrir facsímil</v>
      </c>
      <c r="K2604" s="3" t="s">
        <v>23</v>
      </c>
    </row>
    <row r="2605" spans="1:11" ht="42" customHeight="1">
      <c r="A2605" s="2" t="s">
        <v>5511</v>
      </c>
      <c r="B2605" s="2" t="s">
        <v>5512</v>
      </c>
      <c r="C2605" s="2" t="s">
        <v>114</v>
      </c>
      <c r="D2605" s="2" t="s">
        <v>27</v>
      </c>
      <c r="E2605" s="5">
        <v>-28526</v>
      </c>
      <c r="F2605" s="3" t="s">
        <v>223</v>
      </c>
      <c r="G2605" s="3" t="s">
        <v>52</v>
      </c>
      <c r="H2605" s="2" t="s">
        <v>21</v>
      </c>
      <c r="I2605" s="2" t="s">
        <v>5513</v>
      </c>
      <c r="J2605" s="3" t="str">
        <f>HYPERLINK("https://www.boe.es/gazeta/dias/1821/11/23/pdfs/GMD-1821-334.pdf#page=2","Abrir facsímil")</f>
        <v>Abrir facsímil</v>
      </c>
      <c r="K2605" s="3" t="s">
        <v>23</v>
      </c>
    </row>
    <row r="2606" spans="1:11" ht="42" customHeight="1">
      <c r="A2606" s="2" t="s">
        <v>5514</v>
      </c>
      <c r="B2606" s="2" t="s">
        <v>5515</v>
      </c>
      <c r="C2606" s="2" t="s">
        <v>40</v>
      </c>
      <c r="D2606" s="2" t="s">
        <v>41</v>
      </c>
      <c r="E2606" s="5">
        <v>-28598</v>
      </c>
      <c r="F2606" s="3" t="s">
        <v>1206</v>
      </c>
      <c r="G2606" s="3" t="s">
        <v>52</v>
      </c>
      <c r="H2606" s="2" t="s">
        <v>21</v>
      </c>
      <c r="I2606" s="2" t="s">
        <v>5516</v>
      </c>
      <c r="J2606" s="3" t="str">
        <f>HYPERLINK("https://www.boe.es/gazeta/dias/1821/09/12/pdfs/GMD-1821-260.pdf#page=2","Abrir facsímil")</f>
        <v>Abrir facsímil</v>
      </c>
      <c r="K2606" s="3" t="s">
        <v>23</v>
      </c>
    </row>
    <row r="2607" spans="1:11" ht="42" customHeight="1">
      <c r="A2607" s="2" t="s">
        <v>5517</v>
      </c>
      <c r="B2607" s="2" t="s">
        <v>5518</v>
      </c>
      <c r="C2607" s="2" t="s">
        <v>40</v>
      </c>
      <c r="D2607" s="2" t="s">
        <v>41</v>
      </c>
      <c r="E2607" s="5">
        <v>-28756</v>
      </c>
      <c r="F2607" s="3" t="s">
        <v>3145</v>
      </c>
      <c r="G2607" s="3" t="s">
        <v>52</v>
      </c>
      <c r="H2607" s="2" t="s">
        <v>21</v>
      </c>
      <c r="I2607" s="2" t="s">
        <v>5519</v>
      </c>
      <c r="J2607" s="3" t="str">
        <f>HYPERLINK("https://www.boe.es/gazeta/dias/1821/04/07/pdfs/GMD-1821-99.pdf#page=2","Abrir facsímil")</f>
        <v>Abrir facsímil</v>
      </c>
      <c r="K2607" s="3" t="s">
        <v>23</v>
      </c>
    </row>
    <row r="2608" spans="1:11" ht="42" customHeight="1">
      <c r="A2608" s="2" t="s">
        <v>5520</v>
      </c>
      <c r="B2608" s="2" t="s">
        <v>5521</v>
      </c>
      <c r="C2608" s="2" t="s">
        <v>40</v>
      </c>
      <c r="D2608" s="2" t="s">
        <v>41</v>
      </c>
      <c r="E2608" s="5">
        <v>-28512</v>
      </c>
      <c r="F2608" s="3" t="s">
        <v>66</v>
      </c>
      <c r="G2608" s="3" t="s">
        <v>43</v>
      </c>
      <c r="H2608" s="2" t="s">
        <v>30</v>
      </c>
      <c r="I2608" s="2" t="s">
        <v>5522</v>
      </c>
      <c r="J2608" s="3" t="str">
        <f>HYPERLINK("https://www.boe.es/gazeta/dias/1821/12/07/pdfs/GMD-1821-349.pdf#page=1","Abrir facsímil")</f>
        <v>Abrir facsímil</v>
      </c>
      <c r="K2608" s="3" t="s">
        <v>32</v>
      </c>
    </row>
    <row r="2609" spans="1:11" ht="42" customHeight="1">
      <c r="A2609" s="2" t="s">
        <v>5523</v>
      </c>
      <c r="B2609" s="2" t="s">
        <v>5524</v>
      </c>
      <c r="C2609" s="2" t="s">
        <v>17</v>
      </c>
      <c r="D2609" s="2" t="s">
        <v>18</v>
      </c>
      <c r="E2609" s="5">
        <v>-28631</v>
      </c>
      <c r="F2609" s="3" t="s">
        <v>751</v>
      </c>
      <c r="G2609" s="3" t="s">
        <v>20</v>
      </c>
      <c r="H2609" s="2" t="s">
        <v>21</v>
      </c>
      <c r="I2609" s="2" t="s">
        <v>5525</v>
      </c>
      <c r="J2609" s="3" t="str">
        <f>HYPERLINK("https://www.boe.es/gazeta/dias/1821/08/10/pdfs/GMD-1821-227.pdf#page=3","Abrir facsímil")</f>
        <v>Abrir facsímil</v>
      </c>
      <c r="K2609" s="3" t="s">
        <v>23</v>
      </c>
    </row>
    <row r="2610" spans="1:11" ht="42" customHeight="1">
      <c r="A2610" s="2" t="s">
        <v>5526</v>
      </c>
      <c r="B2610" s="2" t="s">
        <v>5527</v>
      </c>
      <c r="C2610" s="2" t="s">
        <v>40</v>
      </c>
      <c r="D2610" s="2" t="s">
        <v>41</v>
      </c>
      <c r="E2610" s="5">
        <v>-28518</v>
      </c>
      <c r="F2610" s="3" t="s">
        <v>410</v>
      </c>
      <c r="G2610" s="3" t="s">
        <v>162</v>
      </c>
      <c r="H2610" s="2" t="s">
        <v>21</v>
      </c>
      <c r="I2610" s="2" t="s">
        <v>5528</v>
      </c>
      <c r="J2610" s="3" t="str">
        <f>HYPERLINK("https://www.boe.es/gazeta/dias/1821/12/01/pdfs/GMD-1821-343.pdf#page=5","Abrir facsímil")</f>
        <v>Abrir facsímil</v>
      </c>
      <c r="K2610" s="3" t="s">
        <v>23</v>
      </c>
    </row>
    <row r="2611" spans="1:11" ht="42" customHeight="1">
      <c r="A2611" s="2" t="s">
        <v>5529</v>
      </c>
      <c r="B2611" s="2" t="s">
        <v>5530</v>
      </c>
      <c r="C2611" s="2" t="s">
        <v>40</v>
      </c>
      <c r="D2611" s="2" t="s">
        <v>41</v>
      </c>
      <c r="E2611" s="5">
        <v>-28701</v>
      </c>
      <c r="F2611" s="3" t="s">
        <v>202</v>
      </c>
      <c r="G2611" s="3" t="s">
        <v>88</v>
      </c>
      <c r="H2611" s="2" t="s">
        <v>21</v>
      </c>
      <c r="I2611" s="2" t="s">
        <v>5531</v>
      </c>
      <c r="J2611" s="3" t="str">
        <f>HYPERLINK("https://www.boe.es/gazeta/dias/1821/06/01/pdfs/GMD-1821-154.pdf#page=4","Abrir facsímil")</f>
        <v>Abrir facsímil</v>
      </c>
      <c r="K2611" s="3" t="s">
        <v>23</v>
      </c>
    </row>
    <row r="2612" spans="1:11" ht="42" customHeight="1">
      <c r="A2612" s="2" t="s">
        <v>5529</v>
      </c>
      <c r="B2612" s="2" t="s">
        <v>5530</v>
      </c>
      <c r="C2612" s="2" t="s">
        <v>26</v>
      </c>
      <c r="D2612" s="2" t="s">
        <v>27</v>
      </c>
      <c r="E2612" s="5">
        <v>-28629</v>
      </c>
      <c r="F2612" s="3" t="s">
        <v>235</v>
      </c>
      <c r="G2612" s="3" t="s">
        <v>88</v>
      </c>
      <c r="H2612" s="2" t="s">
        <v>21</v>
      </c>
      <c r="I2612" s="2" t="s">
        <v>5532</v>
      </c>
      <c r="J2612" s="3" t="str">
        <f>HYPERLINK("https://www.boe.es/gazeta/dias/1821/08/12/pdfs/GMD-1821-229.pdf#page=4","Abrir facsímil")</f>
        <v>Abrir facsímil</v>
      </c>
      <c r="K2612" s="3" t="s">
        <v>23</v>
      </c>
    </row>
    <row r="2613" spans="1:11" ht="42" customHeight="1">
      <c r="A2613" s="2" t="s">
        <v>5533</v>
      </c>
      <c r="B2613" s="2" t="s">
        <v>5534</v>
      </c>
      <c r="C2613" s="2" t="s">
        <v>26</v>
      </c>
      <c r="D2613" s="2" t="s">
        <v>27</v>
      </c>
      <c r="E2613" s="5">
        <v>-28620</v>
      </c>
      <c r="F2613" s="3" t="s">
        <v>87</v>
      </c>
      <c r="G2613" s="3" t="s">
        <v>88</v>
      </c>
      <c r="H2613" s="2" t="s">
        <v>21</v>
      </c>
      <c r="I2613" s="2" t="s">
        <v>5535</v>
      </c>
      <c r="J2613" s="3" t="str">
        <f>HYPERLINK("https://www.boe.es/gazeta/dias/1821/08/21/pdfs/GMD-1821-238.pdf#page=4","Abrir facsímil")</f>
        <v>Abrir facsímil</v>
      </c>
      <c r="K2613" s="3" t="s">
        <v>23</v>
      </c>
    </row>
    <row r="2614" spans="1:11" ht="42" customHeight="1">
      <c r="A2614" s="2" t="s">
        <v>5536</v>
      </c>
      <c r="B2614" s="2" t="s">
        <v>5537</v>
      </c>
      <c r="C2614" s="2" t="s">
        <v>40</v>
      </c>
      <c r="D2614" s="2" t="s">
        <v>41</v>
      </c>
      <c r="E2614" s="5">
        <v>-28561</v>
      </c>
      <c r="F2614" s="3" t="s">
        <v>240</v>
      </c>
      <c r="G2614" s="3" t="s">
        <v>29</v>
      </c>
      <c r="H2614" s="2" t="s">
        <v>21</v>
      </c>
      <c r="I2614" s="2" t="s">
        <v>5538</v>
      </c>
      <c r="J2614" s="3" t="str">
        <f>HYPERLINK("https://www.boe.es/gazeta/dias/1821/10/19/pdfs/GMD-1821-298.pdf#page=6","Abrir facsímil")</f>
        <v>Abrir facsímil</v>
      </c>
      <c r="K2614" s="3" t="s">
        <v>23</v>
      </c>
    </row>
    <row r="2615" spans="1:11" ht="42" customHeight="1">
      <c r="A2615" s="2" t="s">
        <v>5539</v>
      </c>
      <c r="B2615" s="2" t="s">
        <v>5539</v>
      </c>
      <c r="C2615" s="2" t="s">
        <v>26</v>
      </c>
      <c r="D2615" s="2" t="s">
        <v>27</v>
      </c>
      <c r="E2615" s="5">
        <v>-28608</v>
      </c>
      <c r="F2615" s="3" t="s">
        <v>805</v>
      </c>
      <c r="G2615" s="3" t="s">
        <v>806</v>
      </c>
      <c r="H2615" s="2" t="s">
        <v>21</v>
      </c>
      <c r="I2615" s="2" t="s">
        <v>5540</v>
      </c>
      <c r="J2615" s="3" t="str">
        <f>HYPERLINK("https://www.boe.es/gazeta/dias/1821/09/02/pdfs/GMD-1821-250.pdf#page=2","Abrir facsímil")</f>
        <v>Abrir facsímil</v>
      </c>
      <c r="K2615" s="3" t="s">
        <v>23</v>
      </c>
    </row>
    <row r="2616" spans="1:11" ht="42" customHeight="1">
      <c r="A2616" s="2" t="s">
        <v>5541</v>
      </c>
      <c r="B2616" s="2" t="s">
        <v>5542</v>
      </c>
      <c r="C2616" s="2" t="s">
        <v>35</v>
      </c>
      <c r="D2616" s="2" t="s">
        <v>27</v>
      </c>
      <c r="E2616" s="5">
        <v>-28608</v>
      </c>
      <c r="F2616" s="3" t="s">
        <v>805</v>
      </c>
      <c r="G2616" s="3" t="s">
        <v>806</v>
      </c>
      <c r="H2616" s="2" t="s">
        <v>21</v>
      </c>
      <c r="I2616" s="2" t="s">
        <v>5543</v>
      </c>
      <c r="J2616" s="3" t="str">
        <f>HYPERLINK("https://www.boe.es/gazeta/dias/1821/09/02/pdfs/GMD-1821-250.pdf#page=2","Abrir facsímil")</f>
        <v>Abrir facsímil</v>
      </c>
      <c r="K2616" s="3" t="s">
        <v>23</v>
      </c>
    </row>
    <row r="2617" spans="1:11" ht="42" customHeight="1">
      <c r="A2617" s="2" t="s">
        <v>5544</v>
      </c>
      <c r="B2617" s="2" t="s">
        <v>5544</v>
      </c>
      <c r="C2617" s="2" t="s">
        <v>17</v>
      </c>
      <c r="D2617" s="2" t="s">
        <v>18</v>
      </c>
      <c r="E2617" s="5">
        <v>-28694</v>
      </c>
      <c r="F2617" s="3" t="s">
        <v>1057</v>
      </c>
      <c r="G2617" s="3" t="s">
        <v>20</v>
      </c>
      <c r="H2617" s="2" t="s">
        <v>21</v>
      </c>
      <c r="I2617" s="2" t="s">
        <v>5545</v>
      </c>
      <c r="J2617" s="3" t="str">
        <f>HYPERLINK("https://www.boe.es/gazeta/dias/1821/06/08/pdfs/GMD-1821-161.pdf#page=3","Abrir facsímil")</f>
        <v>Abrir facsímil</v>
      </c>
      <c r="K2617" s="3" t="s">
        <v>23</v>
      </c>
    </row>
    <row r="2618" spans="1:11" ht="42" customHeight="1">
      <c r="A2618" s="2" t="s">
        <v>5546</v>
      </c>
      <c r="B2618" s="2" t="s">
        <v>5547</v>
      </c>
      <c r="C2618" s="2" t="s">
        <v>26</v>
      </c>
      <c r="D2618" s="2" t="s">
        <v>27</v>
      </c>
      <c r="E2618" s="5">
        <v>-28683</v>
      </c>
      <c r="F2618" s="3" t="s">
        <v>332</v>
      </c>
      <c r="G2618" s="3" t="s">
        <v>333</v>
      </c>
      <c r="H2618" s="2" t="s">
        <v>21</v>
      </c>
      <c r="I2618" s="2" t="s">
        <v>5548</v>
      </c>
      <c r="J2618" s="3" t="str">
        <f>HYPERLINK("https://www.boe.es/gazeta/dias/1821/06/19/pdfs/GMD-1821-172.pdf#page=8","Abrir facsímil")</f>
        <v>Abrir facsímil</v>
      </c>
      <c r="K2618" s="3" t="s">
        <v>23</v>
      </c>
    </row>
    <row r="2619" spans="1:11" ht="42" customHeight="1">
      <c r="A2619" s="2" t="s">
        <v>5549</v>
      </c>
      <c r="B2619" s="2" t="s">
        <v>5550</v>
      </c>
      <c r="C2619" s="2" t="s">
        <v>17</v>
      </c>
      <c r="D2619" s="2" t="s">
        <v>18</v>
      </c>
      <c r="E2619" s="5">
        <v>-28741</v>
      </c>
      <c r="F2619" s="3" t="s">
        <v>1841</v>
      </c>
      <c r="G2619" s="3" t="s">
        <v>88</v>
      </c>
      <c r="H2619" s="2" t="s">
        <v>21</v>
      </c>
      <c r="I2619" s="2" t="s">
        <v>5551</v>
      </c>
      <c r="J2619" s="3" t="str">
        <f>HYPERLINK("https://www.boe.es/gazeta/dias/1821/04/22/pdfs/GMD-1821-114.pdf#page=4","Abrir facsímil")</f>
        <v>Abrir facsímil</v>
      </c>
      <c r="K2619" s="3" t="s">
        <v>23</v>
      </c>
    </row>
    <row r="2620" spans="1:11" ht="42" customHeight="1">
      <c r="A2620" s="2" t="s">
        <v>5552</v>
      </c>
      <c r="B2620" s="2" t="s">
        <v>5553</v>
      </c>
      <c r="C2620" s="2" t="s">
        <v>40</v>
      </c>
      <c r="D2620" s="2" t="s">
        <v>41</v>
      </c>
      <c r="E2620" s="5">
        <v>-28793</v>
      </c>
      <c r="F2620" s="3" t="s">
        <v>157</v>
      </c>
      <c r="G2620" s="3" t="s">
        <v>29</v>
      </c>
      <c r="H2620" s="2" t="s">
        <v>21</v>
      </c>
      <c r="I2620" s="2" t="s">
        <v>5554</v>
      </c>
      <c r="J2620" s="3" t="str">
        <f>HYPERLINK("https://www.boe.es/gazeta/dias/1821/03/01/pdfs/GGB-1821-60.pdf#page=6","Abrir facsímil")</f>
        <v>Abrir facsímil</v>
      </c>
      <c r="K2620" s="3" t="s">
        <v>23</v>
      </c>
    </row>
    <row r="2621" spans="1:11" ht="42" customHeight="1">
      <c r="A2621" s="2" t="s">
        <v>5555</v>
      </c>
      <c r="B2621" s="2" t="s">
        <v>5556</v>
      </c>
      <c r="C2621" s="2" t="s">
        <v>40</v>
      </c>
      <c r="D2621" s="2" t="s">
        <v>41</v>
      </c>
      <c r="E2621" s="5">
        <v>-28577</v>
      </c>
      <c r="F2621" s="3" t="s">
        <v>858</v>
      </c>
      <c r="G2621" s="3" t="s">
        <v>88</v>
      </c>
      <c r="H2621" s="2" t="s">
        <v>21</v>
      </c>
      <c r="I2621" s="2" t="s">
        <v>5557</v>
      </c>
      <c r="J2621" s="3" t="str">
        <f>HYPERLINK("https://www.boe.es/gazeta/dias/1821/10/03/pdfs/GMD-1821-282.pdf#page=4","Abrir facsímil")</f>
        <v>Abrir facsímil</v>
      </c>
      <c r="K2621" s="3" t="s">
        <v>23</v>
      </c>
    </row>
    <row r="2622" spans="1:11" ht="42" customHeight="1">
      <c r="A2622" s="2" t="s">
        <v>5558</v>
      </c>
      <c r="B2622" s="2" t="s">
        <v>5559</v>
      </c>
      <c r="C2622" s="2" t="s">
        <v>35</v>
      </c>
      <c r="D2622" s="2" t="s">
        <v>27</v>
      </c>
      <c r="E2622" s="5">
        <v>-28626</v>
      </c>
      <c r="F2622" s="3" t="s">
        <v>468</v>
      </c>
      <c r="G2622" s="3" t="s">
        <v>88</v>
      </c>
      <c r="H2622" s="2" t="s">
        <v>21</v>
      </c>
      <c r="I2622" s="2" t="s">
        <v>5560</v>
      </c>
      <c r="J2622" s="3" t="str">
        <f>HYPERLINK("https://www.boe.es/gazeta/dias/1821/08/15/pdfs/GMD-1821-232.pdf#page=4","Abrir facsímil")</f>
        <v>Abrir facsímil</v>
      </c>
      <c r="K2622" s="3" t="s">
        <v>23</v>
      </c>
    </row>
    <row r="2623" spans="1:11" ht="42" customHeight="1">
      <c r="A2623" s="2" t="s">
        <v>5561</v>
      </c>
      <c r="B2623" s="2" t="s">
        <v>5562</v>
      </c>
      <c r="C2623" s="2" t="s">
        <v>26</v>
      </c>
      <c r="D2623" s="2" t="s">
        <v>27</v>
      </c>
      <c r="E2623" s="5">
        <v>-28562</v>
      </c>
      <c r="F2623" s="3" t="s">
        <v>3093</v>
      </c>
      <c r="G2623" s="3" t="s">
        <v>29</v>
      </c>
      <c r="H2623" s="2" t="s">
        <v>21</v>
      </c>
      <c r="I2623" s="2" t="s">
        <v>5563</v>
      </c>
      <c r="J2623" s="3" t="str">
        <f>HYPERLINK("https://www.boe.es/gazeta/dias/1821/10/18/pdfs/GMD-1821-297.pdf#page=6","Abrir facsímil")</f>
        <v>Abrir facsímil</v>
      </c>
      <c r="K2623" s="3" t="s">
        <v>23</v>
      </c>
    </row>
    <row r="2624" spans="1:11" ht="42" customHeight="1">
      <c r="A2624" s="2" t="s">
        <v>5564</v>
      </c>
      <c r="B2624" s="2" t="s">
        <v>5565</v>
      </c>
      <c r="C2624" s="2" t="s">
        <v>17</v>
      </c>
      <c r="D2624" s="2" t="s">
        <v>18</v>
      </c>
      <c r="E2624" s="5">
        <v>-28737</v>
      </c>
      <c r="F2624" s="3" t="s">
        <v>732</v>
      </c>
      <c r="G2624" s="3" t="s">
        <v>20</v>
      </c>
      <c r="H2624" s="2" t="s">
        <v>21</v>
      </c>
      <c r="I2624" s="2" t="s">
        <v>5566</v>
      </c>
      <c r="J2624" s="3" t="str">
        <f>HYPERLINK("https://www.boe.es/gazeta/dias/1821/04/26/pdfs/GMD-1821-118.pdf#page=3","Abrir facsímil")</f>
        <v>Abrir facsímil</v>
      </c>
      <c r="K2624" s="3" t="s">
        <v>23</v>
      </c>
    </row>
    <row r="2625" spans="1:11" ht="42" customHeight="1">
      <c r="A2625" s="2" t="s">
        <v>5567</v>
      </c>
      <c r="B2625" s="2" t="s">
        <v>5568</v>
      </c>
      <c r="C2625" s="2" t="s">
        <v>114</v>
      </c>
      <c r="D2625" s="2" t="s">
        <v>27</v>
      </c>
      <c r="E2625" s="5">
        <v>-28579</v>
      </c>
      <c r="F2625" s="3" t="s">
        <v>743</v>
      </c>
      <c r="G2625" s="3" t="s">
        <v>88</v>
      </c>
      <c r="H2625" s="2" t="s">
        <v>21</v>
      </c>
      <c r="I2625" s="2" t="s">
        <v>5569</v>
      </c>
      <c r="J2625" s="3" t="str">
        <f>HYPERLINK("https://www.boe.es/gazeta/dias/1821/10/01/pdfs/GMD-1821-280.pdf#page=4","Abrir facsímil")</f>
        <v>Abrir facsímil</v>
      </c>
      <c r="K2625" s="3" t="s">
        <v>23</v>
      </c>
    </row>
    <row r="2626" spans="1:11" ht="42" customHeight="1">
      <c r="A2626" s="2" t="s">
        <v>5570</v>
      </c>
      <c r="B2626" s="2" t="s">
        <v>5571</v>
      </c>
      <c r="C2626" s="2" t="s">
        <v>40</v>
      </c>
      <c r="D2626" s="2" t="s">
        <v>41</v>
      </c>
      <c r="E2626" s="5">
        <v>-28563</v>
      </c>
      <c r="F2626" s="3" t="s">
        <v>118</v>
      </c>
      <c r="G2626" s="3" t="s">
        <v>20</v>
      </c>
      <c r="H2626" s="2" t="s">
        <v>21</v>
      </c>
      <c r="I2626" s="2" t="s">
        <v>5572</v>
      </c>
      <c r="J2626" s="3" t="str">
        <f>HYPERLINK("https://www.boe.es/gazeta/dias/1821/10/17/pdfs/GMD-1821-296.pdf#page=3","Abrir facsímil")</f>
        <v>Abrir facsímil</v>
      </c>
      <c r="K2626" s="3" t="s">
        <v>23</v>
      </c>
    </row>
    <row r="2627" spans="1:11" ht="42" customHeight="1">
      <c r="A2627" s="2" t="s">
        <v>5573</v>
      </c>
      <c r="B2627" s="2" t="s">
        <v>5574</v>
      </c>
      <c r="C2627" s="2" t="s">
        <v>40</v>
      </c>
      <c r="D2627" s="2" t="s">
        <v>41</v>
      </c>
      <c r="E2627" s="5">
        <v>-28727</v>
      </c>
      <c r="F2627" s="3" t="s">
        <v>200</v>
      </c>
      <c r="G2627" s="3" t="s">
        <v>88</v>
      </c>
      <c r="H2627" s="2" t="s">
        <v>21</v>
      </c>
      <c r="I2627" s="2" t="s">
        <v>5575</v>
      </c>
      <c r="J2627" s="3" t="str">
        <f>HYPERLINK("https://www.boe.es/gazeta/dias/1821/05/06/pdfs/GMD-1821-128.pdf#page=4","Abrir facsímil")</f>
        <v>Abrir facsímil</v>
      </c>
      <c r="K2627" s="3" t="s">
        <v>23</v>
      </c>
    </row>
    <row r="2628" spans="1:11" ht="42" customHeight="1">
      <c r="A2628" s="2" t="s">
        <v>5576</v>
      </c>
      <c r="B2628" s="2" t="s">
        <v>5577</v>
      </c>
      <c r="C2628" s="2" t="s">
        <v>40</v>
      </c>
      <c r="D2628" s="2" t="s">
        <v>41</v>
      </c>
      <c r="E2628" s="5">
        <v>-28560</v>
      </c>
      <c r="F2628" s="3" t="s">
        <v>363</v>
      </c>
      <c r="G2628" s="3" t="s">
        <v>162</v>
      </c>
      <c r="H2628" s="2" t="s">
        <v>21</v>
      </c>
      <c r="I2628" s="2" t="s">
        <v>5578</v>
      </c>
      <c r="J2628" s="3" t="str">
        <f>HYPERLINK("https://www.boe.es/gazeta/dias/1821/10/20/pdfs/GMD-1821-299.pdf#page=5","Abrir facsímil")</f>
        <v>Abrir facsímil</v>
      </c>
      <c r="K2628" s="3" t="s">
        <v>23</v>
      </c>
    </row>
    <row r="2629" spans="1:11" ht="42" customHeight="1">
      <c r="A2629" s="2" t="s">
        <v>5579</v>
      </c>
      <c r="B2629" s="2" t="s">
        <v>5579</v>
      </c>
      <c r="C2629" s="2" t="s">
        <v>40</v>
      </c>
      <c r="D2629" s="2" t="s">
        <v>41</v>
      </c>
      <c r="E2629" s="5">
        <v>-28771</v>
      </c>
      <c r="F2629" s="3" t="s">
        <v>110</v>
      </c>
      <c r="G2629" s="3" t="s">
        <v>43</v>
      </c>
      <c r="H2629" s="2" t="s">
        <v>21</v>
      </c>
      <c r="I2629" s="2" t="s">
        <v>5580</v>
      </c>
      <c r="J2629" s="3" t="str">
        <f>HYPERLINK("https://www.boe.es/gazeta/dias/1821/03/23/pdfs/GMD-1821-83.pdf#page=1","Abrir facsímil")</f>
        <v>Abrir facsímil</v>
      </c>
      <c r="K2629" s="3" t="s">
        <v>23</v>
      </c>
    </row>
    <row r="2630" spans="1:11" ht="42" customHeight="1">
      <c r="A2630" s="2" t="s">
        <v>5581</v>
      </c>
      <c r="B2630" s="2" t="s">
        <v>5581</v>
      </c>
      <c r="C2630" s="2" t="s">
        <v>40</v>
      </c>
      <c r="D2630" s="2" t="s">
        <v>41</v>
      </c>
      <c r="E2630" s="5">
        <v>-28754</v>
      </c>
      <c r="F2630" s="3" t="s">
        <v>1942</v>
      </c>
      <c r="G2630" s="3" t="s">
        <v>20</v>
      </c>
      <c r="H2630" s="2" t="s">
        <v>21</v>
      </c>
      <c r="I2630" s="2" t="s">
        <v>5582</v>
      </c>
      <c r="J2630" s="3" t="str">
        <f>HYPERLINK("https://www.boe.es/gazeta/dias/1821/04/09/pdfs/GMD-1821-101.pdf#page=3","Abrir facsímil")</f>
        <v>Abrir facsímil</v>
      </c>
      <c r="K2630" s="3" t="s">
        <v>23</v>
      </c>
    </row>
    <row r="2631" spans="1:11" ht="42" customHeight="1">
      <c r="A2631" s="2" t="s">
        <v>5583</v>
      </c>
      <c r="B2631" s="2" t="s">
        <v>5583</v>
      </c>
      <c r="C2631" s="2" t="s">
        <v>40</v>
      </c>
      <c r="D2631" s="2" t="s">
        <v>41</v>
      </c>
      <c r="E2631" s="5">
        <v>-28612</v>
      </c>
      <c r="F2631" s="3" t="s">
        <v>1902</v>
      </c>
      <c r="G2631" s="3" t="s">
        <v>20</v>
      </c>
      <c r="H2631" s="2" t="s">
        <v>21</v>
      </c>
      <c r="I2631" s="2" t="s">
        <v>5584</v>
      </c>
      <c r="J2631" s="3" t="str">
        <f>HYPERLINK("https://www.boe.es/gazeta/dias/1821/08/29/pdfs/GMD-1821-246.pdf#page=3","Abrir facsímil")</f>
        <v>Abrir facsímil</v>
      </c>
      <c r="K2631" s="3" t="s">
        <v>23</v>
      </c>
    </row>
    <row r="2632" spans="1:11" ht="42" customHeight="1">
      <c r="A2632" s="2" t="s">
        <v>5585</v>
      </c>
      <c r="B2632" s="2" t="s">
        <v>5585</v>
      </c>
      <c r="C2632" s="2" t="s">
        <v>40</v>
      </c>
      <c r="D2632" s="2" t="s">
        <v>41</v>
      </c>
      <c r="E2632" s="5">
        <v>-28617</v>
      </c>
      <c r="F2632" s="3" t="s">
        <v>436</v>
      </c>
      <c r="G2632" s="3" t="s">
        <v>88</v>
      </c>
      <c r="H2632" s="2" t="s">
        <v>21</v>
      </c>
      <c r="I2632" s="2" t="s">
        <v>5586</v>
      </c>
      <c r="J2632" s="3" t="str">
        <f>HYPERLINK("https://www.boe.es/gazeta/dias/1821/08/24/pdfs/GMD-1821-241.pdf#page=4","Abrir facsímil")</f>
        <v>Abrir facsímil</v>
      </c>
      <c r="K2632" s="3" t="s">
        <v>23</v>
      </c>
    </row>
    <row r="2633" spans="1:11" ht="42" customHeight="1">
      <c r="A2633" s="2" t="s">
        <v>5587</v>
      </c>
      <c r="B2633" s="2" t="s">
        <v>5588</v>
      </c>
      <c r="C2633" s="2" t="s">
        <v>40</v>
      </c>
      <c r="D2633" s="2" t="s">
        <v>41</v>
      </c>
      <c r="E2633" s="5">
        <v>-28764</v>
      </c>
      <c r="F2633" s="3" t="s">
        <v>924</v>
      </c>
      <c r="G2633" s="3" t="s">
        <v>52</v>
      </c>
      <c r="H2633" s="2" t="s">
        <v>21</v>
      </c>
      <c r="I2633" s="2" t="s">
        <v>5589</v>
      </c>
      <c r="J2633" s="3" t="str">
        <f>HYPERLINK("https://www.boe.es/gazeta/dias/1821/03/30/pdfs/GMD-1821-91.pdf#page=2","Abrir facsímil")</f>
        <v>Abrir facsímil</v>
      </c>
      <c r="K2633" s="3" t="s">
        <v>23</v>
      </c>
    </row>
    <row r="2634" spans="1:11" ht="42" customHeight="1">
      <c r="A2634" s="2" t="s">
        <v>5590</v>
      </c>
      <c r="B2634" s="2" t="s">
        <v>5591</v>
      </c>
      <c r="C2634" s="2" t="s">
        <v>26</v>
      </c>
      <c r="D2634" s="2" t="s">
        <v>27</v>
      </c>
      <c r="E2634" s="5">
        <v>-28697</v>
      </c>
      <c r="F2634" s="3" t="s">
        <v>166</v>
      </c>
      <c r="G2634" s="3" t="s">
        <v>1357</v>
      </c>
      <c r="H2634" s="2" t="s">
        <v>21</v>
      </c>
      <c r="I2634" s="2" t="s">
        <v>5592</v>
      </c>
      <c r="J2634" s="3" t="str">
        <f>HYPERLINK("https://www.boe.es/gazeta/dias/1821/06/05/pdfs/GMD-1821-158.pdf#page=4","Abrir facsímil")</f>
        <v>Abrir facsímil</v>
      </c>
      <c r="K2634" s="3" t="s">
        <v>23</v>
      </c>
    </row>
    <row r="2635" spans="1:11" ht="42" customHeight="1">
      <c r="A2635" s="2" t="s">
        <v>5590</v>
      </c>
      <c r="B2635" s="2" t="s">
        <v>5591</v>
      </c>
      <c r="C2635" s="2" t="s">
        <v>70</v>
      </c>
      <c r="D2635" s="2" t="s">
        <v>27</v>
      </c>
      <c r="E2635" s="5">
        <v>-28640</v>
      </c>
      <c r="F2635" s="3" t="s">
        <v>1590</v>
      </c>
      <c r="G2635" s="3" t="s">
        <v>29</v>
      </c>
      <c r="H2635" s="2" t="s">
        <v>21</v>
      </c>
      <c r="I2635" s="2" t="s">
        <v>5593</v>
      </c>
      <c r="J2635" s="3" t="str">
        <f>HYPERLINK("https://www.boe.es/gazeta/dias/1821/08/01/pdfs/GMD-1821-217.pdf#page=6","Abrir facsímil")</f>
        <v>Abrir facsímil</v>
      </c>
      <c r="K2635" s="3" t="s">
        <v>23</v>
      </c>
    </row>
    <row r="2636" spans="1:11" ht="42" customHeight="1">
      <c r="A2636" s="2" t="s">
        <v>5594</v>
      </c>
      <c r="B2636" s="2" t="s">
        <v>5595</v>
      </c>
      <c r="C2636" s="2" t="s">
        <v>40</v>
      </c>
      <c r="D2636" s="2" t="s">
        <v>41</v>
      </c>
      <c r="E2636" s="5">
        <v>-28673</v>
      </c>
      <c r="F2636" s="3" t="s">
        <v>1069</v>
      </c>
      <c r="G2636" s="3" t="s">
        <v>20</v>
      </c>
      <c r="H2636" s="2" t="s">
        <v>21</v>
      </c>
      <c r="I2636" s="2" t="s">
        <v>5596</v>
      </c>
      <c r="J2636" s="3" t="str">
        <f>HYPERLINK("https://www.boe.es/gazeta/dias/1821/06/29/pdfs/GMD-1821-182.pdf#page=3","Abrir facsímil")</f>
        <v>Abrir facsímil</v>
      </c>
      <c r="K2636" s="3" t="s">
        <v>23</v>
      </c>
    </row>
    <row r="2637" spans="1:11" ht="42" customHeight="1">
      <c r="A2637" s="2" t="s">
        <v>5597</v>
      </c>
      <c r="B2637" s="2" t="s">
        <v>5598</v>
      </c>
      <c r="C2637" s="2" t="s">
        <v>40</v>
      </c>
      <c r="D2637" s="2" t="s">
        <v>41</v>
      </c>
      <c r="E2637" s="5">
        <v>-28661</v>
      </c>
      <c r="F2637" s="3" t="s">
        <v>2298</v>
      </c>
      <c r="G2637" s="3" t="s">
        <v>20</v>
      </c>
      <c r="H2637" s="2" t="s">
        <v>21</v>
      </c>
      <c r="I2637" s="2" t="s">
        <v>5599</v>
      </c>
      <c r="J2637" s="3" t="str">
        <f>HYPERLINK("https://www.boe.es/gazeta/dias/1821/07/11/pdfs/GMD-1821-196.pdf#page=3","Abrir facsímil")</f>
        <v>Abrir facsímil</v>
      </c>
      <c r="K2637" s="3" t="s">
        <v>23</v>
      </c>
    </row>
    <row r="2638" spans="1:11" ht="42" customHeight="1">
      <c r="A2638" s="2" t="s">
        <v>5600</v>
      </c>
      <c r="B2638" s="2" t="s">
        <v>5600</v>
      </c>
      <c r="C2638" s="2" t="s">
        <v>174</v>
      </c>
      <c r="D2638" s="2" t="s">
        <v>27</v>
      </c>
      <c r="E2638" s="5">
        <v>-28793</v>
      </c>
      <c r="F2638" s="3" t="s">
        <v>157</v>
      </c>
      <c r="G2638" s="3" t="s">
        <v>52</v>
      </c>
      <c r="H2638" s="2" t="s">
        <v>21</v>
      </c>
      <c r="I2638" s="2" t="s">
        <v>5601</v>
      </c>
      <c r="J2638" s="3" t="str">
        <f>HYPERLINK("https://www.boe.es/gazeta/dias/1821/03/01/pdfs/GGB-1821-60.pdf#page=2","Abrir facsímil")</f>
        <v>Abrir facsímil</v>
      </c>
      <c r="K2638" s="3" t="s">
        <v>23</v>
      </c>
    </row>
    <row r="2639" spans="1:11" ht="42" customHeight="1">
      <c r="A2639" s="2" t="s">
        <v>5602</v>
      </c>
      <c r="B2639" s="2" t="s">
        <v>5602</v>
      </c>
      <c r="C2639" s="2" t="s">
        <v>40</v>
      </c>
      <c r="D2639" s="2" t="s">
        <v>41</v>
      </c>
      <c r="E2639" s="5">
        <v>-28596</v>
      </c>
      <c r="F2639" s="3" t="s">
        <v>1275</v>
      </c>
      <c r="G2639" s="3" t="s">
        <v>20</v>
      </c>
      <c r="H2639" s="2" t="s">
        <v>21</v>
      </c>
      <c r="I2639" s="2" t="s">
        <v>5603</v>
      </c>
      <c r="J2639" s="3" t="str">
        <f>HYPERLINK("https://www.boe.es/gazeta/dias/1821/09/14/pdfs/GMD-1821-262.pdf#page=3","Abrir facsímil")</f>
        <v>Abrir facsímil</v>
      </c>
      <c r="K2639" s="3" t="s">
        <v>23</v>
      </c>
    </row>
    <row r="2640" spans="1:11" ht="42" customHeight="1">
      <c r="A2640" s="2" t="s">
        <v>5604</v>
      </c>
      <c r="B2640" s="2" t="s">
        <v>5604</v>
      </c>
      <c r="C2640" s="2" t="s">
        <v>17</v>
      </c>
      <c r="D2640" s="2" t="s">
        <v>18</v>
      </c>
      <c r="E2640" s="5">
        <v>-28773</v>
      </c>
      <c r="F2640" s="3" t="s">
        <v>1755</v>
      </c>
      <c r="G2640" s="3" t="s">
        <v>52</v>
      </c>
      <c r="H2640" s="2" t="s">
        <v>21</v>
      </c>
      <c r="I2640" s="2" t="s">
        <v>5605</v>
      </c>
      <c r="J2640" s="3" t="str">
        <f>HYPERLINK("https://www.boe.es/gazeta/dias/1821/03/21/pdfs/GMD-1821-80.pdf#page=2","Abrir facsímil")</f>
        <v>Abrir facsímil</v>
      </c>
      <c r="K2640" s="3" t="s">
        <v>23</v>
      </c>
    </row>
    <row r="2641" spans="1:11" ht="42" customHeight="1">
      <c r="A2641" s="2" t="s">
        <v>5606</v>
      </c>
      <c r="B2641" s="2" t="s">
        <v>5607</v>
      </c>
      <c r="C2641" s="2" t="s">
        <v>17</v>
      </c>
      <c r="D2641" s="2" t="s">
        <v>18</v>
      </c>
      <c r="E2641" s="5">
        <v>-28509</v>
      </c>
      <c r="F2641" s="3" t="s">
        <v>388</v>
      </c>
      <c r="G2641" s="3" t="s">
        <v>333</v>
      </c>
      <c r="H2641" s="2" t="s">
        <v>21</v>
      </c>
      <c r="I2641" s="2" t="s">
        <v>5608</v>
      </c>
      <c r="J2641" s="3" t="str">
        <f>HYPERLINK("https://www.boe.es/gazeta/dias/1821/12/10/pdfs/GMD-1821-352.pdf#page=8","Abrir facsímil")</f>
        <v>Abrir facsímil</v>
      </c>
      <c r="K2641" s="3" t="s">
        <v>23</v>
      </c>
    </row>
    <row r="2642" spans="1:11" ht="42" customHeight="1">
      <c r="A2642" s="2" t="s">
        <v>5609</v>
      </c>
      <c r="B2642" s="2" t="s">
        <v>5610</v>
      </c>
      <c r="C2642" s="2" t="s">
        <v>35</v>
      </c>
      <c r="D2642" s="2" t="s">
        <v>27</v>
      </c>
      <c r="E2642" s="5">
        <v>-28684</v>
      </c>
      <c r="F2642" s="3" t="s">
        <v>208</v>
      </c>
      <c r="G2642" s="3" t="s">
        <v>20</v>
      </c>
      <c r="H2642" s="2" t="s">
        <v>21</v>
      </c>
      <c r="I2642" s="2" t="s">
        <v>5611</v>
      </c>
      <c r="J2642" s="3" t="str">
        <f>HYPERLINK("https://www.boe.es/gazeta/dias/1821/06/18/pdfs/GMD-1821-171.pdf#page=3","Abrir facsímil")</f>
        <v>Abrir facsímil</v>
      </c>
      <c r="K2642" s="3" t="s">
        <v>23</v>
      </c>
    </row>
    <row r="2643" spans="1:11" ht="42" customHeight="1">
      <c r="A2643" s="2" t="s">
        <v>5612</v>
      </c>
      <c r="B2643" s="2" t="s">
        <v>5612</v>
      </c>
      <c r="C2643" s="2" t="s">
        <v>40</v>
      </c>
      <c r="D2643" s="2" t="s">
        <v>41</v>
      </c>
      <c r="E2643" s="5">
        <v>-28735</v>
      </c>
      <c r="F2643" s="3" t="s">
        <v>836</v>
      </c>
      <c r="G2643" s="3" t="s">
        <v>88</v>
      </c>
      <c r="H2643" s="2" t="s">
        <v>21</v>
      </c>
      <c r="I2643" s="2" t="s">
        <v>5613</v>
      </c>
      <c r="J2643" s="3" t="str">
        <f>HYPERLINK("https://www.boe.es/gazeta/dias/1821/04/28/pdfs/GMD-1821-120.pdf#page=4","Abrir facsímil")</f>
        <v>Abrir facsímil</v>
      </c>
      <c r="K2643" s="3" t="s">
        <v>23</v>
      </c>
    </row>
    <row r="2644" spans="1:11" ht="42" customHeight="1">
      <c r="A2644" s="2" t="s">
        <v>5612</v>
      </c>
      <c r="B2644" s="2" t="s">
        <v>5612</v>
      </c>
      <c r="C2644" s="2" t="s">
        <v>40</v>
      </c>
      <c r="D2644" s="2" t="s">
        <v>41</v>
      </c>
      <c r="E2644" s="5">
        <v>-28685</v>
      </c>
      <c r="F2644" s="3" t="s">
        <v>303</v>
      </c>
      <c r="G2644" s="3" t="s">
        <v>43</v>
      </c>
      <c r="H2644" s="2" t="s">
        <v>21</v>
      </c>
      <c r="I2644" s="2" t="s">
        <v>5614</v>
      </c>
      <c r="J2644" s="3" t="str">
        <f>HYPERLINK("https://www.boe.es/gazeta/dias/1821/06/17/pdfs/GMD-1821-170.pdf#page=1","Abrir facsímil")</f>
        <v>Abrir facsímil</v>
      </c>
      <c r="K2644" s="3" t="s">
        <v>23</v>
      </c>
    </row>
    <row r="2645" spans="1:11" ht="42" customHeight="1">
      <c r="A2645" s="2" t="s">
        <v>5612</v>
      </c>
      <c r="B2645" s="2" t="s">
        <v>5612</v>
      </c>
      <c r="C2645" s="2" t="s">
        <v>26</v>
      </c>
      <c r="D2645" s="2" t="s">
        <v>27</v>
      </c>
      <c r="E2645" s="5">
        <v>-28680</v>
      </c>
      <c r="F2645" s="3" t="s">
        <v>531</v>
      </c>
      <c r="G2645" s="3" t="s">
        <v>52</v>
      </c>
      <c r="H2645" s="2" t="s">
        <v>21</v>
      </c>
      <c r="I2645" s="2" t="s">
        <v>5615</v>
      </c>
      <c r="J2645" s="3" t="str">
        <f>HYPERLINK("https://www.boe.es/gazeta/dias/1821/06/22/pdfs/GMD-1821-175.pdf#page=2","Abrir facsímil")</f>
        <v>Abrir facsímil</v>
      </c>
      <c r="K2645" s="3" t="s">
        <v>23</v>
      </c>
    </row>
    <row r="2646" spans="1:11" ht="42" customHeight="1">
      <c r="A2646" s="2" t="s">
        <v>5612</v>
      </c>
      <c r="B2646" s="2" t="s">
        <v>5612</v>
      </c>
      <c r="C2646" s="2" t="s">
        <v>40</v>
      </c>
      <c r="D2646" s="2" t="s">
        <v>41</v>
      </c>
      <c r="E2646" s="5">
        <v>-28673</v>
      </c>
      <c r="F2646" s="3" t="s">
        <v>1069</v>
      </c>
      <c r="G2646" s="3" t="s">
        <v>88</v>
      </c>
      <c r="H2646" s="2" t="s">
        <v>21</v>
      </c>
      <c r="I2646" s="2" t="s">
        <v>5616</v>
      </c>
      <c r="J2646" s="3" t="str">
        <f>HYPERLINK("https://www.boe.es/gazeta/dias/1821/06/29/pdfs/GMD-1821-182.pdf#page=4","Abrir facsímil")</f>
        <v>Abrir facsímil</v>
      </c>
      <c r="K2646" s="3" t="s">
        <v>23</v>
      </c>
    </row>
    <row r="2647" spans="1:11" ht="42" customHeight="1">
      <c r="A2647" s="2" t="s">
        <v>5612</v>
      </c>
      <c r="B2647" s="2" t="s">
        <v>5612</v>
      </c>
      <c r="C2647" s="2" t="s">
        <v>40</v>
      </c>
      <c r="D2647" s="2" t="s">
        <v>41</v>
      </c>
      <c r="E2647" s="5">
        <v>-28624</v>
      </c>
      <c r="F2647" s="3" t="s">
        <v>78</v>
      </c>
      <c r="G2647" s="3" t="s">
        <v>43</v>
      </c>
      <c r="H2647" s="2" t="s">
        <v>21</v>
      </c>
      <c r="I2647" s="2" t="s">
        <v>5617</v>
      </c>
      <c r="J2647" s="3" t="str">
        <f>HYPERLINK("https://www.boe.es/gazeta/dias/1821/08/17/pdfs/GMD-1821-234.pdf#page=1","Abrir facsímil")</f>
        <v>Abrir facsímil</v>
      </c>
      <c r="K2647" s="3" t="s">
        <v>23</v>
      </c>
    </row>
    <row r="2648" spans="1:11" ht="42" customHeight="1">
      <c r="A2648" s="2" t="s">
        <v>5612</v>
      </c>
      <c r="B2648" s="2" t="s">
        <v>5612</v>
      </c>
      <c r="C2648" s="2" t="s">
        <v>40</v>
      </c>
      <c r="D2648" s="2" t="s">
        <v>41</v>
      </c>
      <c r="E2648" s="5">
        <v>-28620</v>
      </c>
      <c r="F2648" s="3" t="s">
        <v>87</v>
      </c>
      <c r="G2648" s="3" t="s">
        <v>20</v>
      </c>
      <c r="H2648" s="2" t="s">
        <v>21</v>
      </c>
      <c r="I2648" s="2" t="s">
        <v>5618</v>
      </c>
      <c r="J2648" s="3" t="str">
        <f>HYPERLINK("https://www.boe.es/gazeta/dias/1821/08/21/pdfs/GMD-1821-238.pdf#page=3","Abrir facsímil")</f>
        <v>Abrir facsímil</v>
      </c>
      <c r="K2648" s="3" t="s">
        <v>23</v>
      </c>
    </row>
    <row r="2649" spans="1:11" ht="42" customHeight="1">
      <c r="A2649" s="2" t="s">
        <v>5612</v>
      </c>
      <c r="B2649" s="2" t="s">
        <v>5612</v>
      </c>
      <c r="C2649" s="2" t="s">
        <v>40</v>
      </c>
      <c r="D2649" s="2" t="s">
        <v>41</v>
      </c>
      <c r="E2649" s="5">
        <v>-28596</v>
      </c>
      <c r="F2649" s="3" t="s">
        <v>1275</v>
      </c>
      <c r="G2649" s="3" t="s">
        <v>20</v>
      </c>
      <c r="H2649" s="2" t="s">
        <v>21</v>
      </c>
      <c r="I2649" s="2" t="s">
        <v>5619</v>
      </c>
      <c r="J2649" s="3" t="str">
        <f>HYPERLINK("https://www.boe.es/gazeta/dias/1821/09/14/pdfs/GMD-1821-262.pdf#page=3","Abrir facsímil")</f>
        <v>Abrir facsímil</v>
      </c>
      <c r="K2649" s="3" t="s">
        <v>23</v>
      </c>
    </row>
    <row r="2650" spans="1:11" ht="42" customHeight="1">
      <c r="A2650" s="2" t="s">
        <v>5612</v>
      </c>
      <c r="B2650" s="2" t="s">
        <v>5612</v>
      </c>
      <c r="C2650" s="2" t="s">
        <v>40</v>
      </c>
      <c r="D2650" s="2" t="s">
        <v>41</v>
      </c>
      <c r="E2650" s="5">
        <v>-28589</v>
      </c>
      <c r="F2650" s="3" t="s">
        <v>3130</v>
      </c>
      <c r="G2650" s="3" t="s">
        <v>43</v>
      </c>
      <c r="H2650" s="2" t="s">
        <v>21</v>
      </c>
      <c r="I2650" s="2" t="s">
        <v>5620</v>
      </c>
      <c r="J2650" s="3" t="str">
        <f>HYPERLINK("https://www.boe.es/gazeta/dias/1821/09/21/pdfs/GMD-1821-269.pdf#page=1","Abrir facsímil")</f>
        <v>Abrir facsímil</v>
      </c>
      <c r="K2650" s="3" t="s">
        <v>23</v>
      </c>
    </row>
    <row r="2651" spans="1:11" ht="42" customHeight="1">
      <c r="A2651" s="2" t="s">
        <v>5612</v>
      </c>
      <c r="B2651" s="2" t="s">
        <v>5612</v>
      </c>
      <c r="C2651" s="2" t="s">
        <v>26</v>
      </c>
      <c r="D2651" s="2" t="s">
        <v>27</v>
      </c>
      <c r="E2651" s="5">
        <v>-28504</v>
      </c>
      <c r="F2651" s="3" t="s">
        <v>1098</v>
      </c>
      <c r="G2651" s="3" t="s">
        <v>52</v>
      </c>
      <c r="H2651" s="2" t="s">
        <v>21</v>
      </c>
      <c r="I2651" s="2" t="s">
        <v>5621</v>
      </c>
      <c r="J2651" s="3" t="str">
        <f>HYPERLINK("https://www.boe.es/gazeta/dias/1821/12/15/pdfs/GMD-1821-358.pdf#page=2","Abrir facsímil")</f>
        <v>Abrir facsímil</v>
      </c>
      <c r="K2651" s="3" t="s">
        <v>23</v>
      </c>
    </row>
    <row r="2652" spans="1:11" ht="42" customHeight="1">
      <c r="A2652" s="2" t="s">
        <v>5612</v>
      </c>
      <c r="B2652" s="2" t="s">
        <v>5612</v>
      </c>
      <c r="C2652" s="2" t="s">
        <v>26</v>
      </c>
      <c r="D2652" s="2" t="s">
        <v>27</v>
      </c>
      <c r="E2652" s="5">
        <v>-28494</v>
      </c>
      <c r="F2652" s="3" t="s">
        <v>1665</v>
      </c>
      <c r="G2652" s="3" t="s">
        <v>2803</v>
      </c>
      <c r="H2652" s="2" t="s">
        <v>21</v>
      </c>
      <c r="I2652" s="2" t="s">
        <v>5622</v>
      </c>
      <c r="J2652" s="3" t="str">
        <f>HYPERLINK("https://www.boe.es/gazeta/dias/1821/12/25/pdfs/GMD-1821-368.pdf#page=2","Abrir facsímil")</f>
        <v>Abrir facsímil</v>
      </c>
      <c r="K2652" s="3" t="s">
        <v>23</v>
      </c>
    </row>
    <row r="2653" spans="1:11" ht="42" customHeight="1">
      <c r="A2653" s="2" t="s">
        <v>5623</v>
      </c>
      <c r="B2653" s="2" t="s">
        <v>5623</v>
      </c>
      <c r="C2653" s="2" t="s">
        <v>40</v>
      </c>
      <c r="D2653" s="2" t="s">
        <v>41</v>
      </c>
      <c r="E2653" s="5">
        <v>-28852</v>
      </c>
      <c r="F2653" s="3" t="s">
        <v>5624</v>
      </c>
      <c r="G2653" s="3" t="s">
        <v>20</v>
      </c>
      <c r="H2653" s="2" t="s">
        <v>21</v>
      </c>
      <c r="I2653" s="2" t="s">
        <v>5625</v>
      </c>
      <c r="J2653" s="3" t="str">
        <f>HYPERLINK("https://www.boe.es/gazeta/dias/1821/01/01/pdfs/GGB-1821-1.pdf#page=3","Abrir facsímil")</f>
        <v>Abrir facsímil</v>
      </c>
      <c r="K2653" s="3" t="s">
        <v>23</v>
      </c>
    </row>
    <row r="2654" spans="1:11" ht="42" customHeight="1">
      <c r="A2654" s="2" t="s">
        <v>5626</v>
      </c>
      <c r="B2654" s="2" t="s">
        <v>5627</v>
      </c>
      <c r="C2654" s="2" t="s">
        <v>17</v>
      </c>
      <c r="D2654" s="2" t="s">
        <v>18</v>
      </c>
      <c r="E2654" s="5">
        <v>-28520</v>
      </c>
      <c r="F2654" s="3" t="s">
        <v>878</v>
      </c>
      <c r="G2654" s="3" t="s">
        <v>88</v>
      </c>
      <c r="H2654" s="2" t="s">
        <v>21</v>
      </c>
      <c r="I2654" s="2" t="s">
        <v>5628</v>
      </c>
      <c r="J2654" s="3" t="str">
        <f>HYPERLINK("https://www.boe.es/gazeta/dias/1821/11/29/pdfs/GMD-1821-341.pdf#page=4","Abrir facsímil")</f>
        <v>Abrir facsímil</v>
      </c>
      <c r="K2654" s="3" t="s">
        <v>23</v>
      </c>
    </row>
    <row r="2655" spans="1:11" ht="42" customHeight="1">
      <c r="A2655" s="2" t="s">
        <v>5629</v>
      </c>
      <c r="B2655" s="2" t="s">
        <v>5630</v>
      </c>
      <c r="C2655" s="2" t="s">
        <v>70</v>
      </c>
      <c r="D2655" s="2" t="s">
        <v>27</v>
      </c>
      <c r="E2655" s="5">
        <v>-28626</v>
      </c>
      <c r="F2655" s="3" t="s">
        <v>468</v>
      </c>
      <c r="G2655" s="3" t="s">
        <v>88</v>
      </c>
      <c r="H2655" s="2" t="s">
        <v>21</v>
      </c>
      <c r="I2655" s="2" t="s">
        <v>5631</v>
      </c>
      <c r="J2655" s="3" t="str">
        <f>HYPERLINK("https://www.boe.es/gazeta/dias/1821/08/15/pdfs/GMD-1821-232.pdf#page=4","Abrir facsímil")</f>
        <v>Abrir facsímil</v>
      </c>
      <c r="K2655" s="3" t="s">
        <v>23</v>
      </c>
    </row>
    <row r="2656" spans="1:11" ht="42" customHeight="1">
      <c r="A2656" s="2" t="s">
        <v>5632</v>
      </c>
      <c r="B2656" s="2" t="s">
        <v>5632</v>
      </c>
      <c r="C2656" s="2" t="s">
        <v>17</v>
      </c>
      <c r="D2656" s="2" t="s">
        <v>18</v>
      </c>
      <c r="E2656" s="5">
        <v>-28775</v>
      </c>
      <c r="F2656" s="3" t="s">
        <v>132</v>
      </c>
      <c r="G2656" s="3" t="s">
        <v>20</v>
      </c>
      <c r="H2656" s="2" t="s">
        <v>21</v>
      </c>
      <c r="I2656" s="2" t="s">
        <v>5633</v>
      </c>
      <c r="J2656" s="3" t="str">
        <f>HYPERLINK("https://www.boe.es/gazeta/dias/1821/03/19/pdfs/GMD-1821-78.pdf#page=3","Abrir facsímil")</f>
        <v>Abrir facsímil</v>
      </c>
      <c r="K2656" s="3" t="s">
        <v>23</v>
      </c>
    </row>
    <row r="2657" spans="1:11" ht="42" customHeight="1">
      <c r="A2657" s="2" t="s">
        <v>5634</v>
      </c>
      <c r="B2657" s="2" t="s">
        <v>5635</v>
      </c>
      <c r="C2657" s="2" t="s">
        <v>17</v>
      </c>
      <c r="D2657" s="2" t="s">
        <v>18</v>
      </c>
      <c r="E2657" s="5">
        <v>-28626</v>
      </c>
      <c r="F2657" s="3" t="s">
        <v>468</v>
      </c>
      <c r="G2657" s="3" t="s">
        <v>52</v>
      </c>
      <c r="H2657" s="2" t="s">
        <v>21</v>
      </c>
      <c r="I2657" s="2" t="s">
        <v>5636</v>
      </c>
      <c r="J2657" s="3" t="str">
        <f>HYPERLINK("https://www.boe.es/gazeta/dias/1821/08/15/pdfs/GMD-1821-232.pdf#page=2","Abrir facsímil")</f>
        <v>Abrir facsímil</v>
      </c>
      <c r="K2657" s="3" t="s">
        <v>23</v>
      </c>
    </row>
    <row r="2658" spans="1:11" ht="42" customHeight="1">
      <c r="A2658" s="2" t="s">
        <v>5637</v>
      </c>
      <c r="B2658" s="2" t="s">
        <v>5638</v>
      </c>
      <c r="C2658" s="2" t="s">
        <v>17</v>
      </c>
      <c r="D2658" s="2" t="s">
        <v>18</v>
      </c>
      <c r="E2658" s="5">
        <v>-28649</v>
      </c>
      <c r="F2658" s="3" t="s">
        <v>4688</v>
      </c>
      <c r="G2658" s="3" t="s">
        <v>20</v>
      </c>
      <c r="H2658" s="2" t="s">
        <v>30</v>
      </c>
      <c r="I2658" s="2" t="s">
        <v>5639</v>
      </c>
      <c r="J2658" s="3" t="str">
        <f>HYPERLINK("https://www.boe.es/gazeta/dias/1821/07/23/pdfs/GMD-1821-208.pdf#page=3","Abrir facsímil")</f>
        <v>Abrir facsímil</v>
      </c>
      <c r="K2658" s="3" t="s">
        <v>32</v>
      </c>
    </row>
    <row r="2659" spans="1:11" ht="42" customHeight="1">
      <c r="A2659" s="2" t="s">
        <v>5640</v>
      </c>
      <c r="B2659" s="2" t="s">
        <v>5641</v>
      </c>
      <c r="C2659" s="2" t="s">
        <v>40</v>
      </c>
      <c r="D2659" s="2" t="s">
        <v>41</v>
      </c>
      <c r="E2659" s="5">
        <v>-28847</v>
      </c>
      <c r="F2659" s="3" t="s">
        <v>288</v>
      </c>
      <c r="G2659" s="3" t="s">
        <v>289</v>
      </c>
      <c r="H2659" s="2" t="s">
        <v>30</v>
      </c>
      <c r="I2659" s="2" t="s">
        <v>5642</v>
      </c>
      <c r="J2659" s="3" t="str">
        <f>HYPERLINK("https://www.boe.es/gazeta/dias/1821/01/06/pdfs/GGB-1821-6.pdf#page=4","Abrir facsímil")</f>
        <v>Abrir facsímil</v>
      </c>
      <c r="K2659" s="3" t="s">
        <v>32</v>
      </c>
    </row>
    <row r="2660" spans="1:11" ht="42" customHeight="1">
      <c r="A2660" s="2" t="s">
        <v>5643</v>
      </c>
      <c r="B2660" s="2" t="s">
        <v>5643</v>
      </c>
      <c r="C2660" s="2" t="s">
        <v>40</v>
      </c>
      <c r="D2660" s="2" t="s">
        <v>41</v>
      </c>
      <c r="E2660" s="5">
        <v>-28833</v>
      </c>
      <c r="F2660" s="3" t="s">
        <v>1868</v>
      </c>
      <c r="G2660" s="3" t="s">
        <v>88</v>
      </c>
      <c r="H2660" s="2" t="s">
        <v>21</v>
      </c>
      <c r="I2660" s="2" t="s">
        <v>5644</v>
      </c>
      <c r="J2660" s="3" t="str">
        <f>HYPERLINK("https://www.boe.es/gazeta/dias/1821/01/20/pdfs/GGB-1821-20.pdf#page=4","Abrir facsímil")</f>
        <v>Abrir facsímil</v>
      </c>
      <c r="K2660" s="3" t="s">
        <v>23</v>
      </c>
    </row>
    <row r="2661" spans="1:11" ht="42" customHeight="1">
      <c r="A2661" s="2" t="s">
        <v>5645</v>
      </c>
      <c r="B2661" s="2" t="s">
        <v>5646</v>
      </c>
      <c r="C2661" s="2" t="s">
        <v>26</v>
      </c>
      <c r="D2661" s="2" t="s">
        <v>27</v>
      </c>
      <c r="E2661" s="5">
        <v>-28541</v>
      </c>
      <c r="F2661" s="3" t="s">
        <v>275</v>
      </c>
      <c r="G2661" s="3" t="s">
        <v>52</v>
      </c>
      <c r="H2661" s="2" t="s">
        <v>21</v>
      </c>
      <c r="I2661" s="2" t="s">
        <v>5647</v>
      </c>
      <c r="J2661" s="3" t="str">
        <f>HYPERLINK("https://www.boe.es/gazeta/dias/1821/11/08/pdfs/GMD-1821-319.pdf#page=2","Abrir facsímil")</f>
        <v>Abrir facsímil</v>
      </c>
      <c r="K2661" s="3" t="s">
        <v>23</v>
      </c>
    </row>
    <row r="2662" spans="1:11" ht="42" customHeight="1">
      <c r="A2662" s="2" t="s">
        <v>5648</v>
      </c>
      <c r="B2662" s="2" t="s">
        <v>5648</v>
      </c>
      <c r="C2662" s="2" t="s">
        <v>40</v>
      </c>
      <c r="D2662" s="2" t="s">
        <v>41</v>
      </c>
      <c r="E2662" s="5">
        <v>-28504</v>
      </c>
      <c r="F2662" s="3" t="s">
        <v>1098</v>
      </c>
      <c r="G2662" s="3" t="s">
        <v>29</v>
      </c>
      <c r="H2662" s="2" t="s">
        <v>21</v>
      </c>
      <c r="I2662" s="2" t="s">
        <v>5649</v>
      </c>
      <c r="J2662" s="3" t="str">
        <f>HYPERLINK("https://www.boe.es/gazeta/dias/1821/12/15/pdfs/GMD-1821-358.pdf#page=6","Abrir facsímil")</f>
        <v>Abrir facsímil</v>
      </c>
      <c r="K2662" s="3" t="s">
        <v>23</v>
      </c>
    </row>
    <row r="2663" spans="1:11" ht="42" customHeight="1">
      <c r="A2663" s="2" t="s">
        <v>5648</v>
      </c>
      <c r="B2663" s="2" t="s">
        <v>5648</v>
      </c>
      <c r="C2663" s="2" t="s">
        <v>40</v>
      </c>
      <c r="D2663" s="2" t="s">
        <v>41</v>
      </c>
      <c r="E2663" s="5">
        <v>-28503</v>
      </c>
      <c r="F2663" s="3" t="s">
        <v>947</v>
      </c>
      <c r="G2663" s="3" t="s">
        <v>52</v>
      </c>
      <c r="H2663" s="2" t="s">
        <v>21</v>
      </c>
      <c r="I2663" s="2" t="s">
        <v>5650</v>
      </c>
      <c r="J2663" s="3" t="str">
        <f>HYPERLINK("https://www.boe.es/gazeta/dias/1821/12/16/pdfs/GMD-1821-359.pdf#page=2","Abrir facsímil")</f>
        <v>Abrir facsímil</v>
      </c>
      <c r="K2663" s="3" t="s">
        <v>23</v>
      </c>
    </row>
    <row r="2664" spans="1:11" ht="42" customHeight="1">
      <c r="A2664" s="2" t="s">
        <v>5651</v>
      </c>
      <c r="B2664" s="2" t="s">
        <v>5651</v>
      </c>
      <c r="C2664" s="2" t="s">
        <v>40</v>
      </c>
      <c r="D2664" s="2" t="s">
        <v>41</v>
      </c>
      <c r="E2664" s="5">
        <v>-28494</v>
      </c>
      <c r="F2664" s="3" t="s">
        <v>1665</v>
      </c>
      <c r="G2664" s="3" t="s">
        <v>2803</v>
      </c>
      <c r="H2664" s="2" t="s">
        <v>21</v>
      </c>
      <c r="I2664" s="2" t="s">
        <v>5652</v>
      </c>
      <c r="J2664" s="3" t="str">
        <f>HYPERLINK("https://www.boe.es/gazeta/dias/1821/12/25/pdfs/GMD-1821-368.pdf#page=2","Abrir facsímil")</f>
        <v>Abrir facsímil</v>
      </c>
      <c r="K2664" s="3" t="s">
        <v>23</v>
      </c>
    </row>
    <row r="2665" spans="1:11" ht="42" customHeight="1">
      <c r="A2665" s="2" t="s">
        <v>5653</v>
      </c>
      <c r="B2665" s="2" t="s">
        <v>5654</v>
      </c>
      <c r="C2665" s="2" t="s">
        <v>40</v>
      </c>
      <c r="D2665" s="2" t="s">
        <v>41</v>
      </c>
      <c r="E2665" s="5">
        <v>-28780</v>
      </c>
      <c r="F2665" s="3" t="s">
        <v>143</v>
      </c>
      <c r="G2665" s="3" t="s">
        <v>52</v>
      </c>
      <c r="H2665" s="2" t="s">
        <v>21</v>
      </c>
      <c r="I2665" s="2" t="s">
        <v>5655</v>
      </c>
      <c r="J2665" s="3" t="str">
        <f>HYPERLINK("https://www.boe.es/gazeta/dias/1821/03/14/pdfs/GMD-1821-73.pdf#page=2","Abrir facsímil")</f>
        <v>Abrir facsímil</v>
      </c>
      <c r="K2665" s="3" t="s">
        <v>23</v>
      </c>
    </row>
    <row r="2666" spans="1:11" ht="42" customHeight="1">
      <c r="A2666" s="2" t="s">
        <v>5656</v>
      </c>
      <c r="B2666" s="2" t="s">
        <v>5657</v>
      </c>
      <c r="C2666" s="2" t="s">
        <v>40</v>
      </c>
      <c r="D2666" s="2" t="s">
        <v>41</v>
      </c>
      <c r="E2666" s="5">
        <v>-28738</v>
      </c>
      <c r="F2666" s="3" t="s">
        <v>359</v>
      </c>
      <c r="G2666" s="3" t="s">
        <v>20</v>
      </c>
      <c r="H2666" s="2" t="s">
        <v>21</v>
      </c>
      <c r="I2666" s="2" t="s">
        <v>5658</v>
      </c>
      <c r="J2666" s="3" t="str">
        <f>HYPERLINK("https://www.boe.es/gazeta/dias/1821/04/25/pdfs/GMD-1821-117.pdf#page=3","Abrir facsímil")</f>
        <v>Abrir facsímil</v>
      </c>
      <c r="K2666" s="3" t="s">
        <v>23</v>
      </c>
    </row>
    <row r="2667" spans="1:11" ht="42" customHeight="1">
      <c r="A2667" s="2" t="s">
        <v>5659</v>
      </c>
      <c r="B2667" s="2" t="s">
        <v>5659</v>
      </c>
      <c r="C2667" s="2" t="s">
        <v>17</v>
      </c>
      <c r="D2667" s="2" t="s">
        <v>18</v>
      </c>
      <c r="E2667" s="5">
        <v>-28734</v>
      </c>
      <c r="F2667" s="3" t="s">
        <v>1553</v>
      </c>
      <c r="G2667" s="3" t="s">
        <v>20</v>
      </c>
      <c r="H2667" s="2" t="s">
        <v>21</v>
      </c>
      <c r="I2667" s="2" t="s">
        <v>5660</v>
      </c>
      <c r="J2667" s="3" t="str">
        <f>HYPERLINK("https://www.boe.es/gazeta/dias/1821/04/29/pdfs/GMD-1821-121.pdf#page=3","Abrir facsímil")</f>
        <v>Abrir facsímil</v>
      </c>
      <c r="K2667" s="3" t="s">
        <v>23</v>
      </c>
    </row>
    <row r="2668" spans="1:11" ht="42" customHeight="1">
      <c r="A2668" s="2" t="s">
        <v>5659</v>
      </c>
      <c r="B2668" s="2" t="s">
        <v>5659</v>
      </c>
      <c r="C2668" s="2" t="s">
        <v>17</v>
      </c>
      <c r="D2668" s="2" t="s">
        <v>18</v>
      </c>
      <c r="E2668" s="5">
        <v>-28687</v>
      </c>
      <c r="F2668" s="3" t="s">
        <v>851</v>
      </c>
      <c r="G2668" s="3" t="s">
        <v>88</v>
      </c>
      <c r="H2668" s="2" t="s">
        <v>21</v>
      </c>
      <c r="I2668" s="2" t="s">
        <v>5661</v>
      </c>
      <c r="J2668" s="3" t="str">
        <f>HYPERLINK("https://www.boe.es/gazeta/dias/1821/06/15/pdfs/GMD-1821-168.pdf#page=4","Abrir facsímil")</f>
        <v>Abrir facsímil</v>
      </c>
      <c r="K2668" s="3" t="s">
        <v>23</v>
      </c>
    </row>
    <row r="2669" spans="1:11" ht="42" customHeight="1">
      <c r="A2669" s="2" t="s">
        <v>5659</v>
      </c>
      <c r="B2669" s="2" t="s">
        <v>5659</v>
      </c>
      <c r="C2669" s="2" t="s">
        <v>114</v>
      </c>
      <c r="D2669" s="2" t="s">
        <v>27</v>
      </c>
      <c r="E2669" s="5">
        <v>-28676</v>
      </c>
      <c r="F2669" s="3" t="s">
        <v>534</v>
      </c>
      <c r="G2669" s="3" t="s">
        <v>88</v>
      </c>
      <c r="H2669" s="2" t="s">
        <v>21</v>
      </c>
      <c r="I2669" s="2" t="s">
        <v>5662</v>
      </c>
      <c r="J2669" s="3" t="str">
        <f>HYPERLINK("https://www.boe.es/gazeta/dias/1821/06/26/pdfs/GMD-1821-179.pdf#page=4","Abrir facsímil")</f>
        <v>Abrir facsímil</v>
      </c>
      <c r="K2669" s="3" t="s">
        <v>23</v>
      </c>
    </row>
    <row r="2670" spans="1:11" ht="42" customHeight="1">
      <c r="A2670" s="2" t="s">
        <v>5659</v>
      </c>
      <c r="B2670" s="2" t="s">
        <v>5659</v>
      </c>
      <c r="C2670" s="2" t="s">
        <v>35</v>
      </c>
      <c r="D2670" s="2" t="s">
        <v>27</v>
      </c>
      <c r="E2670" s="5">
        <v>-28500</v>
      </c>
      <c r="F2670" s="3" t="s">
        <v>298</v>
      </c>
      <c r="G2670" s="3" t="s">
        <v>43</v>
      </c>
      <c r="H2670" s="2" t="s">
        <v>21</v>
      </c>
      <c r="I2670" s="2" t="s">
        <v>5663</v>
      </c>
      <c r="J2670" s="3" t="str">
        <f>HYPERLINK("https://www.boe.es/gazeta/dias/1821/12/19/pdfs/GMD-1821-362.pdf#page=1","Abrir facsímil")</f>
        <v>Abrir facsímil</v>
      </c>
      <c r="K2670" s="3" t="s">
        <v>23</v>
      </c>
    </row>
    <row r="2671" spans="1:11" ht="42" customHeight="1">
      <c r="A2671" s="2" t="s">
        <v>5664</v>
      </c>
      <c r="B2671" s="2" t="s">
        <v>5664</v>
      </c>
      <c r="C2671" s="2" t="s">
        <v>40</v>
      </c>
      <c r="D2671" s="2" t="s">
        <v>41</v>
      </c>
      <c r="E2671" s="5">
        <v>-28491</v>
      </c>
      <c r="F2671" s="3" t="s">
        <v>573</v>
      </c>
      <c r="G2671" s="3" t="s">
        <v>3891</v>
      </c>
      <c r="H2671" s="2" t="s">
        <v>21</v>
      </c>
      <c r="I2671" s="2" t="s">
        <v>5665</v>
      </c>
      <c r="J2671" s="3" t="str">
        <f>HYPERLINK("https://www.boe.es/gazeta/dias/1821/12/28/pdfs/GMD-1821-371.pdf#page=2","Abrir facsímil")</f>
        <v>Abrir facsímil</v>
      </c>
      <c r="K2671" s="3" t="s">
        <v>23</v>
      </c>
    </row>
    <row r="2672" spans="1:11" ht="42" customHeight="1">
      <c r="A2672" s="2" t="s">
        <v>5666</v>
      </c>
      <c r="B2672" s="2" t="s">
        <v>5667</v>
      </c>
      <c r="C2672" s="2" t="s">
        <v>70</v>
      </c>
      <c r="D2672" s="2" t="s">
        <v>27</v>
      </c>
      <c r="E2672" s="5">
        <v>-28743</v>
      </c>
      <c r="F2672" s="3" t="s">
        <v>51</v>
      </c>
      <c r="G2672" s="3" t="s">
        <v>88</v>
      </c>
      <c r="H2672" s="2" t="s">
        <v>21</v>
      </c>
      <c r="I2672" s="2" t="s">
        <v>5668</v>
      </c>
      <c r="J2672" s="3" t="str">
        <f>HYPERLINK("https://www.boe.es/gazeta/dias/1821/04/20/pdfs/GMD-1821-112.pdf#page=4","Abrir facsímil")</f>
        <v>Abrir facsímil</v>
      </c>
      <c r="K2672" s="3" t="s">
        <v>23</v>
      </c>
    </row>
    <row r="2673" spans="1:11" ht="42" customHeight="1">
      <c r="A2673" s="2" t="s">
        <v>5669</v>
      </c>
      <c r="B2673" s="2" t="s">
        <v>5670</v>
      </c>
      <c r="C2673" s="2" t="s">
        <v>17</v>
      </c>
      <c r="D2673" s="2" t="s">
        <v>18</v>
      </c>
      <c r="E2673" s="5">
        <v>-28537</v>
      </c>
      <c r="F2673" s="3" t="s">
        <v>56</v>
      </c>
      <c r="G2673" s="3" t="s">
        <v>52</v>
      </c>
      <c r="H2673" s="2" t="s">
        <v>21</v>
      </c>
      <c r="I2673" s="2" t="s">
        <v>5671</v>
      </c>
      <c r="J2673" s="3" t="str">
        <f>HYPERLINK("https://www.boe.es/gazeta/dias/1821/11/12/pdfs/GMD-1821-323.pdf#page=2","Abrir facsímil")</f>
        <v>Abrir facsímil</v>
      </c>
      <c r="K2673" s="3" t="s">
        <v>23</v>
      </c>
    </row>
    <row r="2674" spans="1:11" ht="42" customHeight="1">
      <c r="A2674" s="2" t="s">
        <v>5672</v>
      </c>
      <c r="B2674" s="2" t="s">
        <v>5673</v>
      </c>
      <c r="C2674" s="2" t="s">
        <v>40</v>
      </c>
      <c r="D2674" s="2" t="s">
        <v>41</v>
      </c>
      <c r="E2674" s="5">
        <v>-28729</v>
      </c>
      <c r="F2674" s="3" t="s">
        <v>838</v>
      </c>
      <c r="G2674" s="3" t="s">
        <v>88</v>
      </c>
      <c r="H2674" s="2" t="s">
        <v>21</v>
      </c>
      <c r="I2674" s="2" t="s">
        <v>5674</v>
      </c>
      <c r="J2674" s="3" t="str">
        <f>HYPERLINK("https://www.boe.es/gazeta/dias/1821/05/04/pdfs/GMD-1821-126.pdf#page=4","Abrir facsímil")</f>
        <v>Abrir facsímil</v>
      </c>
      <c r="K2674" s="3" t="s">
        <v>23</v>
      </c>
    </row>
    <row r="2675" spans="1:11" ht="42" customHeight="1">
      <c r="A2675" s="2" t="s">
        <v>5675</v>
      </c>
      <c r="B2675" s="2" t="s">
        <v>5676</v>
      </c>
      <c r="C2675" s="2" t="s">
        <v>40</v>
      </c>
      <c r="D2675" s="2" t="s">
        <v>41</v>
      </c>
      <c r="E2675" s="5">
        <v>-28757</v>
      </c>
      <c r="F2675" s="3" t="s">
        <v>472</v>
      </c>
      <c r="G2675" s="3" t="s">
        <v>52</v>
      </c>
      <c r="H2675" s="2" t="s">
        <v>21</v>
      </c>
      <c r="I2675" s="2" t="s">
        <v>5677</v>
      </c>
      <c r="J2675" s="3" t="str">
        <f>HYPERLINK("https://www.boe.es/gazeta/dias/1821/04/06/pdfs/GMD-1821-98.pdf#page=2","Abrir facsímil")</f>
        <v>Abrir facsímil</v>
      </c>
      <c r="K2675" s="3" t="s">
        <v>23</v>
      </c>
    </row>
    <row r="2676" spans="1:11" ht="42" customHeight="1">
      <c r="A2676" s="2" t="s">
        <v>5678</v>
      </c>
      <c r="B2676" s="2" t="s">
        <v>5679</v>
      </c>
      <c r="C2676" s="2" t="s">
        <v>35</v>
      </c>
      <c r="D2676" s="2" t="s">
        <v>27</v>
      </c>
      <c r="E2676" s="5">
        <v>-28649</v>
      </c>
      <c r="F2676" s="3" t="s">
        <v>4688</v>
      </c>
      <c r="G2676" s="3" t="s">
        <v>52</v>
      </c>
      <c r="H2676" s="2" t="s">
        <v>21</v>
      </c>
      <c r="I2676" s="2" t="s">
        <v>5680</v>
      </c>
      <c r="J2676" s="3" t="str">
        <f>HYPERLINK("https://www.boe.es/gazeta/dias/1821/07/23/pdfs/GMD-1821-208.pdf#page=2","Abrir facsímil")</f>
        <v>Abrir facsímil</v>
      </c>
      <c r="K2676" s="3" t="s">
        <v>23</v>
      </c>
    </row>
    <row r="2677" spans="1:11" ht="42" customHeight="1">
      <c r="A2677" s="2" t="s">
        <v>5681</v>
      </c>
      <c r="B2677" s="2" t="s">
        <v>5682</v>
      </c>
      <c r="C2677" s="2" t="s">
        <v>40</v>
      </c>
      <c r="D2677" s="2" t="s">
        <v>41</v>
      </c>
      <c r="E2677" s="5">
        <v>-28551</v>
      </c>
      <c r="F2677" s="3" t="s">
        <v>542</v>
      </c>
      <c r="G2677" s="3" t="s">
        <v>88</v>
      </c>
      <c r="H2677" s="2" t="s">
        <v>21</v>
      </c>
      <c r="I2677" s="2" t="s">
        <v>5683</v>
      </c>
      <c r="J2677" s="3" t="str">
        <f>HYPERLINK("https://www.boe.es/gazeta/dias/1821/10/29/pdfs/GMD-1821-308.pdf#page=4","Abrir facsímil")</f>
        <v>Abrir facsímil</v>
      </c>
      <c r="K2677" s="3" t="s">
        <v>23</v>
      </c>
    </row>
    <row r="2678" spans="1:11" ht="42" customHeight="1">
      <c r="A2678" s="2" t="s">
        <v>5684</v>
      </c>
      <c r="B2678" s="2" t="s">
        <v>5685</v>
      </c>
      <c r="C2678" s="2" t="s">
        <v>35</v>
      </c>
      <c r="D2678" s="2" t="s">
        <v>27</v>
      </c>
      <c r="E2678" s="5">
        <v>-28715</v>
      </c>
      <c r="F2678" s="3" t="s">
        <v>1046</v>
      </c>
      <c r="G2678" s="3" t="s">
        <v>52</v>
      </c>
      <c r="H2678" s="2" t="s">
        <v>21</v>
      </c>
      <c r="I2678" s="2" t="s">
        <v>5686</v>
      </c>
      <c r="J2678" s="3" t="str">
        <f>HYPERLINK("https://www.boe.es/gazeta/dias/1821/05/18/pdfs/GMD-1821-140.pdf#page=2","Abrir facsímil")</f>
        <v>Abrir facsímil</v>
      </c>
      <c r="K2678" s="3" t="s">
        <v>23</v>
      </c>
    </row>
    <row r="2679" spans="1:11" ht="42" customHeight="1">
      <c r="A2679" s="2" t="s">
        <v>5687</v>
      </c>
      <c r="B2679" s="2" t="s">
        <v>5688</v>
      </c>
      <c r="C2679" s="2" t="s">
        <v>70</v>
      </c>
      <c r="D2679" s="2" t="s">
        <v>27</v>
      </c>
      <c r="E2679" s="5">
        <v>-28782</v>
      </c>
      <c r="F2679" s="3" t="s">
        <v>508</v>
      </c>
      <c r="G2679" s="3" t="s">
        <v>88</v>
      </c>
      <c r="H2679" s="2" t="s">
        <v>30</v>
      </c>
      <c r="I2679" s="2" t="s">
        <v>5689</v>
      </c>
      <c r="J2679" s="3" t="str">
        <f>HYPERLINK("https://www.boe.es/gazeta/dias/1821/03/12/pdfs/GMD-1821-71.pdf#page=4","Abrir facsímil")</f>
        <v>Abrir facsímil</v>
      </c>
      <c r="K2679" s="3" t="s">
        <v>32</v>
      </c>
    </row>
    <row r="2680" spans="1:11" ht="42" customHeight="1">
      <c r="A2680" s="2" t="s">
        <v>5690</v>
      </c>
      <c r="B2680" s="2" t="s">
        <v>5691</v>
      </c>
      <c r="C2680" s="2" t="s">
        <v>40</v>
      </c>
      <c r="D2680" s="2" t="s">
        <v>41</v>
      </c>
      <c r="E2680" s="5">
        <v>-28791</v>
      </c>
      <c r="F2680" s="3" t="s">
        <v>47</v>
      </c>
      <c r="G2680" s="3" t="s">
        <v>88</v>
      </c>
      <c r="H2680" s="2" t="s">
        <v>21</v>
      </c>
      <c r="I2680" s="2" t="s">
        <v>5692</v>
      </c>
      <c r="J2680" s="3" t="str">
        <f>HYPERLINK("https://www.boe.es/gazeta/dias/1821/03/03/pdfs/GGB-1821-62.pdf#page=4","Abrir facsímil")</f>
        <v>Abrir facsímil</v>
      </c>
      <c r="K2680" s="3" t="s">
        <v>23</v>
      </c>
    </row>
    <row r="2681" spans="1:11" ht="42" customHeight="1">
      <c r="A2681" s="2" t="s">
        <v>5693</v>
      </c>
      <c r="B2681" s="2" t="s">
        <v>5694</v>
      </c>
      <c r="C2681" s="2" t="s">
        <v>70</v>
      </c>
      <c r="D2681" s="2" t="s">
        <v>27</v>
      </c>
      <c r="E2681" s="5">
        <v>-28755</v>
      </c>
      <c r="F2681" s="3" t="s">
        <v>906</v>
      </c>
      <c r="G2681" s="3" t="s">
        <v>907</v>
      </c>
      <c r="H2681" s="2" t="s">
        <v>21</v>
      </c>
      <c r="I2681" s="2" t="s">
        <v>5695</v>
      </c>
      <c r="J2681" s="3" t="str">
        <f>HYPERLINK("https://www.boe.es/gazeta/dias/1821/04/08/pdfs/GMD-1821-100.pdf#page=4","Abrir facsímil")</f>
        <v>Abrir facsímil</v>
      </c>
      <c r="K2681" s="3" t="s">
        <v>23</v>
      </c>
    </row>
    <row r="2682" spans="1:11" ht="42" customHeight="1">
      <c r="A2682" s="2" t="s">
        <v>5696</v>
      </c>
      <c r="B2682" s="2" t="s">
        <v>5697</v>
      </c>
      <c r="C2682" s="2" t="s">
        <v>114</v>
      </c>
      <c r="D2682" s="2" t="s">
        <v>27</v>
      </c>
      <c r="E2682" s="5">
        <v>-28569</v>
      </c>
      <c r="F2682" s="3" t="s">
        <v>512</v>
      </c>
      <c r="G2682" s="3" t="s">
        <v>52</v>
      </c>
      <c r="H2682" s="2" t="s">
        <v>21</v>
      </c>
      <c r="I2682" s="2" t="s">
        <v>5698</v>
      </c>
      <c r="J2682" s="3" t="str">
        <f>HYPERLINK("https://www.boe.es/gazeta/dias/1821/10/11/pdfs/GMD-1821-290.pdf#page=2","Abrir facsímil")</f>
        <v>Abrir facsímil</v>
      </c>
      <c r="K2682" s="3" t="s">
        <v>23</v>
      </c>
    </row>
    <row r="2683" spans="1:11" ht="42" customHeight="1">
      <c r="A2683" s="2" t="s">
        <v>5699</v>
      </c>
      <c r="B2683" s="2" t="s">
        <v>5700</v>
      </c>
      <c r="C2683" s="2" t="s">
        <v>17</v>
      </c>
      <c r="D2683" s="2" t="s">
        <v>18</v>
      </c>
      <c r="E2683" s="5">
        <v>-28666</v>
      </c>
      <c r="F2683" s="3" t="s">
        <v>1263</v>
      </c>
      <c r="G2683" s="3" t="s">
        <v>88</v>
      </c>
      <c r="H2683" s="2" t="s">
        <v>30</v>
      </c>
      <c r="I2683" s="2" t="s">
        <v>5701</v>
      </c>
      <c r="J2683" s="3" t="str">
        <f>HYPERLINK("https://www.boe.es/gazeta/dias/1821/07/06/pdfs/GMD-1821-190.pdf#page=4","Abrir facsímil")</f>
        <v>Abrir facsímil</v>
      </c>
      <c r="K2683" s="3" t="s">
        <v>32</v>
      </c>
    </row>
    <row r="2684" spans="1:11" ht="42" customHeight="1">
      <c r="A2684" s="2" t="s">
        <v>5699</v>
      </c>
      <c r="B2684" s="2" t="s">
        <v>5700</v>
      </c>
      <c r="C2684" s="2" t="s">
        <v>35</v>
      </c>
      <c r="D2684" s="2" t="s">
        <v>27</v>
      </c>
      <c r="E2684" s="5">
        <v>-28599</v>
      </c>
      <c r="F2684" s="3" t="s">
        <v>902</v>
      </c>
      <c r="G2684" s="3" t="s">
        <v>88</v>
      </c>
      <c r="H2684" s="2" t="s">
        <v>30</v>
      </c>
      <c r="I2684" s="2" t="s">
        <v>5702</v>
      </c>
      <c r="J2684" s="3" t="str">
        <f>HYPERLINK("https://www.boe.es/gazeta/dias/1821/09/11/pdfs/GMD-1821-259.pdf#page=4","Abrir facsímil")</f>
        <v>Abrir facsímil</v>
      </c>
      <c r="K2684" s="3" t="s">
        <v>32</v>
      </c>
    </row>
    <row r="2685" spans="1:11" ht="42" customHeight="1">
      <c r="A2685" s="2" t="s">
        <v>5703</v>
      </c>
      <c r="B2685" s="2" t="s">
        <v>5704</v>
      </c>
      <c r="C2685" s="2" t="s">
        <v>17</v>
      </c>
      <c r="D2685" s="2" t="s">
        <v>18</v>
      </c>
      <c r="E2685" s="5">
        <v>-28519</v>
      </c>
      <c r="F2685" s="3" t="s">
        <v>880</v>
      </c>
      <c r="G2685" s="3" t="s">
        <v>88</v>
      </c>
      <c r="H2685" s="2" t="s">
        <v>21</v>
      </c>
      <c r="I2685" s="2" t="s">
        <v>5705</v>
      </c>
      <c r="J2685" s="3" t="str">
        <f>HYPERLINK("https://www.boe.es/gazeta/dias/1821/11/30/pdfs/GMD-1821-342.pdf#page=4","Abrir facsímil")</f>
        <v>Abrir facsímil</v>
      </c>
      <c r="K2685" s="3" t="s">
        <v>23</v>
      </c>
    </row>
    <row r="2686" spans="1:11" ht="42" customHeight="1">
      <c r="A2686" s="2" t="s">
        <v>5706</v>
      </c>
      <c r="B2686" s="2" t="s">
        <v>5707</v>
      </c>
      <c r="C2686" s="2" t="s">
        <v>17</v>
      </c>
      <c r="D2686" s="2" t="s">
        <v>18</v>
      </c>
      <c r="E2686" s="5">
        <v>-28752</v>
      </c>
      <c r="F2686" s="3" t="s">
        <v>1012</v>
      </c>
      <c r="G2686" s="3" t="s">
        <v>52</v>
      </c>
      <c r="H2686" s="2" t="s">
        <v>21</v>
      </c>
      <c r="I2686" s="2" t="s">
        <v>5708</v>
      </c>
      <c r="J2686" s="3" t="str">
        <f>HYPERLINK("https://www.boe.es/gazeta/dias/1821/04/11/pdfs/GMD-1821-103.pdf#page=2","Abrir facsímil")</f>
        <v>Abrir facsímil</v>
      </c>
      <c r="K2686" s="3" t="s">
        <v>23</v>
      </c>
    </row>
    <row r="2687" spans="1:11" ht="42" customHeight="1">
      <c r="A2687" s="2" t="s">
        <v>5709</v>
      </c>
      <c r="B2687" s="2" t="s">
        <v>5709</v>
      </c>
      <c r="C2687" s="2" t="s">
        <v>17</v>
      </c>
      <c r="D2687" s="2" t="s">
        <v>18</v>
      </c>
      <c r="E2687" s="5">
        <v>-28505</v>
      </c>
      <c r="F2687" s="3" t="s">
        <v>567</v>
      </c>
      <c r="G2687" s="3" t="s">
        <v>43</v>
      </c>
      <c r="H2687" s="2" t="s">
        <v>21</v>
      </c>
      <c r="I2687" s="2" t="s">
        <v>5710</v>
      </c>
      <c r="J2687" s="3" t="str">
        <f>HYPERLINK("https://www.boe.es/gazeta/dias/1821/12/14/pdfs/GMD-1821-357.pdf#page=1","Abrir facsímil")</f>
        <v>Abrir facsímil</v>
      </c>
      <c r="K2687" s="3" t="s">
        <v>23</v>
      </c>
    </row>
    <row r="2688" spans="1:11" ht="42" customHeight="1">
      <c r="A2688" s="2" t="s">
        <v>5711</v>
      </c>
      <c r="B2688" s="2" t="s">
        <v>5711</v>
      </c>
      <c r="C2688" s="2" t="s">
        <v>70</v>
      </c>
      <c r="D2688" s="2" t="s">
        <v>27</v>
      </c>
      <c r="E2688" s="5">
        <v>-28738</v>
      </c>
      <c r="F2688" s="3" t="s">
        <v>359</v>
      </c>
      <c r="G2688" s="3" t="s">
        <v>20</v>
      </c>
      <c r="H2688" s="2" t="s">
        <v>21</v>
      </c>
      <c r="I2688" s="2" t="s">
        <v>5712</v>
      </c>
      <c r="J2688" s="3" t="str">
        <f>HYPERLINK("https://www.boe.es/gazeta/dias/1821/04/25/pdfs/GMD-1821-117.pdf#page=3","Abrir facsímil")</f>
        <v>Abrir facsímil</v>
      </c>
      <c r="K2688" s="3" t="s">
        <v>23</v>
      </c>
    </row>
    <row r="2689" spans="1:11" ht="42" customHeight="1">
      <c r="A2689" s="2" t="s">
        <v>5711</v>
      </c>
      <c r="B2689" s="2" t="s">
        <v>5711</v>
      </c>
      <c r="C2689" s="2" t="s">
        <v>35</v>
      </c>
      <c r="D2689" s="2" t="s">
        <v>27</v>
      </c>
      <c r="E2689" s="5">
        <v>-28710</v>
      </c>
      <c r="F2689" s="3" t="s">
        <v>375</v>
      </c>
      <c r="G2689" s="3" t="s">
        <v>52</v>
      </c>
      <c r="H2689" s="2" t="s">
        <v>21</v>
      </c>
      <c r="I2689" s="2" t="s">
        <v>5713</v>
      </c>
      <c r="J2689" s="3" t="str">
        <f>HYPERLINK("https://www.boe.es/gazeta/dias/1821/05/23/pdfs/GMD-1821-145.pdf#page=2","Abrir facsímil")</f>
        <v>Abrir facsímil</v>
      </c>
      <c r="K2689" s="3" t="s">
        <v>23</v>
      </c>
    </row>
    <row r="2690" spans="1:11" ht="42" customHeight="1">
      <c r="A2690" s="2" t="s">
        <v>5711</v>
      </c>
      <c r="B2690" s="2" t="s">
        <v>5711</v>
      </c>
      <c r="C2690" s="2" t="s">
        <v>70</v>
      </c>
      <c r="D2690" s="2" t="s">
        <v>27</v>
      </c>
      <c r="E2690" s="5">
        <v>-28686</v>
      </c>
      <c r="F2690" s="3" t="s">
        <v>115</v>
      </c>
      <c r="G2690" s="3" t="s">
        <v>52</v>
      </c>
      <c r="H2690" s="2" t="s">
        <v>21</v>
      </c>
      <c r="I2690" s="2" t="s">
        <v>5714</v>
      </c>
      <c r="J2690" s="3" t="str">
        <f>HYPERLINK("https://www.boe.es/gazeta/dias/1821/06/16/pdfs/GMD-1821-169.pdf#page=2","Abrir facsímil")</f>
        <v>Abrir facsímil</v>
      </c>
      <c r="K2690" s="3" t="s">
        <v>23</v>
      </c>
    </row>
    <row r="2691" spans="1:11" ht="42" customHeight="1">
      <c r="A2691" s="2" t="s">
        <v>5711</v>
      </c>
      <c r="B2691" s="2" t="s">
        <v>5711</v>
      </c>
      <c r="C2691" s="2" t="s">
        <v>17</v>
      </c>
      <c r="D2691" s="2" t="s">
        <v>18</v>
      </c>
      <c r="E2691" s="5">
        <v>-28678</v>
      </c>
      <c r="F2691" s="3" t="s">
        <v>215</v>
      </c>
      <c r="G2691" s="3" t="s">
        <v>1445</v>
      </c>
      <c r="H2691" s="2" t="s">
        <v>21</v>
      </c>
      <c r="I2691" s="2" t="s">
        <v>5715</v>
      </c>
      <c r="J2691" s="3" t="str">
        <f>HYPERLINK("https://www.boe.es/gazeta/dias/1821/06/24/pdfs/GMD-1821-177.pdf#page=3","Abrir facsímil")</f>
        <v>Abrir facsímil</v>
      </c>
      <c r="K2691" s="3" t="s">
        <v>23</v>
      </c>
    </row>
    <row r="2692" spans="1:11" ht="42" customHeight="1">
      <c r="A2692" s="2" t="s">
        <v>5711</v>
      </c>
      <c r="B2692" s="2" t="s">
        <v>5711</v>
      </c>
      <c r="C2692" s="2" t="s">
        <v>35</v>
      </c>
      <c r="D2692" s="2" t="s">
        <v>27</v>
      </c>
      <c r="E2692" s="5">
        <v>-28675</v>
      </c>
      <c r="F2692" s="3" t="s">
        <v>943</v>
      </c>
      <c r="G2692" s="3" t="s">
        <v>20</v>
      </c>
      <c r="H2692" s="2" t="s">
        <v>21</v>
      </c>
      <c r="I2692" s="2" t="s">
        <v>5716</v>
      </c>
      <c r="J2692" s="3" t="str">
        <f>HYPERLINK("https://www.boe.es/gazeta/dias/1821/06/27/pdfs/GMD-1821-180.pdf#page=3","Abrir facsímil")</f>
        <v>Abrir facsímil</v>
      </c>
      <c r="K2692" s="3" t="s">
        <v>23</v>
      </c>
    </row>
    <row r="2693" spans="1:11" ht="42" customHeight="1">
      <c r="A2693" s="2" t="s">
        <v>5711</v>
      </c>
      <c r="B2693" s="2" t="s">
        <v>5711</v>
      </c>
      <c r="C2693" s="2" t="s">
        <v>35</v>
      </c>
      <c r="D2693" s="2" t="s">
        <v>27</v>
      </c>
      <c r="E2693" s="5">
        <v>-28498</v>
      </c>
      <c r="F2693" s="3" t="s">
        <v>447</v>
      </c>
      <c r="G2693" s="3" t="s">
        <v>88</v>
      </c>
      <c r="H2693" s="2" t="s">
        <v>21</v>
      </c>
      <c r="I2693" s="2" t="s">
        <v>5717</v>
      </c>
      <c r="J2693" s="3" t="str">
        <f>HYPERLINK("https://www.boe.es/gazeta/dias/1821/12/21/pdfs/GMD-1821-364.pdf#page=4","Abrir facsímil")</f>
        <v>Abrir facsímil</v>
      </c>
      <c r="K2693" s="3" t="s">
        <v>23</v>
      </c>
    </row>
    <row r="2694" spans="1:11" ht="42" customHeight="1">
      <c r="A2694" s="2" t="s">
        <v>5711</v>
      </c>
      <c r="B2694" s="2" t="s">
        <v>5711</v>
      </c>
      <c r="C2694" s="2" t="s">
        <v>70</v>
      </c>
      <c r="D2694" s="2" t="s">
        <v>27</v>
      </c>
      <c r="E2694" s="5">
        <v>-28496</v>
      </c>
      <c r="F2694" s="3" t="s">
        <v>785</v>
      </c>
      <c r="G2694" s="3" t="s">
        <v>52</v>
      </c>
      <c r="H2694" s="2" t="s">
        <v>21</v>
      </c>
      <c r="I2694" s="2" t="s">
        <v>5718</v>
      </c>
      <c r="J2694" s="3" t="str">
        <f>HYPERLINK("https://www.boe.es/gazeta/dias/1821/12/23/pdfs/GMD-1821-366.pdf#page=2","Abrir facsímil")</f>
        <v>Abrir facsímil</v>
      </c>
      <c r="K2694" s="3" t="s">
        <v>23</v>
      </c>
    </row>
    <row r="2695" spans="1:11" ht="42" customHeight="1">
      <c r="A2695" s="2" t="s">
        <v>5719</v>
      </c>
      <c r="B2695" s="2" t="s">
        <v>5719</v>
      </c>
      <c r="C2695" s="2" t="s">
        <v>70</v>
      </c>
      <c r="D2695" s="2" t="s">
        <v>27</v>
      </c>
      <c r="E2695" s="5">
        <v>-28581</v>
      </c>
      <c r="F2695" s="3" t="s">
        <v>254</v>
      </c>
      <c r="G2695" s="3" t="s">
        <v>43</v>
      </c>
      <c r="H2695" s="2" t="s">
        <v>21</v>
      </c>
      <c r="I2695" s="2" t="s">
        <v>5720</v>
      </c>
      <c r="J2695" s="3" t="str">
        <f>HYPERLINK("https://www.boe.es/gazeta/dias/1821/09/29/pdfs/GMD-1821-278.pdf#page=1","Abrir facsímil")</f>
        <v>Abrir facsímil</v>
      </c>
      <c r="K2695" s="3" t="s">
        <v>23</v>
      </c>
    </row>
    <row r="2696" spans="1:11" ht="42" customHeight="1">
      <c r="A2696" s="2" t="s">
        <v>5721</v>
      </c>
      <c r="B2696" s="2" t="s">
        <v>5722</v>
      </c>
      <c r="C2696" s="2" t="s">
        <v>40</v>
      </c>
      <c r="D2696" s="2" t="s">
        <v>41</v>
      </c>
      <c r="E2696" s="5">
        <v>-28776</v>
      </c>
      <c r="F2696" s="3" t="s">
        <v>312</v>
      </c>
      <c r="G2696" s="3" t="s">
        <v>162</v>
      </c>
      <c r="H2696" s="2" t="s">
        <v>21</v>
      </c>
      <c r="I2696" s="2" t="s">
        <v>5723</v>
      </c>
      <c r="J2696" s="3" t="str">
        <f>HYPERLINK("https://www.boe.es/gazeta/dias/1821/03/18/pdfs/GMD-1821-77.pdf#page=5","Abrir facsímil")</f>
        <v>Abrir facsímil</v>
      </c>
      <c r="K2696" s="3" t="s">
        <v>23</v>
      </c>
    </row>
    <row r="2697" spans="1:11" ht="42" customHeight="1">
      <c r="A2697" s="2" t="s">
        <v>5724</v>
      </c>
      <c r="B2697" s="2" t="s">
        <v>5725</v>
      </c>
      <c r="C2697" s="2" t="s">
        <v>40</v>
      </c>
      <c r="D2697" s="2" t="s">
        <v>41</v>
      </c>
      <c r="E2697" s="5">
        <v>-28764</v>
      </c>
      <c r="F2697" s="3" t="s">
        <v>924</v>
      </c>
      <c r="G2697" s="3" t="s">
        <v>52</v>
      </c>
      <c r="H2697" s="2" t="s">
        <v>30</v>
      </c>
      <c r="I2697" s="2" t="s">
        <v>5726</v>
      </c>
      <c r="J2697" s="3" t="str">
        <f>HYPERLINK("https://www.boe.es/gazeta/dias/1821/03/30/pdfs/GMD-1821-91.pdf#page=2","Abrir facsímil")</f>
        <v>Abrir facsímil</v>
      </c>
      <c r="K2697" s="3" t="s">
        <v>32</v>
      </c>
    </row>
    <row r="2698" spans="1:11" ht="42" customHeight="1">
      <c r="A2698" s="2" t="s">
        <v>5727</v>
      </c>
      <c r="B2698" s="2" t="s">
        <v>5728</v>
      </c>
      <c r="C2698" s="2" t="s">
        <v>17</v>
      </c>
      <c r="D2698" s="2" t="s">
        <v>18</v>
      </c>
      <c r="E2698" s="5">
        <v>-28836</v>
      </c>
      <c r="F2698" s="3" t="s">
        <v>601</v>
      </c>
      <c r="G2698" s="3" t="s">
        <v>88</v>
      </c>
      <c r="H2698" s="2" t="s">
        <v>21</v>
      </c>
      <c r="I2698" s="2" t="s">
        <v>5729</v>
      </c>
      <c r="J2698" s="3" t="str">
        <f>HYPERLINK("https://www.boe.es/gazeta/dias/1821/01/17/pdfs/GGB-1821-17.pdf#page=4","Abrir facsímil")</f>
        <v>Abrir facsímil</v>
      </c>
      <c r="K2698" s="3" t="s">
        <v>23</v>
      </c>
    </row>
    <row r="2699" spans="1:11" ht="42" customHeight="1">
      <c r="A2699" s="2" t="s">
        <v>5727</v>
      </c>
      <c r="B2699" s="2" t="s">
        <v>5728</v>
      </c>
      <c r="C2699" s="2" t="s">
        <v>26</v>
      </c>
      <c r="D2699" s="2" t="s">
        <v>27</v>
      </c>
      <c r="E2699" s="5">
        <v>-28833</v>
      </c>
      <c r="F2699" s="3" t="s">
        <v>1868</v>
      </c>
      <c r="G2699" s="3" t="s">
        <v>88</v>
      </c>
      <c r="H2699" s="2" t="s">
        <v>21</v>
      </c>
      <c r="I2699" s="2" t="s">
        <v>5730</v>
      </c>
      <c r="J2699" s="3" t="str">
        <f>HYPERLINK("https://www.boe.es/gazeta/dias/1821/01/20/pdfs/GGB-1821-20.pdf#page=4","Abrir facsímil")</f>
        <v>Abrir facsímil</v>
      </c>
      <c r="K2699" s="3" t="s">
        <v>23</v>
      </c>
    </row>
    <row r="2700" spans="1:11" ht="42" customHeight="1">
      <c r="A2700" s="2" t="s">
        <v>5727</v>
      </c>
      <c r="B2700" s="2" t="s">
        <v>5728</v>
      </c>
      <c r="C2700" s="2" t="s">
        <v>17</v>
      </c>
      <c r="D2700" s="2" t="s">
        <v>18</v>
      </c>
      <c r="E2700" s="5">
        <v>-28831</v>
      </c>
      <c r="F2700" s="3" t="s">
        <v>3179</v>
      </c>
      <c r="G2700" s="3" t="s">
        <v>5731</v>
      </c>
      <c r="H2700" s="2" t="s">
        <v>21</v>
      </c>
      <c r="I2700" s="2" t="s">
        <v>5732</v>
      </c>
      <c r="J2700" s="3" t="str">
        <f>HYPERLINK("https://www.boe.es/gazeta/dias/1821/01/22/pdfs/GGB-1821-22.pdf#page=4","Abrir facsímil")</f>
        <v>Abrir facsímil</v>
      </c>
      <c r="K2700" s="3" t="s">
        <v>23</v>
      </c>
    </row>
    <row r="2701" spans="1:11" ht="42" customHeight="1">
      <c r="A2701" s="2" t="s">
        <v>5727</v>
      </c>
      <c r="B2701" s="2" t="s">
        <v>5728</v>
      </c>
      <c r="C2701" s="2" t="s">
        <v>17</v>
      </c>
      <c r="D2701" s="2" t="s">
        <v>18</v>
      </c>
      <c r="E2701" s="5">
        <v>-28814</v>
      </c>
      <c r="F2701" s="3" t="s">
        <v>2090</v>
      </c>
      <c r="G2701" s="3" t="s">
        <v>88</v>
      </c>
      <c r="H2701" s="2" t="s">
        <v>21</v>
      </c>
      <c r="I2701" s="2" t="s">
        <v>5733</v>
      </c>
      <c r="J2701" s="3" t="str">
        <f>HYPERLINK("https://www.boe.es/gazeta/dias/1821/02/08/pdfs/GGB-1821-39.pdf#page=4","Abrir facsímil")</f>
        <v>Abrir facsímil</v>
      </c>
      <c r="K2701" s="3" t="s">
        <v>23</v>
      </c>
    </row>
    <row r="2702" spans="1:11" ht="42" customHeight="1">
      <c r="A2702" s="2" t="s">
        <v>5727</v>
      </c>
      <c r="B2702" s="2" t="s">
        <v>5728</v>
      </c>
      <c r="C2702" s="2" t="s">
        <v>17</v>
      </c>
      <c r="D2702" s="2" t="s">
        <v>18</v>
      </c>
      <c r="E2702" s="5">
        <v>-28811</v>
      </c>
      <c r="F2702" s="3" t="s">
        <v>5734</v>
      </c>
      <c r="G2702" s="3" t="s">
        <v>88</v>
      </c>
      <c r="H2702" s="2" t="s">
        <v>21</v>
      </c>
      <c r="I2702" s="2" t="s">
        <v>5735</v>
      </c>
      <c r="J2702" s="3" t="str">
        <f>HYPERLINK("https://www.boe.es/gazeta/dias/1821/02/11/pdfs/GGB-1821-42.pdf#page=4","Abrir facsímil")</f>
        <v>Abrir facsímil</v>
      </c>
      <c r="K2702" s="3" t="s">
        <v>23</v>
      </c>
    </row>
    <row r="2703" spans="1:11" ht="42" customHeight="1">
      <c r="A2703" s="2" t="s">
        <v>5727</v>
      </c>
      <c r="B2703" s="2" t="s">
        <v>5728</v>
      </c>
      <c r="C2703" s="2" t="s">
        <v>17</v>
      </c>
      <c r="D2703" s="2" t="s">
        <v>18</v>
      </c>
      <c r="E2703" s="5">
        <v>-28781</v>
      </c>
      <c r="F2703" s="3" t="s">
        <v>149</v>
      </c>
      <c r="G2703" s="3" t="s">
        <v>29</v>
      </c>
      <c r="H2703" s="2" t="s">
        <v>21</v>
      </c>
      <c r="I2703" s="2" t="s">
        <v>5736</v>
      </c>
      <c r="J2703" s="3" t="str">
        <f>HYPERLINK("https://www.boe.es/gazeta/dias/1821/03/13/pdfs/GMD-1821-72.pdf#page=6","Abrir facsímil")</f>
        <v>Abrir facsímil</v>
      </c>
      <c r="K2703" s="3" t="s">
        <v>23</v>
      </c>
    </row>
    <row r="2704" spans="1:11" ht="42" customHeight="1">
      <c r="A2704" s="2" t="s">
        <v>5727</v>
      </c>
      <c r="B2704" s="2" t="s">
        <v>5728</v>
      </c>
      <c r="C2704" s="2" t="s">
        <v>17</v>
      </c>
      <c r="D2704" s="2" t="s">
        <v>18</v>
      </c>
      <c r="E2704" s="5">
        <v>-28776</v>
      </c>
      <c r="F2704" s="3" t="s">
        <v>312</v>
      </c>
      <c r="G2704" s="3" t="s">
        <v>29</v>
      </c>
      <c r="H2704" s="2" t="s">
        <v>21</v>
      </c>
      <c r="I2704" s="2" t="s">
        <v>5737</v>
      </c>
      <c r="J2704" s="3" t="str">
        <f>HYPERLINK("https://www.boe.es/gazeta/dias/1821/03/18/pdfs/GMD-1821-77.pdf#page=6","Abrir facsímil")</f>
        <v>Abrir facsímil</v>
      </c>
      <c r="K2704" s="3" t="s">
        <v>23</v>
      </c>
    </row>
    <row r="2705" spans="1:11" ht="42" customHeight="1">
      <c r="A2705" s="2" t="s">
        <v>5727</v>
      </c>
      <c r="B2705" s="2" t="s">
        <v>5728</v>
      </c>
      <c r="C2705" s="2" t="s">
        <v>40</v>
      </c>
      <c r="D2705" s="2" t="s">
        <v>41</v>
      </c>
      <c r="E2705" s="5">
        <v>-28736</v>
      </c>
      <c r="F2705" s="3" t="s">
        <v>464</v>
      </c>
      <c r="G2705" s="3" t="s">
        <v>88</v>
      </c>
      <c r="H2705" s="2" t="s">
        <v>21</v>
      </c>
      <c r="I2705" s="2" t="s">
        <v>5738</v>
      </c>
      <c r="J2705" s="3" t="str">
        <f>HYPERLINK("https://www.boe.es/gazeta/dias/1821/04/27/pdfs/GMD-1821-119.pdf#page=4","Abrir facsímil")</f>
        <v>Abrir facsímil</v>
      </c>
      <c r="K2705" s="3" t="s">
        <v>23</v>
      </c>
    </row>
    <row r="2706" spans="1:11" ht="42" customHeight="1">
      <c r="A2706" s="2" t="s">
        <v>5727</v>
      </c>
      <c r="B2706" s="2" t="s">
        <v>5728</v>
      </c>
      <c r="C2706" s="2" t="s">
        <v>17</v>
      </c>
      <c r="D2706" s="2" t="s">
        <v>18</v>
      </c>
      <c r="E2706" s="5">
        <v>-28735</v>
      </c>
      <c r="F2706" s="3" t="s">
        <v>836</v>
      </c>
      <c r="G2706" s="3" t="s">
        <v>88</v>
      </c>
      <c r="H2706" s="2" t="s">
        <v>21</v>
      </c>
      <c r="I2706" s="2" t="s">
        <v>5739</v>
      </c>
      <c r="J2706" s="3" t="str">
        <f>HYPERLINK("https://www.boe.es/gazeta/dias/1821/04/28/pdfs/GMD-1821-120.pdf#page=4","Abrir facsímil")</f>
        <v>Abrir facsímil</v>
      </c>
      <c r="K2706" s="3" t="s">
        <v>23</v>
      </c>
    </row>
    <row r="2707" spans="1:11" ht="42" customHeight="1">
      <c r="A2707" s="2" t="s">
        <v>5727</v>
      </c>
      <c r="B2707" s="2" t="s">
        <v>5728</v>
      </c>
      <c r="C2707" s="2" t="s">
        <v>17</v>
      </c>
      <c r="D2707" s="2" t="s">
        <v>18</v>
      </c>
      <c r="E2707" s="5">
        <v>-28689</v>
      </c>
      <c r="F2707" s="3" t="s">
        <v>194</v>
      </c>
      <c r="G2707" s="3" t="s">
        <v>205</v>
      </c>
      <c r="H2707" s="2" t="s">
        <v>21</v>
      </c>
      <c r="I2707" s="2" t="s">
        <v>5740</v>
      </c>
      <c r="J2707" s="3" t="str">
        <f>HYPERLINK("https://www.boe.es/gazeta/dias/1821/06/13/pdfs/GMD-1821-166.pdf#page=6","Abrir facsímil")</f>
        <v>Abrir facsímil</v>
      </c>
      <c r="K2707" s="3" t="s">
        <v>23</v>
      </c>
    </row>
    <row r="2708" spans="1:11" ht="42" customHeight="1">
      <c r="A2708" s="2" t="s">
        <v>5727</v>
      </c>
      <c r="B2708" s="2" t="s">
        <v>5728</v>
      </c>
      <c r="C2708" s="2" t="s">
        <v>114</v>
      </c>
      <c r="D2708" s="2" t="s">
        <v>27</v>
      </c>
      <c r="E2708" s="5">
        <v>-28674</v>
      </c>
      <c r="F2708" s="3" t="s">
        <v>536</v>
      </c>
      <c r="G2708" s="3" t="s">
        <v>29</v>
      </c>
      <c r="H2708" s="2" t="s">
        <v>21</v>
      </c>
      <c r="I2708" s="2" t="s">
        <v>5741</v>
      </c>
      <c r="J2708" s="3" t="str">
        <f>HYPERLINK("https://www.boe.es/gazeta/dias/1821/06/28/pdfs/GMD-1821-181.pdf#page=6","Abrir facsímil")</f>
        <v>Abrir facsímil</v>
      </c>
      <c r="K2708" s="3" t="s">
        <v>23</v>
      </c>
    </row>
    <row r="2709" spans="1:11" ht="42" customHeight="1">
      <c r="A2709" s="2" t="s">
        <v>5742</v>
      </c>
      <c r="B2709" s="2" t="s">
        <v>5743</v>
      </c>
      <c r="C2709" s="2" t="s">
        <v>26</v>
      </c>
      <c r="D2709" s="2" t="s">
        <v>27</v>
      </c>
      <c r="E2709" s="5">
        <v>-28543</v>
      </c>
      <c r="F2709" s="3" t="s">
        <v>136</v>
      </c>
      <c r="G2709" s="3" t="s">
        <v>333</v>
      </c>
      <c r="H2709" s="2" t="s">
        <v>21</v>
      </c>
      <c r="I2709" s="2" t="s">
        <v>5744</v>
      </c>
      <c r="J2709" s="3" t="str">
        <f>HYPERLINK("https://www.boe.es/gazeta/dias/1821/11/06/pdfs/GMD-1821-317.pdf#page=8","Abrir facsímil")</f>
        <v>Abrir facsímil</v>
      </c>
      <c r="K2709" s="3" t="s">
        <v>23</v>
      </c>
    </row>
    <row r="2710" spans="1:11" ht="42" customHeight="1">
      <c r="A2710" s="2" t="s">
        <v>5745</v>
      </c>
      <c r="B2710" s="2" t="s">
        <v>5746</v>
      </c>
      <c r="C2710" s="2" t="s">
        <v>40</v>
      </c>
      <c r="D2710" s="2" t="s">
        <v>41</v>
      </c>
      <c r="E2710" s="5">
        <v>-28776</v>
      </c>
      <c r="F2710" s="3" t="s">
        <v>312</v>
      </c>
      <c r="G2710" s="3" t="s">
        <v>88</v>
      </c>
      <c r="H2710" s="2" t="s">
        <v>21</v>
      </c>
      <c r="I2710" s="2" t="s">
        <v>5747</v>
      </c>
      <c r="J2710" s="3" t="str">
        <f>HYPERLINK("https://www.boe.es/gazeta/dias/1821/03/18/pdfs/GMD-1821-77.pdf#page=4","Abrir facsímil")</f>
        <v>Abrir facsímil</v>
      </c>
      <c r="K2710" s="3" t="s">
        <v>23</v>
      </c>
    </row>
    <row r="2711" spans="1:11" ht="42" customHeight="1">
      <c r="A2711" s="2" t="s">
        <v>5748</v>
      </c>
      <c r="B2711" s="2" t="s">
        <v>5749</v>
      </c>
      <c r="C2711" s="2" t="s">
        <v>17</v>
      </c>
      <c r="D2711" s="2" t="s">
        <v>18</v>
      </c>
      <c r="E2711" s="5">
        <v>-28829</v>
      </c>
      <c r="F2711" s="3" t="s">
        <v>2980</v>
      </c>
      <c r="G2711" s="3" t="s">
        <v>88</v>
      </c>
      <c r="H2711" s="2" t="s">
        <v>21</v>
      </c>
      <c r="I2711" s="2" t="s">
        <v>5750</v>
      </c>
      <c r="J2711" s="3" t="str">
        <f>HYPERLINK("https://www.boe.es/gazeta/dias/1821/01/24/pdfs/GGB-1821-24.pdf#page=4","Abrir facsímil")</f>
        <v>Abrir facsímil</v>
      </c>
      <c r="K2711" s="3" t="s">
        <v>23</v>
      </c>
    </row>
    <row r="2712" spans="1:11" ht="42" customHeight="1">
      <c r="A2712" s="2" t="s">
        <v>5751</v>
      </c>
      <c r="B2712" s="2" t="s">
        <v>5752</v>
      </c>
      <c r="C2712" s="2" t="s">
        <v>17</v>
      </c>
      <c r="D2712" s="2" t="s">
        <v>18</v>
      </c>
      <c r="E2712" s="5">
        <v>-28818</v>
      </c>
      <c r="F2712" s="3" t="s">
        <v>2337</v>
      </c>
      <c r="G2712" s="3" t="s">
        <v>4055</v>
      </c>
      <c r="H2712" s="2" t="s">
        <v>21</v>
      </c>
      <c r="I2712" s="2" t="s">
        <v>5753</v>
      </c>
      <c r="J2712" s="3" t="str">
        <f>HYPERLINK("https://www.boe.es/gazeta/dias/1821/02/04/pdfs/GGB-1821-35.pdf#page=6","Abrir facsímil")</f>
        <v>Abrir facsímil</v>
      </c>
      <c r="K2712" s="3" t="s">
        <v>23</v>
      </c>
    </row>
    <row r="2713" spans="1:11" ht="42" customHeight="1">
      <c r="A2713" s="2" t="s">
        <v>5754</v>
      </c>
      <c r="B2713" s="2" t="s">
        <v>5754</v>
      </c>
      <c r="C2713" s="2" t="s">
        <v>26</v>
      </c>
      <c r="D2713" s="2" t="s">
        <v>27</v>
      </c>
      <c r="E2713" s="5">
        <v>-28528</v>
      </c>
      <c r="F2713" s="3" t="s">
        <v>1872</v>
      </c>
      <c r="G2713" s="3" t="s">
        <v>52</v>
      </c>
      <c r="H2713" s="2" t="s">
        <v>21</v>
      </c>
      <c r="I2713" s="2" t="s">
        <v>5755</v>
      </c>
      <c r="J2713" s="3" t="str">
        <f>HYPERLINK("https://www.boe.es/gazeta/dias/1821/11/21/pdfs/GMD-1821-332.pdf#page=2","Abrir facsímil")</f>
        <v>Abrir facsímil</v>
      </c>
      <c r="K2713" s="3" t="s">
        <v>23</v>
      </c>
    </row>
    <row r="2714" spans="1:11" ht="42" customHeight="1">
      <c r="A2714" s="2" t="s">
        <v>5756</v>
      </c>
      <c r="B2714" s="2" t="s">
        <v>5757</v>
      </c>
      <c r="C2714" s="2" t="s">
        <v>40</v>
      </c>
      <c r="D2714" s="2" t="s">
        <v>41</v>
      </c>
      <c r="E2714" s="5">
        <v>-28608</v>
      </c>
      <c r="F2714" s="3" t="s">
        <v>805</v>
      </c>
      <c r="G2714" s="3" t="s">
        <v>806</v>
      </c>
      <c r="H2714" s="2" t="s">
        <v>21</v>
      </c>
      <c r="I2714" s="2" t="s">
        <v>5758</v>
      </c>
      <c r="J2714" s="3" t="str">
        <f>HYPERLINK("https://www.boe.es/gazeta/dias/1821/09/02/pdfs/GMD-1821-250.pdf#page=2","Abrir facsímil")</f>
        <v>Abrir facsímil</v>
      </c>
      <c r="K2714" s="3" t="s">
        <v>23</v>
      </c>
    </row>
    <row r="2715" spans="1:11" ht="42" customHeight="1">
      <c r="A2715" s="2" t="s">
        <v>5759</v>
      </c>
      <c r="B2715" s="2" t="s">
        <v>5760</v>
      </c>
      <c r="C2715" s="2" t="s">
        <v>17</v>
      </c>
      <c r="D2715" s="2" t="s">
        <v>18</v>
      </c>
      <c r="E2715" s="5">
        <v>-28689</v>
      </c>
      <c r="F2715" s="3" t="s">
        <v>194</v>
      </c>
      <c r="G2715" s="3" t="s">
        <v>88</v>
      </c>
      <c r="H2715" s="2" t="s">
        <v>21</v>
      </c>
      <c r="I2715" s="2" t="s">
        <v>5761</v>
      </c>
      <c r="J2715" s="3" t="str">
        <f>HYPERLINK("https://www.boe.es/gazeta/dias/1821/06/13/pdfs/GMD-1821-166.pdf#page=4","Abrir facsímil")</f>
        <v>Abrir facsímil</v>
      </c>
      <c r="K2715" s="3" t="s">
        <v>23</v>
      </c>
    </row>
    <row r="2716" spans="1:11" ht="42" customHeight="1">
      <c r="A2716" s="2" t="s">
        <v>5762</v>
      </c>
      <c r="B2716" s="2" t="s">
        <v>5763</v>
      </c>
      <c r="C2716" s="2" t="s">
        <v>17</v>
      </c>
      <c r="D2716" s="2" t="s">
        <v>18</v>
      </c>
      <c r="E2716" s="5">
        <v>-28814</v>
      </c>
      <c r="F2716" s="3" t="s">
        <v>2090</v>
      </c>
      <c r="G2716" s="3" t="s">
        <v>88</v>
      </c>
      <c r="H2716" s="2" t="s">
        <v>21</v>
      </c>
      <c r="I2716" s="2" t="s">
        <v>5764</v>
      </c>
      <c r="J2716" s="3" t="str">
        <f>HYPERLINK("https://www.boe.es/gazeta/dias/1821/02/08/pdfs/GGB-1821-39.pdf#page=4","Abrir facsímil")</f>
        <v>Abrir facsímil</v>
      </c>
      <c r="K2716" s="3" t="s">
        <v>23</v>
      </c>
    </row>
    <row r="2717" spans="1:11" ht="42" customHeight="1">
      <c r="A2717" s="2" t="s">
        <v>5765</v>
      </c>
      <c r="B2717" s="2" t="s">
        <v>5766</v>
      </c>
      <c r="C2717" s="2" t="s">
        <v>26</v>
      </c>
      <c r="D2717" s="2" t="s">
        <v>27</v>
      </c>
      <c r="E2717" s="5">
        <v>-28667</v>
      </c>
      <c r="F2717" s="3" t="s">
        <v>107</v>
      </c>
      <c r="G2717" s="3" t="s">
        <v>52</v>
      </c>
      <c r="H2717" s="2" t="s">
        <v>21</v>
      </c>
      <c r="I2717" s="2" t="s">
        <v>5767</v>
      </c>
      <c r="J2717" s="3" t="str">
        <f>HYPERLINK("https://www.boe.es/gazeta/dias/1821/07/05/pdfs/GMD-1821-189.pdf#page=2","Abrir facsímil")</f>
        <v>Abrir facsímil</v>
      </c>
      <c r="K2717" s="3" t="s">
        <v>23</v>
      </c>
    </row>
    <row r="2718" spans="1:11" ht="42" customHeight="1">
      <c r="A2718" s="2" t="s">
        <v>5768</v>
      </c>
      <c r="B2718" s="2" t="s">
        <v>5769</v>
      </c>
      <c r="C2718" s="2" t="s">
        <v>17</v>
      </c>
      <c r="D2718" s="2" t="s">
        <v>18</v>
      </c>
      <c r="E2718" s="5">
        <v>-28773</v>
      </c>
      <c r="F2718" s="3" t="s">
        <v>1755</v>
      </c>
      <c r="G2718" s="3" t="s">
        <v>52</v>
      </c>
      <c r="H2718" s="2" t="s">
        <v>21</v>
      </c>
      <c r="I2718" s="2" t="s">
        <v>5770</v>
      </c>
      <c r="J2718" s="3" t="str">
        <f>HYPERLINK("https://www.boe.es/gazeta/dias/1821/03/21/pdfs/GMD-1821-80.pdf#page=2","Abrir facsímil")</f>
        <v>Abrir facsímil</v>
      </c>
      <c r="K2718" s="3" t="s">
        <v>23</v>
      </c>
    </row>
    <row r="2719" spans="1:11" ht="42" customHeight="1">
      <c r="A2719" s="2" t="s">
        <v>5771</v>
      </c>
      <c r="B2719" s="2" t="s">
        <v>5772</v>
      </c>
      <c r="C2719" s="2" t="s">
        <v>17</v>
      </c>
      <c r="D2719" s="2" t="s">
        <v>18</v>
      </c>
      <c r="E2719" s="5">
        <v>-28818</v>
      </c>
      <c r="F2719" s="3" t="s">
        <v>2337</v>
      </c>
      <c r="G2719" s="3" t="s">
        <v>88</v>
      </c>
      <c r="H2719" s="2" t="s">
        <v>21</v>
      </c>
      <c r="I2719" s="2" t="s">
        <v>5773</v>
      </c>
      <c r="J2719" s="3" t="str">
        <f>HYPERLINK("https://www.boe.es/gazeta/dias/1821/02/04/pdfs/GGB-1821-35.pdf#page=4","Abrir facsímil")</f>
        <v>Abrir facsímil</v>
      </c>
      <c r="K2719" s="3" t="s">
        <v>23</v>
      </c>
    </row>
    <row r="2720" spans="1:11" ht="42" customHeight="1">
      <c r="A2720" s="2" t="s">
        <v>5771</v>
      </c>
      <c r="B2720" s="2" t="s">
        <v>5772</v>
      </c>
      <c r="C2720" s="2" t="s">
        <v>17</v>
      </c>
      <c r="D2720" s="2" t="s">
        <v>18</v>
      </c>
      <c r="E2720" s="5">
        <v>-28817</v>
      </c>
      <c r="F2720" s="3" t="s">
        <v>2703</v>
      </c>
      <c r="G2720" s="3" t="s">
        <v>52</v>
      </c>
      <c r="H2720" s="2" t="s">
        <v>21</v>
      </c>
      <c r="I2720" s="2" t="s">
        <v>5774</v>
      </c>
      <c r="J2720" s="3" t="str">
        <f>HYPERLINK("https://www.boe.es/gazeta/dias/1821/02/05/pdfs/GGB-1821-36.pdf#page=2","Abrir facsímil")</f>
        <v>Abrir facsímil</v>
      </c>
      <c r="K2720" s="3" t="s">
        <v>23</v>
      </c>
    </row>
    <row r="2721" spans="1:11" ht="42" customHeight="1">
      <c r="A2721" s="2" t="s">
        <v>5771</v>
      </c>
      <c r="B2721" s="2" t="s">
        <v>5772</v>
      </c>
      <c r="C2721" s="2" t="s">
        <v>17</v>
      </c>
      <c r="D2721" s="2" t="s">
        <v>18</v>
      </c>
      <c r="E2721" s="5">
        <v>-28817</v>
      </c>
      <c r="F2721" s="3" t="s">
        <v>2703</v>
      </c>
      <c r="G2721" s="3" t="s">
        <v>20</v>
      </c>
      <c r="H2721" s="2" t="s">
        <v>21</v>
      </c>
      <c r="I2721" s="2" t="s">
        <v>5775</v>
      </c>
      <c r="J2721" s="3" t="str">
        <f>HYPERLINK("https://www.boe.es/gazeta/dias/1821/02/05/pdfs/GGB-1821-36.pdf#page=3","Abrir facsímil")</f>
        <v>Abrir facsímil</v>
      </c>
      <c r="K2721" s="3" t="s">
        <v>23</v>
      </c>
    </row>
    <row r="2722" spans="1:11" ht="42" customHeight="1">
      <c r="A2722" s="2" t="s">
        <v>5776</v>
      </c>
      <c r="B2722" s="2" t="s">
        <v>5776</v>
      </c>
      <c r="C2722" s="2" t="s">
        <v>26</v>
      </c>
      <c r="D2722" s="2" t="s">
        <v>27</v>
      </c>
      <c r="E2722" s="5">
        <v>-28611</v>
      </c>
      <c r="F2722" s="3" t="s">
        <v>5777</v>
      </c>
      <c r="G2722" s="3" t="s">
        <v>52</v>
      </c>
      <c r="H2722" s="2" t="s">
        <v>21</v>
      </c>
      <c r="I2722" s="2" t="s">
        <v>5778</v>
      </c>
      <c r="J2722" s="3" t="str">
        <f>HYPERLINK("https://www.boe.es/gazeta/dias/1821/08/30/pdfs/GMD-1821-247.pdf#page=2","Abrir facsímil")</f>
        <v>Abrir facsímil</v>
      </c>
      <c r="K2722" s="3" t="s">
        <v>23</v>
      </c>
    </row>
    <row r="2723" spans="1:11" ht="42" customHeight="1">
      <c r="A2723" s="2" t="s">
        <v>5779</v>
      </c>
      <c r="B2723" s="2" t="s">
        <v>5780</v>
      </c>
      <c r="C2723" s="2" t="s">
        <v>114</v>
      </c>
      <c r="D2723" s="2" t="s">
        <v>27</v>
      </c>
      <c r="E2723" s="5">
        <v>-28781</v>
      </c>
      <c r="F2723" s="3" t="s">
        <v>149</v>
      </c>
      <c r="G2723" s="3" t="s">
        <v>29</v>
      </c>
      <c r="H2723" s="2" t="s">
        <v>21</v>
      </c>
      <c r="I2723" s="2" t="s">
        <v>5781</v>
      </c>
      <c r="J2723" s="3" t="str">
        <f>HYPERLINK("https://www.boe.es/gazeta/dias/1821/03/13/pdfs/GMD-1821-72.pdf#page=6","Abrir facsímil")</f>
        <v>Abrir facsímil</v>
      </c>
      <c r="K2723" s="3" t="s">
        <v>23</v>
      </c>
    </row>
    <row r="2724" spans="1:11" ht="42" customHeight="1">
      <c r="A2724" s="2" t="s">
        <v>5782</v>
      </c>
      <c r="B2724" s="2" t="s">
        <v>5783</v>
      </c>
      <c r="C2724" s="2" t="s">
        <v>40</v>
      </c>
      <c r="D2724" s="2" t="s">
        <v>41</v>
      </c>
      <c r="E2724" s="5">
        <v>-28704</v>
      </c>
      <c r="F2724" s="3" t="s">
        <v>1050</v>
      </c>
      <c r="G2724" s="3" t="s">
        <v>52</v>
      </c>
      <c r="H2724" s="2" t="s">
        <v>21</v>
      </c>
      <c r="I2724" s="2" t="s">
        <v>5784</v>
      </c>
      <c r="J2724" s="3" t="str">
        <f>HYPERLINK("https://www.boe.es/gazeta/dias/1821/05/29/pdfs/GMD-1821-151.pdf#page=2","Abrir facsímil")</f>
        <v>Abrir facsímil</v>
      </c>
      <c r="K2724" s="3" t="s">
        <v>23</v>
      </c>
    </row>
    <row r="2725" spans="1:11" ht="42" customHeight="1">
      <c r="A2725" s="2" t="s">
        <v>5785</v>
      </c>
      <c r="B2725" s="2" t="s">
        <v>5786</v>
      </c>
      <c r="C2725" s="2" t="s">
        <v>17</v>
      </c>
      <c r="D2725" s="2" t="s">
        <v>18</v>
      </c>
      <c r="E2725" s="5">
        <v>-28705</v>
      </c>
      <c r="F2725" s="3" t="s">
        <v>1844</v>
      </c>
      <c r="G2725" s="3" t="s">
        <v>52</v>
      </c>
      <c r="H2725" s="2" t="s">
        <v>21</v>
      </c>
      <c r="I2725" s="2" t="s">
        <v>5787</v>
      </c>
      <c r="J2725" s="3" t="str">
        <f>HYPERLINK("https://www.boe.es/gazeta/dias/1821/05/28/pdfs/GMD-1821-150.pdf#page=2","Abrir facsímil")</f>
        <v>Abrir facsímil</v>
      </c>
      <c r="K2725" s="3" t="s">
        <v>23</v>
      </c>
    </row>
    <row r="2726" spans="1:11" ht="42" customHeight="1">
      <c r="A2726" s="2" t="s">
        <v>5788</v>
      </c>
      <c r="B2726" s="2" t="s">
        <v>5789</v>
      </c>
      <c r="C2726" s="2" t="s">
        <v>17</v>
      </c>
      <c r="D2726" s="2" t="s">
        <v>18</v>
      </c>
      <c r="E2726" s="5">
        <v>-28547</v>
      </c>
      <c r="F2726" s="3" t="s">
        <v>247</v>
      </c>
      <c r="G2726" s="3" t="s">
        <v>248</v>
      </c>
      <c r="H2726" s="2" t="s">
        <v>21</v>
      </c>
      <c r="I2726" s="2" t="s">
        <v>5790</v>
      </c>
      <c r="J2726" s="3" t="str">
        <f>HYPERLINK("https://www.boe.es/gazeta/dias/1821/11/02/pdfs/GMD-1821-312.pdf#page=2","Abrir facsímil")</f>
        <v>Abrir facsímil</v>
      </c>
      <c r="K2726" s="3" t="s">
        <v>23</v>
      </c>
    </row>
    <row r="2727" spans="1:11" ht="42" customHeight="1">
      <c r="A2727" s="2" t="s">
        <v>5791</v>
      </c>
      <c r="B2727" s="2" t="s">
        <v>5791</v>
      </c>
      <c r="C2727" s="2" t="s">
        <v>17</v>
      </c>
      <c r="D2727" s="2" t="s">
        <v>18</v>
      </c>
      <c r="E2727" s="5">
        <v>-28766</v>
      </c>
      <c r="F2727" s="3" t="s">
        <v>1481</v>
      </c>
      <c r="G2727" s="3" t="s">
        <v>52</v>
      </c>
      <c r="H2727" s="2" t="s">
        <v>21</v>
      </c>
      <c r="I2727" s="2" t="s">
        <v>5792</v>
      </c>
      <c r="J2727" s="3" t="str">
        <f>HYPERLINK("https://www.boe.es/gazeta/dias/1821/03/28/pdfs/GMD-1821-88.pdf#page=2","Abrir facsímil")</f>
        <v>Abrir facsímil</v>
      </c>
      <c r="K2727" s="3" t="s">
        <v>23</v>
      </c>
    </row>
    <row r="2728" spans="1:11" ht="42" customHeight="1">
      <c r="A2728" s="2" t="s">
        <v>5791</v>
      </c>
      <c r="B2728" s="2" t="s">
        <v>5791</v>
      </c>
      <c r="C2728" s="2" t="s">
        <v>40</v>
      </c>
      <c r="D2728" s="2" t="s">
        <v>41</v>
      </c>
      <c r="E2728" s="5">
        <v>-28728</v>
      </c>
      <c r="F2728" s="3" t="s">
        <v>1038</v>
      </c>
      <c r="G2728" s="3" t="s">
        <v>20</v>
      </c>
      <c r="H2728" s="2" t="s">
        <v>21</v>
      </c>
      <c r="I2728" s="2" t="s">
        <v>5793</v>
      </c>
      <c r="J2728" s="3" t="str">
        <f>HYPERLINK("https://www.boe.es/gazeta/dias/1821/05/05/pdfs/GMD-1821-127.pdf#page=3","Abrir facsímil")</f>
        <v>Abrir facsímil</v>
      </c>
      <c r="K2728" s="3" t="s">
        <v>23</v>
      </c>
    </row>
    <row r="2729" spans="1:11" ht="42" customHeight="1">
      <c r="A2729" s="2" t="s">
        <v>5794</v>
      </c>
      <c r="B2729" s="2" t="s">
        <v>5795</v>
      </c>
      <c r="C2729" s="2" t="s">
        <v>40</v>
      </c>
      <c r="D2729" s="2" t="s">
        <v>41</v>
      </c>
      <c r="E2729" s="5">
        <v>-28615</v>
      </c>
      <c r="F2729" s="3" t="s">
        <v>427</v>
      </c>
      <c r="G2729" s="3" t="s">
        <v>88</v>
      </c>
      <c r="H2729" s="2" t="s">
        <v>30</v>
      </c>
      <c r="I2729" s="2" t="s">
        <v>5796</v>
      </c>
      <c r="J2729" s="3" t="str">
        <f>HYPERLINK("https://www.boe.es/gazeta/dias/1821/08/26/pdfs/GMD-1821-243.pdf#page=4","Abrir facsímil")</f>
        <v>Abrir facsímil</v>
      </c>
      <c r="K2729" s="3" t="s">
        <v>32</v>
      </c>
    </row>
    <row r="2730" spans="1:11" ht="42" customHeight="1">
      <c r="A2730" s="2" t="s">
        <v>5797</v>
      </c>
      <c r="B2730" s="2" t="s">
        <v>5798</v>
      </c>
      <c r="C2730" s="2" t="s">
        <v>17</v>
      </c>
      <c r="D2730" s="2" t="s">
        <v>18</v>
      </c>
      <c r="E2730" s="5">
        <v>-28696</v>
      </c>
      <c r="F2730" s="3" t="s">
        <v>497</v>
      </c>
      <c r="G2730" s="3" t="s">
        <v>88</v>
      </c>
      <c r="H2730" s="2" t="s">
        <v>21</v>
      </c>
      <c r="I2730" s="2" t="s">
        <v>5799</v>
      </c>
      <c r="J2730" s="3" t="str">
        <f>HYPERLINK("https://www.boe.es/gazeta/dias/1821/06/06/pdfs/GMD-1821-159.pdf#page=4","Abrir facsímil")</f>
        <v>Abrir facsímil</v>
      </c>
      <c r="K2730" s="3" t="s">
        <v>23</v>
      </c>
    </row>
    <row r="2731" spans="1:11" ht="42" customHeight="1">
      <c r="A2731" s="2" t="s">
        <v>5800</v>
      </c>
      <c r="B2731" s="2" t="s">
        <v>5800</v>
      </c>
      <c r="C2731" s="2" t="s">
        <v>17</v>
      </c>
      <c r="D2731" s="2" t="s">
        <v>18</v>
      </c>
      <c r="E2731" s="5">
        <v>-28789</v>
      </c>
      <c r="F2731" s="3" t="s">
        <v>36</v>
      </c>
      <c r="G2731" s="3" t="s">
        <v>20</v>
      </c>
      <c r="H2731" s="2" t="s">
        <v>21</v>
      </c>
      <c r="I2731" s="2" t="s">
        <v>5801</v>
      </c>
      <c r="J2731" s="3" t="str">
        <f>HYPERLINK("https://www.boe.es/gazeta/dias/1821/03/05/pdfs/GGB-1821-64.pdf#page=3","Abrir facsímil")</f>
        <v>Abrir facsímil</v>
      </c>
      <c r="K2731" s="3" t="s">
        <v>23</v>
      </c>
    </row>
    <row r="2732" spans="1:11" ht="42" customHeight="1">
      <c r="A2732" s="2" t="s">
        <v>5800</v>
      </c>
      <c r="B2732" s="2" t="s">
        <v>5800</v>
      </c>
      <c r="C2732" s="2" t="s">
        <v>279</v>
      </c>
      <c r="D2732" s="2" t="s">
        <v>27</v>
      </c>
      <c r="E2732" s="5">
        <v>-28779</v>
      </c>
      <c r="F2732" s="3" t="s">
        <v>1002</v>
      </c>
      <c r="G2732" s="3" t="s">
        <v>20</v>
      </c>
      <c r="H2732" s="2" t="s">
        <v>21</v>
      </c>
      <c r="I2732" s="2" t="s">
        <v>5802</v>
      </c>
      <c r="J2732" s="3" t="str">
        <f>HYPERLINK("https://www.boe.es/gazeta/dias/1821/03/15/pdfs/GMD-1821-74.pdf#page=3","Abrir facsímil")</f>
        <v>Abrir facsímil</v>
      </c>
      <c r="K2732" s="3" t="s">
        <v>23</v>
      </c>
    </row>
    <row r="2733" spans="1:11" ht="42" customHeight="1">
      <c r="A2733" s="2" t="s">
        <v>5800</v>
      </c>
      <c r="B2733" s="2" t="s">
        <v>5800</v>
      </c>
      <c r="C2733" s="2" t="s">
        <v>40</v>
      </c>
      <c r="D2733" s="2" t="s">
        <v>41</v>
      </c>
      <c r="E2733" s="5">
        <v>-28778</v>
      </c>
      <c r="F2733" s="3" t="s">
        <v>1301</v>
      </c>
      <c r="G2733" s="3" t="s">
        <v>88</v>
      </c>
      <c r="H2733" s="2" t="s">
        <v>21</v>
      </c>
      <c r="I2733" s="2" t="s">
        <v>5803</v>
      </c>
      <c r="J2733" s="3" t="str">
        <f>HYPERLINK("https://www.boe.es/gazeta/dias/1821/03/16/pdfs/GMD-1821-75.pdf#page=4","Abrir facsímil")</f>
        <v>Abrir facsímil</v>
      </c>
      <c r="K2733" s="3" t="s">
        <v>23</v>
      </c>
    </row>
    <row r="2734" spans="1:11" ht="42" customHeight="1">
      <c r="A2734" s="2" t="s">
        <v>5800</v>
      </c>
      <c r="B2734" s="2" t="s">
        <v>5800</v>
      </c>
      <c r="C2734" s="2" t="s">
        <v>26</v>
      </c>
      <c r="D2734" s="2" t="s">
        <v>27</v>
      </c>
      <c r="E2734" s="5">
        <v>-28764</v>
      </c>
      <c r="F2734" s="3" t="s">
        <v>924</v>
      </c>
      <c r="G2734" s="3" t="s">
        <v>20</v>
      </c>
      <c r="H2734" s="2" t="s">
        <v>21</v>
      </c>
      <c r="I2734" s="2" t="s">
        <v>5804</v>
      </c>
      <c r="J2734" s="3" t="str">
        <f>HYPERLINK("https://www.boe.es/gazeta/dias/1821/03/30/pdfs/GMD-1821-91.pdf#page=3","Abrir facsímil")</f>
        <v>Abrir facsímil</v>
      </c>
      <c r="K2734" s="3" t="s">
        <v>23</v>
      </c>
    </row>
    <row r="2735" spans="1:11" ht="42" customHeight="1">
      <c r="A2735" s="2" t="s">
        <v>5800</v>
      </c>
      <c r="B2735" s="2" t="s">
        <v>5800</v>
      </c>
      <c r="C2735" s="2" t="s">
        <v>40</v>
      </c>
      <c r="D2735" s="2" t="s">
        <v>41</v>
      </c>
      <c r="E2735" s="5">
        <v>-28764</v>
      </c>
      <c r="F2735" s="3" t="s">
        <v>924</v>
      </c>
      <c r="G2735" s="3" t="s">
        <v>88</v>
      </c>
      <c r="H2735" s="2" t="s">
        <v>21</v>
      </c>
      <c r="I2735" s="2" t="s">
        <v>5805</v>
      </c>
      <c r="J2735" s="3" t="str">
        <f>HYPERLINK("https://www.boe.es/gazeta/dias/1821/03/30/pdfs/GMD-1821-91.pdf#page=4","Abrir facsímil")</f>
        <v>Abrir facsímil</v>
      </c>
      <c r="K2735" s="3" t="s">
        <v>23</v>
      </c>
    </row>
    <row r="2736" spans="1:11" ht="42" customHeight="1">
      <c r="A2736" s="2" t="s">
        <v>5800</v>
      </c>
      <c r="B2736" s="2" t="s">
        <v>5800</v>
      </c>
      <c r="C2736" s="2" t="s">
        <v>17</v>
      </c>
      <c r="D2736" s="2" t="s">
        <v>18</v>
      </c>
      <c r="E2736" s="5">
        <v>-28763</v>
      </c>
      <c r="F2736" s="3" t="s">
        <v>1145</v>
      </c>
      <c r="G2736" s="3" t="s">
        <v>20</v>
      </c>
      <c r="H2736" s="2" t="s">
        <v>21</v>
      </c>
      <c r="I2736" s="2" t="s">
        <v>5806</v>
      </c>
      <c r="J2736" s="3" t="str">
        <f>HYPERLINK("https://www.boe.es/gazeta/dias/1821/03/31/pdfs/GMD-1821-92.pdf#page=3","Abrir facsímil")</f>
        <v>Abrir facsímil</v>
      </c>
      <c r="K2736" s="3" t="s">
        <v>23</v>
      </c>
    </row>
    <row r="2737" spans="1:11" ht="42" customHeight="1">
      <c r="A2737" s="2" t="s">
        <v>5800</v>
      </c>
      <c r="B2737" s="2" t="s">
        <v>5800</v>
      </c>
      <c r="C2737" s="2" t="s">
        <v>40</v>
      </c>
      <c r="D2737" s="2" t="s">
        <v>41</v>
      </c>
      <c r="E2737" s="5">
        <v>-28762</v>
      </c>
      <c r="F2737" s="3" t="s">
        <v>608</v>
      </c>
      <c r="G2737" s="3" t="s">
        <v>162</v>
      </c>
      <c r="H2737" s="2" t="s">
        <v>21</v>
      </c>
      <c r="I2737" s="2" t="s">
        <v>5807</v>
      </c>
      <c r="J2737" s="3" t="str">
        <f>HYPERLINK("https://www.boe.es/gazeta/dias/1821/04/01/pdfs/GMD-1821-93.pdf#page=5","Abrir facsímil")</f>
        <v>Abrir facsímil</v>
      </c>
      <c r="K2737" s="3" t="s">
        <v>23</v>
      </c>
    </row>
    <row r="2738" spans="1:11" ht="42" customHeight="1">
      <c r="A2738" s="2" t="s">
        <v>5800</v>
      </c>
      <c r="B2738" s="2" t="s">
        <v>5800</v>
      </c>
      <c r="C2738" s="2" t="s">
        <v>17</v>
      </c>
      <c r="D2738" s="2" t="s">
        <v>18</v>
      </c>
      <c r="E2738" s="5">
        <v>-28757</v>
      </c>
      <c r="F2738" s="3" t="s">
        <v>472</v>
      </c>
      <c r="G2738" s="3" t="s">
        <v>20</v>
      </c>
      <c r="H2738" s="2" t="s">
        <v>21</v>
      </c>
      <c r="I2738" s="2" t="s">
        <v>5808</v>
      </c>
      <c r="J2738" s="3" t="str">
        <f>HYPERLINK("https://www.boe.es/gazeta/dias/1821/04/06/pdfs/GMD-1821-98.pdf#page=3","Abrir facsímil")</f>
        <v>Abrir facsímil</v>
      </c>
      <c r="K2738" s="3" t="s">
        <v>23</v>
      </c>
    </row>
    <row r="2739" spans="1:11" ht="42" customHeight="1">
      <c r="A2739" s="2" t="s">
        <v>5800</v>
      </c>
      <c r="B2739" s="2" t="s">
        <v>5800</v>
      </c>
      <c r="C2739" s="2" t="s">
        <v>40</v>
      </c>
      <c r="D2739" s="2" t="s">
        <v>41</v>
      </c>
      <c r="E2739" s="5">
        <v>-28755</v>
      </c>
      <c r="F2739" s="3" t="s">
        <v>906</v>
      </c>
      <c r="G2739" s="3" t="s">
        <v>907</v>
      </c>
      <c r="H2739" s="2" t="s">
        <v>21</v>
      </c>
      <c r="I2739" s="2" t="s">
        <v>5809</v>
      </c>
      <c r="J2739" s="3" t="str">
        <f>HYPERLINK("https://www.boe.es/gazeta/dias/1821/04/08/pdfs/GMD-1821-100.pdf#page=4","Abrir facsímil")</f>
        <v>Abrir facsímil</v>
      </c>
      <c r="K2739" s="3" t="s">
        <v>23</v>
      </c>
    </row>
    <row r="2740" spans="1:11" ht="42" customHeight="1">
      <c r="A2740" s="2" t="s">
        <v>5800</v>
      </c>
      <c r="B2740" s="2" t="s">
        <v>5800</v>
      </c>
      <c r="C2740" s="2" t="s">
        <v>35</v>
      </c>
      <c r="D2740" s="2" t="s">
        <v>27</v>
      </c>
      <c r="E2740" s="5">
        <v>-28755</v>
      </c>
      <c r="F2740" s="3" t="s">
        <v>906</v>
      </c>
      <c r="G2740" s="3" t="s">
        <v>52</v>
      </c>
      <c r="H2740" s="2" t="s">
        <v>21</v>
      </c>
      <c r="I2740" s="2" t="s">
        <v>5810</v>
      </c>
      <c r="J2740" s="3" t="str">
        <f>HYPERLINK("https://www.boe.es/gazeta/dias/1821/04/08/pdfs/GMD-1821-100.pdf#page=2","Abrir facsímil")</f>
        <v>Abrir facsímil</v>
      </c>
      <c r="K2740" s="3" t="s">
        <v>23</v>
      </c>
    </row>
    <row r="2741" spans="1:11" ht="42" customHeight="1">
      <c r="A2741" s="2" t="s">
        <v>5800</v>
      </c>
      <c r="B2741" s="2" t="s">
        <v>5800</v>
      </c>
      <c r="C2741" s="2" t="s">
        <v>40</v>
      </c>
      <c r="D2741" s="2" t="s">
        <v>41</v>
      </c>
      <c r="E2741" s="5">
        <v>-28738</v>
      </c>
      <c r="F2741" s="3" t="s">
        <v>359</v>
      </c>
      <c r="G2741" s="3" t="s">
        <v>20</v>
      </c>
      <c r="H2741" s="2" t="s">
        <v>21</v>
      </c>
      <c r="I2741" s="2" t="s">
        <v>5811</v>
      </c>
      <c r="J2741" s="3" t="str">
        <f>HYPERLINK("https://www.boe.es/gazeta/dias/1821/04/25/pdfs/GMD-1821-117.pdf#page=3","Abrir facsímil")</f>
        <v>Abrir facsímil</v>
      </c>
      <c r="K2741" s="3" t="s">
        <v>23</v>
      </c>
    </row>
    <row r="2742" spans="1:11" ht="42" customHeight="1">
      <c r="A2742" s="2" t="s">
        <v>5800</v>
      </c>
      <c r="B2742" s="2" t="s">
        <v>5800</v>
      </c>
      <c r="C2742" s="2" t="s">
        <v>17</v>
      </c>
      <c r="D2742" s="2" t="s">
        <v>18</v>
      </c>
      <c r="E2742" s="5">
        <v>-28711</v>
      </c>
      <c r="F2742" s="3" t="s">
        <v>1048</v>
      </c>
      <c r="G2742" s="3" t="s">
        <v>52</v>
      </c>
      <c r="H2742" s="2" t="s">
        <v>21</v>
      </c>
      <c r="I2742" s="2" t="s">
        <v>5812</v>
      </c>
      <c r="J2742" s="3" t="str">
        <f>HYPERLINK("https://www.boe.es/gazeta/dias/1821/05/22/pdfs/GMD-1821-144.pdf#page=2","Abrir facsímil")</f>
        <v>Abrir facsímil</v>
      </c>
      <c r="K2742" s="3" t="s">
        <v>23</v>
      </c>
    </row>
    <row r="2743" spans="1:11" ht="42" customHeight="1">
      <c r="A2743" s="2" t="s">
        <v>5800</v>
      </c>
      <c r="B2743" s="2" t="s">
        <v>5800</v>
      </c>
      <c r="C2743" s="2" t="s">
        <v>26</v>
      </c>
      <c r="D2743" s="2" t="s">
        <v>27</v>
      </c>
      <c r="E2743" s="5">
        <v>-28688</v>
      </c>
      <c r="F2743" s="3" t="s">
        <v>1504</v>
      </c>
      <c r="G2743" s="3" t="s">
        <v>20</v>
      </c>
      <c r="H2743" s="2" t="s">
        <v>21</v>
      </c>
      <c r="I2743" s="2" t="s">
        <v>5813</v>
      </c>
      <c r="J2743" s="3" t="str">
        <f>HYPERLINK("https://www.boe.es/gazeta/dias/1821/06/14/pdfs/GMD-1821-167.pdf#page=3","Abrir facsímil")</f>
        <v>Abrir facsímil</v>
      </c>
      <c r="K2743" s="3" t="s">
        <v>23</v>
      </c>
    </row>
    <row r="2744" spans="1:11" ht="42" customHeight="1">
      <c r="A2744" s="2" t="s">
        <v>5800</v>
      </c>
      <c r="B2744" s="2" t="s">
        <v>5800</v>
      </c>
      <c r="C2744" s="2" t="s">
        <v>35</v>
      </c>
      <c r="D2744" s="2" t="s">
        <v>27</v>
      </c>
      <c r="E2744" s="5">
        <v>-28675</v>
      </c>
      <c r="F2744" s="3" t="s">
        <v>943</v>
      </c>
      <c r="G2744" s="3" t="s">
        <v>29</v>
      </c>
      <c r="H2744" s="2" t="s">
        <v>21</v>
      </c>
      <c r="I2744" s="2" t="s">
        <v>5814</v>
      </c>
      <c r="J2744" s="3" t="str">
        <f>HYPERLINK("https://www.boe.es/gazeta/dias/1821/06/27/pdfs/GMD-1821-180.pdf#page=6","Abrir facsímil")</f>
        <v>Abrir facsímil</v>
      </c>
      <c r="K2744" s="3" t="s">
        <v>23</v>
      </c>
    </row>
    <row r="2745" spans="1:11" ht="42" customHeight="1">
      <c r="A2745" s="2" t="s">
        <v>5800</v>
      </c>
      <c r="B2745" s="2" t="s">
        <v>5800</v>
      </c>
      <c r="C2745" s="2" t="s">
        <v>35</v>
      </c>
      <c r="D2745" s="2" t="s">
        <v>27</v>
      </c>
      <c r="E2745" s="5">
        <v>-28674</v>
      </c>
      <c r="F2745" s="3" t="s">
        <v>536</v>
      </c>
      <c r="G2745" s="3" t="s">
        <v>20</v>
      </c>
      <c r="H2745" s="2" t="s">
        <v>21</v>
      </c>
      <c r="I2745" s="2" t="s">
        <v>5815</v>
      </c>
      <c r="J2745" s="3" t="str">
        <f>HYPERLINK("https://www.boe.es/gazeta/dias/1821/06/28/pdfs/GMD-1821-181.pdf#page=3","Abrir facsímil")</f>
        <v>Abrir facsímil</v>
      </c>
      <c r="K2745" s="3" t="s">
        <v>23</v>
      </c>
    </row>
    <row r="2746" spans="1:11" ht="42" customHeight="1">
      <c r="A2746" s="2" t="s">
        <v>5800</v>
      </c>
      <c r="B2746" s="2" t="s">
        <v>5800</v>
      </c>
      <c r="C2746" s="2" t="s">
        <v>17</v>
      </c>
      <c r="D2746" s="2" t="s">
        <v>18</v>
      </c>
      <c r="E2746" s="5">
        <v>-28575</v>
      </c>
      <c r="F2746" s="3" t="s">
        <v>2453</v>
      </c>
      <c r="G2746" s="3" t="s">
        <v>20</v>
      </c>
      <c r="H2746" s="2" t="s">
        <v>21</v>
      </c>
      <c r="I2746" s="2" t="s">
        <v>5816</v>
      </c>
      <c r="J2746" s="3" t="str">
        <f>HYPERLINK("https://www.boe.es/gazeta/dias/1821/10/05/pdfs/GMD-1821-284.pdf#page=3","Abrir facsímil")</f>
        <v>Abrir facsímil</v>
      </c>
      <c r="K2746" s="3" t="s">
        <v>23</v>
      </c>
    </row>
    <row r="2747" spans="1:11" ht="42" customHeight="1">
      <c r="A2747" s="2" t="s">
        <v>5800</v>
      </c>
      <c r="B2747" s="2" t="s">
        <v>5800</v>
      </c>
      <c r="C2747" s="2" t="s">
        <v>35</v>
      </c>
      <c r="D2747" s="2" t="s">
        <v>27</v>
      </c>
      <c r="E2747" s="5">
        <v>-28575</v>
      </c>
      <c r="F2747" s="3" t="s">
        <v>2453</v>
      </c>
      <c r="G2747" s="3" t="s">
        <v>88</v>
      </c>
      <c r="H2747" s="2" t="s">
        <v>21</v>
      </c>
      <c r="I2747" s="2" t="s">
        <v>5817</v>
      </c>
      <c r="J2747" s="3" t="str">
        <f>HYPERLINK("https://www.boe.es/gazeta/dias/1821/10/05/pdfs/GMD-1821-284.pdf#page=4","Abrir facsímil")</f>
        <v>Abrir facsímil</v>
      </c>
      <c r="K2747" s="3" t="s">
        <v>23</v>
      </c>
    </row>
    <row r="2748" spans="1:11" ht="42" customHeight="1">
      <c r="A2748" s="2" t="s">
        <v>5800</v>
      </c>
      <c r="B2748" s="2" t="s">
        <v>5800</v>
      </c>
      <c r="C2748" s="2" t="s">
        <v>26</v>
      </c>
      <c r="D2748" s="2" t="s">
        <v>27</v>
      </c>
      <c r="E2748" s="5">
        <v>-28572</v>
      </c>
      <c r="F2748" s="3" t="s">
        <v>1072</v>
      </c>
      <c r="G2748" s="3" t="s">
        <v>88</v>
      </c>
      <c r="H2748" s="2" t="s">
        <v>21</v>
      </c>
      <c r="I2748" s="2" t="s">
        <v>5818</v>
      </c>
      <c r="J2748" s="3" t="str">
        <f>HYPERLINK("https://www.boe.es/gazeta/dias/1821/10/08/pdfs/GMD-1821-287.pdf#page=4","Abrir facsímil")</f>
        <v>Abrir facsímil</v>
      </c>
      <c r="K2748" s="3" t="s">
        <v>23</v>
      </c>
    </row>
    <row r="2749" spans="1:11" ht="42" customHeight="1">
      <c r="A2749" s="2" t="s">
        <v>5800</v>
      </c>
      <c r="B2749" s="2" t="s">
        <v>5800</v>
      </c>
      <c r="C2749" s="2" t="s">
        <v>114</v>
      </c>
      <c r="D2749" s="2" t="s">
        <v>27</v>
      </c>
      <c r="E2749" s="5">
        <v>-28571</v>
      </c>
      <c r="F2749" s="3" t="s">
        <v>482</v>
      </c>
      <c r="G2749" s="3" t="s">
        <v>162</v>
      </c>
      <c r="H2749" s="2" t="s">
        <v>21</v>
      </c>
      <c r="I2749" s="2" t="s">
        <v>5819</v>
      </c>
      <c r="J2749" s="3" t="str">
        <f>HYPERLINK("https://www.boe.es/gazeta/dias/1821/10/09/pdfs/GMD-1821-288.pdf#page=5","Abrir facsímil")</f>
        <v>Abrir facsímil</v>
      </c>
      <c r="K2749" s="3" t="s">
        <v>23</v>
      </c>
    </row>
    <row r="2750" spans="1:11" ht="42" customHeight="1">
      <c r="A2750" s="2" t="s">
        <v>5800</v>
      </c>
      <c r="B2750" s="2" t="s">
        <v>5800</v>
      </c>
      <c r="C2750" s="2" t="s">
        <v>26</v>
      </c>
      <c r="D2750" s="2" t="s">
        <v>27</v>
      </c>
      <c r="E2750" s="5">
        <v>-28571</v>
      </c>
      <c r="F2750" s="3" t="s">
        <v>482</v>
      </c>
      <c r="G2750" s="3" t="s">
        <v>29</v>
      </c>
      <c r="H2750" s="2" t="s">
        <v>21</v>
      </c>
      <c r="I2750" s="2" t="s">
        <v>5820</v>
      </c>
      <c r="J2750" s="3" t="str">
        <f>HYPERLINK("https://www.boe.es/gazeta/dias/1821/10/09/pdfs/GMD-1821-288.pdf#page=6","Abrir facsímil")</f>
        <v>Abrir facsímil</v>
      </c>
      <c r="K2750" s="3" t="s">
        <v>23</v>
      </c>
    </row>
    <row r="2751" spans="1:11" ht="42" customHeight="1">
      <c r="A2751" s="2" t="s">
        <v>5800</v>
      </c>
      <c r="B2751" s="2" t="s">
        <v>5800</v>
      </c>
      <c r="C2751" s="2" t="s">
        <v>35</v>
      </c>
      <c r="D2751" s="2" t="s">
        <v>27</v>
      </c>
      <c r="E2751" s="5">
        <v>-28563</v>
      </c>
      <c r="F2751" s="3" t="s">
        <v>118</v>
      </c>
      <c r="G2751" s="3" t="s">
        <v>88</v>
      </c>
      <c r="H2751" s="2" t="s">
        <v>21</v>
      </c>
      <c r="I2751" s="2" t="s">
        <v>5821</v>
      </c>
      <c r="J2751" s="3" t="str">
        <f>HYPERLINK("https://www.boe.es/gazeta/dias/1821/10/17/pdfs/GMD-1821-296.pdf#page=4","Abrir facsímil")</f>
        <v>Abrir facsímil</v>
      </c>
      <c r="K2751" s="3" t="s">
        <v>23</v>
      </c>
    </row>
    <row r="2752" spans="1:11" ht="42" customHeight="1">
      <c r="A2752" s="2" t="s">
        <v>5800</v>
      </c>
      <c r="B2752" s="2" t="s">
        <v>5800</v>
      </c>
      <c r="C2752" s="2" t="s">
        <v>17</v>
      </c>
      <c r="D2752" s="2" t="s">
        <v>18</v>
      </c>
      <c r="E2752" s="5">
        <v>-28563</v>
      </c>
      <c r="F2752" s="3" t="s">
        <v>118</v>
      </c>
      <c r="G2752" s="3" t="s">
        <v>162</v>
      </c>
      <c r="H2752" s="2" t="s">
        <v>21</v>
      </c>
      <c r="I2752" s="2" t="s">
        <v>5822</v>
      </c>
      <c r="J2752" s="3" t="str">
        <f>HYPERLINK("https://www.boe.es/gazeta/dias/1821/10/17/pdfs/GMD-1821-296.pdf#page=5","Abrir facsímil")</f>
        <v>Abrir facsímil</v>
      </c>
      <c r="K2752" s="3" t="s">
        <v>23</v>
      </c>
    </row>
    <row r="2753" spans="1:11" ht="42" customHeight="1">
      <c r="A2753" s="2" t="s">
        <v>5800</v>
      </c>
      <c r="B2753" s="2" t="s">
        <v>5800</v>
      </c>
      <c r="C2753" s="2" t="s">
        <v>17</v>
      </c>
      <c r="D2753" s="2" t="s">
        <v>18</v>
      </c>
      <c r="E2753" s="5">
        <v>-28560</v>
      </c>
      <c r="F2753" s="3" t="s">
        <v>363</v>
      </c>
      <c r="G2753" s="3" t="s">
        <v>162</v>
      </c>
      <c r="H2753" s="2" t="s">
        <v>21</v>
      </c>
      <c r="I2753" s="2" t="s">
        <v>5823</v>
      </c>
      <c r="J2753" s="3" t="str">
        <f>HYPERLINK("https://www.boe.es/gazeta/dias/1821/10/20/pdfs/GMD-1821-299.pdf#page=5","Abrir facsímil")</f>
        <v>Abrir facsímil</v>
      </c>
      <c r="K2753" s="3" t="s">
        <v>23</v>
      </c>
    </row>
    <row r="2754" spans="1:11" ht="42" customHeight="1">
      <c r="A2754" s="2" t="s">
        <v>5800</v>
      </c>
      <c r="B2754" s="2" t="s">
        <v>5800</v>
      </c>
      <c r="C2754" s="2" t="s">
        <v>35</v>
      </c>
      <c r="D2754" s="2" t="s">
        <v>27</v>
      </c>
      <c r="E2754" s="5">
        <v>-28559</v>
      </c>
      <c r="F2754" s="3" t="s">
        <v>1078</v>
      </c>
      <c r="G2754" s="3" t="s">
        <v>162</v>
      </c>
      <c r="H2754" s="2" t="s">
        <v>21</v>
      </c>
      <c r="I2754" s="2" t="s">
        <v>5824</v>
      </c>
      <c r="J2754" s="3" t="str">
        <f>HYPERLINK("https://www.boe.es/gazeta/dias/1821/10/21/pdfs/GMD-1821-300.pdf#page=5","Abrir facsímil")</f>
        <v>Abrir facsímil</v>
      </c>
      <c r="K2754" s="3" t="s">
        <v>23</v>
      </c>
    </row>
    <row r="2755" spans="1:11" ht="42" customHeight="1">
      <c r="A2755" s="2" t="s">
        <v>5800</v>
      </c>
      <c r="B2755" s="2" t="s">
        <v>5800</v>
      </c>
      <c r="C2755" s="2" t="s">
        <v>35</v>
      </c>
      <c r="D2755" s="2" t="s">
        <v>27</v>
      </c>
      <c r="E2755" s="5">
        <v>-28556</v>
      </c>
      <c r="F2755" s="3" t="s">
        <v>264</v>
      </c>
      <c r="G2755" s="3" t="s">
        <v>88</v>
      </c>
      <c r="H2755" s="2" t="s">
        <v>21</v>
      </c>
      <c r="I2755" s="2" t="s">
        <v>5825</v>
      </c>
      <c r="J2755" s="3" t="str">
        <f>HYPERLINK("https://www.boe.es/gazeta/dias/1821/10/24/pdfs/GMD-1821-303.pdf#page=4","Abrir facsímil")</f>
        <v>Abrir facsímil</v>
      </c>
      <c r="K2755" s="3" t="s">
        <v>23</v>
      </c>
    </row>
    <row r="2756" spans="1:11" ht="42" customHeight="1">
      <c r="A2756" s="2" t="s">
        <v>5800</v>
      </c>
      <c r="B2756" s="2" t="s">
        <v>5800</v>
      </c>
      <c r="C2756" s="2" t="s">
        <v>26</v>
      </c>
      <c r="D2756" s="2" t="s">
        <v>27</v>
      </c>
      <c r="E2756" s="5">
        <v>-28553</v>
      </c>
      <c r="F2756" s="3" t="s">
        <v>182</v>
      </c>
      <c r="G2756" s="3" t="s">
        <v>88</v>
      </c>
      <c r="H2756" s="2" t="s">
        <v>21</v>
      </c>
      <c r="I2756" s="2" t="s">
        <v>5826</v>
      </c>
      <c r="J2756" s="3" t="str">
        <f>HYPERLINK("https://www.boe.es/gazeta/dias/1821/10/27/pdfs/GMD-1821-306.pdf#page=4","Abrir facsímil")</f>
        <v>Abrir facsímil</v>
      </c>
      <c r="K2756" s="3" t="s">
        <v>23</v>
      </c>
    </row>
    <row r="2757" spans="1:11" ht="42" customHeight="1">
      <c r="A2757" s="2" t="s">
        <v>5800</v>
      </c>
      <c r="B2757" s="2" t="s">
        <v>5800</v>
      </c>
      <c r="C2757" s="2" t="s">
        <v>114</v>
      </c>
      <c r="D2757" s="2" t="s">
        <v>27</v>
      </c>
      <c r="E2757" s="5">
        <v>-28541</v>
      </c>
      <c r="F2757" s="3" t="s">
        <v>275</v>
      </c>
      <c r="G2757" s="3" t="s">
        <v>29</v>
      </c>
      <c r="H2757" s="2" t="s">
        <v>21</v>
      </c>
      <c r="I2757" s="2" t="s">
        <v>5827</v>
      </c>
      <c r="J2757" s="3" t="str">
        <f>HYPERLINK("https://www.boe.es/gazeta/dias/1821/11/08/pdfs/GMD-1821-319.pdf#page=6","Abrir facsímil")</f>
        <v>Abrir facsímil</v>
      </c>
      <c r="K2757" s="3" t="s">
        <v>23</v>
      </c>
    </row>
    <row r="2758" spans="1:11" ht="42" customHeight="1">
      <c r="A2758" s="2" t="s">
        <v>5800</v>
      </c>
      <c r="B2758" s="2" t="s">
        <v>5800</v>
      </c>
      <c r="C2758" s="2" t="s">
        <v>17</v>
      </c>
      <c r="D2758" s="2" t="s">
        <v>18</v>
      </c>
      <c r="E2758" s="5">
        <v>-28527</v>
      </c>
      <c r="F2758" s="3" t="s">
        <v>328</v>
      </c>
      <c r="G2758" s="3" t="s">
        <v>88</v>
      </c>
      <c r="H2758" s="2" t="s">
        <v>21</v>
      </c>
      <c r="I2758" s="2" t="s">
        <v>5828</v>
      </c>
      <c r="J2758" s="3" t="str">
        <f>HYPERLINK("https://www.boe.es/gazeta/dias/1821/11/22/pdfs/GMD-1821-333.pdf#page=4","Abrir facsímil")</f>
        <v>Abrir facsímil</v>
      </c>
      <c r="K2758" s="3" t="s">
        <v>23</v>
      </c>
    </row>
    <row r="2759" spans="1:11" ht="42" customHeight="1">
      <c r="A2759" s="2" t="s">
        <v>5800</v>
      </c>
      <c r="B2759" s="2" t="s">
        <v>5800</v>
      </c>
      <c r="C2759" s="2" t="s">
        <v>40</v>
      </c>
      <c r="D2759" s="2" t="s">
        <v>41</v>
      </c>
      <c r="E2759" s="5">
        <v>-28526</v>
      </c>
      <c r="F2759" s="3" t="s">
        <v>223</v>
      </c>
      <c r="G2759" s="3" t="s">
        <v>1251</v>
      </c>
      <c r="H2759" s="2" t="s">
        <v>21</v>
      </c>
      <c r="I2759" s="2" t="s">
        <v>5829</v>
      </c>
      <c r="J2759" s="3" t="str">
        <f>HYPERLINK("https://www.boe.es/gazeta/dias/1821/11/23/pdfs/GMD-1821-334.pdf#page=3","Abrir facsímil")</f>
        <v>Abrir facsímil</v>
      </c>
      <c r="K2759" s="3" t="s">
        <v>23</v>
      </c>
    </row>
    <row r="2760" spans="1:11" ht="42" customHeight="1">
      <c r="A2760" s="2" t="s">
        <v>5800</v>
      </c>
      <c r="B2760" s="2" t="s">
        <v>5800</v>
      </c>
      <c r="C2760" s="2" t="s">
        <v>114</v>
      </c>
      <c r="D2760" s="2" t="s">
        <v>27</v>
      </c>
      <c r="E2760" s="5">
        <v>-28524</v>
      </c>
      <c r="F2760" s="3" t="s">
        <v>874</v>
      </c>
      <c r="G2760" s="3" t="s">
        <v>88</v>
      </c>
      <c r="H2760" s="2" t="s">
        <v>21</v>
      </c>
      <c r="I2760" s="2" t="s">
        <v>5830</v>
      </c>
      <c r="J2760" s="3" t="str">
        <f>HYPERLINK("https://www.boe.es/gazeta/dias/1821/11/25/pdfs/GMD-1821-336.pdf#page=4","Abrir facsímil")</f>
        <v>Abrir facsímil</v>
      </c>
      <c r="K2760" s="3" t="s">
        <v>23</v>
      </c>
    </row>
    <row r="2761" spans="1:11" ht="42" customHeight="1">
      <c r="A2761" s="2" t="s">
        <v>5800</v>
      </c>
      <c r="B2761" s="2" t="s">
        <v>5800</v>
      </c>
      <c r="C2761" s="2" t="s">
        <v>26</v>
      </c>
      <c r="D2761" s="2" t="s">
        <v>27</v>
      </c>
      <c r="E2761" s="5">
        <v>-28521</v>
      </c>
      <c r="F2761" s="3" t="s">
        <v>499</v>
      </c>
      <c r="G2761" s="3" t="s">
        <v>43</v>
      </c>
      <c r="H2761" s="2" t="s">
        <v>21</v>
      </c>
      <c r="I2761" s="2" t="s">
        <v>5831</v>
      </c>
      <c r="J2761" s="3" t="str">
        <f>HYPERLINK("https://www.boe.es/gazeta/dias/1821/11/28/pdfs/GMD-1821-340.pdf#page=1","Abrir facsímil")</f>
        <v>Abrir facsímil</v>
      </c>
      <c r="K2761" s="3" t="s">
        <v>23</v>
      </c>
    </row>
    <row r="2762" spans="1:11" ht="42" customHeight="1">
      <c r="A2762" s="2" t="s">
        <v>5800</v>
      </c>
      <c r="B2762" s="2" t="s">
        <v>5800</v>
      </c>
      <c r="C2762" s="2" t="s">
        <v>40</v>
      </c>
      <c r="D2762" s="2" t="s">
        <v>41</v>
      </c>
      <c r="E2762" s="5">
        <v>-28518</v>
      </c>
      <c r="F2762" s="3" t="s">
        <v>410</v>
      </c>
      <c r="G2762" s="3" t="s">
        <v>162</v>
      </c>
      <c r="H2762" s="2" t="s">
        <v>21</v>
      </c>
      <c r="I2762" s="2" t="s">
        <v>5832</v>
      </c>
      <c r="J2762" s="3" t="str">
        <f>HYPERLINK("https://www.boe.es/gazeta/dias/1821/12/01/pdfs/GMD-1821-343.pdf#page=5","Abrir facsímil")</f>
        <v>Abrir facsímil</v>
      </c>
      <c r="K2762" s="3" t="s">
        <v>23</v>
      </c>
    </row>
    <row r="2763" spans="1:11" ht="42" customHeight="1">
      <c r="A2763" s="2" t="s">
        <v>5800</v>
      </c>
      <c r="B2763" s="2" t="s">
        <v>5800</v>
      </c>
      <c r="C2763" s="2" t="s">
        <v>174</v>
      </c>
      <c r="D2763" s="2" t="s">
        <v>27</v>
      </c>
      <c r="E2763" s="5">
        <v>-28514</v>
      </c>
      <c r="F2763" s="3" t="s">
        <v>103</v>
      </c>
      <c r="G2763" s="3" t="s">
        <v>20</v>
      </c>
      <c r="H2763" s="2" t="s">
        <v>21</v>
      </c>
      <c r="I2763" s="2" t="s">
        <v>5833</v>
      </c>
      <c r="J2763" s="3" t="str">
        <f>HYPERLINK("https://www.boe.es/gazeta/dias/1821/12/05/pdfs/GMD-1821-347.pdf#page=3","Abrir facsímil")</f>
        <v>Abrir facsímil</v>
      </c>
      <c r="K2763" s="3" t="s">
        <v>23</v>
      </c>
    </row>
    <row r="2764" spans="1:11" ht="42" customHeight="1">
      <c r="A2764" s="2" t="s">
        <v>5800</v>
      </c>
      <c r="B2764" s="2" t="s">
        <v>5800</v>
      </c>
      <c r="C2764" s="2" t="s">
        <v>26</v>
      </c>
      <c r="D2764" s="2" t="s">
        <v>27</v>
      </c>
      <c r="E2764" s="5">
        <v>-28511</v>
      </c>
      <c r="F2764" s="3" t="s">
        <v>340</v>
      </c>
      <c r="G2764" s="3" t="s">
        <v>20</v>
      </c>
      <c r="H2764" s="2" t="s">
        <v>21</v>
      </c>
      <c r="I2764" s="2" t="s">
        <v>5834</v>
      </c>
      <c r="J2764" s="3" t="str">
        <f>HYPERLINK("https://www.boe.es/gazeta/dias/1821/12/08/pdfs/GMD-1821-350.pdf#page=3","Abrir facsímil")</f>
        <v>Abrir facsímil</v>
      </c>
      <c r="K2764" s="3" t="s">
        <v>23</v>
      </c>
    </row>
    <row r="2765" spans="1:11" ht="42" customHeight="1">
      <c r="A2765" s="2" t="s">
        <v>5800</v>
      </c>
      <c r="B2765" s="2" t="s">
        <v>5800</v>
      </c>
      <c r="C2765" s="2" t="s">
        <v>174</v>
      </c>
      <c r="D2765" s="2" t="s">
        <v>27</v>
      </c>
      <c r="E2765" s="5">
        <v>-28510</v>
      </c>
      <c r="F2765" s="3" t="s">
        <v>83</v>
      </c>
      <c r="G2765" s="3" t="s">
        <v>20</v>
      </c>
      <c r="H2765" s="2" t="s">
        <v>21</v>
      </c>
      <c r="I2765" s="2" t="s">
        <v>5835</v>
      </c>
      <c r="J2765" s="3" t="str">
        <f>HYPERLINK("https://www.boe.es/gazeta/dias/1821/12/09/pdfs/GMD-1821-351.pdf#page=3","Abrir facsímil")</f>
        <v>Abrir facsímil</v>
      </c>
      <c r="K2765" s="3" t="s">
        <v>23</v>
      </c>
    </row>
    <row r="2766" spans="1:11" ht="42" customHeight="1">
      <c r="A2766" s="2" t="s">
        <v>5800</v>
      </c>
      <c r="B2766" s="2" t="s">
        <v>5800</v>
      </c>
      <c r="C2766" s="2" t="s">
        <v>26</v>
      </c>
      <c r="D2766" s="2" t="s">
        <v>27</v>
      </c>
      <c r="E2766" s="5">
        <v>-28508</v>
      </c>
      <c r="F2766" s="3" t="s">
        <v>42</v>
      </c>
      <c r="G2766" s="3" t="s">
        <v>20</v>
      </c>
      <c r="H2766" s="2" t="s">
        <v>21</v>
      </c>
      <c r="I2766" s="2" t="s">
        <v>5836</v>
      </c>
      <c r="J2766" s="3" t="str">
        <f>HYPERLINK("https://www.boe.es/gazeta/dias/1821/12/11/pdfs/GMD-1821-353.pdf#page=3","Abrir facsímil")</f>
        <v>Abrir facsímil</v>
      </c>
      <c r="K2766" s="3" t="s">
        <v>23</v>
      </c>
    </row>
    <row r="2767" spans="1:11" ht="42" customHeight="1">
      <c r="A2767" s="2" t="s">
        <v>5800</v>
      </c>
      <c r="B2767" s="2" t="s">
        <v>5800</v>
      </c>
      <c r="C2767" s="2" t="s">
        <v>40</v>
      </c>
      <c r="D2767" s="2" t="s">
        <v>41</v>
      </c>
      <c r="E2767" s="5">
        <v>-28496</v>
      </c>
      <c r="F2767" s="3" t="s">
        <v>785</v>
      </c>
      <c r="G2767" s="3" t="s">
        <v>20</v>
      </c>
      <c r="H2767" s="2" t="s">
        <v>21</v>
      </c>
      <c r="I2767" s="2" t="s">
        <v>5837</v>
      </c>
      <c r="J2767" s="3" t="str">
        <f>HYPERLINK("https://www.boe.es/gazeta/dias/1821/12/23/pdfs/GMD-1821-366.pdf#page=3","Abrir facsímil")</f>
        <v>Abrir facsímil</v>
      </c>
      <c r="K2767" s="3" t="s">
        <v>23</v>
      </c>
    </row>
    <row r="2768" spans="1:11" ht="42" customHeight="1">
      <c r="A2768" s="2" t="s">
        <v>5800</v>
      </c>
      <c r="B2768" s="2" t="s">
        <v>5800</v>
      </c>
      <c r="C2768" s="2" t="s">
        <v>174</v>
      </c>
      <c r="D2768" s="2" t="s">
        <v>27</v>
      </c>
      <c r="E2768" s="5">
        <v>-28495</v>
      </c>
      <c r="F2768" s="3" t="s">
        <v>227</v>
      </c>
      <c r="G2768" s="3" t="s">
        <v>3883</v>
      </c>
      <c r="H2768" s="2" t="s">
        <v>21</v>
      </c>
      <c r="I2768" s="2" t="s">
        <v>5838</v>
      </c>
      <c r="J2768" s="3" t="str">
        <f>HYPERLINK("https://www.boe.es/gazeta/dias/1821/12/24/pdfs/GMD-1821-367.pdf#page=5","Abrir facsímil")</f>
        <v>Abrir facsímil</v>
      </c>
      <c r="K2768" s="3" t="s">
        <v>23</v>
      </c>
    </row>
    <row r="2769" spans="1:11" ht="42" customHeight="1">
      <c r="A2769" s="2" t="s">
        <v>5800</v>
      </c>
      <c r="B2769" s="2" t="s">
        <v>5800</v>
      </c>
      <c r="C2769" s="2" t="s">
        <v>174</v>
      </c>
      <c r="D2769" s="2" t="s">
        <v>27</v>
      </c>
      <c r="E2769" s="5">
        <v>-28495</v>
      </c>
      <c r="F2769" s="3" t="s">
        <v>227</v>
      </c>
      <c r="G2769" s="3" t="s">
        <v>88</v>
      </c>
      <c r="H2769" s="2" t="s">
        <v>21</v>
      </c>
      <c r="I2769" s="2" t="s">
        <v>5839</v>
      </c>
      <c r="J2769" s="3" t="str">
        <f>HYPERLINK("https://www.boe.es/gazeta/dias/1821/12/24/pdfs/GMD-1821-367.pdf#page=4","Abrir facsímil")</f>
        <v>Abrir facsímil</v>
      </c>
      <c r="K2769" s="3" t="s">
        <v>23</v>
      </c>
    </row>
    <row r="2770" spans="1:11" ht="42" customHeight="1">
      <c r="A2770" s="2" t="s">
        <v>5800</v>
      </c>
      <c r="B2770" s="2" t="s">
        <v>5800</v>
      </c>
      <c r="C2770" s="2" t="s">
        <v>26</v>
      </c>
      <c r="D2770" s="2" t="s">
        <v>27</v>
      </c>
      <c r="E2770" s="5">
        <v>-28495</v>
      </c>
      <c r="F2770" s="3" t="s">
        <v>227</v>
      </c>
      <c r="G2770" s="3" t="s">
        <v>29</v>
      </c>
      <c r="H2770" s="2" t="s">
        <v>21</v>
      </c>
      <c r="I2770" s="2" t="s">
        <v>5840</v>
      </c>
      <c r="J2770" s="3" t="str">
        <f>HYPERLINK("https://www.boe.es/gazeta/dias/1821/12/24/pdfs/GMD-1821-367.pdf#page=6","Abrir facsímil")</f>
        <v>Abrir facsímil</v>
      </c>
      <c r="K2770" s="3" t="s">
        <v>23</v>
      </c>
    </row>
    <row r="2771" spans="1:11" ht="42" customHeight="1">
      <c r="A2771" s="2" t="s">
        <v>5800</v>
      </c>
      <c r="B2771" s="2" t="s">
        <v>5800</v>
      </c>
      <c r="C2771" s="2" t="s">
        <v>35</v>
      </c>
      <c r="D2771" s="2" t="s">
        <v>27</v>
      </c>
      <c r="E2771" s="5">
        <v>-28495</v>
      </c>
      <c r="F2771" s="3" t="s">
        <v>227</v>
      </c>
      <c r="G2771" s="3" t="s">
        <v>609</v>
      </c>
      <c r="H2771" s="2" t="s">
        <v>21</v>
      </c>
      <c r="I2771" s="2" t="s">
        <v>5841</v>
      </c>
      <c r="J2771" s="3" t="str">
        <f>HYPERLINK("https://www.boe.es/gazeta/dias/1821/12/24/pdfs/GMD-1821-367.pdf#page=7","Abrir facsímil")</f>
        <v>Abrir facsímil</v>
      </c>
      <c r="K2771" s="3" t="s">
        <v>23</v>
      </c>
    </row>
    <row r="2772" spans="1:11" ht="42" customHeight="1">
      <c r="A2772" s="2" t="s">
        <v>5800</v>
      </c>
      <c r="B2772" s="2" t="s">
        <v>5800</v>
      </c>
      <c r="C2772" s="2" t="s">
        <v>35</v>
      </c>
      <c r="D2772" s="2" t="s">
        <v>27</v>
      </c>
      <c r="E2772" s="5">
        <v>-28495</v>
      </c>
      <c r="F2772" s="3" t="s">
        <v>227</v>
      </c>
      <c r="G2772" s="3" t="s">
        <v>333</v>
      </c>
      <c r="H2772" s="2" t="s">
        <v>21</v>
      </c>
      <c r="I2772" s="2" t="s">
        <v>5842</v>
      </c>
      <c r="J2772" s="3" t="str">
        <f>HYPERLINK("https://www.boe.es/gazeta/dias/1821/12/24/pdfs/GMD-1821-367.pdf#page=8","Abrir facsímil")</f>
        <v>Abrir facsímil</v>
      </c>
      <c r="K2772" s="3" t="s">
        <v>23</v>
      </c>
    </row>
    <row r="2773" spans="1:11" ht="42" customHeight="1">
      <c r="A2773" s="2" t="s">
        <v>5800</v>
      </c>
      <c r="B2773" s="2" t="s">
        <v>5800</v>
      </c>
      <c r="C2773" s="2" t="s">
        <v>26</v>
      </c>
      <c r="D2773" s="2" t="s">
        <v>27</v>
      </c>
      <c r="E2773" s="5">
        <v>-28488</v>
      </c>
      <c r="F2773" s="3" t="s">
        <v>1563</v>
      </c>
      <c r="G2773" s="3" t="s">
        <v>52</v>
      </c>
      <c r="H2773" s="2" t="s">
        <v>21</v>
      </c>
      <c r="I2773" s="2" t="s">
        <v>5843</v>
      </c>
      <c r="J2773" s="3" t="str">
        <f>HYPERLINK("https://www.boe.es/gazeta/dias/1821/12/31/pdfs/GMD-1821-374.pdf#page=2","Abrir facsímil")</f>
        <v>Abrir facsímil</v>
      </c>
      <c r="K2773" s="3" t="s">
        <v>23</v>
      </c>
    </row>
    <row r="2774" spans="1:11" ht="42" customHeight="1">
      <c r="A2774" s="2" t="s">
        <v>5844</v>
      </c>
      <c r="B2774" s="2" t="s">
        <v>5844</v>
      </c>
      <c r="C2774" s="2" t="s">
        <v>17</v>
      </c>
      <c r="D2774" s="2" t="s">
        <v>18</v>
      </c>
      <c r="E2774" s="5">
        <v>-28778</v>
      </c>
      <c r="F2774" s="3" t="s">
        <v>1301</v>
      </c>
      <c r="G2774" s="3" t="s">
        <v>88</v>
      </c>
      <c r="H2774" s="2" t="s">
        <v>21</v>
      </c>
      <c r="I2774" s="2" t="s">
        <v>5845</v>
      </c>
      <c r="J2774" s="3" t="str">
        <f>HYPERLINK("https://www.boe.es/gazeta/dias/1821/03/16/pdfs/GMD-1821-75.pdf#page=4","Abrir facsímil")</f>
        <v>Abrir facsímil</v>
      </c>
      <c r="K2774" s="3" t="s">
        <v>23</v>
      </c>
    </row>
    <row r="2775" spans="1:11" ht="42" customHeight="1">
      <c r="A2775" s="2" t="s">
        <v>5846</v>
      </c>
      <c r="B2775" s="2" t="s">
        <v>5847</v>
      </c>
      <c r="C2775" s="2" t="s">
        <v>17</v>
      </c>
      <c r="D2775" s="2" t="s">
        <v>18</v>
      </c>
      <c r="E2775" s="5">
        <v>-28747</v>
      </c>
      <c r="F2775" s="3" t="s">
        <v>1016</v>
      </c>
      <c r="G2775" s="3" t="s">
        <v>88</v>
      </c>
      <c r="H2775" s="2" t="s">
        <v>21</v>
      </c>
      <c r="I2775" s="2" t="s">
        <v>5848</v>
      </c>
      <c r="J2775" s="3" t="str">
        <f>HYPERLINK("https://www.boe.es/gazeta/dias/1821/04/16/pdfs/GMD-1821-108.pdf#page=4","Abrir facsímil")</f>
        <v>Abrir facsímil</v>
      </c>
      <c r="K2775" s="3" t="s">
        <v>23</v>
      </c>
    </row>
    <row r="2776" spans="1:11" ht="42" customHeight="1">
      <c r="A2776" s="2" t="s">
        <v>5849</v>
      </c>
      <c r="B2776" s="2" t="s">
        <v>5850</v>
      </c>
      <c r="C2776" s="2" t="s">
        <v>40</v>
      </c>
      <c r="D2776" s="2" t="s">
        <v>41</v>
      </c>
      <c r="E2776" s="5">
        <v>-28537</v>
      </c>
      <c r="F2776" s="3" t="s">
        <v>56</v>
      </c>
      <c r="G2776" s="3" t="s">
        <v>88</v>
      </c>
      <c r="H2776" s="2" t="s">
        <v>21</v>
      </c>
      <c r="I2776" s="2" t="s">
        <v>5851</v>
      </c>
      <c r="J2776" s="3" t="str">
        <f>HYPERLINK("https://www.boe.es/gazeta/dias/1821/11/12/pdfs/GMD-1821-323.pdf#page=4","Abrir facsímil")</f>
        <v>Abrir facsímil</v>
      </c>
      <c r="K2776" s="3" t="s">
        <v>23</v>
      </c>
    </row>
    <row r="2777" spans="1:11" ht="42" customHeight="1">
      <c r="A2777" s="2" t="s">
        <v>5852</v>
      </c>
      <c r="B2777" s="2" t="s">
        <v>5853</v>
      </c>
      <c r="C2777" s="2" t="s">
        <v>17</v>
      </c>
      <c r="D2777" s="2" t="s">
        <v>18</v>
      </c>
      <c r="E2777" s="5">
        <v>-28762</v>
      </c>
      <c r="F2777" s="3" t="s">
        <v>608</v>
      </c>
      <c r="G2777" s="3" t="s">
        <v>609</v>
      </c>
      <c r="H2777" s="2" t="s">
        <v>21</v>
      </c>
      <c r="I2777" s="2" t="s">
        <v>5854</v>
      </c>
      <c r="J2777" s="3" t="str">
        <f>HYPERLINK("https://www.boe.es/gazeta/dias/1821/04/01/pdfs/GMD-1821-93.pdf#page=7","Abrir facsímil")</f>
        <v>Abrir facsímil</v>
      </c>
      <c r="K2777" s="3" t="s">
        <v>23</v>
      </c>
    </row>
    <row r="2778" spans="1:11" ht="42" customHeight="1">
      <c r="A2778" s="2" t="s">
        <v>5855</v>
      </c>
      <c r="B2778" s="2" t="s">
        <v>5856</v>
      </c>
      <c r="C2778" s="2" t="s">
        <v>17</v>
      </c>
      <c r="D2778" s="2" t="s">
        <v>18</v>
      </c>
      <c r="E2778" s="5">
        <v>-28700</v>
      </c>
      <c r="F2778" s="3" t="s">
        <v>701</v>
      </c>
      <c r="G2778" s="3" t="s">
        <v>88</v>
      </c>
      <c r="H2778" s="2" t="s">
        <v>30</v>
      </c>
      <c r="I2778" s="2" t="s">
        <v>5857</v>
      </c>
      <c r="J2778" s="3" t="str">
        <f>HYPERLINK("https://www.boe.es/gazeta/dias/1821/06/02/pdfs/GMD-1821-155.pdf#page=4","Abrir facsímil")</f>
        <v>Abrir facsímil</v>
      </c>
      <c r="K2778" s="3" t="s">
        <v>32</v>
      </c>
    </row>
    <row r="2779" spans="1:11" ht="42" customHeight="1">
      <c r="A2779" s="2" t="s">
        <v>5858</v>
      </c>
      <c r="B2779" s="2" t="s">
        <v>5859</v>
      </c>
      <c r="C2779" s="2" t="s">
        <v>40</v>
      </c>
      <c r="D2779" s="2" t="s">
        <v>41</v>
      </c>
      <c r="E2779" s="5">
        <v>-28787</v>
      </c>
      <c r="F2779" s="3" t="s">
        <v>486</v>
      </c>
      <c r="G2779" s="3" t="s">
        <v>52</v>
      </c>
      <c r="H2779" s="2" t="s">
        <v>21</v>
      </c>
      <c r="I2779" s="2" t="s">
        <v>5860</v>
      </c>
      <c r="J2779" s="3" t="str">
        <f>HYPERLINK("https://www.boe.es/gazeta/dias/1821/03/07/pdfs/GGB-1821-66.pdf#page=2","Abrir facsímil")</f>
        <v>Abrir facsímil</v>
      </c>
      <c r="K2779" s="3" t="s">
        <v>23</v>
      </c>
    </row>
    <row r="2780" spans="1:11" ht="42" customHeight="1">
      <c r="A2780" s="2" t="s">
        <v>5858</v>
      </c>
      <c r="B2780" s="2" t="s">
        <v>5859</v>
      </c>
      <c r="C2780" s="2" t="s">
        <v>17</v>
      </c>
      <c r="D2780" s="2" t="s">
        <v>18</v>
      </c>
      <c r="E2780" s="5">
        <v>-28773</v>
      </c>
      <c r="F2780" s="3" t="s">
        <v>1755</v>
      </c>
      <c r="G2780" s="3" t="s">
        <v>52</v>
      </c>
      <c r="H2780" s="2" t="s">
        <v>21</v>
      </c>
      <c r="I2780" s="2" t="s">
        <v>5861</v>
      </c>
      <c r="J2780" s="3" t="str">
        <f>HYPERLINK("https://www.boe.es/gazeta/dias/1821/03/21/pdfs/GMD-1821-80.pdf#page=2","Abrir facsímil")</f>
        <v>Abrir facsímil</v>
      </c>
      <c r="K2780" s="3" t="s">
        <v>23</v>
      </c>
    </row>
    <row r="2781" spans="1:11" ht="42" customHeight="1">
      <c r="A2781" s="2" t="s">
        <v>5862</v>
      </c>
      <c r="B2781" s="2" t="s">
        <v>5863</v>
      </c>
      <c r="C2781" s="2" t="s">
        <v>17</v>
      </c>
      <c r="D2781" s="2" t="s">
        <v>18</v>
      </c>
      <c r="E2781" s="5">
        <v>-28770</v>
      </c>
      <c r="F2781" s="3" t="s">
        <v>1009</v>
      </c>
      <c r="G2781" s="3" t="s">
        <v>88</v>
      </c>
      <c r="H2781" s="2" t="s">
        <v>21</v>
      </c>
      <c r="I2781" s="2" t="s">
        <v>5864</v>
      </c>
      <c r="J2781" s="3" t="str">
        <f>HYPERLINK("https://www.boe.es/gazeta/dias/1821/03/24/pdfs/GMD-1821-84.pdf#page=4","Abrir facsímil")</f>
        <v>Abrir facsímil</v>
      </c>
      <c r="K2781" s="3" t="s">
        <v>23</v>
      </c>
    </row>
    <row r="2782" spans="1:11" ht="42" customHeight="1">
      <c r="A2782" s="2" t="s">
        <v>5865</v>
      </c>
      <c r="B2782" s="2" t="s">
        <v>5866</v>
      </c>
      <c r="C2782" s="2" t="s">
        <v>35</v>
      </c>
      <c r="D2782" s="2" t="s">
        <v>27</v>
      </c>
      <c r="E2782" s="5">
        <v>-28581</v>
      </c>
      <c r="F2782" s="3" t="s">
        <v>254</v>
      </c>
      <c r="G2782" s="3" t="s">
        <v>3366</v>
      </c>
      <c r="H2782" s="2" t="s">
        <v>21</v>
      </c>
      <c r="I2782" s="2" t="s">
        <v>5867</v>
      </c>
      <c r="J2782" s="3" t="str">
        <f>HYPERLINK("https://www.boe.es/gazeta/dias/1821/09/29/pdfs/GMD-1821-278.pdf#page=2","Abrir facsímil")</f>
        <v>Abrir facsímil</v>
      </c>
      <c r="K2782" s="3" t="s">
        <v>23</v>
      </c>
    </row>
    <row r="2783" spans="1:11" ht="42" customHeight="1">
      <c r="A2783" s="2" t="s">
        <v>5868</v>
      </c>
      <c r="B2783" s="2" t="s">
        <v>5869</v>
      </c>
      <c r="C2783" s="2" t="s">
        <v>17</v>
      </c>
      <c r="D2783" s="2" t="s">
        <v>18</v>
      </c>
      <c r="E2783" s="5">
        <v>-28791</v>
      </c>
      <c r="F2783" s="3" t="s">
        <v>47</v>
      </c>
      <c r="G2783" s="3" t="s">
        <v>20</v>
      </c>
      <c r="H2783" s="2" t="s">
        <v>21</v>
      </c>
      <c r="I2783" s="2" t="s">
        <v>5870</v>
      </c>
      <c r="J2783" s="3" t="str">
        <f>HYPERLINK("https://www.boe.es/gazeta/dias/1821/03/03/pdfs/GGB-1821-62.pdf#page=3","Abrir facsímil")</f>
        <v>Abrir facsímil</v>
      </c>
      <c r="K2783" s="3" t="s">
        <v>23</v>
      </c>
    </row>
    <row r="2784" spans="1:11" ht="42" customHeight="1">
      <c r="A2784" s="2" t="s">
        <v>5871</v>
      </c>
      <c r="B2784" s="2" t="s">
        <v>5872</v>
      </c>
      <c r="C2784" s="2" t="s">
        <v>35</v>
      </c>
      <c r="D2784" s="2" t="s">
        <v>27</v>
      </c>
      <c r="E2784" s="5">
        <v>-28677</v>
      </c>
      <c r="F2784" s="3" t="s">
        <v>361</v>
      </c>
      <c r="G2784" s="3" t="s">
        <v>20</v>
      </c>
      <c r="H2784" s="2" t="s">
        <v>21</v>
      </c>
      <c r="I2784" s="2" t="s">
        <v>5873</v>
      </c>
      <c r="J2784" s="3" t="str">
        <f>HYPERLINK("https://www.boe.es/gazeta/dias/1821/06/25/pdfs/GMD-1821-178.pdf#page=3","Abrir facsímil")</f>
        <v>Abrir facsímil</v>
      </c>
      <c r="K2784" s="3" t="s">
        <v>23</v>
      </c>
    </row>
    <row r="2785" spans="1:11" ht="42" customHeight="1">
      <c r="A2785" s="2" t="s">
        <v>5874</v>
      </c>
      <c r="B2785" s="2" t="s">
        <v>5875</v>
      </c>
      <c r="C2785" s="2" t="s">
        <v>40</v>
      </c>
      <c r="D2785" s="2" t="s">
        <v>41</v>
      </c>
      <c r="E2785" s="5">
        <v>-28677</v>
      </c>
      <c r="F2785" s="3" t="s">
        <v>361</v>
      </c>
      <c r="G2785" s="3" t="s">
        <v>20</v>
      </c>
      <c r="H2785" s="2" t="s">
        <v>21</v>
      </c>
      <c r="I2785" s="2" t="s">
        <v>5876</v>
      </c>
      <c r="J2785" s="3" t="str">
        <f>HYPERLINK("https://www.boe.es/gazeta/dias/1821/06/25/pdfs/GMD-1821-178.pdf#page=3","Abrir facsímil")</f>
        <v>Abrir facsímil</v>
      </c>
      <c r="K2785" s="3" t="s">
        <v>23</v>
      </c>
    </row>
    <row r="2786" spans="1:11" ht="42" customHeight="1">
      <c r="A2786" s="2" t="s">
        <v>5877</v>
      </c>
      <c r="B2786" s="2" t="s">
        <v>5878</v>
      </c>
      <c r="C2786" s="2" t="s">
        <v>40</v>
      </c>
      <c r="D2786" s="2" t="s">
        <v>41</v>
      </c>
      <c r="E2786" s="5">
        <v>-28587</v>
      </c>
      <c r="F2786" s="3" t="s">
        <v>392</v>
      </c>
      <c r="G2786" s="3" t="s">
        <v>88</v>
      </c>
      <c r="H2786" s="2" t="s">
        <v>21</v>
      </c>
      <c r="I2786" s="2" t="s">
        <v>5879</v>
      </c>
      <c r="J2786" s="3" t="str">
        <f>HYPERLINK("https://www.boe.es/gazeta/dias/1821/09/23/pdfs/GMD-1821-271.pdf#page=4","Abrir facsímil")</f>
        <v>Abrir facsímil</v>
      </c>
      <c r="K2786" s="3" t="s">
        <v>23</v>
      </c>
    </row>
    <row r="2787" spans="1:11" ht="42" customHeight="1">
      <c r="A2787" s="2" t="s">
        <v>5880</v>
      </c>
      <c r="B2787" s="2" t="s">
        <v>5881</v>
      </c>
      <c r="C2787" s="2" t="s">
        <v>174</v>
      </c>
      <c r="D2787" s="2" t="s">
        <v>27</v>
      </c>
      <c r="E2787" s="5">
        <v>-28789</v>
      </c>
      <c r="F2787" s="3" t="s">
        <v>36</v>
      </c>
      <c r="G2787" s="3" t="s">
        <v>52</v>
      </c>
      <c r="H2787" s="2" t="s">
        <v>21</v>
      </c>
      <c r="I2787" s="2" t="s">
        <v>5882</v>
      </c>
      <c r="J2787" s="3" t="str">
        <f>HYPERLINK("https://www.boe.es/gazeta/dias/1821/03/05/pdfs/GGB-1821-64.pdf#page=2","Abrir facsímil")</f>
        <v>Abrir facsímil</v>
      </c>
      <c r="K2787" s="3" t="s">
        <v>23</v>
      </c>
    </row>
    <row r="2788" spans="1:11" ht="42" customHeight="1">
      <c r="A2788" s="2" t="s">
        <v>5883</v>
      </c>
      <c r="B2788" s="2" t="s">
        <v>5884</v>
      </c>
      <c r="C2788" s="2" t="s">
        <v>26</v>
      </c>
      <c r="D2788" s="2" t="s">
        <v>27</v>
      </c>
      <c r="E2788" s="5">
        <v>-28574</v>
      </c>
      <c r="F2788" s="3" t="s">
        <v>779</v>
      </c>
      <c r="G2788" s="3" t="s">
        <v>333</v>
      </c>
      <c r="H2788" s="2" t="s">
        <v>30</v>
      </c>
      <c r="I2788" s="2" t="s">
        <v>5885</v>
      </c>
      <c r="J2788" s="3" t="str">
        <f>HYPERLINK("https://www.boe.es/gazeta/dias/1821/10/06/pdfs/GMD-1821-285.pdf#page=8","Abrir facsímil")</f>
        <v>Abrir facsímil</v>
      </c>
      <c r="K2788" s="3" t="s">
        <v>32</v>
      </c>
    </row>
    <row r="2789" spans="1:11" ht="42" customHeight="1">
      <c r="A2789" s="2" t="s">
        <v>5886</v>
      </c>
      <c r="B2789" s="2" t="s">
        <v>5887</v>
      </c>
      <c r="C2789" s="2" t="s">
        <v>17</v>
      </c>
      <c r="D2789" s="2" t="s">
        <v>18</v>
      </c>
      <c r="E2789" s="5">
        <v>-28567</v>
      </c>
      <c r="F2789" s="3" t="s">
        <v>217</v>
      </c>
      <c r="G2789" s="3" t="s">
        <v>52</v>
      </c>
      <c r="H2789" s="2" t="s">
        <v>21</v>
      </c>
      <c r="I2789" s="2" t="s">
        <v>5888</v>
      </c>
      <c r="J2789" s="3" t="str">
        <f>HYPERLINK("https://www.boe.es/gazeta/dias/1821/10/13/pdfs/GMD-1821-292.pdf#page=2","Abrir facsímil")</f>
        <v>Abrir facsímil</v>
      </c>
      <c r="K2789" s="3" t="s">
        <v>23</v>
      </c>
    </row>
    <row r="2790" spans="1:11" ht="42" customHeight="1">
      <c r="A2790" s="2" t="s">
        <v>5889</v>
      </c>
      <c r="B2790" s="2" t="s">
        <v>5889</v>
      </c>
      <c r="C2790" s="2" t="s">
        <v>35</v>
      </c>
      <c r="D2790" s="2" t="s">
        <v>27</v>
      </c>
      <c r="E2790" s="5">
        <v>-28573</v>
      </c>
      <c r="F2790" s="3" t="s">
        <v>19</v>
      </c>
      <c r="G2790" s="3" t="s">
        <v>52</v>
      </c>
      <c r="H2790" s="2" t="s">
        <v>21</v>
      </c>
      <c r="I2790" s="2" t="s">
        <v>5890</v>
      </c>
      <c r="J2790" s="3" t="str">
        <f>HYPERLINK("https://www.boe.es/gazeta/dias/1821/10/07/pdfs/GMD-1821-286.pdf#page=2","Abrir facsímil")</f>
        <v>Abrir facsímil</v>
      </c>
      <c r="K2790" s="3" t="s">
        <v>23</v>
      </c>
    </row>
    <row r="2791" spans="1:11" ht="42" customHeight="1">
      <c r="A2791" s="2" t="s">
        <v>5891</v>
      </c>
      <c r="B2791" s="2" t="s">
        <v>5892</v>
      </c>
      <c r="C2791" s="2" t="s">
        <v>26</v>
      </c>
      <c r="D2791" s="2" t="s">
        <v>27</v>
      </c>
      <c r="E2791" s="5">
        <v>-28837</v>
      </c>
      <c r="F2791" s="3" t="s">
        <v>1234</v>
      </c>
      <c r="G2791" s="3" t="s">
        <v>88</v>
      </c>
      <c r="H2791" s="2" t="s">
        <v>21</v>
      </c>
      <c r="I2791" s="2" t="s">
        <v>5893</v>
      </c>
      <c r="J2791" s="3" t="str">
        <f>HYPERLINK("https://www.boe.es/gazeta/dias/1821/01/16/pdfs/GGB-1821-16.pdf#page=4","Abrir facsímil")</f>
        <v>Abrir facsímil</v>
      </c>
      <c r="K2791" s="3" t="s">
        <v>23</v>
      </c>
    </row>
    <row r="2792" spans="1:11" ht="42" customHeight="1">
      <c r="A2792" s="2" t="s">
        <v>5894</v>
      </c>
      <c r="B2792" s="2" t="s">
        <v>5895</v>
      </c>
      <c r="C2792" s="2" t="s">
        <v>40</v>
      </c>
      <c r="D2792" s="2" t="s">
        <v>41</v>
      </c>
      <c r="E2792" s="5">
        <v>-28783</v>
      </c>
      <c r="F2792" s="3" t="s">
        <v>198</v>
      </c>
      <c r="G2792" s="3" t="s">
        <v>88</v>
      </c>
      <c r="H2792" s="2" t="s">
        <v>21</v>
      </c>
      <c r="I2792" s="2" t="s">
        <v>5896</v>
      </c>
      <c r="J2792" s="3" t="str">
        <f>HYPERLINK("https://www.boe.es/gazeta/dias/1821/03/11/pdfs/GGB-1821-70.pdf#page=4","Abrir facsímil")</f>
        <v>Abrir facsímil</v>
      </c>
      <c r="K2792" s="3" t="s">
        <v>23</v>
      </c>
    </row>
    <row r="2793" spans="1:11" ht="42" customHeight="1">
      <c r="A2793" s="2" t="s">
        <v>5897</v>
      </c>
      <c r="B2793" s="2" t="s">
        <v>5898</v>
      </c>
      <c r="C2793" s="2" t="s">
        <v>17</v>
      </c>
      <c r="D2793" s="2" t="s">
        <v>18</v>
      </c>
      <c r="E2793" s="5">
        <v>-28778</v>
      </c>
      <c r="F2793" s="3" t="s">
        <v>1301</v>
      </c>
      <c r="G2793" s="3" t="s">
        <v>29</v>
      </c>
      <c r="H2793" s="2" t="s">
        <v>21</v>
      </c>
      <c r="I2793" s="2" t="s">
        <v>5899</v>
      </c>
      <c r="J2793" s="3" t="str">
        <f>HYPERLINK("https://www.boe.es/gazeta/dias/1821/03/16/pdfs/GMD-1821-75.pdf#page=6","Abrir facsímil")</f>
        <v>Abrir facsímil</v>
      </c>
      <c r="K2793" s="3" t="s">
        <v>23</v>
      </c>
    </row>
    <row r="2794" spans="1:11" ht="42" customHeight="1">
      <c r="A2794" s="2" t="s">
        <v>5900</v>
      </c>
      <c r="B2794" s="2" t="s">
        <v>5900</v>
      </c>
      <c r="C2794" s="2" t="s">
        <v>40</v>
      </c>
      <c r="D2794" s="2" t="s">
        <v>41</v>
      </c>
      <c r="E2794" s="5">
        <v>-28737</v>
      </c>
      <c r="F2794" s="3" t="s">
        <v>732</v>
      </c>
      <c r="G2794" s="3" t="s">
        <v>20</v>
      </c>
      <c r="H2794" s="2" t="s">
        <v>21</v>
      </c>
      <c r="I2794" s="2" t="s">
        <v>5901</v>
      </c>
      <c r="J2794" s="3" t="str">
        <f>HYPERLINK("https://www.boe.es/gazeta/dias/1821/04/26/pdfs/GMD-1821-118.pdf#page=3","Abrir facsímil")</f>
        <v>Abrir facsímil</v>
      </c>
      <c r="K2794" s="3" t="s">
        <v>23</v>
      </c>
    </row>
    <row r="2795" spans="1:11" ht="42" customHeight="1">
      <c r="A2795" s="2" t="s">
        <v>5900</v>
      </c>
      <c r="B2795" s="2" t="s">
        <v>5900</v>
      </c>
      <c r="C2795" s="2" t="s">
        <v>40</v>
      </c>
      <c r="D2795" s="2" t="s">
        <v>41</v>
      </c>
      <c r="E2795" s="5">
        <v>-28723</v>
      </c>
      <c r="F2795" s="3" t="s">
        <v>840</v>
      </c>
      <c r="G2795" s="3" t="s">
        <v>52</v>
      </c>
      <c r="H2795" s="2" t="s">
        <v>21</v>
      </c>
      <c r="I2795" s="2" t="s">
        <v>5902</v>
      </c>
      <c r="J2795" s="3" t="str">
        <f>HYPERLINK("https://www.boe.es/gazeta/dias/1821/05/10/pdfs/GMD-1821-132.pdf#page=2","Abrir facsímil")</f>
        <v>Abrir facsímil</v>
      </c>
      <c r="K2795" s="3" t="s">
        <v>23</v>
      </c>
    </row>
    <row r="2796" spans="1:11" ht="42" customHeight="1">
      <c r="A2796" s="2" t="s">
        <v>5903</v>
      </c>
      <c r="B2796" s="2" t="s">
        <v>5904</v>
      </c>
      <c r="C2796" s="2" t="s">
        <v>17</v>
      </c>
      <c r="D2796" s="2" t="s">
        <v>18</v>
      </c>
      <c r="E2796" s="5">
        <v>-28651</v>
      </c>
      <c r="F2796" s="3" t="s">
        <v>1518</v>
      </c>
      <c r="G2796" s="3" t="s">
        <v>1917</v>
      </c>
      <c r="H2796" s="2" t="s">
        <v>30</v>
      </c>
      <c r="I2796" s="2" t="s">
        <v>5905</v>
      </c>
      <c r="J2796" s="3" t="str">
        <f>HYPERLINK("https://www.boe.es/gazeta/dias/1821/07/21/pdfs/GMD-1821-206.pdf#page=3","Abrir facsímil")</f>
        <v>Abrir facsímil</v>
      </c>
      <c r="K2796" s="3" t="s">
        <v>32</v>
      </c>
    </row>
    <row r="2797" spans="1:11" ht="42" customHeight="1">
      <c r="A2797" s="2" t="s">
        <v>5906</v>
      </c>
      <c r="B2797" s="2" t="s">
        <v>5907</v>
      </c>
      <c r="C2797" s="2" t="s">
        <v>17</v>
      </c>
      <c r="D2797" s="2" t="s">
        <v>18</v>
      </c>
      <c r="E2797" s="5">
        <v>-28760</v>
      </c>
      <c r="F2797" s="3" t="s">
        <v>170</v>
      </c>
      <c r="G2797" s="3" t="s">
        <v>52</v>
      </c>
      <c r="H2797" s="2" t="s">
        <v>30</v>
      </c>
      <c r="I2797" s="2" t="s">
        <v>5908</v>
      </c>
      <c r="J2797" s="3" t="str">
        <f>HYPERLINK("https://www.boe.es/gazeta/dias/1821/04/03/pdfs/GMD-1821-95.pdf#page=2","Abrir facsímil")</f>
        <v>Abrir facsímil</v>
      </c>
      <c r="K2797" s="3" t="s">
        <v>32</v>
      </c>
    </row>
    <row r="2798" spans="1:11" ht="42" customHeight="1">
      <c r="A2798" s="2" t="s">
        <v>5909</v>
      </c>
      <c r="B2798" s="2" t="s">
        <v>5910</v>
      </c>
      <c r="C2798" s="2" t="s">
        <v>40</v>
      </c>
      <c r="D2798" s="2" t="s">
        <v>41</v>
      </c>
      <c r="E2798" s="5">
        <v>-28672</v>
      </c>
      <c r="F2798" s="3" t="s">
        <v>964</v>
      </c>
      <c r="G2798" s="3" t="s">
        <v>52</v>
      </c>
      <c r="H2798" s="2" t="s">
        <v>21</v>
      </c>
      <c r="I2798" s="2" t="s">
        <v>5911</v>
      </c>
      <c r="J2798" s="3" t="str">
        <f>HYPERLINK("https://www.boe.es/gazeta/dias/1821/06/30/pdfs/GMD-1821-183.pdf#page=2","Abrir facsímil")</f>
        <v>Abrir facsímil</v>
      </c>
      <c r="K2798" s="3" t="s">
        <v>23</v>
      </c>
    </row>
    <row r="2799" spans="1:11" ht="42" customHeight="1">
      <c r="A2799" s="2" t="s">
        <v>5912</v>
      </c>
      <c r="B2799" s="2" t="s">
        <v>5913</v>
      </c>
      <c r="C2799" s="2" t="s">
        <v>17</v>
      </c>
      <c r="D2799" s="2" t="s">
        <v>18</v>
      </c>
      <c r="E2799" s="5">
        <v>-28722</v>
      </c>
      <c r="F2799" s="3" t="s">
        <v>623</v>
      </c>
      <c r="G2799" s="3" t="s">
        <v>43</v>
      </c>
      <c r="H2799" s="2" t="s">
        <v>21</v>
      </c>
      <c r="I2799" s="2" t="s">
        <v>5914</v>
      </c>
      <c r="J2799" s="3" t="str">
        <f>HYPERLINK("https://www.boe.es/gazeta/dias/1821/05/11/pdfs/GMD-1821-133.pdf#page=1","Abrir facsímil")</f>
        <v>Abrir facsímil</v>
      </c>
      <c r="K2799" s="3" t="s">
        <v>23</v>
      </c>
    </row>
    <row r="2800" spans="1:11" ht="42" customHeight="1">
      <c r="A2800" s="2" t="s">
        <v>5912</v>
      </c>
      <c r="B2800" s="2" t="s">
        <v>5913</v>
      </c>
      <c r="C2800" s="2" t="s">
        <v>40</v>
      </c>
      <c r="D2800" s="2" t="s">
        <v>41</v>
      </c>
      <c r="E2800" s="5">
        <v>-28634</v>
      </c>
      <c r="F2800" s="3" t="s">
        <v>2533</v>
      </c>
      <c r="G2800" s="3" t="s">
        <v>52</v>
      </c>
      <c r="H2800" s="2" t="s">
        <v>21</v>
      </c>
      <c r="I2800" s="2" t="s">
        <v>5915</v>
      </c>
      <c r="J2800" s="3" t="str">
        <f>HYPERLINK("https://www.boe.es/gazeta/dias/1821/08/07/pdfs/GMD-1821-223.pdf#page=2","Abrir facsímil")</f>
        <v>Abrir facsímil</v>
      </c>
      <c r="K2800" s="3" t="s">
        <v>23</v>
      </c>
    </row>
    <row r="2801" spans="1:11" ht="42" customHeight="1">
      <c r="A2801" s="2" t="s">
        <v>5912</v>
      </c>
      <c r="B2801" s="2" t="s">
        <v>5913</v>
      </c>
      <c r="C2801" s="2" t="s">
        <v>26</v>
      </c>
      <c r="D2801" s="2" t="s">
        <v>27</v>
      </c>
      <c r="E2801" s="5">
        <v>-28624</v>
      </c>
      <c r="F2801" s="3" t="s">
        <v>78</v>
      </c>
      <c r="G2801" s="3" t="s">
        <v>20</v>
      </c>
      <c r="H2801" s="2" t="s">
        <v>21</v>
      </c>
      <c r="I2801" s="2" t="s">
        <v>5916</v>
      </c>
      <c r="J2801" s="3" t="str">
        <f>HYPERLINK("https://www.boe.es/gazeta/dias/1821/08/17/pdfs/GMD-1821-234.pdf#page=3","Abrir facsímil")</f>
        <v>Abrir facsímil</v>
      </c>
      <c r="K2801" s="3" t="s">
        <v>23</v>
      </c>
    </row>
    <row r="2802" spans="1:11" ht="42" customHeight="1">
      <c r="A2802" s="2" t="s">
        <v>5917</v>
      </c>
      <c r="B2802" s="2" t="s">
        <v>5918</v>
      </c>
      <c r="C2802" s="2" t="s">
        <v>26</v>
      </c>
      <c r="D2802" s="2" t="s">
        <v>27</v>
      </c>
      <c r="E2802" s="5">
        <v>-28613</v>
      </c>
      <c r="F2802" s="3" t="s">
        <v>178</v>
      </c>
      <c r="G2802" s="3" t="s">
        <v>52</v>
      </c>
      <c r="H2802" s="2" t="s">
        <v>21</v>
      </c>
      <c r="I2802" s="2" t="s">
        <v>5919</v>
      </c>
      <c r="J2802" s="3" t="str">
        <f>HYPERLINK("https://www.boe.es/gazeta/dias/1821/08/28/pdfs/GMD-1821-245.pdf#page=2","Abrir facsímil")</f>
        <v>Abrir facsímil</v>
      </c>
      <c r="K2802" s="3" t="s">
        <v>23</v>
      </c>
    </row>
    <row r="2803" spans="1:11" ht="42" customHeight="1">
      <c r="A2803" s="2" t="s">
        <v>5920</v>
      </c>
      <c r="B2803" s="2" t="s">
        <v>5921</v>
      </c>
      <c r="C2803" s="2" t="s">
        <v>40</v>
      </c>
      <c r="D2803" s="2" t="s">
        <v>41</v>
      </c>
      <c r="E2803" s="5">
        <v>-28712</v>
      </c>
      <c r="F2803" s="3" t="s">
        <v>695</v>
      </c>
      <c r="G2803" s="3" t="s">
        <v>88</v>
      </c>
      <c r="H2803" s="2" t="s">
        <v>21</v>
      </c>
      <c r="I2803" s="2" t="s">
        <v>5922</v>
      </c>
      <c r="J2803" s="3" t="str">
        <f>HYPERLINK("https://www.boe.es/gazeta/dias/1821/05/21/pdfs/GMD-1821-143.pdf#page=4","Abrir facsímil")</f>
        <v>Abrir facsímil</v>
      </c>
      <c r="K2803" s="3" t="s">
        <v>23</v>
      </c>
    </row>
    <row r="2804" spans="1:11" ht="42" customHeight="1">
      <c r="A2804" s="2" t="s">
        <v>5923</v>
      </c>
      <c r="B2804" s="2" t="s">
        <v>5924</v>
      </c>
      <c r="C2804" s="2" t="s">
        <v>17</v>
      </c>
      <c r="D2804" s="2" t="s">
        <v>18</v>
      </c>
      <c r="E2804" s="5">
        <v>-28559</v>
      </c>
      <c r="F2804" s="3" t="s">
        <v>1078</v>
      </c>
      <c r="G2804" s="3" t="s">
        <v>20</v>
      </c>
      <c r="H2804" s="2" t="s">
        <v>21</v>
      </c>
      <c r="I2804" s="2" t="s">
        <v>5925</v>
      </c>
      <c r="J2804" s="3" t="str">
        <f>HYPERLINK("https://www.boe.es/gazeta/dias/1821/10/21/pdfs/GMD-1821-300.pdf#page=3","Abrir facsímil")</f>
        <v>Abrir facsímil</v>
      </c>
      <c r="K2804" s="3" t="s">
        <v>23</v>
      </c>
    </row>
    <row r="2805" spans="1:11" ht="42" customHeight="1">
      <c r="A2805" s="2" t="s">
        <v>5926</v>
      </c>
      <c r="B2805" s="2" t="s">
        <v>5926</v>
      </c>
      <c r="C2805" s="2" t="s">
        <v>17</v>
      </c>
      <c r="D2805" s="2" t="s">
        <v>18</v>
      </c>
      <c r="E2805" s="5">
        <v>-28791</v>
      </c>
      <c r="F2805" s="3" t="s">
        <v>47</v>
      </c>
      <c r="G2805" s="3" t="s">
        <v>20</v>
      </c>
      <c r="H2805" s="2" t="s">
        <v>21</v>
      </c>
      <c r="I2805" s="2" t="s">
        <v>5927</v>
      </c>
      <c r="J2805" s="3" t="str">
        <f>HYPERLINK("https://www.boe.es/gazeta/dias/1821/03/03/pdfs/GGB-1821-62.pdf#page=3","Abrir facsímil")</f>
        <v>Abrir facsímil</v>
      </c>
      <c r="K2805" s="3" t="s">
        <v>23</v>
      </c>
    </row>
    <row r="2806" spans="1:11" ht="42" customHeight="1">
      <c r="A2806" s="2" t="s">
        <v>5928</v>
      </c>
      <c r="B2806" s="2" t="s">
        <v>5928</v>
      </c>
      <c r="C2806" s="2" t="s">
        <v>17</v>
      </c>
      <c r="D2806" s="2" t="s">
        <v>18</v>
      </c>
      <c r="E2806" s="5">
        <v>-28801</v>
      </c>
      <c r="F2806" s="3" t="s">
        <v>378</v>
      </c>
      <c r="G2806" s="3" t="s">
        <v>20</v>
      </c>
      <c r="H2806" s="2" t="s">
        <v>21</v>
      </c>
      <c r="I2806" s="2" t="s">
        <v>5929</v>
      </c>
      <c r="J2806" s="3" t="str">
        <f>HYPERLINK("https://www.boe.es/gazeta/dias/1821/02/21/pdfs/GGB-1821-52.pdf#page=3","Abrir facsímil")</f>
        <v>Abrir facsímil</v>
      </c>
      <c r="K2806" s="3" t="s">
        <v>23</v>
      </c>
    </row>
    <row r="2807" spans="1:11" ht="42" customHeight="1">
      <c r="A2807" s="2" t="s">
        <v>5928</v>
      </c>
      <c r="B2807" s="2" t="s">
        <v>5928</v>
      </c>
      <c r="C2807" s="2" t="s">
        <v>17</v>
      </c>
      <c r="D2807" s="2" t="s">
        <v>18</v>
      </c>
      <c r="E2807" s="5">
        <v>-28798</v>
      </c>
      <c r="F2807" s="3" t="s">
        <v>60</v>
      </c>
      <c r="G2807" s="3" t="s">
        <v>20</v>
      </c>
      <c r="H2807" s="2" t="s">
        <v>21</v>
      </c>
      <c r="I2807" s="2" t="s">
        <v>5930</v>
      </c>
      <c r="J2807" s="3" t="str">
        <f>HYPERLINK("https://www.boe.es/gazeta/dias/1821/02/24/pdfs/GGB-1821-55.pdf#page=3","Abrir facsímil")</f>
        <v>Abrir facsímil</v>
      </c>
      <c r="K2807" s="3" t="s">
        <v>23</v>
      </c>
    </row>
    <row r="2808" spans="1:11" ht="42" customHeight="1">
      <c r="A2808" s="2" t="s">
        <v>5928</v>
      </c>
      <c r="B2808" s="2" t="s">
        <v>5928</v>
      </c>
      <c r="C2808" s="2" t="s">
        <v>17</v>
      </c>
      <c r="D2808" s="2" t="s">
        <v>18</v>
      </c>
      <c r="E2808" s="5">
        <v>-28796</v>
      </c>
      <c r="F2808" s="3" t="s">
        <v>1421</v>
      </c>
      <c r="G2808" s="3" t="s">
        <v>1422</v>
      </c>
      <c r="H2808" s="2" t="s">
        <v>21</v>
      </c>
      <c r="I2808" s="2" t="s">
        <v>5931</v>
      </c>
      <c r="J2808" s="3" t="str">
        <f>HYPERLINK("https://www.boe.es/gazeta/dias/1821/02/26/pdfs/GGB-1821-57.pdf#page=3","Abrir facsímil")</f>
        <v>Abrir facsímil</v>
      </c>
      <c r="K2808" s="3" t="s">
        <v>23</v>
      </c>
    </row>
    <row r="2809" spans="1:11" ht="42" customHeight="1">
      <c r="A2809" s="2" t="s">
        <v>5928</v>
      </c>
      <c r="B2809" s="2" t="s">
        <v>5928</v>
      </c>
      <c r="C2809" s="2" t="s">
        <v>17</v>
      </c>
      <c r="D2809" s="2" t="s">
        <v>18</v>
      </c>
      <c r="E2809" s="5">
        <v>-28791</v>
      </c>
      <c r="F2809" s="3" t="s">
        <v>47</v>
      </c>
      <c r="G2809" s="3" t="s">
        <v>20</v>
      </c>
      <c r="H2809" s="2" t="s">
        <v>21</v>
      </c>
      <c r="I2809" s="2" t="s">
        <v>5932</v>
      </c>
      <c r="J2809" s="3" t="str">
        <f>HYPERLINK("https://www.boe.es/gazeta/dias/1821/03/03/pdfs/GGB-1821-62.pdf#page=3","Abrir facsímil")</f>
        <v>Abrir facsímil</v>
      </c>
      <c r="K2809" s="3" t="s">
        <v>23</v>
      </c>
    </row>
    <row r="2810" spans="1:11" ht="42" customHeight="1">
      <c r="A2810" s="2" t="s">
        <v>5928</v>
      </c>
      <c r="B2810" s="2" t="s">
        <v>5928</v>
      </c>
      <c r="C2810" s="2" t="s">
        <v>17</v>
      </c>
      <c r="D2810" s="2" t="s">
        <v>18</v>
      </c>
      <c r="E2810" s="5">
        <v>-28788</v>
      </c>
      <c r="F2810" s="3" t="s">
        <v>996</v>
      </c>
      <c r="G2810" s="3" t="s">
        <v>20</v>
      </c>
      <c r="H2810" s="2" t="s">
        <v>21</v>
      </c>
      <c r="I2810" s="2" t="s">
        <v>5933</v>
      </c>
      <c r="J2810" s="3" t="str">
        <f>HYPERLINK("https://www.boe.es/gazeta/dias/1821/03/06/pdfs/GGB-1821-65.pdf#page=3","Abrir facsímil")</f>
        <v>Abrir facsímil</v>
      </c>
      <c r="K2810" s="3" t="s">
        <v>23</v>
      </c>
    </row>
    <row r="2811" spans="1:11" ht="42" customHeight="1">
      <c r="A2811" s="2" t="s">
        <v>5934</v>
      </c>
      <c r="B2811" s="2" t="s">
        <v>5935</v>
      </c>
      <c r="C2811" s="2" t="s">
        <v>17</v>
      </c>
      <c r="D2811" s="2" t="s">
        <v>18</v>
      </c>
      <c r="E2811" s="5">
        <v>-28760</v>
      </c>
      <c r="F2811" s="3" t="s">
        <v>170</v>
      </c>
      <c r="G2811" s="3" t="s">
        <v>88</v>
      </c>
      <c r="H2811" s="2" t="s">
        <v>21</v>
      </c>
      <c r="I2811" s="2" t="s">
        <v>5936</v>
      </c>
      <c r="J2811" s="3" t="str">
        <f>HYPERLINK("https://www.boe.es/gazeta/dias/1821/04/03/pdfs/GMD-1821-95.pdf#page=4","Abrir facsímil")</f>
        <v>Abrir facsímil</v>
      </c>
      <c r="K2811" s="3" t="s">
        <v>23</v>
      </c>
    </row>
    <row r="2812" spans="1:11" ht="42" customHeight="1">
      <c r="A2812" s="2" t="s">
        <v>5937</v>
      </c>
      <c r="B2812" s="2" t="s">
        <v>5938</v>
      </c>
      <c r="C2812" s="2" t="s">
        <v>40</v>
      </c>
      <c r="D2812" s="2" t="s">
        <v>41</v>
      </c>
      <c r="E2812" s="5">
        <v>-28845</v>
      </c>
      <c r="F2812" s="3" t="s">
        <v>5185</v>
      </c>
      <c r="G2812" s="3" t="s">
        <v>88</v>
      </c>
      <c r="H2812" s="2" t="s">
        <v>21</v>
      </c>
      <c r="I2812" s="2" t="s">
        <v>5939</v>
      </c>
      <c r="J2812" s="3" t="str">
        <f>HYPERLINK("https://www.boe.es/gazeta/dias/1821/01/08/pdfs/GGB-1821-8.pdf#page=4","Abrir facsímil")</f>
        <v>Abrir facsímil</v>
      </c>
      <c r="K2812" s="3" t="s">
        <v>23</v>
      </c>
    </row>
    <row r="2813" spans="1:11" ht="42" customHeight="1">
      <c r="A2813" s="2" t="s">
        <v>5940</v>
      </c>
      <c r="B2813" s="2" t="s">
        <v>5941</v>
      </c>
      <c r="C2813" s="2" t="s">
        <v>17</v>
      </c>
      <c r="D2813" s="2" t="s">
        <v>18</v>
      </c>
      <c r="E2813" s="5">
        <v>-28626</v>
      </c>
      <c r="F2813" s="3" t="s">
        <v>468</v>
      </c>
      <c r="G2813" s="3" t="s">
        <v>88</v>
      </c>
      <c r="H2813" s="2" t="s">
        <v>21</v>
      </c>
      <c r="I2813" s="2" t="s">
        <v>5942</v>
      </c>
      <c r="J2813" s="3" t="str">
        <f>HYPERLINK("https://www.boe.es/gazeta/dias/1821/08/15/pdfs/GMD-1821-232.pdf#page=4","Abrir facsímil")</f>
        <v>Abrir facsímil</v>
      </c>
      <c r="K2813" s="3" t="s">
        <v>23</v>
      </c>
    </row>
    <row r="2814" spans="1:11" ht="42" customHeight="1">
      <c r="A2814" s="2" t="s">
        <v>5943</v>
      </c>
      <c r="B2814" s="2" t="s">
        <v>5944</v>
      </c>
      <c r="C2814" s="2" t="s">
        <v>26</v>
      </c>
      <c r="D2814" s="2" t="s">
        <v>27</v>
      </c>
      <c r="E2814" s="5">
        <v>-28667</v>
      </c>
      <c r="F2814" s="3" t="s">
        <v>107</v>
      </c>
      <c r="G2814" s="3" t="s">
        <v>52</v>
      </c>
      <c r="H2814" s="2" t="s">
        <v>21</v>
      </c>
      <c r="I2814" s="2" t="s">
        <v>5945</v>
      </c>
      <c r="J2814" s="3" t="str">
        <f>HYPERLINK("https://www.boe.es/gazeta/dias/1821/07/05/pdfs/GMD-1821-189.pdf#page=2","Abrir facsímil")</f>
        <v>Abrir facsímil</v>
      </c>
      <c r="K2814" s="3" t="s">
        <v>23</v>
      </c>
    </row>
    <row r="2815" spans="1:11" ht="42" customHeight="1">
      <c r="A2815" s="2" t="s">
        <v>5946</v>
      </c>
      <c r="B2815" s="2" t="s">
        <v>5947</v>
      </c>
      <c r="C2815" s="2" t="s">
        <v>26</v>
      </c>
      <c r="D2815" s="2" t="s">
        <v>27</v>
      </c>
      <c r="E2815" s="5">
        <v>-28776</v>
      </c>
      <c r="F2815" s="3" t="s">
        <v>312</v>
      </c>
      <c r="G2815" s="3" t="s">
        <v>162</v>
      </c>
      <c r="H2815" s="2" t="s">
        <v>21</v>
      </c>
      <c r="I2815" s="2" t="s">
        <v>5948</v>
      </c>
      <c r="J2815" s="3" t="str">
        <f>HYPERLINK("https://www.boe.es/gazeta/dias/1821/03/18/pdfs/GMD-1821-77.pdf#page=5","Abrir facsímil")</f>
        <v>Abrir facsímil</v>
      </c>
      <c r="K2815" s="3" t="s">
        <v>23</v>
      </c>
    </row>
    <row r="2816" spans="1:11" ht="42" customHeight="1">
      <c r="A2816" s="2" t="s">
        <v>5949</v>
      </c>
      <c r="B2816" s="2" t="s">
        <v>5950</v>
      </c>
      <c r="C2816" s="2" t="s">
        <v>35</v>
      </c>
      <c r="D2816" s="2" t="s">
        <v>27</v>
      </c>
      <c r="E2816" s="5">
        <v>-28793</v>
      </c>
      <c r="F2816" s="3" t="s">
        <v>157</v>
      </c>
      <c r="G2816" s="3" t="s">
        <v>29</v>
      </c>
      <c r="H2816" s="2" t="s">
        <v>21</v>
      </c>
      <c r="I2816" s="2" t="s">
        <v>5951</v>
      </c>
      <c r="J2816" s="3" t="str">
        <f>HYPERLINK("https://www.boe.es/gazeta/dias/1821/03/01/pdfs/GGB-1821-60.pdf#page=6","Abrir facsímil")</f>
        <v>Abrir facsímil</v>
      </c>
      <c r="K2816" s="3" t="s">
        <v>23</v>
      </c>
    </row>
    <row r="2817" spans="1:11" ht="42" customHeight="1">
      <c r="A2817" s="2" t="s">
        <v>5952</v>
      </c>
      <c r="B2817" s="2" t="s">
        <v>5953</v>
      </c>
      <c r="C2817" s="2" t="s">
        <v>17</v>
      </c>
      <c r="D2817" s="2" t="s">
        <v>18</v>
      </c>
      <c r="E2817" s="5">
        <v>-28772</v>
      </c>
      <c r="F2817" s="3" t="s">
        <v>62</v>
      </c>
      <c r="G2817" s="3" t="s">
        <v>88</v>
      </c>
      <c r="H2817" s="2" t="s">
        <v>21</v>
      </c>
      <c r="I2817" s="2" t="s">
        <v>5954</v>
      </c>
      <c r="J2817" s="3" t="str">
        <f>HYPERLINK("https://www.boe.es/gazeta/dias/1821/03/22/pdfs/GMD-1821-81.pdf#page=4","Abrir facsímil")</f>
        <v>Abrir facsímil</v>
      </c>
      <c r="K2817" s="3" t="s">
        <v>23</v>
      </c>
    </row>
    <row r="2818" spans="1:11" ht="42" customHeight="1">
      <c r="A2818" s="2" t="s">
        <v>5955</v>
      </c>
      <c r="B2818" s="2" t="s">
        <v>5955</v>
      </c>
      <c r="C2818" s="2" t="s">
        <v>40</v>
      </c>
      <c r="D2818" s="2" t="s">
        <v>41</v>
      </c>
      <c r="E2818" s="5">
        <v>-28751</v>
      </c>
      <c r="F2818" s="3" t="s">
        <v>356</v>
      </c>
      <c r="G2818" s="3" t="s">
        <v>52</v>
      </c>
      <c r="H2818" s="2" t="s">
        <v>21</v>
      </c>
      <c r="I2818" s="2" t="s">
        <v>5956</v>
      </c>
      <c r="J2818" s="3" t="str">
        <f>HYPERLINK("https://www.boe.es/gazeta/dias/1821/04/12/pdfs/GMD-1821-104.pdf#page=2","Abrir facsímil")</f>
        <v>Abrir facsímil</v>
      </c>
      <c r="K2818" s="3" t="s">
        <v>23</v>
      </c>
    </row>
    <row r="2819" spans="1:11" ht="42" customHeight="1">
      <c r="A2819" s="2" t="s">
        <v>5957</v>
      </c>
      <c r="B2819" s="2" t="s">
        <v>5958</v>
      </c>
      <c r="C2819" s="2" t="s">
        <v>26</v>
      </c>
      <c r="D2819" s="2" t="s">
        <v>27</v>
      </c>
      <c r="E2819" s="5">
        <v>-28772</v>
      </c>
      <c r="F2819" s="3" t="s">
        <v>62</v>
      </c>
      <c r="G2819" s="3" t="s">
        <v>88</v>
      </c>
      <c r="H2819" s="2" t="s">
        <v>21</v>
      </c>
      <c r="I2819" s="2" t="s">
        <v>5959</v>
      </c>
      <c r="J2819" s="3" t="str">
        <f>HYPERLINK("https://www.boe.es/gazeta/dias/1821/03/22/pdfs/GMD-1821-81.pdf#page=4","Abrir facsímil")</f>
        <v>Abrir facsímil</v>
      </c>
      <c r="K2819" s="3" t="s">
        <v>23</v>
      </c>
    </row>
    <row r="2820" spans="1:11" ht="42" customHeight="1">
      <c r="A2820" s="2" t="s">
        <v>5960</v>
      </c>
      <c r="B2820" s="2" t="s">
        <v>5961</v>
      </c>
      <c r="C2820" s="2" t="s">
        <v>114</v>
      </c>
      <c r="D2820" s="2" t="s">
        <v>27</v>
      </c>
      <c r="E2820" s="5">
        <v>-28540</v>
      </c>
      <c r="F2820" s="3" t="s">
        <v>2672</v>
      </c>
      <c r="G2820" s="3" t="s">
        <v>20</v>
      </c>
      <c r="H2820" s="2" t="s">
        <v>21</v>
      </c>
      <c r="I2820" s="2" t="s">
        <v>5962</v>
      </c>
      <c r="J2820" s="3" t="str">
        <f>HYPERLINK("https://www.boe.es/gazeta/dias/1821/11/09/pdfs/GMD-1821-320.pdf#page=3","Abrir facsímil")</f>
        <v>Abrir facsímil</v>
      </c>
      <c r="K2820" s="3" t="s">
        <v>23</v>
      </c>
    </row>
    <row r="2821" spans="1:11" ht="42" customHeight="1">
      <c r="A2821" s="2" t="s">
        <v>5963</v>
      </c>
      <c r="B2821" s="2" t="s">
        <v>5963</v>
      </c>
      <c r="C2821" s="2" t="s">
        <v>35</v>
      </c>
      <c r="D2821" s="2" t="s">
        <v>27</v>
      </c>
      <c r="E2821" s="5">
        <v>-28530</v>
      </c>
      <c r="F2821" s="3" t="s">
        <v>237</v>
      </c>
      <c r="G2821" s="3" t="s">
        <v>52</v>
      </c>
      <c r="H2821" s="2" t="s">
        <v>21</v>
      </c>
      <c r="I2821" s="2" t="s">
        <v>5964</v>
      </c>
      <c r="J2821" s="3" t="str">
        <f>HYPERLINK("https://www.boe.es/gazeta/dias/1821/11/19/pdfs/GMD-1821-330.pdf#page=2","Abrir facsímil")</f>
        <v>Abrir facsímil</v>
      </c>
      <c r="K2821" s="3" t="s">
        <v>23</v>
      </c>
    </row>
    <row r="2822" spans="1:11" ht="42" customHeight="1">
      <c r="A2822" s="2" t="s">
        <v>5965</v>
      </c>
      <c r="B2822" s="2" t="s">
        <v>5965</v>
      </c>
      <c r="C2822" s="2" t="s">
        <v>40</v>
      </c>
      <c r="D2822" s="2" t="s">
        <v>41</v>
      </c>
      <c r="E2822" s="5">
        <v>-28756</v>
      </c>
      <c r="F2822" s="3" t="s">
        <v>3145</v>
      </c>
      <c r="G2822" s="3" t="s">
        <v>43</v>
      </c>
      <c r="H2822" s="2" t="s">
        <v>21</v>
      </c>
      <c r="I2822" s="2" t="s">
        <v>5966</v>
      </c>
      <c r="J2822" s="3" t="str">
        <f>HYPERLINK("https://www.boe.es/gazeta/dias/1821/04/07/pdfs/GMD-1821-99.pdf#page=1","Abrir facsímil")</f>
        <v>Abrir facsímil</v>
      </c>
      <c r="K2822" s="3" t="s">
        <v>23</v>
      </c>
    </row>
    <row r="2823" spans="1:11" ht="42" customHeight="1">
      <c r="A2823" s="2" t="s">
        <v>5967</v>
      </c>
      <c r="B2823" s="2" t="s">
        <v>5968</v>
      </c>
      <c r="C2823" s="2" t="s">
        <v>26</v>
      </c>
      <c r="D2823" s="2" t="s">
        <v>27</v>
      </c>
      <c r="E2823" s="5">
        <v>-28540</v>
      </c>
      <c r="F2823" s="3" t="s">
        <v>2672</v>
      </c>
      <c r="G2823" s="3" t="s">
        <v>20</v>
      </c>
      <c r="H2823" s="2" t="s">
        <v>21</v>
      </c>
      <c r="I2823" s="2" t="s">
        <v>5969</v>
      </c>
      <c r="J2823" s="3" t="str">
        <f>HYPERLINK("https://www.boe.es/gazeta/dias/1821/11/09/pdfs/GMD-1821-320.pdf#page=3","Abrir facsímil")</f>
        <v>Abrir facsímil</v>
      </c>
      <c r="K2823" s="3" t="s">
        <v>23</v>
      </c>
    </row>
    <row r="2824" spans="1:11" ht="42" customHeight="1">
      <c r="A2824" s="2" t="s">
        <v>5970</v>
      </c>
      <c r="B2824" s="2" t="s">
        <v>5970</v>
      </c>
      <c r="C2824" s="2" t="s">
        <v>17</v>
      </c>
      <c r="D2824" s="2" t="s">
        <v>18</v>
      </c>
      <c r="E2824" s="5">
        <v>-28513</v>
      </c>
      <c r="F2824" s="3" t="s">
        <v>502</v>
      </c>
      <c r="G2824" s="3" t="s">
        <v>20</v>
      </c>
      <c r="H2824" s="2" t="s">
        <v>21</v>
      </c>
      <c r="I2824" s="2" t="s">
        <v>5971</v>
      </c>
      <c r="J2824" s="3" t="str">
        <f>HYPERLINK("https://www.boe.es/gazeta/dias/1821/12/06/pdfs/GMD-1821-348.pdf#page=3","Abrir facsímil")</f>
        <v>Abrir facsímil</v>
      </c>
      <c r="K2824" s="3" t="s">
        <v>23</v>
      </c>
    </row>
    <row r="2825" spans="1:11" ht="42" customHeight="1">
      <c r="A2825" s="2" t="s">
        <v>5970</v>
      </c>
      <c r="B2825" s="2" t="s">
        <v>5970</v>
      </c>
      <c r="C2825" s="2" t="s">
        <v>40</v>
      </c>
      <c r="D2825" s="2" t="s">
        <v>41</v>
      </c>
      <c r="E2825" s="5">
        <v>-28513</v>
      </c>
      <c r="F2825" s="3" t="s">
        <v>502</v>
      </c>
      <c r="G2825" s="3" t="s">
        <v>88</v>
      </c>
      <c r="H2825" s="2" t="s">
        <v>21</v>
      </c>
      <c r="I2825" s="2" t="s">
        <v>5972</v>
      </c>
      <c r="J2825" s="3" t="str">
        <f>HYPERLINK("https://www.boe.es/gazeta/dias/1821/12/06/pdfs/GMD-1821-348.pdf#page=4","Abrir facsímil")</f>
        <v>Abrir facsímil</v>
      </c>
      <c r="K2825" s="3" t="s">
        <v>23</v>
      </c>
    </row>
    <row r="2826" spans="1:11" ht="42" customHeight="1">
      <c r="A2826" s="2" t="s">
        <v>5973</v>
      </c>
      <c r="B2826" s="2" t="s">
        <v>5973</v>
      </c>
      <c r="C2826" s="2" t="s">
        <v>40</v>
      </c>
      <c r="D2826" s="2" t="s">
        <v>41</v>
      </c>
      <c r="E2826" s="5">
        <v>-28849</v>
      </c>
      <c r="F2826" s="3" t="s">
        <v>1989</v>
      </c>
      <c r="G2826" s="3" t="s">
        <v>52</v>
      </c>
      <c r="H2826" s="2" t="s">
        <v>21</v>
      </c>
      <c r="I2826" s="2" t="s">
        <v>5974</v>
      </c>
      <c r="J2826" s="3" t="str">
        <f>HYPERLINK("https://www.boe.es/gazeta/dias/1821/01/04/pdfs/GGB-1821-4.pdf#page=2","Abrir facsímil")</f>
        <v>Abrir facsímil</v>
      </c>
      <c r="K2826" s="3" t="s">
        <v>23</v>
      </c>
    </row>
    <row r="2827" spans="1:11" ht="42" customHeight="1">
      <c r="A2827" s="2" t="s">
        <v>5973</v>
      </c>
      <c r="B2827" s="2" t="s">
        <v>5973</v>
      </c>
      <c r="C2827" s="2" t="s">
        <v>17</v>
      </c>
      <c r="D2827" s="2" t="s">
        <v>18</v>
      </c>
      <c r="E2827" s="5">
        <v>-28793</v>
      </c>
      <c r="F2827" s="3" t="s">
        <v>157</v>
      </c>
      <c r="G2827" s="3" t="s">
        <v>162</v>
      </c>
      <c r="H2827" s="2" t="s">
        <v>21</v>
      </c>
      <c r="I2827" s="2" t="s">
        <v>5975</v>
      </c>
      <c r="J2827" s="3" t="str">
        <f>HYPERLINK("https://www.boe.es/gazeta/dias/1821/03/01/pdfs/GGB-1821-60.pdf#page=5","Abrir facsímil")</f>
        <v>Abrir facsímil</v>
      </c>
      <c r="K2827" s="3" t="s">
        <v>23</v>
      </c>
    </row>
    <row r="2828" spans="1:11" ht="42" customHeight="1">
      <c r="A2828" s="2" t="s">
        <v>5973</v>
      </c>
      <c r="B2828" s="2" t="s">
        <v>5973</v>
      </c>
      <c r="C2828" s="2" t="s">
        <v>114</v>
      </c>
      <c r="D2828" s="2" t="s">
        <v>27</v>
      </c>
      <c r="E2828" s="5">
        <v>-28738</v>
      </c>
      <c r="F2828" s="3" t="s">
        <v>359</v>
      </c>
      <c r="G2828" s="3" t="s">
        <v>20</v>
      </c>
      <c r="H2828" s="2" t="s">
        <v>21</v>
      </c>
      <c r="I2828" s="2" t="s">
        <v>5976</v>
      </c>
      <c r="J2828" s="3" t="str">
        <f>HYPERLINK("https://www.boe.es/gazeta/dias/1821/04/25/pdfs/GMD-1821-117.pdf#page=3","Abrir facsímil")</f>
        <v>Abrir facsímil</v>
      </c>
      <c r="K2828" s="3" t="s">
        <v>23</v>
      </c>
    </row>
    <row r="2829" spans="1:11" ht="42" customHeight="1">
      <c r="A2829" s="2" t="s">
        <v>5973</v>
      </c>
      <c r="B2829" s="2" t="s">
        <v>5973</v>
      </c>
      <c r="C2829" s="2" t="s">
        <v>17</v>
      </c>
      <c r="D2829" s="2" t="s">
        <v>18</v>
      </c>
      <c r="E2829" s="5">
        <v>-28657</v>
      </c>
      <c r="F2829" s="3" t="s">
        <v>5977</v>
      </c>
      <c r="G2829" s="3" t="s">
        <v>88</v>
      </c>
      <c r="H2829" s="2" t="s">
        <v>21</v>
      </c>
      <c r="I2829" s="2" t="s">
        <v>5978</v>
      </c>
      <c r="J2829" s="3" t="str">
        <f>HYPERLINK("https://www.boe.es/gazeta/dias/1821/07/15/pdfs/GMD-1821-200.pdf#page=4","Abrir facsímil")</f>
        <v>Abrir facsímil</v>
      </c>
      <c r="K2829" s="3" t="s">
        <v>23</v>
      </c>
    </row>
    <row r="2830" spans="1:11" ht="42" customHeight="1">
      <c r="A2830" s="2" t="s">
        <v>5979</v>
      </c>
      <c r="B2830" s="2" t="s">
        <v>5980</v>
      </c>
      <c r="C2830" s="2" t="s">
        <v>26</v>
      </c>
      <c r="D2830" s="2" t="s">
        <v>27</v>
      </c>
      <c r="E2830" s="5">
        <v>-28806</v>
      </c>
      <c r="F2830" s="3" t="s">
        <v>1201</v>
      </c>
      <c r="G2830" s="3" t="s">
        <v>88</v>
      </c>
      <c r="H2830" s="2" t="s">
        <v>21</v>
      </c>
      <c r="I2830" s="2" t="s">
        <v>5981</v>
      </c>
      <c r="J2830" s="3" t="str">
        <f>HYPERLINK("https://www.boe.es/gazeta/dias/1821/02/16/pdfs/GGB-1821-47.pdf#page=4","Abrir facsímil")</f>
        <v>Abrir facsímil</v>
      </c>
      <c r="K2830" s="3" t="s">
        <v>23</v>
      </c>
    </row>
    <row r="2831" spans="1:11" ht="42" customHeight="1">
      <c r="A2831" s="2" t="s">
        <v>5982</v>
      </c>
      <c r="B2831" s="2" t="s">
        <v>5983</v>
      </c>
      <c r="C2831" s="2" t="s">
        <v>17</v>
      </c>
      <c r="D2831" s="2" t="s">
        <v>18</v>
      </c>
      <c r="E2831" s="5">
        <v>-28509</v>
      </c>
      <c r="F2831" s="3" t="s">
        <v>388</v>
      </c>
      <c r="G2831" s="3" t="s">
        <v>333</v>
      </c>
      <c r="H2831" s="2" t="s">
        <v>21</v>
      </c>
      <c r="I2831" s="2" t="s">
        <v>5984</v>
      </c>
      <c r="J2831" s="3" t="str">
        <f>HYPERLINK("https://www.boe.es/gazeta/dias/1821/12/10/pdfs/GMD-1821-352.pdf#page=8","Abrir facsímil")</f>
        <v>Abrir facsímil</v>
      </c>
      <c r="K2831" s="3" t="s">
        <v>23</v>
      </c>
    </row>
    <row r="2832" spans="1:11" ht="42" customHeight="1">
      <c r="A2832" s="2" t="s">
        <v>5985</v>
      </c>
      <c r="B2832" s="2" t="s">
        <v>5986</v>
      </c>
      <c r="C2832" s="2" t="s">
        <v>40</v>
      </c>
      <c r="D2832" s="2" t="s">
        <v>41</v>
      </c>
      <c r="E2832" s="5">
        <v>-28577</v>
      </c>
      <c r="F2832" s="3" t="s">
        <v>858</v>
      </c>
      <c r="G2832" s="3" t="s">
        <v>88</v>
      </c>
      <c r="H2832" s="2" t="s">
        <v>21</v>
      </c>
      <c r="I2832" s="2" t="s">
        <v>5987</v>
      </c>
      <c r="J2832" s="3" t="str">
        <f>HYPERLINK("https://www.boe.es/gazeta/dias/1821/10/03/pdfs/GMD-1821-282.pdf#page=4","Abrir facsímil")</f>
        <v>Abrir facsímil</v>
      </c>
      <c r="K2832" s="3" t="s">
        <v>23</v>
      </c>
    </row>
    <row r="2833" spans="1:11" ht="42" customHeight="1">
      <c r="A2833" s="2" t="s">
        <v>5988</v>
      </c>
      <c r="B2833" s="2" t="s">
        <v>5988</v>
      </c>
      <c r="C2833" s="2" t="s">
        <v>40</v>
      </c>
      <c r="D2833" s="2" t="s">
        <v>41</v>
      </c>
      <c r="E2833" s="5">
        <v>-28646</v>
      </c>
      <c r="F2833" s="3" t="s">
        <v>1457</v>
      </c>
      <c r="G2833" s="3" t="s">
        <v>43</v>
      </c>
      <c r="H2833" s="2" t="s">
        <v>21</v>
      </c>
      <c r="I2833" s="2" t="s">
        <v>5989</v>
      </c>
      <c r="J2833" s="3" t="str">
        <f>HYPERLINK("https://www.boe.es/gazeta/dias/1821/07/26/pdfs/GMD-1821-211.pdf#page=1","Abrir facsímil")</f>
        <v>Abrir facsímil</v>
      </c>
      <c r="K2833" s="3" t="s">
        <v>23</v>
      </c>
    </row>
    <row r="2834" spans="1:11" ht="42" customHeight="1">
      <c r="A2834" s="2" t="s">
        <v>5990</v>
      </c>
      <c r="B2834" s="2" t="s">
        <v>5990</v>
      </c>
      <c r="C2834" s="2" t="s">
        <v>40</v>
      </c>
      <c r="D2834" s="2" t="s">
        <v>41</v>
      </c>
      <c r="E2834" s="5">
        <v>-28646</v>
      </c>
      <c r="F2834" s="3" t="s">
        <v>1457</v>
      </c>
      <c r="G2834" s="3" t="s">
        <v>43</v>
      </c>
      <c r="H2834" s="2" t="s">
        <v>21</v>
      </c>
      <c r="I2834" s="2" t="s">
        <v>5991</v>
      </c>
      <c r="J2834" s="3" t="str">
        <f>HYPERLINK("https://www.boe.es/gazeta/dias/1821/07/26/pdfs/GMD-1821-211.pdf#page=1","Abrir facsímil")</f>
        <v>Abrir facsímil</v>
      </c>
      <c r="K2834" s="3" t="s">
        <v>23</v>
      </c>
    </row>
    <row r="2835" spans="1:11" ht="42" customHeight="1">
      <c r="A2835" s="2" t="s">
        <v>5992</v>
      </c>
      <c r="B2835" s="2" t="s">
        <v>5992</v>
      </c>
      <c r="C2835" s="2" t="s">
        <v>40</v>
      </c>
      <c r="D2835" s="2" t="s">
        <v>41</v>
      </c>
      <c r="E2835" s="5">
        <v>-28641</v>
      </c>
      <c r="F2835" s="3" t="s">
        <v>398</v>
      </c>
      <c r="G2835" s="3" t="s">
        <v>20</v>
      </c>
      <c r="H2835" s="2" t="s">
        <v>21</v>
      </c>
      <c r="I2835" s="2" t="s">
        <v>5993</v>
      </c>
      <c r="J2835" s="3" t="str">
        <f>HYPERLINK("https://www.boe.es/gazeta/dias/1821/07/31/pdfs/GMD-1821-216.pdf#page=3","Abrir facsímil")</f>
        <v>Abrir facsímil</v>
      </c>
      <c r="K2835" s="3" t="s">
        <v>23</v>
      </c>
    </row>
    <row r="2836" spans="1:11" ht="42" customHeight="1">
      <c r="A2836" s="2" t="s">
        <v>5994</v>
      </c>
      <c r="B2836" s="2" t="s">
        <v>5994</v>
      </c>
      <c r="C2836" s="2" t="s">
        <v>40</v>
      </c>
      <c r="D2836" s="2" t="s">
        <v>41</v>
      </c>
      <c r="E2836" s="5">
        <v>-28489</v>
      </c>
      <c r="F2836" s="3" t="s">
        <v>3894</v>
      </c>
      <c r="G2836" s="3" t="s">
        <v>88</v>
      </c>
      <c r="H2836" s="2" t="s">
        <v>21</v>
      </c>
      <c r="I2836" s="2" t="s">
        <v>5995</v>
      </c>
      <c r="J2836" s="3" t="str">
        <f>HYPERLINK("https://www.boe.es/gazeta/dias/1821/12/30/pdfs/GMD-1821-373.pdf#page=4","Abrir facsímil")</f>
        <v>Abrir facsímil</v>
      </c>
      <c r="K2836" s="3" t="s">
        <v>23</v>
      </c>
    </row>
    <row r="2837" spans="1:11" ht="42" customHeight="1">
      <c r="A2837" s="2" t="s">
        <v>5996</v>
      </c>
      <c r="B2837" s="2" t="s">
        <v>5996</v>
      </c>
      <c r="C2837" s="2" t="s">
        <v>40</v>
      </c>
      <c r="D2837" s="2" t="s">
        <v>41</v>
      </c>
      <c r="E2837" s="5">
        <v>-28783</v>
      </c>
      <c r="F2837" s="3" t="s">
        <v>198</v>
      </c>
      <c r="G2837" s="3" t="s">
        <v>20</v>
      </c>
      <c r="H2837" s="2" t="s">
        <v>21</v>
      </c>
      <c r="I2837" s="2" t="s">
        <v>5997</v>
      </c>
      <c r="J2837" s="3" t="str">
        <f>HYPERLINK("https://www.boe.es/gazeta/dias/1821/03/11/pdfs/GGB-1821-70.pdf#page=3","Abrir facsímil")</f>
        <v>Abrir facsímil</v>
      </c>
      <c r="K2837" s="3" t="s">
        <v>23</v>
      </c>
    </row>
    <row r="2838" spans="1:11" ht="42" customHeight="1">
      <c r="A2838" s="2" t="s">
        <v>5996</v>
      </c>
      <c r="B2838" s="2" t="s">
        <v>5996</v>
      </c>
      <c r="C2838" s="2" t="s">
        <v>40</v>
      </c>
      <c r="D2838" s="2" t="s">
        <v>41</v>
      </c>
      <c r="E2838" s="5">
        <v>-28783</v>
      </c>
      <c r="F2838" s="3" t="s">
        <v>198</v>
      </c>
      <c r="G2838" s="3" t="s">
        <v>88</v>
      </c>
      <c r="H2838" s="2" t="s">
        <v>21</v>
      </c>
      <c r="I2838" s="2" t="s">
        <v>5998</v>
      </c>
      <c r="J2838" s="3" t="str">
        <f>HYPERLINK("https://www.boe.es/gazeta/dias/1821/03/11/pdfs/GGB-1821-70.pdf#page=4","Abrir facsímil")</f>
        <v>Abrir facsímil</v>
      </c>
      <c r="K2838" s="3" t="s">
        <v>23</v>
      </c>
    </row>
    <row r="2839" spans="1:11" ht="42" customHeight="1">
      <c r="A2839" s="2" t="s">
        <v>5999</v>
      </c>
      <c r="B2839" s="2" t="s">
        <v>6000</v>
      </c>
      <c r="C2839" s="2" t="s">
        <v>40</v>
      </c>
      <c r="D2839" s="2" t="s">
        <v>41</v>
      </c>
      <c r="E2839" s="5">
        <v>-28507</v>
      </c>
      <c r="F2839" s="3" t="s">
        <v>1158</v>
      </c>
      <c r="G2839" s="3" t="s">
        <v>88</v>
      </c>
      <c r="H2839" s="2" t="s">
        <v>21</v>
      </c>
      <c r="I2839" s="2" t="s">
        <v>6001</v>
      </c>
      <c r="J2839" s="3" t="str">
        <f>HYPERLINK("https://www.boe.es/gazeta/dias/1821/12/12/pdfs/GMD-1821-354.pdf#page=4","Abrir facsímil")</f>
        <v>Abrir facsímil</v>
      </c>
      <c r="K2839" s="3" t="s">
        <v>23</v>
      </c>
    </row>
    <row r="2840" spans="1:11" ht="42" customHeight="1">
      <c r="A2840" s="2" t="s">
        <v>6002</v>
      </c>
      <c r="B2840" s="2" t="s">
        <v>6003</v>
      </c>
      <c r="C2840" s="2" t="s">
        <v>40</v>
      </c>
      <c r="D2840" s="2" t="s">
        <v>41</v>
      </c>
      <c r="E2840" s="5">
        <v>-28510</v>
      </c>
      <c r="F2840" s="3" t="s">
        <v>83</v>
      </c>
      <c r="G2840" s="3" t="s">
        <v>52</v>
      </c>
      <c r="H2840" s="2" t="s">
        <v>21</v>
      </c>
      <c r="I2840" s="2" t="s">
        <v>6004</v>
      </c>
      <c r="J2840" s="3" t="str">
        <f>HYPERLINK("https://www.boe.es/gazeta/dias/1821/12/09/pdfs/GMD-1821-351.pdf#page=2","Abrir facsímil")</f>
        <v>Abrir facsímil</v>
      </c>
      <c r="K2840" s="3" t="s">
        <v>23</v>
      </c>
    </row>
    <row r="2841" spans="1:11" ht="42" customHeight="1">
      <c r="A2841" s="2" t="s">
        <v>6005</v>
      </c>
      <c r="B2841" s="2" t="s">
        <v>6005</v>
      </c>
      <c r="C2841" s="2" t="s">
        <v>40</v>
      </c>
      <c r="D2841" s="2" t="s">
        <v>41</v>
      </c>
      <c r="E2841" s="5">
        <v>-28498</v>
      </c>
      <c r="F2841" s="3" t="s">
        <v>447</v>
      </c>
      <c r="G2841" s="3" t="s">
        <v>88</v>
      </c>
      <c r="H2841" s="2" t="s">
        <v>21</v>
      </c>
      <c r="I2841" s="2" t="s">
        <v>6006</v>
      </c>
      <c r="J2841" s="3" t="str">
        <f>HYPERLINK("https://www.boe.es/gazeta/dias/1821/12/21/pdfs/GMD-1821-364.pdf#page=4","Abrir facsímil")</f>
        <v>Abrir facsímil</v>
      </c>
      <c r="K2841" s="3" t="s">
        <v>23</v>
      </c>
    </row>
    <row r="2842" spans="1:11" ht="42" customHeight="1">
      <c r="A2842" s="2" t="s">
        <v>6007</v>
      </c>
      <c r="B2842" s="2" t="s">
        <v>6008</v>
      </c>
      <c r="C2842" s="2" t="s">
        <v>35</v>
      </c>
      <c r="D2842" s="2" t="s">
        <v>27</v>
      </c>
      <c r="E2842" s="5">
        <v>-28635</v>
      </c>
      <c r="F2842" s="3" t="s">
        <v>1210</v>
      </c>
      <c r="G2842" s="3" t="s">
        <v>20</v>
      </c>
      <c r="H2842" s="2" t="s">
        <v>21</v>
      </c>
      <c r="I2842" s="2" t="s">
        <v>6009</v>
      </c>
      <c r="J2842" s="3" t="str">
        <f>HYPERLINK("https://www.boe.es/gazeta/dias/1821/08/06/pdfs/GMD-1821-222.pdf#page=3","Abrir facsímil")</f>
        <v>Abrir facsímil</v>
      </c>
      <c r="K2842" s="3" t="s">
        <v>23</v>
      </c>
    </row>
    <row r="2843" spans="1:11" ht="42" customHeight="1">
      <c r="A2843" s="2" t="s">
        <v>6010</v>
      </c>
      <c r="B2843" s="2" t="s">
        <v>6011</v>
      </c>
      <c r="C2843" s="2" t="s">
        <v>35</v>
      </c>
      <c r="D2843" s="2" t="s">
        <v>27</v>
      </c>
      <c r="E2843" s="5">
        <v>-28734</v>
      </c>
      <c r="F2843" s="3" t="s">
        <v>1553</v>
      </c>
      <c r="G2843" s="3" t="s">
        <v>20</v>
      </c>
      <c r="H2843" s="2" t="s">
        <v>21</v>
      </c>
      <c r="I2843" s="2" t="s">
        <v>6012</v>
      </c>
      <c r="J2843" s="3" t="str">
        <f>HYPERLINK("https://www.boe.es/gazeta/dias/1821/04/29/pdfs/GMD-1821-121.pdf#page=3","Abrir facsímil")</f>
        <v>Abrir facsímil</v>
      </c>
      <c r="K2843" s="3" t="s">
        <v>23</v>
      </c>
    </row>
    <row r="2844" spans="1:11" ht="42" customHeight="1">
      <c r="A2844" s="2" t="s">
        <v>6013</v>
      </c>
      <c r="B2844" s="2" t="s">
        <v>6014</v>
      </c>
      <c r="C2844" s="2" t="s">
        <v>17</v>
      </c>
      <c r="D2844" s="2" t="s">
        <v>18</v>
      </c>
      <c r="E2844" s="5">
        <v>-28532</v>
      </c>
      <c r="F2844" s="3" t="s">
        <v>1415</v>
      </c>
      <c r="G2844" s="3" t="s">
        <v>29</v>
      </c>
      <c r="H2844" s="2" t="s">
        <v>21</v>
      </c>
      <c r="I2844" s="2" t="s">
        <v>6015</v>
      </c>
      <c r="J2844" s="3" t="str">
        <f>HYPERLINK("https://www.boe.es/gazeta/dias/1821/11/17/pdfs/GMD-1821-328.pdf#page=6","Abrir facsímil")</f>
        <v>Abrir facsímil</v>
      </c>
      <c r="K2844" s="3" t="s">
        <v>23</v>
      </c>
    </row>
    <row r="2845" spans="1:11" ht="42" customHeight="1">
      <c r="A2845" s="2" t="s">
        <v>6016</v>
      </c>
      <c r="B2845" s="2" t="s">
        <v>6017</v>
      </c>
      <c r="C2845" s="2" t="s">
        <v>17</v>
      </c>
      <c r="D2845" s="2" t="s">
        <v>18</v>
      </c>
      <c r="E2845" s="5">
        <v>-28776</v>
      </c>
      <c r="F2845" s="3" t="s">
        <v>312</v>
      </c>
      <c r="G2845" s="3" t="s">
        <v>29</v>
      </c>
      <c r="H2845" s="2" t="s">
        <v>21</v>
      </c>
      <c r="I2845" s="2" t="s">
        <v>6018</v>
      </c>
      <c r="J2845" s="3" t="str">
        <f>HYPERLINK("https://www.boe.es/gazeta/dias/1821/03/18/pdfs/GMD-1821-77.pdf#page=6","Abrir facsímil")</f>
        <v>Abrir facsímil</v>
      </c>
      <c r="K2845" s="3" t="s">
        <v>23</v>
      </c>
    </row>
    <row r="2846" spans="1:11" ht="42" customHeight="1">
      <c r="A2846" s="2" t="s">
        <v>6019</v>
      </c>
      <c r="B2846" s="2" t="s">
        <v>6020</v>
      </c>
      <c r="C2846" s="2" t="s">
        <v>40</v>
      </c>
      <c r="D2846" s="2" t="s">
        <v>41</v>
      </c>
      <c r="E2846" s="5">
        <v>-28636</v>
      </c>
      <c r="F2846" s="3" t="s">
        <v>122</v>
      </c>
      <c r="G2846" s="3" t="s">
        <v>20</v>
      </c>
      <c r="H2846" s="2" t="s">
        <v>21</v>
      </c>
      <c r="I2846" s="2" t="s">
        <v>6021</v>
      </c>
      <c r="J2846" s="3" t="str">
        <f>HYPERLINK("https://www.boe.es/gazeta/dias/1821/08/05/pdfs/GMD-1821-221.pdf#page=3","Abrir facsímil")</f>
        <v>Abrir facsímil</v>
      </c>
      <c r="K2846" s="3" t="s">
        <v>23</v>
      </c>
    </row>
    <row r="2847" spans="1:11" ht="42" customHeight="1">
      <c r="A2847" s="2" t="s">
        <v>6022</v>
      </c>
      <c r="B2847" s="2" t="s">
        <v>6022</v>
      </c>
      <c r="C2847" s="2" t="s">
        <v>40</v>
      </c>
      <c r="D2847" s="2" t="s">
        <v>41</v>
      </c>
      <c r="E2847" s="5">
        <v>-28661</v>
      </c>
      <c r="F2847" s="3" t="s">
        <v>2298</v>
      </c>
      <c r="G2847" s="3" t="s">
        <v>20</v>
      </c>
      <c r="H2847" s="2" t="s">
        <v>21</v>
      </c>
      <c r="I2847" s="2" t="s">
        <v>6023</v>
      </c>
      <c r="J2847" s="3" t="str">
        <f>HYPERLINK("https://www.boe.es/gazeta/dias/1821/07/11/pdfs/GMD-1821-196.pdf#page=3","Abrir facsímil")</f>
        <v>Abrir facsímil</v>
      </c>
      <c r="K2847" s="3" t="s">
        <v>23</v>
      </c>
    </row>
    <row r="2848" spans="1:11" ht="42" customHeight="1">
      <c r="A2848" s="2" t="s">
        <v>6024</v>
      </c>
      <c r="B2848" s="2" t="s">
        <v>6024</v>
      </c>
      <c r="C2848" s="2" t="s">
        <v>17</v>
      </c>
      <c r="D2848" s="2" t="s">
        <v>18</v>
      </c>
      <c r="E2848" s="5">
        <v>-28781</v>
      </c>
      <c r="F2848" s="3" t="s">
        <v>149</v>
      </c>
      <c r="G2848" s="3" t="s">
        <v>29</v>
      </c>
      <c r="H2848" s="2" t="s">
        <v>21</v>
      </c>
      <c r="I2848" s="2" t="s">
        <v>6025</v>
      </c>
      <c r="J2848" s="3" t="str">
        <f>HYPERLINK("https://www.boe.es/gazeta/dias/1821/03/13/pdfs/GMD-1821-72.pdf#page=6","Abrir facsímil")</f>
        <v>Abrir facsímil</v>
      </c>
      <c r="K2848" s="3" t="s">
        <v>23</v>
      </c>
    </row>
    <row r="2849" spans="1:11" ht="42" customHeight="1">
      <c r="A2849" s="2" t="s">
        <v>6026</v>
      </c>
      <c r="B2849" s="2" t="s">
        <v>6027</v>
      </c>
      <c r="C2849" s="2" t="s">
        <v>26</v>
      </c>
      <c r="D2849" s="2" t="s">
        <v>27</v>
      </c>
      <c r="E2849" s="5">
        <v>-28759</v>
      </c>
      <c r="F2849" s="3" t="s">
        <v>71</v>
      </c>
      <c r="G2849" s="3" t="s">
        <v>43</v>
      </c>
      <c r="H2849" s="2" t="s">
        <v>21</v>
      </c>
      <c r="I2849" s="2" t="s">
        <v>6028</v>
      </c>
      <c r="J2849" s="3" t="str">
        <f>HYPERLINK("https://www.boe.es/gazeta/dias/1821/04/04/pdfs/GMD-1821-96.pdf#page=1","Abrir facsímil")</f>
        <v>Abrir facsímil</v>
      </c>
      <c r="K2849" s="3" t="s">
        <v>23</v>
      </c>
    </row>
    <row r="2850" spans="1:11" ht="42" customHeight="1">
      <c r="A2850" s="2" t="s">
        <v>6029</v>
      </c>
      <c r="B2850" s="2" t="s">
        <v>6030</v>
      </c>
      <c r="C2850" s="2" t="s">
        <v>26</v>
      </c>
      <c r="D2850" s="2" t="s">
        <v>27</v>
      </c>
      <c r="E2850" s="5">
        <v>-28547</v>
      </c>
      <c r="F2850" s="3" t="s">
        <v>247</v>
      </c>
      <c r="G2850" s="3" t="s">
        <v>248</v>
      </c>
      <c r="H2850" s="2" t="s">
        <v>21</v>
      </c>
      <c r="I2850" s="2" t="s">
        <v>6031</v>
      </c>
      <c r="J2850" s="3" t="str">
        <f>HYPERLINK("https://www.boe.es/gazeta/dias/1821/11/02/pdfs/GMD-1821-312.pdf#page=2","Abrir facsímil")</f>
        <v>Abrir facsímil</v>
      </c>
      <c r="K2850" s="3" t="s">
        <v>23</v>
      </c>
    </row>
    <row r="2851" spans="1:11" ht="42" customHeight="1">
      <c r="A2851" s="2" t="s">
        <v>6032</v>
      </c>
      <c r="B2851" s="2" t="s">
        <v>6033</v>
      </c>
      <c r="C2851" s="2" t="s">
        <v>17</v>
      </c>
      <c r="D2851" s="2" t="s">
        <v>18</v>
      </c>
      <c r="E2851" s="5">
        <v>-28528</v>
      </c>
      <c r="F2851" s="3" t="s">
        <v>1872</v>
      </c>
      <c r="G2851" s="3" t="s">
        <v>52</v>
      </c>
      <c r="H2851" s="2" t="s">
        <v>21</v>
      </c>
      <c r="I2851" s="2" t="s">
        <v>6034</v>
      </c>
      <c r="J2851" s="3" t="str">
        <f>HYPERLINK("https://www.boe.es/gazeta/dias/1821/11/21/pdfs/GMD-1821-332.pdf#page=2","Abrir facsímil")</f>
        <v>Abrir facsímil</v>
      </c>
      <c r="K2851" s="3" t="s">
        <v>23</v>
      </c>
    </row>
    <row r="2852" spans="1:11" ht="42" customHeight="1">
      <c r="A2852" s="2" t="s">
        <v>6035</v>
      </c>
      <c r="B2852" s="2" t="s">
        <v>6036</v>
      </c>
      <c r="C2852" s="2" t="s">
        <v>35</v>
      </c>
      <c r="D2852" s="2" t="s">
        <v>27</v>
      </c>
      <c r="E2852" s="5">
        <v>-28729</v>
      </c>
      <c r="F2852" s="3" t="s">
        <v>838</v>
      </c>
      <c r="G2852" s="3" t="s">
        <v>88</v>
      </c>
      <c r="H2852" s="2" t="s">
        <v>30</v>
      </c>
      <c r="I2852" s="2" t="s">
        <v>6037</v>
      </c>
      <c r="J2852" s="3" t="str">
        <f>HYPERLINK("https://www.boe.es/gazeta/dias/1821/05/04/pdfs/GMD-1821-126.pdf#page=4","Abrir facsímil")</f>
        <v>Abrir facsímil</v>
      </c>
      <c r="K2852" s="3" t="s">
        <v>32</v>
      </c>
    </row>
    <row r="2853" spans="1:11" ht="42" customHeight="1">
      <c r="A2853" s="2" t="s">
        <v>6038</v>
      </c>
      <c r="B2853" s="2" t="s">
        <v>6038</v>
      </c>
      <c r="C2853" s="2" t="s">
        <v>17</v>
      </c>
      <c r="D2853" s="2" t="s">
        <v>18</v>
      </c>
      <c r="E2853" s="5">
        <v>-28504</v>
      </c>
      <c r="F2853" s="3" t="s">
        <v>1098</v>
      </c>
      <c r="G2853" s="3" t="s">
        <v>88</v>
      </c>
      <c r="H2853" s="2" t="s">
        <v>21</v>
      </c>
      <c r="I2853" s="2" t="s">
        <v>6039</v>
      </c>
      <c r="J2853" s="3" t="str">
        <f>HYPERLINK("https://www.boe.es/gazeta/dias/1821/12/15/pdfs/GMD-1821-358.pdf#page=4","Abrir facsímil")</f>
        <v>Abrir facsímil</v>
      </c>
      <c r="K2853" s="3" t="s">
        <v>23</v>
      </c>
    </row>
    <row r="2854" spans="1:11" ht="42" customHeight="1">
      <c r="A2854" s="2" t="s">
        <v>6040</v>
      </c>
      <c r="B2854" s="2" t="s">
        <v>6040</v>
      </c>
      <c r="C2854" s="2" t="s">
        <v>26</v>
      </c>
      <c r="D2854" s="2" t="s">
        <v>27</v>
      </c>
      <c r="E2854" s="5">
        <v>-28549</v>
      </c>
      <c r="F2854" s="3" t="s">
        <v>930</v>
      </c>
      <c r="G2854" s="3" t="s">
        <v>88</v>
      </c>
      <c r="H2854" s="2" t="s">
        <v>21</v>
      </c>
      <c r="I2854" s="2" t="s">
        <v>6041</v>
      </c>
      <c r="J2854" s="3" t="str">
        <f>HYPERLINK("https://www.boe.es/gazeta/dias/1821/10/31/pdfs/GMD-1821-310.pdf#page=4","Abrir facsímil")</f>
        <v>Abrir facsímil</v>
      </c>
      <c r="K2854" s="3" t="s">
        <v>23</v>
      </c>
    </row>
    <row r="2855" spans="1:11" ht="42" customHeight="1">
      <c r="A2855" s="2" t="s">
        <v>6042</v>
      </c>
      <c r="B2855" s="2" t="s">
        <v>6042</v>
      </c>
      <c r="C2855" s="2" t="s">
        <v>70</v>
      </c>
      <c r="D2855" s="2" t="s">
        <v>27</v>
      </c>
      <c r="E2855" s="5">
        <v>-28736</v>
      </c>
      <c r="F2855" s="3" t="s">
        <v>464</v>
      </c>
      <c r="G2855" s="3" t="s">
        <v>20</v>
      </c>
      <c r="H2855" s="2" t="s">
        <v>21</v>
      </c>
      <c r="I2855" s="2" t="s">
        <v>6043</v>
      </c>
      <c r="J2855" s="3" t="str">
        <f>HYPERLINK("https://www.boe.es/gazeta/dias/1821/04/27/pdfs/GMD-1821-119.pdf#page=3","Abrir facsímil")</f>
        <v>Abrir facsímil</v>
      </c>
      <c r="K2855" s="3" t="s">
        <v>23</v>
      </c>
    </row>
    <row r="2856" spans="1:11" ht="42" customHeight="1">
      <c r="A2856" s="2" t="s">
        <v>6042</v>
      </c>
      <c r="B2856" s="2" t="s">
        <v>6042</v>
      </c>
      <c r="C2856" s="2" t="s">
        <v>70</v>
      </c>
      <c r="D2856" s="2" t="s">
        <v>27</v>
      </c>
      <c r="E2856" s="5">
        <v>-28731</v>
      </c>
      <c r="F2856" s="3" t="s">
        <v>577</v>
      </c>
      <c r="G2856" s="3" t="s">
        <v>20</v>
      </c>
      <c r="H2856" s="2" t="s">
        <v>21</v>
      </c>
      <c r="I2856" s="2" t="s">
        <v>6044</v>
      </c>
      <c r="J2856" s="3" t="str">
        <f>HYPERLINK("https://www.boe.es/gazeta/dias/1821/05/02/pdfs/GMD-1821-124.pdf#page=3","Abrir facsímil")</f>
        <v>Abrir facsímil</v>
      </c>
      <c r="K2856" s="3" t="s">
        <v>23</v>
      </c>
    </row>
    <row r="2857" spans="1:11" ht="42" customHeight="1">
      <c r="A2857" s="2" t="s">
        <v>6042</v>
      </c>
      <c r="B2857" s="2" t="s">
        <v>6042</v>
      </c>
      <c r="C2857" s="2" t="s">
        <v>70</v>
      </c>
      <c r="D2857" s="2" t="s">
        <v>27</v>
      </c>
      <c r="E2857" s="5">
        <v>-28696</v>
      </c>
      <c r="F2857" s="3" t="s">
        <v>497</v>
      </c>
      <c r="G2857" s="3" t="s">
        <v>20</v>
      </c>
      <c r="H2857" s="2" t="s">
        <v>21</v>
      </c>
      <c r="I2857" s="2" t="s">
        <v>6045</v>
      </c>
      <c r="J2857" s="3" t="str">
        <f>HYPERLINK("https://www.boe.es/gazeta/dias/1821/06/06/pdfs/GMD-1821-159.pdf#page=3","Abrir facsímil")</f>
        <v>Abrir facsímil</v>
      </c>
      <c r="K2857" s="3" t="s">
        <v>23</v>
      </c>
    </row>
    <row r="2858" spans="1:11" ht="42" customHeight="1">
      <c r="A2858" s="2" t="s">
        <v>6042</v>
      </c>
      <c r="B2858" s="2" t="s">
        <v>6042</v>
      </c>
      <c r="C2858" s="2" t="s">
        <v>17</v>
      </c>
      <c r="D2858" s="2" t="s">
        <v>18</v>
      </c>
      <c r="E2858" s="5">
        <v>-28693</v>
      </c>
      <c r="F2858" s="3" t="s">
        <v>74</v>
      </c>
      <c r="G2858" s="3" t="s">
        <v>162</v>
      </c>
      <c r="H2858" s="2" t="s">
        <v>21</v>
      </c>
      <c r="I2858" s="2" t="s">
        <v>6046</v>
      </c>
      <c r="J2858" s="3" t="str">
        <f>HYPERLINK("https://www.boe.es/gazeta/dias/1821/06/09/pdfs/GMD-1821-162.pdf#page=5","Abrir facsímil")</f>
        <v>Abrir facsímil</v>
      </c>
      <c r="K2858" s="3" t="s">
        <v>23</v>
      </c>
    </row>
    <row r="2859" spans="1:11" ht="42" customHeight="1">
      <c r="A2859" s="2" t="s">
        <v>6042</v>
      </c>
      <c r="B2859" s="2" t="s">
        <v>6042</v>
      </c>
      <c r="C2859" s="2" t="s">
        <v>35</v>
      </c>
      <c r="D2859" s="2" t="s">
        <v>27</v>
      </c>
      <c r="E2859" s="5">
        <v>-28676</v>
      </c>
      <c r="F2859" s="3" t="s">
        <v>534</v>
      </c>
      <c r="G2859" s="3" t="s">
        <v>88</v>
      </c>
      <c r="H2859" s="2" t="s">
        <v>21</v>
      </c>
      <c r="I2859" s="2" t="s">
        <v>6047</v>
      </c>
      <c r="J2859" s="3" t="str">
        <f>HYPERLINK("https://www.boe.es/gazeta/dias/1821/06/26/pdfs/GMD-1821-179.pdf#page=4","Abrir facsímil")</f>
        <v>Abrir facsímil</v>
      </c>
      <c r="K2859" s="3" t="s">
        <v>23</v>
      </c>
    </row>
    <row r="2860" spans="1:11" ht="42" customHeight="1">
      <c r="A2860" s="2" t="s">
        <v>6042</v>
      </c>
      <c r="B2860" s="2" t="s">
        <v>6042</v>
      </c>
      <c r="C2860" s="2" t="s">
        <v>26</v>
      </c>
      <c r="D2860" s="2" t="s">
        <v>27</v>
      </c>
      <c r="E2860" s="5">
        <v>-28676</v>
      </c>
      <c r="F2860" s="3" t="s">
        <v>534</v>
      </c>
      <c r="G2860" s="3" t="s">
        <v>162</v>
      </c>
      <c r="H2860" s="2" t="s">
        <v>21</v>
      </c>
      <c r="I2860" s="2" t="s">
        <v>6048</v>
      </c>
      <c r="J2860" s="3" t="str">
        <f>HYPERLINK("https://www.boe.es/gazeta/dias/1821/06/26/pdfs/GMD-1821-179.pdf#page=5","Abrir facsímil")</f>
        <v>Abrir facsímil</v>
      </c>
      <c r="K2860" s="3" t="s">
        <v>23</v>
      </c>
    </row>
    <row r="2861" spans="1:11" ht="42" customHeight="1">
      <c r="A2861" s="2" t="s">
        <v>6042</v>
      </c>
      <c r="B2861" s="2" t="s">
        <v>6042</v>
      </c>
      <c r="C2861" s="2" t="s">
        <v>26</v>
      </c>
      <c r="D2861" s="2" t="s">
        <v>27</v>
      </c>
      <c r="E2861" s="5">
        <v>-28574</v>
      </c>
      <c r="F2861" s="3" t="s">
        <v>779</v>
      </c>
      <c r="G2861" s="3" t="s">
        <v>609</v>
      </c>
      <c r="H2861" s="2" t="s">
        <v>21</v>
      </c>
      <c r="I2861" s="2" t="s">
        <v>6049</v>
      </c>
      <c r="J2861" s="3" t="str">
        <f>HYPERLINK("https://www.boe.es/gazeta/dias/1821/10/06/pdfs/GMD-1821-285.pdf#page=7","Abrir facsímil")</f>
        <v>Abrir facsímil</v>
      </c>
      <c r="K2861" s="3" t="s">
        <v>23</v>
      </c>
    </row>
    <row r="2862" spans="1:11" ht="42" customHeight="1">
      <c r="A2862" s="2" t="s">
        <v>6042</v>
      </c>
      <c r="B2862" s="2" t="s">
        <v>6042</v>
      </c>
      <c r="C2862" s="2" t="s">
        <v>174</v>
      </c>
      <c r="D2862" s="2" t="s">
        <v>27</v>
      </c>
      <c r="E2862" s="5">
        <v>-28572</v>
      </c>
      <c r="F2862" s="3" t="s">
        <v>1072</v>
      </c>
      <c r="G2862" s="3" t="s">
        <v>20</v>
      </c>
      <c r="H2862" s="2" t="s">
        <v>21</v>
      </c>
      <c r="I2862" s="2" t="s">
        <v>6050</v>
      </c>
      <c r="J2862" s="3" t="str">
        <f>HYPERLINK("https://www.boe.es/gazeta/dias/1821/10/08/pdfs/GMD-1821-287.pdf#page=3","Abrir facsímil")</f>
        <v>Abrir facsímil</v>
      </c>
      <c r="K2862" s="3" t="s">
        <v>23</v>
      </c>
    </row>
    <row r="2863" spans="1:11" ht="42" customHeight="1">
      <c r="A2863" s="2" t="s">
        <v>6042</v>
      </c>
      <c r="B2863" s="2" t="s">
        <v>6042</v>
      </c>
      <c r="C2863" s="2" t="s">
        <v>35</v>
      </c>
      <c r="D2863" s="2" t="s">
        <v>27</v>
      </c>
      <c r="E2863" s="5">
        <v>-28566</v>
      </c>
      <c r="F2863" s="3" t="s">
        <v>1529</v>
      </c>
      <c r="G2863" s="3" t="s">
        <v>20</v>
      </c>
      <c r="H2863" s="2" t="s">
        <v>21</v>
      </c>
      <c r="I2863" s="2" t="s">
        <v>6051</v>
      </c>
      <c r="J2863" s="3" t="str">
        <f>HYPERLINK("https://www.boe.es/gazeta/dias/1821/10/14/pdfs/GMD-1821-293.pdf#page=3","Abrir facsímil")</f>
        <v>Abrir facsímil</v>
      </c>
      <c r="K2863" s="3" t="s">
        <v>23</v>
      </c>
    </row>
    <row r="2864" spans="1:11" ht="42" customHeight="1">
      <c r="A2864" s="2" t="s">
        <v>6042</v>
      </c>
      <c r="B2864" s="2" t="s">
        <v>6042</v>
      </c>
      <c r="C2864" s="2" t="s">
        <v>114</v>
      </c>
      <c r="D2864" s="2" t="s">
        <v>27</v>
      </c>
      <c r="E2864" s="5">
        <v>-28550</v>
      </c>
      <c r="F2864" s="3" t="s">
        <v>546</v>
      </c>
      <c r="G2864" s="3" t="s">
        <v>162</v>
      </c>
      <c r="H2864" s="2" t="s">
        <v>21</v>
      </c>
      <c r="I2864" s="2" t="s">
        <v>6052</v>
      </c>
      <c r="J2864" s="3" t="str">
        <f>HYPERLINK("https://www.boe.es/gazeta/dias/1821/10/30/pdfs/GMD-1821-309.pdf#page=5","Abrir facsímil")</f>
        <v>Abrir facsímil</v>
      </c>
      <c r="K2864" s="3" t="s">
        <v>23</v>
      </c>
    </row>
    <row r="2865" spans="1:11" ht="42" customHeight="1">
      <c r="A2865" s="2" t="s">
        <v>6042</v>
      </c>
      <c r="B2865" s="2" t="s">
        <v>6042</v>
      </c>
      <c r="C2865" s="2" t="s">
        <v>114</v>
      </c>
      <c r="D2865" s="2" t="s">
        <v>27</v>
      </c>
      <c r="E2865" s="5">
        <v>-28549</v>
      </c>
      <c r="F2865" s="3" t="s">
        <v>930</v>
      </c>
      <c r="G2865" s="3" t="s">
        <v>88</v>
      </c>
      <c r="H2865" s="2" t="s">
        <v>21</v>
      </c>
      <c r="I2865" s="2" t="s">
        <v>6053</v>
      </c>
      <c r="J2865" s="3" t="str">
        <f>HYPERLINK("https://www.boe.es/gazeta/dias/1821/10/31/pdfs/GMD-1821-310.pdf#page=4","Abrir facsímil")</f>
        <v>Abrir facsímil</v>
      </c>
      <c r="K2865" s="3" t="s">
        <v>23</v>
      </c>
    </row>
    <row r="2866" spans="1:11" ht="42" customHeight="1">
      <c r="A2866" s="2" t="s">
        <v>6042</v>
      </c>
      <c r="B2866" s="2" t="s">
        <v>6042</v>
      </c>
      <c r="C2866" s="2" t="s">
        <v>114</v>
      </c>
      <c r="D2866" s="2" t="s">
        <v>27</v>
      </c>
      <c r="E2866" s="5">
        <v>-28539</v>
      </c>
      <c r="F2866" s="3" t="s">
        <v>153</v>
      </c>
      <c r="G2866" s="3" t="s">
        <v>29</v>
      </c>
      <c r="H2866" s="2" t="s">
        <v>21</v>
      </c>
      <c r="I2866" s="2" t="s">
        <v>6054</v>
      </c>
      <c r="J2866" s="3" t="str">
        <f>HYPERLINK("https://www.boe.es/gazeta/dias/1821/11/10/pdfs/GMD-1821-321.pdf#page=6","Abrir facsímil")</f>
        <v>Abrir facsímil</v>
      </c>
      <c r="K2866" s="3" t="s">
        <v>23</v>
      </c>
    </row>
    <row r="2867" spans="1:11" ht="42" customHeight="1">
      <c r="A2867" s="2" t="s">
        <v>6042</v>
      </c>
      <c r="B2867" s="2" t="s">
        <v>6042</v>
      </c>
      <c r="C2867" s="2" t="s">
        <v>26</v>
      </c>
      <c r="D2867" s="2" t="s">
        <v>27</v>
      </c>
      <c r="E2867" s="5">
        <v>-28528</v>
      </c>
      <c r="F2867" s="3" t="s">
        <v>1872</v>
      </c>
      <c r="G2867" s="3" t="s">
        <v>88</v>
      </c>
      <c r="H2867" s="2" t="s">
        <v>21</v>
      </c>
      <c r="I2867" s="2" t="s">
        <v>6055</v>
      </c>
      <c r="J2867" s="3" t="str">
        <f>HYPERLINK("https://www.boe.es/gazeta/dias/1821/11/21/pdfs/GMD-1821-332.pdf#page=4","Abrir facsímil")</f>
        <v>Abrir facsímil</v>
      </c>
      <c r="K2867" s="3" t="s">
        <v>23</v>
      </c>
    </row>
    <row r="2868" spans="1:11" ht="42" customHeight="1">
      <c r="A2868" s="2" t="s">
        <v>6042</v>
      </c>
      <c r="B2868" s="2" t="s">
        <v>6042</v>
      </c>
      <c r="C2868" s="2" t="s">
        <v>17</v>
      </c>
      <c r="D2868" s="2" t="s">
        <v>18</v>
      </c>
      <c r="E2868" s="5">
        <v>-28522</v>
      </c>
      <c r="F2868" s="3" t="s">
        <v>1083</v>
      </c>
      <c r="G2868" s="3" t="s">
        <v>162</v>
      </c>
      <c r="H2868" s="2" t="s">
        <v>21</v>
      </c>
      <c r="I2868" s="2" t="s">
        <v>6056</v>
      </c>
      <c r="J2868" s="3" t="str">
        <f>HYPERLINK("https://www.boe.es/gazeta/dias/1821/11/27/pdfs/GMD-1821-339.pdf#page=5","Abrir facsímil")</f>
        <v>Abrir facsímil</v>
      </c>
      <c r="K2868" s="3" t="s">
        <v>23</v>
      </c>
    </row>
    <row r="2869" spans="1:11" ht="42" customHeight="1">
      <c r="A2869" s="2" t="s">
        <v>6042</v>
      </c>
      <c r="B2869" s="2" t="s">
        <v>6042</v>
      </c>
      <c r="C2869" s="2" t="s">
        <v>17</v>
      </c>
      <c r="D2869" s="2" t="s">
        <v>18</v>
      </c>
      <c r="E2869" s="5">
        <v>-28505</v>
      </c>
      <c r="F2869" s="3" t="s">
        <v>567</v>
      </c>
      <c r="G2869" s="3" t="s">
        <v>20</v>
      </c>
      <c r="H2869" s="2" t="s">
        <v>21</v>
      </c>
      <c r="I2869" s="2" t="s">
        <v>6057</v>
      </c>
      <c r="J2869" s="3" t="str">
        <f>HYPERLINK("https://www.boe.es/gazeta/dias/1821/12/14/pdfs/GMD-1821-357.pdf#page=3","Abrir facsímil")</f>
        <v>Abrir facsímil</v>
      </c>
      <c r="K2869" s="3" t="s">
        <v>23</v>
      </c>
    </row>
    <row r="2870" spans="1:11" ht="42" customHeight="1">
      <c r="A2870" s="2" t="s">
        <v>6042</v>
      </c>
      <c r="B2870" s="2" t="s">
        <v>6042</v>
      </c>
      <c r="C2870" s="2" t="s">
        <v>40</v>
      </c>
      <c r="D2870" s="2" t="s">
        <v>41</v>
      </c>
      <c r="E2870" s="5">
        <v>-28504</v>
      </c>
      <c r="F2870" s="3" t="s">
        <v>1098</v>
      </c>
      <c r="G2870" s="3" t="s">
        <v>3862</v>
      </c>
      <c r="H2870" s="2" t="s">
        <v>21</v>
      </c>
      <c r="I2870" s="2" t="s">
        <v>6058</v>
      </c>
      <c r="J2870" s="3" t="str">
        <f>HYPERLINK("https://www.boe.es/gazeta/dias/1821/12/15/pdfs/GMD-1821-358.pdf#page=5","Abrir facsímil")</f>
        <v>Abrir facsímil</v>
      </c>
      <c r="K2870" s="3" t="s">
        <v>23</v>
      </c>
    </row>
    <row r="2871" spans="1:11" ht="42" customHeight="1">
      <c r="A2871" s="2" t="s">
        <v>6042</v>
      </c>
      <c r="B2871" s="2" t="s">
        <v>6042</v>
      </c>
      <c r="C2871" s="2" t="s">
        <v>17</v>
      </c>
      <c r="D2871" s="2" t="s">
        <v>18</v>
      </c>
      <c r="E2871" s="5">
        <v>-28504</v>
      </c>
      <c r="F2871" s="3" t="s">
        <v>1098</v>
      </c>
      <c r="G2871" s="3" t="s">
        <v>88</v>
      </c>
      <c r="H2871" s="2" t="s">
        <v>21</v>
      </c>
      <c r="I2871" s="2" t="s">
        <v>6059</v>
      </c>
      <c r="J2871" s="3" t="str">
        <f>HYPERLINK("https://www.boe.es/gazeta/dias/1821/12/15/pdfs/GMD-1821-358.pdf#page=4","Abrir facsímil")</f>
        <v>Abrir facsímil</v>
      </c>
      <c r="K2871" s="3" t="s">
        <v>23</v>
      </c>
    </row>
    <row r="2872" spans="1:11" ht="42" customHeight="1">
      <c r="A2872" s="2" t="s">
        <v>6060</v>
      </c>
      <c r="B2872" s="2" t="s">
        <v>6060</v>
      </c>
      <c r="C2872" s="2" t="s">
        <v>35</v>
      </c>
      <c r="D2872" s="2" t="s">
        <v>27</v>
      </c>
      <c r="E2872" s="5">
        <v>-28496</v>
      </c>
      <c r="F2872" s="3" t="s">
        <v>785</v>
      </c>
      <c r="G2872" s="3" t="s">
        <v>20</v>
      </c>
      <c r="H2872" s="2" t="s">
        <v>21</v>
      </c>
      <c r="I2872" s="2" t="s">
        <v>6061</v>
      </c>
      <c r="J2872" s="3" t="str">
        <f>HYPERLINK("https://www.boe.es/gazeta/dias/1821/12/23/pdfs/GMD-1821-366.pdf#page=3","Abrir facsímil")</f>
        <v>Abrir facsímil</v>
      </c>
      <c r="K2872" s="3" t="s">
        <v>23</v>
      </c>
    </row>
    <row r="2873" spans="1:11" ht="42" customHeight="1">
      <c r="A2873" s="2" t="s">
        <v>6042</v>
      </c>
      <c r="B2873" s="2" t="s">
        <v>6042</v>
      </c>
      <c r="C2873" s="2" t="s">
        <v>35</v>
      </c>
      <c r="D2873" s="2" t="s">
        <v>27</v>
      </c>
      <c r="E2873" s="5">
        <v>-28495</v>
      </c>
      <c r="F2873" s="3" t="s">
        <v>227</v>
      </c>
      <c r="G2873" s="3" t="s">
        <v>3883</v>
      </c>
      <c r="H2873" s="2" t="s">
        <v>21</v>
      </c>
      <c r="I2873" s="2" t="s">
        <v>6062</v>
      </c>
      <c r="J2873" s="3" t="str">
        <f>HYPERLINK("https://www.boe.es/gazeta/dias/1821/12/24/pdfs/GMD-1821-367.pdf#page=5","Abrir facsímil")</f>
        <v>Abrir facsímil</v>
      </c>
      <c r="K2873" s="3" t="s">
        <v>23</v>
      </c>
    </row>
    <row r="2874" spans="1:11" ht="42" customHeight="1">
      <c r="A2874" s="2" t="s">
        <v>6042</v>
      </c>
      <c r="B2874" s="2" t="s">
        <v>6042</v>
      </c>
      <c r="C2874" s="2" t="s">
        <v>26</v>
      </c>
      <c r="D2874" s="2" t="s">
        <v>27</v>
      </c>
      <c r="E2874" s="5">
        <v>-28488</v>
      </c>
      <c r="F2874" s="3" t="s">
        <v>1563</v>
      </c>
      <c r="G2874" s="3" t="s">
        <v>52</v>
      </c>
      <c r="H2874" s="2" t="s">
        <v>21</v>
      </c>
      <c r="I2874" s="2" t="s">
        <v>6063</v>
      </c>
      <c r="J2874" s="3" t="str">
        <f>HYPERLINK("https://www.boe.es/gazeta/dias/1821/12/31/pdfs/GMD-1821-374.pdf#page=2","Abrir facsímil")</f>
        <v>Abrir facsímil</v>
      </c>
      <c r="K2874" s="3" t="s">
        <v>23</v>
      </c>
    </row>
    <row r="2875" spans="1:11" ht="42" customHeight="1">
      <c r="A2875" s="2" t="s">
        <v>6064</v>
      </c>
      <c r="B2875" s="2" t="s">
        <v>6065</v>
      </c>
      <c r="C2875" s="2" t="s">
        <v>40</v>
      </c>
      <c r="D2875" s="2" t="s">
        <v>41</v>
      </c>
      <c r="E2875" s="5">
        <v>-28580</v>
      </c>
      <c r="F2875" s="3" t="s">
        <v>175</v>
      </c>
      <c r="G2875" s="3" t="s">
        <v>88</v>
      </c>
      <c r="H2875" s="2" t="s">
        <v>21</v>
      </c>
      <c r="I2875" s="2" t="s">
        <v>6066</v>
      </c>
      <c r="J2875" s="3" t="str">
        <f>HYPERLINK("https://www.boe.es/gazeta/dias/1821/09/30/pdfs/GMD-1821-279.pdf#page=4","Abrir facsímil")</f>
        <v>Abrir facsímil</v>
      </c>
      <c r="K2875" s="3" t="s">
        <v>23</v>
      </c>
    </row>
    <row r="2876" spans="1:11" ht="42" customHeight="1">
      <c r="A2876" s="2" t="s">
        <v>6067</v>
      </c>
      <c r="B2876" s="2" t="s">
        <v>6068</v>
      </c>
      <c r="C2876" s="2" t="s">
        <v>17</v>
      </c>
      <c r="D2876" s="2" t="s">
        <v>18</v>
      </c>
      <c r="E2876" s="5">
        <v>-28781</v>
      </c>
      <c r="F2876" s="3" t="s">
        <v>149</v>
      </c>
      <c r="G2876" s="3" t="s">
        <v>29</v>
      </c>
      <c r="H2876" s="2" t="s">
        <v>21</v>
      </c>
      <c r="I2876" s="2" t="s">
        <v>6069</v>
      </c>
      <c r="J2876" s="3" t="str">
        <f>HYPERLINK("https://www.boe.es/gazeta/dias/1821/03/13/pdfs/GMD-1821-72.pdf#page=6","Abrir facsímil")</f>
        <v>Abrir facsímil</v>
      </c>
      <c r="K2876" s="3" t="s">
        <v>23</v>
      </c>
    </row>
    <row r="2877" spans="1:11" ht="42" customHeight="1">
      <c r="A2877" s="2" t="s">
        <v>6070</v>
      </c>
      <c r="B2877" s="2" t="s">
        <v>6071</v>
      </c>
      <c r="C2877" s="2" t="s">
        <v>26</v>
      </c>
      <c r="D2877" s="2" t="s">
        <v>27</v>
      </c>
      <c r="E2877" s="5">
        <v>-28512</v>
      </c>
      <c r="F2877" s="3" t="s">
        <v>66</v>
      </c>
      <c r="G2877" s="3" t="s">
        <v>43</v>
      </c>
      <c r="H2877" s="2" t="s">
        <v>21</v>
      </c>
      <c r="I2877" s="2" t="s">
        <v>6072</v>
      </c>
      <c r="J2877" s="3" t="str">
        <f>HYPERLINK("https://www.boe.es/gazeta/dias/1821/12/07/pdfs/GMD-1821-349.pdf#page=1","Abrir facsímil")</f>
        <v>Abrir facsímil</v>
      </c>
      <c r="K2877" s="3" t="s">
        <v>23</v>
      </c>
    </row>
    <row r="2878" spans="1:11" ht="42" customHeight="1">
      <c r="A2878" s="2" t="s">
        <v>6073</v>
      </c>
      <c r="B2878" s="2" t="s">
        <v>6074</v>
      </c>
      <c r="C2878" s="2" t="s">
        <v>40</v>
      </c>
      <c r="D2878" s="2" t="s">
        <v>41</v>
      </c>
      <c r="E2878" s="5">
        <v>-28629</v>
      </c>
      <c r="F2878" s="3" t="s">
        <v>235</v>
      </c>
      <c r="G2878" s="3" t="s">
        <v>88</v>
      </c>
      <c r="H2878" s="2" t="s">
        <v>21</v>
      </c>
      <c r="I2878" s="2" t="s">
        <v>6075</v>
      </c>
      <c r="J2878" s="3" t="str">
        <f>HYPERLINK("https://www.boe.es/gazeta/dias/1821/08/12/pdfs/GMD-1821-229.pdf#page=4","Abrir facsímil")</f>
        <v>Abrir facsímil</v>
      </c>
      <c r="K2878" s="3" t="s">
        <v>23</v>
      </c>
    </row>
    <row r="2879" spans="1:11" ht="42" customHeight="1">
      <c r="A2879" s="2" t="s">
        <v>6076</v>
      </c>
      <c r="B2879" s="2" t="s">
        <v>6076</v>
      </c>
      <c r="C2879" s="2" t="s">
        <v>40</v>
      </c>
      <c r="D2879" s="2" t="s">
        <v>41</v>
      </c>
      <c r="E2879" s="5">
        <v>-28763</v>
      </c>
      <c r="F2879" s="3" t="s">
        <v>1145</v>
      </c>
      <c r="G2879" s="3" t="s">
        <v>43</v>
      </c>
      <c r="H2879" s="2" t="s">
        <v>21</v>
      </c>
      <c r="I2879" s="2" t="s">
        <v>6077</v>
      </c>
      <c r="J2879" s="3" t="str">
        <f>HYPERLINK("https://www.boe.es/gazeta/dias/1821/03/31/pdfs/GMD-1821-92.pdf#page=1","Abrir facsímil")</f>
        <v>Abrir facsímil</v>
      </c>
      <c r="K2879" s="3" t="s">
        <v>23</v>
      </c>
    </row>
    <row r="2880" spans="1:11" ht="42" customHeight="1">
      <c r="A2880" s="2" t="s">
        <v>6078</v>
      </c>
      <c r="B2880" s="2" t="s">
        <v>6078</v>
      </c>
      <c r="C2880" s="2" t="s">
        <v>40</v>
      </c>
      <c r="D2880" s="2" t="s">
        <v>41</v>
      </c>
      <c r="E2880" s="5">
        <v>-28525</v>
      </c>
      <c r="F2880" s="3" t="s">
        <v>186</v>
      </c>
      <c r="G2880" s="3" t="s">
        <v>43</v>
      </c>
      <c r="H2880" s="2" t="s">
        <v>21</v>
      </c>
      <c r="I2880" s="2" t="s">
        <v>6079</v>
      </c>
      <c r="J2880" s="3" t="str">
        <f>HYPERLINK("https://www.boe.es/gazeta/dias/1821/11/24/pdfs/GMD-1821-335.pdf#page=1","Abrir facsímil")</f>
        <v>Abrir facsímil</v>
      </c>
      <c r="K2880" s="3" t="s">
        <v>23</v>
      </c>
    </row>
    <row r="2881" spans="1:11" ht="42" customHeight="1">
      <c r="A2881" s="2" t="s">
        <v>6080</v>
      </c>
      <c r="B2881" s="2" t="s">
        <v>6080</v>
      </c>
      <c r="C2881" s="2" t="s">
        <v>40</v>
      </c>
      <c r="D2881" s="2" t="s">
        <v>41</v>
      </c>
      <c r="E2881" s="5">
        <v>-28673</v>
      </c>
      <c r="F2881" s="3" t="s">
        <v>1069</v>
      </c>
      <c r="G2881" s="3" t="s">
        <v>43</v>
      </c>
      <c r="H2881" s="2" t="s">
        <v>21</v>
      </c>
      <c r="I2881" s="2" t="s">
        <v>6081</v>
      </c>
      <c r="J2881" s="3" t="str">
        <f>HYPERLINK("https://www.boe.es/gazeta/dias/1821/06/29/pdfs/GMD-1821-182.pdf#page=1","Abrir facsímil")</f>
        <v>Abrir facsímil</v>
      </c>
      <c r="K2881" s="3" t="s">
        <v>23</v>
      </c>
    </row>
    <row r="2882" spans="1:11" ht="42" customHeight="1">
      <c r="A2882" s="2" t="s">
        <v>6082</v>
      </c>
      <c r="B2882" s="2" t="s">
        <v>6083</v>
      </c>
      <c r="C2882" s="2" t="s">
        <v>40</v>
      </c>
      <c r="D2882" s="2" t="s">
        <v>41</v>
      </c>
      <c r="E2882" s="5">
        <v>-28789</v>
      </c>
      <c r="F2882" s="3" t="s">
        <v>36</v>
      </c>
      <c r="G2882" s="3" t="s">
        <v>20</v>
      </c>
      <c r="H2882" s="2" t="s">
        <v>21</v>
      </c>
      <c r="I2882" s="2" t="s">
        <v>6084</v>
      </c>
      <c r="J2882" s="3" t="str">
        <f>HYPERLINK("https://www.boe.es/gazeta/dias/1821/03/05/pdfs/GGB-1821-64.pdf#page=3","Abrir facsímil")</f>
        <v>Abrir facsímil</v>
      </c>
      <c r="K2882" s="3" t="s">
        <v>23</v>
      </c>
    </row>
    <row r="2883" spans="1:11" ht="42" customHeight="1">
      <c r="A2883" s="2" t="s">
        <v>6085</v>
      </c>
      <c r="B2883" s="2" t="s">
        <v>6085</v>
      </c>
      <c r="C2883" s="2" t="s">
        <v>40</v>
      </c>
      <c r="D2883" s="2" t="s">
        <v>41</v>
      </c>
      <c r="E2883" s="5">
        <v>-28659</v>
      </c>
      <c r="F2883" s="3" t="s">
        <v>2850</v>
      </c>
      <c r="G2883" s="3" t="s">
        <v>52</v>
      </c>
      <c r="H2883" s="2" t="s">
        <v>21</v>
      </c>
      <c r="I2883" s="2" t="s">
        <v>6086</v>
      </c>
      <c r="J2883" s="3" t="str">
        <f>HYPERLINK("https://www.boe.es/gazeta/dias/1821/07/13/pdfs/GMD-1821-198.pdf#page=2","Abrir facsímil")</f>
        <v>Abrir facsímil</v>
      </c>
      <c r="K2883" s="3" t="s">
        <v>23</v>
      </c>
    </row>
    <row r="2884" spans="1:11" ht="42" customHeight="1">
      <c r="A2884" s="2" t="s">
        <v>6087</v>
      </c>
      <c r="B2884" s="2" t="s">
        <v>6087</v>
      </c>
      <c r="C2884" s="2" t="s">
        <v>40</v>
      </c>
      <c r="D2884" s="2" t="s">
        <v>41</v>
      </c>
      <c r="E2884" s="5">
        <v>-28585</v>
      </c>
      <c r="F2884" s="3" t="s">
        <v>627</v>
      </c>
      <c r="G2884" s="3" t="s">
        <v>43</v>
      </c>
      <c r="H2884" s="2" t="s">
        <v>21</v>
      </c>
      <c r="I2884" s="2" t="s">
        <v>6088</v>
      </c>
      <c r="J2884" s="3" t="str">
        <f>HYPERLINK("https://www.boe.es/gazeta/dias/1821/09/25/pdfs/GMD-1821-273.pdf#page=1","Abrir facsímil")</f>
        <v>Abrir facsímil</v>
      </c>
      <c r="K2884" s="3" t="s">
        <v>23</v>
      </c>
    </row>
    <row r="2885" spans="1:11" ht="42" customHeight="1">
      <c r="A2885" s="2" t="s">
        <v>6089</v>
      </c>
      <c r="B2885" s="2" t="s">
        <v>6089</v>
      </c>
      <c r="C2885" s="2" t="s">
        <v>40</v>
      </c>
      <c r="D2885" s="2" t="s">
        <v>41</v>
      </c>
      <c r="E2885" s="5">
        <v>-28760</v>
      </c>
      <c r="F2885" s="3" t="s">
        <v>170</v>
      </c>
      <c r="G2885" s="3" t="s">
        <v>88</v>
      </c>
      <c r="H2885" s="2" t="s">
        <v>21</v>
      </c>
      <c r="I2885" s="2" t="s">
        <v>6090</v>
      </c>
      <c r="J2885" s="3" t="str">
        <f>HYPERLINK("https://www.boe.es/gazeta/dias/1821/04/03/pdfs/GMD-1821-95.pdf#page=4","Abrir facsímil")</f>
        <v>Abrir facsímil</v>
      </c>
      <c r="K2885" s="3" t="s">
        <v>23</v>
      </c>
    </row>
    <row r="2886" spans="1:11" ht="42" customHeight="1">
      <c r="A2886" s="2" t="s">
        <v>6091</v>
      </c>
      <c r="B2886" s="2" t="s">
        <v>6092</v>
      </c>
      <c r="C2886" s="2" t="s">
        <v>26</v>
      </c>
      <c r="D2886" s="2" t="s">
        <v>27</v>
      </c>
      <c r="E2886" s="5">
        <v>-28844</v>
      </c>
      <c r="F2886" s="3" t="s">
        <v>1743</v>
      </c>
      <c r="G2886" s="3" t="s">
        <v>29</v>
      </c>
      <c r="H2886" s="2" t="s">
        <v>30</v>
      </c>
      <c r="I2886" s="2" t="s">
        <v>6093</v>
      </c>
      <c r="J2886" s="3" t="str">
        <f>HYPERLINK("https://www.boe.es/gazeta/dias/1821/01/09/pdfs/GGB-1821-9.pdf#page=6","Abrir facsímil")</f>
        <v>Abrir facsímil</v>
      </c>
      <c r="K2886" s="3" t="s">
        <v>32</v>
      </c>
    </row>
    <row r="2887" spans="1:11" ht="42" customHeight="1">
      <c r="A2887" s="2" t="s">
        <v>6094</v>
      </c>
      <c r="B2887" s="2" t="s">
        <v>6095</v>
      </c>
      <c r="C2887" s="2" t="s">
        <v>40</v>
      </c>
      <c r="D2887" s="2" t="s">
        <v>41</v>
      </c>
      <c r="E2887" s="5">
        <v>-28653</v>
      </c>
      <c r="F2887" s="3" t="s">
        <v>1179</v>
      </c>
      <c r="G2887" s="3" t="s">
        <v>20</v>
      </c>
      <c r="H2887" s="2" t="s">
        <v>30</v>
      </c>
      <c r="I2887" s="2" t="s">
        <v>6096</v>
      </c>
      <c r="J2887" s="3" t="str">
        <f>HYPERLINK("https://www.boe.es/gazeta/dias/1821/07/19/pdfs/GMD-1821-204.pdf#page=3","Abrir facsímil")</f>
        <v>Abrir facsímil</v>
      </c>
      <c r="K2887" s="3" t="s">
        <v>32</v>
      </c>
    </row>
    <row r="2888" spans="1:11" ht="42" customHeight="1">
      <c r="A2888" s="2" t="s">
        <v>6097</v>
      </c>
      <c r="B2888" s="2" t="s">
        <v>6098</v>
      </c>
      <c r="C2888" s="2" t="s">
        <v>40</v>
      </c>
      <c r="D2888" s="2" t="s">
        <v>41</v>
      </c>
      <c r="E2888" s="5">
        <v>-28710</v>
      </c>
      <c r="F2888" s="3" t="s">
        <v>375</v>
      </c>
      <c r="G2888" s="3" t="s">
        <v>88</v>
      </c>
      <c r="H2888" s="2" t="s">
        <v>30</v>
      </c>
      <c r="I2888" s="2" t="s">
        <v>6099</v>
      </c>
      <c r="J2888" s="3" t="str">
        <f>HYPERLINK("https://www.boe.es/gazeta/dias/1821/05/23/pdfs/GMD-1821-145.pdf#page=4","Abrir facsímil")</f>
        <v>Abrir facsímil</v>
      </c>
      <c r="K2888" s="3" t="s">
        <v>32</v>
      </c>
    </row>
    <row r="2889" spans="1:11" ht="42" customHeight="1">
      <c r="A2889" s="2" t="s">
        <v>6100</v>
      </c>
      <c r="B2889" s="2" t="s">
        <v>6101</v>
      </c>
      <c r="C2889" s="2" t="s">
        <v>17</v>
      </c>
      <c r="D2889" s="2" t="s">
        <v>18</v>
      </c>
      <c r="E2889" s="5">
        <v>-28643</v>
      </c>
      <c r="F2889" s="3" t="s">
        <v>1569</v>
      </c>
      <c r="G2889" s="3" t="s">
        <v>88</v>
      </c>
      <c r="H2889" s="2" t="s">
        <v>30</v>
      </c>
      <c r="I2889" s="2" t="s">
        <v>6102</v>
      </c>
      <c r="J2889" s="3" t="str">
        <f>HYPERLINK("https://www.boe.es/gazeta/dias/1821/07/29/pdfs/GMD-1821-214.pdf#page=4","Abrir facsímil")</f>
        <v>Abrir facsímil</v>
      </c>
      <c r="K2889" s="3" t="s">
        <v>32</v>
      </c>
    </row>
    <row r="2890" spans="1:11" ht="42" customHeight="1">
      <c r="A2890" s="2" t="s">
        <v>6103</v>
      </c>
      <c r="B2890" s="2" t="s">
        <v>6104</v>
      </c>
      <c r="C2890" s="2" t="s">
        <v>40</v>
      </c>
      <c r="D2890" s="2" t="s">
        <v>41</v>
      </c>
      <c r="E2890" s="5">
        <v>-28531</v>
      </c>
      <c r="F2890" s="3" t="s">
        <v>365</v>
      </c>
      <c r="G2890" s="3" t="s">
        <v>20</v>
      </c>
      <c r="H2890" s="2" t="s">
        <v>30</v>
      </c>
      <c r="I2890" s="2" t="s">
        <v>6105</v>
      </c>
      <c r="J2890" s="3" t="str">
        <f>HYPERLINK("https://www.boe.es/gazeta/dias/1821/11/18/pdfs/GMD-1821-329.pdf#page=3","Abrir facsímil")</f>
        <v>Abrir facsímil</v>
      </c>
      <c r="K2890" s="3" t="s">
        <v>32</v>
      </c>
    </row>
    <row r="2891" spans="1:11" ht="42" customHeight="1">
      <c r="A2891" s="2" t="s">
        <v>6106</v>
      </c>
      <c r="B2891" s="2" t="s">
        <v>6107</v>
      </c>
      <c r="C2891" s="2" t="s">
        <v>40</v>
      </c>
      <c r="D2891" s="2" t="s">
        <v>41</v>
      </c>
      <c r="E2891" s="5">
        <v>-28535</v>
      </c>
      <c r="F2891" s="3" t="s">
        <v>96</v>
      </c>
      <c r="G2891" s="3" t="s">
        <v>52</v>
      </c>
      <c r="H2891" s="2" t="s">
        <v>30</v>
      </c>
      <c r="I2891" s="2" t="s">
        <v>6108</v>
      </c>
      <c r="J2891" s="3" t="str">
        <f>HYPERLINK("https://www.boe.es/gazeta/dias/1821/11/14/pdfs/GMD-1821-325.pdf#page=2","Abrir facsímil")</f>
        <v>Abrir facsímil</v>
      </c>
      <c r="K2891" s="3" t="s">
        <v>32</v>
      </c>
    </row>
    <row r="2892" spans="1:11" ht="42" customHeight="1">
      <c r="A2892" s="2" t="s">
        <v>6109</v>
      </c>
      <c r="B2892" s="2" t="s">
        <v>6109</v>
      </c>
      <c r="C2892" s="2" t="s">
        <v>26</v>
      </c>
      <c r="D2892" s="2" t="s">
        <v>27</v>
      </c>
      <c r="E2892" s="5">
        <v>-28666</v>
      </c>
      <c r="F2892" s="3" t="s">
        <v>1263</v>
      </c>
      <c r="G2892" s="3" t="s">
        <v>88</v>
      </c>
      <c r="H2892" s="2" t="s">
        <v>21</v>
      </c>
      <c r="I2892" s="2" t="s">
        <v>6110</v>
      </c>
      <c r="J2892" s="3" t="str">
        <f>HYPERLINK("https://www.boe.es/gazeta/dias/1821/07/06/pdfs/GMD-1821-190.pdf#page=4","Abrir facsímil")</f>
        <v>Abrir facsímil</v>
      </c>
      <c r="K2892" s="3" t="s">
        <v>23</v>
      </c>
    </row>
    <row r="2893" spans="1:11" ht="42" customHeight="1">
      <c r="A2893" s="2" t="s">
        <v>6111</v>
      </c>
      <c r="B2893" s="2" t="s">
        <v>6112</v>
      </c>
      <c r="C2893" s="2" t="s">
        <v>17</v>
      </c>
      <c r="D2893" s="2" t="s">
        <v>18</v>
      </c>
      <c r="E2893" s="5">
        <v>-28686</v>
      </c>
      <c r="F2893" s="3" t="s">
        <v>115</v>
      </c>
      <c r="G2893" s="3" t="s">
        <v>88</v>
      </c>
      <c r="H2893" s="2" t="s">
        <v>21</v>
      </c>
      <c r="I2893" s="2" t="s">
        <v>6113</v>
      </c>
      <c r="J2893" s="3" t="str">
        <f>HYPERLINK("https://www.boe.es/gazeta/dias/1821/06/16/pdfs/GMD-1821-169.pdf#page=4","Abrir facsímil")</f>
        <v>Abrir facsímil</v>
      </c>
      <c r="K2893" s="3" t="s">
        <v>23</v>
      </c>
    </row>
    <row r="2894" spans="1:11" ht="42" customHeight="1">
      <c r="A2894" s="2" t="s">
        <v>6111</v>
      </c>
      <c r="B2894" s="2" t="s">
        <v>6112</v>
      </c>
      <c r="C2894" s="2" t="s">
        <v>40</v>
      </c>
      <c r="D2894" s="2" t="s">
        <v>41</v>
      </c>
      <c r="E2894" s="5">
        <v>-28608</v>
      </c>
      <c r="F2894" s="3" t="s">
        <v>805</v>
      </c>
      <c r="G2894" s="3" t="s">
        <v>88</v>
      </c>
      <c r="H2894" s="2" t="s">
        <v>21</v>
      </c>
      <c r="I2894" s="2" t="s">
        <v>6114</v>
      </c>
      <c r="J2894" s="3" t="str">
        <f>HYPERLINK("https://www.boe.es/gazeta/dias/1821/09/02/pdfs/GMD-1821-250.pdf#page=4","Abrir facsímil")</f>
        <v>Abrir facsímil</v>
      </c>
      <c r="K2894" s="3" t="s">
        <v>23</v>
      </c>
    </row>
    <row r="2895" spans="1:11" ht="42" customHeight="1">
      <c r="A2895" s="2" t="s">
        <v>6111</v>
      </c>
      <c r="B2895" s="2" t="s">
        <v>6112</v>
      </c>
      <c r="C2895" s="2" t="s">
        <v>35</v>
      </c>
      <c r="D2895" s="2" t="s">
        <v>27</v>
      </c>
      <c r="E2895" s="5">
        <v>-28527</v>
      </c>
      <c r="F2895" s="3" t="s">
        <v>328</v>
      </c>
      <c r="G2895" s="3" t="s">
        <v>88</v>
      </c>
      <c r="H2895" s="2" t="s">
        <v>21</v>
      </c>
      <c r="I2895" s="2" t="s">
        <v>6115</v>
      </c>
      <c r="J2895" s="3" t="str">
        <f>HYPERLINK("https://www.boe.es/gazeta/dias/1821/11/22/pdfs/GMD-1821-333.pdf#page=4","Abrir facsímil")</f>
        <v>Abrir facsímil</v>
      </c>
      <c r="K2895" s="3" t="s">
        <v>23</v>
      </c>
    </row>
    <row r="2896" spans="1:11" ht="42" customHeight="1">
      <c r="A2896" s="2" t="s">
        <v>6111</v>
      </c>
      <c r="B2896" s="2" t="s">
        <v>6112</v>
      </c>
      <c r="C2896" s="2" t="s">
        <v>40</v>
      </c>
      <c r="D2896" s="2" t="s">
        <v>41</v>
      </c>
      <c r="E2896" s="5">
        <v>-28499</v>
      </c>
      <c r="F2896" s="3" t="s">
        <v>954</v>
      </c>
      <c r="G2896" s="3" t="s">
        <v>88</v>
      </c>
      <c r="H2896" s="2" t="s">
        <v>21</v>
      </c>
      <c r="I2896" s="2" t="s">
        <v>6116</v>
      </c>
      <c r="J2896" s="3" t="str">
        <f>HYPERLINK("https://www.boe.es/gazeta/dias/1821/12/20/pdfs/GMD-1821-363.pdf#page=4","Abrir facsímil")</f>
        <v>Abrir facsímil</v>
      </c>
      <c r="K2896" s="3" t="s">
        <v>23</v>
      </c>
    </row>
    <row r="2897" spans="1:11" ht="42" customHeight="1">
      <c r="A2897" s="2" t="s">
        <v>6117</v>
      </c>
      <c r="B2897" s="2" t="s">
        <v>6118</v>
      </c>
      <c r="C2897" s="2" t="s">
        <v>40</v>
      </c>
      <c r="D2897" s="2" t="s">
        <v>41</v>
      </c>
      <c r="E2897" s="5">
        <v>-28652</v>
      </c>
      <c r="F2897" s="3" t="s">
        <v>1314</v>
      </c>
      <c r="G2897" s="3" t="s">
        <v>43</v>
      </c>
      <c r="H2897" s="2" t="s">
        <v>21</v>
      </c>
      <c r="I2897" s="2" t="s">
        <v>6119</v>
      </c>
      <c r="J2897" s="3" t="str">
        <f>HYPERLINK("https://www.boe.es/gazeta/dias/1821/07/20/pdfs/GMD-1821-205.pdf#page=1","Abrir facsímil")</f>
        <v>Abrir facsímil</v>
      </c>
      <c r="K2897" s="3" t="s">
        <v>23</v>
      </c>
    </row>
    <row r="2898" spans="1:11" ht="42" customHeight="1">
      <c r="A2898" s="2" t="s">
        <v>6120</v>
      </c>
      <c r="B2898" s="2" t="s">
        <v>6120</v>
      </c>
      <c r="C2898" s="2" t="s">
        <v>174</v>
      </c>
      <c r="D2898" s="2" t="s">
        <v>27</v>
      </c>
      <c r="E2898" s="5">
        <v>-28697</v>
      </c>
      <c r="F2898" s="3" t="s">
        <v>166</v>
      </c>
      <c r="G2898" s="3" t="s">
        <v>1357</v>
      </c>
      <c r="H2898" s="2" t="s">
        <v>21</v>
      </c>
      <c r="I2898" s="2" t="s">
        <v>6121</v>
      </c>
      <c r="J2898" s="3" t="str">
        <f>HYPERLINK("https://www.boe.es/gazeta/dias/1821/06/05/pdfs/GMD-1821-158.pdf#page=4","Abrir facsímil")</f>
        <v>Abrir facsímil</v>
      </c>
      <c r="K2898" s="3" t="s">
        <v>23</v>
      </c>
    </row>
    <row r="2899" spans="1:11" ht="42" customHeight="1">
      <c r="A2899" s="2" t="s">
        <v>6122</v>
      </c>
      <c r="B2899" s="2" t="s">
        <v>6123</v>
      </c>
      <c r="C2899" s="2" t="s">
        <v>17</v>
      </c>
      <c r="D2899" s="2" t="s">
        <v>18</v>
      </c>
      <c r="E2899" s="5">
        <v>-28602</v>
      </c>
      <c r="F2899" s="3" t="s">
        <v>1526</v>
      </c>
      <c r="G2899" s="3" t="s">
        <v>88</v>
      </c>
      <c r="H2899" s="2" t="s">
        <v>21</v>
      </c>
      <c r="I2899" s="2" t="s">
        <v>6124</v>
      </c>
      <c r="J2899" s="3" t="str">
        <f>HYPERLINK("https://www.boe.es/gazeta/dias/1821/09/08/pdfs/GMD-1821-256.pdf#page=4","Abrir facsímil")</f>
        <v>Abrir facsímil</v>
      </c>
      <c r="K2899" s="3" t="s">
        <v>23</v>
      </c>
    </row>
    <row r="2900" spans="1:11" ht="42" customHeight="1">
      <c r="A2900" s="2" t="s">
        <v>6125</v>
      </c>
      <c r="B2900" s="2" t="s">
        <v>6126</v>
      </c>
      <c r="C2900" s="2" t="s">
        <v>114</v>
      </c>
      <c r="D2900" s="2" t="s">
        <v>27</v>
      </c>
      <c r="E2900" s="5">
        <v>-28810</v>
      </c>
      <c r="F2900" s="3" t="s">
        <v>308</v>
      </c>
      <c r="G2900" s="3" t="s">
        <v>88</v>
      </c>
      <c r="H2900" s="2" t="s">
        <v>21</v>
      </c>
      <c r="I2900" s="2" t="s">
        <v>6127</v>
      </c>
      <c r="J2900" s="3" t="str">
        <f>HYPERLINK("https://www.boe.es/gazeta/dias/1821/02/12/pdfs/GGB-1821-43.pdf#page=4","Abrir facsímil")</f>
        <v>Abrir facsímil</v>
      </c>
      <c r="K2900" s="3" t="s">
        <v>23</v>
      </c>
    </row>
    <row r="2901" spans="1:11" ht="42" customHeight="1">
      <c r="A2901" s="2" t="s">
        <v>6128</v>
      </c>
      <c r="B2901" s="2" t="s">
        <v>6128</v>
      </c>
      <c r="C2901" s="2" t="s">
        <v>26</v>
      </c>
      <c r="D2901" s="2" t="s">
        <v>27</v>
      </c>
      <c r="E2901" s="5">
        <v>-28849</v>
      </c>
      <c r="F2901" s="3" t="s">
        <v>1989</v>
      </c>
      <c r="G2901" s="3" t="s">
        <v>43</v>
      </c>
      <c r="H2901" s="2" t="s">
        <v>21</v>
      </c>
      <c r="I2901" s="2" t="s">
        <v>6129</v>
      </c>
      <c r="J2901" s="3" t="str">
        <f>HYPERLINK("https://www.boe.es/gazeta/dias/1821/01/04/pdfs/GGB-1821-4.pdf#page=1","Abrir facsímil")</f>
        <v>Abrir facsímil</v>
      </c>
      <c r="K2901" s="3" t="s">
        <v>23</v>
      </c>
    </row>
    <row r="2902" spans="1:11" ht="42" customHeight="1">
      <c r="A2902" s="2" t="s">
        <v>6128</v>
      </c>
      <c r="B2902" s="2" t="s">
        <v>6128</v>
      </c>
      <c r="C2902" s="2" t="s">
        <v>17</v>
      </c>
      <c r="D2902" s="2" t="s">
        <v>18</v>
      </c>
      <c r="E2902" s="5">
        <v>-28849</v>
      </c>
      <c r="F2902" s="3" t="s">
        <v>1989</v>
      </c>
      <c r="G2902" s="3" t="s">
        <v>52</v>
      </c>
      <c r="H2902" s="2" t="s">
        <v>21</v>
      </c>
      <c r="I2902" s="2" t="s">
        <v>6130</v>
      </c>
      <c r="J2902" s="3" t="str">
        <f>HYPERLINK("https://www.boe.es/gazeta/dias/1821/01/04/pdfs/GGB-1821-4.pdf#page=2","Abrir facsímil")</f>
        <v>Abrir facsímil</v>
      </c>
      <c r="K2902" s="3" t="s">
        <v>23</v>
      </c>
    </row>
    <row r="2903" spans="1:11" ht="42" customHeight="1">
      <c r="A2903" s="2" t="s">
        <v>6128</v>
      </c>
      <c r="B2903" s="2" t="s">
        <v>6128</v>
      </c>
      <c r="C2903" s="2" t="s">
        <v>40</v>
      </c>
      <c r="D2903" s="2" t="s">
        <v>41</v>
      </c>
      <c r="E2903" s="5">
        <v>-28845</v>
      </c>
      <c r="F2903" s="3" t="s">
        <v>5185</v>
      </c>
      <c r="G2903" s="3" t="s">
        <v>43</v>
      </c>
      <c r="H2903" s="2" t="s">
        <v>21</v>
      </c>
      <c r="I2903" s="2" t="s">
        <v>6131</v>
      </c>
      <c r="J2903" s="3" t="str">
        <f>HYPERLINK("https://www.boe.es/gazeta/dias/1821/01/08/pdfs/GGB-1821-8.pdf#page=1","Abrir facsímil")</f>
        <v>Abrir facsímil</v>
      </c>
      <c r="K2903" s="3" t="s">
        <v>23</v>
      </c>
    </row>
    <row r="2904" spans="1:11" ht="42" customHeight="1">
      <c r="A2904" s="2" t="s">
        <v>6128</v>
      </c>
      <c r="B2904" s="2" t="s">
        <v>6128</v>
      </c>
      <c r="C2904" s="2" t="s">
        <v>40</v>
      </c>
      <c r="D2904" s="2" t="s">
        <v>41</v>
      </c>
      <c r="E2904" s="5">
        <v>-28840</v>
      </c>
      <c r="F2904" s="3" t="s">
        <v>161</v>
      </c>
      <c r="G2904" s="3" t="s">
        <v>88</v>
      </c>
      <c r="H2904" s="2" t="s">
        <v>21</v>
      </c>
      <c r="I2904" s="2" t="s">
        <v>6132</v>
      </c>
      <c r="J2904" s="3" t="str">
        <f>HYPERLINK("https://www.boe.es/gazeta/dias/1821/01/13/pdfs/GGB-1821-13.pdf#page=4","Abrir facsímil")</f>
        <v>Abrir facsímil</v>
      </c>
      <c r="K2904" s="3" t="s">
        <v>23</v>
      </c>
    </row>
    <row r="2905" spans="1:11" ht="42" customHeight="1">
      <c r="A2905" s="2" t="s">
        <v>6133</v>
      </c>
      <c r="B2905" s="2" t="s">
        <v>6133</v>
      </c>
      <c r="C2905" s="2" t="s">
        <v>40</v>
      </c>
      <c r="D2905" s="2" t="s">
        <v>41</v>
      </c>
      <c r="E2905" s="5">
        <v>-28497</v>
      </c>
      <c r="F2905" s="3" t="s">
        <v>225</v>
      </c>
      <c r="G2905" s="3" t="s">
        <v>88</v>
      </c>
      <c r="H2905" s="2" t="s">
        <v>21</v>
      </c>
      <c r="I2905" s="2" t="s">
        <v>6134</v>
      </c>
      <c r="J2905" s="3" t="str">
        <f>HYPERLINK("https://www.boe.es/gazeta/dias/1821/12/22/pdfs/GMD-1821-365.pdf#page=4","Abrir facsímil")</f>
        <v>Abrir facsímil</v>
      </c>
      <c r="K2905" s="3" t="s">
        <v>23</v>
      </c>
    </row>
    <row r="2906" spans="1:11" ht="42" customHeight="1">
      <c r="A2906" s="2" t="s">
        <v>6135</v>
      </c>
      <c r="B2906" s="2" t="s">
        <v>6136</v>
      </c>
      <c r="C2906" s="2" t="s">
        <v>17</v>
      </c>
      <c r="D2906" s="2" t="s">
        <v>18</v>
      </c>
      <c r="E2906" s="5">
        <v>-28654</v>
      </c>
      <c r="F2906" s="3" t="s">
        <v>674</v>
      </c>
      <c r="G2906" s="3" t="s">
        <v>88</v>
      </c>
      <c r="H2906" s="2" t="s">
        <v>21</v>
      </c>
      <c r="I2906" s="2" t="s">
        <v>6137</v>
      </c>
      <c r="J2906" s="3" t="str">
        <f>HYPERLINK("https://www.boe.es/gazeta/dias/1821/07/18/pdfs/GMD-1821-203.pdf#page=4","Abrir facsímil")</f>
        <v>Abrir facsímil</v>
      </c>
      <c r="K2906" s="3" t="s">
        <v>23</v>
      </c>
    </row>
    <row r="2907" spans="1:11" ht="42" customHeight="1">
      <c r="A2907" s="2" t="s">
        <v>6138</v>
      </c>
      <c r="B2907" s="2" t="s">
        <v>6139</v>
      </c>
      <c r="C2907" s="2" t="s">
        <v>17</v>
      </c>
      <c r="D2907" s="2" t="s">
        <v>18</v>
      </c>
      <c r="E2907" s="5">
        <v>-28746</v>
      </c>
      <c r="F2907" s="3" t="s">
        <v>687</v>
      </c>
      <c r="G2907" s="3" t="s">
        <v>88</v>
      </c>
      <c r="H2907" s="2" t="s">
        <v>21</v>
      </c>
      <c r="I2907" s="2" t="s">
        <v>6140</v>
      </c>
      <c r="J2907" s="3" t="str">
        <f>HYPERLINK("https://www.boe.es/gazeta/dias/1821/04/17/pdfs/GMD-1821-109.pdf#page=4","Abrir facsímil")</f>
        <v>Abrir facsímil</v>
      </c>
      <c r="K2907" s="3" t="s">
        <v>23</v>
      </c>
    </row>
    <row r="2908" spans="1:11" ht="42" customHeight="1">
      <c r="A2908" s="2" t="s">
        <v>6141</v>
      </c>
      <c r="B2908" s="2" t="s">
        <v>6142</v>
      </c>
      <c r="C2908" s="2" t="s">
        <v>40</v>
      </c>
      <c r="D2908" s="2" t="s">
        <v>41</v>
      </c>
      <c r="E2908" s="5">
        <v>-28522</v>
      </c>
      <c r="F2908" s="3" t="s">
        <v>1083</v>
      </c>
      <c r="G2908" s="3" t="s">
        <v>1288</v>
      </c>
      <c r="H2908" s="2" t="s">
        <v>21</v>
      </c>
      <c r="I2908" s="2" t="s">
        <v>6143</v>
      </c>
      <c r="J2908" s="3" t="str">
        <f>HYPERLINK("https://www.boe.es/gazeta/dias/1821/11/27/pdfs/GMD-1821-339.pdf#page=4","Abrir facsímil")</f>
        <v>Abrir facsímil</v>
      </c>
      <c r="K2908" s="3" t="s">
        <v>23</v>
      </c>
    </row>
    <row r="2909" spans="1:11" ht="42" customHeight="1">
      <c r="A2909" s="2" t="s">
        <v>6144</v>
      </c>
      <c r="B2909" s="2" t="s">
        <v>6145</v>
      </c>
      <c r="C2909" s="2" t="s">
        <v>35</v>
      </c>
      <c r="D2909" s="2" t="s">
        <v>27</v>
      </c>
      <c r="E2909" s="5">
        <v>-28662</v>
      </c>
      <c r="F2909" s="3" t="s">
        <v>3289</v>
      </c>
      <c r="G2909" s="3" t="s">
        <v>88</v>
      </c>
      <c r="H2909" s="2" t="s">
        <v>30</v>
      </c>
      <c r="I2909" s="2" t="s">
        <v>6146</v>
      </c>
      <c r="J2909" s="3" t="str">
        <f>HYPERLINK("https://www.boe.es/gazeta/dias/1821/07/10/pdfs/GMD-1821-195.pdf#page=4","Abrir facsímil")</f>
        <v>Abrir facsímil</v>
      </c>
      <c r="K2909" s="3" t="s">
        <v>32</v>
      </c>
    </row>
    <row r="2910" spans="1:11" ht="42" customHeight="1">
      <c r="A2910" s="2" t="s">
        <v>6147</v>
      </c>
      <c r="B2910" s="2" t="s">
        <v>6148</v>
      </c>
      <c r="C2910" s="2" t="s">
        <v>40</v>
      </c>
      <c r="D2910" s="2" t="s">
        <v>41</v>
      </c>
      <c r="E2910" s="5">
        <v>-28765</v>
      </c>
      <c r="F2910" s="3" t="s">
        <v>974</v>
      </c>
      <c r="G2910" s="3" t="s">
        <v>20</v>
      </c>
      <c r="H2910" s="2" t="s">
        <v>21</v>
      </c>
      <c r="I2910" s="2" t="s">
        <v>6149</v>
      </c>
      <c r="J2910" s="3" t="str">
        <f>HYPERLINK("https://www.boe.es/gazeta/dias/1821/03/29/pdfs/GMD-1821-90.pdf#page=3","Abrir facsímil")</f>
        <v>Abrir facsímil</v>
      </c>
      <c r="K2910" s="3" t="s">
        <v>23</v>
      </c>
    </row>
    <row r="2911" spans="1:11" ht="42" customHeight="1">
      <c r="A2911" s="2" t="s">
        <v>6147</v>
      </c>
      <c r="B2911" s="2" t="s">
        <v>6148</v>
      </c>
      <c r="C2911" s="2" t="s">
        <v>40</v>
      </c>
      <c r="D2911" s="2" t="s">
        <v>41</v>
      </c>
      <c r="E2911" s="5">
        <v>-28509</v>
      </c>
      <c r="F2911" s="3" t="s">
        <v>388</v>
      </c>
      <c r="G2911" s="3" t="s">
        <v>88</v>
      </c>
      <c r="H2911" s="2" t="s">
        <v>21</v>
      </c>
      <c r="I2911" s="2" t="s">
        <v>6150</v>
      </c>
      <c r="J2911" s="3" t="str">
        <f>HYPERLINK("https://www.boe.es/gazeta/dias/1821/12/10/pdfs/GMD-1821-352.pdf#page=4","Abrir facsímil")</f>
        <v>Abrir facsímil</v>
      </c>
      <c r="K2911" s="3" t="s">
        <v>23</v>
      </c>
    </row>
    <row r="2912" spans="1:11" ht="42" customHeight="1">
      <c r="A2912" s="2" t="s">
        <v>6151</v>
      </c>
      <c r="B2912" s="2" t="s">
        <v>6152</v>
      </c>
      <c r="C2912" s="2" t="s">
        <v>40</v>
      </c>
      <c r="D2912" s="2" t="s">
        <v>41</v>
      </c>
      <c r="E2912" s="5">
        <v>-28724</v>
      </c>
      <c r="F2912" s="3" t="s">
        <v>1305</v>
      </c>
      <c r="G2912" s="3" t="s">
        <v>1583</v>
      </c>
      <c r="H2912" s="2" t="s">
        <v>30</v>
      </c>
      <c r="I2912" s="2" t="s">
        <v>6153</v>
      </c>
      <c r="J2912" s="3" t="str">
        <f>HYPERLINK("https://www.boe.es/gazeta/dias/1821/05/09/pdfs/GMD-1821-131.pdf#page=4","Abrir facsímil")</f>
        <v>Abrir facsímil</v>
      </c>
      <c r="K2912" s="3" t="s">
        <v>32</v>
      </c>
    </row>
    <row r="2913" spans="1:11" ht="42" customHeight="1">
      <c r="A2913" s="2" t="s">
        <v>6151</v>
      </c>
      <c r="B2913" s="2" t="s">
        <v>6152</v>
      </c>
      <c r="C2913" s="2" t="s">
        <v>40</v>
      </c>
      <c r="D2913" s="2" t="s">
        <v>41</v>
      </c>
      <c r="E2913" s="5">
        <v>-28678</v>
      </c>
      <c r="F2913" s="3" t="s">
        <v>215</v>
      </c>
      <c r="G2913" s="3" t="s">
        <v>29</v>
      </c>
      <c r="H2913" s="2" t="s">
        <v>30</v>
      </c>
      <c r="I2913" s="2" t="s">
        <v>6154</v>
      </c>
      <c r="J2913" s="3" t="str">
        <f>HYPERLINK("https://www.boe.es/gazeta/dias/1821/06/24/pdfs/GMD-1821-177.pdf#page=6","Abrir facsímil")</f>
        <v>Abrir facsímil</v>
      </c>
      <c r="K2913" s="3" t="s">
        <v>32</v>
      </c>
    </row>
    <row r="2914" spans="1:11" ht="42" customHeight="1">
      <c r="A2914" s="2" t="s">
        <v>6151</v>
      </c>
      <c r="B2914" s="2" t="s">
        <v>6152</v>
      </c>
      <c r="C2914" s="2" t="s">
        <v>35</v>
      </c>
      <c r="D2914" s="2" t="s">
        <v>27</v>
      </c>
      <c r="E2914" s="5">
        <v>-28661</v>
      </c>
      <c r="F2914" s="3" t="s">
        <v>2298</v>
      </c>
      <c r="G2914" s="3" t="s">
        <v>162</v>
      </c>
      <c r="H2914" s="2" t="s">
        <v>30</v>
      </c>
      <c r="I2914" s="2" t="s">
        <v>6155</v>
      </c>
      <c r="J2914" s="3" t="str">
        <f>HYPERLINK("https://www.boe.es/gazeta/dias/1821/07/11/pdfs/GMD-1821-196.pdf#page=5","Abrir facsímil")</f>
        <v>Abrir facsímil</v>
      </c>
      <c r="K2914" s="3" t="s">
        <v>32</v>
      </c>
    </row>
    <row r="2915" spans="1:11" ht="42" customHeight="1">
      <c r="A2915" s="2" t="s">
        <v>6151</v>
      </c>
      <c r="B2915" s="2" t="s">
        <v>6152</v>
      </c>
      <c r="C2915" s="2" t="s">
        <v>26</v>
      </c>
      <c r="D2915" s="2" t="s">
        <v>27</v>
      </c>
      <c r="E2915" s="5">
        <v>-28656</v>
      </c>
      <c r="F2915" s="3" t="s">
        <v>2399</v>
      </c>
      <c r="G2915" s="3" t="s">
        <v>88</v>
      </c>
      <c r="H2915" s="2" t="s">
        <v>30</v>
      </c>
      <c r="I2915" s="2" t="s">
        <v>6156</v>
      </c>
      <c r="J2915" s="3" t="str">
        <f>HYPERLINK("https://www.boe.es/gazeta/dias/1821/07/16/pdfs/GMD-1821-201.pdf#page=4","Abrir facsímil")</f>
        <v>Abrir facsímil</v>
      </c>
      <c r="K2915" s="3" t="s">
        <v>32</v>
      </c>
    </row>
    <row r="2916" spans="1:11" ht="42" customHeight="1">
      <c r="A2916" s="2" t="s">
        <v>6151</v>
      </c>
      <c r="B2916" s="2" t="s">
        <v>6152</v>
      </c>
      <c r="C2916" s="2" t="s">
        <v>40</v>
      </c>
      <c r="D2916" s="2" t="s">
        <v>41</v>
      </c>
      <c r="E2916" s="5">
        <v>-28649</v>
      </c>
      <c r="F2916" s="3" t="s">
        <v>4688</v>
      </c>
      <c r="G2916" s="3" t="s">
        <v>88</v>
      </c>
      <c r="H2916" s="2" t="s">
        <v>30</v>
      </c>
      <c r="I2916" s="2" t="s">
        <v>6157</v>
      </c>
      <c r="J2916" s="3" t="str">
        <f>HYPERLINK("https://www.boe.es/gazeta/dias/1821/07/23/pdfs/GMD-1821-208.pdf#page=4","Abrir facsímil")</f>
        <v>Abrir facsímil</v>
      </c>
      <c r="K2916" s="3" t="s">
        <v>32</v>
      </c>
    </row>
    <row r="2917" spans="1:11" ht="42" customHeight="1">
      <c r="A2917" s="2" t="s">
        <v>6151</v>
      </c>
      <c r="B2917" s="2" t="s">
        <v>6152</v>
      </c>
      <c r="C2917" s="2" t="s">
        <v>26</v>
      </c>
      <c r="D2917" s="2" t="s">
        <v>27</v>
      </c>
      <c r="E2917" s="5">
        <v>-28646</v>
      </c>
      <c r="F2917" s="3" t="s">
        <v>1457</v>
      </c>
      <c r="G2917" s="3" t="s">
        <v>20</v>
      </c>
      <c r="H2917" s="2" t="s">
        <v>30</v>
      </c>
      <c r="I2917" s="2" t="s">
        <v>6158</v>
      </c>
      <c r="J2917" s="3" t="str">
        <f>HYPERLINK("https://www.boe.es/gazeta/dias/1821/07/26/pdfs/GMD-1821-211.pdf#page=3","Abrir facsímil")</f>
        <v>Abrir facsímil</v>
      </c>
      <c r="K2917" s="3" t="s">
        <v>32</v>
      </c>
    </row>
    <row r="2918" spans="1:11" ht="42" customHeight="1">
      <c r="A2918" s="2" t="s">
        <v>6151</v>
      </c>
      <c r="B2918" s="2" t="s">
        <v>6152</v>
      </c>
      <c r="C2918" s="2" t="s">
        <v>174</v>
      </c>
      <c r="D2918" s="2" t="s">
        <v>27</v>
      </c>
      <c r="E2918" s="5">
        <v>-28623</v>
      </c>
      <c r="F2918" s="3" t="s">
        <v>2767</v>
      </c>
      <c r="G2918" s="3" t="s">
        <v>88</v>
      </c>
      <c r="H2918" s="2" t="s">
        <v>30</v>
      </c>
      <c r="I2918" s="2" t="s">
        <v>6159</v>
      </c>
      <c r="J2918" s="3" t="str">
        <f>HYPERLINK("https://www.boe.es/gazeta/dias/1821/08/18/pdfs/GMD-1821-235.pdf#page=4","Abrir facsímil")</f>
        <v>Abrir facsímil</v>
      </c>
      <c r="K2918" s="3" t="s">
        <v>32</v>
      </c>
    </row>
    <row r="2919" spans="1:11" ht="42" customHeight="1">
      <c r="A2919" s="2" t="s">
        <v>6151</v>
      </c>
      <c r="B2919" s="2" t="s">
        <v>6152</v>
      </c>
      <c r="C2919" s="2" t="s">
        <v>40</v>
      </c>
      <c r="D2919" s="2" t="s">
        <v>41</v>
      </c>
      <c r="E2919" s="5">
        <v>-28615</v>
      </c>
      <c r="F2919" s="3" t="s">
        <v>427</v>
      </c>
      <c r="G2919" s="3" t="s">
        <v>20</v>
      </c>
      <c r="H2919" s="2" t="s">
        <v>30</v>
      </c>
      <c r="I2919" s="2" t="s">
        <v>6160</v>
      </c>
      <c r="J2919" s="3" t="str">
        <f>HYPERLINK("https://www.boe.es/gazeta/dias/1821/08/26/pdfs/GMD-1821-243.pdf#page=3","Abrir facsímil")</f>
        <v>Abrir facsímil</v>
      </c>
      <c r="K2919" s="3" t="s">
        <v>32</v>
      </c>
    </row>
    <row r="2920" spans="1:11" ht="42" customHeight="1">
      <c r="A2920" s="2" t="s">
        <v>6161</v>
      </c>
      <c r="B2920" s="2" t="s">
        <v>6162</v>
      </c>
      <c r="C2920" s="2" t="s">
        <v>26</v>
      </c>
      <c r="D2920" s="2" t="s">
        <v>27</v>
      </c>
      <c r="E2920" s="5">
        <v>-28663</v>
      </c>
      <c r="F2920" s="3" t="s">
        <v>3032</v>
      </c>
      <c r="G2920" s="3" t="s">
        <v>88</v>
      </c>
      <c r="H2920" s="2" t="s">
        <v>21</v>
      </c>
      <c r="I2920" s="2" t="s">
        <v>6163</v>
      </c>
      <c r="J2920" s="3" t="str">
        <f>HYPERLINK("https://www.boe.es/gazeta/dias/1821/07/09/pdfs/GMD-1821-194.pdf#page=4","Abrir facsímil")</f>
        <v>Abrir facsímil</v>
      </c>
      <c r="K2920" s="3" t="s">
        <v>23</v>
      </c>
    </row>
    <row r="2921" spans="1:11" ht="42" customHeight="1">
      <c r="A2921" s="2" t="s">
        <v>6164</v>
      </c>
      <c r="B2921" s="2" t="s">
        <v>6165</v>
      </c>
      <c r="C2921" s="2" t="s">
        <v>17</v>
      </c>
      <c r="D2921" s="2" t="s">
        <v>18</v>
      </c>
      <c r="E2921" s="5">
        <v>-28509</v>
      </c>
      <c r="F2921" s="3" t="s">
        <v>388</v>
      </c>
      <c r="G2921" s="3" t="s">
        <v>88</v>
      </c>
      <c r="H2921" s="2" t="s">
        <v>21</v>
      </c>
      <c r="I2921" s="2" t="s">
        <v>6166</v>
      </c>
      <c r="J2921" s="3" t="str">
        <f>HYPERLINK("https://www.boe.es/gazeta/dias/1821/12/10/pdfs/GMD-1821-352.pdf#page=4","Abrir facsímil")</f>
        <v>Abrir facsímil</v>
      </c>
      <c r="K2921" s="3" t="s">
        <v>23</v>
      </c>
    </row>
    <row r="2922" spans="1:11" ht="42" customHeight="1">
      <c r="A2922" s="2" t="s">
        <v>6167</v>
      </c>
      <c r="B2922" s="2" t="s">
        <v>6167</v>
      </c>
      <c r="C2922" s="2" t="s">
        <v>17</v>
      </c>
      <c r="D2922" s="2" t="s">
        <v>18</v>
      </c>
      <c r="E2922" s="5">
        <v>-28782</v>
      </c>
      <c r="F2922" s="3" t="s">
        <v>508</v>
      </c>
      <c r="G2922" s="3" t="s">
        <v>43</v>
      </c>
      <c r="H2922" s="2" t="s">
        <v>21</v>
      </c>
      <c r="I2922" s="2" t="s">
        <v>6168</v>
      </c>
      <c r="J2922" s="3" t="str">
        <f>HYPERLINK("https://www.boe.es/gazeta/dias/1821/03/12/pdfs/GMD-1821-71.pdf#page=1","Abrir facsímil")</f>
        <v>Abrir facsímil</v>
      </c>
      <c r="K2922" s="3" t="s">
        <v>23</v>
      </c>
    </row>
    <row r="2923" spans="1:11" ht="42" customHeight="1">
      <c r="A2923" s="2" t="s">
        <v>6167</v>
      </c>
      <c r="B2923" s="2" t="s">
        <v>6167</v>
      </c>
      <c r="C2923" s="2" t="s">
        <v>279</v>
      </c>
      <c r="D2923" s="2" t="s">
        <v>27</v>
      </c>
      <c r="E2923" s="5">
        <v>-28725</v>
      </c>
      <c r="F2923" s="3" t="s">
        <v>440</v>
      </c>
      <c r="G2923" s="3" t="s">
        <v>43</v>
      </c>
      <c r="H2923" s="2" t="s">
        <v>21</v>
      </c>
      <c r="I2923" s="2" t="s">
        <v>6169</v>
      </c>
      <c r="J2923" s="3" t="str">
        <f>HYPERLINK("https://www.boe.es/gazeta/dias/1821/05/08/pdfs/GMD-1821-130.pdf#page=1","Abrir facsímil")</f>
        <v>Abrir facsímil</v>
      </c>
      <c r="K2923" s="3" t="s">
        <v>23</v>
      </c>
    </row>
    <row r="2924" spans="1:11" ht="42" customHeight="1">
      <c r="A2924" s="2" t="s">
        <v>6167</v>
      </c>
      <c r="B2924" s="2" t="s">
        <v>6167</v>
      </c>
      <c r="C2924" s="2" t="s">
        <v>70</v>
      </c>
      <c r="D2924" s="2" t="s">
        <v>27</v>
      </c>
      <c r="E2924" s="5">
        <v>-28651</v>
      </c>
      <c r="F2924" s="3" t="s">
        <v>1518</v>
      </c>
      <c r="G2924" s="3" t="s">
        <v>43</v>
      </c>
      <c r="H2924" s="2" t="s">
        <v>21</v>
      </c>
      <c r="I2924" s="2" t="s">
        <v>6170</v>
      </c>
      <c r="J2924" s="3" t="str">
        <f>HYPERLINK("https://www.boe.es/gazeta/dias/1821/07/21/pdfs/GMD-1821-206.pdf#page=1","Abrir facsímil")</f>
        <v>Abrir facsímil</v>
      </c>
      <c r="K2924" s="3" t="s">
        <v>23</v>
      </c>
    </row>
    <row r="2925" spans="1:11" ht="42" customHeight="1">
      <c r="A2925" s="2" t="s">
        <v>6171</v>
      </c>
      <c r="B2925" s="2" t="s">
        <v>6171</v>
      </c>
      <c r="C2925" s="2" t="s">
        <v>40</v>
      </c>
      <c r="D2925" s="2" t="s">
        <v>41</v>
      </c>
      <c r="E2925" s="5">
        <v>-28622</v>
      </c>
      <c r="F2925" s="3" t="s">
        <v>2771</v>
      </c>
      <c r="G2925" s="3" t="s">
        <v>43</v>
      </c>
      <c r="H2925" s="2" t="s">
        <v>21</v>
      </c>
      <c r="I2925" s="2" t="s">
        <v>6172</v>
      </c>
      <c r="J2925" s="3" t="str">
        <f>HYPERLINK("https://www.boe.es/gazeta/dias/1821/08/19/pdfs/GMD-1821-236.pdf#page=1","Abrir facsímil")</f>
        <v>Abrir facsímil</v>
      </c>
      <c r="K2925" s="3" t="s">
        <v>23</v>
      </c>
    </row>
    <row r="2926" spans="1:11" ht="42" customHeight="1">
      <c r="A2926" s="2" t="s">
        <v>6173</v>
      </c>
      <c r="B2926" s="2" t="s">
        <v>6173</v>
      </c>
      <c r="C2926" s="2" t="s">
        <v>40</v>
      </c>
      <c r="D2926" s="2" t="s">
        <v>41</v>
      </c>
      <c r="E2926" s="5">
        <v>-28776</v>
      </c>
      <c r="F2926" s="3" t="s">
        <v>312</v>
      </c>
      <c r="G2926" s="3" t="s">
        <v>52</v>
      </c>
      <c r="H2926" s="2" t="s">
        <v>21</v>
      </c>
      <c r="I2926" s="2" t="s">
        <v>6174</v>
      </c>
      <c r="J2926" s="3" t="str">
        <f>HYPERLINK("https://www.boe.es/gazeta/dias/1821/03/18/pdfs/GMD-1821-77.pdf#page=2","Abrir facsímil")</f>
        <v>Abrir facsímil</v>
      </c>
      <c r="K2926" s="3" t="s">
        <v>23</v>
      </c>
    </row>
    <row r="2927" spans="1:11" ht="42" customHeight="1">
      <c r="A2927" s="2" t="s">
        <v>6175</v>
      </c>
      <c r="B2927" s="2" t="s">
        <v>6176</v>
      </c>
      <c r="C2927" s="2" t="s">
        <v>40</v>
      </c>
      <c r="D2927" s="2" t="s">
        <v>41</v>
      </c>
      <c r="E2927" s="5">
        <v>-28543</v>
      </c>
      <c r="F2927" s="3" t="s">
        <v>136</v>
      </c>
      <c r="G2927" s="3" t="s">
        <v>333</v>
      </c>
      <c r="H2927" s="2" t="s">
        <v>21</v>
      </c>
      <c r="I2927" s="2" t="s">
        <v>6177</v>
      </c>
      <c r="J2927" s="3" t="str">
        <f>HYPERLINK("https://www.boe.es/gazeta/dias/1821/11/06/pdfs/GMD-1821-317.pdf#page=8","Abrir facsímil")</f>
        <v>Abrir facsímil</v>
      </c>
      <c r="K2927" s="3" t="s">
        <v>23</v>
      </c>
    </row>
    <row r="2928" spans="1:11" ht="42" customHeight="1">
      <c r="A2928" s="2" t="s">
        <v>6178</v>
      </c>
      <c r="B2928" s="2" t="s">
        <v>6178</v>
      </c>
      <c r="C2928" s="2" t="s">
        <v>70</v>
      </c>
      <c r="D2928" s="2" t="s">
        <v>27</v>
      </c>
      <c r="E2928" s="5">
        <v>-28506</v>
      </c>
      <c r="F2928" s="3" t="s">
        <v>1095</v>
      </c>
      <c r="G2928" s="3" t="s">
        <v>20</v>
      </c>
      <c r="H2928" s="2" t="s">
        <v>21</v>
      </c>
      <c r="I2928" s="2" t="s">
        <v>6179</v>
      </c>
      <c r="J2928" s="3" t="str">
        <f>HYPERLINK("https://www.boe.es/gazeta/dias/1821/12/13/pdfs/GMD-1821-356.pdf#page=3","Abrir facsímil")</f>
        <v>Abrir facsímil</v>
      </c>
      <c r="K2928" s="3" t="s">
        <v>23</v>
      </c>
    </row>
    <row r="2929" spans="1:11" ht="42" customHeight="1">
      <c r="A2929" s="2" t="s">
        <v>6180</v>
      </c>
      <c r="B2929" s="2" t="s">
        <v>6181</v>
      </c>
      <c r="C2929" s="2" t="s">
        <v>17</v>
      </c>
      <c r="D2929" s="2" t="s">
        <v>18</v>
      </c>
      <c r="E2929" s="5">
        <v>-28674</v>
      </c>
      <c r="F2929" s="3" t="s">
        <v>536</v>
      </c>
      <c r="G2929" s="3" t="s">
        <v>537</v>
      </c>
      <c r="H2929" s="2" t="s">
        <v>21</v>
      </c>
      <c r="I2929" s="2" t="s">
        <v>6182</v>
      </c>
      <c r="J2929" s="3" t="str">
        <f>HYPERLINK("https://www.boe.es/gazeta/dias/1821/06/28/pdfs/GMD-1821-181.pdf#page=2","Abrir facsímil")</f>
        <v>Abrir facsímil</v>
      </c>
      <c r="K2929" s="3" t="s">
        <v>23</v>
      </c>
    </row>
    <row r="2930" spans="1:11" ht="42" customHeight="1">
      <c r="A2930" s="2" t="s">
        <v>6183</v>
      </c>
      <c r="B2930" s="2" t="s">
        <v>6183</v>
      </c>
      <c r="C2930" s="2" t="s">
        <v>40</v>
      </c>
      <c r="D2930" s="2" t="s">
        <v>41</v>
      </c>
      <c r="E2930" s="5">
        <v>-28736</v>
      </c>
      <c r="F2930" s="3" t="s">
        <v>464</v>
      </c>
      <c r="G2930" s="3" t="s">
        <v>43</v>
      </c>
      <c r="H2930" s="2" t="s">
        <v>21</v>
      </c>
      <c r="I2930" s="2" t="s">
        <v>6184</v>
      </c>
      <c r="J2930" s="3" t="str">
        <f>HYPERLINK("https://www.boe.es/gazeta/dias/1821/04/27/pdfs/GMD-1821-119.pdf#page=1","Abrir facsímil")</f>
        <v>Abrir facsímil</v>
      </c>
      <c r="K2930" s="3" t="s">
        <v>23</v>
      </c>
    </row>
    <row r="2931" spans="1:11" ht="42" customHeight="1">
      <c r="A2931" s="2" t="s">
        <v>6185</v>
      </c>
      <c r="B2931" s="2" t="s">
        <v>6186</v>
      </c>
      <c r="C2931" s="2" t="s">
        <v>17</v>
      </c>
      <c r="D2931" s="2" t="s">
        <v>18</v>
      </c>
      <c r="E2931" s="5">
        <v>-28531</v>
      </c>
      <c r="F2931" s="3" t="s">
        <v>365</v>
      </c>
      <c r="G2931" s="3" t="s">
        <v>20</v>
      </c>
      <c r="H2931" s="2" t="s">
        <v>30</v>
      </c>
      <c r="I2931" s="2" t="s">
        <v>6187</v>
      </c>
      <c r="J2931" s="3" t="str">
        <f>HYPERLINK("https://www.boe.es/gazeta/dias/1821/11/18/pdfs/GMD-1821-329.pdf#page=3","Abrir facsímil")</f>
        <v>Abrir facsímil</v>
      </c>
      <c r="K2931" s="3" t="s">
        <v>32</v>
      </c>
    </row>
    <row r="2932" spans="1:11" ht="42" customHeight="1">
      <c r="A2932" s="2" t="s">
        <v>6188</v>
      </c>
      <c r="B2932" s="2" t="s">
        <v>6189</v>
      </c>
      <c r="C2932" s="2" t="s">
        <v>17</v>
      </c>
      <c r="D2932" s="2" t="s">
        <v>18</v>
      </c>
      <c r="E2932" s="5">
        <v>-28545</v>
      </c>
      <c r="F2932" s="3" t="s">
        <v>284</v>
      </c>
      <c r="G2932" s="3" t="s">
        <v>20</v>
      </c>
      <c r="H2932" s="2" t="s">
        <v>21</v>
      </c>
      <c r="I2932" s="2" t="s">
        <v>6190</v>
      </c>
      <c r="J2932" s="3" t="str">
        <f>HYPERLINK("https://www.boe.es/gazeta/dias/1821/11/04/pdfs/GMD-1821-315.pdf#page=3","Abrir facsímil")</f>
        <v>Abrir facsímil</v>
      </c>
      <c r="K2932" s="3" t="s">
        <v>23</v>
      </c>
    </row>
    <row r="2933" spans="1:11" ht="42" customHeight="1">
      <c r="A2933" s="2" t="s">
        <v>6191</v>
      </c>
      <c r="B2933" s="2" t="s">
        <v>6192</v>
      </c>
      <c r="C2933" s="2" t="s">
        <v>70</v>
      </c>
      <c r="D2933" s="2" t="s">
        <v>27</v>
      </c>
      <c r="E2933" s="5">
        <v>-28744</v>
      </c>
      <c r="F2933" s="3" t="s">
        <v>834</v>
      </c>
      <c r="G2933" s="3" t="s">
        <v>20</v>
      </c>
      <c r="H2933" s="2" t="s">
        <v>21</v>
      </c>
      <c r="I2933" s="2" t="s">
        <v>6193</v>
      </c>
      <c r="J2933" s="3" t="str">
        <f>HYPERLINK("https://www.boe.es/gazeta/dias/1821/04/19/pdfs/GMD-1821-111.pdf#page=3","Abrir facsímil")</f>
        <v>Abrir facsímil</v>
      </c>
      <c r="K2933" s="3" t="s">
        <v>23</v>
      </c>
    </row>
    <row r="2934" spans="1:11" ht="42" customHeight="1">
      <c r="A2934" s="2" t="s">
        <v>6194</v>
      </c>
      <c r="B2934" s="2" t="s">
        <v>6195</v>
      </c>
      <c r="C2934" s="2" t="s">
        <v>40</v>
      </c>
      <c r="D2934" s="2" t="s">
        <v>41</v>
      </c>
      <c r="E2934" s="5">
        <v>-28731</v>
      </c>
      <c r="F2934" s="3" t="s">
        <v>577</v>
      </c>
      <c r="G2934" s="3" t="s">
        <v>88</v>
      </c>
      <c r="H2934" s="2" t="s">
        <v>21</v>
      </c>
      <c r="I2934" s="2" t="s">
        <v>6196</v>
      </c>
      <c r="J2934" s="3" t="str">
        <f>HYPERLINK("https://www.boe.es/gazeta/dias/1821/05/02/pdfs/GMD-1821-124.pdf#page=4","Abrir facsímil")</f>
        <v>Abrir facsímil</v>
      </c>
      <c r="K2934" s="3" t="s">
        <v>23</v>
      </c>
    </row>
    <row r="2935" spans="1:11" ht="42" customHeight="1">
      <c r="A2935" s="2" t="s">
        <v>6197</v>
      </c>
      <c r="B2935" s="2" t="s">
        <v>6198</v>
      </c>
      <c r="C2935" s="2" t="s">
        <v>17</v>
      </c>
      <c r="D2935" s="2" t="s">
        <v>18</v>
      </c>
      <c r="E2935" s="5">
        <v>-28834</v>
      </c>
      <c r="F2935" s="3" t="s">
        <v>369</v>
      </c>
      <c r="G2935" s="3" t="s">
        <v>88</v>
      </c>
      <c r="H2935" s="2" t="s">
        <v>21</v>
      </c>
      <c r="I2935" s="2" t="s">
        <v>6199</v>
      </c>
      <c r="J2935" s="3" t="str">
        <f>HYPERLINK("https://www.boe.es/gazeta/dias/1821/01/19/pdfs/GGB-1821-19.pdf#page=4","Abrir facsímil")</f>
        <v>Abrir facsímil</v>
      </c>
      <c r="K2935" s="3" t="s">
        <v>23</v>
      </c>
    </row>
    <row r="2936" spans="1:11" ht="42" customHeight="1">
      <c r="A2936" s="2" t="s">
        <v>6200</v>
      </c>
      <c r="B2936" s="2" t="s">
        <v>6201</v>
      </c>
      <c r="C2936" s="2" t="s">
        <v>17</v>
      </c>
      <c r="D2936" s="2" t="s">
        <v>18</v>
      </c>
      <c r="E2936" s="5">
        <v>-28547</v>
      </c>
      <c r="F2936" s="3" t="s">
        <v>247</v>
      </c>
      <c r="G2936" s="3" t="s">
        <v>248</v>
      </c>
      <c r="H2936" s="2" t="s">
        <v>21</v>
      </c>
      <c r="I2936" s="2" t="s">
        <v>6202</v>
      </c>
      <c r="J2936" s="3" t="str">
        <f>HYPERLINK("https://www.boe.es/gazeta/dias/1821/11/02/pdfs/GMD-1821-312.pdf#page=2","Abrir facsímil")</f>
        <v>Abrir facsímil</v>
      </c>
      <c r="K2936" s="3" t="s">
        <v>23</v>
      </c>
    </row>
    <row r="2937" spans="1:11" ht="42" customHeight="1">
      <c r="A2937" s="2" t="s">
        <v>6203</v>
      </c>
      <c r="B2937" s="2" t="s">
        <v>6204</v>
      </c>
      <c r="C2937" s="2" t="s">
        <v>40</v>
      </c>
      <c r="D2937" s="2" t="s">
        <v>41</v>
      </c>
      <c r="E2937" s="5">
        <v>-28714</v>
      </c>
      <c r="F2937" s="3" t="s">
        <v>522</v>
      </c>
      <c r="G2937" s="3" t="s">
        <v>52</v>
      </c>
      <c r="H2937" s="2" t="s">
        <v>30</v>
      </c>
      <c r="I2937" s="2" t="s">
        <v>6205</v>
      </c>
      <c r="J2937" s="3" t="str">
        <f>HYPERLINK("https://www.boe.es/gazeta/dias/1821/05/19/pdfs/GMD-1821-141.pdf#page=2","Abrir facsímil")</f>
        <v>Abrir facsímil</v>
      </c>
      <c r="K2937" s="3" t="s">
        <v>32</v>
      </c>
    </row>
    <row r="2938" spans="1:11" ht="42" customHeight="1">
      <c r="A2938" s="2" t="s">
        <v>6206</v>
      </c>
      <c r="B2938" s="2" t="s">
        <v>6207</v>
      </c>
      <c r="C2938" s="2" t="s">
        <v>26</v>
      </c>
      <c r="D2938" s="2" t="s">
        <v>27</v>
      </c>
      <c r="E2938" s="5">
        <v>-28691</v>
      </c>
      <c r="F2938" s="3" t="s">
        <v>716</v>
      </c>
      <c r="G2938" s="3" t="s">
        <v>43</v>
      </c>
      <c r="H2938" s="2" t="s">
        <v>21</v>
      </c>
      <c r="I2938" s="2" t="s">
        <v>6208</v>
      </c>
      <c r="J2938" s="3" t="str">
        <f>HYPERLINK("https://www.boe.es/gazeta/dias/1821/06/11/pdfs/GMD-1821-164.pdf#page=1","Abrir facsímil")</f>
        <v>Abrir facsímil</v>
      </c>
      <c r="K2938" s="3" t="s">
        <v>23</v>
      </c>
    </row>
    <row r="2939" spans="1:11" ht="42" customHeight="1">
      <c r="A2939" s="2" t="s">
        <v>6209</v>
      </c>
      <c r="B2939" s="2" t="s">
        <v>6210</v>
      </c>
      <c r="C2939" s="2" t="s">
        <v>26</v>
      </c>
      <c r="D2939" s="2" t="s">
        <v>27</v>
      </c>
      <c r="E2939" s="5">
        <v>-28560</v>
      </c>
      <c r="F2939" s="3" t="s">
        <v>363</v>
      </c>
      <c r="G2939" s="3" t="s">
        <v>20</v>
      </c>
      <c r="H2939" s="2" t="s">
        <v>21</v>
      </c>
      <c r="I2939" s="2" t="s">
        <v>6211</v>
      </c>
      <c r="J2939" s="3" t="str">
        <f>HYPERLINK("https://www.boe.es/gazeta/dias/1821/10/20/pdfs/GMD-1821-299.pdf#page=3","Abrir facsímil")</f>
        <v>Abrir facsímil</v>
      </c>
      <c r="K2939" s="3" t="s">
        <v>23</v>
      </c>
    </row>
    <row r="2940" spans="1:11" ht="42" customHeight="1">
      <c r="A2940" s="2" t="s">
        <v>6212</v>
      </c>
      <c r="B2940" s="2" t="s">
        <v>6212</v>
      </c>
      <c r="C2940" s="2" t="s">
        <v>40</v>
      </c>
      <c r="D2940" s="2" t="s">
        <v>41</v>
      </c>
      <c r="E2940" s="5">
        <v>-28756</v>
      </c>
      <c r="F2940" s="3" t="s">
        <v>3145</v>
      </c>
      <c r="G2940" s="3" t="s">
        <v>52</v>
      </c>
      <c r="H2940" s="2" t="s">
        <v>21</v>
      </c>
      <c r="I2940" s="2" t="s">
        <v>6213</v>
      </c>
      <c r="J2940" s="3" t="str">
        <f>HYPERLINK("https://www.boe.es/gazeta/dias/1821/04/07/pdfs/GMD-1821-99.pdf#page=2","Abrir facsímil")</f>
        <v>Abrir facsímil</v>
      </c>
      <c r="K2940" s="3" t="s">
        <v>23</v>
      </c>
    </row>
    <row r="2941" spans="1:11" ht="42" customHeight="1">
      <c r="A2941" s="2" t="s">
        <v>6214</v>
      </c>
      <c r="B2941" s="2" t="s">
        <v>6214</v>
      </c>
      <c r="C2941" s="2" t="s">
        <v>40</v>
      </c>
      <c r="D2941" s="2" t="s">
        <v>41</v>
      </c>
      <c r="E2941" s="5">
        <v>-28756</v>
      </c>
      <c r="F2941" s="3" t="s">
        <v>3145</v>
      </c>
      <c r="G2941" s="3" t="s">
        <v>52</v>
      </c>
      <c r="H2941" s="2" t="s">
        <v>21</v>
      </c>
      <c r="I2941" s="2" t="s">
        <v>6215</v>
      </c>
      <c r="J2941" s="3" t="str">
        <f>HYPERLINK("https://www.boe.es/gazeta/dias/1821/04/07/pdfs/GMD-1821-99.pdf#page=2","Abrir facsímil")</f>
        <v>Abrir facsímil</v>
      </c>
      <c r="K2941" s="3" t="s">
        <v>23</v>
      </c>
    </row>
    <row r="2942" spans="1:11" ht="42" customHeight="1">
      <c r="A2942" s="2" t="s">
        <v>6216</v>
      </c>
      <c r="B2942" s="2" t="s">
        <v>6216</v>
      </c>
      <c r="C2942" s="2" t="s">
        <v>40</v>
      </c>
      <c r="D2942" s="2" t="s">
        <v>41</v>
      </c>
      <c r="E2942" s="5">
        <v>-28783</v>
      </c>
      <c r="F2942" s="3" t="s">
        <v>198</v>
      </c>
      <c r="G2942" s="3" t="s">
        <v>52</v>
      </c>
      <c r="H2942" s="2" t="s">
        <v>21</v>
      </c>
      <c r="I2942" s="2" t="s">
        <v>6217</v>
      </c>
      <c r="J2942" s="3" t="str">
        <f>HYPERLINK("https://www.boe.es/gazeta/dias/1821/03/11/pdfs/GGB-1821-70.pdf#page=2","Abrir facsímil")</f>
        <v>Abrir facsímil</v>
      </c>
      <c r="K2942" s="3" t="s">
        <v>23</v>
      </c>
    </row>
    <row r="2943" spans="1:11" ht="42" customHeight="1">
      <c r="A2943" s="2" t="s">
        <v>6218</v>
      </c>
      <c r="B2943" s="2" t="s">
        <v>6218</v>
      </c>
      <c r="C2943" s="2" t="s">
        <v>40</v>
      </c>
      <c r="D2943" s="2" t="s">
        <v>41</v>
      </c>
      <c r="E2943" s="5">
        <v>-28783</v>
      </c>
      <c r="F2943" s="3" t="s">
        <v>198</v>
      </c>
      <c r="G2943" s="3" t="s">
        <v>52</v>
      </c>
      <c r="H2943" s="2" t="s">
        <v>21</v>
      </c>
      <c r="I2943" s="2" t="s">
        <v>6219</v>
      </c>
      <c r="J2943" s="3" t="str">
        <f>HYPERLINK("https://www.boe.es/gazeta/dias/1821/03/11/pdfs/GGB-1821-70.pdf#page=2","Abrir facsímil")</f>
        <v>Abrir facsímil</v>
      </c>
      <c r="K2943" s="3" t="s">
        <v>23</v>
      </c>
    </row>
    <row r="2944" spans="1:11" ht="42" customHeight="1">
      <c r="A2944" s="2" t="s">
        <v>6220</v>
      </c>
      <c r="B2944" s="2" t="s">
        <v>6220</v>
      </c>
      <c r="C2944" s="2" t="s">
        <v>17</v>
      </c>
      <c r="D2944" s="2" t="s">
        <v>18</v>
      </c>
      <c r="E2944" s="5">
        <v>-28675</v>
      </c>
      <c r="F2944" s="3" t="s">
        <v>943</v>
      </c>
      <c r="G2944" s="3" t="s">
        <v>29</v>
      </c>
      <c r="H2944" s="2" t="s">
        <v>21</v>
      </c>
      <c r="I2944" s="2" t="s">
        <v>6221</v>
      </c>
      <c r="J2944" s="3" t="str">
        <f>HYPERLINK("https://www.boe.es/gazeta/dias/1821/06/27/pdfs/GMD-1821-180.pdf#page=6","Abrir facsímil")</f>
        <v>Abrir facsímil</v>
      </c>
      <c r="K2944" s="3" t="s">
        <v>23</v>
      </c>
    </row>
    <row r="2945" spans="1:11" ht="42" customHeight="1">
      <c r="A2945" s="2" t="s">
        <v>6220</v>
      </c>
      <c r="B2945" s="2" t="s">
        <v>6220</v>
      </c>
      <c r="C2945" s="2" t="s">
        <v>26</v>
      </c>
      <c r="D2945" s="2" t="s">
        <v>27</v>
      </c>
      <c r="E2945" s="5">
        <v>-28638</v>
      </c>
      <c r="F2945" s="3" t="s">
        <v>736</v>
      </c>
      <c r="G2945" s="3" t="s">
        <v>20</v>
      </c>
      <c r="H2945" s="2" t="s">
        <v>21</v>
      </c>
      <c r="I2945" s="2" t="s">
        <v>6222</v>
      </c>
      <c r="J2945" s="3" t="str">
        <f>HYPERLINK("https://www.boe.es/gazeta/dias/1821/08/03/pdfs/GMD-1821-219.pdf#page=3","Abrir facsímil")</f>
        <v>Abrir facsímil</v>
      </c>
      <c r="K2945" s="3" t="s">
        <v>23</v>
      </c>
    </row>
    <row r="2946" spans="1:11" ht="42" customHeight="1">
      <c r="A2946" s="2" t="s">
        <v>6220</v>
      </c>
      <c r="B2946" s="2" t="s">
        <v>6220</v>
      </c>
      <c r="C2946" s="2" t="s">
        <v>26</v>
      </c>
      <c r="D2946" s="2" t="s">
        <v>27</v>
      </c>
      <c r="E2946" s="5">
        <v>-28613</v>
      </c>
      <c r="F2946" s="3" t="s">
        <v>178</v>
      </c>
      <c r="G2946" s="3" t="s">
        <v>43</v>
      </c>
      <c r="H2946" s="2" t="s">
        <v>21</v>
      </c>
      <c r="I2946" s="2" t="s">
        <v>6223</v>
      </c>
      <c r="J2946" s="3" t="str">
        <f>HYPERLINK("https://www.boe.es/gazeta/dias/1821/08/28/pdfs/GMD-1821-245.pdf#page=1","Abrir facsímil")</f>
        <v>Abrir facsímil</v>
      </c>
      <c r="K2946" s="3" t="s">
        <v>23</v>
      </c>
    </row>
    <row r="2947" spans="1:11" ht="42" customHeight="1">
      <c r="A2947" s="2" t="s">
        <v>6220</v>
      </c>
      <c r="B2947" s="2" t="s">
        <v>6220</v>
      </c>
      <c r="C2947" s="2" t="s">
        <v>40</v>
      </c>
      <c r="D2947" s="2" t="s">
        <v>41</v>
      </c>
      <c r="E2947" s="5">
        <v>-28511</v>
      </c>
      <c r="F2947" s="3" t="s">
        <v>340</v>
      </c>
      <c r="G2947" s="3" t="s">
        <v>52</v>
      </c>
      <c r="H2947" s="2" t="s">
        <v>21</v>
      </c>
      <c r="I2947" s="2" t="s">
        <v>6224</v>
      </c>
      <c r="J2947" s="3" t="str">
        <f>HYPERLINK("https://www.boe.es/gazeta/dias/1821/12/08/pdfs/GMD-1821-350.pdf#page=2","Abrir facsímil")</f>
        <v>Abrir facsímil</v>
      </c>
      <c r="K2947" s="3" t="s">
        <v>23</v>
      </c>
    </row>
    <row r="2948" spans="1:11" ht="42" customHeight="1">
      <c r="A2948" s="2" t="s">
        <v>6225</v>
      </c>
      <c r="B2948" s="2" t="s">
        <v>6225</v>
      </c>
      <c r="C2948" s="2" t="s">
        <v>40</v>
      </c>
      <c r="D2948" s="2" t="s">
        <v>41</v>
      </c>
      <c r="E2948" s="5">
        <v>-28571</v>
      </c>
      <c r="F2948" s="3" t="s">
        <v>482</v>
      </c>
      <c r="G2948" s="3" t="s">
        <v>52</v>
      </c>
      <c r="H2948" s="2" t="s">
        <v>21</v>
      </c>
      <c r="I2948" s="2" t="s">
        <v>6226</v>
      </c>
      <c r="J2948" s="3" t="str">
        <f>HYPERLINK("https://www.boe.es/gazeta/dias/1821/10/09/pdfs/GMD-1821-288.pdf#page=2","Abrir facsímil")</f>
        <v>Abrir facsímil</v>
      </c>
      <c r="K2948" s="3" t="s">
        <v>23</v>
      </c>
    </row>
    <row r="2949" spans="1:11" ht="42" customHeight="1">
      <c r="A2949" s="2" t="s">
        <v>6227</v>
      </c>
      <c r="B2949" s="2" t="s">
        <v>6228</v>
      </c>
      <c r="C2949" s="2" t="s">
        <v>40</v>
      </c>
      <c r="D2949" s="2" t="s">
        <v>41</v>
      </c>
      <c r="E2949" s="5">
        <v>-28591</v>
      </c>
      <c r="F2949" s="3" t="s">
        <v>3638</v>
      </c>
      <c r="G2949" s="3" t="s">
        <v>43</v>
      </c>
      <c r="H2949" s="2" t="s">
        <v>30</v>
      </c>
      <c r="I2949" s="2" t="s">
        <v>6229</v>
      </c>
      <c r="J2949" s="3" t="str">
        <f>HYPERLINK("https://www.boe.es/gazeta/dias/1821/09/19/pdfs/GMD-1821-267.pdf#page=1","Abrir facsímil")</f>
        <v>Abrir facsímil</v>
      </c>
      <c r="K2949" s="3" t="s">
        <v>32</v>
      </c>
    </row>
    <row r="2950" spans="1:11" ht="42" customHeight="1">
      <c r="A2950" s="2" t="s">
        <v>6230</v>
      </c>
      <c r="B2950" s="2" t="s">
        <v>6231</v>
      </c>
      <c r="C2950" s="2" t="s">
        <v>40</v>
      </c>
      <c r="D2950" s="2" t="s">
        <v>41</v>
      </c>
      <c r="E2950" s="5">
        <v>-28566</v>
      </c>
      <c r="F2950" s="3" t="s">
        <v>1529</v>
      </c>
      <c r="G2950" s="3" t="s">
        <v>88</v>
      </c>
      <c r="H2950" s="2" t="s">
        <v>21</v>
      </c>
      <c r="I2950" s="2" t="s">
        <v>6232</v>
      </c>
      <c r="J2950" s="3" t="str">
        <f>HYPERLINK("https://www.boe.es/gazeta/dias/1821/10/14/pdfs/GMD-1821-293.pdf#page=4","Abrir facsímil")</f>
        <v>Abrir facsímil</v>
      </c>
      <c r="K2950" s="3" t="s">
        <v>23</v>
      </c>
    </row>
    <row r="2951" spans="1:11" ht="42" customHeight="1">
      <c r="A2951" s="2" t="s">
        <v>6233</v>
      </c>
      <c r="B2951" s="2" t="s">
        <v>6233</v>
      </c>
      <c r="C2951" s="2" t="s">
        <v>40</v>
      </c>
      <c r="D2951" s="2" t="s">
        <v>41</v>
      </c>
      <c r="E2951" s="5">
        <v>-28654</v>
      </c>
      <c r="F2951" s="3" t="s">
        <v>674</v>
      </c>
      <c r="G2951" s="3" t="s">
        <v>52</v>
      </c>
      <c r="H2951" s="2" t="s">
        <v>21</v>
      </c>
      <c r="I2951" s="2" t="s">
        <v>6234</v>
      </c>
      <c r="J2951" s="3" t="str">
        <f>HYPERLINK("https://www.boe.es/gazeta/dias/1821/07/18/pdfs/GMD-1821-203.pdf#page=2","Abrir facsímil")</f>
        <v>Abrir facsímil</v>
      </c>
      <c r="K2951" s="3" t="s">
        <v>23</v>
      </c>
    </row>
    <row r="2952" spans="1:11" ht="42" customHeight="1">
      <c r="A2952" s="2" t="s">
        <v>6235</v>
      </c>
      <c r="B2952" s="2" t="s">
        <v>6235</v>
      </c>
      <c r="C2952" s="2" t="s">
        <v>40</v>
      </c>
      <c r="D2952" s="2" t="s">
        <v>41</v>
      </c>
      <c r="E2952" s="5">
        <v>-28654</v>
      </c>
      <c r="F2952" s="3" t="s">
        <v>674</v>
      </c>
      <c r="G2952" s="3" t="s">
        <v>43</v>
      </c>
      <c r="H2952" s="2" t="s">
        <v>21</v>
      </c>
      <c r="I2952" s="2" t="s">
        <v>6236</v>
      </c>
      <c r="J2952" s="3" t="str">
        <f>HYPERLINK("https://www.boe.es/gazeta/dias/1821/07/18/pdfs/GMD-1821-203.pdf#page=1","Abrir facsímil")</f>
        <v>Abrir facsímil</v>
      </c>
      <c r="K2952" s="3" t="s">
        <v>23</v>
      </c>
    </row>
    <row r="2953" spans="1:11" ht="42" customHeight="1">
      <c r="A2953" s="2" t="s">
        <v>6237</v>
      </c>
      <c r="B2953" s="2" t="s">
        <v>6237</v>
      </c>
      <c r="C2953" s="2" t="s">
        <v>35</v>
      </c>
      <c r="D2953" s="2" t="s">
        <v>27</v>
      </c>
      <c r="E2953" s="5">
        <v>-28751</v>
      </c>
      <c r="F2953" s="3" t="s">
        <v>356</v>
      </c>
      <c r="G2953" s="3" t="s">
        <v>20</v>
      </c>
      <c r="H2953" s="2" t="s">
        <v>21</v>
      </c>
      <c r="I2953" s="2" t="s">
        <v>6238</v>
      </c>
      <c r="J2953" s="3" t="str">
        <f>HYPERLINK("https://www.boe.es/gazeta/dias/1821/04/12/pdfs/GMD-1821-104.pdf#page=3","Abrir facsímil")</f>
        <v>Abrir facsímil</v>
      </c>
      <c r="K2953" s="3" t="s">
        <v>23</v>
      </c>
    </row>
    <row r="2954" spans="1:11" ht="42" customHeight="1">
      <c r="A2954" s="2" t="s">
        <v>6237</v>
      </c>
      <c r="B2954" s="2" t="s">
        <v>6237</v>
      </c>
      <c r="C2954" s="2" t="s">
        <v>26</v>
      </c>
      <c r="D2954" s="2" t="s">
        <v>27</v>
      </c>
      <c r="E2954" s="5">
        <v>-28550</v>
      </c>
      <c r="F2954" s="3" t="s">
        <v>546</v>
      </c>
      <c r="G2954" s="3" t="s">
        <v>88</v>
      </c>
      <c r="H2954" s="2" t="s">
        <v>21</v>
      </c>
      <c r="I2954" s="2" t="s">
        <v>6239</v>
      </c>
      <c r="J2954" s="3" t="str">
        <f>HYPERLINK("https://www.boe.es/gazeta/dias/1821/10/30/pdfs/GMD-1821-309.pdf#page=4","Abrir facsímil")</f>
        <v>Abrir facsímil</v>
      </c>
      <c r="K2954" s="3" t="s">
        <v>23</v>
      </c>
    </row>
    <row r="2955" spans="1:11" ht="42" customHeight="1">
      <c r="A2955" s="2" t="s">
        <v>6237</v>
      </c>
      <c r="B2955" s="2" t="s">
        <v>6237</v>
      </c>
      <c r="C2955" s="2" t="s">
        <v>26</v>
      </c>
      <c r="D2955" s="2" t="s">
        <v>27</v>
      </c>
      <c r="E2955" s="5">
        <v>-28550</v>
      </c>
      <c r="F2955" s="3" t="s">
        <v>546</v>
      </c>
      <c r="G2955" s="3" t="s">
        <v>162</v>
      </c>
      <c r="H2955" s="2" t="s">
        <v>21</v>
      </c>
      <c r="I2955" s="2" t="s">
        <v>6240</v>
      </c>
      <c r="J2955" s="3" t="str">
        <f>HYPERLINK("https://www.boe.es/gazeta/dias/1821/10/30/pdfs/GMD-1821-309.pdf#page=5","Abrir facsímil")</f>
        <v>Abrir facsímil</v>
      </c>
      <c r="K2955" s="3" t="s">
        <v>23</v>
      </c>
    </row>
    <row r="2956" spans="1:11" ht="42" customHeight="1">
      <c r="A2956" s="2" t="s">
        <v>6241</v>
      </c>
      <c r="B2956" s="2" t="s">
        <v>6241</v>
      </c>
      <c r="C2956" s="2" t="s">
        <v>26</v>
      </c>
      <c r="D2956" s="2" t="s">
        <v>27</v>
      </c>
      <c r="E2956" s="5">
        <v>-28677</v>
      </c>
      <c r="F2956" s="3" t="s">
        <v>361</v>
      </c>
      <c r="G2956" s="3" t="s">
        <v>162</v>
      </c>
      <c r="H2956" s="2" t="s">
        <v>21</v>
      </c>
      <c r="I2956" s="2" t="s">
        <v>6242</v>
      </c>
      <c r="J2956" s="3" t="str">
        <f>HYPERLINK("https://www.boe.es/gazeta/dias/1821/06/25/pdfs/GMD-1821-178.pdf#page=5","Abrir facsímil")</f>
        <v>Abrir facsímil</v>
      </c>
      <c r="K2956" s="3" t="s">
        <v>23</v>
      </c>
    </row>
    <row r="2957" spans="1:11" ht="42" customHeight="1">
      <c r="A2957" s="2" t="s">
        <v>6243</v>
      </c>
      <c r="B2957" s="2" t="s">
        <v>6243</v>
      </c>
      <c r="C2957" s="2" t="s">
        <v>174</v>
      </c>
      <c r="D2957" s="2" t="s">
        <v>27</v>
      </c>
      <c r="E2957" s="5">
        <v>-28675</v>
      </c>
      <c r="F2957" s="3" t="s">
        <v>943</v>
      </c>
      <c r="G2957" s="3" t="s">
        <v>333</v>
      </c>
      <c r="H2957" s="2" t="s">
        <v>21</v>
      </c>
      <c r="I2957" s="2" t="s">
        <v>6244</v>
      </c>
      <c r="J2957" s="3" t="str">
        <f>HYPERLINK("https://www.boe.es/gazeta/dias/1821/06/27/pdfs/GMD-1821-180.pdf#page=8","Abrir facsímil")</f>
        <v>Abrir facsímil</v>
      </c>
      <c r="K2957" s="3" t="s">
        <v>23</v>
      </c>
    </row>
    <row r="2958" spans="1:11" ht="42" customHeight="1">
      <c r="A2958" s="2" t="s">
        <v>6245</v>
      </c>
      <c r="B2958" s="2" t="s">
        <v>6245</v>
      </c>
      <c r="C2958" s="2" t="s">
        <v>17</v>
      </c>
      <c r="D2958" s="2" t="s">
        <v>18</v>
      </c>
      <c r="E2958" s="5">
        <v>-28762</v>
      </c>
      <c r="F2958" s="3" t="s">
        <v>608</v>
      </c>
      <c r="G2958" s="3" t="s">
        <v>333</v>
      </c>
      <c r="H2958" s="2" t="s">
        <v>21</v>
      </c>
      <c r="I2958" s="2" t="s">
        <v>6246</v>
      </c>
      <c r="J2958" s="3" t="str">
        <f>HYPERLINK("https://www.boe.es/gazeta/dias/1821/04/01/pdfs/GMD-1821-93.pdf#page=8","Abrir facsímil")</f>
        <v>Abrir facsímil</v>
      </c>
      <c r="K2958" s="3" t="s">
        <v>23</v>
      </c>
    </row>
    <row r="2959" spans="1:11" ht="42" customHeight="1">
      <c r="A2959" s="2" t="s">
        <v>6247</v>
      </c>
      <c r="B2959" s="2" t="s">
        <v>6247</v>
      </c>
      <c r="C2959" s="2" t="s">
        <v>26</v>
      </c>
      <c r="D2959" s="2" t="s">
        <v>27</v>
      </c>
      <c r="E2959" s="5">
        <v>-28547</v>
      </c>
      <c r="F2959" s="3" t="s">
        <v>247</v>
      </c>
      <c r="G2959" s="3" t="s">
        <v>248</v>
      </c>
      <c r="H2959" s="2" t="s">
        <v>21</v>
      </c>
      <c r="I2959" s="2" t="s">
        <v>6248</v>
      </c>
      <c r="J2959" s="3" t="str">
        <f>HYPERLINK("https://www.boe.es/gazeta/dias/1821/11/02/pdfs/GMD-1821-312.pdf#page=2","Abrir facsímil")</f>
        <v>Abrir facsímil</v>
      </c>
      <c r="K2959" s="3" t="s">
        <v>23</v>
      </c>
    </row>
    <row r="2960" spans="1:11" ht="42" customHeight="1">
      <c r="A2960" s="2" t="s">
        <v>6249</v>
      </c>
      <c r="B2960" s="2" t="s">
        <v>6250</v>
      </c>
      <c r="C2960" s="2" t="s">
        <v>26</v>
      </c>
      <c r="D2960" s="2" t="s">
        <v>27</v>
      </c>
      <c r="E2960" s="5">
        <v>-28547</v>
      </c>
      <c r="F2960" s="3" t="s">
        <v>247</v>
      </c>
      <c r="G2960" s="3" t="s">
        <v>248</v>
      </c>
      <c r="H2960" s="2" t="s">
        <v>21</v>
      </c>
      <c r="I2960" s="2" t="s">
        <v>6251</v>
      </c>
      <c r="J2960" s="3" t="str">
        <f>HYPERLINK("https://www.boe.es/gazeta/dias/1821/11/02/pdfs/GMD-1821-312.pdf#page=2","Abrir facsímil")</f>
        <v>Abrir facsímil</v>
      </c>
      <c r="K2960" s="3" t="s">
        <v>23</v>
      </c>
    </row>
    <row r="2961" spans="1:11" ht="42" customHeight="1">
      <c r="A2961" s="2" t="s">
        <v>6252</v>
      </c>
      <c r="B2961" s="2" t="s">
        <v>6253</v>
      </c>
      <c r="C2961" s="2" t="s">
        <v>26</v>
      </c>
      <c r="D2961" s="2" t="s">
        <v>27</v>
      </c>
      <c r="E2961" s="5">
        <v>-28547</v>
      </c>
      <c r="F2961" s="3" t="s">
        <v>247</v>
      </c>
      <c r="G2961" s="3" t="s">
        <v>248</v>
      </c>
      <c r="H2961" s="2" t="s">
        <v>21</v>
      </c>
      <c r="I2961" s="2" t="s">
        <v>6254</v>
      </c>
      <c r="J2961" s="3" t="str">
        <f>HYPERLINK("https://www.boe.es/gazeta/dias/1821/11/02/pdfs/GMD-1821-312.pdf#page=2","Abrir facsímil")</f>
        <v>Abrir facsímil</v>
      </c>
      <c r="K2961" s="3" t="s">
        <v>23</v>
      </c>
    </row>
    <row r="2962" spans="1:11" ht="42" customHeight="1">
      <c r="A2962" s="2" t="s">
        <v>6255</v>
      </c>
      <c r="B2962" s="2" t="s">
        <v>6256</v>
      </c>
      <c r="C2962" s="2" t="s">
        <v>26</v>
      </c>
      <c r="D2962" s="2" t="s">
        <v>27</v>
      </c>
      <c r="E2962" s="5">
        <v>-28547</v>
      </c>
      <c r="F2962" s="3" t="s">
        <v>247</v>
      </c>
      <c r="G2962" s="3" t="s">
        <v>248</v>
      </c>
      <c r="H2962" s="2" t="s">
        <v>30</v>
      </c>
      <c r="I2962" s="2" t="s">
        <v>6257</v>
      </c>
      <c r="J2962" s="3" t="str">
        <f>HYPERLINK("https://www.boe.es/gazeta/dias/1821/11/02/pdfs/GMD-1821-312.pdf#page=2","Abrir facsímil")</f>
        <v>Abrir facsímil</v>
      </c>
      <c r="K2962" s="3" t="s">
        <v>32</v>
      </c>
    </row>
    <row r="2963" spans="1:11" ht="42" customHeight="1">
      <c r="A2963" s="2" t="s">
        <v>6258</v>
      </c>
      <c r="B2963" s="2" t="s">
        <v>6259</v>
      </c>
      <c r="C2963" s="2" t="s">
        <v>26</v>
      </c>
      <c r="D2963" s="2" t="s">
        <v>27</v>
      </c>
      <c r="E2963" s="5">
        <v>-28547</v>
      </c>
      <c r="F2963" s="3" t="s">
        <v>247</v>
      </c>
      <c r="G2963" s="3" t="s">
        <v>248</v>
      </c>
      <c r="H2963" s="2" t="s">
        <v>21</v>
      </c>
      <c r="I2963" s="2" t="s">
        <v>6260</v>
      </c>
      <c r="J2963" s="3" t="str">
        <f>HYPERLINK("https://www.boe.es/gazeta/dias/1821/11/02/pdfs/GMD-1821-312.pdf#page=2","Abrir facsímil")</f>
        <v>Abrir facsímil</v>
      </c>
      <c r="K2963" s="3" t="s">
        <v>23</v>
      </c>
    </row>
    <row r="2964" spans="1:11" ht="42" customHeight="1">
      <c r="A2964" s="2" t="s">
        <v>6261</v>
      </c>
      <c r="B2964" s="2" t="s">
        <v>6262</v>
      </c>
      <c r="C2964" s="2" t="s">
        <v>40</v>
      </c>
      <c r="D2964" s="2" t="s">
        <v>41</v>
      </c>
      <c r="E2964" s="5">
        <v>-28783</v>
      </c>
      <c r="F2964" s="3" t="s">
        <v>198</v>
      </c>
      <c r="G2964" s="3" t="s">
        <v>20</v>
      </c>
      <c r="H2964" s="2" t="s">
        <v>21</v>
      </c>
      <c r="I2964" s="2" t="s">
        <v>6263</v>
      </c>
      <c r="J2964" s="3" t="str">
        <f>HYPERLINK("https://www.boe.es/gazeta/dias/1821/03/11/pdfs/GGB-1821-70.pdf#page=3","Abrir facsímil")</f>
        <v>Abrir facsímil</v>
      </c>
      <c r="K2964" s="3" t="s">
        <v>23</v>
      </c>
    </row>
    <row r="2965" spans="1:11" ht="42" customHeight="1">
      <c r="A2965" s="2" t="s">
        <v>6264</v>
      </c>
      <c r="B2965" s="2" t="s">
        <v>6264</v>
      </c>
      <c r="C2965" s="2" t="s">
        <v>26</v>
      </c>
      <c r="D2965" s="2" t="s">
        <v>27</v>
      </c>
      <c r="E2965" s="5">
        <v>-28719</v>
      </c>
      <c r="F2965" s="3" t="s">
        <v>647</v>
      </c>
      <c r="G2965" s="3" t="s">
        <v>20</v>
      </c>
      <c r="H2965" s="2" t="s">
        <v>21</v>
      </c>
      <c r="I2965" s="2" t="s">
        <v>6265</v>
      </c>
      <c r="J2965" s="3" t="str">
        <f>HYPERLINK("https://www.boe.es/gazeta/dias/1821/05/14/pdfs/GMD-1821-136.pdf#page=3","Abrir facsímil")</f>
        <v>Abrir facsímil</v>
      </c>
      <c r="K2965" s="3" t="s">
        <v>23</v>
      </c>
    </row>
    <row r="2966" spans="1:11" ht="42" customHeight="1">
      <c r="A2966" s="2" t="s">
        <v>6266</v>
      </c>
      <c r="B2966" s="2" t="s">
        <v>6266</v>
      </c>
      <c r="C2966" s="2" t="s">
        <v>114</v>
      </c>
      <c r="D2966" s="2" t="s">
        <v>27</v>
      </c>
      <c r="E2966" s="5">
        <v>-28701</v>
      </c>
      <c r="F2966" s="3" t="s">
        <v>202</v>
      </c>
      <c r="G2966" s="3" t="s">
        <v>88</v>
      </c>
      <c r="H2966" s="2" t="s">
        <v>21</v>
      </c>
      <c r="I2966" s="2" t="s">
        <v>6267</v>
      </c>
      <c r="J2966" s="3" t="str">
        <f>HYPERLINK("https://www.boe.es/gazeta/dias/1821/06/01/pdfs/GMD-1821-154.pdf#page=4","Abrir facsímil")</f>
        <v>Abrir facsímil</v>
      </c>
      <c r="K2966" s="3" t="s">
        <v>23</v>
      </c>
    </row>
    <row r="2967" spans="1:11" ht="42" customHeight="1">
      <c r="A2967" s="2" t="s">
        <v>6264</v>
      </c>
      <c r="B2967" s="2" t="s">
        <v>6264</v>
      </c>
      <c r="C2967" s="2" t="s">
        <v>17</v>
      </c>
      <c r="D2967" s="2" t="s">
        <v>18</v>
      </c>
      <c r="E2967" s="5">
        <v>-28542</v>
      </c>
      <c r="F2967" s="3" t="s">
        <v>221</v>
      </c>
      <c r="G2967" s="3" t="s">
        <v>88</v>
      </c>
      <c r="H2967" s="2" t="s">
        <v>21</v>
      </c>
      <c r="I2967" s="2" t="s">
        <v>6268</v>
      </c>
      <c r="J2967" s="3" t="str">
        <f>HYPERLINK("https://www.boe.es/gazeta/dias/1821/11/07/pdfs/GMD-1821-318.pdf#page=4","Abrir facsímil")</f>
        <v>Abrir facsímil</v>
      </c>
      <c r="K2967" s="3" t="s">
        <v>23</v>
      </c>
    </row>
    <row r="2968" spans="1:11" ht="42" customHeight="1">
      <c r="A2968" s="2" t="s">
        <v>6264</v>
      </c>
      <c r="B2968" s="2" t="s">
        <v>6264</v>
      </c>
      <c r="C2968" s="2" t="s">
        <v>26</v>
      </c>
      <c r="D2968" s="2" t="s">
        <v>27</v>
      </c>
      <c r="E2968" s="5">
        <v>-28538</v>
      </c>
      <c r="F2968" s="3" t="s">
        <v>395</v>
      </c>
      <c r="G2968" s="3" t="s">
        <v>20</v>
      </c>
      <c r="H2968" s="2" t="s">
        <v>21</v>
      </c>
      <c r="I2968" s="2" t="s">
        <v>6269</v>
      </c>
      <c r="J2968" s="3" t="str">
        <f>HYPERLINK("https://www.boe.es/gazeta/dias/1821/11/11/pdfs/GMD-1821-322.pdf#page=3","Abrir facsímil")</f>
        <v>Abrir facsímil</v>
      </c>
      <c r="K2968" s="3" t="s">
        <v>23</v>
      </c>
    </row>
    <row r="2969" spans="1:11" ht="42" customHeight="1">
      <c r="A2969" s="2" t="s">
        <v>6264</v>
      </c>
      <c r="B2969" s="2" t="s">
        <v>6264</v>
      </c>
      <c r="C2969" s="2" t="s">
        <v>40</v>
      </c>
      <c r="D2969" s="2" t="s">
        <v>41</v>
      </c>
      <c r="E2969" s="5">
        <v>-28515</v>
      </c>
      <c r="F2969" s="3" t="s">
        <v>260</v>
      </c>
      <c r="G2969" s="3" t="s">
        <v>20</v>
      </c>
      <c r="H2969" s="2" t="s">
        <v>21</v>
      </c>
      <c r="I2969" s="2" t="s">
        <v>6270</v>
      </c>
      <c r="J2969" s="3" t="str">
        <f>HYPERLINK("https://www.boe.es/gazeta/dias/1821/12/04/pdfs/GMD-1821-346.pdf#page=3","Abrir facsímil")</f>
        <v>Abrir facsímil</v>
      </c>
      <c r="K2969" s="3" t="s">
        <v>23</v>
      </c>
    </row>
    <row r="2970" spans="1:11" ht="42" customHeight="1">
      <c r="A2970" s="2" t="s">
        <v>6271</v>
      </c>
      <c r="B2970" s="2" t="s">
        <v>6272</v>
      </c>
      <c r="C2970" s="2" t="s">
        <v>70</v>
      </c>
      <c r="D2970" s="2" t="s">
        <v>27</v>
      </c>
      <c r="E2970" s="5">
        <v>-28495</v>
      </c>
      <c r="F2970" s="3" t="s">
        <v>227</v>
      </c>
      <c r="G2970" s="3" t="s">
        <v>52</v>
      </c>
      <c r="H2970" s="2" t="s">
        <v>21</v>
      </c>
      <c r="I2970" s="2" t="s">
        <v>6273</v>
      </c>
      <c r="J2970" s="3" t="str">
        <f>HYPERLINK("https://www.boe.es/gazeta/dias/1821/12/24/pdfs/GMD-1821-367.pdf#page=2","Abrir facsímil")</f>
        <v>Abrir facsímil</v>
      </c>
      <c r="K2970" s="3" t="s">
        <v>23</v>
      </c>
    </row>
    <row r="2971" spans="1:11" ht="42" customHeight="1">
      <c r="A2971" s="2" t="s">
        <v>6274</v>
      </c>
      <c r="B2971" s="2" t="s">
        <v>6275</v>
      </c>
      <c r="C2971" s="2" t="s">
        <v>35</v>
      </c>
      <c r="D2971" s="2" t="s">
        <v>27</v>
      </c>
      <c r="E2971" s="5">
        <v>-28791</v>
      </c>
      <c r="F2971" s="3" t="s">
        <v>47</v>
      </c>
      <c r="G2971" s="3" t="s">
        <v>88</v>
      </c>
      <c r="H2971" s="2" t="s">
        <v>21</v>
      </c>
      <c r="I2971" s="2" t="s">
        <v>6276</v>
      </c>
      <c r="J2971" s="3" t="str">
        <f>HYPERLINK("https://www.boe.es/gazeta/dias/1821/03/03/pdfs/GGB-1821-62.pdf#page=4","Abrir facsímil")</f>
        <v>Abrir facsímil</v>
      </c>
      <c r="K2971" s="3" t="s">
        <v>23</v>
      </c>
    </row>
    <row r="2972" spans="1:11" ht="42" customHeight="1">
      <c r="A2972" s="2" t="s">
        <v>6277</v>
      </c>
      <c r="B2972" s="2" t="s">
        <v>6278</v>
      </c>
      <c r="C2972" s="2" t="s">
        <v>17</v>
      </c>
      <c r="D2972" s="2" t="s">
        <v>18</v>
      </c>
      <c r="E2972" s="5">
        <v>-28745</v>
      </c>
      <c r="F2972" s="3" t="s">
        <v>1020</v>
      </c>
      <c r="G2972" s="3" t="s">
        <v>88</v>
      </c>
      <c r="H2972" s="2" t="s">
        <v>30</v>
      </c>
      <c r="I2972" s="2" t="s">
        <v>6279</v>
      </c>
      <c r="J2972" s="3" t="str">
        <f>HYPERLINK("https://www.boe.es/gazeta/dias/1821/04/18/pdfs/GMD-1821-110.pdf#page=4","Abrir facsímil")</f>
        <v>Abrir facsímil</v>
      </c>
      <c r="K2972" s="3" t="s">
        <v>32</v>
      </c>
    </row>
    <row r="2973" spans="1:11" ht="42" customHeight="1">
      <c r="A2973" s="2" t="s">
        <v>6280</v>
      </c>
      <c r="B2973" s="2" t="s">
        <v>6281</v>
      </c>
      <c r="C2973" s="2" t="s">
        <v>70</v>
      </c>
      <c r="D2973" s="2" t="s">
        <v>27</v>
      </c>
      <c r="E2973" s="5">
        <v>-28773</v>
      </c>
      <c r="F2973" s="3" t="s">
        <v>1755</v>
      </c>
      <c r="G2973" s="3" t="s">
        <v>52</v>
      </c>
      <c r="H2973" s="2" t="s">
        <v>21</v>
      </c>
      <c r="I2973" s="2" t="s">
        <v>6282</v>
      </c>
      <c r="J2973" s="3" t="str">
        <f>HYPERLINK("https://www.boe.es/gazeta/dias/1821/03/21/pdfs/GMD-1821-80.pdf#page=2","Abrir facsímil")</f>
        <v>Abrir facsímil</v>
      </c>
      <c r="K2973" s="3" t="s">
        <v>23</v>
      </c>
    </row>
    <row r="2974" spans="1:11" ht="42" customHeight="1">
      <c r="A2974" s="2" t="s">
        <v>6283</v>
      </c>
      <c r="B2974" s="2" t="s">
        <v>6284</v>
      </c>
      <c r="C2974" s="2" t="s">
        <v>40</v>
      </c>
      <c r="D2974" s="2" t="s">
        <v>41</v>
      </c>
      <c r="E2974" s="5">
        <v>-28492</v>
      </c>
      <c r="F2974" s="3" t="s">
        <v>1550</v>
      </c>
      <c r="G2974" s="3" t="s">
        <v>88</v>
      </c>
      <c r="H2974" s="2" t="s">
        <v>21</v>
      </c>
      <c r="I2974" s="2" t="s">
        <v>6285</v>
      </c>
      <c r="J2974" s="3" t="str">
        <f>HYPERLINK("https://www.boe.es/gazeta/dias/1821/12/27/pdfs/GMD-1821-370.pdf#page=4","Abrir facsímil")</f>
        <v>Abrir facsímil</v>
      </c>
      <c r="K2974" s="3" t="s">
        <v>23</v>
      </c>
    </row>
    <row r="2975" spans="1:11" ht="42" customHeight="1">
      <c r="A2975" s="2" t="s">
        <v>6286</v>
      </c>
      <c r="B2975" s="2" t="s">
        <v>6287</v>
      </c>
      <c r="C2975" s="2" t="s">
        <v>17</v>
      </c>
      <c r="D2975" s="2" t="s">
        <v>18</v>
      </c>
      <c r="E2975" s="5">
        <v>-28726</v>
      </c>
      <c r="F2975" s="3" t="s">
        <v>347</v>
      </c>
      <c r="G2975" s="3" t="s">
        <v>52</v>
      </c>
      <c r="H2975" s="2" t="s">
        <v>21</v>
      </c>
      <c r="I2975" s="2" t="s">
        <v>6288</v>
      </c>
      <c r="J2975" s="3" t="str">
        <f>HYPERLINK("https://www.boe.es/gazeta/dias/1821/05/07/pdfs/GMD-1821-129.pdf#page=2","Abrir facsímil")</f>
        <v>Abrir facsímil</v>
      </c>
      <c r="K2975" s="3" t="s">
        <v>23</v>
      </c>
    </row>
    <row r="2976" spans="1:11" ht="42" customHeight="1">
      <c r="A2976" s="2" t="s">
        <v>6289</v>
      </c>
      <c r="B2976" s="2" t="s">
        <v>6290</v>
      </c>
      <c r="C2976" s="2" t="s">
        <v>17</v>
      </c>
      <c r="D2976" s="2" t="s">
        <v>18</v>
      </c>
      <c r="E2976" s="5">
        <v>-28703</v>
      </c>
      <c r="F2976" s="3" t="s">
        <v>231</v>
      </c>
      <c r="G2976" s="3" t="s">
        <v>52</v>
      </c>
      <c r="H2976" s="2" t="s">
        <v>21</v>
      </c>
      <c r="I2976" s="2" t="s">
        <v>6291</v>
      </c>
      <c r="J2976" s="3" t="str">
        <f>HYPERLINK("https://www.boe.es/gazeta/dias/1821/05/30/pdfs/GMD-1821-152.pdf#page=2","Abrir facsímil")</f>
        <v>Abrir facsímil</v>
      </c>
      <c r="K2976" s="3" t="s">
        <v>23</v>
      </c>
    </row>
    <row r="2977" spans="1:11" ht="42" customHeight="1">
      <c r="A2977" s="2" t="s">
        <v>6292</v>
      </c>
      <c r="B2977" s="2" t="s">
        <v>6293</v>
      </c>
      <c r="C2977" s="2" t="s">
        <v>17</v>
      </c>
      <c r="D2977" s="2" t="s">
        <v>18</v>
      </c>
      <c r="E2977" s="5">
        <v>-28611</v>
      </c>
      <c r="F2977" s="3" t="s">
        <v>5777</v>
      </c>
      <c r="G2977" s="3" t="s">
        <v>88</v>
      </c>
      <c r="H2977" s="2" t="s">
        <v>30</v>
      </c>
      <c r="I2977" s="2" t="s">
        <v>6294</v>
      </c>
      <c r="J2977" s="3" t="str">
        <f>HYPERLINK("https://www.boe.es/gazeta/dias/1821/08/30/pdfs/GMD-1821-247.pdf#page=4","Abrir facsímil")</f>
        <v>Abrir facsímil</v>
      </c>
      <c r="K2977" s="3" t="s">
        <v>32</v>
      </c>
    </row>
    <row r="2978" spans="1:11" ht="42" customHeight="1">
      <c r="A2978" s="2" t="s">
        <v>6292</v>
      </c>
      <c r="B2978" s="2" t="s">
        <v>6293</v>
      </c>
      <c r="C2978" s="2" t="s">
        <v>17</v>
      </c>
      <c r="D2978" s="2" t="s">
        <v>18</v>
      </c>
      <c r="E2978" s="5">
        <v>-28556</v>
      </c>
      <c r="F2978" s="3" t="s">
        <v>264</v>
      </c>
      <c r="G2978" s="3" t="s">
        <v>29</v>
      </c>
      <c r="H2978" s="2" t="s">
        <v>30</v>
      </c>
      <c r="I2978" s="2" t="s">
        <v>6295</v>
      </c>
      <c r="J2978" s="3" t="str">
        <f>HYPERLINK("https://www.boe.es/gazeta/dias/1821/10/24/pdfs/GMD-1821-303.pdf#page=6","Abrir facsímil")</f>
        <v>Abrir facsímil</v>
      </c>
      <c r="K2978" s="3" t="s">
        <v>32</v>
      </c>
    </row>
    <row r="2979" spans="1:11" ht="42" customHeight="1">
      <c r="A2979" s="2" t="s">
        <v>6292</v>
      </c>
      <c r="B2979" s="2" t="s">
        <v>6293</v>
      </c>
      <c r="C2979" s="2" t="s">
        <v>17</v>
      </c>
      <c r="D2979" s="2" t="s">
        <v>18</v>
      </c>
      <c r="E2979" s="5">
        <v>-28553</v>
      </c>
      <c r="F2979" s="3" t="s">
        <v>182</v>
      </c>
      <c r="G2979" s="3" t="s">
        <v>29</v>
      </c>
      <c r="H2979" s="2" t="s">
        <v>30</v>
      </c>
      <c r="I2979" s="2" t="s">
        <v>6296</v>
      </c>
      <c r="J2979" s="3" t="str">
        <f>HYPERLINK("https://www.boe.es/gazeta/dias/1821/10/27/pdfs/GMD-1821-306.pdf#page=6","Abrir facsímil")</f>
        <v>Abrir facsímil</v>
      </c>
      <c r="K2979" s="3" t="s">
        <v>32</v>
      </c>
    </row>
    <row r="2980" spans="1:11" ht="42" customHeight="1">
      <c r="A2980" s="2" t="s">
        <v>6292</v>
      </c>
      <c r="B2980" s="2" t="s">
        <v>6293</v>
      </c>
      <c r="C2980" s="2" t="s">
        <v>17</v>
      </c>
      <c r="D2980" s="2" t="s">
        <v>18</v>
      </c>
      <c r="E2980" s="5">
        <v>-28545</v>
      </c>
      <c r="F2980" s="3" t="s">
        <v>284</v>
      </c>
      <c r="G2980" s="3" t="s">
        <v>29</v>
      </c>
      <c r="H2980" s="2" t="s">
        <v>30</v>
      </c>
      <c r="I2980" s="2" t="s">
        <v>6297</v>
      </c>
      <c r="J2980" s="3" t="str">
        <f>HYPERLINK("https://www.boe.es/gazeta/dias/1821/11/04/pdfs/GMD-1821-315.pdf#page=6","Abrir facsímil")</f>
        <v>Abrir facsímil</v>
      </c>
      <c r="K2980" s="3" t="s">
        <v>32</v>
      </c>
    </row>
    <row r="2981" spans="1:11" ht="42" customHeight="1">
      <c r="A2981" s="2" t="s">
        <v>6298</v>
      </c>
      <c r="B2981" s="2" t="s">
        <v>6299</v>
      </c>
      <c r="C2981" s="2" t="s">
        <v>40</v>
      </c>
      <c r="D2981" s="2" t="s">
        <v>41</v>
      </c>
      <c r="E2981" s="5">
        <v>-28721</v>
      </c>
      <c r="F2981" s="3" t="s">
        <v>92</v>
      </c>
      <c r="G2981" s="3" t="s">
        <v>88</v>
      </c>
      <c r="H2981" s="2" t="s">
        <v>21</v>
      </c>
      <c r="I2981" s="2" t="s">
        <v>6300</v>
      </c>
      <c r="J2981" s="3" t="str">
        <f>HYPERLINK("https://www.boe.es/gazeta/dias/1821/05/12/pdfs/GMD-1821-134.pdf#page=4","Abrir facsímil")</f>
        <v>Abrir facsímil</v>
      </c>
      <c r="K2981" s="3" t="s">
        <v>23</v>
      </c>
    </row>
    <row r="2982" spans="1:11" ht="42" customHeight="1">
      <c r="A2982" s="2" t="s">
        <v>6301</v>
      </c>
      <c r="B2982" s="2" t="s">
        <v>6302</v>
      </c>
      <c r="C2982" s="2" t="s">
        <v>279</v>
      </c>
      <c r="D2982" s="2" t="s">
        <v>27</v>
      </c>
      <c r="E2982" s="5">
        <v>-28751</v>
      </c>
      <c r="F2982" s="3" t="s">
        <v>356</v>
      </c>
      <c r="G2982" s="3" t="s">
        <v>43</v>
      </c>
      <c r="H2982" s="2" t="s">
        <v>21</v>
      </c>
      <c r="I2982" s="2" t="s">
        <v>6303</v>
      </c>
      <c r="J2982" s="3" t="str">
        <f>HYPERLINK("https://www.boe.es/gazeta/dias/1821/04/12/pdfs/GMD-1821-104.pdf#page=1","Abrir facsímil")</f>
        <v>Abrir facsímil</v>
      </c>
      <c r="K2982" s="3" t="s">
        <v>23</v>
      </c>
    </row>
    <row r="2983" spans="1:11" ht="42" customHeight="1">
      <c r="A2983" s="2" t="s">
        <v>6304</v>
      </c>
      <c r="B2983" s="2" t="s">
        <v>6305</v>
      </c>
      <c r="C2983" s="2" t="s">
        <v>40</v>
      </c>
      <c r="D2983" s="2" t="s">
        <v>41</v>
      </c>
      <c r="E2983" s="5">
        <v>-28733</v>
      </c>
      <c r="F2983" s="3" t="s">
        <v>1033</v>
      </c>
      <c r="G2983" s="3" t="s">
        <v>52</v>
      </c>
      <c r="H2983" s="2" t="s">
        <v>21</v>
      </c>
      <c r="I2983" s="2" t="s">
        <v>6306</v>
      </c>
      <c r="J2983" s="3" t="str">
        <f>HYPERLINK("https://www.boe.es/gazeta/dias/1821/04/30/pdfs/GMD-1821-122.pdf#page=2","Abrir facsímil")</f>
        <v>Abrir facsímil</v>
      </c>
      <c r="K2983" s="3" t="s">
        <v>23</v>
      </c>
    </row>
    <row r="2984" spans="1:11" ht="42" customHeight="1">
      <c r="A2984" s="2" t="s">
        <v>6307</v>
      </c>
      <c r="B2984" s="2" t="s">
        <v>6307</v>
      </c>
      <c r="C2984" s="2" t="s">
        <v>17</v>
      </c>
      <c r="D2984" s="2" t="s">
        <v>18</v>
      </c>
      <c r="E2984" s="5">
        <v>-28754</v>
      </c>
      <c r="F2984" s="3" t="s">
        <v>1942</v>
      </c>
      <c r="G2984" s="3" t="s">
        <v>52</v>
      </c>
      <c r="H2984" s="2" t="s">
        <v>21</v>
      </c>
      <c r="I2984" s="2" t="s">
        <v>6308</v>
      </c>
      <c r="J2984" s="3" t="str">
        <f>HYPERLINK("https://www.boe.es/gazeta/dias/1821/04/09/pdfs/GMD-1821-101.pdf#page=2","Abrir facsímil")</f>
        <v>Abrir facsímil</v>
      </c>
      <c r="K2984" s="3" t="s">
        <v>23</v>
      </c>
    </row>
    <row r="2985" spans="1:11" ht="42" customHeight="1">
      <c r="A2985" s="2" t="s">
        <v>6309</v>
      </c>
      <c r="B2985" s="2" t="s">
        <v>6309</v>
      </c>
      <c r="C2985" s="2" t="s">
        <v>35</v>
      </c>
      <c r="D2985" s="2" t="s">
        <v>27</v>
      </c>
      <c r="E2985" s="5">
        <v>-28744</v>
      </c>
      <c r="F2985" s="3" t="s">
        <v>834</v>
      </c>
      <c r="G2985" s="3" t="s">
        <v>52</v>
      </c>
      <c r="H2985" s="2" t="s">
        <v>21</v>
      </c>
      <c r="I2985" s="2" t="s">
        <v>6310</v>
      </c>
      <c r="J2985" s="3" t="str">
        <f>HYPERLINK("https://www.boe.es/gazeta/dias/1821/04/19/pdfs/GMD-1821-111.pdf#page=2","Abrir facsímil")</f>
        <v>Abrir facsímil</v>
      </c>
      <c r="K2985" s="3" t="s">
        <v>23</v>
      </c>
    </row>
    <row r="2986" spans="1:11" ht="42" customHeight="1">
      <c r="A2986" s="2" t="s">
        <v>6311</v>
      </c>
      <c r="B2986" s="2" t="s">
        <v>6312</v>
      </c>
      <c r="C2986" s="2" t="s">
        <v>40</v>
      </c>
      <c r="D2986" s="2" t="s">
        <v>41</v>
      </c>
      <c r="E2986" s="5">
        <v>-28746</v>
      </c>
      <c r="F2986" s="3" t="s">
        <v>687</v>
      </c>
      <c r="G2986" s="3" t="s">
        <v>20</v>
      </c>
      <c r="H2986" s="2" t="s">
        <v>21</v>
      </c>
      <c r="I2986" s="2" t="s">
        <v>6313</v>
      </c>
      <c r="J2986" s="3" t="str">
        <f>HYPERLINK("https://www.boe.es/gazeta/dias/1821/04/17/pdfs/GMD-1821-109.pdf#page=3","Abrir facsímil")</f>
        <v>Abrir facsímil</v>
      </c>
      <c r="K2986" s="3" t="s">
        <v>23</v>
      </c>
    </row>
    <row r="2987" spans="1:11" ht="42" customHeight="1">
      <c r="A2987" s="2" t="s">
        <v>6314</v>
      </c>
      <c r="B2987" s="2" t="s">
        <v>6314</v>
      </c>
      <c r="C2987" s="2" t="s">
        <v>174</v>
      </c>
      <c r="D2987" s="2" t="s">
        <v>27</v>
      </c>
      <c r="E2987" s="5">
        <v>-28775</v>
      </c>
      <c r="F2987" s="3" t="s">
        <v>132</v>
      </c>
      <c r="G2987" s="3" t="s">
        <v>20</v>
      </c>
      <c r="H2987" s="2" t="s">
        <v>21</v>
      </c>
      <c r="I2987" s="2" t="s">
        <v>6315</v>
      </c>
      <c r="J2987" s="3" t="str">
        <f>HYPERLINK("https://www.boe.es/gazeta/dias/1821/03/19/pdfs/GMD-1821-78.pdf#page=3","Abrir facsímil")</f>
        <v>Abrir facsímil</v>
      </c>
      <c r="K2987" s="3" t="s">
        <v>23</v>
      </c>
    </row>
    <row r="2988" spans="1:11" ht="42" customHeight="1">
      <c r="A2988" s="2" t="s">
        <v>6314</v>
      </c>
      <c r="B2988" s="2" t="s">
        <v>6314</v>
      </c>
      <c r="C2988" s="2" t="s">
        <v>35</v>
      </c>
      <c r="D2988" s="2" t="s">
        <v>27</v>
      </c>
      <c r="E2988" s="5">
        <v>-28740</v>
      </c>
      <c r="F2988" s="3" t="s">
        <v>2800</v>
      </c>
      <c r="G2988" s="3" t="s">
        <v>52</v>
      </c>
      <c r="H2988" s="2" t="s">
        <v>21</v>
      </c>
      <c r="I2988" s="2" t="s">
        <v>6316</v>
      </c>
      <c r="J2988" s="3" t="str">
        <f>HYPERLINK("https://www.boe.es/gazeta/dias/1821/04/23/pdfs/GMD-1821-115.pdf#page=2","Abrir facsímil")</f>
        <v>Abrir facsímil</v>
      </c>
      <c r="K2988" s="3" t="s">
        <v>23</v>
      </c>
    </row>
    <row r="2989" spans="1:11" ht="42" customHeight="1">
      <c r="A2989" s="2" t="s">
        <v>6314</v>
      </c>
      <c r="B2989" s="2" t="s">
        <v>6314</v>
      </c>
      <c r="C2989" s="2" t="s">
        <v>40</v>
      </c>
      <c r="D2989" s="2" t="s">
        <v>41</v>
      </c>
      <c r="E2989" s="5">
        <v>-28727</v>
      </c>
      <c r="F2989" s="3" t="s">
        <v>200</v>
      </c>
      <c r="G2989" s="3" t="s">
        <v>88</v>
      </c>
      <c r="H2989" s="2" t="s">
        <v>21</v>
      </c>
      <c r="I2989" s="2" t="s">
        <v>6317</v>
      </c>
      <c r="J2989" s="3" t="str">
        <f>HYPERLINK("https://www.boe.es/gazeta/dias/1821/05/06/pdfs/GMD-1821-128.pdf#page=4","Abrir facsímil")</f>
        <v>Abrir facsímil</v>
      </c>
      <c r="K2989" s="3" t="s">
        <v>23</v>
      </c>
    </row>
    <row r="2990" spans="1:11" ht="42" customHeight="1">
      <c r="A2990" s="2" t="s">
        <v>6314</v>
      </c>
      <c r="B2990" s="2" t="s">
        <v>6314</v>
      </c>
      <c r="C2990" s="2" t="s">
        <v>17</v>
      </c>
      <c r="D2990" s="2" t="s">
        <v>18</v>
      </c>
      <c r="E2990" s="5">
        <v>-28696</v>
      </c>
      <c r="F2990" s="3" t="s">
        <v>497</v>
      </c>
      <c r="G2990" s="3" t="s">
        <v>88</v>
      </c>
      <c r="H2990" s="2" t="s">
        <v>21</v>
      </c>
      <c r="I2990" s="2" t="s">
        <v>6318</v>
      </c>
      <c r="J2990" s="3" t="str">
        <f>HYPERLINK("https://www.boe.es/gazeta/dias/1821/06/06/pdfs/GMD-1821-159.pdf#page=4","Abrir facsímil")</f>
        <v>Abrir facsímil</v>
      </c>
      <c r="K2990" s="3" t="s">
        <v>23</v>
      </c>
    </row>
    <row r="2991" spans="1:11" ht="42" customHeight="1">
      <c r="A2991" s="2" t="s">
        <v>6314</v>
      </c>
      <c r="B2991" s="2" t="s">
        <v>6314</v>
      </c>
      <c r="C2991" s="2" t="s">
        <v>17</v>
      </c>
      <c r="D2991" s="2" t="s">
        <v>18</v>
      </c>
      <c r="E2991" s="5">
        <v>-28622</v>
      </c>
      <c r="F2991" s="3" t="s">
        <v>2771</v>
      </c>
      <c r="G2991" s="3" t="s">
        <v>20</v>
      </c>
      <c r="H2991" s="2" t="s">
        <v>21</v>
      </c>
      <c r="I2991" s="2" t="s">
        <v>6319</v>
      </c>
      <c r="J2991" s="3" t="str">
        <f>HYPERLINK("https://www.boe.es/gazeta/dias/1821/08/19/pdfs/GMD-1821-236.pdf#page=3","Abrir facsímil")</f>
        <v>Abrir facsímil</v>
      </c>
      <c r="K2991" s="3" t="s">
        <v>23</v>
      </c>
    </row>
    <row r="2992" spans="1:11" ht="42" customHeight="1">
      <c r="A2992" s="2" t="s">
        <v>6314</v>
      </c>
      <c r="B2992" s="2" t="s">
        <v>6314</v>
      </c>
      <c r="C2992" s="2" t="s">
        <v>26</v>
      </c>
      <c r="D2992" s="2" t="s">
        <v>27</v>
      </c>
      <c r="E2992" s="5">
        <v>-28610</v>
      </c>
      <c r="F2992" s="3" t="s">
        <v>190</v>
      </c>
      <c r="G2992" s="3" t="s">
        <v>20</v>
      </c>
      <c r="H2992" s="2" t="s">
        <v>21</v>
      </c>
      <c r="I2992" s="2" t="s">
        <v>6320</v>
      </c>
      <c r="J2992" s="3" t="str">
        <f>HYPERLINK("https://www.boe.es/gazeta/dias/1821/08/31/pdfs/GMD-1821-248.pdf#page=3","Abrir facsímil")</f>
        <v>Abrir facsímil</v>
      </c>
      <c r="K2992" s="3" t="s">
        <v>23</v>
      </c>
    </row>
    <row r="2993" spans="1:11" ht="42" customHeight="1">
      <c r="A2993" s="2" t="s">
        <v>6314</v>
      </c>
      <c r="B2993" s="2" t="s">
        <v>6314</v>
      </c>
      <c r="C2993" s="2" t="s">
        <v>17</v>
      </c>
      <c r="D2993" s="2" t="s">
        <v>18</v>
      </c>
      <c r="E2993" s="5">
        <v>-28551</v>
      </c>
      <c r="F2993" s="3" t="s">
        <v>542</v>
      </c>
      <c r="G2993" s="3" t="s">
        <v>88</v>
      </c>
      <c r="H2993" s="2" t="s">
        <v>21</v>
      </c>
      <c r="I2993" s="2" t="s">
        <v>6321</v>
      </c>
      <c r="J2993" s="3" t="str">
        <f>HYPERLINK("https://www.boe.es/gazeta/dias/1821/10/29/pdfs/GMD-1821-308.pdf#page=4","Abrir facsímil")</f>
        <v>Abrir facsímil</v>
      </c>
      <c r="K2993" s="3" t="s">
        <v>23</v>
      </c>
    </row>
    <row r="2994" spans="1:11" ht="42" customHeight="1">
      <c r="A2994" s="2" t="s">
        <v>6314</v>
      </c>
      <c r="B2994" s="2" t="s">
        <v>6314</v>
      </c>
      <c r="C2994" s="2" t="s">
        <v>17</v>
      </c>
      <c r="D2994" s="2" t="s">
        <v>18</v>
      </c>
      <c r="E2994" s="5">
        <v>-28520</v>
      </c>
      <c r="F2994" s="3" t="s">
        <v>878</v>
      </c>
      <c r="G2994" s="3" t="s">
        <v>88</v>
      </c>
      <c r="H2994" s="2" t="s">
        <v>21</v>
      </c>
      <c r="I2994" s="2" t="s">
        <v>6322</v>
      </c>
      <c r="J2994" s="3" t="str">
        <f>HYPERLINK("https://www.boe.es/gazeta/dias/1821/11/29/pdfs/GMD-1821-341.pdf#page=4","Abrir facsímil")</f>
        <v>Abrir facsímil</v>
      </c>
      <c r="K2994" s="3" t="s">
        <v>23</v>
      </c>
    </row>
    <row r="2995" spans="1:11" ht="42" customHeight="1">
      <c r="A2995" s="2" t="s">
        <v>6314</v>
      </c>
      <c r="B2995" s="2" t="s">
        <v>6314</v>
      </c>
      <c r="C2995" s="2" t="s">
        <v>26</v>
      </c>
      <c r="D2995" s="2" t="s">
        <v>27</v>
      </c>
      <c r="E2995" s="5">
        <v>-28510</v>
      </c>
      <c r="F2995" s="3" t="s">
        <v>83</v>
      </c>
      <c r="G2995" s="3" t="s">
        <v>52</v>
      </c>
      <c r="H2995" s="2" t="s">
        <v>21</v>
      </c>
      <c r="I2995" s="2" t="s">
        <v>6323</v>
      </c>
      <c r="J2995" s="3" t="str">
        <f>HYPERLINK("https://www.boe.es/gazeta/dias/1821/12/09/pdfs/GMD-1821-351.pdf#page=2","Abrir facsímil")</f>
        <v>Abrir facsímil</v>
      </c>
      <c r="K2995" s="3" t="s">
        <v>23</v>
      </c>
    </row>
    <row r="2996" spans="1:11" ht="42" customHeight="1">
      <c r="A2996" s="2" t="s">
        <v>6314</v>
      </c>
      <c r="B2996" s="2" t="s">
        <v>6314</v>
      </c>
      <c r="C2996" s="2" t="s">
        <v>40</v>
      </c>
      <c r="D2996" s="2" t="s">
        <v>41</v>
      </c>
      <c r="E2996" s="5">
        <v>-28508</v>
      </c>
      <c r="F2996" s="3" t="s">
        <v>42</v>
      </c>
      <c r="G2996" s="3" t="s">
        <v>52</v>
      </c>
      <c r="H2996" s="2" t="s">
        <v>21</v>
      </c>
      <c r="I2996" s="2" t="s">
        <v>6324</v>
      </c>
      <c r="J2996" s="3" t="str">
        <f>HYPERLINK("https://www.boe.es/gazeta/dias/1821/12/11/pdfs/GMD-1821-353.pdf#page=2","Abrir facsímil")</f>
        <v>Abrir facsímil</v>
      </c>
      <c r="K2996" s="3" t="s">
        <v>23</v>
      </c>
    </row>
    <row r="2997" spans="1:11" ht="42" customHeight="1">
      <c r="A2997" s="2" t="s">
        <v>6325</v>
      </c>
      <c r="B2997" s="2" t="s">
        <v>6326</v>
      </c>
      <c r="C2997" s="2" t="s">
        <v>114</v>
      </c>
      <c r="D2997" s="2" t="s">
        <v>27</v>
      </c>
      <c r="E2997" s="5">
        <v>-28649</v>
      </c>
      <c r="F2997" s="3" t="s">
        <v>4688</v>
      </c>
      <c r="G2997" s="3" t="s">
        <v>20</v>
      </c>
      <c r="H2997" s="2" t="s">
        <v>21</v>
      </c>
      <c r="I2997" s="2" t="s">
        <v>6327</v>
      </c>
      <c r="J2997" s="3" t="str">
        <f>HYPERLINK("https://www.boe.es/gazeta/dias/1821/07/23/pdfs/GMD-1821-208.pdf#page=3","Abrir facsímil")</f>
        <v>Abrir facsímil</v>
      </c>
      <c r="K2997" s="3" t="s">
        <v>23</v>
      </c>
    </row>
    <row r="2998" spans="1:11" ht="42" customHeight="1">
      <c r="A2998" s="2" t="s">
        <v>6328</v>
      </c>
      <c r="B2998" s="2" t="s">
        <v>6328</v>
      </c>
      <c r="C2998" s="2" t="s">
        <v>40</v>
      </c>
      <c r="D2998" s="2" t="s">
        <v>41</v>
      </c>
      <c r="E2998" s="5">
        <v>-28800</v>
      </c>
      <c r="F2998" s="3" t="s">
        <v>1753</v>
      </c>
      <c r="G2998" s="3" t="s">
        <v>88</v>
      </c>
      <c r="H2998" s="2" t="s">
        <v>21</v>
      </c>
      <c r="I2998" s="2" t="s">
        <v>6329</v>
      </c>
      <c r="J2998" s="3" t="str">
        <f>HYPERLINK("https://www.boe.es/gazeta/dias/1821/02/22/pdfs/GGB-1821-53.pdf#page=4","Abrir facsímil")</f>
        <v>Abrir facsímil</v>
      </c>
      <c r="K2998" s="3" t="s">
        <v>23</v>
      </c>
    </row>
    <row r="2999" spans="1:11" ht="42" customHeight="1">
      <c r="A2999" s="2" t="s">
        <v>6330</v>
      </c>
      <c r="B2999" s="2" t="s">
        <v>6330</v>
      </c>
      <c r="C2999" s="2" t="s">
        <v>17</v>
      </c>
      <c r="D2999" s="2" t="s">
        <v>18</v>
      </c>
      <c r="E2999" s="5">
        <v>-28726</v>
      </c>
      <c r="F2999" s="3" t="s">
        <v>347</v>
      </c>
      <c r="G2999" s="3" t="s">
        <v>52</v>
      </c>
      <c r="H2999" s="2" t="s">
        <v>21</v>
      </c>
      <c r="I2999" s="2" t="s">
        <v>6331</v>
      </c>
      <c r="J2999" s="3" t="str">
        <f>HYPERLINK("https://www.boe.es/gazeta/dias/1821/05/07/pdfs/GMD-1821-129.pdf#page=2","Abrir facsímil")</f>
        <v>Abrir facsímil</v>
      </c>
      <c r="K2999" s="3" t="s">
        <v>23</v>
      </c>
    </row>
    <row r="3000" spans="1:11" ht="42" customHeight="1">
      <c r="A3000" s="2" t="s">
        <v>6332</v>
      </c>
      <c r="B3000" s="2" t="s">
        <v>6333</v>
      </c>
      <c r="C3000" s="2" t="s">
        <v>17</v>
      </c>
      <c r="D3000" s="2" t="s">
        <v>18</v>
      </c>
      <c r="E3000" s="5">
        <v>-28528</v>
      </c>
      <c r="F3000" s="3" t="s">
        <v>1872</v>
      </c>
      <c r="G3000" s="3" t="s">
        <v>52</v>
      </c>
      <c r="H3000" s="2" t="s">
        <v>21</v>
      </c>
      <c r="I3000" s="2" t="s">
        <v>6334</v>
      </c>
      <c r="J3000" s="3" t="str">
        <f>HYPERLINK("https://www.boe.es/gazeta/dias/1821/11/21/pdfs/GMD-1821-332.pdf#page=2","Abrir facsímil")</f>
        <v>Abrir facsímil</v>
      </c>
      <c r="K3000" s="3" t="s">
        <v>23</v>
      </c>
    </row>
    <row r="3001" spans="1:11" ht="42" customHeight="1">
      <c r="A3001" s="2" t="s">
        <v>6335</v>
      </c>
      <c r="B3001" s="2" t="s">
        <v>6336</v>
      </c>
      <c r="C3001" s="2" t="s">
        <v>26</v>
      </c>
      <c r="D3001" s="2" t="s">
        <v>27</v>
      </c>
      <c r="E3001" s="5">
        <v>-28835</v>
      </c>
      <c r="F3001" s="3" t="s">
        <v>1362</v>
      </c>
      <c r="G3001" s="3" t="s">
        <v>88</v>
      </c>
      <c r="H3001" s="2" t="s">
        <v>21</v>
      </c>
      <c r="I3001" s="2" t="s">
        <v>6337</v>
      </c>
      <c r="J3001" s="3" t="str">
        <f>HYPERLINK("https://www.boe.es/gazeta/dias/1821/01/18/pdfs/GGB-1821-18.pdf#page=4","Abrir facsímil")</f>
        <v>Abrir facsímil</v>
      </c>
      <c r="K3001" s="3" t="s">
        <v>23</v>
      </c>
    </row>
    <row r="3002" spans="1:11" ht="42" customHeight="1">
      <c r="A3002" s="2" t="s">
        <v>6338</v>
      </c>
      <c r="B3002" s="2" t="s">
        <v>6339</v>
      </c>
      <c r="C3002" s="2" t="s">
        <v>114</v>
      </c>
      <c r="D3002" s="2" t="s">
        <v>27</v>
      </c>
      <c r="E3002" s="5">
        <v>-28574</v>
      </c>
      <c r="F3002" s="3" t="s">
        <v>779</v>
      </c>
      <c r="G3002" s="3" t="s">
        <v>333</v>
      </c>
      <c r="H3002" s="2" t="s">
        <v>21</v>
      </c>
      <c r="I3002" s="2" t="s">
        <v>6340</v>
      </c>
      <c r="J3002" s="3" t="str">
        <f>HYPERLINK("https://www.boe.es/gazeta/dias/1821/10/06/pdfs/GMD-1821-285.pdf#page=8","Abrir facsímil")</f>
        <v>Abrir facsímil</v>
      </c>
      <c r="K3002" s="3" t="s">
        <v>23</v>
      </c>
    </row>
    <row r="3003" spans="1:11" ht="42" customHeight="1">
      <c r="A3003" s="2" t="s">
        <v>6341</v>
      </c>
      <c r="B3003" s="2" t="s">
        <v>6342</v>
      </c>
      <c r="C3003" s="2" t="s">
        <v>17</v>
      </c>
      <c r="D3003" s="2" t="s">
        <v>18</v>
      </c>
      <c r="E3003" s="5">
        <v>-28648</v>
      </c>
      <c r="F3003" s="3" t="s">
        <v>1520</v>
      </c>
      <c r="G3003" s="3" t="s">
        <v>1521</v>
      </c>
      <c r="H3003" s="2" t="s">
        <v>21</v>
      </c>
      <c r="I3003" s="2" t="s">
        <v>6343</v>
      </c>
      <c r="J3003" s="3" t="str">
        <f>HYPERLINK("https://www.boe.es/gazeta/dias/1821/07/24/pdfs/GMD-1821-209.pdf#page=6","Abrir facsímil")</f>
        <v>Abrir facsímil</v>
      </c>
      <c r="K3003" s="3" t="s">
        <v>23</v>
      </c>
    </row>
    <row r="3004" spans="1:11" ht="42" customHeight="1">
      <c r="A3004" s="2" t="s">
        <v>6344</v>
      </c>
      <c r="B3004" s="2" t="s">
        <v>6345</v>
      </c>
      <c r="C3004" s="2" t="s">
        <v>17</v>
      </c>
      <c r="D3004" s="2" t="s">
        <v>18</v>
      </c>
      <c r="E3004" s="5">
        <v>-28610</v>
      </c>
      <c r="F3004" s="3" t="s">
        <v>190</v>
      </c>
      <c r="G3004" s="3" t="s">
        <v>43</v>
      </c>
      <c r="H3004" s="2" t="s">
        <v>21</v>
      </c>
      <c r="I3004" s="2" t="s">
        <v>6346</v>
      </c>
      <c r="J3004" s="3" t="str">
        <f>HYPERLINK("https://www.boe.es/gazeta/dias/1821/08/31/pdfs/GMD-1821-248.pdf#page=1","Abrir facsímil")</f>
        <v>Abrir facsímil</v>
      </c>
      <c r="K3004" s="3" t="s">
        <v>23</v>
      </c>
    </row>
    <row r="3005" spans="1:11" ht="42" customHeight="1">
      <c r="A3005" s="2" t="s">
        <v>6347</v>
      </c>
      <c r="B3005" s="2" t="s">
        <v>6348</v>
      </c>
      <c r="C3005" s="2" t="s">
        <v>35</v>
      </c>
      <c r="D3005" s="2" t="s">
        <v>27</v>
      </c>
      <c r="E3005" s="5">
        <v>-28677</v>
      </c>
      <c r="F3005" s="3" t="s">
        <v>361</v>
      </c>
      <c r="G3005" s="3" t="s">
        <v>29</v>
      </c>
      <c r="H3005" s="2" t="s">
        <v>21</v>
      </c>
      <c r="I3005" s="2" t="s">
        <v>6349</v>
      </c>
      <c r="J3005" s="3" t="str">
        <f>HYPERLINK("https://www.boe.es/gazeta/dias/1821/06/25/pdfs/GMD-1821-178.pdf#page=6","Abrir facsímil")</f>
        <v>Abrir facsímil</v>
      </c>
      <c r="K3005" s="3" t="s">
        <v>23</v>
      </c>
    </row>
    <row r="3006" spans="1:11" ht="42" customHeight="1">
      <c r="A3006" s="2" t="s">
        <v>6350</v>
      </c>
      <c r="B3006" s="2" t="s">
        <v>6351</v>
      </c>
      <c r="C3006" s="2" t="s">
        <v>17</v>
      </c>
      <c r="D3006" s="2" t="s">
        <v>18</v>
      </c>
      <c r="E3006" s="5">
        <v>-28718</v>
      </c>
      <c r="F3006" s="3" t="s">
        <v>583</v>
      </c>
      <c r="G3006" s="3" t="s">
        <v>88</v>
      </c>
      <c r="H3006" s="2" t="s">
        <v>21</v>
      </c>
      <c r="I3006" s="2" t="s">
        <v>6352</v>
      </c>
      <c r="J3006" s="3" t="str">
        <f>HYPERLINK("https://www.boe.es/gazeta/dias/1821/05/15/pdfs/GMD-1821-137.pdf#page=4","Abrir facsímil")</f>
        <v>Abrir facsímil</v>
      </c>
      <c r="K3006" s="3" t="s">
        <v>23</v>
      </c>
    </row>
    <row r="3007" spans="1:11" ht="42" customHeight="1">
      <c r="A3007" s="2" t="s">
        <v>6353</v>
      </c>
      <c r="B3007" s="2" t="s">
        <v>6353</v>
      </c>
      <c r="C3007" s="2" t="s">
        <v>17</v>
      </c>
      <c r="D3007" s="2" t="s">
        <v>18</v>
      </c>
      <c r="E3007" s="5">
        <v>-28575</v>
      </c>
      <c r="F3007" s="3" t="s">
        <v>2453</v>
      </c>
      <c r="G3007" s="3" t="s">
        <v>88</v>
      </c>
      <c r="H3007" s="2" t="s">
        <v>21</v>
      </c>
      <c r="I3007" s="2" t="s">
        <v>6354</v>
      </c>
      <c r="J3007" s="3" t="str">
        <f>HYPERLINK("https://www.boe.es/gazeta/dias/1821/10/05/pdfs/GMD-1821-284.pdf#page=4","Abrir facsímil")</f>
        <v>Abrir facsímil</v>
      </c>
      <c r="K3007" s="3" t="s">
        <v>23</v>
      </c>
    </row>
    <row r="3008" spans="1:11" ht="42" customHeight="1">
      <c r="A3008" s="2" t="s">
        <v>6353</v>
      </c>
      <c r="B3008" s="2" t="s">
        <v>6353</v>
      </c>
      <c r="C3008" s="2" t="s">
        <v>17</v>
      </c>
      <c r="D3008" s="2" t="s">
        <v>18</v>
      </c>
      <c r="E3008" s="5">
        <v>-28553</v>
      </c>
      <c r="F3008" s="3" t="s">
        <v>182</v>
      </c>
      <c r="G3008" s="3" t="s">
        <v>88</v>
      </c>
      <c r="H3008" s="2" t="s">
        <v>21</v>
      </c>
      <c r="I3008" s="2" t="s">
        <v>6355</v>
      </c>
      <c r="J3008" s="3" t="str">
        <f>HYPERLINK("https://www.boe.es/gazeta/dias/1821/10/27/pdfs/GMD-1821-306.pdf#page=4","Abrir facsímil")</f>
        <v>Abrir facsímil</v>
      </c>
      <c r="K3008" s="3" t="s">
        <v>23</v>
      </c>
    </row>
    <row r="3009" spans="1:11" ht="42" customHeight="1">
      <c r="A3009" s="2" t="s">
        <v>6356</v>
      </c>
      <c r="B3009" s="2" t="s">
        <v>6357</v>
      </c>
      <c r="C3009" s="2" t="s">
        <v>26</v>
      </c>
      <c r="D3009" s="2" t="s">
        <v>27</v>
      </c>
      <c r="E3009" s="5">
        <v>-28809</v>
      </c>
      <c r="F3009" s="3" t="s">
        <v>1173</v>
      </c>
      <c r="G3009" s="3" t="s">
        <v>52</v>
      </c>
      <c r="H3009" s="2" t="s">
        <v>21</v>
      </c>
      <c r="I3009" s="2" t="s">
        <v>6358</v>
      </c>
      <c r="J3009" s="3" t="str">
        <f>HYPERLINK("https://www.boe.es/gazeta/dias/1821/02/13/pdfs/GGB-1821-44.pdf#page=2","Abrir facsímil")</f>
        <v>Abrir facsímil</v>
      </c>
      <c r="K3009" s="3" t="s">
        <v>23</v>
      </c>
    </row>
    <row r="3010" spans="1:11" ht="42" customHeight="1">
      <c r="A3010" s="2" t="s">
        <v>6359</v>
      </c>
      <c r="B3010" s="2" t="s">
        <v>6360</v>
      </c>
      <c r="C3010" s="2" t="s">
        <v>17</v>
      </c>
      <c r="D3010" s="2" t="s">
        <v>18</v>
      </c>
      <c r="E3010" s="5">
        <v>-28556</v>
      </c>
      <c r="F3010" s="3" t="s">
        <v>264</v>
      </c>
      <c r="G3010" s="3" t="s">
        <v>162</v>
      </c>
      <c r="H3010" s="2" t="s">
        <v>21</v>
      </c>
      <c r="I3010" s="2" t="s">
        <v>6361</v>
      </c>
      <c r="J3010" s="3" t="str">
        <f>HYPERLINK("https://www.boe.es/gazeta/dias/1821/10/24/pdfs/GMD-1821-303.pdf#page=5","Abrir facsímil")</f>
        <v>Abrir facsímil</v>
      </c>
      <c r="K3010" s="3" t="s">
        <v>23</v>
      </c>
    </row>
    <row r="3011" spans="1:11" ht="42" customHeight="1">
      <c r="A3011" s="2" t="s">
        <v>6362</v>
      </c>
      <c r="B3011" s="2" t="s">
        <v>6362</v>
      </c>
      <c r="C3011" s="2" t="s">
        <v>35</v>
      </c>
      <c r="D3011" s="2" t="s">
        <v>27</v>
      </c>
      <c r="E3011" s="5">
        <v>-28770</v>
      </c>
      <c r="F3011" s="3" t="s">
        <v>1009</v>
      </c>
      <c r="G3011" s="3" t="s">
        <v>20</v>
      </c>
      <c r="H3011" s="2" t="s">
        <v>21</v>
      </c>
      <c r="I3011" s="2" t="s">
        <v>6363</v>
      </c>
      <c r="J3011" s="3" t="str">
        <f>HYPERLINK("https://www.boe.es/gazeta/dias/1821/03/24/pdfs/GMD-1821-84.pdf#page=3","Abrir facsímil")</f>
        <v>Abrir facsímil</v>
      </c>
      <c r="K3011" s="3" t="s">
        <v>23</v>
      </c>
    </row>
    <row r="3012" spans="1:11" ht="42" customHeight="1">
      <c r="A3012" s="2" t="s">
        <v>6364</v>
      </c>
      <c r="B3012" s="2" t="s">
        <v>6365</v>
      </c>
      <c r="C3012" s="2" t="s">
        <v>40</v>
      </c>
      <c r="D3012" s="2" t="s">
        <v>41</v>
      </c>
      <c r="E3012" s="5">
        <v>-28582</v>
      </c>
      <c r="F3012" s="3" t="s">
        <v>3039</v>
      </c>
      <c r="G3012" s="3" t="s">
        <v>5460</v>
      </c>
      <c r="H3012" s="2" t="s">
        <v>21</v>
      </c>
      <c r="I3012" s="2" t="s">
        <v>6366</v>
      </c>
      <c r="J3012" s="3" t="str">
        <f>HYPERLINK("https://www.boe.es/gazeta/dias/1821/09/28/pdfs/GMD-1821-276.pdf#page=3","Abrir facsímil")</f>
        <v>Abrir facsímil</v>
      </c>
      <c r="K3012" s="3" t="s">
        <v>23</v>
      </c>
    </row>
    <row r="3013" spans="1:11" ht="42" customHeight="1">
      <c r="A3013" s="2" t="s">
        <v>6364</v>
      </c>
      <c r="B3013" s="2" t="s">
        <v>6365</v>
      </c>
      <c r="C3013" s="2" t="s">
        <v>26</v>
      </c>
      <c r="D3013" s="2" t="s">
        <v>27</v>
      </c>
      <c r="E3013" s="5">
        <v>-28530</v>
      </c>
      <c r="F3013" s="3" t="s">
        <v>237</v>
      </c>
      <c r="G3013" s="3" t="s">
        <v>52</v>
      </c>
      <c r="H3013" s="2" t="s">
        <v>21</v>
      </c>
      <c r="I3013" s="2" t="s">
        <v>6367</v>
      </c>
      <c r="J3013" s="3" t="str">
        <f>HYPERLINK("https://www.boe.es/gazeta/dias/1821/11/19/pdfs/GMD-1821-330.pdf#page=2","Abrir facsímil")</f>
        <v>Abrir facsímil</v>
      </c>
      <c r="K3013" s="3" t="s">
        <v>23</v>
      </c>
    </row>
    <row r="3014" spans="1:11" ht="42" customHeight="1">
      <c r="A3014" s="2" t="s">
        <v>6368</v>
      </c>
      <c r="B3014" s="2" t="s">
        <v>6368</v>
      </c>
      <c r="C3014" s="2" t="s">
        <v>26</v>
      </c>
      <c r="D3014" s="2" t="s">
        <v>27</v>
      </c>
      <c r="E3014" s="5">
        <v>-28497</v>
      </c>
      <c r="F3014" s="3" t="s">
        <v>225</v>
      </c>
      <c r="G3014" s="3" t="s">
        <v>20</v>
      </c>
      <c r="H3014" s="2" t="s">
        <v>21</v>
      </c>
      <c r="I3014" s="2" t="s">
        <v>6369</v>
      </c>
      <c r="J3014" s="3" t="str">
        <f>HYPERLINK("https://www.boe.es/gazeta/dias/1821/12/22/pdfs/GMD-1821-365.pdf#page=3","Abrir facsímil")</f>
        <v>Abrir facsímil</v>
      </c>
      <c r="K3014" s="3" t="s">
        <v>23</v>
      </c>
    </row>
    <row r="3015" spans="1:11" ht="42" customHeight="1">
      <c r="A3015" s="2" t="s">
        <v>6370</v>
      </c>
      <c r="B3015" s="2" t="s">
        <v>6370</v>
      </c>
      <c r="C3015" s="2" t="s">
        <v>40</v>
      </c>
      <c r="D3015" s="2" t="s">
        <v>41</v>
      </c>
      <c r="E3015" s="5">
        <v>-28527</v>
      </c>
      <c r="F3015" s="3" t="s">
        <v>328</v>
      </c>
      <c r="G3015" s="3" t="s">
        <v>88</v>
      </c>
      <c r="H3015" s="2" t="s">
        <v>21</v>
      </c>
      <c r="I3015" s="2" t="s">
        <v>6371</v>
      </c>
      <c r="J3015" s="3" t="str">
        <f>HYPERLINK("https://www.boe.es/gazeta/dias/1821/11/22/pdfs/GMD-1821-333.pdf#page=4","Abrir facsímil")</f>
        <v>Abrir facsímil</v>
      </c>
      <c r="K3015" s="3" t="s">
        <v>23</v>
      </c>
    </row>
    <row r="3016" spans="1:11" ht="42" customHeight="1">
      <c r="A3016" s="2" t="s">
        <v>6372</v>
      </c>
      <c r="B3016" s="2" t="s">
        <v>6372</v>
      </c>
      <c r="C3016" s="2" t="s">
        <v>17</v>
      </c>
      <c r="D3016" s="2" t="s">
        <v>18</v>
      </c>
      <c r="E3016" s="5">
        <v>-28515</v>
      </c>
      <c r="F3016" s="3" t="s">
        <v>260</v>
      </c>
      <c r="G3016" s="3" t="s">
        <v>162</v>
      </c>
      <c r="H3016" s="2" t="s">
        <v>21</v>
      </c>
      <c r="I3016" s="2" t="s">
        <v>6373</v>
      </c>
      <c r="J3016" s="3" t="str">
        <f>HYPERLINK("https://www.boe.es/gazeta/dias/1821/12/04/pdfs/GMD-1821-346.pdf#page=5","Abrir facsímil")</f>
        <v>Abrir facsímil</v>
      </c>
      <c r="K3016" s="3" t="s">
        <v>23</v>
      </c>
    </row>
    <row r="3017" spans="1:11" ht="42" customHeight="1">
      <c r="A3017" s="2" t="s">
        <v>6374</v>
      </c>
      <c r="B3017" s="2" t="s">
        <v>6374</v>
      </c>
      <c r="C3017" s="2" t="s">
        <v>35</v>
      </c>
      <c r="D3017" s="2" t="s">
        <v>27</v>
      </c>
      <c r="E3017" s="5">
        <v>-28497</v>
      </c>
      <c r="F3017" s="3" t="s">
        <v>225</v>
      </c>
      <c r="G3017" s="3" t="s">
        <v>88</v>
      </c>
      <c r="H3017" s="2" t="s">
        <v>21</v>
      </c>
      <c r="I3017" s="2" t="s">
        <v>6375</v>
      </c>
      <c r="J3017" s="3" t="str">
        <f>HYPERLINK("https://www.boe.es/gazeta/dias/1821/12/22/pdfs/GMD-1821-365.pdf#page=4","Abrir facsímil")</f>
        <v>Abrir facsímil</v>
      </c>
      <c r="K3017" s="3" t="s">
        <v>23</v>
      </c>
    </row>
    <row r="3018" spans="1:11" ht="42" customHeight="1">
      <c r="A3018" s="2" t="s">
        <v>6376</v>
      </c>
      <c r="B3018" s="2" t="s">
        <v>6376</v>
      </c>
      <c r="C3018" s="2" t="s">
        <v>26</v>
      </c>
      <c r="D3018" s="2" t="s">
        <v>27</v>
      </c>
      <c r="E3018" s="5">
        <v>-28779</v>
      </c>
      <c r="F3018" s="3" t="s">
        <v>1002</v>
      </c>
      <c r="G3018" s="3" t="s">
        <v>20</v>
      </c>
      <c r="H3018" s="2" t="s">
        <v>21</v>
      </c>
      <c r="I3018" s="2" t="s">
        <v>6377</v>
      </c>
      <c r="J3018" s="3" t="str">
        <f>HYPERLINK("https://www.boe.es/gazeta/dias/1821/03/15/pdfs/GMD-1821-74.pdf#page=3","Abrir facsímil")</f>
        <v>Abrir facsímil</v>
      </c>
      <c r="K3018" s="3" t="s">
        <v>23</v>
      </c>
    </row>
    <row r="3019" spans="1:11" ht="42" customHeight="1">
      <c r="A3019" s="2" t="s">
        <v>6376</v>
      </c>
      <c r="B3019" s="2" t="s">
        <v>6376</v>
      </c>
      <c r="C3019" s="2" t="s">
        <v>17</v>
      </c>
      <c r="D3019" s="2" t="s">
        <v>18</v>
      </c>
      <c r="E3019" s="5">
        <v>-28757</v>
      </c>
      <c r="F3019" s="3" t="s">
        <v>472</v>
      </c>
      <c r="G3019" s="3" t="s">
        <v>20</v>
      </c>
      <c r="H3019" s="2" t="s">
        <v>21</v>
      </c>
      <c r="I3019" s="2" t="s">
        <v>6378</v>
      </c>
      <c r="J3019" s="3" t="str">
        <f>HYPERLINK("https://www.boe.es/gazeta/dias/1821/04/06/pdfs/GMD-1821-98.pdf#page=3","Abrir facsímil")</f>
        <v>Abrir facsímil</v>
      </c>
      <c r="K3019" s="3" t="s">
        <v>23</v>
      </c>
    </row>
    <row r="3020" spans="1:11" ht="42" customHeight="1">
      <c r="A3020" s="2" t="s">
        <v>6376</v>
      </c>
      <c r="B3020" s="2" t="s">
        <v>6376</v>
      </c>
      <c r="C3020" s="2" t="s">
        <v>279</v>
      </c>
      <c r="D3020" s="2" t="s">
        <v>27</v>
      </c>
      <c r="E3020" s="5">
        <v>-28738</v>
      </c>
      <c r="F3020" s="3" t="s">
        <v>359</v>
      </c>
      <c r="G3020" s="3" t="s">
        <v>88</v>
      </c>
      <c r="H3020" s="2" t="s">
        <v>21</v>
      </c>
      <c r="I3020" s="2" t="s">
        <v>6379</v>
      </c>
      <c r="J3020" s="3" t="str">
        <f>HYPERLINK("https://www.boe.es/gazeta/dias/1821/04/25/pdfs/GMD-1821-117.pdf#page=4","Abrir facsímil")</f>
        <v>Abrir facsímil</v>
      </c>
      <c r="K3020" s="3" t="s">
        <v>23</v>
      </c>
    </row>
    <row r="3021" spans="1:11" ht="42" customHeight="1">
      <c r="A3021" s="2" t="s">
        <v>6376</v>
      </c>
      <c r="B3021" s="2" t="s">
        <v>6376</v>
      </c>
      <c r="C3021" s="2" t="s">
        <v>26</v>
      </c>
      <c r="D3021" s="2" t="s">
        <v>27</v>
      </c>
      <c r="E3021" s="5">
        <v>-28676</v>
      </c>
      <c r="F3021" s="3" t="s">
        <v>534</v>
      </c>
      <c r="G3021" s="3" t="s">
        <v>52</v>
      </c>
      <c r="H3021" s="2" t="s">
        <v>21</v>
      </c>
      <c r="I3021" s="2" t="s">
        <v>6380</v>
      </c>
      <c r="J3021" s="3" t="str">
        <f>HYPERLINK("https://www.boe.es/gazeta/dias/1821/06/26/pdfs/GMD-1821-179.pdf#page=2","Abrir facsímil")</f>
        <v>Abrir facsímil</v>
      </c>
      <c r="K3021" s="3" t="s">
        <v>23</v>
      </c>
    </row>
    <row r="3022" spans="1:11" ht="42" customHeight="1">
      <c r="A3022" s="2" t="s">
        <v>6376</v>
      </c>
      <c r="B3022" s="2" t="s">
        <v>6376</v>
      </c>
      <c r="C3022" s="2" t="s">
        <v>26</v>
      </c>
      <c r="D3022" s="2" t="s">
        <v>27</v>
      </c>
      <c r="E3022" s="5">
        <v>-28579</v>
      </c>
      <c r="F3022" s="3" t="s">
        <v>743</v>
      </c>
      <c r="G3022" s="3" t="s">
        <v>52</v>
      </c>
      <c r="H3022" s="2" t="s">
        <v>21</v>
      </c>
      <c r="I3022" s="2" t="s">
        <v>6381</v>
      </c>
      <c r="J3022" s="3" t="str">
        <f>HYPERLINK("https://www.boe.es/gazeta/dias/1821/10/01/pdfs/GMD-1821-280.pdf#page=2","Abrir facsímil")</f>
        <v>Abrir facsímil</v>
      </c>
      <c r="K3022" s="3" t="s">
        <v>23</v>
      </c>
    </row>
    <row r="3023" spans="1:11" ht="42" customHeight="1">
      <c r="A3023" s="2" t="s">
        <v>6382</v>
      </c>
      <c r="B3023" s="2" t="s">
        <v>6382</v>
      </c>
      <c r="C3023" s="2" t="s">
        <v>70</v>
      </c>
      <c r="D3023" s="2" t="s">
        <v>27</v>
      </c>
      <c r="E3023" s="5">
        <v>-28574</v>
      </c>
      <c r="F3023" s="3" t="s">
        <v>779</v>
      </c>
      <c r="G3023" s="3" t="s">
        <v>333</v>
      </c>
      <c r="H3023" s="2" t="s">
        <v>21</v>
      </c>
      <c r="I3023" s="2" t="s">
        <v>6383</v>
      </c>
      <c r="J3023" s="3" t="str">
        <f>HYPERLINK("https://www.boe.es/gazeta/dias/1821/10/06/pdfs/GMD-1821-285.pdf#page=8","Abrir facsímil")</f>
        <v>Abrir facsímil</v>
      </c>
      <c r="K3023" s="3" t="s">
        <v>23</v>
      </c>
    </row>
    <row r="3024" spans="1:11" ht="42" customHeight="1">
      <c r="A3024" s="2" t="s">
        <v>6376</v>
      </c>
      <c r="B3024" s="2" t="s">
        <v>6376</v>
      </c>
      <c r="C3024" s="2" t="s">
        <v>40</v>
      </c>
      <c r="D3024" s="2" t="s">
        <v>41</v>
      </c>
      <c r="E3024" s="5">
        <v>-28573</v>
      </c>
      <c r="F3024" s="3" t="s">
        <v>19</v>
      </c>
      <c r="G3024" s="3" t="s">
        <v>20</v>
      </c>
      <c r="H3024" s="2" t="s">
        <v>21</v>
      </c>
      <c r="I3024" s="2" t="s">
        <v>6384</v>
      </c>
      <c r="J3024" s="3" t="str">
        <f>HYPERLINK("https://www.boe.es/gazeta/dias/1821/10/07/pdfs/GMD-1821-286.pdf#page=3","Abrir facsímil")</f>
        <v>Abrir facsímil</v>
      </c>
      <c r="K3024" s="3" t="s">
        <v>23</v>
      </c>
    </row>
    <row r="3025" spans="1:11" ht="42" customHeight="1">
      <c r="A3025" s="2" t="s">
        <v>6376</v>
      </c>
      <c r="B3025" s="2" t="s">
        <v>6376</v>
      </c>
      <c r="C3025" s="2" t="s">
        <v>40</v>
      </c>
      <c r="D3025" s="2" t="s">
        <v>41</v>
      </c>
      <c r="E3025" s="5">
        <v>-28545</v>
      </c>
      <c r="F3025" s="3" t="s">
        <v>284</v>
      </c>
      <c r="G3025" s="3" t="s">
        <v>162</v>
      </c>
      <c r="H3025" s="2" t="s">
        <v>21</v>
      </c>
      <c r="I3025" s="2" t="s">
        <v>6385</v>
      </c>
      <c r="J3025" s="3" t="str">
        <f>HYPERLINK("https://www.boe.es/gazeta/dias/1821/11/04/pdfs/GMD-1821-315.pdf#page=5","Abrir facsímil")</f>
        <v>Abrir facsímil</v>
      </c>
      <c r="K3025" s="3" t="s">
        <v>23</v>
      </c>
    </row>
    <row r="3026" spans="1:11" ht="42" customHeight="1">
      <c r="A3026" s="2" t="s">
        <v>6376</v>
      </c>
      <c r="B3026" s="2" t="s">
        <v>6376</v>
      </c>
      <c r="C3026" s="2" t="s">
        <v>17</v>
      </c>
      <c r="D3026" s="2" t="s">
        <v>18</v>
      </c>
      <c r="E3026" s="5">
        <v>-28519</v>
      </c>
      <c r="F3026" s="3" t="s">
        <v>880</v>
      </c>
      <c r="G3026" s="3" t="s">
        <v>88</v>
      </c>
      <c r="H3026" s="2" t="s">
        <v>21</v>
      </c>
      <c r="I3026" s="2" t="s">
        <v>6386</v>
      </c>
      <c r="J3026" s="3" t="str">
        <f>HYPERLINK("https://www.boe.es/gazeta/dias/1821/11/30/pdfs/GMD-1821-342.pdf#page=4","Abrir facsímil")</f>
        <v>Abrir facsímil</v>
      </c>
      <c r="K3026" s="3" t="s">
        <v>23</v>
      </c>
    </row>
    <row r="3027" spans="1:11" ht="42" customHeight="1">
      <c r="A3027" s="2" t="s">
        <v>6376</v>
      </c>
      <c r="B3027" s="2" t="s">
        <v>6376</v>
      </c>
      <c r="C3027" s="2" t="s">
        <v>114</v>
      </c>
      <c r="D3027" s="2" t="s">
        <v>27</v>
      </c>
      <c r="E3027" s="5">
        <v>-28518</v>
      </c>
      <c r="F3027" s="3" t="s">
        <v>410</v>
      </c>
      <c r="G3027" s="3" t="s">
        <v>162</v>
      </c>
      <c r="H3027" s="2" t="s">
        <v>21</v>
      </c>
      <c r="I3027" s="2" t="s">
        <v>6387</v>
      </c>
      <c r="J3027" s="3" t="str">
        <f>HYPERLINK("https://www.boe.es/gazeta/dias/1821/12/01/pdfs/GMD-1821-343.pdf#page=5","Abrir facsímil")</f>
        <v>Abrir facsímil</v>
      </c>
      <c r="K3027" s="3" t="s">
        <v>23</v>
      </c>
    </row>
    <row r="3028" spans="1:11" ht="42" customHeight="1">
      <c r="A3028" s="2" t="s">
        <v>6376</v>
      </c>
      <c r="B3028" s="2" t="s">
        <v>6376</v>
      </c>
      <c r="C3028" s="2" t="s">
        <v>26</v>
      </c>
      <c r="D3028" s="2" t="s">
        <v>27</v>
      </c>
      <c r="E3028" s="5">
        <v>-28517</v>
      </c>
      <c r="F3028" s="3" t="s">
        <v>563</v>
      </c>
      <c r="G3028" s="3" t="s">
        <v>88</v>
      </c>
      <c r="H3028" s="2" t="s">
        <v>21</v>
      </c>
      <c r="I3028" s="2" t="s">
        <v>6388</v>
      </c>
      <c r="J3028" s="3" t="str">
        <f>HYPERLINK("https://www.boe.es/gazeta/dias/1821/12/02/pdfs/GMD-1821-344.pdf#page=4","Abrir facsímil")</f>
        <v>Abrir facsímil</v>
      </c>
      <c r="K3028" s="3" t="s">
        <v>23</v>
      </c>
    </row>
    <row r="3029" spans="1:11" ht="42" customHeight="1">
      <c r="A3029" s="2" t="s">
        <v>6376</v>
      </c>
      <c r="B3029" s="2" t="s">
        <v>6376</v>
      </c>
      <c r="C3029" s="2" t="s">
        <v>26</v>
      </c>
      <c r="D3029" s="2" t="s">
        <v>27</v>
      </c>
      <c r="E3029" s="5">
        <v>-28516</v>
      </c>
      <c r="F3029" s="3" t="s">
        <v>514</v>
      </c>
      <c r="G3029" s="3" t="s">
        <v>29</v>
      </c>
      <c r="H3029" s="2" t="s">
        <v>21</v>
      </c>
      <c r="I3029" s="2" t="s">
        <v>6389</v>
      </c>
      <c r="J3029" s="3" t="str">
        <f>HYPERLINK("https://www.boe.es/gazeta/dias/1821/12/03/pdfs/GMD-1821-345.pdf#page=6","Abrir facsímil")</f>
        <v>Abrir facsímil</v>
      </c>
      <c r="K3029" s="3" t="s">
        <v>23</v>
      </c>
    </row>
    <row r="3030" spans="1:11" ht="42" customHeight="1">
      <c r="A3030" s="2" t="s">
        <v>6376</v>
      </c>
      <c r="B3030" s="2" t="s">
        <v>6376</v>
      </c>
      <c r="C3030" s="2" t="s">
        <v>26</v>
      </c>
      <c r="D3030" s="2" t="s">
        <v>27</v>
      </c>
      <c r="E3030" s="5">
        <v>-28515</v>
      </c>
      <c r="F3030" s="3" t="s">
        <v>260</v>
      </c>
      <c r="G3030" s="3" t="s">
        <v>3841</v>
      </c>
      <c r="H3030" s="2" t="s">
        <v>21</v>
      </c>
      <c r="I3030" s="2" t="s">
        <v>6390</v>
      </c>
      <c r="J3030" s="3" t="str">
        <f>HYPERLINK("https://www.boe.es/gazeta/dias/1821/12/04/pdfs/GMD-1821-346.pdf#page=6","Abrir facsímil")</f>
        <v>Abrir facsímil</v>
      </c>
      <c r="K3030" s="3" t="s">
        <v>23</v>
      </c>
    </row>
    <row r="3031" spans="1:11" ht="42" customHeight="1">
      <c r="A3031" s="2" t="s">
        <v>6376</v>
      </c>
      <c r="B3031" s="2" t="s">
        <v>6376</v>
      </c>
      <c r="C3031" s="2" t="s">
        <v>26</v>
      </c>
      <c r="D3031" s="2" t="s">
        <v>27</v>
      </c>
      <c r="E3031" s="5">
        <v>-28497</v>
      </c>
      <c r="F3031" s="3" t="s">
        <v>225</v>
      </c>
      <c r="G3031" s="3" t="s">
        <v>88</v>
      </c>
      <c r="H3031" s="2" t="s">
        <v>21</v>
      </c>
      <c r="I3031" s="2" t="s">
        <v>6391</v>
      </c>
      <c r="J3031" s="3" t="str">
        <f>HYPERLINK("https://www.boe.es/gazeta/dias/1821/12/22/pdfs/GMD-1821-365.pdf#page=4","Abrir facsímil")</f>
        <v>Abrir facsímil</v>
      </c>
      <c r="K3031" s="3" t="s">
        <v>23</v>
      </c>
    </row>
    <row r="3032" spans="1:11" ht="42" customHeight="1">
      <c r="A3032" s="2" t="s">
        <v>6392</v>
      </c>
      <c r="B3032" s="2" t="s">
        <v>6393</v>
      </c>
      <c r="C3032" s="2" t="s">
        <v>17</v>
      </c>
      <c r="D3032" s="2" t="s">
        <v>18</v>
      </c>
      <c r="E3032" s="5">
        <v>-28595</v>
      </c>
      <c r="F3032" s="3" t="s">
        <v>1621</v>
      </c>
      <c r="G3032" s="3" t="s">
        <v>88</v>
      </c>
      <c r="H3032" s="2" t="s">
        <v>21</v>
      </c>
      <c r="I3032" s="2" t="s">
        <v>6394</v>
      </c>
      <c r="J3032" s="3" t="str">
        <f>HYPERLINK("https://www.boe.es/gazeta/dias/1821/09/15/pdfs/GMD-1821-263.pdf#page=4","Abrir facsímil")</f>
        <v>Abrir facsímil</v>
      </c>
      <c r="K3032" s="3" t="s">
        <v>23</v>
      </c>
    </row>
    <row r="3033" spans="1:11" ht="42" customHeight="1">
      <c r="A3033" s="2" t="s">
        <v>6395</v>
      </c>
      <c r="B3033" s="2" t="s">
        <v>6395</v>
      </c>
      <c r="C3033" s="2" t="s">
        <v>17</v>
      </c>
      <c r="D3033" s="2" t="s">
        <v>18</v>
      </c>
      <c r="E3033" s="5">
        <v>-28559</v>
      </c>
      <c r="F3033" s="3" t="s">
        <v>1078</v>
      </c>
      <c r="G3033" s="3" t="s">
        <v>162</v>
      </c>
      <c r="H3033" s="2" t="s">
        <v>21</v>
      </c>
      <c r="I3033" s="2" t="s">
        <v>6396</v>
      </c>
      <c r="J3033" s="3" t="str">
        <f>HYPERLINK("https://www.boe.es/gazeta/dias/1821/10/21/pdfs/GMD-1821-300.pdf#page=5","Abrir facsímil")</f>
        <v>Abrir facsímil</v>
      </c>
      <c r="K3033" s="3" t="s">
        <v>23</v>
      </c>
    </row>
    <row r="3034" spans="1:11" ht="42" customHeight="1">
      <c r="A3034" s="2" t="s">
        <v>6397</v>
      </c>
      <c r="B3034" s="2" t="s">
        <v>6398</v>
      </c>
      <c r="C3034" s="2" t="s">
        <v>26</v>
      </c>
      <c r="D3034" s="2" t="s">
        <v>27</v>
      </c>
      <c r="E3034" s="5">
        <v>-28617</v>
      </c>
      <c r="F3034" s="3" t="s">
        <v>436</v>
      </c>
      <c r="G3034" s="3" t="s">
        <v>88</v>
      </c>
      <c r="H3034" s="2" t="s">
        <v>21</v>
      </c>
      <c r="I3034" s="2" t="s">
        <v>6399</v>
      </c>
      <c r="J3034" s="3" t="str">
        <f>HYPERLINK("https://www.boe.es/gazeta/dias/1821/08/24/pdfs/GMD-1821-241.pdf#page=4","Abrir facsímil")</f>
        <v>Abrir facsímil</v>
      </c>
      <c r="K3034" s="3" t="s">
        <v>23</v>
      </c>
    </row>
    <row r="3035" spans="1:11" ht="42" customHeight="1">
      <c r="A3035" s="2" t="s">
        <v>6400</v>
      </c>
      <c r="B3035" s="2" t="s">
        <v>6401</v>
      </c>
      <c r="C3035" s="2" t="s">
        <v>26</v>
      </c>
      <c r="D3035" s="2" t="s">
        <v>27</v>
      </c>
      <c r="E3035" s="5">
        <v>-28620</v>
      </c>
      <c r="F3035" s="3" t="s">
        <v>87</v>
      </c>
      <c r="G3035" s="3" t="s">
        <v>88</v>
      </c>
      <c r="H3035" s="2" t="s">
        <v>21</v>
      </c>
      <c r="I3035" s="2" t="s">
        <v>6402</v>
      </c>
      <c r="J3035" s="3" t="str">
        <f>HYPERLINK("https://www.boe.es/gazeta/dias/1821/08/21/pdfs/GMD-1821-238.pdf#page=4","Abrir facsímil")</f>
        <v>Abrir facsímil</v>
      </c>
      <c r="K3035" s="3" t="s">
        <v>23</v>
      </c>
    </row>
    <row r="3036" spans="1:11" ht="42" customHeight="1">
      <c r="A3036" s="2" t="s">
        <v>6403</v>
      </c>
      <c r="B3036" s="2" t="s">
        <v>6404</v>
      </c>
      <c r="C3036" s="2" t="s">
        <v>40</v>
      </c>
      <c r="D3036" s="2" t="s">
        <v>41</v>
      </c>
      <c r="E3036" s="5">
        <v>-28512</v>
      </c>
      <c r="F3036" s="3" t="s">
        <v>66</v>
      </c>
      <c r="G3036" s="3" t="s">
        <v>43</v>
      </c>
      <c r="H3036" s="2" t="s">
        <v>21</v>
      </c>
      <c r="I3036" s="2" t="s">
        <v>6405</v>
      </c>
      <c r="J3036" s="3" t="str">
        <f>HYPERLINK("https://www.boe.es/gazeta/dias/1821/12/07/pdfs/GMD-1821-349.pdf#page=1","Abrir facsímil")</f>
        <v>Abrir facsímil</v>
      </c>
      <c r="K3036" s="3" t="s">
        <v>23</v>
      </c>
    </row>
    <row r="3037" spans="1:11" ht="42" customHeight="1">
      <c r="A3037" s="2" t="s">
        <v>6406</v>
      </c>
      <c r="B3037" s="2" t="s">
        <v>6406</v>
      </c>
      <c r="C3037" s="2" t="s">
        <v>40</v>
      </c>
      <c r="D3037" s="2" t="s">
        <v>41</v>
      </c>
      <c r="E3037" s="5">
        <v>-28734</v>
      </c>
      <c r="F3037" s="3" t="s">
        <v>1553</v>
      </c>
      <c r="G3037" s="3" t="s">
        <v>2625</v>
      </c>
      <c r="H3037" s="2" t="s">
        <v>21</v>
      </c>
      <c r="I3037" s="2" t="s">
        <v>6407</v>
      </c>
      <c r="J3037" s="3" t="str">
        <f>HYPERLINK("https://www.boe.es/gazeta/dias/1821/04/29/pdfs/GMD-1821-121.pdf#page=2","Abrir facsímil")</f>
        <v>Abrir facsímil</v>
      </c>
      <c r="K3037" s="3" t="s">
        <v>23</v>
      </c>
    </row>
    <row r="3038" spans="1:11" ht="42" customHeight="1">
      <c r="A3038" s="2" t="s">
        <v>6408</v>
      </c>
      <c r="B3038" s="2" t="s">
        <v>6408</v>
      </c>
      <c r="C3038" s="2" t="s">
        <v>26</v>
      </c>
      <c r="D3038" s="2" t="s">
        <v>27</v>
      </c>
      <c r="E3038" s="5">
        <v>-28776</v>
      </c>
      <c r="F3038" s="3" t="s">
        <v>312</v>
      </c>
      <c r="G3038" s="3" t="s">
        <v>43</v>
      </c>
      <c r="H3038" s="2" t="s">
        <v>21</v>
      </c>
      <c r="I3038" s="2" t="s">
        <v>6409</v>
      </c>
      <c r="J3038" s="3" t="str">
        <f>HYPERLINK("https://www.boe.es/gazeta/dias/1821/03/18/pdfs/GMD-1821-77.pdf#page=1","Abrir facsímil")</f>
        <v>Abrir facsímil</v>
      </c>
      <c r="K3038" s="3" t="s">
        <v>23</v>
      </c>
    </row>
    <row r="3039" spans="1:11" ht="42" customHeight="1">
      <c r="A3039" s="2" t="s">
        <v>6408</v>
      </c>
      <c r="B3039" s="2" t="s">
        <v>6408</v>
      </c>
      <c r="C3039" s="2" t="s">
        <v>26</v>
      </c>
      <c r="D3039" s="2" t="s">
        <v>27</v>
      </c>
      <c r="E3039" s="5">
        <v>-28755</v>
      </c>
      <c r="F3039" s="3" t="s">
        <v>906</v>
      </c>
      <c r="G3039" s="3" t="s">
        <v>43</v>
      </c>
      <c r="H3039" s="2" t="s">
        <v>21</v>
      </c>
      <c r="I3039" s="2" t="s">
        <v>6410</v>
      </c>
      <c r="J3039" s="3" t="str">
        <f>HYPERLINK("https://www.boe.es/gazeta/dias/1821/04/08/pdfs/GMD-1821-100.pdf#page=1","Abrir facsímil")</f>
        <v>Abrir facsímil</v>
      </c>
      <c r="K3039" s="3" t="s">
        <v>23</v>
      </c>
    </row>
    <row r="3040" spans="1:11" ht="42" customHeight="1">
      <c r="A3040" s="2" t="s">
        <v>6408</v>
      </c>
      <c r="B3040" s="2" t="s">
        <v>6408</v>
      </c>
      <c r="C3040" s="2" t="s">
        <v>26</v>
      </c>
      <c r="D3040" s="2" t="s">
        <v>27</v>
      </c>
      <c r="E3040" s="5">
        <v>-28741</v>
      </c>
      <c r="F3040" s="3" t="s">
        <v>1841</v>
      </c>
      <c r="G3040" s="3" t="s">
        <v>43</v>
      </c>
      <c r="H3040" s="2" t="s">
        <v>21</v>
      </c>
      <c r="I3040" s="2" t="s">
        <v>6411</v>
      </c>
      <c r="J3040" s="3" t="str">
        <f>HYPERLINK("https://www.boe.es/gazeta/dias/1821/04/22/pdfs/GMD-1821-114.pdf#page=1","Abrir facsímil")</f>
        <v>Abrir facsímil</v>
      </c>
      <c r="K3040" s="3" t="s">
        <v>23</v>
      </c>
    </row>
    <row r="3041" spans="1:11" ht="42" customHeight="1">
      <c r="A3041" s="2" t="s">
        <v>6408</v>
      </c>
      <c r="B3041" s="2" t="s">
        <v>6408</v>
      </c>
      <c r="C3041" s="2" t="s">
        <v>17</v>
      </c>
      <c r="D3041" s="2" t="s">
        <v>18</v>
      </c>
      <c r="E3041" s="5">
        <v>-28727</v>
      </c>
      <c r="F3041" s="3" t="s">
        <v>200</v>
      </c>
      <c r="G3041" s="3" t="s">
        <v>43</v>
      </c>
      <c r="H3041" s="2" t="s">
        <v>21</v>
      </c>
      <c r="I3041" s="2" t="s">
        <v>6412</v>
      </c>
      <c r="J3041" s="3" t="str">
        <f>HYPERLINK("https://www.boe.es/gazeta/dias/1821/05/06/pdfs/GMD-1821-128.pdf#page=1","Abrir facsímil")</f>
        <v>Abrir facsímil</v>
      </c>
      <c r="K3041" s="3" t="s">
        <v>23</v>
      </c>
    </row>
    <row r="3042" spans="1:11" ht="42" customHeight="1">
      <c r="A3042" s="2" t="s">
        <v>6413</v>
      </c>
      <c r="B3042" s="2" t="s">
        <v>6413</v>
      </c>
      <c r="C3042" s="2" t="s">
        <v>70</v>
      </c>
      <c r="D3042" s="2" t="s">
        <v>27</v>
      </c>
      <c r="E3042" s="5">
        <v>-28719</v>
      </c>
      <c r="F3042" s="3" t="s">
        <v>647</v>
      </c>
      <c r="G3042" s="3" t="s">
        <v>20</v>
      </c>
      <c r="H3042" s="2" t="s">
        <v>21</v>
      </c>
      <c r="I3042" s="2" t="s">
        <v>6414</v>
      </c>
      <c r="J3042" s="3" t="str">
        <f>HYPERLINK("https://www.boe.es/gazeta/dias/1821/05/14/pdfs/GMD-1821-136.pdf#page=3","Abrir facsímil")</f>
        <v>Abrir facsímil</v>
      </c>
      <c r="K3042" s="3" t="s">
        <v>23</v>
      </c>
    </row>
    <row r="3043" spans="1:11" ht="42" customHeight="1">
      <c r="A3043" s="2" t="s">
        <v>6413</v>
      </c>
      <c r="B3043" s="2" t="s">
        <v>6413</v>
      </c>
      <c r="C3043" s="2" t="s">
        <v>40</v>
      </c>
      <c r="D3043" s="2" t="s">
        <v>41</v>
      </c>
      <c r="E3043" s="5">
        <v>-28674</v>
      </c>
      <c r="F3043" s="3" t="s">
        <v>536</v>
      </c>
      <c r="G3043" s="3" t="s">
        <v>88</v>
      </c>
      <c r="H3043" s="2" t="s">
        <v>21</v>
      </c>
      <c r="I3043" s="2" t="s">
        <v>6415</v>
      </c>
      <c r="J3043" s="3" t="str">
        <f>HYPERLINK("https://www.boe.es/gazeta/dias/1821/06/28/pdfs/GMD-1821-181.pdf#page=4","Abrir facsímil")</f>
        <v>Abrir facsímil</v>
      </c>
      <c r="K3043" s="3" t="s">
        <v>23</v>
      </c>
    </row>
    <row r="3044" spans="1:11" ht="42" customHeight="1">
      <c r="A3044" s="2" t="s">
        <v>6413</v>
      </c>
      <c r="B3044" s="2" t="s">
        <v>6413</v>
      </c>
      <c r="C3044" s="2" t="s">
        <v>26</v>
      </c>
      <c r="D3044" s="2" t="s">
        <v>27</v>
      </c>
      <c r="E3044" s="5">
        <v>-28667</v>
      </c>
      <c r="F3044" s="3" t="s">
        <v>107</v>
      </c>
      <c r="G3044" s="3" t="s">
        <v>52</v>
      </c>
      <c r="H3044" s="2" t="s">
        <v>21</v>
      </c>
      <c r="I3044" s="2" t="s">
        <v>6416</v>
      </c>
      <c r="J3044" s="3" t="str">
        <f>HYPERLINK("https://www.boe.es/gazeta/dias/1821/07/05/pdfs/GMD-1821-189.pdf#page=2","Abrir facsímil")</f>
        <v>Abrir facsímil</v>
      </c>
      <c r="K3044" s="3" t="s">
        <v>23</v>
      </c>
    </row>
    <row r="3045" spans="1:11" ht="42" customHeight="1">
      <c r="A3045" s="2" t="s">
        <v>6408</v>
      </c>
      <c r="B3045" s="2" t="s">
        <v>6408</v>
      </c>
      <c r="C3045" s="2" t="s">
        <v>26</v>
      </c>
      <c r="D3045" s="2" t="s">
        <v>27</v>
      </c>
      <c r="E3045" s="5">
        <v>-28608</v>
      </c>
      <c r="F3045" s="3" t="s">
        <v>805</v>
      </c>
      <c r="G3045" s="3" t="s">
        <v>43</v>
      </c>
      <c r="H3045" s="2" t="s">
        <v>21</v>
      </c>
      <c r="I3045" s="2" t="s">
        <v>6417</v>
      </c>
      <c r="J3045" s="3" t="str">
        <f>HYPERLINK("https://www.boe.es/gazeta/dias/1821/09/02/pdfs/GMD-1821-250.pdf#page=1","Abrir facsímil")</f>
        <v>Abrir facsímil</v>
      </c>
      <c r="K3045" s="3" t="s">
        <v>23</v>
      </c>
    </row>
    <row r="3046" spans="1:11" ht="42" customHeight="1">
      <c r="A3046" s="2" t="s">
        <v>6408</v>
      </c>
      <c r="B3046" s="2" t="s">
        <v>6408</v>
      </c>
      <c r="C3046" s="2" t="s">
        <v>40</v>
      </c>
      <c r="D3046" s="2" t="s">
        <v>41</v>
      </c>
      <c r="E3046" s="5">
        <v>-28573</v>
      </c>
      <c r="F3046" s="3" t="s">
        <v>19</v>
      </c>
      <c r="G3046" s="3" t="s">
        <v>43</v>
      </c>
      <c r="H3046" s="2" t="s">
        <v>21</v>
      </c>
      <c r="I3046" s="2" t="s">
        <v>6418</v>
      </c>
      <c r="J3046" s="3" t="str">
        <f>HYPERLINK("https://www.boe.es/gazeta/dias/1821/10/07/pdfs/GMD-1821-286.pdf#page=1","Abrir facsímil")</f>
        <v>Abrir facsímil</v>
      </c>
      <c r="K3046" s="3" t="s">
        <v>23</v>
      </c>
    </row>
    <row r="3047" spans="1:11" ht="42" customHeight="1">
      <c r="A3047" s="2" t="s">
        <v>6413</v>
      </c>
      <c r="B3047" s="2" t="s">
        <v>6413</v>
      </c>
      <c r="C3047" s="2" t="s">
        <v>40</v>
      </c>
      <c r="D3047" s="2" t="s">
        <v>41</v>
      </c>
      <c r="E3047" s="5">
        <v>-28511</v>
      </c>
      <c r="F3047" s="3" t="s">
        <v>340</v>
      </c>
      <c r="G3047" s="3" t="s">
        <v>52</v>
      </c>
      <c r="H3047" s="2" t="s">
        <v>21</v>
      </c>
      <c r="I3047" s="2" t="s">
        <v>6419</v>
      </c>
      <c r="J3047" s="3" t="str">
        <f>HYPERLINK("https://www.boe.es/gazeta/dias/1821/12/08/pdfs/GMD-1821-350.pdf#page=2","Abrir facsímil")</f>
        <v>Abrir facsímil</v>
      </c>
      <c r="K3047" s="3" t="s">
        <v>23</v>
      </c>
    </row>
    <row r="3048" spans="1:11" ht="42" customHeight="1">
      <c r="A3048" s="2" t="s">
        <v>6420</v>
      </c>
      <c r="B3048" s="2" t="s">
        <v>6421</v>
      </c>
      <c r="C3048" s="2" t="s">
        <v>40</v>
      </c>
      <c r="D3048" s="2" t="s">
        <v>41</v>
      </c>
      <c r="E3048" s="5">
        <v>-28676</v>
      </c>
      <c r="F3048" s="3" t="s">
        <v>534</v>
      </c>
      <c r="G3048" s="3" t="s">
        <v>88</v>
      </c>
      <c r="H3048" s="2" t="s">
        <v>21</v>
      </c>
      <c r="I3048" s="2" t="s">
        <v>6422</v>
      </c>
      <c r="J3048" s="3" t="str">
        <f>HYPERLINK("https://www.boe.es/gazeta/dias/1821/06/26/pdfs/GMD-1821-179.pdf#page=4","Abrir facsímil")</f>
        <v>Abrir facsímil</v>
      </c>
      <c r="K3048" s="3" t="s">
        <v>23</v>
      </c>
    </row>
    <row r="3049" spans="1:11" ht="42" customHeight="1">
      <c r="A3049" s="2" t="s">
        <v>6423</v>
      </c>
      <c r="B3049" s="2" t="s">
        <v>6424</v>
      </c>
      <c r="C3049" s="2" t="s">
        <v>17</v>
      </c>
      <c r="D3049" s="2" t="s">
        <v>405</v>
      </c>
      <c r="E3049" s="5">
        <v>-28546</v>
      </c>
      <c r="F3049" s="3" t="s">
        <v>6425</v>
      </c>
      <c r="G3049" s="3" t="s">
        <v>43</v>
      </c>
      <c r="H3049" s="2" t="s">
        <v>21</v>
      </c>
      <c r="I3049" s="2" t="s">
        <v>6426</v>
      </c>
      <c r="J3049" s="3" t="str">
        <f>HYPERLINK("https://www.boe.es/gazeta/dias/1821/11/03/pdfs/GMD-1821-314E.pdf#page=1","Abrir facsímil")</f>
        <v>Abrir facsímil</v>
      </c>
      <c r="K3049" s="3" t="s">
        <v>23</v>
      </c>
    </row>
    <row r="3050" spans="1:11" ht="42" customHeight="1">
      <c r="A3050" s="2" t="s">
        <v>6427</v>
      </c>
      <c r="B3050" s="2" t="s">
        <v>6427</v>
      </c>
      <c r="C3050" s="2" t="s">
        <v>17</v>
      </c>
      <c r="D3050" s="2" t="s">
        <v>405</v>
      </c>
      <c r="E3050" s="5">
        <v>-28546</v>
      </c>
      <c r="F3050" s="3" t="s">
        <v>6425</v>
      </c>
      <c r="G3050" s="3" t="s">
        <v>43</v>
      </c>
      <c r="H3050" s="2" t="s">
        <v>21</v>
      </c>
      <c r="I3050" s="2" t="s">
        <v>6428</v>
      </c>
      <c r="J3050" s="3" t="str">
        <f>HYPERLINK("https://www.boe.es/gazeta/dias/1821/11/03/pdfs/GMD-1821-314E.pdf#page=1","Abrir facsímil")</f>
        <v>Abrir facsímil</v>
      </c>
      <c r="K3050" s="3" t="s">
        <v>23</v>
      </c>
    </row>
    <row r="3051" spans="1:11" ht="42" customHeight="1">
      <c r="A3051" s="2" t="s">
        <v>6429</v>
      </c>
      <c r="B3051" s="2" t="s">
        <v>6430</v>
      </c>
      <c r="C3051" s="2" t="s">
        <v>35</v>
      </c>
      <c r="D3051" s="2" t="s">
        <v>27</v>
      </c>
      <c r="E3051" s="5">
        <v>-28713</v>
      </c>
      <c r="F3051" s="3" t="s">
        <v>1976</v>
      </c>
      <c r="G3051" s="3" t="s">
        <v>52</v>
      </c>
      <c r="H3051" s="2" t="s">
        <v>21</v>
      </c>
      <c r="I3051" s="2" t="s">
        <v>6431</v>
      </c>
      <c r="J3051" s="3" t="str">
        <f>HYPERLINK("https://www.boe.es/gazeta/dias/1821/05/20/pdfs/GMD-1821-142.pdf#page=2","Abrir facsímil")</f>
        <v>Abrir facsímil</v>
      </c>
      <c r="K3051" s="3" t="s">
        <v>23</v>
      </c>
    </row>
    <row r="3052" spans="1:11" ht="42" customHeight="1">
      <c r="A3052" s="2" t="s">
        <v>6432</v>
      </c>
      <c r="B3052" s="2" t="s">
        <v>6433</v>
      </c>
      <c r="C3052" s="2" t="s">
        <v>40</v>
      </c>
      <c r="D3052" s="2" t="s">
        <v>41</v>
      </c>
      <c r="E3052" s="5">
        <v>-28750</v>
      </c>
      <c r="F3052" s="3" t="s">
        <v>917</v>
      </c>
      <c r="G3052" s="3" t="s">
        <v>52</v>
      </c>
      <c r="H3052" s="2" t="s">
        <v>21</v>
      </c>
      <c r="I3052" s="2" t="s">
        <v>6434</v>
      </c>
      <c r="J3052" s="3" t="str">
        <f>HYPERLINK("https://www.boe.es/gazeta/dias/1821/04/13/pdfs/GMD-1821-105.pdf#page=2","Abrir facsímil")</f>
        <v>Abrir facsímil</v>
      </c>
      <c r="K3052" s="3" t="s">
        <v>23</v>
      </c>
    </row>
    <row r="3053" spans="1:11" ht="42" customHeight="1">
      <c r="A3053" s="2" t="s">
        <v>6435</v>
      </c>
      <c r="B3053" s="2" t="s">
        <v>6436</v>
      </c>
      <c r="C3053" s="2" t="s">
        <v>17</v>
      </c>
      <c r="D3053" s="2" t="s">
        <v>18</v>
      </c>
      <c r="E3053" s="5">
        <v>-28742</v>
      </c>
      <c r="F3053" s="3" t="s">
        <v>324</v>
      </c>
      <c r="G3053" s="3" t="s">
        <v>20</v>
      </c>
      <c r="H3053" s="2" t="s">
        <v>21</v>
      </c>
      <c r="I3053" s="2" t="s">
        <v>6437</v>
      </c>
      <c r="J3053" s="3" t="str">
        <f>HYPERLINK("https://www.boe.es/gazeta/dias/1821/04/21/pdfs/GMD-1821-113.pdf#page=3","Abrir facsímil")</f>
        <v>Abrir facsímil</v>
      </c>
      <c r="K3053" s="3" t="s">
        <v>23</v>
      </c>
    </row>
    <row r="3054" spans="1:11" ht="42" customHeight="1">
      <c r="A3054" s="2" t="s">
        <v>6438</v>
      </c>
      <c r="B3054" s="2" t="s">
        <v>6439</v>
      </c>
      <c r="C3054" s="2" t="s">
        <v>17</v>
      </c>
      <c r="D3054" s="2" t="s">
        <v>18</v>
      </c>
      <c r="E3054" s="5">
        <v>-28749</v>
      </c>
      <c r="F3054" s="3" t="s">
        <v>832</v>
      </c>
      <c r="G3054" s="3" t="s">
        <v>43</v>
      </c>
      <c r="H3054" s="2" t="s">
        <v>21</v>
      </c>
      <c r="I3054" s="2" t="s">
        <v>6440</v>
      </c>
      <c r="J3054" s="3" t="str">
        <f>HYPERLINK("https://www.boe.es/gazeta/dias/1821/04/14/pdfs/GMD-1821-106.pdf#page=1","Abrir facsímil")</f>
        <v>Abrir facsímil</v>
      </c>
      <c r="K3054" s="3" t="s">
        <v>23</v>
      </c>
    </row>
    <row r="3055" spans="1:11" ht="42" customHeight="1">
      <c r="A3055" s="2" t="s">
        <v>6441</v>
      </c>
      <c r="B3055" s="2" t="s">
        <v>6442</v>
      </c>
      <c r="C3055" s="2" t="s">
        <v>26</v>
      </c>
      <c r="D3055" s="2" t="s">
        <v>27</v>
      </c>
      <c r="E3055" s="5">
        <v>-28620</v>
      </c>
      <c r="F3055" s="3" t="s">
        <v>87</v>
      </c>
      <c r="G3055" s="3" t="s">
        <v>88</v>
      </c>
      <c r="H3055" s="2" t="s">
        <v>21</v>
      </c>
      <c r="I3055" s="2" t="s">
        <v>6443</v>
      </c>
      <c r="J3055" s="3" t="str">
        <f>HYPERLINK("https://www.boe.es/gazeta/dias/1821/08/21/pdfs/GMD-1821-238.pdf#page=4","Abrir facsímil")</f>
        <v>Abrir facsímil</v>
      </c>
      <c r="K3055" s="3" t="s">
        <v>23</v>
      </c>
    </row>
    <row r="3056" spans="1:11" ht="42" customHeight="1">
      <c r="A3056" s="2" t="s">
        <v>6444</v>
      </c>
      <c r="B3056" s="2" t="s">
        <v>6445</v>
      </c>
      <c r="C3056" s="2" t="s">
        <v>114</v>
      </c>
      <c r="D3056" s="2" t="s">
        <v>27</v>
      </c>
      <c r="E3056" s="5">
        <v>-28560</v>
      </c>
      <c r="F3056" s="3" t="s">
        <v>363</v>
      </c>
      <c r="G3056" s="3" t="s">
        <v>162</v>
      </c>
      <c r="H3056" s="2" t="s">
        <v>21</v>
      </c>
      <c r="I3056" s="2" t="s">
        <v>6446</v>
      </c>
      <c r="J3056" s="3" t="str">
        <f>HYPERLINK("https://www.boe.es/gazeta/dias/1821/10/20/pdfs/GMD-1821-299.pdf#page=5","Abrir facsímil")</f>
        <v>Abrir facsímil</v>
      </c>
      <c r="K3056" s="3" t="s">
        <v>23</v>
      </c>
    </row>
    <row r="3057" spans="1:11" ht="42" customHeight="1">
      <c r="A3057" s="2" t="s">
        <v>6447</v>
      </c>
      <c r="B3057" s="2" t="s">
        <v>6447</v>
      </c>
      <c r="C3057" s="2" t="s">
        <v>26</v>
      </c>
      <c r="D3057" s="2" t="s">
        <v>27</v>
      </c>
      <c r="E3057" s="5">
        <v>-28835</v>
      </c>
      <c r="F3057" s="3" t="s">
        <v>1362</v>
      </c>
      <c r="G3057" s="3" t="s">
        <v>88</v>
      </c>
      <c r="H3057" s="2" t="s">
        <v>21</v>
      </c>
      <c r="I3057" s="2" t="s">
        <v>6448</v>
      </c>
      <c r="J3057" s="3" t="str">
        <f>HYPERLINK("https://www.boe.es/gazeta/dias/1821/01/18/pdfs/GGB-1821-18.pdf#page=4","Abrir facsímil")</f>
        <v>Abrir facsímil</v>
      </c>
      <c r="K3057" s="3" t="s">
        <v>23</v>
      </c>
    </row>
    <row r="3058" spans="1:11" ht="42" customHeight="1">
      <c r="A3058" s="2" t="s">
        <v>6447</v>
      </c>
      <c r="B3058" s="2" t="s">
        <v>6447</v>
      </c>
      <c r="C3058" s="2" t="s">
        <v>17</v>
      </c>
      <c r="D3058" s="2" t="s">
        <v>18</v>
      </c>
      <c r="E3058" s="5">
        <v>-28798</v>
      </c>
      <c r="F3058" s="3" t="s">
        <v>60</v>
      </c>
      <c r="G3058" s="3" t="s">
        <v>88</v>
      </c>
      <c r="H3058" s="2" t="s">
        <v>21</v>
      </c>
      <c r="I3058" s="2" t="s">
        <v>6449</v>
      </c>
      <c r="J3058" s="3" t="str">
        <f>HYPERLINK("https://www.boe.es/gazeta/dias/1821/02/24/pdfs/GGB-1821-55.pdf#page=4","Abrir facsímil")</f>
        <v>Abrir facsímil</v>
      </c>
      <c r="K3058" s="3" t="s">
        <v>23</v>
      </c>
    </row>
    <row r="3059" spans="1:11" ht="42" customHeight="1">
      <c r="A3059" s="2" t="s">
        <v>6447</v>
      </c>
      <c r="B3059" s="2" t="s">
        <v>6447</v>
      </c>
      <c r="C3059" s="2" t="s">
        <v>40</v>
      </c>
      <c r="D3059" s="2" t="s">
        <v>41</v>
      </c>
      <c r="E3059" s="5">
        <v>-28753</v>
      </c>
      <c r="F3059" s="3" t="s">
        <v>720</v>
      </c>
      <c r="G3059" s="3" t="s">
        <v>88</v>
      </c>
      <c r="H3059" s="2" t="s">
        <v>21</v>
      </c>
      <c r="I3059" s="2" t="s">
        <v>6450</v>
      </c>
      <c r="J3059" s="3" t="str">
        <f>HYPERLINK("https://www.boe.es/gazeta/dias/1821/04/10/pdfs/GMD-1821-102.pdf#page=4","Abrir facsímil")</f>
        <v>Abrir facsímil</v>
      </c>
      <c r="K3059" s="3" t="s">
        <v>23</v>
      </c>
    </row>
    <row r="3060" spans="1:11" ht="42" customHeight="1">
      <c r="A3060" s="2" t="s">
        <v>6447</v>
      </c>
      <c r="B3060" s="2" t="s">
        <v>6447</v>
      </c>
      <c r="C3060" s="2" t="s">
        <v>40</v>
      </c>
      <c r="D3060" s="2" t="s">
        <v>41</v>
      </c>
      <c r="E3060" s="5">
        <v>-28743</v>
      </c>
      <c r="F3060" s="3" t="s">
        <v>51</v>
      </c>
      <c r="G3060" s="3" t="s">
        <v>88</v>
      </c>
      <c r="H3060" s="2" t="s">
        <v>21</v>
      </c>
      <c r="I3060" s="2" t="s">
        <v>6451</v>
      </c>
      <c r="J3060" s="3" t="str">
        <f>HYPERLINK("https://www.boe.es/gazeta/dias/1821/04/20/pdfs/GMD-1821-112.pdf#page=4","Abrir facsímil")</f>
        <v>Abrir facsímil</v>
      </c>
      <c r="K3060" s="3" t="s">
        <v>23</v>
      </c>
    </row>
    <row r="3061" spans="1:11" ht="42" customHeight="1">
      <c r="A3061" s="2" t="s">
        <v>6447</v>
      </c>
      <c r="B3061" s="2" t="s">
        <v>6447</v>
      </c>
      <c r="C3061" s="2" t="s">
        <v>17</v>
      </c>
      <c r="D3061" s="2" t="s">
        <v>18</v>
      </c>
      <c r="E3061" s="5">
        <v>-28731</v>
      </c>
      <c r="F3061" s="3" t="s">
        <v>577</v>
      </c>
      <c r="G3061" s="3" t="s">
        <v>88</v>
      </c>
      <c r="H3061" s="2" t="s">
        <v>21</v>
      </c>
      <c r="I3061" s="2" t="s">
        <v>6452</v>
      </c>
      <c r="J3061" s="3" t="str">
        <f>HYPERLINK("https://www.boe.es/gazeta/dias/1821/05/02/pdfs/GMD-1821-124.pdf#page=4","Abrir facsímil")</f>
        <v>Abrir facsímil</v>
      </c>
      <c r="K3061" s="3" t="s">
        <v>23</v>
      </c>
    </row>
    <row r="3062" spans="1:11" ht="42" customHeight="1">
      <c r="A3062" s="2" t="s">
        <v>6447</v>
      </c>
      <c r="B3062" s="2" t="s">
        <v>6447</v>
      </c>
      <c r="C3062" s="2" t="s">
        <v>40</v>
      </c>
      <c r="D3062" s="2" t="s">
        <v>41</v>
      </c>
      <c r="E3062" s="5">
        <v>-28729</v>
      </c>
      <c r="F3062" s="3" t="s">
        <v>838</v>
      </c>
      <c r="G3062" s="3" t="s">
        <v>52</v>
      </c>
      <c r="H3062" s="2" t="s">
        <v>21</v>
      </c>
      <c r="I3062" s="2" t="s">
        <v>6453</v>
      </c>
      <c r="J3062" s="3" t="str">
        <f>HYPERLINK("https://www.boe.es/gazeta/dias/1821/05/04/pdfs/GMD-1821-126.pdf#page=2","Abrir facsímil")</f>
        <v>Abrir facsímil</v>
      </c>
      <c r="K3062" s="3" t="s">
        <v>23</v>
      </c>
    </row>
    <row r="3063" spans="1:11" ht="42" customHeight="1">
      <c r="A3063" s="2" t="s">
        <v>6447</v>
      </c>
      <c r="B3063" s="2" t="s">
        <v>6447</v>
      </c>
      <c r="C3063" s="2" t="s">
        <v>40</v>
      </c>
      <c r="D3063" s="2" t="s">
        <v>41</v>
      </c>
      <c r="E3063" s="5">
        <v>-28697</v>
      </c>
      <c r="F3063" s="3" t="s">
        <v>166</v>
      </c>
      <c r="G3063" s="3" t="s">
        <v>52</v>
      </c>
      <c r="H3063" s="2" t="s">
        <v>21</v>
      </c>
      <c r="I3063" s="2" t="s">
        <v>6454</v>
      </c>
      <c r="J3063" s="3" t="str">
        <f>HYPERLINK("https://www.boe.es/gazeta/dias/1821/06/05/pdfs/GMD-1821-158.pdf#page=2","Abrir facsímil")</f>
        <v>Abrir facsímil</v>
      </c>
      <c r="K3063" s="3" t="s">
        <v>23</v>
      </c>
    </row>
    <row r="3064" spans="1:11" ht="42" customHeight="1">
      <c r="A3064" s="2" t="s">
        <v>6447</v>
      </c>
      <c r="B3064" s="2" t="s">
        <v>6447</v>
      </c>
      <c r="C3064" s="2" t="s">
        <v>17</v>
      </c>
      <c r="D3064" s="2" t="s">
        <v>18</v>
      </c>
      <c r="E3064" s="5">
        <v>-28675</v>
      </c>
      <c r="F3064" s="3" t="s">
        <v>943</v>
      </c>
      <c r="G3064" s="3" t="s">
        <v>88</v>
      </c>
      <c r="H3064" s="2" t="s">
        <v>21</v>
      </c>
      <c r="I3064" s="2" t="s">
        <v>6455</v>
      </c>
      <c r="J3064" s="3" t="str">
        <f>HYPERLINK("https://www.boe.es/gazeta/dias/1821/06/27/pdfs/GMD-1821-180.pdf#page=4","Abrir facsímil")</f>
        <v>Abrir facsímil</v>
      </c>
      <c r="K3064" s="3" t="s">
        <v>23</v>
      </c>
    </row>
    <row r="3065" spans="1:11" ht="42" customHeight="1">
      <c r="A3065" s="2" t="s">
        <v>6447</v>
      </c>
      <c r="B3065" s="2" t="s">
        <v>6447</v>
      </c>
      <c r="C3065" s="2" t="s">
        <v>17</v>
      </c>
      <c r="D3065" s="2" t="s">
        <v>18</v>
      </c>
      <c r="E3065" s="5">
        <v>-28669</v>
      </c>
      <c r="F3065" s="3" t="s">
        <v>2816</v>
      </c>
      <c r="G3065" s="3" t="s">
        <v>88</v>
      </c>
      <c r="H3065" s="2" t="s">
        <v>21</v>
      </c>
      <c r="I3065" s="2" t="s">
        <v>6456</v>
      </c>
      <c r="J3065" s="3" t="str">
        <f>HYPERLINK("https://www.boe.es/gazeta/dias/1821/07/03/pdfs/GMD-1821-187.pdf#page=4","Abrir facsímil")</f>
        <v>Abrir facsímil</v>
      </c>
      <c r="K3065" s="3" t="s">
        <v>23</v>
      </c>
    </row>
    <row r="3066" spans="1:11" ht="42" customHeight="1">
      <c r="A3066" s="2" t="s">
        <v>6447</v>
      </c>
      <c r="B3066" s="2" t="s">
        <v>6447</v>
      </c>
      <c r="C3066" s="2" t="s">
        <v>40</v>
      </c>
      <c r="D3066" s="2" t="s">
        <v>41</v>
      </c>
      <c r="E3066" s="5">
        <v>-28658</v>
      </c>
      <c r="F3066" s="3" t="s">
        <v>2528</v>
      </c>
      <c r="G3066" s="3" t="s">
        <v>20</v>
      </c>
      <c r="H3066" s="2" t="s">
        <v>21</v>
      </c>
      <c r="I3066" s="2" t="s">
        <v>6457</v>
      </c>
      <c r="J3066" s="3" t="str">
        <f>HYPERLINK("https://www.boe.es/gazeta/dias/1821/07/14/pdfs/GMD-1821-199.pdf#page=3","Abrir facsímil")</f>
        <v>Abrir facsímil</v>
      </c>
      <c r="K3066" s="3" t="s">
        <v>23</v>
      </c>
    </row>
    <row r="3067" spans="1:11" ht="42" customHeight="1">
      <c r="A3067" s="2" t="s">
        <v>6447</v>
      </c>
      <c r="B3067" s="2" t="s">
        <v>6447</v>
      </c>
      <c r="C3067" s="2" t="s">
        <v>40</v>
      </c>
      <c r="D3067" s="2" t="s">
        <v>41</v>
      </c>
      <c r="E3067" s="5">
        <v>-28646</v>
      </c>
      <c r="F3067" s="3" t="s">
        <v>1457</v>
      </c>
      <c r="G3067" s="3" t="s">
        <v>20</v>
      </c>
      <c r="H3067" s="2" t="s">
        <v>21</v>
      </c>
      <c r="I3067" s="2" t="s">
        <v>6458</v>
      </c>
      <c r="J3067" s="3" t="str">
        <f>HYPERLINK("https://www.boe.es/gazeta/dias/1821/07/26/pdfs/GMD-1821-211.pdf#page=3","Abrir facsímil")</f>
        <v>Abrir facsímil</v>
      </c>
      <c r="K3067" s="3" t="s">
        <v>23</v>
      </c>
    </row>
    <row r="3068" spans="1:11" ht="42" customHeight="1">
      <c r="A3068" s="2" t="s">
        <v>6447</v>
      </c>
      <c r="B3068" s="2" t="s">
        <v>6447</v>
      </c>
      <c r="C3068" s="2" t="s">
        <v>40</v>
      </c>
      <c r="D3068" s="2" t="s">
        <v>41</v>
      </c>
      <c r="E3068" s="5">
        <v>-28643</v>
      </c>
      <c r="F3068" s="3" t="s">
        <v>1569</v>
      </c>
      <c r="G3068" s="3" t="s">
        <v>20</v>
      </c>
      <c r="H3068" s="2" t="s">
        <v>21</v>
      </c>
      <c r="I3068" s="2" t="s">
        <v>6459</v>
      </c>
      <c r="J3068" s="3" t="str">
        <f>HYPERLINK("https://www.boe.es/gazeta/dias/1821/07/29/pdfs/GMD-1821-214.pdf#page=3","Abrir facsímil")</f>
        <v>Abrir facsímil</v>
      </c>
      <c r="K3068" s="3" t="s">
        <v>23</v>
      </c>
    </row>
    <row r="3069" spans="1:11" ht="42" customHeight="1">
      <c r="A3069" s="2" t="s">
        <v>6447</v>
      </c>
      <c r="B3069" s="2" t="s">
        <v>6447</v>
      </c>
      <c r="C3069" s="2" t="s">
        <v>40</v>
      </c>
      <c r="D3069" s="2" t="s">
        <v>41</v>
      </c>
      <c r="E3069" s="5">
        <v>-28641</v>
      </c>
      <c r="F3069" s="3" t="s">
        <v>398</v>
      </c>
      <c r="G3069" s="3" t="s">
        <v>20</v>
      </c>
      <c r="H3069" s="2" t="s">
        <v>21</v>
      </c>
      <c r="I3069" s="2" t="s">
        <v>6460</v>
      </c>
      <c r="J3069" s="3" t="str">
        <f>HYPERLINK("https://www.boe.es/gazeta/dias/1821/07/31/pdfs/GMD-1821-216.pdf#page=3","Abrir facsímil")</f>
        <v>Abrir facsímil</v>
      </c>
      <c r="K3069" s="3" t="s">
        <v>23</v>
      </c>
    </row>
    <row r="3070" spans="1:11" ht="42" customHeight="1">
      <c r="A3070" s="2" t="s">
        <v>6447</v>
      </c>
      <c r="B3070" s="2" t="s">
        <v>6447</v>
      </c>
      <c r="C3070" s="2" t="s">
        <v>40</v>
      </c>
      <c r="D3070" s="2" t="s">
        <v>41</v>
      </c>
      <c r="E3070" s="5">
        <v>-28616</v>
      </c>
      <c r="F3070" s="3" t="s">
        <v>1912</v>
      </c>
      <c r="G3070" s="3" t="s">
        <v>1913</v>
      </c>
      <c r="H3070" s="2" t="s">
        <v>21</v>
      </c>
      <c r="I3070" s="2" t="s">
        <v>6461</v>
      </c>
      <c r="J3070" s="3" t="str">
        <f>HYPERLINK("https://www.boe.es/gazeta/dias/1821/08/25/pdfs/GMD-1821-242.pdf#page=3","Abrir facsímil")</f>
        <v>Abrir facsímil</v>
      </c>
      <c r="K3070" s="3" t="s">
        <v>23</v>
      </c>
    </row>
    <row r="3071" spans="1:11" ht="42" customHeight="1">
      <c r="A3071" s="2" t="s">
        <v>6447</v>
      </c>
      <c r="B3071" s="2" t="s">
        <v>6447</v>
      </c>
      <c r="C3071" s="2" t="s">
        <v>26</v>
      </c>
      <c r="D3071" s="2" t="s">
        <v>27</v>
      </c>
      <c r="E3071" s="5">
        <v>-28616</v>
      </c>
      <c r="F3071" s="3" t="s">
        <v>1912</v>
      </c>
      <c r="G3071" s="3" t="s">
        <v>6462</v>
      </c>
      <c r="H3071" s="2" t="s">
        <v>21</v>
      </c>
      <c r="I3071" s="2" t="s">
        <v>6463</v>
      </c>
      <c r="J3071" s="3" t="str">
        <f>HYPERLINK("https://www.boe.es/gazeta/dias/1821/08/25/pdfs/GMD-1821-242.pdf#page=4","Abrir facsímil")</f>
        <v>Abrir facsímil</v>
      </c>
      <c r="K3071" s="3" t="s">
        <v>23</v>
      </c>
    </row>
    <row r="3072" spans="1:11" ht="42" customHeight="1">
      <c r="A3072" s="2" t="s">
        <v>6447</v>
      </c>
      <c r="B3072" s="2" t="s">
        <v>6447</v>
      </c>
      <c r="C3072" s="2" t="s">
        <v>40</v>
      </c>
      <c r="D3072" s="2" t="s">
        <v>41</v>
      </c>
      <c r="E3072" s="5">
        <v>-28614</v>
      </c>
      <c r="F3072" s="3" t="s">
        <v>4451</v>
      </c>
      <c r="G3072" s="3" t="s">
        <v>20</v>
      </c>
      <c r="H3072" s="2" t="s">
        <v>21</v>
      </c>
      <c r="I3072" s="2" t="s">
        <v>6464</v>
      </c>
      <c r="J3072" s="3" t="str">
        <f>HYPERLINK("https://www.boe.es/gazeta/dias/1821/08/27/pdfs/GMD-1821-244.pdf#page=3","Abrir facsímil")</f>
        <v>Abrir facsímil</v>
      </c>
      <c r="K3072" s="3" t="s">
        <v>23</v>
      </c>
    </row>
    <row r="3073" spans="1:11" ht="42" customHeight="1">
      <c r="A3073" s="2" t="s">
        <v>6447</v>
      </c>
      <c r="B3073" s="2" t="s">
        <v>6447</v>
      </c>
      <c r="C3073" s="2" t="s">
        <v>17</v>
      </c>
      <c r="D3073" s="2" t="s">
        <v>18</v>
      </c>
      <c r="E3073" s="5">
        <v>-28589</v>
      </c>
      <c r="F3073" s="3" t="s">
        <v>3130</v>
      </c>
      <c r="G3073" s="3" t="s">
        <v>88</v>
      </c>
      <c r="H3073" s="2" t="s">
        <v>21</v>
      </c>
      <c r="I3073" s="2" t="s">
        <v>6465</v>
      </c>
      <c r="J3073" s="3" t="str">
        <f>HYPERLINK("https://www.boe.es/gazeta/dias/1821/09/21/pdfs/GMD-1821-269.pdf#page=4","Abrir facsímil")</f>
        <v>Abrir facsímil</v>
      </c>
      <c r="K3073" s="3" t="s">
        <v>23</v>
      </c>
    </row>
    <row r="3074" spans="1:11" ht="42" customHeight="1">
      <c r="A3074" s="2" t="s">
        <v>6447</v>
      </c>
      <c r="B3074" s="2" t="s">
        <v>6447</v>
      </c>
      <c r="C3074" s="2" t="s">
        <v>26</v>
      </c>
      <c r="D3074" s="2" t="s">
        <v>27</v>
      </c>
      <c r="E3074" s="5">
        <v>-28582</v>
      </c>
      <c r="F3074" s="3" t="s">
        <v>3039</v>
      </c>
      <c r="G3074" s="3" t="s">
        <v>88</v>
      </c>
      <c r="H3074" s="2" t="s">
        <v>21</v>
      </c>
      <c r="I3074" s="2" t="s">
        <v>6466</v>
      </c>
      <c r="J3074" s="3" t="str">
        <f>HYPERLINK("https://www.boe.es/gazeta/dias/1821/09/28/pdfs/GMD-1821-276.pdf#page=4","Abrir facsímil")</f>
        <v>Abrir facsímil</v>
      </c>
      <c r="K3074" s="3" t="s">
        <v>23</v>
      </c>
    </row>
    <row r="3075" spans="1:11" ht="42" customHeight="1">
      <c r="A3075" s="2" t="s">
        <v>6447</v>
      </c>
      <c r="B3075" s="2" t="s">
        <v>6447</v>
      </c>
      <c r="C3075" s="2" t="s">
        <v>40</v>
      </c>
      <c r="D3075" s="2" t="s">
        <v>41</v>
      </c>
      <c r="E3075" s="5">
        <v>-28573</v>
      </c>
      <c r="F3075" s="3" t="s">
        <v>19</v>
      </c>
      <c r="G3075" s="3" t="s">
        <v>43</v>
      </c>
      <c r="H3075" s="2" t="s">
        <v>21</v>
      </c>
      <c r="I3075" s="2" t="s">
        <v>6467</v>
      </c>
      <c r="J3075" s="3" t="str">
        <f>HYPERLINK("https://www.boe.es/gazeta/dias/1821/10/07/pdfs/GMD-1821-286.pdf#page=1","Abrir facsímil")</f>
        <v>Abrir facsímil</v>
      </c>
      <c r="K3075" s="3" t="s">
        <v>23</v>
      </c>
    </row>
    <row r="3076" spans="1:11" ht="42" customHeight="1">
      <c r="A3076" s="2" t="s">
        <v>6447</v>
      </c>
      <c r="B3076" s="2" t="s">
        <v>6447</v>
      </c>
      <c r="C3076" s="2" t="s">
        <v>17</v>
      </c>
      <c r="D3076" s="2" t="s">
        <v>18</v>
      </c>
      <c r="E3076" s="5">
        <v>-28561</v>
      </c>
      <c r="F3076" s="3" t="s">
        <v>240</v>
      </c>
      <c r="G3076" s="3" t="s">
        <v>29</v>
      </c>
      <c r="H3076" s="2" t="s">
        <v>21</v>
      </c>
      <c r="I3076" s="2" t="s">
        <v>6468</v>
      </c>
      <c r="J3076" s="3" t="str">
        <f>HYPERLINK("https://www.boe.es/gazeta/dias/1821/10/19/pdfs/GMD-1821-298.pdf#page=6","Abrir facsímil")</f>
        <v>Abrir facsímil</v>
      </c>
      <c r="K3076" s="3" t="s">
        <v>23</v>
      </c>
    </row>
    <row r="3077" spans="1:11" ht="42" customHeight="1">
      <c r="A3077" s="2" t="s">
        <v>6447</v>
      </c>
      <c r="B3077" s="2" t="s">
        <v>6447</v>
      </c>
      <c r="C3077" s="2" t="s">
        <v>17</v>
      </c>
      <c r="D3077" s="2" t="s">
        <v>18</v>
      </c>
      <c r="E3077" s="5">
        <v>-28502</v>
      </c>
      <c r="F3077" s="3" t="s">
        <v>570</v>
      </c>
      <c r="G3077" s="3" t="s">
        <v>52</v>
      </c>
      <c r="H3077" s="2" t="s">
        <v>21</v>
      </c>
      <c r="I3077" s="2" t="s">
        <v>6469</v>
      </c>
      <c r="J3077" s="3" t="str">
        <f>HYPERLINK("https://www.boe.es/gazeta/dias/1821/12/17/pdfs/GMD-1821-360.pdf#page=2","Abrir facsímil")</f>
        <v>Abrir facsímil</v>
      </c>
      <c r="K3077" s="3" t="s">
        <v>23</v>
      </c>
    </row>
    <row r="3078" spans="1:11" ht="42" customHeight="1">
      <c r="A3078" s="2" t="s">
        <v>6470</v>
      </c>
      <c r="B3078" s="2" t="s">
        <v>6470</v>
      </c>
      <c r="C3078" s="2" t="s">
        <v>40</v>
      </c>
      <c r="D3078" s="2" t="s">
        <v>41</v>
      </c>
      <c r="E3078" s="5">
        <v>-28781</v>
      </c>
      <c r="F3078" s="3" t="s">
        <v>149</v>
      </c>
      <c r="G3078" s="3" t="s">
        <v>20</v>
      </c>
      <c r="H3078" s="2" t="s">
        <v>21</v>
      </c>
      <c r="I3078" s="2" t="s">
        <v>6471</v>
      </c>
      <c r="J3078" s="3" t="str">
        <f>HYPERLINK("https://www.boe.es/gazeta/dias/1821/03/13/pdfs/GMD-1821-72.pdf#page=3","Abrir facsímil")</f>
        <v>Abrir facsímil</v>
      </c>
      <c r="K3078" s="3" t="s">
        <v>23</v>
      </c>
    </row>
    <row r="3079" spans="1:11" ht="42" customHeight="1">
      <c r="A3079" s="2" t="s">
        <v>6472</v>
      </c>
      <c r="B3079" s="2" t="s">
        <v>6472</v>
      </c>
      <c r="C3079" s="2" t="s">
        <v>26</v>
      </c>
      <c r="D3079" s="2" t="s">
        <v>27</v>
      </c>
      <c r="E3079" s="5">
        <v>-28709</v>
      </c>
      <c r="F3079" s="3" t="s">
        <v>1434</v>
      </c>
      <c r="G3079" s="3" t="s">
        <v>88</v>
      </c>
      <c r="H3079" s="2" t="s">
        <v>21</v>
      </c>
      <c r="I3079" s="2" t="s">
        <v>6473</v>
      </c>
      <c r="J3079" s="3" t="str">
        <f>HYPERLINK("https://www.boe.es/gazeta/dias/1821/05/24/pdfs/GMD-1821-146.pdf#page=4","Abrir facsímil")</f>
        <v>Abrir facsímil</v>
      </c>
      <c r="K3079" s="3" t="s">
        <v>23</v>
      </c>
    </row>
    <row r="3080" spans="1:11" ht="42" customHeight="1">
      <c r="A3080" s="2" t="s">
        <v>6474</v>
      </c>
      <c r="B3080" s="2" t="s">
        <v>6474</v>
      </c>
      <c r="C3080" s="2" t="s">
        <v>40</v>
      </c>
      <c r="D3080" s="2" t="s">
        <v>41</v>
      </c>
      <c r="E3080" s="5">
        <v>-28555</v>
      </c>
      <c r="F3080" s="3" t="s">
        <v>219</v>
      </c>
      <c r="G3080" s="3" t="s">
        <v>29</v>
      </c>
      <c r="H3080" s="2" t="s">
        <v>21</v>
      </c>
      <c r="I3080" s="2" t="s">
        <v>6475</v>
      </c>
      <c r="J3080" s="3" t="str">
        <f>HYPERLINK("https://www.boe.es/gazeta/dias/1821/10/25/pdfs/GMD-1821-304.pdf#page=6","Abrir facsímil")</f>
        <v>Abrir facsímil</v>
      </c>
      <c r="K3080" s="3" t="s">
        <v>23</v>
      </c>
    </row>
    <row r="3081" spans="1:11" ht="42" customHeight="1">
      <c r="A3081" s="2" t="s">
        <v>6476</v>
      </c>
      <c r="B3081" s="2" t="s">
        <v>6477</v>
      </c>
      <c r="C3081" s="2" t="s">
        <v>17</v>
      </c>
      <c r="D3081" s="2" t="s">
        <v>18</v>
      </c>
      <c r="E3081" s="5">
        <v>-28643</v>
      </c>
      <c r="F3081" s="3" t="s">
        <v>1569</v>
      </c>
      <c r="G3081" s="3" t="s">
        <v>88</v>
      </c>
      <c r="H3081" s="2" t="s">
        <v>21</v>
      </c>
      <c r="I3081" s="2" t="s">
        <v>6478</v>
      </c>
      <c r="J3081" s="3" t="str">
        <f>HYPERLINK("https://www.boe.es/gazeta/dias/1821/07/29/pdfs/GMD-1821-214.pdf#page=4","Abrir facsímil")</f>
        <v>Abrir facsímil</v>
      </c>
      <c r="K3081" s="3" t="s">
        <v>23</v>
      </c>
    </row>
    <row r="3082" spans="1:11" ht="42" customHeight="1">
      <c r="A3082" s="2" t="s">
        <v>6479</v>
      </c>
      <c r="B3082" s="2" t="s">
        <v>6480</v>
      </c>
      <c r="C3082" s="2" t="s">
        <v>17</v>
      </c>
      <c r="D3082" s="2" t="s">
        <v>18</v>
      </c>
      <c r="E3082" s="5">
        <v>-28809</v>
      </c>
      <c r="F3082" s="3" t="s">
        <v>1173</v>
      </c>
      <c r="G3082" s="3" t="s">
        <v>88</v>
      </c>
      <c r="H3082" s="2" t="s">
        <v>21</v>
      </c>
      <c r="I3082" s="2" t="s">
        <v>6481</v>
      </c>
      <c r="J3082" s="3" t="str">
        <f>HYPERLINK("https://www.boe.es/gazeta/dias/1821/02/13/pdfs/GGB-1821-44.pdf#page=4","Abrir facsímil")</f>
        <v>Abrir facsímil</v>
      </c>
      <c r="K3082" s="3" t="s">
        <v>23</v>
      </c>
    </row>
    <row r="3083" spans="1:11" ht="42" customHeight="1">
      <c r="A3083" s="2" t="s">
        <v>6482</v>
      </c>
      <c r="B3083" s="2" t="s">
        <v>6482</v>
      </c>
      <c r="C3083" s="2" t="s">
        <v>17</v>
      </c>
      <c r="D3083" s="2" t="s">
        <v>18</v>
      </c>
      <c r="E3083" s="5">
        <v>-28836</v>
      </c>
      <c r="F3083" s="3" t="s">
        <v>601</v>
      </c>
      <c r="G3083" s="3" t="s">
        <v>52</v>
      </c>
      <c r="H3083" s="2" t="s">
        <v>21</v>
      </c>
      <c r="I3083" s="2" t="s">
        <v>6483</v>
      </c>
      <c r="J3083" s="3" t="str">
        <f>HYPERLINK("https://www.boe.es/gazeta/dias/1821/01/17/pdfs/GGB-1821-17.pdf#page=2","Abrir facsímil")</f>
        <v>Abrir facsímil</v>
      </c>
      <c r="K3083" s="3" t="s">
        <v>23</v>
      </c>
    </row>
    <row r="3084" spans="1:11" ht="42" customHeight="1">
      <c r="A3084" s="2" t="s">
        <v>6484</v>
      </c>
      <c r="B3084" s="2" t="s">
        <v>6484</v>
      </c>
      <c r="C3084" s="2" t="s">
        <v>40</v>
      </c>
      <c r="D3084" s="2" t="s">
        <v>41</v>
      </c>
      <c r="E3084" s="5">
        <v>-28829</v>
      </c>
      <c r="F3084" s="3" t="s">
        <v>2980</v>
      </c>
      <c r="G3084" s="3" t="s">
        <v>20</v>
      </c>
      <c r="H3084" s="2" t="s">
        <v>21</v>
      </c>
      <c r="I3084" s="2" t="s">
        <v>6485</v>
      </c>
      <c r="J3084" s="3" t="str">
        <f>HYPERLINK("https://www.boe.es/gazeta/dias/1821/01/24/pdfs/GGB-1821-24.pdf#page=3","Abrir facsímil")</f>
        <v>Abrir facsímil</v>
      </c>
      <c r="K3084" s="3" t="s">
        <v>23</v>
      </c>
    </row>
    <row r="3085" spans="1:11" ht="42" customHeight="1">
      <c r="A3085" s="2" t="s">
        <v>6484</v>
      </c>
      <c r="B3085" s="2" t="s">
        <v>6484</v>
      </c>
      <c r="C3085" s="2" t="s">
        <v>40</v>
      </c>
      <c r="D3085" s="2" t="s">
        <v>41</v>
      </c>
      <c r="E3085" s="5">
        <v>-28763</v>
      </c>
      <c r="F3085" s="3" t="s">
        <v>1145</v>
      </c>
      <c r="G3085" s="3" t="s">
        <v>52</v>
      </c>
      <c r="H3085" s="2" t="s">
        <v>21</v>
      </c>
      <c r="I3085" s="2" t="s">
        <v>6486</v>
      </c>
      <c r="J3085" s="3" t="str">
        <f>HYPERLINK("https://www.boe.es/gazeta/dias/1821/03/31/pdfs/GMD-1821-92.pdf#page=2","Abrir facsímil")</f>
        <v>Abrir facsímil</v>
      </c>
      <c r="K3085" s="3" t="s">
        <v>23</v>
      </c>
    </row>
    <row r="3086" spans="1:11" ht="42" customHeight="1">
      <c r="A3086" s="2" t="s">
        <v>6484</v>
      </c>
      <c r="B3086" s="2" t="s">
        <v>6484</v>
      </c>
      <c r="C3086" s="2" t="s">
        <v>40</v>
      </c>
      <c r="D3086" s="2" t="s">
        <v>41</v>
      </c>
      <c r="E3086" s="5">
        <v>-28762</v>
      </c>
      <c r="F3086" s="3" t="s">
        <v>608</v>
      </c>
      <c r="G3086" s="3" t="s">
        <v>88</v>
      </c>
      <c r="H3086" s="2" t="s">
        <v>21</v>
      </c>
      <c r="I3086" s="2" t="s">
        <v>6487</v>
      </c>
      <c r="J3086" s="3" t="str">
        <f>HYPERLINK("https://www.boe.es/gazeta/dias/1821/04/01/pdfs/GMD-1821-93.pdf#page=4","Abrir facsímil")</f>
        <v>Abrir facsímil</v>
      </c>
      <c r="K3086" s="3" t="s">
        <v>23</v>
      </c>
    </row>
    <row r="3087" spans="1:11" ht="42" customHeight="1">
      <c r="A3087" s="2" t="s">
        <v>6484</v>
      </c>
      <c r="B3087" s="2" t="s">
        <v>6484</v>
      </c>
      <c r="C3087" s="2" t="s">
        <v>40</v>
      </c>
      <c r="D3087" s="2" t="s">
        <v>41</v>
      </c>
      <c r="E3087" s="5">
        <v>-28702</v>
      </c>
      <c r="F3087" s="3" t="s">
        <v>1176</v>
      </c>
      <c r="G3087" s="3" t="s">
        <v>43</v>
      </c>
      <c r="H3087" s="2" t="s">
        <v>21</v>
      </c>
      <c r="I3087" s="2" t="s">
        <v>6488</v>
      </c>
      <c r="J3087" s="3" t="str">
        <f>HYPERLINK("https://www.boe.es/gazeta/dias/1821/05/31/pdfs/GMD-1821-153.pdf#page=1","Abrir facsímil")</f>
        <v>Abrir facsímil</v>
      </c>
      <c r="K3087" s="3" t="s">
        <v>23</v>
      </c>
    </row>
    <row r="3088" spans="1:11" ht="42" customHeight="1">
      <c r="A3088" s="2" t="s">
        <v>6484</v>
      </c>
      <c r="B3088" s="2" t="s">
        <v>6484</v>
      </c>
      <c r="C3088" s="2" t="s">
        <v>40</v>
      </c>
      <c r="D3088" s="2" t="s">
        <v>41</v>
      </c>
      <c r="E3088" s="5">
        <v>-28501</v>
      </c>
      <c r="F3088" s="3" t="s">
        <v>456</v>
      </c>
      <c r="G3088" s="3" t="s">
        <v>20</v>
      </c>
      <c r="H3088" s="2" t="s">
        <v>21</v>
      </c>
      <c r="I3088" s="2" t="s">
        <v>6489</v>
      </c>
      <c r="J3088" s="3" t="str">
        <f>HYPERLINK("https://www.boe.es/gazeta/dias/1821/12/18/pdfs/GMD-1821-361.pdf#page=3","Abrir facsímil")</f>
        <v>Abrir facsímil</v>
      </c>
      <c r="K3088" s="3" t="s">
        <v>23</v>
      </c>
    </row>
    <row r="3089" spans="1:11" ht="42" customHeight="1">
      <c r="A3089" s="2" t="s">
        <v>6490</v>
      </c>
      <c r="B3089" s="2" t="s">
        <v>6491</v>
      </c>
      <c r="C3089" s="2" t="s">
        <v>35</v>
      </c>
      <c r="D3089" s="2" t="s">
        <v>27</v>
      </c>
      <c r="E3089" s="5">
        <v>-28537</v>
      </c>
      <c r="F3089" s="3" t="s">
        <v>56</v>
      </c>
      <c r="G3089" s="3" t="s">
        <v>52</v>
      </c>
      <c r="H3089" s="2" t="s">
        <v>21</v>
      </c>
      <c r="I3089" s="2" t="s">
        <v>6492</v>
      </c>
      <c r="J3089" s="3" t="str">
        <f>HYPERLINK("https://www.boe.es/gazeta/dias/1821/11/12/pdfs/GMD-1821-323.pdf#page=2","Abrir facsímil")</f>
        <v>Abrir facsímil</v>
      </c>
      <c r="K3089" s="3" t="s">
        <v>23</v>
      </c>
    </row>
    <row r="3090" spans="1:11" ht="42" customHeight="1">
      <c r="A3090" s="2" t="s">
        <v>6493</v>
      </c>
      <c r="B3090" s="2" t="s">
        <v>6493</v>
      </c>
      <c r="C3090" s="2" t="s">
        <v>70</v>
      </c>
      <c r="D3090" s="2" t="s">
        <v>27</v>
      </c>
      <c r="E3090" s="5">
        <v>-28736</v>
      </c>
      <c r="F3090" s="3" t="s">
        <v>464</v>
      </c>
      <c r="G3090" s="3" t="s">
        <v>43</v>
      </c>
      <c r="H3090" s="2" t="s">
        <v>21</v>
      </c>
      <c r="I3090" s="2" t="s">
        <v>6494</v>
      </c>
      <c r="J3090" s="3" t="str">
        <f>HYPERLINK("https://www.boe.es/gazeta/dias/1821/04/27/pdfs/GMD-1821-119.pdf#page=1","Abrir facsímil")</f>
        <v>Abrir facsímil</v>
      </c>
      <c r="K3090" s="3" t="s">
        <v>23</v>
      </c>
    </row>
    <row r="3091" spans="1:11" ht="42" customHeight="1">
      <c r="A3091" s="2" t="s">
        <v>6493</v>
      </c>
      <c r="B3091" s="2" t="s">
        <v>6493</v>
      </c>
      <c r="C3091" s="2" t="s">
        <v>26</v>
      </c>
      <c r="D3091" s="2" t="s">
        <v>27</v>
      </c>
      <c r="E3091" s="5">
        <v>-28728</v>
      </c>
      <c r="F3091" s="3" t="s">
        <v>1038</v>
      </c>
      <c r="G3091" s="3" t="s">
        <v>43</v>
      </c>
      <c r="H3091" s="2" t="s">
        <v>21</v>
      </c>
      <c r="I3091" s="2" t="s">
        <v>6495</v>
      </c>
      <c r="J3091" s="3" t="str">
        <f>HYPERLINK("https://www.boe.es/gazeta/dias/1821/05/05/pdfs/GMD-1821-127.pdf#page=1","Abrir facsímil")</f>
        <v>Abrir facsímil</v>
      </c>
      <c r="K3091" s="3" t="s">
        <v>23</v>
      </c>
    </row>
    <row r="3092" spans="1:11" ht="42" customHeight="1">
      <c r="A3092" s="2" t="s">
        <v>6496</v>
      </c>
      <c r="B3092" s="2" t="s">
        <v>6496</v>
      </c>
      <c r="C3092" s="2" t="s">
        <v>40</v>
      </c>
      <c r="D3092" s="2" t="s">
        <v>41</v>
      </c>
      <c r="E3092" s="5">
        <v>-28684</v>
      </c>
      <c r="F3092" s="3" t="s">
        <v>208</v>
      </c>
      <c r="G3092" s="3" t="s">
        <v>43</v>
      </c>
      <c r="H3092" s="2" t="s">
        <v>21</v>
      </c>
      <c r="I3092" s="2" t="s">
        <v>6497</v>
      </c>
      <c r="J3092" s="3" t="str">
        <f>HYPERLINK("https://www.boe.es/gazeta/dias/1821/06/18/pdfs/GMD-1821-171.pdf#page=1","Abrir facsímil")</f>
        <v>Abrir facsímil</v>
      </c>
      <c r="K3092" s="3" t="s">
        <v>23</v>
      </c>
    </row>
    <row r="3093" spans="1:11" ht="42" customHeight="1">
      <c r="A3093" s="2" t="s">
        <v>6498</v>
      </c>
      <c r="B3093" s="2" t="s">
        <v>6499</v>
      </c>
      <c r="C3093" s="2" t="s">
        <v>17</v>
      </c>
      <c r="D3093" s="2" t="s">
        <v>18</v>
      </c>
      <c r="E3093" s="5">
        <v>-28614</v>
      </c>
      <c r="F3093" s="3" t="s">
        <v>4451</v>
      </c>
      <c r="G3093" s="3" t="s">
        <v>20</v>
      </c>
      <c r="H3093" s="2" t="s">
        <v>21</v>
      </c>
      <c r="I3093" s="2" t="s">
        <v>6500</v>
      </c>
      <c r="J3093" s="3" t="str">
        <f>HYPERLINK("https://www.boe.es/gazeta/dias/1821/08/27/pdfs/GMD-1821-244.pdf#page=3","Abrir facsímil")</f>
        <v>Abrir facsímil</v>
      </c>
      <c r="K3093" s="3" t="s">
        <v>23</v>
      </c>
    </row>
    <row r="3094" spans="1:11" ht="42" customHeight="1">
      <c r="A3094" s="2" t="s">
        <v>6498</v>
      </c>
      <c r="B3094" s="2" t="s">
        <v>6499</v>
      </c>
      <c r="C3094" s="2" t="s">
        <v>26</v>
      </c>
      <c r="D3094" s="2" t="s">
        <v>27</v>
      </c>
      <c r="E3094" s="5">
        <v>-28614</v>
      </c>
      <c r="F3094" s="3" t="s">
        <v>4451</v>
      </c>
      <c r="G3094" s="3" t="s">
        <v>88</v>
      </c>
      <c r="H3094" s="2" t="s">
        <v>21</v>
      </c>
      <c r="I3094" s="2" t="s">
        <v>6501</v>
      </c>
      <c r="J3094" s="3" t="str">
        <f>HYPERLINK("https://www.boe.es/gazeta/dias/1821/08/27/pdfs/GMD-1821-244.pdf#page=4","Abrir facsímil")</f>
        <v>Abrir facsímil</v>
      </c>
      <c r="K3094" s="3" t="s">
        <v>23</v>
      </c>
    </row>
    <row r="3095" spans="1:11" ht="42" customHeight="1">
      <c r="A3095" s="2" t="s">
        <v>6498</v>
      </c>
      <c r="B3095" s="2" t="s">
        <v>6499</v>
      </c>
      <c r="C3095" s="2" t="s">
        <v>26</v>
      </c>
      <c r="D3095" s="2" t="s">
        <v>27</v>
      </c>
      <c r="E3095" s="5">
        <v>-28573</v>
      </c>
      <c r="F3095" s="3" t="s">
        <v>19</v>
      </c>
      <c r="G3095" s="3" t="s">
        <v>88</v>
      </c>
      <c r="H3095" s="2" t="s">
        <v>21</v>
      </c>
      <c r="I3095" s="2" t="s">
        <v>6502</v>
      </c>
      <c r="J3095" s="3" t="str">
        <f>HYPERLINK("https://www.boe.es/gazeta/dias/1821/10/07/pdfs/GMD-1821-286.pdf#page=4","Abrir facsímil")</f>
        <v>Abrir facsímil</v>
      </c>
      <c r="K3095" s="3" t="s">
        <v>23</v>
      </c>
    </row>
    <row r="3096" spans="1:11" ht="42" customHeight="1">
      <c r="A3096" s="2" t="s">
        <v>6503</v>
      </c>
      <c r="B3096" s="2" t="s">
        <v>6504</v>
      </c>
      <c r="C3096" s="2" t="s">
        <v>279</v>
      </c>
      <c r="D3096" s="2" t="s">
        <v>27</v>
      </c>
      <c r="E3096" s="5">
        <v>-28788</v>
      </c>
      <c r="F3096" s="3" t="s">
        <v>996</v>
      </c>
      <c r="G3096" s="3" t="s">
        <v>43</v>
      </c>
      <c r="H3096" s="2" t="s">
        <v>21</v>
      </c>
      <c r="I3096" s="2" t="s">
        <v>6505</v>
      </c>
      <c r="J3096" s="3" t="str">
        <f>HYPERLINK("https://www.boe.es/gazeta/dias/1821/03/06/pdfs/GGB-1821-65.pdf#page=1","Abrir facsímil")</f>
        <v>Abrir facsímil</v>
      </c>
      <c r="K3096" s="3" t="s">
        <v>23</v>
      </c>
    </row>
    <row r="3097" spans="1:11" ht="42" customHeight="1">
      <c r="A3097" s="2" t="s">
        <v>6506</v>
      </c>
      <c r="B3097" s="2" t="s">
        <v>6506</v>
      </c>
      <c r="C3097" s="2" t="s">
        <v>40</v>
      </c>
      <c r="D3097" s="2" t="s">
        <v>41</v>
      </c>
      <c r="E3097" s="5">
        <v>-28730</v>
      </c>
      <c r="F3097" s="3" t="s">
        <v>747</v>
      </c>
      <c r="G3097" s="3" t="s">
        <v>88</v>
      </c>
      <c r="H3097" s="2" t="s">
        <v>21</v>
      </c>
      <c r="I3097" s="2" t="s">
        <v>6507</v>
      </c>
      <c r="J3097" s="3" t="str">
        <f>HYPERLINK("https://www.boe.es/gazeta/dias/1821/05/03/pdfs/GMD-1821-125.pdf#page=4","Abrir facsímil")</f>
        <v>Abrir facsímil</v>
      </c>
      <c r="K3097" s="3" t="s">
        <v>23</v>
      </c>
    </row>
    <row r="3098" spans="1:11" ht="42" customHeight="1">
      <c r="A3098" s="2" t="s">
        <v>6508</v>
      </c>
      <c r="B3098" s="2" t="s">
        <v>6508</v>
      </c>
      <c r="C3098" s="2" t="s">
        <v>40</v>
      </c>
      <c r="D3098" s="2" t="s">
        <v>41</v>
      </c>
      <c r="E3098" s="5">
        <v>-28592</v>
      </c>
      <c r="F3098" s="3" t="s">
        <v>518</v>
      </c>
      <c r="G3098" s="3" t="s">
        <v>52</v>
      </c>
      <c r="H3098" s="2" t="s">
        <v>21</v>
      </c>
      <c r="I3098" s="2" t="s">
        <v>6509</v>
      </c>
      <c r="J3098" s="3" t="str">
        <f>HYPERLINK("https://www.boe.es/gazeta/dias/1821/09/18/pdfs/GMD-1821-266.pdf#page=2","Abrir facsímil")</f>
        <v>Abrir facsímil</v>
      </c>
      <c r="K3098" s="3" t="s">
        <v>23</v>
      </c>
    </row>
    <row r="3099" spans="1:11" ht="42" customHeight="1">
      <c r="A3099" s="2" t="s">
        <v>6510</v>
      </c>
      <c r="B3099" s="2" t="s">
        <v>6511</v>
      </c>
      <c r="C3099" s="2" t="s">
        <v>17</v>
      </c>
      <c r="D3099" s="2" t="s">
        <v>18</v>
      </c>
      <c r="E3099" s="5">
        <v>-28635</v>
      </c>
      <c r="F3099" s="3" t="s">
        <v>1210</v>
      </c>
      <c r="G3099" s="3" t="s">
        <v>88</v>
      </c>
      <c r="H3099" s="2" t="s">
        <v>21</v>
      </c>
      <c r="I3099" s="2" t="s">
        <v>6512</v>
      </c>
      <c r="J3099" s="3" t="str">
        <f>HYPERLINK("https://www.boe.es/gazeta/dias/1821/08/06/pdfs/GMD-1821-222.pdf#page=4","Abrir facsímil")</f>
        <v>Abrir facsímil</v>
      </c>
      <c r="K3099" s="3" t="s">
        <v>23</v>
      </c>
    </row>
    <row r="3100" spans="1:11" ht="42" customHeight="1">
      <c r="A3100" s="2" t="s">
        <v>6513</v>
      </c>
      <c r="B3100" s="2" t="s">
        <v>6513</v>
      </c>
      <c r="C3100" s="2" t="s">
        <v>40</v>
      </c>
      <c r="D3100" s="2" t="s">
        <v>41</v>
      </c>
      <c r="E3100" s="5">
        <v>-28715</v>
      </c>
      <c r="F3100" s="3" t="s">
        <v>1046</v>
      </c>
      <c r="G3100" s="3" t="s">
        <v>20</v>
      </c>
      <c r="H3100" s="2" t="s">
        <v>21</v>
      </c>
      <c r="I3100" s="2" t="s">
        <v>6514</v>
      </c>
      <c r="J3100" s="3" t="str">
        <f>HYPERLINK("https://www.boe.es/gazeta/dias/1821/05/18/pdfs/GMD-1821-140.pdf#page=3","Abrir facsímil")</f>
        <v>Abrir facsímil</v>
      </c>
      <c r="K3100" s="3" t="s">
        <v>23</v>
      </c>
    </row>
    <row r="3101" spans="1:11" ht="42" customHeight="1">
      <c r="A3101" s="2" t="s">
        <v>6515</v>
      </c>
      <c r="B3101" s="2" t="s">
        <v>6515</v>
      </c>
      <c r="C3101" s="2" t="s">
        <v>17</v>
      </c>
      <c r="D3101" s="2" t="s">
        <v>18</v>
      </c>
      <c r="E3101" s="5">
        <v>-28760</v>
      </c>
      <c r="F3101" s="3" t="s">
        <v>170</v>
      </c>
      <c r="G3101" s="3" t="s">
        <v>88</v>
      </c>
      <c r="H3101" s="2" t="s">
        <v>21</v>
      </c>
      <c r="I3101" s="2" t="s">
        <v>6516</v>
      </c>
      <c r="J3101" s="3" t="str">
        <f>HYPERLINK("https://www.boe.es/gazeta/dias/1821/04/03/pdfs/GMD-1821-95.pdf#page=4","Abrir facsímil")</f>
        <v>Abrir facsímil</v>
      </c>
      <c r="K3101" s="3" t="s">
        <v>23</v>
      </c>
    </row>
    <row r="3102" spans="1:11" ht="42" customHeight="1">
      <c r="A3102" s="2" t="s">
        <v>6515</v>
      </c>
      <c r="B3102" s="2" t="s">
        <v>6515</v>
      </c>
      <c r="C3102" s="2" t="s">
        <v>17</v>
      </c>
      <c r="D3102" s="2" t="s">
        <v>18</v>
      </c>
      <c r="E3102" s="5">
        <v>-28662</v>
      </c>
      <c r="F3102" s="3" t="s">
        <v>3289</v>
      </c>
      <c r="G3102" s="3" t="s">
        <v>20</v>
      </c>
      <c r="H3102" s="2" t="s">
        <v>21</v>
      </c>
      <c r="I3102" s="2" t="s">
        <v>6517</v>
      </c>
      <c r="J3102" s="3" t="str">
        <f>HYPERLINK("https://www.boe.es/gazeta/dias/1821/07/10/pdfs/GMD-1821-195.pdf#page=3","Abrir facsímil")</f>
        <v>Abrir facsímil</v>
      </c>
      <c r="K3102" s="3" t="s">
        <v>23</v>
      </c>
    </row>
    <row r="3103" spans="1:11" ht="42" customHeight="1">
      <c r="A3103" s="2" t="s">
        <v>6515</v>
      </c>
      <c r="B3103" s="2" t="s">
        <v>6515</v>
      </c>
      <c r="C3103" s="2" t="s">
        <v>17</v>
      </c>
      <c r="D3103" s="2" t="s">
        <v>18</v>
      </c>
      <c r="E3103" s="5">
        <v>-28625</v>
      </c>
      <c r="F3103" s="3" t="s">
        <v>738</v>
      </c>
      <c r="G3103" s="3" t="s">
        <v>88</v>
      </c>
      <c r="H3103" s="2" t="s">
        <v>21</v>
      </c>
      <c r="I3103" s="2" t="s">
        <v>6518</v>
      </c>
      <c r="J3103" s="3" t="str">
        <f>HYPERLINK("https://www.boe.es/gazeta/dias/1821/08/16/pdfs/GMD-1821-233.pdf#page=4","Abrir facsímil")</f>
        <v>Abrir facsímil</v>
      </c>
      <c r="K3103" s="3" t="s">
        <v>23</v>
      </c>
    </row>
    <row r="3104" spans="1:11" ht="42" customHeight="1">
      <c r="A3104" s="2" t="s">
        <v>6519</v>
      </c>
      <c r="B3104" s="2" t="s">
        <v>6519</v>
      </c>
      <c r="C3104" s="2" t="s">
        <v>26</v>
      </c>
      <c r="D3104" s="2" t="s">
        <v>27</v>
      </c>
      <c r="E3104" s="5">
        <v>-28820</v>
      </c>
      <c r="F3104" s="3" t="s">
        <v>1430</v>
      </c>
      <c r="G3104" s="3" t="s">
        <v>52</v>
      </c>
      <c r="H3104" s="2" t="s">
        <v>21</v>
      </c>
      <c r="I3104" s="2" t="s">
        <v>6520</v>
      </c>
      <c r="J3104" s="3" t="str">
        <f>HYPERLINK("https://www.boe.es/gazeta/dias/1821/02/02/pdfs/GGB-1821-33.pdf#page=2","Abrir facsímil")</f>
        <v>Abrir facsímil</v>
      </c>
      <c r="K3104" s="3" t="s">
        <v>23</v>
      </c>
    </row>
    <row r="3105" spans="1:11" ht="42" customHeight="1">
      <c r="A3105" s="2" t="s">
        <v>6519</v>
      </c>
      <c r="B3105" s="2" t="s">
        <v>6519</v>
      </c>
      <c r="C3105" s="2" t="s">
        <v>17</v>
      </c>
      <c r="D3105" s="2" t="s">
        <v>18</v>
      </c>
      <c r="E3105" s="5">
        <v>-28743</v>
      </c>
      <c r="F3105" s="3" t="s">
        <v>51</v>
      </c>
      <c r="G3105" s="3" t="s">
        <v>52</v>
      </c>
      <c r="H3105" s="2" t="s">
        <v>21</v>
      </c>
      <c r="I3105" s="2" t="s">
        <v>6521</v>
      </c>
      <c r="J3105" s="3" t="str">
        <f>HYPERLINK("https://www.boe.es/gazeta/dias/1821/04/20/pdfs/GMD-1821-112.pdf#page=2","Abrir facsímil")</f>
        <v>Abrir facsímil</v>
      </c>
      <c r="K3105" s="3" t="s">
        <v>23</v>
      </c>
    </row>
    <row r="3106" spans="1:11" ht="42" customHeight="1">
      <c r="A3106" s="2" t="s">
        <v>6522</v>
      </c>
      <c r="B3106" s="2" t="s">
        <v>6522</v>
      </c>
      <c r="C3106" s="2" t="s">
        <v>17</v>
      </c>
      <c r="D3106" s="2" t="s">
        <v>18</v>
      </c>
      <c r="E3106" s="5">
        <v>-28688</v>
      </c>
      <c r="F3106" s="3" t="s">
        <v>1504</v>
      </c>
      <c r="G3106" s="3" t="s">
        <v>52</v>
      </c>
      <c r="H3106" s="2" t="s">
        <v>21</v>
      </c>
      <c r="I3106" s="2" t="s">
        <v>6523</v>
      </c>
      <c r="J3106" s="3" t="str">
        <f>HYPERLINK("https://www.boe.es/gazeta/dias/1821/06/14/pdfs/GMD-1821-167.pdf#page=2","Abrir facsímil")</f>
        <v>Abrir facsímil</v>
      </c>
      <c r="K3106" s="3" t="s">
        <v>23</v>
      </c>
    </row>
    <row r="3107" spans="1:11" ht="42" customHeight="1">
      <c r="A3107" s="2" t="s">
        <v>6524</v>
      </c>
      <c r="B3107" s="2" t="s">
        <v>6525</v>
      </c>
      <c r="C3107" s="2" t="s">
        <v>17</v>
      </c>
      <c r="D3107" s="2" t="s">
        <v>18</v>
      </c>
      <c r="E3107" s="5">
        <v>-28602</v>
      </c>
      <c r="F3107" s="3" t="s">
        <v>1526</v>
      </c>
      <c r="G3107" s="3" t="s">
        <v>88</v>
      </c>
      <c r="H3107" s="2" t="s">
        <v>21</v>
      </c>
      <c r="I3107" s="2" t="s">
        <v>6526</v>
      </c>
      <c r="J3107" s="3" t="str">
        <f>HYPERLINK("https://www.boe.es/gazeta/dias/1821/09/08/pdfs/GMD-1821-256.pdf#page=4","Abrir facsímil")</f>
        <v>Abrir facsímil</v>
      </c>
      <c r="K3107" s="3" t="s">
        <v>23</v>
      </c>
    </row>
    <row r="3108" spans="1:11" ht="42" customHeight="1">
      <c r="A3108" s="2" t="s">
        <v>6527</v>
      </c>
      <c r="B3108" s="2" t="s">
        <v>6528</v>
      </c>
      <c r="C3108" s="2" t="s">
        <v>174</v>
      </c>
      <c r="D3108" s="2" t="s">
        <v>27</v>
      </c>
      <c r="E3108" s="5">
        <v>-28541</v>
      </c>
      <c r="F3108" s="3" t="s">
        <v>275</v>
      </c>
      <c r="G3108" s="3" t="s">
        <v>29</v>
      </c>
      <c r="H3108" s="2" t="s">
        <v>21</v>
      </c>
      <c r="I3108" s="2" t="s">
        <v>6529</v>
      </c>
      <c r="J3108" s="3" t="str">
        <f>HYPERLINK("https://www.boe.es/gazeta/dias/1821/11/08/pdfs/GMD-1821-319.pdf#page=6","Abrir facsímil")</f>
        <v>Abrir facsímil</v>
      </c>
      <c r="K3108" s="3" t="s">
        <v>23</v>
      </c>
    </row>
    <row r="3109" spans="1:11" ht="42" customHeight="1">
      <c r="A3109" s="2" t="s">
        <v>6530</v>
      </c>
      <c r="B3109" s="2" t="s">
        <v>6531</v>
      </c>
      <c r="C3109" s="2" t="s">
        <v>26</v>
      </c>
      <c r="D3109" s="2" t="s">
        <v>27</v>
      </c>
      <c r="E3109" s="5">
        <v>-28529</v>
      </c>
      <c r="F3109" s="3" t="s">
        <v>525</v>
      </c>
      <c r="G3109" s="3" t="s">
        <v>88</v>
      </c>
      <c r="H3109" s="2" t="s">
        <v>21</v>
      </c>
      <c r="I3109" s="2" t="s">
        <v>6532</v>
      </c>
      <c r="J3109" s="3" t="str">
        <f>HYPERLINK("https://www.boe.es/gazeta/dias/1821/11/20/pdfs/GMD-1821-331.pdf#page=4","Abrir facsímil")</f>
        <v>Abrir facsímil</v>
      </c>
      <c r="K3109" s="3" t="s">
        <v>23</v>
      </c>
    </row>
    <row r="3110" spans="1:11" ht="42" customHeight="1">
      <c r="A3110" s="2" t="s">
        <v>6533</v>
      </c>
      <c r="B3110" s="2" t="s">
        <v>6533</v>
      </c>
      <c r="C3110" s="2" t="s">
        <v>40</v>
      </c>
      <c r="D3110" s="2" t="s">
        <v>41</v>
      </c>
      <c r="E3110" s="5">
        <v>-28852</v>
      </c>
      <c r="F3110" s="3" t="s">
        <v>5624</v>
      </c>
      <c r="G3110" s="3" t="s">
        <v>20</v>
      </c>
      <c r="H3110" s="2" t="s">
        <v>21</v>
      </c>
      <c r="I3110" s="2" t="s">
        <v>6534</v>
      </c>
      <c r="J3110" s="3" t="str">
        <f>HYPERLINK("https://www.boe.es/gazeta/dias/1821/01/01/pdfs/GGB-1821-1.pdf#page=3","Abrir facsímil")</f>
        <v>Abrir facsímil</v>
      </c>
      <c r="K3110" s="3" t="s">
        <v>23</v>
      </c>
    </row>
    <row r="3111" spans="1:11" ht="42" customHeight="1">
      <c r="A3111" s="2" t="s">
        <v>6535</v>
      </c>
      <c r="B3111" s="2" t="s">
        <v>6536</v>
      </c>
      <c r="C3111" s="2" t="s">
        <v>26</v>
      </c>
      <c r="D3111" s="2" t="s">
        <v>27</v>
      </c>
      <c r="E3111" s="5">
        <v>-28708</v>
      </c>
      <c r="F3111" s="3" t="s">
        <v>528</v>
      </c>
      <c r="G3111" s="3" t="s">
        <v>88</v>
      </c>
      <c r="H3111" s="2" t="s">
        <v>21</v>
      </c>
      <c r="I3111" s="2" t="s">
        <v>6537</v>
      </c>
      <c r="J3111" s="3" t="str">
        <f>HYPERLINK("https://www.boe.es/gazeta/dias/1821/05/25/pdfs/GMD-1821-147.pdf#page=4","Abrir facsímil")</f>
        <v>Abrir facsímil</v>
      </c>
      <c r="K3111" s="3" t="s">
        <v>23</v>
      </c>
    </row>
    <row r="3112" spans="1:11" ht="42" customHeight="1">
      <c r="A3112" s="2" t="s">
        <v>6538</v>
      </c>
      <c r="B3112" s="2" t="s">
        <v>6539</v>
      </c>
      <c r="C3112" s="2" t="s">
        <v>17</v>
      </c>
      <c r="D3112" s="2" t="s">
        <v>18</v>
      </c>
      <c r="E3112" s="5">
        <v>-28755</v>
      </c>
      <c r="F3112" s="3" t="s">
        <v>906</v>
      </c>
      <c r="G3112" s="3" t="s">
        <v>907</v>
      </c>
      <c r="H3112" s="2" t="s">
        <v>21</v>
      </c>
      <c r="I3112" s="2" t="s">
        <v>6540</v>
      </c>
      <c r="J3112" s="3" t="str">
        <f>HYPERLINK("https://www.boe.es/gazeta/dias/1821/04/08/pdfs/GMD-1821-100.pdf#page=4","Abrir facsímil")</f>
        <v>Abrir facsímil</v>
      </c>
      <c r="K3112" s="3" t="s">
        <v>23</v>
      </c>
    </row>
    <row r="3113" spans="1:11" ht="42" customHeight="1">
      <c r="A3113" s="2" t="s">
        <v>6541</v>
      </c>
      <c r="B3113" s="2" t="s">
        <v>6542</v>
      </c>
      <c r="C3113" s="2" t="s">
        <v>35</v>
      </c>
      <c r="D3113" s="2" t="s">
        <v>27</v>
      </c>
      <c r="E3113" s="5">
        <v>-28720</v>
      </c>
      <c r="F3113" s="3" t="s">
        <v>492</v>
      </c>
      <c r="G3113" s="3" t="s">
        <v>43</v>
      </c>
      <c r="H3113" s="2" t="s">
        <v>21</v>
      </c>
      <c r="I3113" s="2" t="s">
        <v>6543</v>
      </c>
      <c r="J3113" s="3" t="str">
        <f>HYPERLINK("https://www.boe.es/gazeta/dias/1821/05/13/pdfs/GMD-1821-135.pdf#page=1","Abrir facsímil")</f>
        <v>Abrir facsímil</v>
      </c>
      <c r="K3113" s="3" t="s">
        <v>23</v>
      </c>
    </row>
    <row r="3114" spans="1:11" ht="42" customHeight="1">
      <c r="A3114" s="2" t="s">
        <v>6544</v>
      </c>
      <c r="B3114" s="2" t="s">
        <v>6544</v>
      </c>
      <c r="C3114" s="2" t="s">
        <v>26</v>
      </c>
      <c r="D3114" s="2" t="s">
        <v>27</v>
      </c>
      <c r="E3114" s="5">
        <v>-28746</v>
      </c>
      <c r="F3114" s="3" t="s">
        <v>687</v>
      </c>
      <c r="G3114" s="3" t="s">
        <v>43</v>
      </c>
      <c r="H3114" s="2" t="s">
        <v>21</v>
      </c>
      <c r="I3114" s="2" t="s">
        <v>6545</v>
      </c>
      <c r="J3114" s="3" t="str">
        <f>HYPERLINK("https://www.boe.es/gazeta/dias/1821/04/17/pdfs/GMD-1821-109.pdf#page=1","Abrir facsímil")</f>
        <v>Abrir facsímil</v>
      </c>
      <c r="K3114" s="3" t="s">
        <v>23</v>
      </c>
    </row>
    <row r="3115" spans="1:11" ht="42" customHeight="1">
      <c r="A3115" s="2" t="s">
        <v>6546</v>
      </c>
      <c r="B3115" s="2" t="s">
        <v>6547</v>
      </c>
      <c r="C3115" s="2" t="s">
        <v>35</v>
      </c>
      <c r="D3115" s="2" t="s">
        <v>27</v>
      </c>
      <c r="E3115" s="5">
        <v>-28778</v>
      </c>
      <c r="F3115" s="3" t="s">
        <v>1301</v>
      </c>
      <c r="G3115" s="3" t="s">
        <v>162</v>
      </c>
      <c r="H3115" s="2" t="s">
        <v>21</v>
      </c>
      <c r="I3115" s="2" t="s">
        <v>6548</v>
      </c>
      <c r="J3115" s="3" t="str">
        <f>HYPERLINK("https://www.boe.es/gazeta/dias/1821/03/16/pdfs/GMD-1821-75.pdf#page=5","Abrir facsímil")</f>
        <v>Abrir facsímil</v>
      </c>
      <c r="K3115" s="3" t="s">
        <v>23</v>
      </c>
    </row>
    <row r="3116" spans="1:11" ht="42" customHeight="1">
      <c r="A3116" s="2" t="s">
        <v>6549</v>
      </c>
      <c r="B3116" s="2" t="s">
        <v>6549</v>
      </c>
      <c r="C3116" s="2" t="s">
        <v>35</v>
      </c>
      <c r="D3116" s="2" t="s">
        <v>27</v>
      </c>
      <c r="E3116" s="5">
        <v>-28533</v>
      </c>
      <c r="F3116" s="3" t="s">
        <v>559</v>
      </c>
      <c r="G3116" s="3" t="s">
        <v>29</v>
      </c>
      <c r="H3116" s="2" t="s">
        <v>21</v>
      </c>
      <c r="I3116" s="2" t="s">
        <v>6550</v>
      </c>
      <c r="J3116" s="3" t="str">
        <f>HYPERLINK("https://www.boe.es/gazeta/dias/1821/11/16/pdfs/GMD-1821-327.pdf#page=6","Abrir facsímil")</f>
        <v>Abrir facsímil</v>
      </c>
      <c r="K3116" s="3" t="s">
        <v>23</v>
      </c>
    </row>
    <row r="3117" spans="1:11" ht="42" customHeight="1">
      <c r="A3117" s="2" t="s">
        <v>6551</v>
      </c>
      <c r="B3117" s="2" t="s">
        <v>6552</v>
      </c>
      <c r="C3117" s="2" t="s">
        <v>26</v>
      </c>
      <c r="D3117" s="2" t="s">
        <v>27</v>
      </c>
      <c r="E3117" s="5">
        <v>-28652</v>
      </c>
      <c r="F3117" s="3" t="s">
        <v>1314</v>
      </c>
      <c r="G3117" s="3" t="s">
        <v>1315</v>
      </c>
      <c r="H3117" s="2" t="s">
        <v>21</v>
      </c>
      <c r="I3117" s="2" t="s">
        <v>6553</v>
      </c>
      <c r="J3117" s="3" t="str">
        <f>HYPERLINK("https://www.boe.es/gazeta/dias/1821/07/20/pdfs/GMD-1821-205.pdf#page=4","Abrir facsímil")</f>
        <v>Abrir facsímil</v>
      </c>
      <c r="K3117" s="3" t="s">
        <v>23</v>
      </c>
    </row>
    <row r="3118" spans="1:11" ht="42" customHeight="1">
      <c r="A3118" s="2" t="s">
        <v>6554</v>
      </c>
      <c r="B3118" s="2" t="s">
        <v>6555</v>
      </c>
      <c r="C3118" s="2" t="s">
        <v>17</v>
      </c>
      <c r="D3118" s="2" t="s">
        <v>18</v>
      </c>
      <c r="E3118" s="5">
        <v>-28543</v>
      </c>
      <c r="F3118" s="3" t="s">
        <v>136</v>
      </c>
      <c r="G3118" s="3" t="s">
        <v>333</v>
      </c>
      <c r="H3118" s="2" t="s">
        <v>21</v>
      </c>
      <c r="I3118" s="2" t="s">
        <v>6556</v>
      </c>
      <c r="J3118" s="3" t="str">
        <f>HYPERLINK("https://www.boe.es/gazeta/dias/1821/11/06/pdfs/GMD-1821-317.pdf#page=8","Abrir facsímil")</f>
        <v>Abrir facsímil</v>
      </c>
      <c r="K3118" s="3" t="s">
        <v>23</v>
      </c>
    </row>
    <row r="3119" spans="1:11" ht="42" customHeight="1">
      <c r="A3119" s="2" t="s">
        <v>6557</v>
      </c>
      <c r="B3119" s="2" t="s">
        <v>6558</v>
      </c>
      <c r="C3119" s="2" t="s">
        <v>26</v>
      </c>
      <c r="D3119" s="2" t="s">
        <v>27</v>
      </c>
      <c r="E3119" s="5">
        <v>-28628</v>
      </c>
      <c r="F3119" s="3" t="s">
        <v>4257</v>
      </c>
      <c r="G3119" s="3" t="s">
        <v>88</v>
      </c>
      <c r="H3119" s="2" t="s">
        <v>21</v>
      </c>
      <c r="I3119" s="2" t="s">
        <v>6559</v>
      </c>
      <c r="J3119" s="3" t="str">
        <f>HYPERLINK("https://www.boe.es/gazeta/dias/1821/08/13/pdfs/GMD-1821-230.pdf#page=4","Abrir facsímil")</f>
        <v>Abrir facsímil</v>
      </c>
      <c r="K3119" s="3" t="s">
        <v>23</v>
      </c>
    </row>
    <row r="3120" spans="1:11" ht="42" customHeight="1">
      <c r="A3120" s="2" t="s">
        <v>6560</v>
      </c>
      <c r="B3120" s="2" t="s">
        <v>6561</v>
      </c>
      <c r="C3120" s="2" t="s">
        <v>279</v>
      </c>
      <c r="D3120" s="2" t="s">
        <v>27</v>
      </c>
      <c r="E3120" s="5">
        <v>-28635</v>
      </c>
      <c r="F3120" s="3" t="s">
        <v>1210</v>
      </c>
      <c r="G3120" s="3" t="s">
        <v>88</v>
      </c>
      <c r="H3120" s="2" t="s">
        <v>21</v>
      </c>
      <c r="I3120" s="2" t="s">
        <v>6562</v>
      </c>
      <c r="J3120" s="3" t="str">
        <f>HYPERLINK("https://www.boe.es/gazeta/dias/1821/08/06/pdfs/GMD-1821-222.pdf#page=4","Abrir facsímil")</f>
        <v>Abrir facsímil</v>
      </c>
      <c r="K3120" s="3" t="s">
        <v>23</v>
      </c>
    </row>
    <row r="3121" spans="1:11" ht="42" customHeight="1">
      <c r="A3121" s="2" t="s">
        <v>6563</v>
      </c>
      <c r="B3121" s="2" t="s">
        <v>6564</v>
      </c>
      <c r="C3121" s="2" t="s">
        <v>70</v>
      </c>
      <c r="D3121" s="2" t="s">
        <v>27</v>
      </c>
      <c r="E3121" s="5">
        <v>-28798</v>
      </c>
      <c r="F3121" s="3" t="s">
        <v>60</v>
      </c>
      <c r="G3121" s="3" t="s">
        <v>88</v>
      </c>
      <c r="H3121" s="2" t="s">
        <v>21</v>
      </c>
      <c r="I3121" s="2" t="s">
        <v>6565</v>
      </c>
      <c r="J3121" s="3" t="str">
        <f>HYPERLINK("https://www.boe.es/gazeta/dias/1821/02/24/pdfs/GGB-1821-55.pdf#page=4","Abrir facsímil")</f>
        <v>Abrir facsímil</v>
      </c>
      <c r="K3121" s="3" t="s">
        <v>23</v>
      </c>
    </row>
    <row r="3122" spans="1:11" ht="42" customHeight="1">
      <c r="A3122" s="2" t="s">
        <v>6566</v>
      </c>
      <c r="B3122" s="2" t="s">
        <v>6567</v>
      </c>
      <c r="C3122" s="2" t="s">
        <v>114</v>
      </c>
      <c r="D3122" s="2" t="s">
        <v>27</v>
      </c>
      <c r="E3122" s="5">
        <v>-28629</v>
      </c>
      <c r="F3122" s="3" t="s">
        <v>235</v>
      </c>
      <c r="G3122" s="3" t="s">
        <v>88</v>
      </c>
      <c r="H3122" s="2" t="s">
        <v>21</v>
      </c>
      <c r="I3122" s="2" t="s">
        <v>6568</v>
      </c>
      <c r="J3122" s="3" t="str">
        <f>HYPERLINK("https://www.boe.es/gazeta/dias/1821/08/12/pdfs/GMD-1821-229.pdf#page=4","Abrir facsímil")</f>
        <v>Abrir facsímil</v>
      </c>
      <c r="K3122" s="3" t="s">
        <v>23</v>
      </c>
    </row>
    <row r="3123" spans="1:11" ht="42" customHeight="1">
      <c r="A3123" s="2" t="s">
        <v>6569</v>
      </c>
      <c r="B3123" s="2" t="s">
        <v>6570</v>
      </c>
      <c r="C3123" s="2" t="s">
        <v>17</v>
      </c>
      <c r="D3123" s="2" t="s">
        <v>18</v>
      </c>
      <c r="E3123" s="5">
        <v>-28641</v>
      </c>
      <c r="F3123" s="3" t="s">
        <v>398</v>
      </c>
      <c r="G3123" s="3" t="s">
        <v>52</v>
      </c>
      <c r="H3123" s="2" t="s">
        <v>21</v>
      </c>
      <c r="I3123" s="2" t="s">
        <v>6571</v>
      </c>
      <c r="J3123" s="3" t="str">
        <f>HYPERLINK("https://www.boe.es/gazeta/dias/1821/07/31/pdfs/GMD-1821-216.pdf#page=2","Abrir facsímil")</f>
        <v>Abrir facsímil</v>
      </c>
      <c r="K3123" s="3" t="s">
        <v>23</v>
      </c>
    </row>
    <row r="3124" spans="1:11" ht="42" customHeight="1">
      <c r="A3124" s="2" t="s">
        <v>6569</v>
      </c>
      <c r="B3124" s="2" t="s">
        <v>6570</v>
      </c>
      <c r="C3124" s="2" t="s">
        <v>40</v>
      </c>
      <c r="D3124" s="2" t="s">
        <v>41</v>
      </c>
      <c r="E3124" s="5">
        <v>-28632</v>
      </c>
      <c r="F3124" s="3" t="s">
        <v>6572</v>
      </c>
      <c r="G3124" s="3" t="s">
        <v>52</v>
      </c>
      <c r="H3124" s="2" t="s">
        <v>21</v>
      </c>
      <c r="I3124" s="2" t="s">
        <v>6573</v>
      </c>
      <c r="J3124" s="3" t="str">
        <f>HYPERLINK("https://www.boe.es/gazeta/dias/1821/08/09/pdfs/GMD-1821-225.pdf#page=2","Abrir facsímil")</f>
        <v>Abrir facsímil</v>
      </c>
      <c r="K3124" s="3" t="s">
        <v>23</v>
      </c>
    </row>
    <row r="3125" spans="1:11" ht="42" customHeight="1">
      <c r="A3125" s="2" t="s">
        <v>6569</v>
      </c>
      <c r="B3125" s="2" t="s">
        <v>6570</v>
      </c>
      <c r="C3125" s="2" t="s">
        <v>17</v>
      </c>
      <c r="D3125" s="2" t="s">
        <v>18</v>
      </c>
      <c r="E3125" s="5">
        <v>-28629</v>
      </c>
      <c r="F3125" s="3" t="s">
        <v>235</v>
      </c>
      <c r="G3125" s="3" t="s">
        <v>20</v>
      </c>
      <c r="H3125" s="2" t="s">
        <v>21</v>
      </c>
      <c r="I3125" s="2" t="s">
        <v>6574</v>
      </c>
      <c r="J3125" s="3" t="str">
        <f>HYPERLINK("https://www.boe.es/gazeta/dias/1821/08/12/pdfs/GMD-1821-229.pdf#page=3","Abrir facsímil")</f>
        <v>Abrir facsímil</v>
      </c>
      <c r="K3125" s="3" t="s">
        <v>23</v>
      </c>
    </row>
    <row r="3126" spans="1:11" ht="42" customHeight="1">
      <c r="A3126" s="2" t="s">
        <v>6575</v>
      </c>
      <c r="B3126" s="2" t="s">
        <v>6575</v>
      </c>
      <c r="C3126" s="2" t="s">
        <v>40</v>
      </c>
      <c r="D3126" s="2" t="s">
        <v>41</v>
      </c>
      <c r="E3126" s="5">
        <v>-28777</v>
      </c>
      <c r="F3126" s="3" t="s">
        <v>1004</v>
      </c>
      <c r="G3126" s="3" t="s">
        <v>43</v>
      </c>
      <c r="H3126" s="2" t="s">
        <v>21</v>
      </c>
      <c r="I3126" s="2" t="s">
        <v>6576</v>
      </c>
      <c r="J3126" s="3" t="str">
        <f>HYPERLINK("https://www.boe.es/gazeta/dias/1821/03/17/pdfs/GMD-1821-76.pdf#page=1","Abrir facsímil")</f>
        <v>Abrir facsímil</v>
      </c>
      <c r="K3126" s="3" t="s">
        <v>23</v>
      </c>
    </row>
    <row r="3127" spans="1:11" ht="42" customHeight="1">
      <c r="A3127" s="2" t="s">
        <v>6577</v>
      </c>
      <c r="B3127" s="2" t="s">
        <v>6577</v>
      </c>
      <c r="C3127" s="2" t="s">
        <v>26</v>
      </c>
      <c r="D3127" s="2" t="s">
        <v>27</v>
      </c>
      <c r="E3127" s="5">
        <v>-28651</v>
      </c>
      <c r="F3127" s="3" t="s">
        <v>1518</v>
      </c>
      <c r="G3127" s="3" t="s">
        <v>43</v>
      </c>
      <c r="H3127" s="2" t="s">
        <v>21</v>
      </c>
      <c r="I3127" s="2" t="s">
        <v>6578</v>
      </c>
      <c r="J3127" s="3" t="str">
        <f>HYPERLINK("https://www.boe.es/gazeta/dias/1821/07/21/pdfs/GMD-1821-206.pdf#page=1","Abrir facsímil")</f>
        <v>Abrir facsímil</v>
      </c>
      <c r="K3127" s="3" t="s">
        <v>23</v>
      </c>
    </row>
    <row r="3128" spans="1:11" ht="42" customHeight="1">
      <c r="A3128" s="2" t="s">
        <v>6579</v>
      </c>
      <c r="B3128" s="2" t="s">
        <v>6579</v>
      </c>
      <c r="C3128" s="2" t="s">
        <v>40</v>
      </c>
      <c r="D3128" s="2" t="s">
        <v>41</v>
      </c>
      <c r="E3128" s="5">
        <v>-28624</v>
      </c>
      <c r="F3128" s="3" t="s">
        <v>78</v>
      </c>
      <c r="G3128" s="3" t="s">
        <v>79</v>
      </c>
      <c r="H3128" s="2" t="s">
        <v>21</v>
      </c>
      <c r="I3128" s="2" t="s">
        <v>6580</v>
      </c>
      <c r="J3128" s="3" t="str">
        <f>HYPERLINK("https://www.boe.es/gazeta/dias/1821/08/17/pdfs/GMD-1821-234.pdf#page=4","Abrir facsímil")</f>
        <v>Abrir facsímil</v>
      </c>
      <c r="K3128" s="3" t="s">
        <v>23</v>
      </c>
    </row>
    <row r="3129" spans="1:11" ht="42" customHeight="1">
      <c r="A3129" s="2" t="s">
        <v>6581</v>
      </c>
      <c r="B3129" s="2" t="s">
        <v>6581</v>
      </c>
      <c r="C3129" s="2" t="s">
        <v>40</v>
      </c>
      <c r="D3129" s="2" t="s">
        <v>41</v>
      </c>
      <c r="E3129" s="5">
        <v>-28783</v>
      </c>
      <c r="F3129" s="3" t="s">
        <v>198</v>
      </c>
      <c r="G3129" s="3" t="s">
        <v>52</v>
      </c>
      <c r="H3129" s="2" t="s">
        <v>21</v>
      </c>
      <c r="I3129" s="2" t="s">
        <v>6582</v>
      </c>
      <c r="J3129" s="3" t="str">
        <f>HYPERLINK("https://www.boe.es/gazeta/dias/1821/03/11/pdfs/GGB-1821-70.pdf#page=2","Abrir facsímil")</f>
        <v>Abrir facsímil</v>
      </c>
      <c r="K3129" s="3" t="s">
        <v>23</v>
      </c>
    </row>
    <row r="3130" spans="1:11" ht="42" customHeight="1">
      <c r="A3130" s="2" t="s">
        <v>6583</v>
      </c>
      <c r="B3130" s="2" t="s">
        <v>6584</v>
      </c>
      <c r="C3130" s="2" t="s">
        <v>40</v>
      </c>
      <c r="D3130" s="2" t="s">
        <v>41</v>
      </c>
      <c r="E3130" s="5">
        <v>-28758</v>
      </c>
      <c r="F3130" s="3" t="s">
        <v>4115</v>
      </c>
      <c r="G3130" s="3" t="s">
        <v>20</v>
      </c>
      <c r="H3130" s="2" t="s">
        <v>21</v>
      </c>
      <c r="I3130" s="2" t="s">
        <v>6585</v>
      </c>
      <c r="J3130" s="3" t="str">
        <f>HYPERLINK("https://www.boe.es/gazeta/dias/1821/04/05/pdfs/GMD-1821-97.pdf#page=3","Abrir facsímil")</f>
        <v>Abrir facsímil</v>
      </c>
      <c r="K3130" s="3" t="s">
        <v>23</v>
      </c>
    </row>
    <row r="3131" spans="1:11" ht="42" customHeight="1">
      <c r="A3131" s="2" t="s">
        <v>6586</v>
      </c>
      <c r="B3131" s="2" t="s">
        <v>6586</v>
      </c>
      <c r="C3131" s="2" t="s">
        <v>26</v>
      </c>
      <c r="D3131" s="2" t="s">
        <v>27</v>
      </c>
      <c r="E3131" s="5">
        <v>-28710</v>
      </c>
      <c r="F3131" s="3" t="s">
        <v>375</v>
      </c>
      <c r="G3131" s="3" t="s">
        <v>43</v>
      </c>
      <c r="H3131" s="2" t="s">
        <v>21</v>
      </c>
      <c r="I3131" s="2" t="s">
        <v>6587</v>
      </c>
      <c r="J3131" s="3" t="str">
        <f>HYPERLINK("https://www.boe.es/gazeta/dias/1821/05/23/pdfs/GMD-1821-145.pdf#page=1","Abrir facsímil")</f>
        <v>Abrir facsímil</v>
      </c>
      <c r="K3131" s="3" t="s">
        <v>23</v>
      </c>
    </row>
    <row r="3132" spans="1:11" ht="42" customHeight="1">
      <c r="A3132" s="2" t="s">
        <v>6588</v>
      </c>
      <c r="B3132" s="2" t="s">
        <v>6588</v>
      </c>
      <c r="C3132" s="2" t="s">
        <v>17</v>
      </c>
      <c r="D3132" s="2" t="s">
        <v>18</v>
      </c>
      <c r="E3132" s="5">
        <v>-28505</v>
      </c>
      <c r="F3132" s="3" t="s">
        <v>567</v>
      </c>
      <c r="G3132" s="3" t="s">
        <v>52</v>
      </c>
      <c r="H3132" s="2" t="s">
        <v>21</v>
      </c>
      <c r="I3132" s="2" t="s">
        <v>6589</v>
      </c>
      <c r="J3132" s="3" t="str">
        <f>HYPERLINK("https://www.boe.es/gazeta/dias/1821/12/14/pdfs/GMD-1821-357.pdf#page=2","Abrir facsímil")</f>
        <v>Abrir facsímil</v>
      </c>
      <c r="K3132" s="3" t="s">
        <v>23</v>
      </c>
    </row>
    <row r="3133" spans="1:11" ht="42" customHeight="1">
      <c r="A3133" s="2" t="s">
        <v>6590</v>
      </c>
      <c r="B3133" s="2" t="s">
        <v>6590</v>
      </c>
      <c r="C3133" s="2" t="s">
        <v>35</v>
      </c>
      <c r="D3133" s="2" t="s">
        <v>27</v>
      </c>
      <c r="E3133" s="5">
        <v>-28773</v>
      </c>
      <c r="F3133" s="3" t="s">
        <v>1755</v>
      </c>
      <c r="G3133" s="3" t="s">
        <v>20</v>
      </c>
      <c r="H3133" s="2" t="s">
        <v>21</v>
      </c>
      <c r="I3133" s="2" t="s">
        <v>6591</v>
      </c>
      <c r="J3133" s="3" t="str">
        <f>HYPERLINK("https://www.boe.es/gazeta/dias/1821/03/21/pdfs/GMD-1821-80.pdf#page=3","Abrir facsímil")</f>
        <v>Abrir facsímil</v>
      </c>
      <c r="K3133" s="3" t="s">
        <v>23</v>
      </c>
    </row>
    <row r="3134" spans="1:11" ht="42" customHeight="1">
      <c r="A3134" s="2" t="s">
        <v>6592</v>
      </c>
      <c r="B3134" s="2" t="s">
        <v>6593</v>
      </c>
      <c r="C3134" s="2" t="s">
        <v>114</v>
      </c>
      <c r="D3134" s="2" t="s">
        <v>27</v>
      </c>
      <c r="E3134" s="5">
        <v>-28510</v>
      </c>
      <c r="F3134" s="3" t="s">
        <v>83</v>
      </c>
      <c r="G3134" s="3" t="s">
        <v>162</v>
      </c>
      <c r="H3134" s="2" t="s">
        <v>21</v>
      </c>
      <c r="I3134" s="2" t="s">
        <v>6594</v>
      </c>
      <c r="J3134" s="3" t="str">
        <f>HYPERLINK("https://www.boe.es/gazeta/dias/1821/12/09/pdfs/GMD-1821-351.pdf#page=5","Abrir facsímil")</f>
        <v>Abrir facsímil</v>
      </c>
      <c r="K3134" s="3" t="s">
        <v>23</v>
      </c>
    </row>
    <row r="3135" spans="1:11" ht="42" customHeight="1">
      <c r="A3135" s="2" t="s">
        <v>6595</v>
      </c>
      <c r="B3135" s="2" t="s">
        <v>6595</v>
      </c>
      <c r="C3135" s="2" t="s">
        <v>70</v>
      </c>
      <c r="D3135" s="2" t="s">
        <v>27</v>
      </c>
      <c r="E3135" s="5">
        <v>-28501</v>
      </c>
      <c r="F3135" s="3" t="s">
        <v>456</v>
      </c>
      <c r="G3135" s="3" t="s">
        <v>88</v>
      </c>
      <c r="H3135" s="2" t="s">
        <v>21</v>
      </c>
      <c r="I3135" s="2" t="s">
        <v>6596</v>
      </c>
      <c r="J3135" s="3" t="str">
        <f>HYPERLINK("https://www.boe.es/gazeta/dias/1821/12/18/pdfs/GMD-1821-361.pdf#page=4","Abrir facsímil")</f>
        <v>Abrir facsímil</v>
      </c>
      <c r="K3135" s="3" t="s">
        <v>23</v>
      </c>
    </row>
    <row r="3136" spans="1:11" ht="42" customHeight="1">
      <c r="A3136" s="2" t="s">
        <v>6597</v>
      </c>
      <c r="B3136" s="2" t="s">
        <v>6597</v>
      </c>
      <c r="C3136" s="2" t="s">
        <v>40</v>
      </c>
      <c r="D3136" s="2" t="s">
        <v>41</v>
      </c>
      <c r="E3136" s="5">
        <v>-28705</v>
      </c>
      <c r="F3136" s="3" t="s">
        <v>1844</v>
      </c>
      <c r="G3136" s="3" t="s">
        <v>43</v>
      </c>
      <c r="H3136" s="2" t="s">
        <v>21</v>
      </c>
      <c r="I3136" s="2" t="s">
        <v>6598</v>
      </c>
      <c r="J3136" s="3" t="str">
        <f>HYPERLINK("https://www.boe.es/gazeta/dias/1821/05/28/pdfs/GMD-1821-150.pdf#page=1","Abrir facsímil")</f>
        <v>Abrir facsímil</v>
      </c>
      <c r="K3136" s="3" t="s">
        <v>23</v>
      </c>
    </row>
    <row r="3137" spans="1:11" ht="42" customHeight="1">
      <c r="A3137" s="2" t="s">
        <v>6599</v>
      </c>
      <c r="B3137" s="2" t="s">
        <v>6599</v>
      </c>
      <c r="C3137" s="2" t="s">
        <v>174</v>
      </c>
      <c r="D3137" s="2" t="s">
        <v>27</v>
      </c>
      <c r="E3137" s="5">
        <v>-28780</v>
      </c>
      <c r="F3137" s="3" t="s">
        <v>143</v>
      </c>
      <c r="G3137" s="3" t="s">
        <v>20</v>
      </c>
      <c r="H3137" s="2" t="s">
        <v>21</v>
      </c>
      <c r="I3137" s="2" t="s">
        <v>6600</v>
      </c>
      <c r="J3137" s="3" t="str">
        <f>HYPERLINK("https://www.boe.es/gazeta/dias/1821/03/14/pdfs/GMD-1821-73.pdf#page=3","Abrir facsímil")</f>
        <v>Abrir facsímil</v>
      </c>
      <c r="K3137" s="3" t="s">
        <v>23</v>
      </c>
    </row>
    <row r="3138" spans="1:11" ht="42" customHeight="1">
      <c r="A3138" s="2" t="s">
        <v>6601</v>
      </c>
      <c r="B3138" s="2" t="s">
        <v>6601</v>
      </c>
      <c r="C3138" s="2" t="s">
        <v>26</v>
      </c>
      <c r="D3138" s="2" t="s">
        <v>27</v>
      </c>
      <c r="E3138" s="5">
        <v>-28698</v>
      </c>
      <c r="F3138" s="3" t="s">
        <v>2067</v>
      </c>
      <c r="G3138" s="3" t="s">
        <v>3804</v>
      </c>
      <c r="H3138" s="2" t="s">
        <v>21</v>
      </c>
      <c r="I3138" s="2" t="s">
        <v>6602</v>
      </c>
      <c r="J3138" s="3" t="str">
        <f>HYPERLINK("https://www.boe.es/gazeta/dias/1821/06/04/pdfs/GMD-1821-157.pdf#page=2","Abrir facsímil")</f>
        <v>Abrir facsímil</v>
      </c>
      <c r="K3138" s="3" t="s">
        <v>23</v>
      </c>
    </row>
    <row r="3139" spans="1:11" ht="42" customHeight="1">
      <c r="A3139" s="2" t="s">
        <v>6603</v>
      </c>
      <c r="B3139" s="2" t="s">
        <v>6604</v>
      </c>
      <c r="C3139" s="2" t="s">
        <v>40</v>
      </c>
      <c r="D3139" s="2" t="s">
        <v>41</v>
      </c>
      <c r="E3139" s="5">
        <v>-28527</v>
      </c>
      <c r="F3139" s="3" t="s">
        <v>328</v>
      </c>
      <c r="G3139" s="3" t="s">
        <v>6605</v>
      </c>
      <c r="H3139" s="2" t="s">
        <v>21</v>
      </c>
      <c r="I3139" s="2" t="s">
        <v>6606</v>
      </c>
      <c r="J3139" s="3" t="str">
        <f>HYPERLINK("https://www.boe.es/gazeta/dias/1821/11/22/pdfs/GMD-1821-333.pdf#page=2","Abrir facsímil")</f>
        <v>Abrir facsímil</v>
      </c>
      <c r="K3139" s="3" t="s">
        <v>23</v>
      </c>
    </row>
    <row r="3140" spans="1:11" ht="42" customHeight="1">
      <c r="A3140" s="2" t="s">
        <v>6607</v>
      </c>
      <c r="B3140" s="2" t="s">
        <v>6608</v>
      </c>
      <c r="C3140" s="2" t="s">
        <v>40</v>
      </c>
      <c r="D3140" s="2" t="s">
        <v>41</v>
      </c>
      <c r="E3140" s="5">
        <v>-28778</v>
      </c>
      <c r="F3140" s="3" t="s">
        <v>1301</v>
      </c>
      <c r="G3140" s="3" t="s">
        <v>20</v>
      </c>
      <c r="H3140" s="2" t="s">
        <v>21</v>
      </c>
      <c r="I3140" s="2" t="s">
        <v>6609</v>
      </c>
      <c r="J3140" s="3" t="str">
        <f>HYPERLINK("https://www.boe.es/gazeta/dias/1821/03/16/pdfs/GMD-1821-75.pdf#page=3","Abrir facsímil")</f>
        <v>Abrir facsímil</v>
      </c>
      <c r="K3140" s="3" t="s">
        <v>23</v>
      </c>
    </row>
    <row r="3141" spans="1:11" ht="42" customHeight="1">
      <c r="A3141" s="2" t="s">
        <v>6610</v>
      </c>
      <c r="B3141" s="2" t="s">
        <v>6610</v>
      </c>
      <c r="C3141" s="2" t="s">
        <v>40</v>
      </c>
      <c r="D3141" s="2" t="s">
        <v>41</v>
      </c>
      <c r="E3141" s="5">
        <v>-28791</v>
      </c>
      <c r="F3141" s="3" t="s">
        <v>47</v>
      </c>
      <c r="G3141" s="3" t="s">
        <v>20</v>
      </c>
      <c r="H3141" s="2" t="s">
        <v>21</v>
      </c>
      <c r="I3141" s="2" t="s">
        <v>6611</v>
      </c>
      <c r="J3141" s="3" t="str">
        <f>HYPERLINK("https://www.boe.es/gazeta/dias/1821/03/03/pdfs/GGB-1821-62.pdf#page=3","Abrir facsímil")</f>
        <v>Abrir facsímil</v>
      </c>
      <c r="K3141" s="3" t="s">
        <v>23</v>
      </c>
    </row>
    <row r="3142" spans="1:11" ht="42" customHeight="1">
      <c r="A3142" s="2" t="s">
        <v>6612</v>
      </c>
      <c r="B3142" s="2" t="s">
        <v>6612</v>
      </c>
      <c r="C3142" s="2" t="s">
        <v>40</v>
      </c>
      <c r="D3142" s="2" t="s">
        <v>41</v>
      </c>
      <c r="E3142" s="5">
        <v>-28787</v>
      </c>
      <c r="F3142" s="3" t="s">
        <v>486</v>
      </c>
      <c r="G3142" s="3" t="s">
        <v>52</v>
      </c>
      <c r="H3142" s="2" t="s">
        <v>21</v>
      </c>
      <c r="I3142" s="2" t="s">
        <v>6613</v>
      </c>
      <c r="J3142" s="3" t="str">
        <f>HYPERLINK("https://www.boe.es/gazeta/dias/1821/03/07/pdfs/GGB-1821-66.pdf#page=2","Abrir facsímil")</f>
        <v>Abrir facsímil</v>
      </c>
      <c r="K3142" s="3" t="s">
        <v>23</v>
      </c>
    </row>
    <row r="3143" spans="1:11" ht="42" customHeight="1">
      <c r="A3143" s="2" t="s">
        <v>6610</v>
      </c>
      <c r="B3143" s="2" t="s">
        <v>6610</v>
      </c>
      <c r="C3143" s="2" t="s">
        <v>17</v>
      </c>
      <c r="D3143" s="2" t="s">
        <v>18</v>
      </c>
      <c r="E3143" s="5">
        <v>-28777</v>
      </c>
      <c r="F3143" s="3" t="s">
        <v>1004</v>
      </c>
      <c r="G3143" s="3" t="s">
        <v>20</v>
      </c>
      <c r="H3143" s="2" t="s">
        <v>21</v>
      </c>
      <c r="I3143" s="2" t="s">
        <v>6614</v>
      </c>
      <c r="J3143" s="3" t="str">
        <f>HYPERLINK("https://www.boe.es/gazeta/dias/1821/03/17/pdfs/GMD-1821-76.pdf#page=3","Abrir facsímil")</f>
        <v>Abrir facsímil</v>
      </c>
      <c r="K3143" s="3" t="s">
        <v>23</v>
      </c>
    </row>
    <row r="3144" spans="1:11" ht="42" customHeight="1">
      <c r="A3144" s="2" t="s">
        <v>6610</v>
      </c>
      <c r="B3144" s="2" t="s">
        <v>6610</v>
      </c>
      <c r="C3144" s="2" t="s">
        <v>26</v>
      </c>
      <c r="D3144" s="2" t="s">
        <v>27</v>
      </c>
      <c r="E3144" s="5">
        <v>-28774</v>
      </c>
      <c r="F3144" s="3" t="s">
        <v>1221</v>
      </c>
      <c r="G3144" s="3" t="s">
        <v>88</v>
      </c>
      <c r="H3144" s="2" t="s">
        <v>21</v>
      </c>
      <c r="I3144" s="2" t="s">
        <v>6615</v>
      </c>
      <c r="J3144" s="3" t="str">
        <f>HYPERLINK("https://www.boe.es/gazeta/dias/1821/03/20/pdfs/GMD-1821-79.pdf#page=4","Abrir facsímil")</f>
        <v>Abrir facsímil</v>
      </c>
      <c r="K3144" s="3" t="s">
        <v>23</v>
      </c>
    </row>
    <row r="3145" spans="1:11" ht="42" customHeight="1">
      <c r="A3145" s="2" t="s">
        <v>6610</v>
      </c>
      <c r="B3145" s="2" t="s">
        <v>6610</v>
      </c>
      <c r="C3145" s="2" t="s">
        <v>17</v>
      </c>
      <c r="D3145" s="2" t="s">
        <v>18</v>
      </c>
      <c r="E3145" s="5">
        <v>-28747</v>
      </c>
      <c r="F3145" s="3" t="s">
        <v>1016</v>
      </c>
      <c r="G3145" s="3" t="s">
        <v>20</v>
      </c>
      <c r="H3145" s="2" t="s">
        <v>21</v>
      </c>
      <c r="I3145" s="2" t="s">
        <v>6616</v>
      </c>
      <c r="J3145" s="3" t="str">
        <f>HYPERLINK("https://www.boe.es/gazeta/dias/1821/04/16/pdfs/GMD-1821-108.pdf#page=3","Abrir facsímil")</f>
        <v>Abrir facsímil</v>
      </c>
      <c r="K3145" s="3" t="s">
        <v>23</v>
      </c>
    </row>
    <row r="3146" spans="1:11" ht="42" customHeight="1">
      <c r="A3146" s="2" t="s">
        <v>6610</v>
      </c>
      <c r="B3146" s="2" t="s">
        <v>6610</v>
      </c>
      <c r="C3146" s="2" t="s">
        <v>26</v>
      </c>
      <c r="D3146" s="2" t="s">
        <v>27</v>
      </c>
      <c r="E3146" s="5">
        <v>-28746</v>
      </c>
      <c r="F3146" s="3" t="s">
        <v>687</v>
      </c>
      <c r="G3146" s="3" t="s">
        <v>162</v>
      </c>
      <c r="H3146" s="2" t="s">
        <v>21</v>
      </c>
      <c r="I3146" s="2" t="s">
        <v>6617</v>
      </c>
      <c r="J3146" s="3" t="str">
        <f>HYPERLINK("https://www.boe.es/gazeta/dias/1821/04/17/pdfs/GMD-1821-109.pdf#page=5","Abrir facsímil")</f>
        <v>Abrir facsímil</v>
      </c>
      <c r="K3146" s="3" t="s">
        <v>23</v>
      </c>
    </row>
    <row r="3147" spans="1:11" ht="42" customHeight="1">
      <c r="A3147" s="2" t="s">
        <v>6610</v>
      </c>
      <c r="B3147" s="2" t="s">
        <v>6610</v>
      </c>
      <c r="C3147" s="2" t="s">
        <v>40</v>
      </c>
      <c r="D3147" s="2" t="s">
        <v>41</v>
      </c>
      <c r="E3147" s="5">
        <v>-28744</v>
      </c>
      <c r="F3147" s="3" t="s">
        <v>834</v>
      </c>
      <c r="G3147" s="3" t="s">
        <v>20</v>
      </c>
      <c r="H3147" s="2" t="s">
        <v>21</v>
      </c>
      <c r="I3147" s="2" t="s">
        <v>6618</v>
      </c>
      <c r="J3147" s="3" t="str">
        <f>HYPERLINK("https://www.boe.es/gazeta/dias/1821/04/19/pdfs/GMD-1821-111.pdf#page=3","Abrir facsímil")</f>
        <v>Abrir facsímil</v>
      </c>
      <c r="K3147" s="3" t="s">
        <v>23</v>
      </c>
    </row>
    <row r="3148" spans="1:11" ht="42" customHeight="1">
      <c r="A3148" s="2" t="s">
        <v>6610</v>
      </c>
      <c r="B3148" s="2" t="s">
        <v>6610</v>
      </c>
      <c r="C3148" s="2" t="s">
        <v>40</v>
      </c>
      <c r="D3148" s="2" t="s">
        <v>41</v>
      </c>
      <c r="E3148" s="5">
        <v>-28736</v>
      </c>
      <c r="F3148" s="3" t="s">
        <v>464</v>
      </c>
      <c r="G3148" s="3" t="s">
        <v>20</v>
      </c>
      <c r="H3148" s="2" t="s">
        <v>21</v>
      </c>
      <c r="I3148" s="2" t="s">
        <v>6619</v>
      </c>
      <c r="J3148" s="3" t="str">
        <f>HYPERLINK("https://www.boe.es/gazeta/dias/1821/04/27/pdfs/GMD-1821-119.pdf#page=3","Abrir facsímil")</f>
        <v>Abrir facsímil</v>
      </c>
      <c r="K3148" s="3" t="s">
        <v>23</v>
      </c>
    </row>
    <row r="3149" spans="1:11" ht="42" customHeight="1">
      <c r="A3149" s="2" t="s">
        <v>6610</v>
      </c>
      <c r="B3149" s="2" t="s">
        <v>6610</v>
      </c>
      <c r="C3149" s="2" t="s">
        <v>17</v>
      </c>
      <c r="D3149" s="2" t="s">
        <v>18</v>
      </c>
      <c r="E3149" s="5">
        <v>-28729</v>
      </c>
      <c r="F3149" s="3" t="s">
        <v>838</v>
      </c>
      <c r="G3149" s="3" t="s">
        <v>52</v>
      </c>
      <c r="H3149" s="2" t="s">
        <v>21</v>
      </c>
      <c r="I3149" s="2" t="s">
        <v>6620</v>
      </c>
      <c r="J3149" s="3" t="str">
        <f>HYPERLINK("https://www.boe.es/gazeta/dias/1821/05/04/pdfs/GMD-1821-126.pdf#page=2","Abrir facsímil")</f>
        <v>Abrir facsímil</v>
      </c>
      <c r="K3149" s="3" t="s">
        <v>23</v>
      </c>
    </row>
    <row r="3150" spans="1:11" ht="42" customHeight="1">
      <c r="A3150" s="2" t="s">
        <v>6610</v>
      </c>
      <c r="B3150" s="2" t="s">
        <v>6610</v>
      </c>
      <c r="C3150" s="2" t="s">
        <v>26</v>
      </c>
      <c r="D3150" s="2" t="s">
        <v>27</v>
      </c>
      <c r="E3150" s="5">
        <v>-28722</v>
      </c>
      <c r="F3150" s="3" t="s">
        <v>623</v>
      </c>
      <c r="G3150" s="3" t="s">
        <v>20</v>
      </c>
      <c r="H3150" s="2" t="s">
        <v>21</v>
      </c>
      <c r="I3150" s="2" t="s">
        <v>6621</v>
      </c>
      <c r="J3150" s="3" t="str">
        <f>HYPERLINK("https://www.boe.es/gazeta/dias/1821/05/11/pdfs/GMD-1821-133.pdf#page=3","Abrir facsímil")</f>
        <v>Abrir facsímil</v>
      </c>
      <c r="K3150" s="3" t="s">
        <v>23</v>
      </c>
    </row>
    <row r="3151" spans="1:11" ht="42" customHeight="1">
      <c r="A3151" s="2" t="s">
        <v>6610</v>
      </c>
      <c r="B3151" s="2" t="s">
        <v>6610</v>
      </c>
      <c r="C3151" s="2" t="s">
        <v>35</v>
      </c>
      <c r="D3151" s="2" t="s">
        <v>27</v>
      </c>
      <c r="E3151" s="5">
        <v>-28717</v>
      </c>
      <c r="F3151" s="3" t="s">
        <v>1044</v>
      </c>
      <c r="G3151" s="3" t="s">
        <v>52</v>
      </c>
      <c r="H3151" s="2" t="s">
        <v>21</v>
      </c>
      <c r="I3151" s="2" t="s">
        <v>6622</v>
      </c>
      <c r="J3151" s="3" t="str">
        <f>HYPERLINK("https://www.boe.es/gazeta/dias/1821/05/16/pdfs/GMD-1821-138.pdf#page=2","Abrir facsímil")</f>
        <v>Abrir facsímil</v>
      </c>
      <c r="K3151" s="3" t="s">
        <v>23</v>
      </c>
    </row>
    <row r="3152" spans="1:11" ht="42" customHeight="1">
      <c r="A3152" s="2" t="s">
        <v>6610</v>
      </c>
      <c r="B3152" s="2" t="s">
        <v>6610</v>
      </c>
      <c r="C3152" s="2" t="s">
        <v>114</v>
      </c>
      <c r="D3152" s="2" t="s">
        <v>27</v>
      </c>
      <c r="E3152" s="5">
        <v>-28709</v>
      </c>
      <c r="F3152" s="3" t="s">
        <v>1434</v>
      </c>
      <c r="G3152" s="3" t="s">
        <v>1435</v>
      </c>
      <c r="H3152" s="2" t="s">
        <v>21</v>
      </c>
      <c r="I3152" s="2" t="s">
        <v>6623</v>
      </c>
      <c r="J3152" s="3" t="str">
        <f>HYPERLINK("https://www.boe.es/gazeta/dias/1821/05/24/pdfs/GMD-1821-146.pdf#page=2","Abrir facsímil")</f>
        <v>Abrir facsímil</v>
      </c>
      <c r="K3152" s="3" t="s">
        <v>23</v>
      </c>
    </row>
    <row r="3153" spans="1:11" ht="42" customHeight="1">
      <c r="A3153" s="2" t="s">
        <v>6610</v>
      </c>
      <c r="B3153" s="2" t="s">
        <v>6610</v>
      </c>
      <c r="C3153" s="2" t="s">
        <v>26</v>
      </c>
      <c r="D3153" s="2" t="s">
        <v>27</v>
      </c>
      <c r="E3153" s="5">
        <v>-28693</v>
      </c>
      <c r="F3153" s="3" t="s">
        <v>74</v>
      </c>
      <c r="G3153" s="3" t="s">
        <v>88</v>
      </c>
      <c r="H3153" s="2" t="s">
        <v>21</v>
      </c>
      <c r="I3153" s="2" t="s">
        <v>6624</v>
      </c>
      <c r="J3153" s="3" t="str">
        <f>HYPERLINK("https://www.boe.es/gazeta/dias/1821/06/09/pdfs/GMD-1821-162.pdf#page=4","Abrir facsímil")</f>
        <v>Abrir facsímil</v>
      </c>
      <c r="K3153" s="3" t="s">
        <v>23</v>
      </c>
    </row>
    <row r="3154" spans="1:11" ht="42" customHeight="1">
      <c r="A3154" s="2" t="s">
        <v>6610</v>
      </c>
      <c r="B3154" s="2" t="s">
        <v>6610</v>
      </c>
      <c r="C3154" s="2" t="s">
        <v>35</v>
      </c>
      <c r="D3154" s="2" t="s">
        <v>27</v>
      </c>
      <c r="E3154" s="5">
        <v>-28687</v>
      </c>
      <c r="F3154" s="3" t="s">
        <v>851</v>
      </c>
      <c r="G3154" s="3" t="s">
        <v>20</v>
      </c>
      <c r="H3154" s="2" t="s">
        <v>21</v>
      </c>
      <c r="I3154" s="2" t="s">
        <v>6625</v>
      </c>
      <c r="J3154" s="3" t="str">
        <f>HYPERLINK("https://www.boe.es/gazeta/dias/1821/06/15/pdfs/GMD-1821-168.pdf#page=3","Abrir facsímil")</f>
        <v>Abrir facsímil</v>
      </c>
      <c r="K3154" s="3" t="s">
        <v>23</v>
      </c>
    </row>
    <row r="3155" spans="1:11" ht="42" customHeight="1">
      <c r="A3155" s="2" t="s">
        <v>6610</v>
      </c>
      <c r="B3155" s="2" t="s">
        <v>6610</v>
      </c>
      <c r="C3155" s="2" t="s">
        <v>26</v>
      </c>
      <c r="D3155" s="2" t="s">
        <v>27</v>
      </c>
      <c r="E3155" s="5">
        <v>-28687</v>
      </c>
      <c r="F3155" s="3" t="s">
        <v>851</v>
      </c>
      <c r="G3155" s="3" t="s">
        <v>88</v>
      </c>
      <c r="H3155" s="2" t="s">
        <v>21</v>
      </c>
      <c r="I3155" s="2" t="s">
        <v>6626</v>
      </c>
      <c r="J3155" s="3" t="str">
        <f>HYPERLINK("https://www.boe.es/gazeta/dias/1821/06/15/pdfs/GMD-1821-168.pdf#page=4","Abrir facsímil")</f>
        <v>Abrir facsímil</v>
      </c>
      <c r="K3155" s="3" t="s">
        <v>23</v>
      </c>
    </row>
    <row r="3156" spans="1:11" ht="42" customHeight="1">
      <c r="A3156" s="2" t="s">
        <v>6610</v>
      </c>
      <c r="B3156" s="2" t="s">
        <v>6610</v>
      </c>
      <c r="C3156" s="2" t="s">
        <v>35</v>
      </c>
      <c r="D3156" s="2" t="s">
        <v>27</v>
      </c>
      <c r="E3156" s="5">
        <v>-28686</v>
      </c>
      <c r="F3156" s="3" t="s">
        <v>115</v>
      </c>
      <c r="G3156" s="3" t="s">
        <v>52</v>
      </c>
      <c r="H3156" s="2" t="s">
        <v>21</v>
      </c>
      <c r="I3156" s="2" t="s">
        <v>6627</v>
      </c>
      <c r="J3156" s="3" t="str">
        <f>HYPERLINK("https://www.boe.es/gazeta/dias/1821/06/16/pdfs/GMD-1821-169.pdf#page=2","Abrir facsímil")</f>
        <v>Abrir facsímil</v>
      </c>
      <c r="K3156" s="3" t="s">
        <v>23</v>
      </c>
    </row>
    <row r="3157" spans="1:11" ht="42" customHeight="1">
      <c r="A3157" s="2" t="s">
        <v>6610</v>
      </c>
      <c r="B3157" s="2" t="s">
        <v>6610</v>
      </c>
      <c r="C3157" s="2" t="s">
        <v>40</v>
      </c>
      <c r="D3157" s="2" t="s">
        <v>41</v>
      </c>
      <c r="E3157" s="5">
        <v>-28577</v>
      </c>
      <c r="F3157" s="3" t="s">
        <v>858</v>
      </c>
      <c r="G3157" s="3" t="s">
        <v>20</v>
      </c>
      <c r="H3157" s="2" t="s">
        <v>21</v>
      </c>
      <c r="I3157" s="2" t="s">
        <v>6628</v>
      </c>
      <c r="J3157" s="3" t="str">
        <f>HYPERLINK("https://www.boe.es/gazeta/dias/1821/10/03/pdfs/GMD-1821-282.pdf#page=3","Abrir facsímil")</f>
        <v>Abrir facsímil</v>
      </c>
      <c r="K3157" s="3" t="s">
        <v>23</v>
      </c>
    </row>
    <row r="3158" spans="1:11" ht="42" customHeight="1">
      <c r="A3158" s="2" t="s">
        <v>6610</v>
      </c>
      <c r="B3158" s="2" t="s">
        <v>6610</v>
      </c>
      <c r="C3158" s="2" t="s">
        <v>35</v>
      </c>
      <c r="D3158" s="2" t="s">
        <v>27</v>
      </c>
      <c r="E3158" s="5">
        <v>-28571</v>
      </c>
      <c r="F3158" s="3" t="s">
        <v>482</v>
      </c>
      <c r="G3158" s="3" t="s">
        <v>162</v>
      </c>
      <c r="H3158" s="2" t="s">
        <v>21</v>
      </c>
      <c r="I3158" s="2" t="s">
        <v>6629</v>
      </c>
      <c r="J3158" s="3" t="str">
        <f>HYPERLINK("https://www.boe.es/gazeta/dias/1821/10/09/pdfs/GMD-1821-288.pdf#page=5","Abrir facsímil")</f>
        <v>Abrir facsímil</v>
      </c>
      <c r="K3158" s="3" t="s">
        <v>23</v>
      </c>
    </row>
    <row r="3159" spans="1:11" ht="42" customHeight="1">
      <c r="A3159" s="2" t="s">
        <v>6610</v>
      </c>
      <c r="B3159" s="2" t="s">
        <v>6610</v>
      </c>
      <c r="C3159" s="2" t="s">
        <v>35</v>
      </c>
      <c r="D3159" s="2" t="s">
        <v>27</v>
      </c>
      <c r="E3159" s="5">
        <v>-28570</v>
      </c>
      <c r="F3159" s="3" t="s">
        <v>2300</v>
      </c>
      <c r="G3159" s="3" t="s">
        <v>20</v>
      </c>
      <c r="H3159" s="2" t="s">
        <v>21</v>
      </c>
      <c r="I3159" s="2" t="s">
        <v>6630</v>
      </c>
      <c r="J3159" s="3" t="str">
        <f>HYPERLINK("https://www.boe.es/gazeta/dias/1821/10/10/pdfs/GMD-1821-289.pdf#page=3","Abrir facsímil")</f>
        <v>Abrir facsímil</v>
      </c>
      <c r="K3159" s="3" t="s">
        <v>23</v>
      </c>
    </row>
    <row r="3160" spans="1:11" ht="42" customHeight="1">
      <c r="A3160" s="2" t="s">
        <v>6610</v>
      </c>
      <c r="B3160" s="2" t="s">
        <v>6610</v>
      </c>
      <c r="C3160" s="2" t="s">
        <v>40</v>
      </c>
      <c r="D3160" s="2" t="s">
        <v>41</v>
      </c>
      <c r="E3160" s="5">
        <v>-28565</v>
      </c>
      <c r="F3160" s="3" t="s">
        <v>326</v>
      </c>
      <c r="G3160" s="3" t="s">
        <v>52</v>
      </c>
      <c r="H3160" s="2" t="s">
        <v>21</v>
      </c>
      <c r="I3160" s="2" t="s">
        <v>6631</v>
      </c>
      <c r="J3160" s="3" t="str">
        <f>HYPERLINK("https://www.boe.es/gazeta/dias/1821/10/15/pdfs/GMD-1821-294.pdf#page=2","Abrir facsímil")</f>
        <v>Abrir facsímil</v>
      </c>
      <c r="K3160" s="3" t="s">
        <v>23</v>
      </c>
    </row>
    <row r="3161" spans="1:11" ht="42" customHeight="1">
      <c r="A3161" s="2" t="s">
        <v>6610</v>
      </c>
      <c r="B3161" s="2" t="s">
        <v>6610</v>
      </c>
      <c r="C3161" s="2" t="s">
        <v>17</v>
      </c>
      <c r="D3161" s="2" t="s">
        <v>18</v>
      </c>
      <c r="E3161" s="5">
        <v>-28563</v>
      </c>
      <c r="F3161" s="3" t="s">
        <v>118</v>
      </c>
      <c r="G3161" s="3" t="s">
        <v>88</v>
      </c>
      <c r="H3161" s="2" t="s">
        <v>21</v>
      </c>
      <c r="I3161" s="2" t="s">
        <v>6632</v>
      </c>
      <c r="J3161" s="3" t="str">
        <f>HYPERLINK("https://www.boe.es/gazeta/dias/1821/10/17/pdfs/GMD-1821-296.pdf#page=4","Abrir facsímil")</f>
        <v>Abrir facsímil</v>
      </c>
      <c r="K3161" s="3" t="s">
        <v>23</v>
      </c>
    </row>
    <row r="3162" spans="1:11" ht="42" customHeight="1">
      <c r="A3162" s="2" t="s">
        <v>6610</v>
      </c>
      <c r="B3162" s="2" t="s">
        <v>6610</v>
      </c>
      <c r="C3162" s="2" t="s">
        <v>40</v>
      </c>
      <c r="D3162" s="2" t="s">
        <v>41</v>
      </c>
      <c r="E3162" s="5">
        <v>-28562</v>
      </c>
      <c r="F3162" s="3" t="s">
        <v>3093</v>
      </c>
      <c r="G3162" s="3" t="s">
        <v>162</v>
      </c>
      <c r="H3162" s="2" t="s">
        <v>21</v>
      </c>
      <c r="I3162" s="2" t="s">
        <v>6633</v>
      </c>
      <c r="J3162" s="3" t="str">
        <f>HYPERLINK("https://www.boe.es/gazeta/dias/1821/10/18/pdfs/GMD-1821-297.pdf#page=5","Abrir facsímil")</f>
        <v>Abrir facsímil</v>
      </c>
      <c r="K3162" s="3" t="s">
        <v>23</v>
      </c>
    </row>
    <row r="3163" spans="1:11" ht="42" customHeight="1">
      <c r="A3163" s="2" t="s">
        <v>6610</v>
      </c>
      <c r="B3163" s="2" t="s">
        <v>6610</v>
      </c>
      <c r="C3163" s="2" t="s">
        <v>17</v>
      </c>
      <c r="D3163" s="2" t="s">
        <v>18</v>
      </c>
      <c r="E3163" s="5">
        <v>-28560</v>
      </c>
      <c r="F3163" s="3" t="s">
        <v>363</v>
      </c>
      <c r="G3163" s="3" t="s">
        <v>88</v>
      </c>
      <c r="H3163" s="2" t="s">
        <v>21</v>
      </c>
      <c r="I3163" s="2" t="s">
        <v>6634</v>
      </c>
      <c r="J3163" s="3" t="str">
        <f>HYPERLINK("https://www.boe.es/gazeta/dias/1821/10/20/pdfs/GMD-1821-299.pdf#page=4","Abrir facsímil")</f>
        <v>Abrir facsímil</v>
      </c>
      <c r="K3163" s="3" t="s">
        <v>23</v>
      </c>
    </row>
    <row r="3164" spans="1:11" ht="42" customHeight="1">
      <c r="A3164" s="2" t="s">
        <v>6610</v>
      </c>
      <c r="B3164" s="2" t="s">
        <v>6610</v>
      </c>
      <c r="C3164" s="2" t="s">
        <v>35</v>
      </c>
      <c r="D3164" s="2" t="s">
        <v>27</v>
      </c>
      <c r="E3164" s="5">
        <v>-28560</v>
      </c>
      <c r="F3164" s="3" t="s">
        <v>363</v>
      </c>
      <c r="G3164" s="3" t="s">
        <v>162</v>
      </c>
      <c r="H3164" s="2" t="s">
        <v>21</v>
      </c>
      <c r="I3164" s="2" t="s">
        <v>6635</v>
      </c>
      <c r="J3164" s="3" t="str">
        <f>HYPERLINK("https://www.boe.es/gazeta/dias/1821/10/20/pdfs/GMD-1821-299.pdf#page=5","Abrir facsímil")</f>
        <v>Abrir facsímil</v>
      </c>
      <c r="K3164" s="3" t="s">
        <v>23</v>
      </c>
    </row>
    <row r="3165" spans="1:11" ht="42" customHeight="1">
      <c r="A3165" s="2" t="s">
        <v>6610</v>
      </c>
      <c r="B3165" s="2" t="s">
        <v>6610</v>
      </c>
      <c r="C3165" s="2" t="s">
        <v>26</v>
      </c>
      <c r="D3165" s="2" t="s">
        <v>27</v>
      </c>
      <c r="E3165" s="5">
        <v>-28531</v>
      </c>
      <c r="F3165" s="3" t="s">
        <v>365</v>
      </c>
      <c r="G3165" s="3" t="s">
        <v>88</v>
      </c>
      <c r="H3165" s="2" t="s">
        <v>21</v>
      </c>
      <c r="I3165" s="2" t="s">
        <v>6636</v>
      </c>
      <c r="J3165" s="3" t="str">
        <f>HYPERLINK("https://www.boe.es/gazeta/dias/1821/11/18/pdfs/GMD-1821-329.pdf#page=4","Abrir facsímil")</f>
        <v>Abrir facsímil</v>
      </c>
      <c r="K3165" s="3" t="s">
        <v>23</v>
      </c>
    </row>
    <row r="3166" spans="1:11" ht="42" customHeight="1">
      <c r="A3166" s="2" t="s">
        <v>6610</v>
      </c>
      <c r="B3166" s="2" t="s">
        <v>6610</v>
      </c>
      <c r="C3166" s="2" t="s">
        <v>26</v>
      </c>
      <c r="D3166" s="2" t="s">
        <v>27</v>
      </c>
      <c r="E3166" s="5">
        <v>-28529</v>
      </c>
      <c r="F3166" s="3" t="s">
        <v>525</v>
      </c>
      <c r="G3166" s="3" t="s">
        <v>20</v>
      </c>
      <c r="H3166" s="2" t="s">
        <v>21</v>
      </c>
      <c r="I3166" s="2" t="s">
        <v>6637</v>
      </c>
      <c r="J3166" s="3" t="str">
        <f>HYPERLINK("https://www.boe.es/gazeta/dias/1821/11/20/pdfs/GMD-1821-331.pdf#page=3","Abrir facsímil")</f>
        <v>Abrir facsímil</v>
      </c>
      <c r="K3166" s="3" t="s">
        <v>23</v>
      </c>
    </row>
    <row r="3167" spans="1:11" ht="42" customHeight="1">
      <c r="A3167" s="2" t="s">
        <v>6610</v>
      </c>
      <c r="B3167" s="2" t="s">
        <v>6610</v>
      </c>
      <c r="C3167" s="2" t="s">
        <v>40</v>
      </c>
      <c r="D3167" s="2" t="s">
        <v>41</v>
      </c>
      <c r="E3167" s="5">
        <v>-28525</v>
      </c>
      <c r="F3167" s="3" t="s">
        <v>186</v>
      </c>
      <c r="G3167" s="3" t="s">
        <v>52</v>
      </c>
      <c r="H3167" s="2" t="s">
        <v>21</v>
      </c>
      <c r="I3167" s="2" t="s">
        <v>6638</v>
      </c>
      <c r="J3167" s="3" t="str">
        <f>HYPERLINK("https://www.boe.es/gazeta/dias/1821/11/24/pdfs/GMD-1821-335.pdf#page=2","Abrir facsímil")</f>
        <v>Abrir facsímil</v>
      </c>
      <c r="K3167" s="3" t="s">
        <v>23</v>
      </c>
    </row>
    <row r="3168" spans="1:11" ht="42" customHeight="1">
      <c r="A3168" s="2" t="s">
        <v>6610</v>
      </c>
      <c r="B3168" s="2" t="s">
        <v>6610</v>
      </c>
      <c r="C3168" s="2" t="s">
        <v>26</v>
      </c>
      <c r="D3168" s="2" t="s">
        <v>27</v>
      </c>
      <c r="E3168" s="5">
        <v>-28519</v>
      </c>
      <c r="F3168" s="3" t="s">
        <v>880</v>
      </c>
      <c r="G3168" s="3" t="s">
        <v>3835</v>
      </c>
      <c r="H3168" s="2" t="s">
        <v>21</v>
      </c>
      <c r="I3168" s="2" t="s">
        <v>6639</v>
      </c>
      <c r="J3168" s="3" t="str">
        <f>HYPERLINK("https://www.boe.es/gazeta/dias/1821/11/30/pdfs/GMD-1821-342.pdf#page=3","Abrir facsímil")</f>
        <v>Abrir facsímil</v>
      </c>
      <c r="K3168" s="3" t="s">
        <v>23</v>
      </c>
    </row>
    <row r="3169" spans="1:11" ht="42" customHeight="1">
      <c r="A3169" s="2" t="s">
        <v>6610</v>
      </c>
      <c r="B3169" s="2" t="s">
        <v>6610</v>
      </c>
      <c r="C3169" s="2" t="s">
        <v>26</v>
      </c>
      <c r="D3169" s="2" t="s">
        <v>27</v>
      </c>
      <c r="E3169" s="5">
        <v>-28514</v>
      </c>
      <c r="F3169" s="3" t="s">
        <v>103</v>
      </c>
      <c r="G3169" s="3" t="s">
        <v>20</v>
      </c>
      <c r="H3169" s="2" t="s">
        <v>21</v>
      </c>
      <c r="I3169" s="2" t="s">
        <v>6640</v>
      </c>
      <c r="J3169" s="3" t="str">
        <f>HYPERLINK("https://www.boe.es/gazeta/dias/1821/12/05/pdfs/GMD-1821-347.pdf#page=3","Abrir facsímil")</f>
        <v>Abrir facsímil</v>
      </c>
      <c r="K3169" s="3" t="s">
        <v>23</v>
      </c>
    </row>
    <row r="3170" spans="1:11" ht="42" customHeight="1">
      <c r="A3170" s="2" t="s">
        <v>6610</v>
      </c>
      <c r="B3170" s="2" t="s">
        <v>6610</v>
      </c>
      <c r="C3170" s="2" t="s">
        <v>26</v>
      </c>
      <c r="D3170" s="2" t="s">
        <v>27</v>
      </c>
      <c r="E3170" s="5">
        <v>-28506</v>
      </c>
      <c r="F3170" s="3" t="s">
        <v>1095</v>
      </c>
      <c r="G3170" s="3" t="s">
        <v>20</v>
      </c>
      <c r="H3170" s="2" t="s">
        <v>21</v>
      </c>
      <c r="I3170" s="2" t="s">
        <v>6641</v>
      </c>
      <c r="J3170" s="3" t="str">
        <f>HYPERLINK("https://www.boe.es/gazeta/dias/1821/12/13/pdfs/GMD-1821-356.pdf#page=3","Abrir facsímil")</f>
        <v>Abrir facsímil</v>
      </c>
      <c r="K3170" s="3" t="s">
        <v>23</v>
      </c>
    </row>
    <row r="3171" spans="1:11" ht="42" customHeight="1">
      <c r="A3171" s="2" t="s">
        <v>6610</v>
      </c>
      <c r="B3171" s="2" t="s">
        <v>6610</v>
      </c>
      <c r="C3171" s="2" t="s">
        <v>70</v>
      </c>
      <c r="D3171" s="2" t="s">
        <v>27</v>
      </c>
      <c r="E3171" s="5">
        <v>-28501</v>
      </c>
      <c r="F3171" s="3" t="s">
        <v>456</v>
      </c>
      <c r="G3171" s="3" t="s">
        <v>457</v>
      </c>
      <c r="H3171" s="2" t="s">
        <v>21</v>
      </c>
      <c r="I3171" s="2" t="s">
        <v>6642</v>
      </c>
      <c r="J3171" s="3" t="str">
        <f>HYPERLINK("https://www.boe.es/gazeta/dias/1821/12/18/pdfs/GMD-1821-361.pdf#page=5","Abrir facsímil")</f>
        <v>Abrir facsímil</v>
      </c>
      <c r="K3171" s="3" t="s">
        <v>23</v>
      </c>
    </row>
    <row r="3172" spans="1:11" ht="42" customHeight="1">
      <c r="A3172" s="2" t="s">
        <v>6610</v>
      </c>
      <c r="B3172" s="2" t="s">
        <v>6610</v>
      </c>
      <c r="C3172" s="2" t="s">
        <v>70</v>
      </c>
      <c r="D3172" s="2" t="s">
        <v>27</v>
      </c>
      <c r="E3172" s="5">
        <v>-28500</v>
      </c>
      <c r="F3172" s="3" t="s">
        <v>298</v>
      </c>
      <c r="G3172" s="3" t="s">
        <v>299</v>
      </c>
      <c r="H3172" s="2" t="s">
        <v>21</v>
      </c>
      <c r="I3172" s="2" t="s">
        <v>6643</v>
      </c>
      <c r="J3172" s="3" t="str">
        <f>HYPERLINK("https://www.boe.es/gazeta/dias/1821/12/19/pdfs/GMD-1821-362.pdf#page=4","Abrir facsímil")</f>
        <v>Abrir facsímil</v>
      </c>
      <c r="K3172" s="3" t="s">
        <v>23</v>
      </c>
    </row>
    <row r="3173" spans="1:11" ht="42" customHeight="1">
      <c r="A3173" s="2" t="s">
        <v>6610</v>
      </c>
      <c r="B3173" s="2" t="s">
        <v>6610</v>
      </c>
      <c r="C3173" s="2" t="s">
        <v>174</v>
      </c>
      <c r="D3173" s="2" t="s">
        <v>27</v>
      </c>
      <c r="E3173" s="5">
        <v>-28499</v>
      </c>
      <c r="F3173" s="3" t="s">
        <v>954</v>
      </c>
      <c r="G3173" s="3" t="s">
        <v>20</v>
      </c>
      <c r="H3173" s="2" t="s">
        <v>21</v>
      </c>
      <c r="I3173" s="2" t="s">
        <v>6644</v>
      </c>
      <c r="J3173" s="3" t="str">
        <f>HYPERLINK("https://www.boe.es/gazeta/dias/1821/12/20/pdfs/GMD-1821-363.pdf#page=3","Abrir facsímil")</f>
        <v>Abrir facsímil</v>
      </c>
      <c r="K3173" s="3" t="s">
        <v>23</v>
      </c>
    </row>
    <row r="3174" spans="1:11" ht="42" customHeight="1">
      <c r="A3174" s="2" t="s">
        <v>6610</v>
      </c>
      <c r="B3174" s="2" t="s">
        <v>6610</v>
      </c>
      <c r="C3174" s="2" t="s">
        <v>70</v>
      </c>
      <c r="D3174" s="2" t="s">
        <v>27</v>
      </c>
      <c r="E3174" s="5">
        <v>-28497</v>
      </c>
      <c r="F3174" s="3" t="s">
        <v>225</v>
      </c>
      <c r="G3174" s="3" t="s">
        <v>52</v>
      </c>
      <c r="H3174" s="2" t="s">
        <v>21</v>
      </c>
      <c r="I3174" s="2" t="s">
        <v>6645</v>
      </c>
      <c r="J3174" s="3" t="str">
        <f>HYPERLINK("https://www.boe.es/gazeta/dias/1821/12/22/pdfs/GMD-1821-365.pdf#page=2","Abrir facsímil")</f>
        <v>Abrir facsímil</v>
      </c>
      <c r="K3174" s="3" t="s">
        <v>23</v>
      </c>
    </row>
    <row r="3175" spans="1:11" ht="42" customHeight="1">
      <c r="A3175" s="2" t="s">
        <v>6646</v>
      </c>
      <c r="B3175" s="2" t="s">
        <v>6647</v>
      </c>
      <c r="C3175" s="2" t="s">
        <v>17</v>
      </c>
      <c r="D3175" s="2" t="s">
        <v>18</v>
      </c>
      <c r="E3175" s="5">
        <v>-28778</v>
      </c>
      <c r="F3175" s="3" t="s">
        <v>1301</v>
      </c>
      <c r="G3175" s="3" t="s">
        <v>29</v>
      </c>
      <c r="H3175" s="2" t="s">
        <v>21</v>
      </c>
      <c r="I3175" s="2" t="s">
        <v>6648</v>
      </c>
      <c r="J3175" s="3" t="str">
        <f>HYPERLINK("https://www.boe.es/gazeta/dias/1821/03/16/pdfs/GMD-1821-75.pdf#page=6","Abrir facsímil")</f>
        <v>Abrir facsímil</v>
      </c>
      <c r="K3175" s="3" t="s">
        <v>23</v>
      </c>
    </row>
    <row r="3176" spans="1:11" ht="42" customHeight="1">
      <c r="A3176" s="2" t="s">
        <v>6646</v>
      </c>
      <c r="B3176" s="2" t="s">
        <v>6647</v>
      </c>
      <c r="C3176" s="2" t="s">
        <v>35</v>
      </c>
      <c r="D3176" s="2" t="s">
        <v>27</v>
      </c>
      <c r="E3176" s="5">
        <v>-28774</v>
      </c>
      <c r="F3176" s="3" t="s">
        <v>1221</v>
      </c>
      <c r="G3176" s="3" t="s">
        <v>20</v>
      </c>
      <c r="H3176" s="2" t="s">
        <v>21</v>
      </c>
      <c r="I3176" s="2" t="s">
        <v>6649</v>
      </c>
      <c r="J3176" s="3" t="str">
        <f>HYPERLINK("https://www.boe.es/gazeta/dias/1821/03/20/pdfs/GMD-1821-79.pdf#page=3","Abrir facsímil")</f>
        <v>Abrir facsímil</v>
      </c>
      <c r="K3176" s="3" t="s">
        <v>23</v>
      </c>
    </row>
    <row r="3177" spans="1:11" ht="42" customHeight="1">
      <c r="A3177" s="2" t="s">
        <v>6650</v>
      </c>
      <c r="B3177" s="2" t="s">
        <v>6651</v>
      </c>
      <c r="C3177" s="2" t="s">
        <v>17</v>
      </c>
      <c r="D3177" s="2" t="s">
        <v>18</v>
      </c>
      <c r="E3177" s="5">
        <v>-28508</v>
      </c>
      <c r="F3177" s="3" t="s">
        <v>42</v>
      </c>
      <c r="G3177" s="3" t="s">
        <v>52</v>
      </c>
      <c r="H3177" s="2" t="s">
        <v>21</v>
      </c>
      <c r="I3177" s="2" t="s">
        <v>6652</v>
      </c>
      <c r="J3177" s="3" t="str">
        <f>HYPERLINK("https://www.boe.es/gazeta/dias/1821/12/11/pdfs/GMD-1821-353.pdf#page=2","Abrir facsímil")</f>
        <v>Abrir facsímil</v>
      </c>
      <c r="K3177" s="3" t="s">
        <v>23</v>
      </c>
    </row>
    <row r="3178" spans="1:11" ht="42" customHeight="1">
      <c r="A3178" s="2" t="s">
        <v>6653</v>
      </c>
      <c r="B3178" s="2" t="s">
        <v>6654</v>
      </c>
      <c r="C3178" s="2" t="s">
        <v>17</v>
      </c>
      <c r="D3178" s="2" t="s">
        <v>18</v>
      </c>
      <c r="E3178" s="5">
        <v>-28606</v>
      </c>
      <c r="F3178" s="3" t="s">
        <v>1799</v>
      </c>
      <c r="G3178" s="3" t="s">
        <v>88</v>
      </c>
      <c r="H3178" s="2" t="s">
        <v>21</v>
      </c>
      <c r="I3178" s="2" t="s">
        <v>6655</v>
      </c>
      <c r="J3178" s="3" t="str">
        <f>HYPERLINK("https://www.boe.es/gazeta/dias/1821/09/04/pdfs/GMD-1821-252.pdf#page=4","Abrir facsímil")</f>
        <v>Abrir facsímil</v>
      </c>
      <c r="K3178" s="3" t="s">
        <v>23</v>
      </c>
    </row>
    <row r="3179" spans="1:11" ht="42" customHeight="1">
      <c r="A3179" s="2" t="s">
        <v>6656</v>
      </c>
      <c r="B3179" s="2" t="s">
        <v>6657</v>
      </c>
      <c r="C3179" s="2" t="s">
        <v>26</v>
      </c>
      <c r="D3179" s="2" t="s">
        <v>27</v>
      </c>
      <c r="E3179" s="5">
        <v>-28620</v>
      </c>
      <c r="F3179" s="3" t="s">
        <v>87</v>
      </c>
      <c r="G3179" s="3" t="s">
        <v>88</v>
      </c>
      <c r="H3179" s="2" t="s">
        <v>21</v>
      </c>
      <c r="I3179" s="2" t="s">
        <v>6658</v>
      </c>
      <c r="J3179" s="3" t="str">
        <f>HYPERLINK("https://www.boe.es/gazeta/dias/1821/08/21/pdfs/GMD-1821-238.pdf#page=4","Abrir facsímil")</f>
        <v>Abrir facsímil</v>
      </c>
      <c r="K3179" s="3" t="s">
        <v>23</v>
      </c>
    </row>
    <row r="3180" spans="1:11" ht="42" customHeight="1">
      <c r="A3180" s="2" t="s">
        <v>6659</v>
      </c>
      <c r="B3180" s="2" t="s">
        <v>6660</v>
      </c>
      <c r="C3180" s="2" t="s">
        <v>114</v>
      </c>
      <c r="D3180" s="2" t="s">
        <v>27</v>
      </c>
      <c r="E3180" s="5">
        <v>-28667</v>
      </c>
      <c r="F3180" s="3" t="s">
        <v>107</v>
      </c>
      <c r="G3180" s="3" t="s">
        <v>52</v>
      </c>
      <c r="H3180" s="2" t="s">
        <v>21</v>
      </c>
      <c r="I3180" s="2" t="s">
        <v>6661</v>
      </c>
      <c r="J3180" s="3" t="str">
        <f>HYPERLINK("https://www.boe.es/gazeta/dias/1821/07/05/pdfs/GMD-1821-189.pdf#page=2","Abrir facsímil")</f>
        <v>Abrir facsímil</v>
      </c>
      <c r="K3180" s="3" t="s">
        <v>23</v>
      </c>
    </row>
    <row r="3181" spans="1:11" ht="42" customHeight="1">
      <c r="A3181" s="2" t="s">
        <v>6662</v>
      </c>
      <c r="B3181" s="2" t="s">
        <v>6663</v>
      </c>
      <c r="C3181" s="2" t="s">
        <v>40</v>
      </c>
      <c r="D3181" s="2" t="s">
        <v>41</v>
      </c>
      <c r="E3181" s="5">
        <v>-28668</v>
      </c>
      <c r="F3181" s="3" t="s">
        <v>2130</v>
      </c>
      <c r="G3181" s="3" t="s">
        <v>20</v>
      </c>
      <c r="H3181" s="2" t="s">
        <v>21</v>
      </c>
      <c r="I3181" s="2" t="s">
        <v>6664</v>
      </c>
      <c r="J3181" s="3" t="str">
        <f>HYPERLINK("https://www.boe.es/gazeta/dias/1821/07/04/pdfs/GMD-1821-188.pdf#page=3","Abrir facsímil")</f>
        <v>Abrir facsímil</v>
      </c>
      <c r="K3181" s="3" t="s">
        <v>23</v>
      </c>
    </row>
    <row r="3182" spans="1:11" ht="42" customHeight="1">
      <c r="A3182" s="2" t="s">
        <v>6665</v>
      </c>
      <c r="B3182" s="2" t="s">
        <v>6666</v>
      </c>
      <c r="C3182" s="2" t="s">
        <v>17</v>
      </c>
      <c r="D3182" s="2" t="s">
        <v>18</v>
      </c>
      <c r="E3182" s="5">
        <v>-28560</v>
      </c>
      <c r="F3182" s="3" t="s">
        <v>363</v>
      </c>
      <c r="G3182" s="3" t="s">
        <v>162</v>
      </c>
      <c r="H3182" s="2" t="s">
        <v>21</v>
      </c>
      <c r="I3182" s="2" t="s">
        <v>6667</v>
      </c>
      <c r="J3182" s="3" t="str">
        <f>HYPERLINK("https://www.boe.es/gazeta/dias/1821/10/20/pdfs/GMD-1821-299.pdf#page=5","Abrir facsímil")</f>
        <v>Abrir facsímil</v>
      </c>
      <c r="K3182" s="3" t="s">
        <v>23</v>
      </c>
    </row>
    <row r="3183" spans="1:11" ht="42" customHeight="1">
      <c r="A3183" s="2" t="s">
        <v>6668</v>
      </c>
      <c r="B3183" s="2" t="s">
        <v>6668</v>
      </c>
      <c r="C3183" s="2" t="s">
        <v>40</v>
      </c>
      <c r="D3183" s="2" t="s">
        <v>41</v>
      </c>
      <c r="E3183" s="5">
        <v>-28627</v>
      </c>
      <c r="F3183" s="3" t="s">
        <v>3216</v>
      </c>
      <c r="G3183" s="3" t="s">
        <v>43</v>
      </c>
      <c r="H3183" s="2" t="s">
        <v>21</v>
      </c>
      <c r="I3183" s="2" t="s">
        <v>6669</v>
      </c>
      <c r="J3183" s="3" t="str">
        <f>HYPERLINK("https://www.boe.es/gazeta/dias/1821/08/14/pdfs/GMD-1821-231.pdf#page=1","Abrir facsímil")</f>
        <v>Abrir facsímil</v>
      </c>
      <c r="K3183" s="3" t="s">
        <v>23</v>
      </c>
    </row>
    <row r="3184" spans="1:11" ht="42" customHeight="1">
      <c r="A3184" s="2" t="s">
        <v>6670</v>
      </c>
      <c r="B3184" s="2" t="s">
        <v>6671</v>
      </c>
      <c r="C3184" s="2" t="s">
        <v>40</v>
      </c>
      <c r="D3184" s="2" t="s">
        <v>41</v>
      </c>
      <c r="E3184" s="5">
        <v>-28628</v>
      </c>
      <c r="F3184" s="3" t="s">
        <v>4257</v>
      </c>
      <c r="G3184" s="3" t="s">
        <v>43</v>
      </c>
      <c r="H3184" s="2" t="s">
        <v>21</v>
      </c>
      <c r="I3184" s="2" t="s">
        <v>6672</v>
      </c>
      <c r="J3184" s="3" t="str">
        <f>HYPERLINK("https://www.boe.es/gazeta/dias/1821/08/13/pdfs/GMD-1821-230.pdf#page=1","Abrir facsímil")</f>
        <v>Abrir facsímil</v>
      </c>
      <c r="K3184" s="3" t="s">
        <v>23</v>
      </c>
    </row>
    <row r="3185" spans="1:11" ht="42" customHeight="1">
      <c r="A3185" s="2" t="s">
        <v>6673</v>
      </c>
      <c r="B3185" s="2" t="s">
        <v>6673</v>
      </c>
      <c r="C3185" s="2" t="s">
        <v>40</v>
      </c>
      <c r="D3185" s="2" t="s">
        <v>41</v>
      </c>
      <c r="E3185" s="5">
        <v>-28667</v>
      </c>
      <c r="F3185" s="3" t="s">
        <v>107</v>
      </c>
      <c r="G3185" s="3" t="s">
        <v>3069</v>
      </c>
      <c r="H3185" s="2" t="s">
        <v>21</v>
      </c>
      <c r="I3185" s="2" t="s">
        <v>6674</v>
      </c>
      <c r="J3185" s="3" t="str">
        <f>HYPERLINK("https://www.boe.es/gazeta/dias/1821/07/05/pdfs/GMD-1821-189.pdf#page=4","Abrir facsímil")</f>
        <v>Abrir facsímil</v>
      </c>
      <c r="K3185" s="3" t="s">
        <v>23</v>
      </c>
    </row>
    <row r="3186" spans="1:11" ht="42" customHeight="1">
      <c r="A3186" s="2" t="s">
        <v>6675</v>
      </c>
      <c r="B3186" s="2" t="s">
        <v>6675</v>
      </c>
      <c r="C3186" s="2" t="s">
        <v>26</v>
      </c>
      <c r="D3186" s="2" t="s">
        <v>27</v>
      </c>
      <c r="E3186" s="5">
        <v>-28770</v>
      </c>
      <c r="F3186" s="3" t="s">
        <v>1009</v>
      </c>
      <c r="G3186" s="3" t="s">
        <v>43</v>
      </c>
      <c r="H3186" s="2" t="s">
        <v>21</v>
      </c>
      <c r="I3186" s="2" t="s">
        <v>6676</v>
      </c>
      <c r="J3186" s="3" t="str">
        <f>HYPERLINK("https://www.boe.es/gazeta/dias/1821/03/24/pdfs/GMD-1821-84.pdf#page=1","Abrir facsímil")</f>
        <v>Abrir facsímil</v>
      </c>
      <c r="K3186" s="3" t="s">
        <v>23</v>
      </c>
    </row>
    <row r="3187" spans="1:11" ht="42" customHeight="1">
      <c r="A3187" s="2" t="s">
        <v>6677</v>
      </c>
      <c r="B3187" s="2" t="s">
        <v>6678</v>
      </c>
      <c r="C3187" s="2" t="s">
        <v>70</v>
      </c>
      <c r="D3187" s="2" t="s">
        <v>27</v>
      </c>
      <c r="E3187" s="5">
        <v>-28530</v>
      </c>
      <c r="F3187" s="3" t="s">
        <v>237</v>
      </c>
      <c r="G3187" s="3" t="s">
        <v>52</v>
      </c>
      <c r="H3187" s="2" t="s">
        <v>30</v>
      </c>
      <c r="I3187" s="2" t="s">
        <v>6679</v>
      </c>
      <c r="J3187" s="3" t="str">
        <f>HYPERLINK("https://www.boe.es/gazeta/dias/1821/11/19/pdfs/GMD-1821-330.pdf#page=2","Abrir facsímil")</f>
        <v>Abrir facsímil</v>
      </c>
      <c r="K3187" s="3" t="s">
        <v>32</v>
      </c>
    </row>
    <row r="3188" spans="1:11" ht="42" customHeight="1">
      <c r="A3188" s="2" t="s">
        <v>6680</v>
      </c>
      <c r="B3188" s="2" t="s">
        <v>6681</v>
      </c>
      <c r="C3188" s="2" t="s">
        <v>70</v>
      </c>
      <c r="D3188" s="2" t="s">
        <v>27</v>
      </c>
      <c r="E3188" s="5">
        <v>-28607</v>
      </c>
      <c r="F3188" s="3" t="s">
        <v>740</v>
      </c>
      <c r="G3188" s="3" t="s">
        <v>88</v>
      </c>
      <c r="H3188" s="2" t="s">
        <v>30</v>
      </c>
      <c r="I3188" s="2" t="s">
        <v>6682</v>
      </c>
      <c r="J3188" s="3" t="str">
        <f>HYPERLINK("https://www.boe.es/gazeta/dias/1821/09/03/pdfs/GMD-1821-251.pdf#page=4","Abrir facsímil")</f>
        <v>Abrir facsímil</v>
      </c>
      <c r="K3188" s="3" t="s">
        <v>32</v>
      </c>
    </row>
    <row r="3189" spans="1:11" ht="42" customHeight="1">
      <c r="A3189" s="2" t="s">
        <v>6683</v>
      </c>
      <c r="B3189" s="2" t="s">
        <v>6684</v>
      </c>
      <c r="C3189" s="2" t="s">
        <v>17</v>
      </c>
      <c r="D3189" s="2" t="s">
        <v>18</v>
      </c>
      <c r="E3189" s="5">
        <v>-28785</v>
      </c>
      <c r="F3189" s="3" t="s">
        <v>1935</v>
      </c>
      <c r="G3189" s="3" t="s">
        <v>20</v>
      </c>
      <c r="H3189" s="2" t="s">
        <v>21</v>
      </c>
      <c r="I3189" s="2" t="s">
        <v>6685</v>
      </c>
      <c r="J3189" s="3" t="str">
        <f>HYPERLINK("https://www.boe.es/gazeta/dias/1821/03/09/pdfs/GGB-1821-68.pdf#page=3","Abrir facsímil")</f>
        <v>Abrir facsímil</v>
      </c>
      <c r="K3189" s="3" t="s">
        <v>23</v>
      </c>
    </row>
    <row r="3190" spans="1:11" ht="42" customHeight="1">
      <c r="A3190" s="2" t="s">
        <v>6686</v>
      </c>
      <c r="B3190" s="2" t="s">
        <v>6687</v>
      </c>
      <c r="C3190" s="2" t="s">
        <v>26</v>
      </c>
      <c r="D3190" s="2" t="s">
        <v>27</v>
      </c>
      <c r="E3190" s="5">
        <v>-28750</v>
      </c>
      <c r="F3190" s="3" t="s">
        <v>917</v>
      </c>
      <c r="G3190" s="3" t="s">
        <v>43</v>
      </c>
      <c r="H3190" s="2" t="s">
        <v>21</v>
      </c>
      <c r="I3190" s="2" t="s">
        <v>6688</v>
      </c>
      <c r="J3190" s="3" t="str">
        <f>HYPERLINK("https://www.boe.es/gazeta/dias/1821/04/13/pdfs/GMD-1821-105.pdf#page=1","Abrir facsímil")</f>
        <v>Abrir facsímil</v>
      </c>
      <c r="K3190" s="3" t="s">
        <v>23</v>
      </c>
    </row>
    <row r="3191" spans="1:11" ht="42" customHeight="1">
      <c r="A3191" s="2" t="s">
        <v>6689</v>
      </c>
      <c r="B3191" s="2" t="s">
        <v>6690</v>
      </c>
      <c r="C3191" s="2" t="s">
        <v>35</v>
      </c>
      <c r="D3191" s="2" t="s">
        <v>27</v>
      </c>
      <c r="E3191" s="5">
        <v>-28729</v>
      </c>
      <c r="F3191" s="3" t="s">
        <v>838</v>
      </c>
      <c r="G3191" s="3" t="s">
        <v>52</v>
      </c>
      <c r="H3191" s="2" t="s">
        <v>30</v>
      </c>
      <c r="I3191" s="2" t="s">
        <v>6691</v>
      </c>
      <c r="J3191" s="3" t="str">
        <f>HYPERLINK("https://www.boe.es/gazeta/dias/1821/05/04/pdfs/GMD-1821-126.pdf#page=2","Abrir facsímil")</f>
        <v>Abrir facsímil</v>
      </c>
      <c r="K3191" s="3" t="s">
        <v>32</v>
      </c>
    </row>
    <row r="3192" spans="1:11" ht="42" customHeight="1">
      <c r="A3192" s="2" t="s">
        <v>6692</v>
      </c>
      <c r="B3192" s="2" t="s">
        <v>6693</v>
      </c>
      <c r="C3192" s="2" t="s">
        <v>26</v>
      </c>
      <c r="D3192" s="2" t="s">
        <v>27</v>
      </c>
      <c r="E3192" s="5">
        <v>-28641</v>
      </c>
      <c r="F3192" s="3" t="s">
        <v>398</v>
      </c>
      <c r="G3192" s="3" t="s">
        <v>20</v>
      </c>
      <c r="H3192" s="2" t="s">
        <v>30</v>
      </c>
      <c r="I3192" s="2" t="s">
        <v>6694</v>
      </c>
      <c r="J3192" s="3" t="str">
        <f>HYPERLINK("https://www.boe.es/gazeta/dias/1821/07/31/pdfs/GMD-1821-216.pdf#page=3","Abrir facsímil")</f>
        <v>Abrir facsímil</v>
      </c>
      <c r="K3192" s="3" t="s">
        <v>32</v>
      </c>
    </row>
    <row r="3193" spans="1:11" ht="42" customHeight="1">
      <c r="A3193" s="2" t="s">
        <v>6695</v>
      </c>
      <c r="B3193" s="2" t="s">
        <v>6695</v>
      </c>
      <c r="C3193" s="2" t="s">
        <v>279</v>
      </c>
      <c r="D3193" s="2" t="s">
        <v>27</v>
      </c>
      <c r="E3193" s="5">
        <v>-28842</v>
      </c>
      <c r="F3193" s="3" t="s">
        <v>660</v>
      </c>
      <c r="G3193" s="3" t="s">
        <v>52</v>
      </c>
      <c r="H3193" s="2" t="s">
        <v>21</v>
      </c>
      <c r="I3193" s="2" t="s">
        <v>6696</v>
      </c>
      <c r="J3193" s="3" t="str">
        <f>HYPERLINK("https://www.boe.es/gazeta/dias/1821/01/11/pdfs/GGB-1821-11.pdf#page=2","Abrir facsímil")</f>
        <v>Abrir facsímil</v>
      </c>
      <c r="K3193" s="3" t="s">
        <v>23</v>
      </c>
    </row>
    <row r="3194" spans="1:11" ht="42" customHeight="1">
      <c r="A3194" s="2" t="s">
        <v>6695</v>
      </c>
      <c r="B3194" s="2" t="s">
        <v>6695</v>
      </c>
      <c r="C3194" s="2" t="s">
        <v>40</v>
      </c>
      <c r="D3194" s="2" t="s">
        <v>41</v>
      </c>
      <c r="E3194" s="5">
        <v>-28575</v>
      </c>
      <c r="F3194" s="3" t="s">
        <v>2453</v>
      </c>
      <c r="G3194" s="3" t="s">
        <v>43</v>
      </c>
      <c r="H3194" s="2" t="s">
        <v>21</v>
      </c>
      <c r="I3194" s="2" t="s">
        <v>6697</v>
      </c>
      <c r="J3194" s="3" t="str">
        <f>HYPERLINK("https://www.boe.es/gazeta/dias/1821/10/05/pdfs/GMD-1821-284.pdf#page=1","Abrir facsímil")</f>
        <v>Abrir facsímil</v>
      </c>
      <c r="K3194" s="3" t="s">
        <v>23</v>
      </c>
    </row>
    <row r="3195" spans="1:11" ht="42" customHeight="1">
      <c r="A3195" s="2" t="s">
        <v>6698</v>
      </c>
      <c r="B3195" s="2" t="s">
        <v>6699</v>
      </c>
      <c r="C3195" s="2" t="s">
        <v>40</v>
      </c>
      <c r="D3195" s="2" t="s">
        <v>41</v>
      </c>
      <c r="E3195" s="5">
        <v>-28637</v>
      </c>
      <c r="F3195" s="3" t="s">
        <v>3049</v>
      </c>
      <c r="G3195" s="3" t="s">
        <v>88</v>
      </c>
      <c r="H3195" s="2" t="s">
        <v>21</v>
      </c>
      <c r="I3195" s="2" t="s">
        <v>6700</v>
      </c>
      <c r="J3195" s="3" t="str">
        <f>HYPERLINK("https://www.boe.es/gazeta/dias/1821/08/04/pdfs/GMD-1821-220.pdf#page=4","Abrir facsímil")</f>
        <v>Abrir facsímil</v>
      </c>
      <c r="K3195" s="3" t="s">
        <v>23</v>
      </c>
    </row>
    <row r="3196" spans="1:11" ht="42" customHeight="1">
      <c r="A3196" s="2" t="s">
        <v>6701</v>
      </c>
      <c r="B3196" s="2" t="s">
        <v>6702</v>
      </c>
      <c r="C3196" s="2" t="s">
        <v>40</v>
      </c>
      <c r="D3196" s="2" t="s">
        <v>41</v>
      </c>
      <c r="E3196" s="5">
        <v>-28626</v>
      </c>
      <c r="F3196" s="3" t="s">
        <v>468</v>
      </c>
      <c r="G3196" s="3" t="s">
        <v>88</v>
      </c>
      <c r="H3196" s="2" t="s">
        <v>21</v>
      </c>
      <c r="I3196" s="2" t="s">
        <v>6703</v>
      </c>
      <c r="J3196" s="3" t="str">
        <f>HYPERLINK("https://www.boe.es/gazeta/dias/1821/08/15/pdfs/GMD-1821-232.pdf#page=4","Abrir facsímil")</f>
        <v>Abrir facsímil</v>
      </c>
      <c r="K3196" s="3" t="s">
        <v>23</v>
      </c>
    </row>
    <row r="3197" spans="1:11" ht="42" customHeight="1">
      <c r="A3197" s="2" t="s">
        <v>6704</v>
      </c>
      <c r="B3197" s="2" t="s">
        <v>6705</v>
      </c>
      <c r="C3197" s="2" t="s">
        <v>17</v>
      </c>
      <c r="D3197" s="2" t="s">
        <v>18</v>
      </c>
      <c r="E3197" s="5">
        <v>-28626</v>
      </c>
      <c r="F3197" s="3" t="s">
        <v>468</v>
      </c>
      <c r="G3197" s="3" t="s">
        <v>88</v>
      </c>
      <c r="H3197" s="2" t="s">
        <v>21</v>
      </c>
      <c r="I3197" s="2" t="s">
        <v>6706</v>
      </c>
      <c r="J3197" s="3" t="str">
        <f>HYPERLINK("https://www.boe.es/gazeta/dias/1821/08/15/pdfs/GMD-1821-232.pdf#page=4","Abrir facsímil")</f>
        <v>Abrir facsímil</v>
      </c>
      <c r="K3197" s="3" t="s">
        <v>23</v>
      </c>
    </row>
    <row r="3198" spans="1:11" ht="42" customHeight="1">
      <c r="A3198" s="2" t="s">
        <v>6707</v>
      </c>
      <c r="B3198" s="2" t="s">
        <v>6707</v>
      </c>
      <c r="C3198" s="2" t="s">
        <v>40</v>
      </c>
      <c r="D3198" s="2" t="s">
        <v>41</v>
      </c>
      <c r="E3198" s="5">
        <v>-28850</v>
      </c>
      <c r="F3198" s="3" t="s">
        <v>664</v>
      </c>
      <c r="G3198" s="3" t="s">
        <v>88</v>
      </c>
      <c r="H3198" s="2" t="s">
        <v>21</v>
      </c>
      <c r="I3198" s="2" t="s">
        <v>6708</v>
      </c>
      <c r="J3198" s="3" t="str">
        <f>HYPERLINK("https://www.boe.es/gazeta/dias/1821/01/03/pdfs/GGB-1821-3.pdf#page=4","Abrir facsímil")</f>
        <v>Abrir facsímil</v>
      </c>
      <c r="K3198" s="3" t="s">
        <v>23</v>
      </c>
    </row>
    <row r="3199" spans="1:11" ht="42" customHeight="1">
      <c r="A3199" s="2" t="s">
        <v>6709</v>
      </c>
      <c r="B3199" s="2" t="s">
        <v>6710</v>
      </c>
      <c r="C3199" s="2" t="s">
        <v>26</v>
      </c>
      <c r="D3199" s="2" t="s">
        <v>27</v>
      </c>
      <c r="E3199" s="5">
        <v>-28629</v>
      </c>
      <c r="F3199" s="3" t="s">
        <v>235</v>
      </c>
      <c r="G3199" s="3" t="s">
        <v>88</v>
      </c>
      <c r="H3199" s="2" t="s">
        <v>21</v>
      </c>
      <c r="I3199" s="2" t="s">
        <v>6711</v>
      </c>
      <c r="J3199" s="3" t="str">
        <f>HYPERLINK("https://www.boe.es/gazeta/dias/1821/08/12/pdfs/GMD-1821-229.pdf#page=4","Abrir facsímil")</f>
        <v>Abrir facsímil</v>
      </c>
      <c r="K3199" s="3" t="s">
        <v>23</v>
      </c>
    </row>
    <row r="3200" spans="1:11" ht="42" customHeight="1">
      <c r="A3200" s="2" t="s">
        <v>6712</v>
      </c>
      <c r="B3200" s="2" t="s">
        <v>6713</v>
      </c>
      <c r="C3200" s="2" t="s">
        <v>114</v>
      </c>
      <c r="D3200" s="2" t="s">
        <v>27</v>
      </c>
      <c r="E3200" s="5">
        <v>-28629</v>
      </c>
      <c r="F3200" s="3" t="s">
        <v>235</v>
      </c>
      <c r="G3200" s="3" t="s">
        <v>88</v>
      </c>
      <c r="H3200" s="2" t="s">
        <v>21</v>
      </c>
      <c r="I3200" s="2" t="s">
        <v>6714</v>
      </c>
      <c r="J3200" s="3" t="str">
        <f>HYPERLINK("https://www.boe.es/gazeta/dias/1821/08/12/pdfs/GMD-1821-229.pdf#page=4","Abrir facsímil")</f>
        <v>Abrir facsímil</v>
      </c>
      <c r="K3200" s="3" t="s">
        <v>23</v>
      </c>
    </row>
    <row r="3201" spans="1:11" ht="42" customHeight="1">
      <c r="A3201" s="2" t="s">
        <v>6715</v>
      </c>
      <c r="B3201" s="2" t="s">
        <v>6716</v>
      </c>
      <c r="C3201" s="2" t="s">
        <v>17</v>
      </c>
      <c r="D3201" s="2" t="s">
        <v>18</v>
      </c>
      <c r="E3201" s="5">
        <v>-28535</v>
      </c>
      <c r="F3201" s="3" t="s">
        <v>96</v>
      </c>
      <c r="G3201" s="3" t="s">
        <v>52</v>
      </c>
      <c r="H3201" s="2" t="s">
        <v>21</v>
      </c>
      <c r="I3201" s="2" t="s">
        <v>6717</v>
      </c>
      <c r="J3201" s="3" t="str">
        <f>HYPERLINK("https://www.boe.es/gazeta/dias/1821/11/14/pdfs/GMD-1821-325.pdf#page=2","Abrir facsímil")</f>
        <v>Abrir facsímil</v>
      </c>
      <c r="K3201" s="3" t="s">
        <v>23</v>
      </c>
    </row>
    <row r="3202" spans="1:11" ht="42" customHeight="1">
      <c r="A3202" s="2" t="s">
        <v>6715</v>
      </c>
      <c r="B3202" s="2" t="s">
        <v>6716</v>
      </c>
      <c r="C3202" s="2" t="s">
        <v>17</v>
      </c>
      <c r="D3202" s="2" t="s">
        <v>18</v>
      </c>
      <c r="E3202" s="5">
        <v>-28531</v>
      </c>
      <c r="F3202" s="3" t="s">
        <v>365</v>
      </c>
      <c r="G3202" s="3" t="s">
        <v>20</v>
      </c>
      <c r="H3202" s="2" t="s">
        <v>21</v>
      </c>
      <c r="I3202" s="2" t="s">
        <v>6718</v>
      </c>
      <c r="J3202" s="3" t="str">
        <f>HYPERLINK("https://www.boe.es/gazeta/dias/1821/11/18/pdfs/GMD-1821-329.pdf#page=3","Abrir facsímil")</f>
        <v>Abrir facsímil</v>
      </c>
      <c r="K3202" s="3" t="s">
        <v>23</v>
      </c>
    </row>
    <row r="3203" spans="1:11" ht="42" customHeight="1">
      <c r="A3203" s="2" t="s">
        <v>6715</v>
      </c>
      <c r="B3203" s="2" t="s">
        <v>6716</v>
      </c>
      <c r="C3203" s="2" t="s">
        <v>40</v>
      </c>
      <c r="D3203" s="2" t="s">
        <v>41</v>
      </c>
      <c r="E3203" s="5">
        <v>-28507</v>
      </c>
      <c r="F3203" s="3" t="s">
        <v>1158</v>
      </c>
      <c r="G3203" s="3" t="s">
        <v>20</v>
      </c>
      <c r="H3203" s="2" t="s">
        <v>21</v>
      </c>
      <c r="I3203" s="2" t="s">
        <v>6719</v>
      </c>
      <c r="J3203" s="3" t="str">
        <f>HYPERLINK("https://www.boe.es/gazeta/dias/1821/12/12/pdfs/GMD-1821-354.pdf#page=3","Abrir facsímil")</f>
        <v>Abrir facsímil</v>
      </c>
      <c r="K3203" s="3" t="s">
        <v>23</v>
      </c>
    </row>
    <row r="3204" spans="1:11" ht="42" customHeight="1">
      <c r="A3204" s="2" t="s">
        <v>6720</v>
      </c>
      <c r="B3204" s="2" t="s">
        <v>6721</v>
      </c>
      <c r="C3204" s="2" t="s">
        <v>40</v>
      </c>
      <c r="D3204" s="2" t="s">
        <v>41</v>
      </c>
      <c r="E3204" s="5">
        <v>-28610</v>
      </c>
      <c r="F3204" s="3" t="s">
        <v>190</v>
      </c>
      <c r="G3204" s="3" t="s">
        <v>20</v>
      </c>
      <c r="H3204" s="2" t="s">
        <v>21</v>
      </c>
      <c r="I3204" s="2" t="s">
        <v>6722</v>
      </c>
      <c r="J3204" s="3" t="str">
        <f>HYPERLINK("https://www.boe.es/gazeta/dias/1821/08/31/pdfs/GMD-1821-248.pdf#page=3","Abrir facsímil")</f>
        <v>Abrir facsímil</v>
      </c>
      <c r="K3204" s="3" t="s">
        <v>23</v>
      </c>
    </row>
    <row r="3205" spans="1:11" ht="42" customHeight="1">
      <c r="A3205" s="2" t="s">
        <v>6723</v>
      </c>
      <c r="B3205" s="2" t="s">
        <v>6723</v>
      </c>
      <c r="C3205" s="2" t="s">
        <v>40</v>
      </c>
      <c r="D3205" s="2" t="s">
        <v>41</v>
      </c>
      <c r="E3205" s="5">
        <v>-28751</v>
      </c>
      <c r="F3205" s="3" t="s">
        <v>356</v>
      </c>
      <c r="G3205" s="3" t="s">
        <v>43</v>
      </c>
      <c r="H3205" s="2" t="s">
        <v>21</v>
      </c>
      <c r="I3205" s="2" t="s">
        <v>6724</v>
      </c>
      <c r="J3205" s="3" t="str">
        <f>HYPERLINK("https://www.boe.es/gazeta/dias/1821/04/12/pdfs/GMD-1821-104.pdf#page=1","Abrir facsímil")</f>
        <v>Abrir facsímil</v>
      </c>
      <c r="K3205" s="3" t="s">
        <v>23</v>
      </c>
    </row>
    <row r="3206" spans="1:11" ht="42" customHeight="1">
      <c r="A3206" s="2" t="s">
        <v>6725</v>
      </c>
      <c r="B3206" s="2" t="s">
        <v>6725</v>
      </c>
      <c r="C3206" s="2" t="s">
        <v>174</v>
      </c>
      <c r="D3206" s="2" t="s">
        <v>27</v>
      </c>
      <c r="E3206" s="5">
        <v>-28811</v>
      </c>
      <c r="F3206" s="3" t="s">
        <v>5734</v>
      </c>
      <c r="G3206" s="3" t="s">
        <v>6726</v>
      </c>
      <c r="H3206" s="2" t="s">
        <v>21</v>
      </c>
      <c r="I3206" s="2" t="s">
        <v>6727</v>
      </c>
      <c r="J3206" s="3" t="str">
        <f>HYPERLINK("https://www.boe.es/gazeta/dias/1821/02/11/pdfs/GGB-1821-42.pdf#page=2","Abrir facsímil")</f>
        <v>Abrir facsímil</v>
      </c>
      <c r="K3206" s="3" t="s">
        <v>23</v>
      </c>
    </row>
    <row r="3207" spans="1:11" ht="42" customHeight="1">
      <c r="A3207" s="2" t="s">
        <v>6725</v>
      </c>
      <c r="B3207" s="2" t="s">
        <v>6725</v>
      </c>
      <c r="C3207" s="2" t="s">
        <v>26</v>
      </c>
      <c r="D3207" s="2" t="s">
        <v>27</v>
      </c>
      <c r="E3207" s="5">
        <v>-28786</v>
      </c>
      <c r="F3207" s="3" t="s">
        <v>1933</v>
      </c>
      <c r="G3207" s="3" t="s">
        <v>52</v>
      </c>
      <c r="H3207" s="2" t="s">
        <v>21</v>
      </c>
      <c r="I3207" s="2" t="s">
        <v>6728</v>
      </c>
      <c r="J3207" s="3" t="str">
        <f>HYPERLINK("https://www.boe.es/gazeta/dias/1821/03/08/pdfs/GGB-1821-67.pdf#page=2","Abrir facsímil")</f>
        <v>Abrir facsímil</v>
      </c>
      <c r="K3207" s="3" t="s">
        <v>23</v>
      </c>
    </row>
    <row r="3208" spans="1:11" ht="42" customHeight="1">
      <c r="A3208" s="2" t="s">
        <v>6729</v>
      </c>
      <c r="B3208" s="2" t="s">
        <v>6729</v>
      </c>
      <c r="C3208" s="2" t="s">
        <v>40</v>
      </c>
      <c r="D3208" s="2" t="s">
        <v>41</v>
      </c>
      <c r="E3208" s="5">
        <v>-28748</v>
      </c>
      <c r="F3208" s="3" t="s">
        <v>634</v>
      </c>
      <c r="G3208" s="3" t="s">
        <v>43</v>
      </c>
      <c r="H3208" s="2" t="s">
        <v>21</v>
      </c>
      <c r="I3208" s="2" t="s">
        <v>6730</v>
      </c>
      <c r="J3208" s="3" t="str">
        <f>HYPERLINK("https://www.boe.es/gazeta/dias/1821/04/15/pdfs/GMD-1821-107.pdf#page=1","Abrir facsímil")</f>
        <v>Abrir facsímil</v>
      </c>
      <c r="K3208" s="3" t="s">
        <v>23</v>
      </c>
    </row>
    <row r="3209" spans="1:11" ht="42" customHeight="1">
      <c r="A3209" s="2" t="s">
        <v>6731</v>
      </c>
      <c r="B3209" s="2" t="s">
        <v>6731</v>
      </c>
      <c r="C3209" s="2" t="s">
        <v>26</v>
      </c>
      <c r="D3209" s="2" t="s">
        <v>27</v>
      </c>
      <c r="E3209" s="5">
        <v>-28748</v>
      </c>
      <c r="F3209" s="3" t="s">
        <v>634</v>
      </c>
      <c r="G3209" s="3" t="s">
        <v>43</v>
      </c>
      <c r="H3209" s="2" t="s">
        <v>21</v>
      </c>
      <c r="I3209" s="2" t="s">
        <v>6732</v>
      </c>
      <c r="J3209" s="3" t="str">
        <f>HYPERLINK("https://www.boe.es/gazeta/dias/1821/04/15/pdfs/GMD-1821-107.pdf#page=1","Abrir facsímil")</f>
        <v>Abrir facsímil</v>
      </c>
      <c r="K3209" s="3" t="s">
        <v>23</v>
      </c>
    </row>
    <row r="3210" spans="1:11" ht="42" customHeight="1">
      <c r="A3210" s="2" t="s">
        <v>6733</v>
      </c>
      <c r="B3210" s="2" t="s">
        <v>6734</v>
      </c>
      <c r="C3210" s="2" t="s">
        <v>40</v>
      </c>
      <c r="D3210" s="2" t="s">
        <v>41</v>
      </c>
      <c r="E3210" s="5">
        <v>-28696</v>
      </c>
      <c r="F3210" s="3" t="s">
        <v>497</v>
      </c>
      <c r="G3210" s="3" t="s">
        <v>43</v>
      </c>
      <c r="H3210" s="2" t="s">
        <v>21</v>
      </c>
      <c r="I3210" s="2" t="s">
        <v>6735</v>
      </c>
      <c r="J3210" s="3" t="str">
        <f>HYPERLINK("https://www.boe.es/gazeta/dias/1821/06/06/pdfs/GMD-1821-159.pdf#page=1","Abrir facsímil")</f>
        <v>Abrir facsímil</v>
      </c>
      <c r="K3210" s="3" t="s">
        <v>23</v>
      </c>
    </row>
    <row r="3211" spans="1:11" ht="42" customHeight="1">
      <c r="A3211" s="2" t="s">
        <v>6736</v>
      </c>
      <c r="B3211" s="2" t="s">
        <v>6737</v>
      </c>
      <c r="C3211" s="2" t="s">
        <v>35</v>
      </c>
      <c r="D3211" s="2" t="s">
        <v>27</v>
      </c>
      <c r="E3211" s="5">
        <v>-28685</v>
      </c>
      <c r="F3211" s="3" t="s">
        <v>303</v>
      </c>
      <c r="G3211" s="3" t="s">
        <v>162</v>
      </c>
      <c r="H3211" s="2" t="s">
        <v>21</v>
      </c>
      <c r="I3211" s="2" t="s">
        <v>6738</v>
      </c>
      <c r="J3211" s="3" t="str">
        <f>HYPERLINK("https://www.boe.es/gazeta/dias/1821/06/17/pdfs/GMD-1821-170.pdf#page=5","Abrir facsímil")</f>
        <v>Abrir facsímil</v>
      </c>
      <c r="K3211" s="3" t="s">
        <v>23</v>
      </c>
    </row>
    <row r="3212" spans="1:11" ht="42" customHeight="1">
      <c r="A3212" s="2" t="s">
        <v>6739</v>
      </c>
      <c r="B3212" s="2" t="s">
        <v>6739</v>
      </c>
      <c r="C3212" s="2" t="s">
        <v>26</v>
      </c>
      <c r="D3212" s="2" t="s">
        <v>27</v>
      </c>
      <c r="E3212" s="5">
        <v>-28599</v>
      </c>
      <c r="F3212" s="3" t="s">
        <v>902</v>
      </c>
      <c r="G3212" s="3" t="s">
        <v>88</v>
      </c>
      <c r="H3212" s="2" t="s">
        <v>21</v>
      </c>
      <c r="I3212" s="2" t="s">
        <v>6740</v>
      </c>
      <c r="J3212" s="3" t="str">
        <f>HYPERLINK("https://www.boe.es/gazeta/dias/1821/09/11/pdfs/GMD-1821-259.pdf#page=4","Abrir facsímil")</f>
        <v>Abrir facsímil</v>
      </c>
      <c r="K3212" s="3" t="s">
        <v>23</v>
      </c>
    </row>
    <row r="3213" spans="1:11" ht="42" customHeight="1">
      <c r="A3213" s="2" t="s">
        <v>6741</v>
      </c>
      <c r="B3213" s="2" t="s">
        <v>6741</v>
      </c>
      <c r="C3213" s="2" t="s">
        <v>40</v>
      </c>
      <c r="D3213" s="2" t="s">
        <v>41</v>
      </c>
      <c r="E3213" s="5">
        <v>-28700</v>
      </c>
      <c r="F3213" s="3" t="s">
        <v>701</v>
      </c>
      <c r="G3213" s="3" t="s">
        <v>20</v>
      </c>
      <c r="H3213" s="2" t="s">
        <v>21</v>
      </c>
      <c r="I3213" s="2" t="s">
        <v>6742</v>
      </c>
      <c r="J3213" s="3" t="str">
        <f>HYPERLINK("https://www.boe.es/gazeta/dias/1821/06/02/pdfs/GMD-1821-155.pdf#page=3","Abrir facsímil")</f>
        <v>Abrir facsímil</v>
      </c>
      <c r="K3213" s="3" t="s">
        <v>23</v>
      </c>
    </row>
    <row r="3214" spans="1:11" ht="42" customHeight="1">
      <c r="A3214" s="2" t="s">
        <v>6741</v>
      </c>
      <c r="B3214" s="2" t="s">
        <v>6741</v>
      </c>
      <c r="C3214" s="2" t="s">
        <v>40</v>
      </c>
      <c r="D3214" s="2" t="s">
        <v>41</v>
      </c>
      <c r="E3214" s="5">
        <v>-28694</v>
      </c>
      <c r="F3214" s="3" t="s">
        <v>1057</v>
      </c>
      <c r="G3214" s="3" t="s">
        <v>88</v>
      </c>
      <c r="H3214" s="2" t="s">
        <v>21</v>
      </c>
      <c r="I3214" s="2" t="s">
        <v>6743</v>
      </c>
      <c r="J3214" s="3" t="str">
        <f>HYPERLINK("https://www.boe.es/gazeta/dias/1821/06/08/pdfs/GMD-1821-161.pdf#page=4","Abrir facsímil")</f>
        <v>Abrir facsímil</v>
      </c>
      <c r="K3214" s="3" t="s">
        <v>23</v>
      </c>
    </row>
    <row r="3215" spans="1:11" ht="42" customHeight="1">
      <c r="A3215" s="2" t="s">
        <v>6744</v>
      </c>
      <c r="B3215" s="2" t="s">
        <v>6744</v>
      </c>
      <c r="C3215" s="2" t="s">
        <v>40</v>
      </c>
      <c r="D3215" s="2" t="s">
        <v>41</v>
      </c>
      <c r="E3215" s="5">
        <v>-28799</v>
      </c>
      <c r="F3215" s="3" t="s">
        <v>3158</v>
      </c>
      <c r="G3215" s="3" t="s">
        <v>43</v>
      </c>
      <c r="H3215" s="2" t="s">
        <v>21</v>
      </c>
      <c r="I3215" s="2" t="s">
        <v>6745</v>
      </c>
      <c r="J3215" s="3" t="str">
        <f>HYPERLINK("https://www.boe.es/gazeta/dias/1821/02/23/pdfs/GGB-1821-54.pdf#page=1","Abrir facsímil")</f>
        <v>Abrir facsímil</v>
      </c>
      <c r="K3215" s="3" t="s">
        <v>23</v>
      </c>
    </row>
    <row r="3216" spans="1:11" ht="42" customHeight="1">
      <c r="A3216" s="2" t="s">
        <v>6746</v>
      </c>
      <c r="B3216" s="2" t="s">
        <v>6747</v>
      </c>
      <c r="C3216" s="2" t="s">
        <v>114</v>
      </c>
      <c r="D3216" s="2" t="s">
        <v>27</v>
      </c>
      <c r="E3216" s="5">
        <v>-28641</v>
      </c>
      <c r="F3216" s="3" t="s">
        <v>398</v>
      </c>
      <c r="G3216" s="3" t="s">
        <v>88</v>
      </c>
      <c r="H3216" s="2" t="s">
        <v>21</v>
      </c>
      <c r="I3216" s="2" t="s">
        <v>6748</v>
      </c>
      <c r="J3216" s="3" t="str">
        <f>HYPERLINK("https://www.boe.es/gazeta/dias/1821/07/31/pdfs/GMD-1821-216.pdf#page=4","Abrir facsímil")</f>
        <v>Abrir facsímil</v>
      </c>
      <c r="K3216" s="3" t="s">
        <v>23</v>
      </c>
    </row>
    <row r="3217" spans="1:11" ht="42" customHeight="1">
      <c r="A3217" s="2" t="s">
        <v>6749</v>
      </c>
      <c r="B3217" s="2" t="s">
        <v>6750</v>
      </c>
      <c r="C3217" s="2" t="s">
        <v>70</v>
      </c>
      <c r="D3217" s="2" t="s">
        <v>27</v>
      </c>
      <c r="E3217" s="5">
        <v>-28790</v>
      </c>
      <c r="F3217" s="3" t="s">
        <v>991</v>
      </c>
      <c r="G3217" s="3" t="s">
        <v>20</v>
      </c>
      <c r="H3217" s="2" t="s">
        <v>21</v>
      </c>
      <c r="I3217" s="2" t="s">
        <v>6751</v>
      </c>
      <c r="J3217" s="3" t="str">
        <f>HYPERLINK("https://www.boe.es/gazeta/dias/1821/03/04/pdfs/GGB-1821-63.pdf#page=3","Abrir facsímil")</f>
        <v>Abrir facsímil</v>
      </c>
      <c r="K3217" s="3" t="s">
        <v>23</v>
      </c>
    </row>
    <row r="3218" spans="1:11" ht="42" customHeight="1">
      <c r="A3218" s="2" t="s">
        <v>6749</v>
      </c>
      <c r="B3218" s="2" t="s">
        <v>6750</v>
      </c>
      <c r="C3218" s="2" t="s">
        <v>40</v>
      </c>
      <c r="D3218" s="2" t="s">
        <v>41</v>
      </c>
      <c r="E3218" s="5">
        <v>-28788</v>
      </c>
      <c r="F3218" s="3" t="s">
        <v>996</v>
      </c>
      <c r="G3218" s="3" t="s">
        <v>20</v>
      </c>
      <c r="H3218" s="2" t="s">
        <v>21</v>
      </c>
      <c r="I3218" s="2" t="s">
        <v>6752</v>
      </c>
      <c r="J3218" s="3" t="str">
        <f>HYPERLINK("https://www.boe.es/gazeta/dias/1821/03/06/pdfs/GGB-1821-65.pdf#page=3","Abrir facsímil")</f>
        <v>Abrir facsímil</v>
      </c>
      <c r="K3218" s="3" t="s">
        <v>23</v>
      </c>
    </row>
    <row r="3219" spans="1:11" ht="42" customHeight="1">
      <c r="A3219" s="2" t="s">
        <v>6749</v>
      </c>
      <c r="B3219" s="2" t="s">
        <v>6750</v>
      </c>
      <c r="C3219" s="2" t="s">
        <v>40</v>
      </c>
      <c r="D3219" s="2" t="s">
        <v>41</v>
      </c>
      <c r="E3219" s="5">
        <v>-28778</v>
      </c>
      <c r="F3219" s="3" t="s">
        <v>1301</v>
      </c>
      <c r="G3219" s="3" t="s">
        <v>29</v>
      </c>
      <c r="H3219" s="2" t="s">
        <v>21</v>
      </c>
      <c r="I3219" s="2" t="s">
        <v>6753</v>
      </c>
      <c r="J3219" s="3" t="str">
        <f>HYPERLINK("https://www.boe.es/gazeta/dias/1821/03/16/pdfs/GMD-1821-75.pdf#page=6","Abrir facsímil")</f>
        <v>Abrir facsímil</v>
      </c>
      <c r="K3219" s="3" t="s">
        <v>23</v>
      </c>
    </row>
    <row r="3220" spans="1:11" ht="42" customHeight="1">
      <c r="A3220" s="2" t="s">
        <v>6754</v>
      </c>
      <c r="B3220" s="2" t="s">
        <v>6755</v>
      </c>
      <c r="C3220" s="2" t="s">
        <v>17</v>
      </c>
      <c r="D3220" s="2" t="s">
        <v>18</v>
      </c>
      <c r="E3220" s="5">
        <v>-28662</v>
      </c>
      <c r="F3220" s="3" t="s">
        <v>3289</v>
      </c>
      <c r="G3220" s="3" t="s">
        <v>20</v>
      </c>
      <c r="H3220" s="2" t="s">
        <v>21</v>
      </c>
      <c r="I3220" s="2" t="s">
        <v>6756</v>
      </c>
      <c r="J3220" s="3" t="str">
        <f>HYPERLINK("https://www.boe.es/gazeta/dias/1821/07/10/pdfs/GMD-1821-195.pdf#page=3","Abrir facsímil")</f>
        <v>Abrir facsímil</v>
      </c>
      <c r="K3220" s="3" t="s">
        <v>23</v>
      </c>
    </row>
    <row r="3221" spans="1:11" ht="42" customHeight="1">
      <c r="A3221" s="2" t="s">
        <v>6757</v>
      </c>
      <c r="B3221" s="2" t="s">
        <v>6758</v>
      </c>
      <c r="C3221" s="2" t="s">
        <v>279</v>
      </c>
      <c r="D3221" s="2" t="s">
        <v>27</v>
      </c>
      <c r="E3221" s="5">
        <v>-28646</v>
      </c>
      <c r="F3221" s="3" t="s">
        <v>1457</v>
      </c>
      <c r="G3221" s="3" t="s">
        <v>79</v>
      </c>
      <c r="H3221" s="2" t="s">
        <v>21</v>
      </c>
      <c r="I3221" s="2" t="s">
        <v>6759</v>
      </c>
      <c r="J3221" s="3" t="str">
        <f>HYPERLINK("https://www.boe.es/gazeta/dias/1821/07/26/pdfs/GMD-1821-211.pdf#page=4","Abrir facsímil")</f>
        <v>Abrir facsímil</v>
      </c>
      <c r="K3221" s="3" t="s">
        <v>23</v>
      </c>
    </row>
    <row r="3222" spans="1:11" ht="42" customHeight="1">
      <c r="A3222" s="2" t="s">
        <v>6760</v>
      </c>
      <c r="B3222" s="2" t="s">
        <v>6760</v>
      </c>
      <c r="C3222" s="2" t="s">
        <v>40</v>
      </c>
      <c r="D3222" s="2" t="s">
        <v>41</v>
      </c>
      <c r="E3222" s="5">
        <v>-28759</v>
      </c>
      <c r="F3222" s="3" t="s">
        <v>71</v>
      </c>
      <c r="G3222" s="3" t="s">
        <v>20</v>
      </c>
      <c r="H3222" s="2" t="s">
        <v>21</v>
      </c>
      <c r="I3222" s="2" t="s">
        <v>6761</v>
      </c>
      <c r="J3222" s="3" t="str">
        <f>HYPERLINK("https://www.boe.es/gazeta/dias/1821/04/04/pdfs/GMD-1821-96.pdf#page=3","Abrir facsímil")</f>
        <v>Abrir facsímil</v>
      </c>
      <c r="K3222" s="3" t="s">
        <v>23</v>
      </c>
    </row>
    <row r="3223" spans="1:11" ht="42" customHeight="1">
      <c r="A3223" s="2" t="s">
        <v>6762</v>
      </c>
      <c r="B3223" s="2" t="s">
        <v>6763</v>
      </c>
      <c r="C3223" s="2" t="s">
        <v>40</v>
      </c>
      <c r="D3223" s="2" t="s">
        <v>41</v>
      </c>
      <c r="E3223" s="5">
        <v>-28512</v>
      </c>
      <c r="F3223" s="3" t="s">
        <v>66</v>
      </c>
      <c r="G3223" s="3" t="s">
        <v>43</v>
      </c>
      <c r="H3223" s="2" t="s">
        <v>21</v>
      </c>
      <c r="I3223" s="2" t="s">
        <v>6764</v>
      </c>
      <c r="J3223" s="3" t="str">
        <f>HYPERLINK("https://www.boe.es/gazeta/dias/1821/12/07/pdfs/GMD-1821-349.pdf#page=1","Abrir facsímil")</f>
        <v>Abrir facsímil</v>
      </c>
      <c r="K3223" s="3" t="s">
        <v>23</v>
      </c>
    </row>
    <row r="3224" spans="1:11" ht="42" customHeight="1">
      <c r="A3224" s="2" t="s">
        <v>6765</v>
      </c>
      <c r="B3224" s="2" t="s">
        <v>6766</v>
      </c>
      <c r="C3224" s="2" t="s">
        <v>70</v>
      </c>
      <c r="D3224" s="2" t="s">
        <v>27</v>
      </c>
      <c r="E3224" s="5">
        <v>-28849</v>
      </c>
      <c r="F3224" s="3" t="s">
        <v>1989</v>
      </c>
      <c r="G3224" s="3" t="s">
        <v>88</v>
      </c>
      <c r="H3224" s="2" t="s">
        <v>30</v>
      </c>
      <c r="I3224" s="2" t="s">
        <v>6767</v>
      </c>
      <c r="J3224" s="3" t="str">
        <f>HYPERLINK("https://www.boe.es/gazeta/dias/1821/01/04/pdfs/GGB-1821-4.pdf#page=4","Abrir facsímil")</f>
        <v>Abrir facsímil</v>
      </c>
      <c r="K3224" s="3" t="s">
        <v>32</v>
      </c>
    </row>
    <row r="3225" spans="1:11" ht="42" customHeight="1">
      <c r="A3225" s="2" t="s">
        <v>6768</v>
      </c>
      <c r="B3225" s="2" t="s">
        <v>6768</v>
      </c>
      <c r="C3225" s="2" t="s">
        <v>26</v>
      </c>
      <c r="D3225" s="2" t="s">
        <v>27</v>
      </c>
      <c r="E3225" s="5">
        <v>-28761</v>
      </c>
      <c r="F3225" s="3" t="s">
        <v>771</v>
      </c>
      <c r="G3225" s="3" t="s">
        <v>20</v>
      </c>
      <c r="H3225" s="2" t="s">
        <v>21</v>
      </c>
      <c r="I3225" s="2" t="s">
        <v>6769</v>
      </c>
      <c r="J3225" s="3" t="str">
        <f>HYPERLINK("https://www.boe.es/gazeta/dias/1821/04/02/pdfs/GMD-1821-94.pdf#page=3","Abrir facsímil")</f>
        <v>Abrir facsímil</v>
      </c>
      <c r="K3225" s="3" t="s">
        <v>23</v>
      </c>
    </row>
    <row r="3226" spans="1:11" ht="42" customHeight="1">
      <c r="A3226" s="2" t="s">
        <v>6770</v>
      </c>
      <c r="B3226" s="2" t="s">
        <v>6771</v>
      </c>
      <c r="C3226" s="2" t="s">
        <v>26</v>
      </c>
      <c r="D3226" s="2" t="s">
        <v>27</v>
      </c>
      <c r="E3226" s="5">
        <v>-28547</v>
      </c>
      <c r="F3226" s="3" t="s">
        <v>247</v>
      </c>
      <c r="G3226" s="3" t="s">
        <v>248</v>
      </c>
      <c r="H3226" s="2" t="s">
        <v>21</v>
      </c>
      <c r="I3226" s="2" t="s">
        <v>6772</v>
      </c>
      <c r="J3226" s="3" t="str">
        <f>HYPERLINK("https://www.boe.es/gazeta/dias/1821/11/02/pdfs/GMD-1821-312.pdf#page=2","Abrir facsímil")</f>
        <v>Abrir facsímil</v>
      </c>
      <c r="K3226" s="3" t="s">
        <v>23</v>
      </c>
    </row>
    <row r="3227" spans="1:11" ht="42" customHeight="1">
      <c r="A3227" s="2" t="s">
        <v>6773</v>
      </c>
      <c r="B3227" s="2" t="s">
        <v>6773</v>
      </c>
      <c r="C3227" s="2" t="s">
        <v>40</v>
      </c>
      <c r="D3227" s="2" t="s">
        <v>41</v>
      </c>
      <c r="E3227" s="5">
        <v>-28760</v>
      </c>
      <c r="F3227" s="3" t="s">
        <v>170</v>
      </c>
      <c r="G3227" s="3" t="s">
        <v>88</v>
      </c>
      <c r="H3227" s="2" t="s">
        <v>21</v>
      </c>
      <c r="I3227" s="2" t="s">
        <v>6774</v>
      </c>
      <c r="J3227" s="3" t="str">
        <f>HYPERLINK("https://www.boe.es/gazeta/dias/1821/04/03/pdfs/GMD-1821-95.pdf#page=4","Abrir facsímil")</f>
        <v>Abrir facsímil</v>
      </c>
      <c r="K3227" s="3" t="s">
        <v>23</v>
      </c>
    </row>
    <row r="3228" spans="1:11" ht="42" customHeight="1">
      <c r="A3228" s="2" t="s">
        <v>6775</v>
      </c>
      <c r="B3228" s="2" t="s">
        <v>6775</v>
      </c>
      <c r="C3228" s="2" t="s">
        <v>17</v>
      </c>
      <c r="D3228" s="2" t="s">
        <v>18</v>
      </c>
      <c r="E3228" s="5">
        <v>-28580</v>
      </c>
      <c r="F3228" s="3" t="s">
        <v>175</v>
      </c>
      <c r="G3228" s="3" t="s">
        <v>20</v>
      </c>
      <c r="H3228" s="2" t="s">
        <v>21</v>
      </c>
      <c r="I3228" s="2" t="s">
        <v>6776</v>
      </c>
      <c r="J3228" s="3" t="str">
        <f>HYPERLINK("https://www.boe.es/gazeta/dias/1821/09/30/pdfs/GMD-1821-279.pdf#page=3","Abrir facsímil")</f>
        <v>Abrir facsímil</v>
      </c>
      <c r="K3228" s="3" t="s">
        <v>23</v>
      </c>
    </row>
    <row r="3229" spans="1:11" ht="42" customHeight="1">
      <c r="A3229" s="2" t="s">
        <v>6777</v>
      </c>
      <c r="B3229" s="2" t="s">
        <v>6777</v>
      </c>
      <c r="C3229" s="2" t="s">
        <v>40</v>
      </c>
      <c r="D3229" s="2" t="s">
        <v>41</v>
      </c>
      <c r="E3229" s="5">
        <v>-28752</v>
      </c>
      <c r="F3229" s="3" t="s">
        <v>1012</v>
      </c>
      <c r="G3229" s="3" t="s">
        <v>88</v>
      </c>
      <c r="H3229" s="2" t="s">
        <v>21</v>
      </c>
      <c r="I3229" s="2" t="s">
        <v>6778</v>
      </c>
      <c r="J3229" s="3" t="str">
        <f>HYPERLINK("https://www.boe.es/gazeta/dias/1821/04/11/pdfs/GMD-1821-103.pdf#page=4","Abrir facsímil")</f>
        <v>Abrir facsímil</v>
      </c>
      <c r="K3229" s="3" t="s">
        <v>23</v>
      </c>
    </row>
    <row r="3230" spans="1:11" ht="42" customHeight="1">
      <c r="A3230" s="2" t="s">
        <v>6779</v>
      </c>
      <c r="B3230" s="2" t="s">
        <v>6779</v>
      </c>
      <c r="C3230" s="2" t="s">
        <v>26</v>
      </c>
      <c r="D3230" s="2" t="s">
        <v>27</v>
      </c>
      <c r="E3230" s="5">
        <v>-28657</v>
      </c>
      <c r="F3230" s="3" t="s">
        <v>5977</v>
      </c>
      <c r="G3230" s="3" t="s">
        <v>20</v>
      </c>
      <c r="H3230" s="2" t="s">
        <v>21</v>
      </c>
      <c r="I3230" s="2" t="s">
        <v>6780</v>
      </c>
      <c r="J3230" s="3" t="str">
        <f>HYPERLINK("https://www.boe.es/gazeta/dias/1821/07/15/pdfs/GMD-1821-200.pdf#page=3","Abrir facsímil")</f>
        <v>Abrir facsímil</v>
      </c>
      <c r="K3230" s="3" t="s">
        <v>23</v>
      </c>
    </row>
    <row r="3231" spans="1:11" ht="42" customHeight="1">
      <c r="A3231" s="2" t="s">
        <v>6781</v>
      </c>
      <c r="B3231" s="2" t="s">
        <v>6782</v>
      </c>
      <c r="C3231" s="2" t="s">
        <v>35</v>
      </c>
      <c r="D3231" s="2" t="s">
        <v>27</v>
      </c>
      <c r="E3231" s="5">
        <v>-28676</v>
      </c>
      <c r="F3231" s="3" t="s">
        <v>534</v>
      </c>
      <c r="G3231" s="3" t="s">
        <v>29</v>
      </c>
      <c r="H3231" s="2" t="s">
        <v>21</v>
      </c>
      <c r="I3231" s="2" t="s">
        <v>6783</v>
      </c>
      <c r="J3231" s="3" t="str">
        <f>HYPERLINK("https://www.boe.es/gazeta/dias/1821/06/26/pdfs/GMD-1821-179.pdf#page=6","Abrir facsímil")</f>
        <v>Abrir facsímil</v>
      </c>
      <c r="K3231" s="3" t="s">
        <v>23</v>
      </c>
    </row>
    <row r="3232" spans="1:11" ht="42" customHeight="1">
      <c r="A3232" s="2" t="s">
        <v>6784</v>
      </c>
      <c r="B3232" s="2" t="s">
        <v>6785</v>
      </c>
      <c r="C3232" s="2" t="s">
        <v>26</v>
      </c>
      <c r="D3232" s="2" t="s">
        <v>27</v>
      </c>
      <c r="E3232" s="5">
        <v>-28842</v>
      </c>
      <c r="F3232" s="3" t="s">
        <v>660</v>
      </c>
      <c r="G3232" s="3" t="s">
        <v>88</v>
      </c>
      <c r="H3232" s="2" t="s">
        <v>21</v>
      </c>
      <c r="I3232" s="2" t="s">
        <v>6786</v>
      </c>
      <c r="J3232" s="3" t="str">
        <f>HYPERLINK("https://www.boe.es/gazeta/dias/1821/01/11/pdfs/GGB-1821-11.pdf#page=4","Abrir facsímil")</f>
        <v>Abrir facsímil</v>
      </c>
      <c r="K3232" s="3" t="s">
        <v>23</v>
      </c>
    </row>
    <row r="3233" spans="1:11" ht="42" customHeight="1">
      <c r="A3233" s="2" t="s">
        <v>6787</v>
      </c>
      <c r="B3233" s="2" t="s">
        <v>6788</v>
      </c>
      <c r="C3233" s="2" t="s">
        <v>26</v>
      </c>
      <c r="D3233" s="2" t="s">
        <v>27</v>
      </c>
      <c r="E3233" s="5">
        <v>-28641</v>
      </c>
      <c r="F3233" s="3" t="s">
        <v>398</v>
      </c>
      <c r="G3233" s="3" t="s">
        <v>20</v>
      </c>
      <c r="H3233" s="2" t="s">
        <v>21</v>
      </c>
      <c r="I3233" s="2" t="s">
        <v>6789</v>
      </c>
      <c r="J3233" s="3" t="str">
        <f>HYPERLINK("https://www.boe.es/gazeta/dias/1821/07/31/pdfs/GMD-1821-216.pdf#page=3","Abrir facsímil")</f>
        <v>Abrir facsímil</v>
      </c>
      <c r="K3233" s="3" t="s">
        <v>23</v>
      </c>
    </row>
    <row r="3234" spans="1:11" ht="42" customHeight="1">
      <c r="A3234" s="2" t="s">
        <v>6790</v>
      </c>
      <c r="B3234" s="2" t="s">
        <v>6791</v>
      </c>
      <c r="C3234" s="2" t="s">
        <v>17</v>
      </c>
      <c r="D3234" s="2" t="s">
        <v>18</v>
      </c>
      <c r="E3234" s="5">
        <v>-28665</v>
      </c>
      <c r="F3234" s="3" t="s">
        <v>789</v>
      </c>
      <c r="G3234" s="3" t="s">
        <v>790</v>
      </c>
      <c r="H3234" s="2" t="s">
        <v>21</v>
      </c>
      <c r="I3234" s="2" t="s">
        <v>6792</v>
      </c>
      <c r="J3234" s="3" t="str">
        <f>HYPERLINK("https://www.boe.es/gazeta/dias/1821/07/07/pdfs/GMD-1821-191.pdf#page=4","Abrir facsímil")</f>
        <v>Abrir facsímil</v>
      </c>
      <c r="K3234" s="3" t="s">
        <v>23</v>
      </c>
    </row>
    <row r="3235" spans="1:11" ht="42" customHeight="1">
      <c r="A3235" s="2" t="s">
        <v>6793</v>
      </c>
      <c r="B3235" s="2" t="s">
        <v>6794</v>
      </c>
      <c r="C3235" s="2" t="s">
        <v>35</v>
      </c>
      <c r="D3235" s="2" t="s">
        <v>27</v>
      </c>
      <c r="E3235" s="5">
        <v>-28549</v>
      </c>
      <c r="F3235" s="3" t="s">
        <v>930</v>
      </c>
      <c r="G3235" s="3" t="s">
        <v>88</v>
      </c>
      <c r="H3235" s="2" t="s">
        <v>21</v>
      </c>
      <c r="I3235" s="2" t="s">
        <v>6795</v>
      </c>
      <c r="J3235" s="3" t="str">
        <f>HYPERLINK("https://www.boe.es/gazeta/dias/1821/10/31/pdfs/GMD-1821-310.pdf#page=4","Abrir facsímil")</f>
        <v>Abrir facsímil</v>
      </c>
      <c r="K3235" s="3" t="s">
        <v>23</v>
      </c>
    </row>
    <row r="3236" spans="1:11" ht="42" customHeight="1">
      <c r="A3236" s="2" t="s">
        <v>6796</v>
      </c>
      <c r="B3236" s="2" t="s">
        <v>6797</v>
      </c>
      <c r="C3236" s="2" t="s">
        <v>174</v>
      </c>
      <c r="D3236" s="2" t="s">
        <v>27</v>
      </c>
      <c r="E3236" s="5">
        <v>-28495</v>
      </c>
      <c r="F3236" s="3" t="s">
        <v>227</v>
      </c>
      <c r="G3236" s="3" t="s">
        <v>20</v>
      </c>
      <c r="H3236" s="2" t="s">
        <v>21</v>
      </c>
      <c r="I3236" s="2" t="s">
        <v>6798</v>
      </c>
      <c r="J3236" s="3" t="str">
        <f>HYPERLINK("https://www.boe.es/gazeta/dias/1821/12/24/pdfs/GMD-1821-367.pdf#page=3","Abrir facsímil")</f>
        <v>Abrir facsímil</v>
      </c>
      <c r="K3236" s="3" t="s">
        <v>23</v>
      </c>
    </row>
    <row r="3237" spans="1:11" ht="42" customHeight="1">
      <c r="A3237" s="2" t="s">
        <v>6799</v>
      </c>
      <c r="B3237" s="2" t="s">
        <v>6799</v>
      </c>
      <c r="C3237" s="2" t="s">
        <v>35</v>
      </c>
      <c r="D3237" s="2" t="s">
        <v>27</v>
      </c>
      <c r="E3237" s="5">
        <v>-28601</v>
      </c>
      <c r="F3237" s="3" t="s">
        <v>2924</v>
      </c>
      <c r="G3237" s="3" t="s">
        <v>43</v>
      </c>
      <c r="H3237" s="2" t="s">
        <v>21</v>
      </c>
      <c r="I3237" s="2" t="s">
        <v>6800</v>
      </c>
      <c r="J3237" s="3" t="str">
        <f>HYPERLINK("https://www.boe.es/gazeta/dias/1821/09/09/pdfs/GMD-1821-257.pdf#page=1","Abrir facsímil")</f>
        <v>Abrir facsímil</v>
      </c>
      <c r="K3237" s="3" t="s">
        <v>23</v>
      </c>
    </row>
    <row r="3238" spans="1:11" ht="42" customHeight="1">
      <c r="A3238" s="2" t="s">
        <v>6801</v>
      </c>
      <c r="B3238" s="2" t="s">
        <v>6802</v>
      </c>
      <c r="C3238" s="2" t="s">
        <v>26</v>
      </c>
      <c r="D3238" s="2" t="s">
        <v>27</v>
      </c>
      <c r="E3238" s="5">
        <v>-28620</v>
      </c>
      <c r="F3238" s="3" t="s">
        <v>87</v>
      </c>
      <c r="G3238" s="3" t="s">
        <v>88</v>
      </c>
      <c r="H3238" s="2" t="s">
        <v>21</v>
      </c>
      <c r="I3238" s="2" t="s">
        <v>6803</v>
      </c>
      <c r="J3238" s="3" t="str">
        <f>HYPERLINK("https://www.boe.es/gazeta/dias/1821/08/21/pdfs/GMD-1821-238.pdf#page=4","Abrir facsímil")</f>
        <v>Abrir facsímil</v>
      </c>
      <c r="K3238" s="3" t="s">
        <v>23</v>
      </c>
    </row>
    <row r="3239" spans="1:11" ht="42" customHeight="1">
      <c r="A3239" s="2" t="s">
        <v>6804</v>
      </c>
      <c r="B3239" s="2" t="s">
        <v>6805</v>
      </c>
      <c r="C3239" s="2" t="s">
        <v>40</v>
      </c>
      <c r="D3239" s="2" t="s">
        <v>41</v>
      </c>
      <c r="E3239" s="5">
        <v>-28653</v>
      </c>
      <c r="F3239" s="3" t="s">
        <v>1179</v>
      </c>
      <c r="G3239" s="3" t="s">
        <v>29</v>
      </c>
      <c r="H3239" s="2" t="s">
        <v>21</v>
      </c>
      <c r="I3239" s="2" t="s">
        <v>6806</v>
      </c>
      <c r="J3239" s="3" t="str">
        <f>HYPERLINK("https://www.boe.es/gazeta/dias/1821/07/19/pdfs/GMD-1821-204.pdf#page=6","Abrir facsímil")</f>
        <v>Abrir facsímil</v>
      </c>
      <c r="K3239" s="3" t="s">
        <v>23</v>
      </c>
    </row>
    <row r="3240" spans="1:11" ht="42" customHeight="1">
      <c r="A3240" s="2" t="s">
        <v>6807</v>
      </c>
      <c r="B3240" s="2" t="s">
        <v>6808</v>
      </c>
      <c r="C3240" s="2" t="s">
        <v>17</v>
      </c>
      <c r="D3240" s="2" t="s">
        <v>18</v>
      </c>
      <c r="E3240" s="5">
        <v>-28742</v>
      </c>
      <c r="F3240" s="3" t="s">
        <v>324</v>
      </c>
      <c r="G3240" s="3" t="s">
        <v>20</v>
      </c>
      <c r="H3240" s="2" t="s">
        <v>21</v>
      </c>
      <c r="I3240" s="2" t="s">
        <v>6809</v>
      </c>
      <c r="J3240" s="3" t="str">
        <f>HYPERLINK("https://www.boe.es/gazeta/dias/1821/04/21/pdfs/GMD-1821-113.pdf#page=3","Abrir facsímil")</f>
        <v>Abrir facsímil</v>
      </c>
      <c r="K3240" s="3" t="s">
        <v>23</v>
      </c>
    </row>
    <row r="3241" spans="1:11" ht="42" customHeight="1">
      <c r="A3241" s="2" t="s">
        <v>6810</v>
      </c>
      <c r="B3241" s="2" t="s">
        <v>6811</v>
      </c>
      <c r="C3241" s="2" t="s">
        <v>40</v>
      </c>
      <c r="D3241" s="2" t="s">
        <v>41</v>
      </c>
      <c r="E3241" s="5">
        <v>-28721</v>
      </c>
      <c r="F3241" s="3" t="s">
        <v>92</v>
      </c>
      <c r="G3241" s="3" t="s">
        <v>88</v>
      </c>
      <c r="H3241" s="2" t="s">
        <v>21</v>
      </c>
      <c r="I3241" s="2" t="s">
        <v>6812</v>
      </c>
      <c r="J3241" s="3" t="str">
        <f>HYPERLINK("https://www.boe.es/gazeta/dias/1821/05/12/pdfs/GMD-1821-134.pdf#page=4","Abrir facsímil")</f>
        <v>Abrir facsímil</v>
      </c>
      <c r="K3241" s="3" t="s">
        <v>23</v>
      </c>
    </row>
    <row r="3242" spans="1:11" ht="42" customHeight="1">
      <c r="A3242" s="2" t="s">
        <v>6813</v>
      </c>
      <c r="B3242" s="2" t="s">
        <v>6814</v>
      </c>
      <c r="C3242" s="2" t="s">
        <v>40</v>
      </c>
      <c r="D3242" s="2" t="s">
        <v>41</v>
      </c>
      <c r="E3242" s="5">
        <v>-28599</v>
      </c>
      <c r="F3242" s="3" t="s">
        <v>902</v>
      </c>
      <c r="G3242" s="3" t="s">
        <v>88</v>
      </c>
      <c r="H3242" s="2" t="s">
        <v>30</v>
      </c>
      <c r="I3242" s="2" t="s">
        <v>6815</v>
      </c>
      <c r="J3242" s="3" t="str">
        <f>HYPERLINK("https://www.boe.es/gazeta/dias/1821/09/11/pdfs/GMD-1821-259.pdf#page=4","Abrir facsímil")</f>
        <v>Abrir facsímil</v>
      </c>
      <c r="K3242" s="3" t="s">
        <v>32</v>
      </c>
    </row>
    <row r="3243" spans="1:11" ht="42" customHeight="1">
      <c r="A3243" s="2" t="s">
        <v>6816</v>
      </c>
      <c r="B3243" s="2" t="s">
        <v>6817</v>
      </c>
      <c r="C3243" s="2" t="s">
        <v>70</v>
      </c>
      <c r="D3243" s="2" t="s">
        <v>27</v>
      </c>
      <c r="E3243" s="5">
        <v>-28753</v>
      </c>
      <c r="F3243" s="3" t="s">
        <v>720</v>
      </c>
      <c r="G3243" s="3" t="s">
        <v>88</v>
      </c>
      <c r="H3243" s="2" t="s">
        <v>21</v>
      </c>
      <c r="I3243" s="2" t="s">
        <v>6818</v>
      </c>
      <c r="J3243" s="3" t="str">
        <f>HYPERLINK("https://www.boe.es/gazeta/dias/1821/04/10/pdfs/GMD-1821-102.pdf#page=4","Abrir facsímil")</f>
        <v>Abrir facsímil</v>
      </c>
      <c r="K3243" s="3" t="s">
        <v>23</v>
      </c>
    </row>
    <row r="3244" spans="1:11" ht="42" customHeight="1">
      <c r="A3244" s="2" t="s">
        <v>6819</v>
      </c>
      <c r="B3244" s="2" t="s">
        <v>6820</v>
      </c>
      <c r="C3244" s="2" t="s">
        <v>40</v>
      </c>
      <c r="D3244" s="2" t="s">
        <v>41</v>
      </c>
      <c r="E3244" s="5">
        <v>-28788</v>
      </c>
      <c r="F3244" s="3" t="s">
        <v>996</v>
      </c>
      <c r="G3244" s="3" t="s">
        <v>88</v>
      </c>
      <c r="H3244" s="2" t="s">
        <v>21</v>
      </c>
      <c r="I3244" s="2" t="s">
        <v>6821</v>
      </c>
      <c r="J3244" s="3" t="str">
        <f>HYPERLINK("https://www.boe.es/gazeta/dias/1821/03/06/pdfs/GGB-1821-65.pdf#page=4","Abrir facsímil")</f>
        <v>Abrir facsímil</v>
      </c>
      <c r="K3244" s="3" t="s">
        <v>23</v>
      </c>
    </row>
    <row r="3245" spans="1:11" ht="42" customHeight="1">
      <c r="A3245" s="2" t="s">
        <v>6822</v>
      </c>
      <c r="B3245" s="2" t="s">
        <v>6823</v>
      </c>
      <c r="C3245" s="2" t="s">
        <v>26</v>
      </c>
      <c r="D3245" s="2" t="s">
        <v>27</v>
      </c>
      <c r="E3245" s="5">
        <v>-28772</v>
      </c>
      <c r="F3245" s="3" t="s">
        <v>62</v>
      </c>
      <c r="G3245" s="3" t="s">
        <v>52</v>
      </c>
      <c r="H3245" s="2" t="s">
        <v>21</v>
      </c>
      <c r="I3245" s="2" t="s">
        <v>6824</v>
      </c>
      <c r="J3245" s="3" t="str">
        <f>HYPERLINK("https://www.boe.es/gazeta/dias/1821/03/22/pdfs/GMD-1821-81.pdf#page=2","Abrir facsímil")</f>
        <v>Abrir facsímil</v>
      </c>
      <c r="K3245" s="3" t="s">
        <v>23</v>
      </c>
    </row>
    <row r="3246" spans="1:11" ht="42" customHeight="1">
      <c r="A3246" s="2" t="s">
        <v>6825</v>
      </c>
      <c r="B3246" s="2" t="s">
        <v>6825</v>
      </c>
      <c r="C3246" s="2" t="s">
        <v>35</v>
      </c>
      <c r="D3246" s="2" t="s">
        <v>27</v>
      </c>
      <c r="E3246" s="5">
        <v>-28564</v>
      </c>
      <c r="F3246" s="3" t="s">
        <v>861</v>
      </c>
      <c r="G3246" s="3" t="s">
        <v>88</v>
      </c>
      <c r="H3246" s="2" t="s">
        <v>21</v>
      </c>
      <c r="I3246" s="2" t="s">
        <v>6826</v>
      </c>
      <c r="J3246" s="3" t="str">
        <f>HYPERLINK("https://www.boe.es/gazeta/dias/1821/10/16/pdfs/GMD-1821-295.pdf#page=4","Abrir facsímil")</f>
        <v>Abrir facsímil</v>
      </c>
      <c r="K3246" s="3" t="s">
        <v>23</v>
      </c>
    </row>
    <row r="3247" spans="1:11" ht="42" customHeight="1">
      <c r="A3247" s="2" t="s">
        <v>6827</v>
      </c>
      <c r="B3247" s="2" t="s">
        <v>6828</v>
      </c>
      <c r="C3247" s="2" t="s">
        <v>40</v>
      </c>
      <c r="D3247" s="2" t="s">
        <v>41</v>
      </c>
      <c r="E3247" s="5">
        <v>-28547</v>
      </c>
      <c r="F3247" s="3" t="s">
        <v>247</v>
      </c>
      <c r="G3247" s="3" t="s">
        <v>248</v>
      </c>
      <c r="H3247" s="2" t="s">
        <v>21</v>
      </c>
      <c r="I3247" s="2" t="s">
        <v>6829</v>
      </c>
      <c r="J3247" s="3" t="str">
        <f>HYPERLINK("https://www.boe.es/gazeta/dias/1821/11/02/pdfs/GMD-1821-312.pdf#page=2","Abrir facsímil")</f>
        <v>Abrir facsímil</v>
      </c>
      <c r="K3247" s="3" t="s">
        <v>23</v>
      </c>
    </row>
    <row r="3248" spans="1:11" ht="42" customHeight="1">
      <c r="A3248" s="2" t="s">
        <v>6830</v>
      </c>
      <c r="B3248" s="2" t="s">
        <v>6831</v>
      </c>
      <c r="C3248" s="2" t="s">
        <v>26</v>
      </c>
      <c r="D3248" s="2" t="s">
        <v>27</v>
      </c>
      <c r="E3248" s="5">
        <v>-28496</v>
      </c>
      <c r="F3248" s="3" t="s">
        <v>785</v>
      </c>
      <c r="G3248" s="3" t="s">
        <v>52</v>
      </c>
      <c r="H3248" s="2" t="s">
        <v>21</v>
      </c>
      <c r="I3248" s="2" t="s">
        <v>6832</v>
      </c>
      <c r="J3248" s="3" t="str">
        <f>HYPERLINK("https://www.boe.es/gazeta/dias/1821/12/23/pdfs/GMD-1821-366.pdf#page=2","Abrir facsímil")</f>
        <v>Abrir facsímil</v>
      </c>
      <c r="K3248" s="3" t="s">
        <v>23</v>
      </c>
    </row>
    <row r="3249" spans="1:11" ht="42" customHeight="1">
      <c r="A3249" s="2" t="s">
        <v>6833</v>
      </c>
      <c r="B3249" s="2" t="s">
        <v>6834</v>
      </c>
      <c r="C3249" s="2" t="s">
        <v>40</v>
      </c>
      <c r="D3249" s="2" t="s">
        <v>41</v>
      </c>
      <c r="E3249" s="5">
        <v>-28676</v>
      </c>
      <c r="F3249" s="3" t="s">
        <v>534</v>
      </c>
      <c r="G3249" s="3" t="s">
        <v>29</v>
      </c>
      <c r="H3249" s="2" t="s">
        <v>21</v>
      </c>
      <c r="I3249" s="2" t="s">
        <v>6835</v>
      </c>
      <c r="J3249" s="3" t="str">
        <f>HYPERLINK("https://www.boe.es/gazeta/dias/1821/06/26/pdfs/GMD-1821-179.pdf#page=6","Abrir facsímil")</f>
        <v>Abrir facsímil</v>
      </c>
      <c r="K3249" s="3" t="s">
        <v>23</v>
      </c>
    </row>
    <row r="3250" spans="1:11" ht="42" customHeight="1">
      <c r="A3250" s="2" t="s">
        <v>6836</v>
      </c>
      <c r="B3250" s="2" t="s">
        <v>6837</v>
      </c>
      <c r="C3250" s="2" t="s">
        <v>40</v>
      </c>
      <c r="D3250" s="2" t="s">
        <v>41</v>
      </c>
      <c r="E3250" s="5">
        <v>-28507</v>
      </c>
      <c r="F3250" s="3" t="s">
        <v>1158</v>
      </c>
      <c r="G3250" s="3" t="s">
        <v>20</v>
      </c>
      <c r="H3250" s="2" t="s">
        <v>21</v>
      </c>
      <c r="I3250" s="2" t="s">
        <v>6838</v>
      </c>
      <c r="J3250" s="3" t="str">
        <f>HYPERLINK("https://www.boe.es/gazeta/dias/1821/12/12/pdfs/GMD-1821-354.pdf#page=3","Abrir facsímil")</f>
        <v>Abrir facsímil</v>
      </c>
      <c r="K3250" s="3" t="s">
        <v>23</v>
      </c>
    </row>
    <row r="3251" spans="1:11" ht="42" customHeight="1">
      <c r="A3251" s="2" t="s">
        <v>6839</v>
      </c>
      <c r="B3251" s="2" t="s">
        <v>6840</v>
      </c>
      <c r="C3251" s="2" t="s">
        <v>174</v>
      </c>
      <c r="D3251" s="2" t="s">
        <v>27</v>
      </c>
      <c r="E3251" s="5">
        <v>-28570</v>
      </c>
      <c r="F3251" s="3" t="s">
        <v>2300</v>
      </c>
      <c r="G3251" s="3" t="s">
        <v>29</v>
      </c>
      <c r="H3251" s="2" t="s">
        <v>30</v>
      </c>
      <c r="I3251" s="2" t="s">
        <v>6841</v>
      </c>
      <c r="J3251" s="3" t="str">
        <f>HYPERLINK("https://www.boe.es/gazeta/dias/1821/10/10/pdfs/GMD-1821-289.pdf#page=6","Abrir facsímil")</f>
        <v>Abrir facsímil</v>
      </c>
      <c r="K3251" s="3" t="s">
        <v>32</v>
      </c>
    </row>
    <row r="3252" spans="1:11" ht="42" customHeight="1">
      <c r="A3252" s="2" t="s">
        <v>6842</v>
      </c>
      <c r="B3252" s="2" t="s">
        <v>6843</v>
      </c>
      <c r="C3252" s="2" t="s">
        <v>35</v>
      </c>
      <c r="D3252" s="2" t="s">
        <v>27</v>
      </c>
      <c r="E3252" s="5">
        <v>-28495</v>
      </c>
      <c r="F3252" s="3" t="s">
        <v>227</v>
      </c>
      <c r="G3252" s="3" t="s">
        <v>20</v>
      </c>
      <c r="H3252" s="2" t="s">
        <v>21</v>
      </c>
      <c r="I3252" s="2" t="s">
        <v>6844</v>
      </c>
      <c r="J3252" s="3" t="str">
        <f>HYPERLINK("https://www.boe.es/gazeta/dias/1821/12/24/pdfs/GMD-1821-367.pdf#page=3","Abrir facsímil")</f>
        <v>Abrir facsímil</v>
      </c>
      <c r="K3252" s="3" t="s">
        <v>23</v>
      </c>
    </row>
    <row r="3253" spans="1:11" ht="42" customHeight="1">
      <c r="A3253" s="2" t="s">
        <v>6845</v>
      </c>
      <c r="B3253" s="2" t="s">
        <v>6846</v>
      </c>
      <c r="C3253" s="2" t="s">
        <v>17</v>
      </c>
      <c r="D3253" s="2" t="s">
        <v>18</v>
      </c>
      <c r="E3253" s="5">
        <v>-28656</v>
      </c>
      <c r="F3253" s="3" t="s">
        <v>2399</v>
      </c>
      <c r="G3253" s="3" t="s">
        <v>3208</v>
      </c>
      <c r="H3253" s="2" t="s">
        <v>21</v>
      </c>
      <c r="I3253" s="2" t="s">
        <v>6847</v>
      </c>
      <c r="J3253" s="3" t="str">
        <f>HYPERLINK("https://www.boe.es/gazeta/dias/1821/07/16/pdfs/GMD-1821-201.pdf#page=3","Abrir facsímil")</f>
        <v>Abrir facsímil</v>
      </c>
      <c r="K3253" s="3" t="s">
        <v>23</v>
      </c>
    </row>
    <row r="3254" spans="1:11" ht="42" customHeight="1">
      <c r="A3254" s="2" t="s">
        <v>6848</v>
      </c>
      <c r="B3254" s="2" t="s">
        <v>6849</v>
      </c>
      <c r="C3254" s="2" t="s">
        <v>35</v>
      </c>
      <c r="D3254" s="2" t="s">
        <v>27</v>
      </c>
      <c r="E3254" s="5">
        <v>-28574</v>
      </c>
      <c r="F3254" s="3" t="s">
        <v>779</v>
      </c>
      <c r="G3254" s="3" t="s">
        <v>333</v>
      </c>
      <c r="H3254" s="2" t="s">
        <v>21</v>
      </c>
      <c r="I3254" s="2" t="s">
        <v>6850</v>
      </c>
      <c r="J3254" s="3" t="str">
        <f>HYPERLINK("https://www.boe.es/gazeta/dias/1821/10/06/pdfs/GMD-1821-285.pdf#page=8","Abrir facsímil")</f>
        <v>Abrir facsímil</v>
      </c>
      <c r="K3254" s="3" t="s">
        <v>23</v>
      </c>
    </row>
    <row r="3255" spans="1:11" ht="42" customHeight="1">
      <c r="A3255" s="2" t="s">
        <v>6851</v>
      </c>
      <c r="B3255" s="2" t="s">
        <v>6852</v>
      </c>
      <c r="C3255" s="2" t="s">
        <v>17</v>
      </c>
      <c r="D3255" s="2" t="s">
        <v>18</v>
      </c>
      <c r="E3255" s="5">
        <v>-28738</v>
      </c>
      <c r="F3255" s="3" t="s">
        <v>359</v>
      </c>
      <c r="G3255" s="3" t="s">
        <v>20</v>
      </c>
      <c r="H3255" s="2" t="s">
        <v>21</v>
      </c>
      <c r="I3255" s="2" t="s">
        <v>6853</v>
      </c>
      <c r="J3255" s="3" t="str">
        <f>HYPERLINK("https://www.boe.es/gazeta/dias/1821/04/25/pdfs/GMD-1821-117.pdf#page=3","Abrir facsímil")</f>
        <v>Abrir facsímil</v>
      </c>
      <c r="K3255" s="3" t="s">
        <v>23</v>
      </c>
    </row>
    <row r="3256" spans="1:11" ht="42" customHeight="1">
      <c r="A3256" s="2" t="s">
        <v>6854</v>
      </c>
      <c r="B3256" s="2" t="s">
        <v>6855</v>
      </c>
      <c r="C3256" s="2" t="s">
        <v>17</v>
      </c>
      <c r="D3256" s="2" t="s">
        <v>18</v>
      </c>
      <c r="E3256" s="5">
        <v>-28676</v>
      </c>
      <c r="F3256" s="3" t="s">
        <v>534</v>
      </c>
      <c r="G3256" s="3" t="s">
        <v>29</v>
      </c>
      <c r="H3256" s="2" t="s">
        <v>21</v>
      </c>
      <c r="I3256" s="2" t="s">
        <v>6856</v>
      </c>
      <c r="J3256" s="3" t="str">
        <f>HYPERLINK("https://www.boe.es/gazeta/dias/1821/06/26/pdfs/GMD-1821-179.pdf#page=6","Abrir facsímil")</f>
        <v>Abrir facsímil</v>
      </c>
      <c r="K3256" s="3" t="s">
        <v>23</v>
      </c>
    </row>
    <row r="3257" spans="1:11" ht="42" customHeight="1">
      <c r="A3257" s="2" t="s">
        <v>6857</v>
      </c>
      <c r="B3257" s="2" t="s">
        <v>6858</v>
      </c>
      <c r="C3257" s="2" t="s">
        <v>26</v>
      </c>
      <c r="D3257" s="2" t="s">
        <v>27</v>
      </c>
      <c r="E3257" s="5">
        <v>-28779</v>
      </c>
      <c r="F3257" s="3" t="s">
        <v>1002</v>
      </c>
      <c r="G3257" s="3" t="s">
        <v>52</v>
      </c>
      <c r="H3257" s="2" t="s">
        <v>21</v>
      </c>
      <c r="I3257" s="2" t="s">
        <v>6859</v>
      </c>
      <c r="J3257" s="3" t="str">
        <f>HYPERLINK("https://www.boe.es/gazeta/dias/1821/03/15/pdfs/GMD-1821-74.pdf#page=2","Abrir facsímil")</f>
        <v>Abrir facsímil</v>
      </c>
      <c r="K3257" s="3" t="s">
        <v>23</v>
      </c>
    </row>
    <row r="3258" spans="1:11" ht="42" customHeight="1">
      <c r="A3258" s="2" t="s">
        <v>6860</v>
      </c>
      <c r="B3258" s="2" t="s">
        <v>6861</v>
      </c>
      <c r="C3258" s="2" t="s">
        <v>70</v>
      </c>
      <c r="D3258" s="2" t="s">
        <v>27</v>
      </c>
      <c r="E3258" s="5">
        <v>-28504</v>
      </c>
      <c r="F3258" s="3" t="s">
        <v>1098</v>
      </c>
      <c r="G3258" s="3" t="s">
        <v>333</v>
      </c>
      <c r="H3258" s="2" t="s">
        <v>21</v>
      </c>
      <c r="I3258" s="2" t="s">
        <v>6862</v>
      </c>
      <c r="J3258" s="3" t="str">
        <f>HYPERLINK("https://www.boe.es/gazeta/dias/1821/12/15/pdfs/GMD-1821-358.pdf#page=8","Abrir facsímil")</f>
        <v>Abrir facsímil</v>
      </c>
      <c r="K3258" s="3" t="s">
        <v>23</v>
      </c>
    </row>
    <row r="3259" spans="1:11" ht="42" customHeight="1">
      <c r="A3259" s="2" t="s">
        <v>6863</v>
      </c>
      <c r="B3259" s="2" t="s">
        <v>6864</v>
      </c>
      <c r="C3259" s="2" t="s">
        <v>40</v>
      </c>
      <c r="D3259" s="2" t="s">
        <v>41</v>
      </c>
      <c r="E3259" s="5">
        <v>-28788</v>
      </c>
      <c r="F3259" s="3" t="s">
        <v>996</v>
      </c>
      <c r="G3259" s="3" t="s">
        <v>88</v>
      </c>
      <c r="H3259" s="2" t="s">
        <v>21</v>
      </c>
      <c r="I3259" s="2" t="s">
        <v>6865</v>
      </c>
      <c r="J3259" s="3" t="str">
        <f>HYPERLINK("https://www.boe.es/gazeta/dias/1821/03/06/pdfs/GGB-1821-65.pdf#page=4","Abrir facsímil")</f>
        <v>Abrir facsímil</v>
      </c>
      <c r="K3259" s="3" t="s">
        <v>23</v>
      </c>
    </row>
    <row r="3260" spans="1:11" ht="42" customHeight="1">
      <c r="A3260" s="2" t="s">
        <v>6863</v>
      </c>
      <c r="B3260" s="2" t="s">
        <v>6864</v>
      </c>
      <c r="C3260" s="2" t="s">
        <v>17</v>
      </c>
      <c r="D3260" s="2" t="s">
        <v>18</v>
      </c>
      <c r="E3260" s="5">
        <v>-28669</v>
      </c>
      <c r="F3260" s="3" t="s">
        <v>2816</v>
      </c>
      <c r="G3260" s="3" t="s">
        <v>20</v>
      </c>
      <c r="H3260" s="2" t="s">
        <v>21</v>
      </c>
      <c r="I3260" s="2" t="s">
        <v>6866</v>
      </c>
      <c r="J3260" s="3" t="str">
        <f>HYPERLINK("https://www.boe.es/gazeta/dias/1821/07/03/pdfs/GMD-1821-187.pdf#page=3","Abrir facsímil")</f>
        <v>Abrir facsímil</v>
      </c>
      <c r="K3260" s="3" t="s">
        <v>23</v>
      </c>
    </row>
    <row r="3261" spans="1:11" ht="42" customHeight="1">
      <c r="A3261" s="2" t="s">
        <v>6867</v>
      </c>
      <c r="B3261" s="2" t="s">
        <v>6868</v>
      </c>
      <c r="C3261" s="2" t="s">
        <v>114</v>
      </c>
      <c r="D3261" s="2" t="s">
        <v>27</v>
      </c>
      <c r="E3261" s="5">
        <v>-28629</v>
      </c>
      <c r="F3261" s="3" t="s">
        <v>235</v>
      </c>
      <c r="G3261" s="3" t="s">
        <v>88</v>
      </c>
      <c r="H3261" s="2" t="s">
        <v>21</v>
      </c>
      <c r="I3261" s="2" t="s">
        <v>6869</v>
      </c>
      <c r="J3261" s="3" t="str">
        <f>HYPERLINK("https://www.boe.es/gazeta/dias/1821/08/12/pdfs/GMD-1821-229.pdf#page=4","Abrir facsímil")</f>
        <v>Abrir facsímil</v>
      </c>
      <c r="K3261" s="3" t="s">
        <v>23</v>
      </c>
    </row>
    <row r="3262" spans="1:11" ht="42" customHeight="1">
      <c r="A3262" s="2" t="s">
        <v>6870</v>
      </c>
      <c r="B3262" s="2" t="s">
        <v>6871</v>
      </c>
      <c r="C3262" s="2" t="s">
        <v>26</v>
      </c>
      <c r="D3262" s="2" t="s">
        <v>27</v>
      </c>
      <c r="E3262" s="5">
        <v>-28764</v>
      </c>
      <c r="F3262" s="3" t="s">
        <v>924</v>
      </c>
      <c r="G3262" s="3" t="s">
        <v>52</v>
      </c>
      <c r="H3262" s="2" t="s">
        <v>21</v>
      </c>
      <c r="I3262" s="2" t="s">
        <v>6872</v>
      </c>
      <c r="J3262" s="3" t="str">
        <f>HYPERLINK("https://www.boe.es/gazeta/dias/1821/03/30/pdfs/GMD-1821-91.pdf#page=2","Abrir facsímil")</f>
        <v>Abrir facsímil</v>
      </c>
      <c r="K3262" s="3" t="s">
        <v>23</v>
      </c>
    </row>
    <row r="3263" spans="1:11" ht="42" customHeight="1">
      <c r="A3263" s="2" t="s">
        <v>6873</v>
      </c>
      <c r="B3263" s="2" t="s">
        <v>6874</v>
      </c>
      <c r="C3263" s="2" t="s">
        <v>17</v>
      </c>
      <c r="D3263" s="2" t="s">
        <v>18</v>
      </c>
      <c r="E3263" s="5">
        <v>-28535</v>
      </c>
      <c r="F3263" s="3" t="s">
        <v>96</v>
      </c>
      <c r="G3263" s="3" t="s">
        <v>52</v>
      </c>
      <c r="H3263" s="2" t="s">
        <v>21</v>
      </c>
      <c r="I3263" s="2" t="s">
        <v>6875</v>
      </c>
      <c r="J3263" s="3" t="str">
        <f>HYPERLINK("https://www.boe.es/gazeta/dias/1821/11/14/pdfs/GMD-1821-325.pdf#page=2","Abrir facsímil")</f>
        <v>Abrir facsímil</v>
      </c>
      <c r="K3263" s="3" t="s">
        <v>23</v>
      </c>
    </row>
    <row r="3264" spans="1:11" ht="42" customHeight="1">
      <c r="A3264" s="2" t="s">
        <v>6876</v>
      </c>
      <c r="B3264" s="2" t="s">
        <v>6877</v>
      </c>
      <c r="C3264" s="2" t="s">
        <v>40</v>
      </c>
      <c r="D3264" s="2" t="s">
        <v>41</v>
      </c>
      <c r="E3264" s="5">
        <v>-28541</v>
      </c>
      <c r="F3264" s="3" t="s">
        <v>275</v>
      </c>
      <c r="G3264" s="3" t="s">
        <v>52</v>
      </c>
      <c r="H3264" s="2" t="s">
        <v>21</v>
      </c>
      <c r="I3264" s="2" t="s">
        <v>6878</v>
      </c>
      <c r="J3264" s="3" t="str">
        <f>HYPERLINK("https://www.boe.es/gazeta/dias/1821/11/08/pdfs/GMD-1821-319.pdf#page=2","Abrir facsímil")</f>
        <v>Abrir facsímil</v>
      </c>
      <c r="K3264" s="3" t="s">
        <v>23</v>
      </c>
    </row>
    <row r="3265" spans="1:11" ht="42" customHeight="1">
      <c r="A3265" s="2" t="s">
        <v>6879</v>
      </c>
      <c r="B3265" s="2" t="s">
        <v>6880</v>
      </c>
      <c r="C3265" s="2" t="s">
        <v>114</v>
      </c>
      <c r="D3265" s="2" t="s">
        <v>27</v>
      </c>
      <c r="E3265" s="5">
        <v>-28529</v>
      </c>
      <c r="F3265" s="3" t="s">
        <v>525</v>
      </c>
      <c r="G3265" s="3" t="s">
        <v>88</v>
      </c>
      <c r="H3265" s="2" t="s">
        <v>30</v>
      </c>
      <c r="I3265" s="2" t="s">
        <v>6881</v>
      </c>
      <c r="J3265" s="3" t="str">
        <f>HYPERLINK("https://www.boe.es/gazeta/dias/1821/11/20/pdfs/GMD-1821-331.pdf#page=4","Abrir facsímil")</f>
        <v>Abrir facsímil</v>
      </c>
      <c r="K3265" s="3" t="s">
        <v>32</v>
      </c>
    </row>
    <row r="3266" spans="1:11" ht="42" customHeight="1">
      <c r="A3266" s="2" t="s">
        <v>6882</v>
      </c>
      <c r="B3266" s="2" t="s">
        <v>6882</v>
      </c>
      <c r="C3266" s="2" t="s">
        <v>40</v>
      </c>
      <c r="D3266" s="2" t="s">
        <v>41</v>
      </c>
      <c r="E3266" s="5">
        <v>-28774</v>
      </c>
      <c r="F3266" s="3" t="s">
        <v>1221</v>
      </c>
      <c r="G3266" s="3" t="s">
        <v>88</v>
      </c>
      <c r="H3266" s="2" t="s">
        <v>21</v>
      </c>
      <c r="I3266" s="2" t="s">
        <v>6883</v>
      </c>
      <c r="J3266" s="3" t="str">
        <f>HYPERLINK("https://www.boe.es/gazeta/dias/1821/03/20/pdfs/GMD-1821-79.pdf#page=4","Abrir facsímil")</f>
        <v>Abrir facsímil</v>
      </c>
      <c r="K3266" s="3" t="s">
        <v>23</v>
      </c>
    </row>
    <row r="3267" spans="1:11" ht="42" customHeight="1">
      <c r="A3267" s="2" t="s">
        <v>6882</v>
      </c>
      <c r="B3267" s="2" t="s">
        <v>6882</v>
      </c>
      <c r="C3267" s="2" t="s">
        <v>35</v>
      </c>
      <c r="D3267" s="2" t="s">
        <v>27</v>
      </c>
      <c r="E3267" s="5">
        <v>-28748</v>
      </c>
      <c r="F3267" s="3" t="s">
        <v>634</v>
      </c>
      <c r="G3267" s="3" t="s">
        <v>20</v>
      </c>
      <c r="H3267" s="2" t="s">
        <v>21</v>
      </c>
      <c r="I3267" s="2" t="s">
        <v>6884</v>
      </c>
      <c r="J3267" s="3" t="str">
        <f>HYPERLINK("https://www.boe.es/gazeta/dias/1821/04/15/pdfs/GMD-1821-107.pdf#page=3","Abrir facsímil")</f>
        <v>Abrir facsímil</v>
      </c>
      <c r="K3267" s="3" t="s">
        <v>23</v>
      </c>
    </row>
    <row r="3268" spans="1:11" ht="42" customHeight="1">
      <c r="A3268" s="2" t="s">
        <v>6882</v>
      </c>
      <c r="B3268" s="2" t="s">
        <v>6882</v>
      </c>
      <c r="C3268" s="2" t="s">
        <v>26</v>
      </c>
      <c r="D3268" s="2" t="s">
        <v>27</v>
      </c>
      <c r="E3268" s="5">
        <v>-28531</v>
      </c>
      <c r="F3268" s="3" t="s">
        <v>365</v>
      </c>
      <c r="G3268" s="3" t="s">
        <v>162</v>
      </c>
      <c r="H3268" s="2" t="s">
        <v>21</v>
      </c>
      <c r="I3268" s="2" t="s">
        <v>6885</v>
      </c>
      <c r="J3268" s="3" t="str">
        <f>HYPERLINK("https://www.boe.es/gazeta/dias/1821/11/18/pdfs/GMD-1821-329.pdf#page=5","Abrir facsímil")</f>
        <v>Abrir facsímil</v>
      </c>
      <c r="K3268" s="3" t="s">
        <v>23</v>
      </c>
    </row>
    <row r="3269" spans="1:11" ht="42" customHeight="1">
      <c r="A3269" s="2" t="s">
        <v>6886</v>
      </c>
      <c r="B3269" s="2" t="s">
        <v>6887</v>
      </c>
      <c r="C3269" s="2" t="s">
        <v>26</v>
      </c>
      <c r="D3269" s="2" t="s">
        <v>27</v>
      </c>
      <c r="E3269" s="5">
        <v>-28675</v>
      </c>
      <c r="F3269" s="3" t="s">
        <v>943</v>
      </c>
      <c r="G3269" s="3" t="s">
        <v>52</v>
      </c>
      <c r="H3269" s="2" t="s">
        <v>21</v>
      </c>
      <c r="I3269" s="2" t="s">
        <v>6888</v>
      </c>
      <c r="J3269" s="3" t="str">
        <f>HYPERLINK("https://www.boe.es/gazeta/dias/1821/06/27/pdfs/GMD-1821-180.pdf#page=2","Abrir facsímil")</f>
        <v>Abrir facsímil</v>
      </c>
      <c r="K3269" s="3" t="s">
        <v>23</v>
      </c>
    </row>
    <row r="3270" spans="1:11" ht="42" customHeight="1">
      <c r="A3270" s="2" t="s">
        <v>6889</v>
      </c>
      <c r="B3270" s="2" t="s">
        <v>6890</v>
      </c>
      <c r="C3270" s="2" t="s">
        <v>174</v>
      </c>
      <c r="D3270" s="2" t="s">
        <v>27</v>
      </c>
      <c r="E3270" s="5">
        <v>-28766</v>
      </c>
      <c r="F3270" s="3" t="s">
        <v>1481</v>
      </c>
      <c r="G3270" s="3" t="s">
        <v>52</v>
      </c>
      <c r="H3270" s="2" t="s">
        <v>30</v>
      </c>
      <c r="I3270" s="2" t="s">
        <v>6891</v>
      </c>
      <c r="J3270" s="3" t="str">
        <f>HYPERLINK("https://www.boe.es/gazeta/dias/1821/03/28/pdfs/GMD-1821-88.pdf#page=2","Abrir facsímil")</f>
        <v>Abrir facsímil</v>
      </c>
      <c r="K3270" s="3" t="s">
        <v>32</v>
      </c>
    </row>
    <row r="3271" spans="1:11" ht="42" customHeight="1">
      <c r="A3271" s="2" t="s">
        <v>6892</v>
      </c>
      <c r="B3271" s="2" t="s">
        <v>6893</v>
      </c>
      <c r="C3271" s="2" t="s">
        <v>40</v>
      </c>
      <c r="D3271" s="2" t="s">
        <v>41</v>
      </c>
      <c r="E3271" s="5">
        <v>-28689</v>
      </c>
      <c r="F3271" s="3" t="s">
        <v>194</v>
      </c>
      <c r="G3271" s="3" t="s">
        <v>52</v>
      </c>
      <c r="H3271" s="2" t="s">
        <v>21</v>
      </c>
      <c r="I3271" s="2" t="s">
        <v>6894</v>
      </c>
      <c r="J3271" s="3" t="str">
        <f>HYPERLINK("https://www.boe.es/gazeta/dias/1821/06/13/pdfs/GMD-1821-166.pdf#page=2","Abrir facsímil")</f>
        <v>Abrir facsímil</v>
      </c>
      <c r="K3271" s="3" t="s">
        <v>23</v>
      </c>
    </row>
    <row r="3272" spans="1:11" ht="42" customHeight="1">
      <c r="A3272" s="2" t="s">
        <v>6892</v>
      </c>
      <c r="B3272" s="2" t="s">
        <v>6893</v>
      </c>
      <c r="C3272" s="2" t="s">
        <v>114</v>
      </c>
      <c r="D3272" s="2" t="s">
        <v>27</v>
      </c>
      <c r="E3272" s="5">
        <v>-28685</v>
      </c>
      <c r="F3272" s="3" t="s">
        <v>303</v>
      </c>
      <c r="G3272" s="3" t="s">
        <v>162</v>
      </c>
      <c r="H3272" s="2" t="s">
        <v>21</v>
      </c>
      <c r="I3272" s="2" t="s">
        <v>6895</v>
      </c>
      <c r="J3272" s="3" t="str">
        <f>HYPERLINK("https://www.boe.es/gazeta/dias/1821/06/17/pdfs/GMD-1821-170.pdf#page=5","Abrir facsímil")</f>
        <v>Abrir facsímil</v>
      </c>
      <c r="K3272" s="3" t="s">
        <v>23</v>
      </c>
    </row>
    <row r="3273" spans="1:11" ht="42" customHeight="1">
      <c r="A3273" s="2" t="s">
        <v>6896</v>
      </c>
      <c r="B3273" s="2" t="s">
        <v>6897</v>
      </c>
      <c r="C3273" s="2" t="s">
        <v>17</v>
      </c>
      <c r="D3273" s="2" t="s">
        <v>18</v>
      </c>
      <c r="E3273" s="5">
        <v>-28749</v>
      </c>
      <c r="F3273" s="3" t="s">
        <v>832</v>
      </c>
      <c r="G3273" s="3" t="s">
        <v>88</v>
      </c>
      <c r="H3273" s="2" t="s">
        <v>21</v>
      </c>
      <c r="I3273" s="2" t="s">
        <v>6898</v>
      </c>
      <c r="J3273" s="3" t="str">
        <f>HYPERLINK("https://www.boe.es/gazeta/dias/1821/04/14/pdfs/GMD-1821-106.pdf#page=4","Abrir facsímil")</f>
        <v>Abrir facsímil</v>
      </c>
      <c r="K3273" s="3" t="s">
        <v>23</v>
      </c>
    </row>
    <row r="3274" spans="1:11" ht="42" customHeight="1">
      <c r="A3274" s="2" t="s">
        <v>6899</v>
      </c>
      <c r="B3274" s="2" t="s">
        <v>6900</v>
      </c>
      <c r="C3274" s="2" t="s">
        <v>40</v>
      </c>
      <c r="D3274" s="2" t="s">
        <v>41</v>
      </c>
      <c r="E3274" s="5">
        <v>-28578</v>
      </c>
      <c r="F3274" s="3" t="s">
        <v>899</v>
      </c>
      <c r="G3274" s="3" t="s">
        <v>52</v>
      </c>
      <c r="H3274" s="2" t="s">
        <v>21</v>
      </c>
      <c r="I3274" s="2" t="s">
        <v>6901</v>
      </c>
      <c r="J3274" s="3" t="str">
        <f>HYPERLINK("https://www.boe.es/gazeta/dias/1821/10/02/pdfs/GMD-1821-281.pdf#page=2","Abrir facsímil")</f>
        <v>Abrir facsímil</v>
      </c>
      <c r="K3274" s="3" t="s">
        <v>23</v>
      </c>
    </row>
    <row r="3275" spans="1:11" ht="42" customHeight="1">
      <c r="A3275" s="2" t="s">
        <v>6902</v>
      </c>
      <c r="B3275" s="2" t="s">
        <v>6903</v>
      </c>
      <c r="C3275" s="2" t="s">
        <v>35</v>
      </c>
      <c r="D3275" s="2" t="s">
        <v>27</v>
      </c>
      <c r="E3275" s="5">
        <v>-28777</v>
      </c>
      <c r="F3275" s="3" t="s">
        <v>1004</v>
      </c>
      <c r="G3275" s="3" t="s">
        <v>1005</v>
      </c>
      <c r="H3275" s="2" t="s">
        <v>21</v>
      </c>
      <c r="I3275" s="2" t="s">
        <v>6904</v>
      </c>
      <c r="J3275" s="3" t="str">
        <f>HYPERLINK("https://www.boe.es/gazeta/dias/1821/03/17/pdfs/GMD-1821-76.pdf#page=2","Abrir facsímil")</f>
        <v>Abrir facsímil</v>
      </c>
      <c r="K3275" s="3" t="s">
        <v>23</v>
      </c>
    </row>
    <row r="3276" spans="1:11" ht="42" customHeight="1">
      <c r="A3276" s="2" t="s">
        <v>6905</v>
      </c>
      <c r="B3276" s="2" t="s">
        <v>6906</v>
      </c>
      <c r="C3276" s="2" t="s">
        <v>35</v>
      </c>
      <c r="D3276" s="2" t="s">
        <v>27</v>
      </c>
      <c r="E3276" s="5">
        <v>-28706</v>
      </c>
      <c r="F3276" s="3" t="s">
        <v>4791</v>
      </c>
      <c r="G3276" s="3" t="s">
        <v>52</v>
      </c>
      <c r="H3276" s="2" t="s">
        <v>21</v>
      </c>
      <c r="I3276" s="2" t="s">
        <v>6907</v>
      </c>
      <c r="J3276" s="3" t="str">
        <f>HYPERLINK("https://www.boe.es/gazeta/dias/1821/05/27/pdfs/GMD-1821-149.pdf#page=2","Abrir facsímil")</f>
        <v>Abrir facsímil</v>
      </c>
      <c r="K3276" s="3" t="s">
        <v>23</v>
      </c>
    </row>
    <row r="3277" spans="1:11" ht="42" customHeight="1">
      <c r="A3277" s="2" t="s">
        <v>6908</v>
      </c>
      <c r="B3277" s="2" t="s">
        <v>6909</v>
      </c>
      <c r="C3277" s="2" t="s">
        <v>40</v>
      </c>
      <c r="D3277" s="2" t="s">
        <v>41</v>
      </c>
      <c r="E3277" s="5">
        <v>-28704</v>
      </c>
      <c r="F3277" s="3" t="s">
        <v>1050</v>
      </c>
      <c r="G3277" s="3" t="s">
        <v>52</v>
      </c>
      <c r="H3277" s="2" t="s">
        <v>21</v>
      </c>
      <c r="I3277" s="2" t="s">
        <v>6910</v>
      </c>
      <c r="J3277" s="3" t="str">
        <f>HYPERLINK("https://www.boe.es/gazeta/dias/1821/05/29/pdfs/GMD-1821-151.pdf#page=2","Abrir facsímil")</f>
        <v>Abrir facsímil</v>
      </c>
      <c r="K3277" s="3" t="s">
        <v>23</v>
      </c>
    </row>
    <row r="3278" spans="1:11" ht="42" customHeight="1">
      <c r="A3278" s="2" t="s">
        <v>6911</v>
      </c>
      <c r="B3278" s="2" t="s">
        <v>6912</v>
      </c>
      <c r="C3278" s="2" t="s">
        <v>26</v>
      </c>
      <c r="D3278" s="2" t="s">
        <v>27</v>
      </c>
      <c r="E3278" s="5">
        <v>-28804</v>
      </c>
      <c r="F3278" s="3" t="s">
        <v>1580</v>
      </c>
      <c r="G3278" s="3" t="s">
        <v>88</v>
      </c>
      <c r="H3278" s="2" t="s">
        <v>30</v>
      </c>
      <c r="I3278" s="2" t="s">
        <v>6913</v>
      </c>
      <c r="J3278" s="3" t="str">
        <f>HYPERLINK("https://www.boe.es/gazeta/dias/1821/02/18/pdfs/GGB-1821-49.pdf#page=4","Abrir facsímil")</f>
        <v>Abrir facsímil</v>
      </c>
      <c r="K3278" s="3" t="s">
        <v>32</v>
      </c>
    </row>
    <row r="3279" spans="1:11" ht="42" customHeight="1">
      <c r="A3279" s="2" t="s">
        <v>6914</v>
      </c>
      <c r="B3279" s="2" t="s">
        <v>6914</v>
      </c>
      <c r="C3279" s="2" t="s">
        <v>17</v>
      </c>
      <c r="D3279" s="2" t="s">
        <v>18</v>
      </c>
      <c r="E3279" s="5">
        <v>-28700</v>
      </c>
      <c r="F3279" s="3" t="s">
        <v>701</v>
      </c>
      <c r="G3279" s="3" t="s">
        <v>88</v>
      </c>
      <c r="H3279" s="2" t="s">
        <v>21</v>
      </c>
      <c r="I3279" s="2" t="s">
        <v>6915</v>
      </c>
      <c r="J3279" s="3" t="str">
        <f>HYPERLINK("https://www.boe.es/gazeta/dias/1821/06/02/pdfs/GMD-1821-155.pdf#page=4","Abrir facsímil")</f>
        <v>Abrir facsímil</v>
      </c>
      <c r="K3279" s="3" t="s">
        <v>23</v>
      </c>
    </row>
    <row r="3280" spans="1:11" ht="42" customHeight="1">
      <c r="A3280" s="2" t="s">
        <v>6916</v>
      </c>
      <c r="B3280" s="2" t="s">
        <v>6917</v>
      </c>
      <c r="C3280" s="2" t="s">
        <v>26</v>
      </c>
      <c r="D3280" s="2" t="s">
        <v>27</v>
      </c>
      <c r="E3280" s="5">
        <v>-28531</v>
      </c>
      <c r="F3280" s="3" t="s">
        <v>365</v>
      </c>
      <c r="G3280" s="3" t="s">
        <v>20</v>
      </c>
      <c r="H3280" s="2" t="s">
        <v>21</v>
      </c>
      <c r="I3280" s="2" t="s">
        <v>6918</v>
      </c>
      <c r="J3280" s="3" t="str">
        <f>HYPERLINK("https://www.boe.es/gazeta/dias/1821/11/18/pdfs/GMD-1821-329.pdf#page=3","Abrir facsímil")</f>
        <v>Abrir facsímil</v>
      </c>
      <c r="K3280" s="3" t="s">
        <v>23</v>
      </c>
    </row>
    <row r="3281" spans="1:11" ht="42" customHeight="1">
      <c r="A3281" s="2" t="s">
        <v>6919</v>
      </c>
      <c r="B3281" s="2" t="s">
        <v>6919</v>
      </c>
      <c r="C3281" s="2" t="s">
        <v>40</v>
      </c>
      <c r="D3281" s="2" t="s">
        <v>41</v>
      </c>
      <c r="E3281" s="5">
        <v>-28616</v>
      </c>
      <c r="F3281" s="3" t="s">
        <v>1912</v>
      </c>
      <c r="G3281" s="3" t="s">
        <v>1913</v>
      </c>
      <c r="H3281" s="2" t="s">
        <v>21</v>
      </c>
      <c r="I3281" s="2" t="s">
        <v>6920</v>
      </c>
      <c r="J3281" s="3" t="str">
        <f>HYPERLINK("https://www.boe.es/gazeta/dias/1821/08/25/pdfs/GMD-1821-242.pdf#page=3","Abrir facsímil")</f>
        <v>Abrir facsímil</v>
      </c>
      <c r="K3281" s="3" t="s">
        <v>23</v>
      </c>
    </row>
    <row r="3282" spans="1:11" ht="42" customHeight="1">
      <c r="A3282" s="2" t="s">
        <v>6921</v>
      </c>
      <c r="B3282" s="2" t="s">
        <v>6922</v>
      </c>
      <c r="C3282" s="2" t="s">
        <v>26</v>
      </c>
      <c r="D3282" s="2" t="s">
        <v>27</v>
      </c>
      <c r="E3282" s="5">
        <v>-28703</v>
      </c>
      <c r="F3282" s="3" t="s">
        <v>231</v>
      </c>
      <c r="G3282" s="3" t="s">
        <v>43</v>
      </c>
      <c r="H3282" s="2" t="s">
        <v>21</v>
      </c>
      <c r="I3282" s="2" t="s">
        <v>6923</v>
      </c>
      <c r="J3282" s="3" t="str">
        <f>HYPERLINK("https://www.boe.es/gazeta/dias/1821/05/30/pdfs/GMD-1821-152.pdf#page=1","Abrir facsímil")</f>
        <v>Abrir facsímil</v>
      </c>
      <c r="K3282" s="3" t="s">
        <v>23</v>
      </c>
    </row>
    <row r="3283" spans="1:11" ht="42" customHeight="1">
      <c r="A3283" s="2" t="s">
        <v>6924</v>
      </c>
      <c r="B3283" s="2" t="s">
        <v>6925</v>
      </c>
      <c r="C3283" s="2" t="s">
        <v>17</v>
      </c>
      <c r="D3283" s="2" t="s">
        <v>18</v>
      </c>
      <c r="E3283" s="5">
        <v>-28665</v>
      </c>
      <c r="F3283" s="3" t="s">
        <v>789</v>
      </c>
      <c r="G3283" s="3" t="s">
        <v>790</v>
      </c>
      <c r="H3283" s="2" t="s">
        <v>21</v>
      </c>
      <c r="I3283" s="2" t="s">
        <v>6926</v>
      </c>
      <c r="J3283" s="3" t="str">
        <f>HYPERLINK("https://www.boe.es/gazeta/dias/1821/07/07/pdfs/GMD-1821-191.pdf#page=4","Abrir facsímil")</f>
        <v>Abrir facsímil</v>
      </c>
      <c r="K3283" s="3" t="s">
        <v>23</v>
      </c>
    </row>
    <row r="3284" spans="1:11" ht="42" customHeight="1">
      <c r="A3284" s="2" t="s">
        <v>6927</v>
      </c>
      <c r="B3284" s="2" t="s">
        <v>6927</v>
      </c>
      <c r="C3284" s="2" t="s">
        <v>26</v>
      </c>
      <c r="D3284" s="2" t="s">
        <v>27</v>
      </c>
      <c r="E3284" s="5">
        <v>-28666</v>
      </c>
      <c r="F3284" s="3" t="s">
        <v>1263</v>
      </c>
      <c r="G3284" s="3" t="s">
        <v>88</v>
      </c>
      <c r="H3284" s="2" t="s">
        <v>21</v>
      </c>
      <c r="I3284" s="2" t="s">
        <v>6928</v>
      </c>
      <c r="J3284" s="3" t="str">
        <f>HYPERLINK("https://www.boe.es/gazeta/dias/1821/07/06/pdfs/GMD-1821-190.pdf#page=4","Abrir facsímil")</f>
        <v>Abrir facsímil</v>
      </c>
      <c r="K3284" s="3" t="s">
        <v>23</v>
      </c>
    </row>
    <row r="3285" spans="1:11" ht="42" customHeight="1">
      <c r="A3285" s="2" t="s">
        <v>6927</v>
      </c>
      <c r="B3285" s="2" t="s">
        <v>6927</v>
      </c>
      <c r="C3285" s="2" t="s">
        <v>40</v>
      </c>
      <c r="D3285" s="2" t="s">
        <v>41</v>
      </c>
      <c r="E3285" s="5">
        <v>-28629</v>
      </c>
      <c r="F3285" s="3" t="s">
        <v>235</v>
      </c>
      <c r="G3285" s="3" t="s">
        <v>88</v>
      </c>
      <c r="H3285" s="2" t="s">
        <v>21</v>
      </c>
      <c r="I3285" s="2" t="s">
        <v>6929</v>
      </c>
      <c r="J3285" s="3" t="str">
        <f>HYPERLINK("https://www.boe.es/gazeta/dias/1821/08/12/pdfs/GMD-1821-229.pdf#page=4","Abrir facsímil")</f>
        <v>Abrir facsímil</v>
      </c>
      <c r="K3285" s="3" t="s">
        <v>23</v>
      </c>
    </row>
    <row r="3286" spans="1:11" ht="42" customHeight="1">
      <c r="A3286" s="2" t="s">
        <v>6927</v>
      </c>
      <c r="B3286" s="2" t="s">
        <v>6927</v>
      </c>
      <c r="C3286" s="2" t="s">
        <v>17</v>
      </c>
      <c r="D3286" s="2" t="s">
        <v>18</v>
      </c>
      <c r="E3286" s="5">
        <v>-28606</v>
      </c>
      <c r="F3286" s="3" t="s">
        <v>1799</v>
      </c>
      <c r="G3286" s="3" t="s">
        <v>88</v>
      </c>
      <c r="H3286" s="2" t="s">
        <v>21</v>
      </c>
      <c r="I3286" s="2" t="s">
        <v>6930</v>
      </c>
      <c r="J3286" s="3" t="str">
        <f>HYPERLINK("https://www.boe.es/gazeta/dias/1821/09/04/pdfs/GMD-1821-252.pdf#page=4","Abrir facsímil")</f>
        <v>Abrir facsímil</v>
      </c>
      <c r="K3286" s="3" t="s">
        <v>23</v>
      </c>
    </row>
    <row r="3287" spans="1:11" ht="42" customHeight="1">
      <c r="A3287" s="2" t="s">
        <v>6931</v>
      </c>
      <c r="B3287" s="2" t="s">
        <v>6932</v>
      </c>
      <c r="C3287" s="2" t="s">
        <v>26</v>
      </c>
      <c r="D3287" s="2" t="s">
        <v>27</v>
      </c>
      <c r="E3287" s="5">
        <v>-28518</v>
      </c>
      <c r="F3287" s="3" t="s">
        <v>410</v>
      </c>
      <c r="G3287" s="3" t="s">
        <v>52</v>
      </c>
      <c r="H3287" s="2" t="s">
        <v>21</v>
      </c>
      <c r="I3287" s="2" t="s">
        <v>6933</v>
      </c>
      <c r="J3287" s="3" t="str">
        <f>HYPERLINK("https://www.boe.es/gazeta/dias/1821/12/01/pdfs/GMD-1821-343.pdf#page=2","Abrir facsímil")</f>
        <v>Abrir facsímil</v>
      </c>
      <c r="K3287" s="3" t="s">
        <v>23</v>
      </c>
    </row>
    <row r="3288" spans="1:11" ht="42" customHeight="1">
      <c r="A3288" s="2" t="s">
        <v>6934</v>
      </c>
      <c r="B3288" s="2" t="s">
        <v>6935</v>
      </c>
      <c r="C3288" s="2" t="s">
        <v>40</v>
      </c>
      <c r="D3288" s="2" t="s">
        <v>41</v>
      </c>
      <c r="E3288" s="5">
        <v>-28702</v>
      </c>
      <c r="F3288" s="3" t="s">
        <v>1176</v>
      </c>
      <c r="G3288" s="3" t="s">
        <v>88</v>
      </c>
      <c r="H3288" s="2" t="s">
        <v>21</v>
      </c>
      <c r="I3288" s="2" t="s">
        <v>6936</v>
      </c>
      <c r="J3288" s="3" t="str">
        <f>HYPERLINK("https://www.boe.es/gazeta/dias/1821/05/31/pdfs/GMD-1821-153.pdf#page=4","Abrir facsímil")</f>
        <v>Abrir facsímil</v>
      </c>
      <c r="K3288" s="3" t="s">
        <v>23</v>
      </c>
    </row>
    <row r="3289" spans="1:11" ht="42" customHeight="1">
      <c r="A3289" s="2" t="s">
        <v>6937</v>
      </c>
      <c r="B3289" s="2" t="s">
        <v>6938</v>
      </c>
      <c r="C3289" s="2" t="s">
        <v>35</v>
      </c>
      <c r="D3289" s="2" t="s">
        <v>27</v>
      </c>
      <c r="E3289" s="5">
        <v>-28735</v>
      </c>
      <c r="F3289" s="3" t="s">
        <v>836</v>
      </c>
      <c r="G3289" s="3" t="s">
        <v>52</v>
      </c>
      <c r="H3289" s="2" t="s">
        <v>21</v>
      </c>
      <c r="I3289" s="2" t="s">
        <v>6939</v>
      </c>
      <c r="J3289" s="3" t="str">
        <f>HYPERLINK("https://www.boe.es/gazeta/dias/1821/04/28/pdfs/GMD-1821-120.pdf#page=2","Abrir facsímil")</f>
        <v>Abrir facsímil</v>
      </c>
      <c r="K3289" s="3" t="s">
        <v>23</v>
      </c>
    </row>
    <row r="3290" spans="1:11" ht="42" customHeight="1">
      <c r="A3290" s="2" t="s">
        <v>6940</v>
      </c>
      <c r="B3290" s="2" t="s">
        <v>6941</v>
      </c>
      <c r="C3290" s="2" t="s">
        <v>17</v>
      </c>
      <c r="D3290" s="2" t="s">
        <v>18</v>
      </c>
      <c r="E3290" s="5">
        <v>-28732</v>
      </c>
      <c r="F3290" s="3" t="s">
        <v>2628</v>
      </c>
      <c r="G3290" s="3" t="s">
        <v>52</v>
      </c>
      <c r="H3290" s="2" t="s">
        <v>21</v>
      </c>
      <c r="I3290" s="2" t="s">
        <v>6942</v>
      </c>
      <c r="J3290" s="3" t="str">
        <f>HYPERLINK("https://www.boe.es/gazeta/dias/1821/05/01/pdfs/GMD-1821-123.pdf#page=2","Abrir facsímil")</f>
        <v>Abrir facsímil</v>
      </c>
      <c r="K3290" s="3" t="s">
        <v>23</v>
      </c>
    </row>
    <row r="3291" spans="1:11" ht="42" customHeight="1">
      <c r="A3291" s="2" t="s">
        <v>6943</v>
      </c>
      <c r="B3291" s="2" t="s">
        <v>6944</v>
      </c>
      <c r="C3291" s="2" t="s">
        <v>35</v>
      </c>
      <c r="D3291" s="2" t="s">
        <v>27</v>
      </c>
      <c r="E3291" s="5">
        <v>-28541</v>
      </c>
      <c r="F3291" s="3" t="s">
        <v>275</v>
      </c>
      <c r="G3291" s="3" t="s">
        <v>52</v>
      </c>
      <c r="H3291" s="2" t="s">
        <v>21</v>
      </c>
      <c r="I3291" s="2" t="s">
        <v>6945</v>
      </c>
      <c r="J3291" s="3" t="str">
        <f>HYPERLINK("https://www.boe.es/gazeta/dias/1821/11/08/pdfs/GMD-1821-319.pdf#page=2","Abrir facsímil")</f>
        <v>Abrir facsímil</v>
      </c>
      <c r="K3291" s="3" t="s">
        <v>23</v>
      </c>
    </row>
    <row r="3292" spans="1:11" ht="42" customHeight="1">
      <c r="A3292" s="2" t="s">
        <v>6946</v>
      </c>
      <c r="B3292" s="2" t="s">
        <v>6946</v>
      </c>
      <c r="C3292" s="2" t="s">
        <v>26</v>
      </c>
      <c r="D3292" s="2" t="s">
        <v>27</v>
      </c>
      <c r="E3292" s="5">
        <v>-28849</v>
      </c>
      <c r="F3292" s="3" t="s">
        <v>1989</v>
      </c>
      <c r="G3292" s="3" t="s">
        <v>20</v>
      </c>
      <c r="H3292" s="2" t="s">
        <v>21</v>
      </c>
      <c r="I3292" s="2" t="s">
        <v>6947</v>
      </c>
      <c r="J3292" s="3" t="str">
        <f>HYPERLINK("https://www.boe.es/gazeta/dias/1821/01/04/pdfs/GGB-1821-4.pdf#page=3","Abrir facsímil")</f>
        <v>Abrir facsímil</v>
      </c>
      <c r="K3292" s="3" t="s">
        <v>23</v>
      </c>
    </row>
    <row r="3293" spans="1:11" ht="42" customHeight="1">
      <c r="A3293" s="2" t="s">
        <v>6948</v>
      </c>
      <c r="B3293" s="2" t="s">
        <v>6948</v>
      </c>
      <c r="C3293" s="2" t="s">
        <v>40</v>
      </c>
      <c r="D3293" s="2" t="s">
        <v>41</v>
      </c>
      <c r="E3293" s="5">
        <v>-28837</v>
      </c>
      <c r="F3293" s="3" t="s">
        <v>1234</v>
      </c>
      <c r="G3293" s="3" t="s">
        <v>20</v>
      </c>
      <c r="H3293" s="2" t="s">
        <v>21</v>
      </c>
      <c r="I3293" s="2" t="s">
        <v>6949</v>
      </c>
      <c r="J3293" s="3" t="str">
        <f>HYPERLINK("https://www.boe.es/gazeta/dias/1821/01/16/pdfs/GGB-1821-16.pdf#page=3","Abrir facsímil")</f>
        <v>Abrir facsímil</v>
      </c>
      <c r="K3293" s="3" t="s">
        <v>23</v>
      </c>
    </row>
    <row r="3294" spans="1:11" ht="42" customHeight="1">
      <c r="A3294" s="2" t="s">
        <v>6948</v>
      </c>
      <c r="B3294" s="2" t="s">
        <v>6948</v>
      </c>
      <c r="C3294" s="2" t="s">
        <v>40</v>
      </c>
      <c r="D3294" s="2" t="s">
        <v>41</v>
      </c>
      <c r="E3294" s="5">
        <v>-28631</v>
      </c>
      <c r="F3294" s="3" t="s">
        <v>751</v>
      </c>
      <c r="G3294" s="3" t="s">
        <v>43</v>
      </c>
      <c r="H3294" s="2" t="s">
        <v>21</v>
      </c>
      <c r="I3294" s="2" t="s">
        <v>6950</v>
      </c>
      <c r="J3294" s="3" t="str">
        <f>HYPERLINK("https://www.boe.es/gazeta/dias/1821/08/10/pdfs/GMD-1821-227.pdf#page=1","Abrir facsímil")</f>
        <v>Abrir facsímil</v>
      </c>
      <c r="K3294" s="3" t="s">
        <v>23</v>
      </c>
    </row>
    <row r="3295" spans="1:11" ht="42" customHeight="1">
      <c r="A3295" s="2" t="s">
        <v>6951</v>
      </c>
      <c r="B3295" s="2" t="s">
        <v>6952</v>
      </c>
      <c r="C3295" s="2" t="s">
        <v>40</v>
      </c>
      <c r="D3295" s="2" t="s">
        <v>41</v>
      </c>
      <c r="E3295" s="5">
        <v>-28671</v>
      </c>
      <c r="F3295" s="3" t="s">
        <v>5059</v>
      </c>
      <c r="G3295" s="3" t="s">
        <v>43</v>
      </c>
      <c r="H3295" s="2" t="s">
        <v>21</v>
      </c>
      <c r="I3295" s="2" t="s">
        <v>6953</v>
      </c>
      <c r="J3295" s="3" t="str">
        <f>HYPERLINK("https://www.boe.es/gazeta/dias/1821/07/01/pdfs/GMD-1821-185.pdf#page=1","Abrir facsímil")</f>
        <v>Abrir facsímil</v>
      </c>
      <c r="K3295" s="3" t="s">
        <v>23</v>
      </c>
    </row>
    <row r="3296" spans="1:11" ht="42" customHeight="1">
      <c r="A3296" s="2" t="s">
        <v>6954</v>
      </c>
      <c r="B3296" s="2" t="s">
        <v>6955</v>
      </c>
      <c r="C3296" s="2" t="s">
        <v>17</v>
      </c>
      <c r="D3296" s="2" t="s">
        <v>18</v>
      </c>
      <c r="E3296" s="5">
        <v>-28618</v>
      </c>
      <c r="F3296" s="3" t="s">
        <v>4041</v>
      </c>
      <c r="G3296" s="3" t="s">
        <v>20</v>
      </c>
      <c r="H3296" s="2" t="s">
        <v>21</v>
      </c>
      <c r="I3296" s="2" t="s">
        <v>6956</v>
      </c>
      <c r="J3296" s="3" t="str">
        <f>HYPERLINK("https://www.boe.es/gazeta/dias/1821/08/23/pdfs/GMD-1821-240.pdf#page=3","Abrir facsímil")</f>
        <v>Abrir facsímil</v>
      </c>
      <c r="K3296" s="3" t="s">
        <v>23</v>
      </c>
    </row>
    <row r="3297" spans="1:11" ht="42" customHeight="1">
      <c r="A3297" s="2" t="s">
        <v>6957</v>
      </c>
      <c r="B3297" s="2" t="s">
        <v>6958</v>
      </c>
      <c r="C3297" s="2" t="s">
        <v>174</v>
      </c>
      <c r="D3297" s="2" t="s">
        <v>27</v>
      </c>
      <c r="E3297" s="5">
        <v>-28810</v>
      </c>
      <c r="F3297" s="3" t="s">
        <v>308</v>
      </c>
      <c r="G3297" s="3" t="s">
        <v>88</v>
      </c>
      <c r="H3297" s="2" t="s">
        <v>21</v>
      </c>
      <c r="I3297" s="2" t="s">
        <v>6959</v>
      </c>
      <c r="J3297" s="3" t="str">
        <f>HYPERLINK("https://www.boe.es/gazeta/dias/1821/02/12/pdfs/GGB-1821-43.pdf#page=4","Abrir facsímil")</f>
        <v>Abrir facsímil</v>
      </c>
      <c r="K3297" s="3" t="s">
        <v>23</v>
      </c>
    </row>
    <row r="3298" spans="1:11" ht="42" customHeight="1">
      <c r="A3298" s="2" t="s">
        <v>6957</v>
      </c>
      <c r="B3298" s="2" t="s">
        <v>6958</v>
      </c>
      <c r="C3298" s="2" t="s">
        <v>17</v>
      </c>
      <c r="D3298" s="2" t="s">
        <v>18</v>
      </c>
      <c r="E3298" s="5">
        <v>-28665</v>
      </c>
      <c r="F3298" s="3" t="s">
        <v>789</v>
      </c>
      <c r="G3298" s="3" t="s">
        <v>790</v>
      </c>
      <c r="H3298" s="2" t="s">
        <v>21</v>
      </c>
      <c r="I3298" s="2" t="s">
        <v>6960</v>
      </c>
      <c r="J3298" s="3" t="str">
        <f>HYPERLINK("https://www.boe.es/gazeta/dias/1821/07/07/pdfs/GMD-1821-191.pdf#page=4","Abrir facsímil")</f>
        <v>Abrir facsímil</v>
      </c>
      <c r="K3298" s="3" t="s">
        <v>23</v>
      </c>
    </row>
    <row r="3299" spans="1:11" ht="42" customHeight="1">
      <c r="A3299" s="2" t="s">
        <v>6961</v>
      </c>
      <c r="B3299" s="2" t="s">
        <v>6962</v>
      </c>
      <c r="C3299" s="2" t="s">
        <v>40</v>
      </c>
      <c r="D3299" s="2" t="s">
        <v>41</v>
      </c>
      <c r="E3299" s="5">
        <v>-28507</v>
      </c>
      <c r="F3299" s="3" t="s">
        <v>1158</v>
      </c>
      <c r="G3299" s="3" t="s">
        <v>52</v>
      </c>
      <c r="H3299" s="2" t="s">
        <v>21</v>
      </c>
      <c r="I3299" s="2" t="s">
        <v>6963</v>
      </c>
      <c r="J3299" s="3" t="str">
        <f>HYPERLINK("https://www.boe.es/gazeta/dias/1821/12/12/pdfs/GMD-1821-354.pdf#page=2","Abrir facsímil")</f>
        <v>Abrir facsímil</v>
      </c>
      <c r="K3299" s="3" t="s">
        <v>23</v>
      </c>
    </row>
    <row r="3300" spans="1:11" ht="42" customHeight="1">
      <c r="A3300" s="2" t="s">
        <v>6964</v>
      </c>
      <c r="B3300" s="2" t="s">
        <v>6965</v>
      </c>
      <c r="C3300" s="2" t="s">
        <v>40</v>
      </c>
      <c r="D3300" s="2" t="s">
        <v>41</v>
      </c>
      <c r="E3300" s="5">
        <v>-28623</v>
      </c>
      <c r="F3300" s="3" t="s">
        <v>2767</v>
      </c>
      <c r="G3300" s="3" t="s">
        <v>20</v>
      </c>
      <c r="H3300" s="2" t="s">
        <v>21</v>
      </c>
      <c r="I3300" s="2" t="s">
        <v>6966</v>
      </c>
      <c r="J3300" s="3" t="str">
        <f>HYPERLINK("https://www.boe.es/gazeta/dias/1821/08/18/pdfs/GMD-1821-235.pdf#page=3","Abrir facsímil")</f>
        <v>Abrir facsímil</v>
      </c>
      <c r="K3300" s="3" t="s">
        <v>23</v>
      </c>
    </row>
    <row r="3301" spans="1:11" ht="42" customHeight="1">
      <c r="A3301" s="2" t="s">
        <v>6967</v>
      </c>
      <c r="B3301" s="2" t="s">
        <v>6968</v>
      </c>
      <c r="C3301" s="2" t="s">
        <v>35</v>
      </c>
      <c r="D3301" s="2" t="s">
        <v>27</v>
      </c>
      <c r="E3301" s="5">
        <v>-28626</v>
      </c>
      <c r="F3301" s="3" t="s">
        <v>468</v>
      </c>
      <c r="G3301" s="3" t="s">
        <v>88</v>
      </c>
      <c r="H3301" s="2" t="s">
        <v>21</v>
      </c>
      <c r="I3301" s="2" t="s">
        <v>6969</v>
      </c>
      <c r="J3301" s="3" t="str">
        <f>HYPERLINK("https://www.boe.es/gazeta/dias/1821/08/15/pdfs/GMD-1821-232.pdf#page=4","Abrir facsímil")</f>
        <v>Abrir facsímil</v>
      </c>
      <c r="K3301" s="3" t="s">
        <v>23</v>
      </c>
    </row>
    <row r="3302" spans="1:11" ht="42" customHeight="1">
      <c r="A3302" s="2" t="s">
        <v>6970</v>
      </c>
      <c r="B3302" s="2" t="s">
        <v>6971</v>
      </c>
      <c r="C3302" s="2" t="s">
        <v>114</v>
      </c>
      <c r="D3302" s="2" t="s">
        <v>27</v>
      </c>
      <c r="E3302" s="5">
        <v>-28836</v>
      </c>
      <c r="F3302" s="3" t="s">
        <v>601</v>
      </c>
      <c r="G3302" s="3" t="s">
        <v>20</v>
      </c>
      <c r="H3302" s="2" t="s">
        <v>21</v>
      </c>
      <c r="I3302" s="2" t="s">
        <v>6972</v>
      </c>
      <c r="J3302" s="3" t="str">
        <f>HYPERLINK("https://www.boe.es/gazeta/dias/1821/01/17/pdfs/GGB-1821-17.pdf#page=3","Abrir facsímil")</f>
        <v>Abrir facsímil</v>
      </c>
      <c r="K3302" s="3" t="s">
        <v>23</v>
      </c>
    </row>
    <row r="3303" spans="1:11" ht="42" customHeight="1">
      <c r="A3303" s="2" t="s">
        <v>6973</v>
      </c>
      <c r="B3303" s="2" t="s">
        <v>6974</v>
      </c>
      <c r="C3303" s="2" t="s">
        <v>40</v>
      </c>
      <c r="D3303" s="2" t="s">
        <v>41</v>
      </c>
      <c r="E3303" s="5">
        <v>-28512</v>
      </c>
      <c r="F3303" s="3" t="s">
        <v>66</v>
      </c>
      <c r="G3303" s="3" t="s">
        <v>43</v>
      </c>
      <c r="H3303" s="2" t="s">
        <v>21</v>
      </c>
      <c r="I3303" s="2" t="s">
        <v>6975</v>
      </c>
      <c r="J3303" s="3" t="str">
        <f>HYPERLINK("https://www.boe.es/gazeta/dias/1821/12/07/pdfs/GMD-1821-349.pdf#page=1","Abrir facsímil")</f>
        <v>Abrir facsímil</v>
      </c>
      <c r="K3303" s="3" t="s">
        <v>23</v>
      </c>
    </row>
    <row r="3304" spans="1:11" ht="42" customHeight="1">
      <c r="A3304" s="2" t="s">
        <v>6976</v>
      </c>
      <c r="B3304" s="2" t="s">
        <v>6977</v>
      </c>
      <c r="C3304" s="2" t="s">
        <v>35</v>
      </c>
      <c r="D3304" s="2" t="s">
        <v>27</v>
      </c>
      <c r="E3304" s="5">
        <v>-28777</v>
      </c>
      <c r="F3304" s="3" t="s">
        <v>1004</v>
      </c>
      <c r="G3304" s="3" t="s">
        <v>29</v>
      </c>
      <c r="H3304" s="2" t="s">
        <v>21</v>
      </c>
      <c r="I3304" s="2" t="s">
        <v>6978</v>
      </c>
      <c r="J3304" s="3" t="str">
        <f>HYPERLINK("https://www.boe.es/gazeta/dias/1821/03/17/pdfs/GMD-1821-76.pdf#page=6","Abrir facsímil")</f>
        <v>Abrir facsímil</v>
      </c>
      <c r="K3304" s="3" t="s">
        <v>23</v>
      </c>
    </row>
    <row r="3305" spans="1:11" ht="42" customHeight="1">
      <c r="A3305" s="2" t="s">
        <v>6979</v>
      </c>
      <c r="B3305" s="2" t="s">
        <v>6980</v>
      </c>
      <c r="C3305" s="2" t="s">
        <v>114</v>
      </c>
      <c r="D3305" s="2" t="s">
        <v>27</v>
      </c>
      <c r="E3305" s="5">
        <v>-28536</v>
      </c>
      <c r="F3305" s="3" t="s">
        <v>553</v>
      </c>
      <c r="G3305" s="3" t="s">
        <v>20</v>
      </c>
      <c r="H3305" s="2" t="s">
        <v>21</v>
      </c>
      <c r="I3305" s="2" t="s">
        <v>6981</v>
      </c>
      <c r="J3305" s="3" t="str">
        <f>HYPERLINK("https://www.boe.es/gazeta/dias/1821/11/13/pdfs/GMD-1821-324.pdf#page=3","Abrir facsímil")</f>
        <v>Abrir facsímil</v>
      </c>
      <c r="K3305" s="3" t="s">
        <v>23</v>
      </c>
    </row>
    <row r="3306" spans="1:11" ht="42" customHeight="1">
      <c r="A3306" s="2" t="s">
        <v>6982</v>
      </c>
      <c r="B3306" s="2" t="s">
        <v>6983</v>
      </c>
      <c r="C3306" s="2" t="s">
        <v>114</v>
      </c>
      <c r="D3306" s="2" t="s">
        <v>27</v>
      </c>
      <c r="E3306" s="5">
        <v>-28774</v>
      </c>
      <c r="F3306" s="3" t="s">
        <v>1221</v>
      </c>
      <c r="G3306" s="3" t="s">
        <v>88</v>
      </c>
      <c r="H3306" s="2" t="s">
        <v>21</v>
      </c>
      <c r="I3306" s="2" t="s">
        <v>6984</v>
      </c>
      <c r="J3306" s="3" t="str">
        <f>HYPERLINK("https://www.boe.es/gazeta/dias/1821/03/20/pdfs/GMD-1821-79.pdf#page=4","Abrir facsímil")</f>
        <v>Abrir facsímil</v>
      </c>
      <c r="K3306" s="3" t="s">
        <v>23</v>
      </c>
    </row>
    <row r="3307" spans="1:11" ht="42" customHeight="1">
      <c r="A3307" s="2" t="s">
        <v>6985</v>
      </c>
      <c r="B3307" s="2" t="s">
        <v>6986</v>
      </c>
      <c r="C3307" s="2" t="s">
        <v>35</v>
      </c>
      <c r="D3307" s="2" t="s">
        <v>27</v>
      </c>
      <c r="E3307" s="5">
        <v>-28778</v>
      </c>
      <c r="F3307" s="3" t="s">
        <v>1301</v>
      </c>
      <c r="G3307" s="3" t="s">
        <v>162</v>
      </c>
      <c r="H3307" s="2" t="s">
        <v>21</v>
      </c>
      <c r="I3307" s="2" t="s">
        <v>6987</v>
      </c>
      <c r="J3307" s="3" t="str">
        <f>HYPERLINK("https://www.boe.es/gazeta/dias/1821/03/16/pdfs/GMD-1821-75.pdf#page=5","Abrir facsímil")</f>
        <v>Abrir facsímil</v>
      </c>
      <c r="K3307" s="3" t="s">
        <v>23</v>
      </c>
    </row>
    <row r="3308" spans="1:11" ht="42" customHeight="1">
      <c r="A3308" s="2" t="s">
        <v>6985</v>
      </c>
      <c r="B3308" s="2" t="s">
        <v>6986</v>
      </c>
      <c r="C3308" s="2" t="s">
        <v>35</v>
      </c>
      <c r="D3308" s="2" t="s">
        <v>27</v>
      </c>
      <c r="E3308" s="5">
        <v>-28777</v>
      </c>
      <c r="F3308" s="3" t="s">
        <v>1004</v>
      </c>
      <c r="G3308" s="3" t="s">
        <v>1005</v>
      </c>
      <c r="H3308" s="2" t="s">
        <v>21</v>
      </c>
      <c r="I3308" s="2" t="s">
        <v>6988</v>
      </c>
      <c r="J3308" s="3" t="str">
        <f>HYPERLINK("https://www.boe.es/gazeta/dias/1821/03/17/pdfs/GMD-1821-76.pdf#page=2","Abrir facsímil")</f>
        <v>Abrir facsímil</v>
      </c>
      <c r="K3308" s="3" t="s">
        <v>23</v>
      </c>
    </row>
    <row r="3309" spans="1:11" ht="42" customHeight="1">
      <c r="A3309" s="2" t="s">
        <v>6989</v>
      </c>
      <c r="B3309" s="2" t="s">
        <v>6990</v>
      </c>
      <c r="C3309" s="2" t="s">
        <v>40</v>
      </c>
      <c r="D3309" s="2" t="s">
        <v>41</v>
      </c>
      <c r="E3309" s="5">
        <v>-28769</v>
      </c>
      <c r="F3309" s="3" t="s">
        <v>489</v>
      </c>
      <c r="G3309" s="3" t="s">
        <v>6991</v>
      </c>
      <c r="H3309" s="2" t="s">
        <v>21</v>
      </c>
      <c r="I3309" s="2" t="s">
        <v>6992</v>
      </c>
      <c r="J3309" s="3" t="str">
        <f>HYPERLINK("https://www.boe.es/gazeta/dias/1821/03/25/pdfs/GMD-1821-85.pdf#page=2","Abrir facsímil")</f>
        <v>Abrir facsímil</v>
      </c>
      <c r="K3309" s="3" t="s">
        <v>23</v>
      </c>
    </row>
    <row r="3310" spans="1:11" ht="42" customHeight="1">
      <c r="A3310" s="2" t="s">
        <v>6985</v>
      </c>
      <c r="B3310" s="2" t="s">
        <v>6986</v>
      </c>
      <c r="C3310" s="2" t="s">
        <v>17</v>
      </c>
      <c r="D3310" s="2" t="s">
        <v>18</v>
      </c>
      <c r="E3310" s="5">
        <v>-28757</v>
      </c>
      <c r="F3310" s="3" t="s">
        <v>472</v>
      </c>
      <c r="G3310" s="3" t="s">
        <v>20</v>
      </c>
      <c r="H3310" s="2" t="s">
        <v>21</v>
      </c>
      <c r="I3310" s="2" t="s">
        <v>6993</v>
      </c>
      <c r="J3310" s="3" t="str">
        <f>HYPERLINK("https://www.boe.es/gazeta/dias/1821/04/06/pdfs/GMD-1821-98.pdf#page=3","Abrir facsímil")</f>
        <v>Abrir facsímil</v>
      </c>
      <c r="K3310" s="3" t="s">
        <v>23</v>
      </c>
    </row>
    <row r="3311" spans="1:11" ht="42" customHeight="1">
      <c r="A3311" s="2" t="s">
        <v>6985</v>
      </c>
      <c r="B3311" s="2" t="s">
        <v>6986</v>
      </c>
      <c r="C3311" s="2" t="s">
        <v>40</v>
      </c>
      <c r="D3311" s="2" t="s">
        <v>41</v>
      </c>
      <c r="E3311" s="5">
        <v>-28752</v>
      </c>
      <c r="F3311" s="3" t="s">
        <v>1012</v>
      </c>
      <c r="G3311" s="3" t="s">
        <v>1013</v>
      </c>
      <c r="H3311" s="2" t="s">
        <v>21</v>
      </c>
      <c r="I3311" s="2" t="s">
        <v>6994</v>
      </c>
      <c r="J3311" s="3" t="str">
        <f>HYPERLINK("https://www.boe.es/gazeta/dias/1821/04/11/pdfs/GMD-1821-103.pdf#page=3","Abrir facsímil")</f>
        <v>Abrir facsímil</v>
      </c>
      <c r="K3311" s="3" t="s">
        <v>23</v>
      </c>
    </row>
    <row r="3312" spans="1:11" ht="42" customHeight="1">
      <c r="A3312" s="2" t="s">
        <v>6985</v>
      </c>
      <c r="B3312" s="2" t="s">
        <v>6986</v>
      </c>
      <c r="C3312" s="2" t="s">
        <v>26</v>
      </c>
      <c r="D3312" s="2" t="s">
        <v>27</v>
      </c>
      <c r="E3312" s="5">
        <v>-28752</v>
      </c>
      <c r="F3312" s="3" t="s">
        <v>1012</v>
      </c>
      <c r="G3312" s="3" t="s">
        <v>88</v>
      </c>
      <c r="H3312" s="2" t="s">
        <v>21</v>
      </c>
      <c r="I3312" s="2" t="s">
        <v>6995</v>
      </c>
      <c r="J3312" s="3" t="str">
        <f>HYPERLINK("https://www.boe.es/gazeta/dias/1821/04/11/pdfs/GMD-1821-103.pdf#page=4","Abrir facsímil")</f>
        <v>Abrir facsímil</v>
      </c>
      <c r="K3312" s="3" t="s">
        <v>23</v>
      </c>
    </row>
    <row r="3313" spans="1:11" ht="42" customHeight="1">
      <c r="A3313" s="2" t="s">
        <v>6985</v>
      </c>
      <c r="B3313" s="2" t="s">
        <v>6986</v>
      </c>
      <c r="C3313" s="2" t="s">
        <v>35</v>
      </c>
      <c r="D3313" s="2" t="s">
        <v>27</v>
      </c>
      <c r="E3313" s="5">
        <v>-28749</v>
      </c>
      <c r="F3313" s="3" t="s">
        <v>832</v>
      </c>
      <c r="G3313" s="3" t="s">
        <v>52</v>
      </c>
      <c r="H3313" s="2" t="s">
        <v>21</v>
      </c>
      <c r="I3313" s="2" t="s">
        <v>6996</v>
      </c>
      <c r="J3313" s="3" t="str">
        <f>HYPERLINK("https://www.boe.es/gazeta/dias/1821/04/14/pdfs/GMD-1821-106.pdf#page=2","Abrir facsímil")</f>
        <v>Abrir facsímil</v>
      </c>
      <c r="K3313" s="3" t="s">
        <v>23</v>
      </c>
    </row>
    <row r="3314" spans="1:11" ht="42" customHeight="1">
      <c r="A3314" s="2" t="s">
        <v>6985</v>
      </c>
      <c r="B3314" s="2" t="s">
        <v>6986</v>
      </c>
      <c r="C3314" s="2" t="s">
        <v>26</v>
      </c>
      <c r="D3314" s="2" t="s">
        <v>27</v>
      </c>
      <c r="E3314" s="5">
        <v>-28744</v>
      </c>
      <c r="F3314" s="3" t="s">
        <v>834</v>
      </c>
      <c r="G3314" s="3" t="s">
        <v>20</v>
      </c>
      <c r="H3314" s="2" t="s">
        <v>21</v>
      </c>
      <c r="I3314" s="2" t="s">
        <v>6997</v>
      </c>
      <c r="J3314" s="3" t="str">
        <f>HYPERLINK("https://www.boe.es/gazeta/dias/1821/04/19/pdfs/GMD-1821-111.pdf#page=3","Abrir facsímil")</f>
        <v>Abrir facsímil</v>
      </c>
      <c r="K3314" s="3" t="s">
        <v>23</v>
      </c>
    </row>
    <row r="3315" spans="1:11" ht="42" customHeight="1">
      <c r="A3315" s="2" t="s">
        <v>6985</v>
      </c>
      <c r="B3315" s="2" t="s">
        <v>6986</v>
      </c>
      <c r="C3315" s="2" t="s">
        <v>17</v>
      </c>
      <c r="D3315" s="2" t="s">
        <v>18</v>
      </c>
      <c r="E3315" s="5">
        <v>-28739</v>
      </c>
      <c r="F3315" s="3" t="s">
        <v>1024</v>
      </c>
      <c r="G3315" s="3" t="s">
        <v>52</v>
      </c>
      <c r="H3315" s="2" t="s">
        <v>21</v>
      </c>
      <c r="I3315" s="2" t="s">
        <v>6998</v>
      </c>
      <c r="J3315" s="3" t="str">
        <f>HYPERLINK("https://www.boe.es/gazeta/dias/1821/04/24/pdfs/GMD-1821-116.pdf#page=2","Abrir facsímil")</f>
        <v>Abrir facsímil</v>
      </c>
      <c r="K3315" s="3" t="s">
        <v>23</v>
      </c>
    </row>
    <row r="3316" spans="1:11" ht="42" customHeight="1">
      <c r="A3316" s="2" t="s">
        <v>6985</v>
      </c>
      <c r="B3316" s="2" t="s">
        <v>6986</v>
      </c>
      <c r="C3316" s="2" t="s">
        <v>40</v>
      </c>
      <c r="D3316" s="2" t="s">
        <v>41</v>
      </c>
      <c r="E3316" s="5">
        <v>-28733</v>
      </c>
      <c r="F3316" s="3" t="s">
        <v>1033</v>
      </c>
      <c r="G3316" s="3" t="s">
        <v>20</v>
      </c>
      <c r="H3316" s="2" t="s">
        <v>21</v>
      </c>
      <c r="I3316" s="2" t="s">
        <v>6999</v>
      </c>
      <c r="J3316" s="3" t="str">
        <f>HYPERLINK("https://www.boe.es/gazeta/dias/1821/04/30/pdfs/GMD-1821-122.pdf#page=3","Abrir facsímil")</f>
        <v>Abrir facsímil</v>
      </c>
      <c r="K3316" s="3" t="s">
        <v>23</v>
      </c>
    </row>
    <row r="3317" spans="1:11" ht="42" customHeight="1">
      <c r="A3317" s="2" t="s">
        <v>6985</v>
      </c>
      <c r="B3317" s="2" t="s">
        <v>6986</v>
      </c>
      <c r="C3317" s="2" t="s">
        <v>70</v>
      </c>
      <c r="D3317" s="2" t="s">
        <v>27</v>
      </c>
      <c r="E3317" s="5">
        <v>-28729</v>
      </c>
      <c r="F3317" s="3" t="s">
        <v>838</v>
      </c>
      <c r="G3317" s="3" t="s">
        <v>20</v>
      </c>
      <c r="H3317" s="2" t="s">
        <v>21</v>
      </c>
      <c r="I3317" s="2" t="s">
        <v>7000</v>
      </c>
      <c r="J3317" s="3" t="str">
        <f>HYPERLINK("https://www.boe.es/gazeta/dias/1821/05/04/pdfs/GMD-1821-126.pdf#page=3","Abrir facsímil")</f>
        <v>Abrir facsímil</v>
      </c>
      <c r="K3317" s="3" t="s">
        <v>23</v>
      </c>
    </row>
    <row r="3318" spans="1:11" ht="42" customHeight="1">
      <c r="A3318" s="2" t="s">
        <v>6985</v>
      </c>
      <c r="B3318" s="2" t="s">
        <v>6986</v>
      </c>
      <c r="C3318" s="2" t="s">
        <v>40</v>
      </c>
      <c r="D3318" s="2" t="s">
        <v>41</v>
      </c>
      <c r="E3318" s="5">
        <v>-28720</v>
      </c>
      <c r="F3318" s="3" t="s">
        <v>492</v>
      </c>
      <c r="G3318" s="3" t="s">
        <v>20</v>
      </c>
      <c r="H3318" s="2" t="s">
        <v>21</v>
      </c>
      <c r="I3318" s="2" t="s">
        <v>7001</v>
      </c>
      <c r="J3318" s="3" t="str">
        <f>HYPERLINK("https://www.boe.es/gazeta/dias/1821/05/13/pdfs/GMD-1821-135.pdf#page=3","Abrir facsímil")</f>
        <v>Abrir facsímil</v>
      </c>
      <c r="K3318" s="3" t="s">
        <v>23</v>
      </c>
    </row>
    <row r="3319" spans="1:11" ht="42" customHeight="1">
      <c r="A3319" s="2" t="s">
        <v>6985</v>
      </c>
      <c r="B3319" s="2" t="s">
        <v>6986</v>
      </c>
      <c r="C3319" s="2" t="s">
        <v>35</v>
      </c>
      <c r="D3319" s="2" t="s">
        <v>27</v>
      </c>
      <c r="E3319" s="5">
        <v>-28683</v>
      </c>
      <c r="F3319" s="3" t="s">
        <v>332</v>
      </c>
      <c r="G3319" s="3" t="s">
        <v>88</v>
      </c>
      <c r="H3319" s="2" t="s">
        <v>21</v>
      </c>
      <c r="I3319" s="2" t="s">
        <v>7002</v>
      </c>
      <c r="J3319" s="3" t="str">
        <f>HYPERLINK("https://www.boe.es/gazeta/dias/1821/06/19/pdfs/GMD-1821-172.pdf#page=4","Abrir facsímil")</f>
        <v>Abrir facsímil</v>
      </c>
      <c r="K3319" s="3" t="s">
        <v>23</v>
      </c>
    </row>
    <row r="3320" spans="1:11" ht="42" customHeight="1">
      <c r="A3320" s="2" t="s">
        <v>6985</v>
      </c>
      <c r="B3320" s="2" t="s">
        <v>6986</v>
      </c>
      <c r="C3320" s="2" t="s">
        <v>35</v>
      </c>
      <c r="D3320" s="2" t="s">
        <v>27</v>
      </c>
      <c r="E3320" s="5">
        <v>-28675</v>
      </c>
      <c r="F3320" s="3" t="s">
        <v>943</v>
      </c>
      <c r="G3320" s="3" t="s">
        <v>29</v>
      </c>
      <c r="H3320" s="2" t="s">
        <v>21</v>
      </c>
      <c r="I3320" s="2" t="s">
        <v>7003</v>
      </c>
      <c r="J3320" s="3" t="str">
        <f>HYPERLINK("https://www.boe.es/gazeta/dias/1821/06/27/pdfs/GMD-1821-180.pdf#page=6","Abrir facsímil")</f>
        <v>Abrir facsímil</v>
      </c>
      <c r="K3320" s="3" t="s">
        <v>23</v>
      </c>
    </row>
    <row r="3321" spans="1:11" ht="42" customHeight="1">
      <c r="A3321" s="2" t="s">
        <v>6985</v>
      </c>
      <c r="B3321" s="2" t="s">
        <v>6986</v>
      </c>
      <c r="C3321" s="2" t="s">
        <v>26</v>
      </c>
      <c r="D3321" s="2" t="s">
        <v>27</v>
      </c>
      <c r="E3321" s="5">
        <v>-28545</v>
      </c>
      <c r="F3321" s="3" t="s">
        <v>284</v>
      </c>
      <c r="G3321" s="3" t="s">
        <v>20</v>
      </c>
      <c r="H3321" s="2" t="s">
        <v>21</v>
      </c>
      <c r="I3321" s="2" t="s">
        <v>7004</v>
      </c>
      <c r="J3321" s="3" t="str">
        <f>HYPERLINK("https://www.boe.es/gazeta/dias/1821/11/04/pdfs/GMD-1821-315.pdf#page=3","Abrir facsímil")</f>
        <v>Abrir facsímil</v>
      </c>
      <c r="K3321" s="3" t="s">
        <v>23</v>
      </c>
    </row>
    <row r="3322" spans="1:11" ht="42" customHeight="1">
      <c r="A3322" s="2" t="s">
        <v>6985</v>
      </c>
      <c r="B3322" s="2" t="s">
        <v>6986</v>
      </c>
      <c r="C3322" s="2" t="s">
        <v>35</v>
      </c>
      <c r="D3322" s="2" t="s">
        <v>27</v>
      </c>
      <c r="E3322" s="5">
        <v>-28536</v>
      </c>
      <c r="F3322" s="3" t="s">
        <v>553</v>
      </c>
      <c r="G3322" s="3" t="s">
        <v>20</v>
      </c>
      <c r="H3322" s="2" t="s">
        <v>21</v>
      </c>
      <c r="I3322" s="2" t="s">
        <v>7005</v>
      </c>
      <c r="J3322" s="3" t="str">
        <f>HYPERLINK("https://www.boe.es/gazeta/dias/1821/11/13/pdfs/GMD-1821-324.pdf#page=3","Abrir facsímil")</f>
        <v>Abrir facsímil</v>
      </c>
      <c r="K3322" s="3" t="s">
        <v>23</v>
      </c>
    </row>
    <row r="3323" spans="1:11" ht="42" customHeight="1">
      <c r="A3323" s="2" t="s">
        <v>6985</v>
      </c>
      <c r="B3323" s="2" t="s">
        <v>6986</v>
      </c>
      <c r="C3323" s="2" t="s">
        <v>114</v>
      </c>
      <c r="D3323" s="2" t="s">
        <v>27</v>
      </c>
      <c r="E3323" s="5">
        <v>-28535</v>
      </c>
      <c r="F3323" s="3" t="s">
        <v>96</v>
      </c>
      <c r="G3323" s="3" t="s">
        <v>88</v>
      </c>
      <c r="H3323" s="2" t="s">
        <v>21</v>
      </c>
      <c r="I3323" s="2" t="s">
        <v>7006</v>
      </c>
      <c r="J3323" s="3" t="str">
        <f>HYPERLINK("https://www.boe.es/gazeta/dias/1821/11/14/pdfs/GMD-1821-325.pdf#page=4","Abrir facsímil")</f>
        <v>Abrir facsímil</v>
      </c>
      <c r="K3323" s="3" t="s">
        <v>23</v>
      </c>
    </row>
    <row r="3324" spans="1:11" ht="42" customHeight="1">
      <c r="A3324" s="2" t="s">
        <v>6985</v>
      </c>
      <c r="B3324" s="2" t="s">
        <v>6986</v>
      </c>
      <c r="C3324" s="2" t="s">
        <v>17</v>
      </c>
      <c r="D3324" s="2" t="s">
        <v>18</v>
      </c>
      <c r="E3324" s="5">
        <v>-28530</v>
      </c>
      <c r="F3324" s="3" t="s">
        <v>237</v>
      </c>
      <c r="G3324" s="3" t="s">
        <v>20</v>
      </c>
      <c r="H3324" s="2" t="s">
        <v>21</v>
      </c>
      <c r="I3324" s="2" t="s">
        <v>7007</v>
      </c>
      <c r="J3324" s="3" t="str">
        <f>HYPERLINK("https://www.boe.es/gazeta/dias/1821/11/19/pdfs/GMD-1821-330.pdf#page=3","Abrir facsímil")</f>
        <v>Abrir facsímil</v>
      </c>
      <c r="K3324" s="3" t="s">
        <v>23</v>
      </c>
    </row>
    <row r="3325" spans="1:11" ht="42" customHeight="1">
      <c r="A3325" s="2" t="s">
        <v>6985</v>
      </c>
      <c r="B3325" s="2" t="s">
        <v>6986</v>
      </c>
      <c r="C3325" s="2" t="s">
        <v>40</v>
      </c>
      <c r="D3325" s="2" t="s">
        <v>41</v>
      </c>
      <c r="E3325" s="5">
        <v>-28500</v>
      </c>
      <c r="F3325" s="3" t="s">
        <v>298</v>
      </c>
      <c r="G3325" s="3" t="s">
        <v>20</v>
      </c>
      <c r="H3325" s="2" t="s">
        <v>21</v>
      </c>
      <c r="I3325" s="2" t="s">
        <v>7008</v>
      </c>
      <c r="J3325" s="3" t="str">
        <f>HYPERLINK("https://www.boe.es/gazeta/dias/1821/12/19/pdfs/GMD-1821-362.pdf#page=3","Abrir facsímil")</f>
        <v>Abrir facsímil</v>
      </c>
      <c r="K3325" s="3" t="s">
        <v>23</v>
      </c>
    </row>
    <row r="3326" spans="1:11" ht="42" customHeight="1">
      <c r="A3326" s="2" t="s">
        <v>6985</v>
      </c>
      <c r="B3326" s="2" t="s">
        <v>6986</v>
      </c>
      <c r="C3326" s="2" t="s">
        <v>35</v>
      </c>
      <c r="D3326" s="2" t="s">
        <v>27</v>
      </c>
      <c r="E3326" s="5">
        <v>-28495</v>
      </c>
      <c r="F3326" s="3" t="s">
        <v>227</v>
      </c>
      <c r="G3326" s="3" t="s">
        <v>88</v>
      </c>
      <c r="H3326" s="2" t="s">
        <v>21</v>
      </c>
      <c r="I3326" s="2" t="s">
        <v>7009</v>
      </c>
      <c r="J3326" s="3" t="str">
        <f>HYPERLINK("https://www.boe.es/gazeta/dias/1821/12/24/pdfs/GMD-1821-367.pdf#page=4","Abrir facsímil")</f>
        <v>Abrir facsímil</v>
      </c>
      <c r="K3326" s="3" t="s">
        <v>23</v>
      </c>
    </row>
    <row r="3327" spans="1:11" ht="42" customHeight="1">
      <c r="A3327" s="2" t="s">
        <v>6985</v>
      </c>
      <c r="B3327" s="2" t="s">
        <v>6986</v>
      </c>
      <c r="C3327" s="2" t="s">
        <v>17</v>
      </c>
      <c r="D3327" s="2" t="s">
        <v>18</v>
      </c>
      <c r="E3327" s="5">
        <v>-28495</v>
      </c>
      <c r="F3327" s="3" t="s">
        <v>227</v>
      </c>
      <c r="G3327" s="3" t="s">
        <v>609</v>
      </c>
      <c r="H3327" s="2" t="s">
        <v>21</v>
      </c>
      <c r="I3327" s="2" t="s">
        <v>7010</v>
      </c>
      <c r="J3327" s="3" t="str">
        <f>HYPERLINK("https://www.boe.es/gazeta/dias/1821/12/24/pdfs/GMD-1821-367.pdf#page=7","Abrir facsímil")</f>
        <v>Abrir facsímil</v>
      </c>
      <c r="K3327" s="3" t="s">
        <v>23</v>
      </c>
    </row>
    <row r="3328" spans="1:11" ht="42" customHeight="1">
      <c r="A3328" s="2" t="s">
        <v>6985</v>
      </c>
      <c r="B3328" s="2" t="s">
        <v>6986</v>
      </c>
      <c r="C3328" s="2" t="s">
        <v>17</v>
      </c>
      <c r="D3328" s="2" t="s">
        <v>18</v>
      </c>
      <c r="E3328" s="5">
        <v>-28492</v>
      </c>
      <c r="F3328" s="3" t="s">
        <v>1550</v>
      </c>
      <c r="G3328" s="3" t="s">
        <v>88</v>
      </c>
      <c r="H3328" s="2" t="s">
        <v>21</v>
      </c>
      <c r="I3328" s="2" t="s">
        <v>7011</v>
      </c>
      <c r="J3328" s="3" t="str">
        <f>HYPERLINK("https://www.boe.es/gazeta/dias/1821/12/27/pdfs/GMD-1821-370.pdf#page=4","Abrir facsímil")</f>
        <v>Abrir facsímil</v>
      </c>
      <c r="K3328" s="3" t="s">
        <v>23</v>
      </c>
    </row>
    <row r="3329" spans="1:11" ht="42" customHeight="1">
      <c r="A3329" s="2" t="s">
        <v>7012</v>
      </c>
      <c r="B3329" s="2" t="s">
        <v>7012</v>
      </c>
      <c r="C3329" s="2" t="s">
        <v>35</v>
      </c>
      <c r="D3329" s="2" t="s">
        <v>27</v>
      </c>
      <c r="E3329" s="5">
        <v>-28749</v>
      </c>
      <c r="F3329" s="3" t="s">
        <v>832</v>
      </c>
      <c r="G3329" s="3" t="s">
        <v>52</v>
      </c>
      <c r="H3329" s="2" t="s">
        <v>21</v>
      </c>
      <c r="I3329" s="2" t="s">
        <v>7013</v>
      </c>
      <c r="J3329" s="3" t="str">
        <f>HYPERLINK("https://www.boe.es/gazeta/dias/1821/04/14/pdfs/GMD-1821-106.pdf#page=2","Abrir facsímil")</f>
        <v>Abrir facsímil</v>
      </c>
      <c r="K3329" s="3" t="s">
        <v>23</v>
      </c>
    </row>
    <row r="3330" spans="1:11" ht="42" customHeight="1">
      <c r="A3330" s="2" t="s">
        <v>7014</v>
      </c>
      <c r="B3330" s="2" t="s">
        <v>7015</v>
      </c>
      <c r="C3330" s="2" t="s">
        <v>114</v>
      </c>
      <c r="D3330" s="2" t="s">
        <v>27</v>
      </c>
      <c r="E3330" s="5">
        <v>-28746</v>
      </c>
      <c r="F3330" s="3" t="s">
        <v>687</v>
      </c>
      <c r="G3330" s="3" t="s">
        <v>333</v>
      </c>
      <c r="H3330" s="2" t="s">
        <v>30</v>
      </c>
      <c r="I3330" s="2" t="s">
        <v>7016</v>
      </c>
      <c r="J3330" s="3" t="str">
        <f>HYPERLINK("https://www.boe.es/gazeta/dias/1821/04/17/pdfs/GMD-1821-109.pdf#page=8","Abrir facsímil")</f>
        <v>Abrir facsímil</v>
      </c>
      <c r="K3330" s="3" t="s">
        <v>32</v>
      </c>
    </row>
    <row r="3331" spans="1:11" ht="42" customHeight="1">
      <c r="A3331" s="2" t="s">
        <v>7017</v>
      </c>
      <c r="B3331" s="2" t="s">
        <v>7017</v>
      </c>
      <c r="C3331" s="2" t="s">
        <v>26</v>
      </c>
      <c r="D3331" s="2" t="s">
        <v>27</v>
      </c>
      <c r="E3331" s="5">
        <v>-28748</v>
      </c>
      <c r="F3331" s="3" t="s">
        <v>634</v>
      </c>
      <c r="G3331" s="3" t="s">
        <v>43</v>
      </c>
      <c r="H3331" s="2" t="s">
        <v>21</v>
      </c>
      <c r="I3331" s="2" t="s">
        <v>7018</v>
      </c>
      <c r="J3331" s="3" t="str">
        <f>HYPERLINK("https://www.boe.es/gazeta/dias/1821/04/15/pdfs/GMD-1821-107.pdf#page=1","Abrir facsímil")</f>
        <v>Abrir facsímil</v>
      </c>
      <c r="K3331" s="3" t="s">
        <v>23</v>
      </c>
    </row>
    <row r="3332" spans="1:11" ht="42" customHeight="1">
      <c r="A3332" s="2" t="s">
        <v>7019</v>
      </c>
      <c r="B3332" s="2" t="s">
        <v>7019</v>
      </c>
      <c r="C3332" s="2" t="s">
        <v>17</v>
      </c>
      <c r="D3332" s="2" t="s">
        <v>18</v>
      </c>
      <c r="E3332" s="5">
        <v>-28606</v>
      </c>
      <c r="F3332" s="3" t="s">
        <v>1799</v>
      </c>
      <c r="G3332" s="3" t="s">
        <v>88</v>
      </c>
      <c r="H3332" s="2" t="s">
        <v>21</v>
      </c>
      <c r="I3332" s="2" t="s">
        <v>7020</v>
      </c>
      <c r="J3332" s="3" t="str">
        <f>HYPERLINK("https://www.boe.es/gazeta/dias/1821/09/04/pdfs/GMD-1821-252.pdf#page=4","Abrir facsímil")</f>
        <v>Abrir facsímil</v>
      </c>
      <c r="K3332" s="3" t="s">
        <v>23</v>
      </c>
    </row>
    <row r="3333" spans="1:11" ht="42" customHeight="1">
      <c r="A3333" s="2" t="s">
        <v>7021</v>
      </c>
      <c r="B3333" s="2" t="s">
        <v>7021</v>
      </c>
      <c r="C3333" s="2" t="s">
        <v>26</v>
      </c>
      <c r="D3333" s="2" t="s">
        <v>27</v>
      </c>
      <c r="E3333" s="5">
        <v>-28760</v>
      </c>
      <c r="F3333" s="3" t="s">
        <v>170</v>
      </c>
      <c r="G3333" s="3" t="s">
        <v>52</v>
      </c>
      <c r="H3333" s="2" t="s">
        <v>21</v>
      </c>
      <c r="I3333" s="2" t="s">
        <v>7022</v>
      </c>
      <c r="J3333" s="3" t="str">
        <f>HYPERLINK("https://www.boe.es/gazeta/dias/1821/04/03/pdfs/GMD-1821-95.pdf#page=2","Abrir facsímil")</f>
        <v>Abrir facsímil</v>
      </c>
      <c r="K3333" s="3" t="s">
        <v>23</v>
      </c>
    </row>
    <row r="3334" spans="1:11" ht="42" customHeight="1">
      <c r="A3334" s="2" t="s">
        <v>7023</v>
      </c>
      <c r="B3334" s="2" t="s">
        <v>7023</v>
      </c>
      <c r="C3334" s="2" t="s">
        <v>35</v>
      </c>
      <c r="D3334" s="2" t="s">
        <v>27</v>
      </c>
      <c r="E3334" s="5">
        <v>-28549</v>
      </c>
      <c r="F3334" s="3" t="s">
        <v>930</v>
      </c>
      <c r="G3334" s="3" t="s">
        <v>162</v>
      </c>
      <c r="H3334" s="2" t="s">
        <v>21</v>
      </c>
      <c r="I3334" s="2" t="s">
        <v>7024</v>
      </c>
      <c r="J3334" s="3" t="str">
        <f>HYPERLINK("https://www.boe.es/gazeta/dias/1821/10/31/pdfs/GMD-1821-310.pdf#page=5","Abrir facsímil")</f>
        <v>Abrir facsímil</v>
      </c>
      <c r="K3334" s="3" t="s">
        <v>23</v>
      </c>
    </row>
    <row r="3335" spans="1:11" ht="42" customHeight="1">
      <c r="A3335" s="2" t="s">
        <v>7025</v>
      </c>
      <c r="B3335" s="2" t="s">
        <v>7026</v>
      </c>
      <c r="C3335" s="2" t="s">
        <v>40</v>
      </c>
      <c r="D3335" s="2" t="s">
        <v>41</v>
      </c>
      <c r="E3335" s="5">
        <v>-28736</v>
      </c>
      <c r="F3335" s="3" t="s">
        <v>464</v>
      </c>
      <c r="G3335" s="3" t="s">
        <v>52</v>
      </c>
      <c r="H3335" s="2" t="s">
        <v>21</v>
      </c>
      <c r="I3335" s="2" t="s">
        <v>7027</v>
      </c>
      <c r="J3335" s="3" t="str">
        <f>HYPERLINK("https://www.boe.es/gazeta/dias/1821/04/27/pdfs/GMD-1821-119.pdf#page=2","Abrir facsímil")</f>
        <v>Abrir facsímil</v>
      </c>
      <c r="K3335" s="3" t="s">
        <v>23</v>
      </c>
    </row>
    <row r="3336" spans="1:11" ht="42" customHeight="1">
      <c r="A3336" s="2" t="s">
        <v>7028</v>
      </c>
      <c r="B3336" s="2" t="s">
        <v>7028</v>
      </c>
      <c r="C3336" s="2" t="s">
        <v>17</v>
      </c>
      <c r="D3336" s="2" t="s">
        <v>18</v>
      </c>
      <c r="E3336" s="5">
        <v>-28622</v>
      </c>
      <c r="F3336" s="3" t="s">
        <v>2771</v>
      </c>
      <c r="G3336" s="3" t="s">
        <v>88</v>
      </c>
      <c r="H3336" s="2" t="s">
        <v>21</v>
      </c>
      <c r="I3336" s="2" t="s">
        <v>7029</v>
      </c>
      <c r="J3336" s="3" t="str">
        <f>HYPERLINK("https://www.boe.es/gazeta/dias/1821/08/19/pdfs/GMD-1821-236.pdf#page=4","Abrir facsímil")</f>
        <v>Abrir facsímil</v>
      </c>
      <c r="K3336" s="3" t="s">
        <v>23</v>
      </c>
    </row>
    <row r="3337" spans="1:11" ht="42" customHeight="1">
      <c r="A3337" s="2" t="s">
        <v>7030</v>
      </c>
      <c r="B3337" s="2" t="s">
        <v>7030</v>
      </c>
      <c r="C3337" s="2" t="s">
        <v>40</v>
      </c>
      <c r="D3337" s="2" t="s">
        <v>41</v>
      </c>
      <c r="E3337" s="5">
        <v>-28513</v>
      </c>
      <c r="F3337" s="3" t="s">
        <v>502</v>
      </c>
      <c r="G3337" s="3" t="s">
        <v>52</v>
      </c>
      <c r="H3337" s="2" t="s">
        <v>21</v>
      </c>
      <c r="I3337" s="2" t="s">
        <v>7031</v>
      </c>
      <c r="J3337" s="3" t="str">
        <f>HYPERLINK("https://www.boe.es/gazeta/dias/1821/12/06/pdfs/GMD-1821-348.pdf#page=2","Abrir facsímil")</f>
        <v>Abrir facsímil</v>
      </c>
      <c r="K3337" s="3" t="s">
        <v>23</v>
      </c>
    </row>
    <row r="3338" spans="1:11" ht="42" customHeight="1">
      <c r="A3338" s="2" t="s">
        <v>7032</v>
      </c>
      <c r="B3338" s="2" t="s">
        <v>7032</v>
      </c>
      <c r="C3338" s="2" t="s">
        <v>40</v>
      </c>
      <c r="D3338" s="2" t="s">
        <v>41</v>
      </c>
      <c r="E3338" s="5">
        <v>-28787</v>
      </c>
      <c r="F3338" s="3" t="s">
        <v>486</v>
      </c>
      <c r="G3338" s="3" t="s">
        <v>20</v>
      </c>
      <c r="H3338" s="2" t="s">
        <v>21</v>
      </c>
      <c r="I3338" s="2" t="s">
        <v>7033</v>
      </c>
      <c r="J3338" s="3" t="str">
        <f>HYPERLINK("https://www.boe.es/gazeta/dias/1821/03/07/pdfs/GGB-1821-66.pdf#page=3","Abrir facsímil")</f>
        <v>Abrir facsímil</v>
      </c>
      <c r="K3338" s="3" t="s">
        <v>23</v>
      </c>
    </row>
    <row r="3339" spans="1:11" ht="42" customHeight="1">
      <c r="A3339" s="2" t="s">
        <v>7034</v>
      </c>
      <c r="B3339" s="2" t="s">
        <v>7034</v>
      </c>
      <c r="C3339" s="2" t="s">
        <v>114</v>
      </c>
      <c r="D3339" s="2" t="s">
        <v>27</v>
      </c>
      <c r="E3339" s="5">
        <v>-28644</v>
      </c>
      <c r="F3339" s="3" t="s">
        <v>1340</v>
      </c>
      <c r="G3339" s="3" t="s">
        <v>88</v>
      </c>
      <c r="H3339" s="2" t="s">
        <v>21</v>
      </c>
      <c r="I3339" s="2" t="s">
        <v>7035</v>
      </c>
      <c r="J3339" s="3" t="str">
        <f>HYPERLINK("https://www.boe.es/gazeta/dias/1821/07/28/pdfs/GMD-1821-213.pdf#page=4","Abrir facsímil")</f>
        <v>Abrir facsímil</v>
      </c>
      <c r="K3339" s="3" t="s">
        <v>23</v>
      </c>
    </row>
    <row r="3340" spans="1:11" ht="42" customHeight="1">
      <c r="A3340" s="2" t="s">
        <v>7036</v>
      </c>
      <c r="B3340" s="2" t="s">
        <v>7037</v>
      </c>
      <c r="C3340" s="2" t="s">
        <v>17</v>
      </c>
      <c r="D3340" s="2" t="s">
        <v>18</v>
      </c>
      <c r="E3340" s="5">
        <v>-28718</v>
      </c>
      <c r="F3340" s="3" t="s">
        <v>583</v>
      </c>
      <c r="G3340" s="3" t="s">
        <v>88</v>
      </c>
      <c r="H3340" s="2" t="s">
        <v>21</v>
      </c>
      <c r="I3340" s="2" t="s">
        <v>7038</v>
      </c>
      <c r="J3340" s="3" t="str">
        <f>HYPERLINK("https://www.boe.es/gazeta/dias/1821/05/15/pdfs/GMD-1821-137.pdf#page=4","Abrir facsímil")</f>
        <v>Abrir facsímil</v>
      </c>
      <c r="K3340" s="3" t="s">
        <v>23</v>
      </c>
    </row>
    <row r="3341" spans="1:11" ht="42" customHeight="1">
      <c r="A3341" s="2" t="s">
        <v>7039</v>
      </c>
      <c r="B3341" s="2" t="s">
        <v>7040</v>
      </c>
      <c r="C3341" s="2" t="s">
        <v>40</v>
      </c>
      <c r="D3341" s="2" t="s">
        <v>41</v>
      </c>
      <c r="E3341" s="5">
        <v>-28647</v>
      </c>
      <c r="F3341" s="3" t="s">
        <v>1295</v>
      </c>
      <c r="G3341" s="3" t="s">
        <v>88</v>
      </c>
      <c r="H3341" s="2" t="s">
        <v>21</v>
      </c>
      <c r="I3341" s="2" t="s">
        <v>7041</v>
      </c>
      <c r="J3341" s="3" t="str">
        <f>HYPERLINK("https://www.boe.es/gazeta/dias/1821/07/25/pdfs/GMD-1821-210.pdf#page=4","Abrir facsímil")</f>
        <v>Abrir facsímil</v>
      </c>
      <c r="K3341" s="3" t="s">
        <v>23</v>
      </c>
    </row>
    <row r="3342" spans="1:11" ht="42" customHeight="1">
      <c r="A3342" s="2" t="s">
        <v>7042</v>
      </c>
      <c r="B3342" s="2" t="s">
        <v>7042</v>
      </c>
      <c r="C3342" s="2" t="s">
        <v>35</v>
      </c>
      <c r="D3342" s="2" t="s">
        <v>27</v>
      </c>
      <c r="E3342" s="5">
        <v>-28825</v>
      </c>
      <c r="F3342" s="3" t="s">
        <v>1199</v>
      </c>
      <c r="G3342" s="3" t="s">
        <v>20</v>
      </c>
      <c r="H3342" s="2" t="s">
        <v>21</v>
      </c>
      <c r="I3342" s="2" t="s">
        <v>7043</v>
      </c>
      <c r="J3342" s="3" t="str">
        <f>HYPERLINK("https://www.boe.es/gazeta/dias/1821/01/28/pdfs/GGB-1821-28.pdf#page=3","Abrir facsímil")</f>
        <v>Abrir facsímil</v>
      </c>
      <c r="K3342" s="3" t="s">
        <v>23</v>
      </c>
    </row>
    <row r="3343" spans="1:11" ht="42" customHeight="1">
      <c r="A3343" s="2" t="s">
        <v>7044</v>
      </c>
      <c r="B3343" s="2" t="s">
        <v>7044</v>
      </c>
      <c r="C3343" s="2" t="s">
        <v>17</v>
      </c>
      <c r="D3343" s="2" t="s">
        <v>18</v>
      </c>
      <c r="E3343" s="5">
        <v>-28616</v>
      </c>
      <c r="F3343" s="3" t="s">
        <v>1912</v>
      </c>
      <c r="G3343" s="3" t="s">
        <v>52</v>
      </c>
      <c r="H3343" s="2" t="s">
        <v>21</v>
      </c>
      <c r="I3343" s="2" t="s">
        <v>7045</v>
      </c>
      <c r="J3343" s="3" t="str">
        <f>HYPERLINK("https://www.boe.es/gazeta/dias/1821/08/25/pdfs/GMD-1821-242.pdf#page=2","Abrir facsímil")</f>
        <v>Abrir facsímil</v>
      </c>
      <c r="K3343" s="3" t="s">
        <v>23</v>
      </c>
    </row>
    <row r="3344" spans="1:11" ht="42" customHeight="1">
      <c r="A3344" s="2" t="s">
        <v>7046</v>
      </c>
      <c r="B3344" s="2" t="s">
        <v>7046</v>
      </c>
      <c r="C3344" s="2" t="s">
        <v>35</v>
      </c>
      <c r="D3344" s="2" t="s">
        <v>27</v>
      </c>
      <c r="E3344" s="5">
        <v>-28670</v>
      </c>
      <c r="F3344" s="3" t="s">
        <v>243</v>
      </c>
      <c r="G3344" s="3" t="s">
        <v>52</v>
      </c>
      <c r="H3344" s="2" t="s">
        <v>21</v>
      </c>
      <c r="I3344" s="2" t="s">
        <v>7047</v>
      </c>
      <c r="J3344" s="3" t="str">
        <f>HYPERLINK("https://www.boe.es/gazeta/dias/1821/07/02/pdfs/GMD-1821-186.pdf#page=2","Abrir facsímil")</f>
        <v>Abrir facsímil</v>
      </c>
      <c r="K3344" s="3" t="s">
        <v>23</v>
      </c>
    </row>
    <row r="3345" spans="1:11" ht="42" customHeight="1">
      <c r="A3345" s="2" t="s">
        <v>7048</v>
      </c>
      <c r="B3345" s="2" t="s">
        <v>7048</v>
      </c>
      <c r="C3345" s="2" t="s">
        <v>40</v>
      </c>
      <c r="D3345" s="2" t="s">
        <v>41</v>
      </c>
      <c r="E3345" s="5">
        <v>-28734</v>
      </c>
      <c r="F3345" s="3" t="s">
        <v>1553</v>
      </c>
      <c r="G3345" s="3" t="s">
        <v>20</v>
      </c>
      <c r="H3345" s="2" t="s">
        <v>21</v>
      </c>
      <c r="I3345" s="2" t="s">
        <v>7049</v>
      </c>
      <c r="J3345" s="3" t="str">
        <f>HYPERLINK("https://www.boe.es/gazeta/dias/1821/04/29/pdfs/GMD-1821-121.pdf#page=3","Abrir facsímil")</f>
        <v>Abrir facsímil</v>
      </c>
      <c r="K3345" s="3" t="s">
        <v>23</v>
      </c>
    </row>
    <row r="3346" spans="1:11" ht="42" customHeight="1">
      <c r="A3346" s="2" t="s">
        <v>7048</v>
      </c>
      <c r="B3346" s="2" t="s">
        <v>7048</v>
      </c>
      <c r="C3346" s="2" t="s">
        <v>40</v>
      </c>
      <c r="D3346" s="2" t="s">
        <v>41</v>
      </c>
      <c r="E3346" s="5">
        <v>-28669</v>
      </c>
      <c r="F3346" s="3" t="s">
        <v>2816</v>
      </c>
      <c r="G3346" s="3" t="s">
        <v>52</v>
      </c>
      <c r="H3346" s="2" t="s">
        <v>21</v>
      </c>
      <c r="I3346" s="2" t="s">
        <v>7050</v>
      </c>
      <c r="J3346" s="3" t="str">
        <f>HYPERLINK("https://www.boe.es/gazeta/dias/1821/07/03/pdfs/GMD-1821-187.pdf#page=2","Abrir facsímil")</f>
        <v>Abrir facsímil</v>
      </c>
      <c r="K3346" s="3" t="s">
        <v>23</v>
      </c>
    </row>
    <row r="3347" spans="1:11" ht="42" customHeight="1">
      <c r="A3347" s="2" t="s">
        <v>7051</v>
      </c>
      <c r="B3347" s="2" t="s">
        <v>7052</v>
      </c>
      <c r="C3347" s="2" t="s">
        <v>17</v>
      </c>
      <c r="D3347" s="2" t="s">
        <v>18</v>
      </c>
      <c r="E3347" s="5">
        <v>-28778</v>
      </c>
      <c r="F3347" s="3" t="s">
        <v>1301</v>
      </c>
      <c r="G3347" s="3" t="s">
        <v>29</v>
      </c>
      <c r="H3347" s="2" t="s">
        <v>21</v>
      </c>
      <c r="I3347" s="2" t="s">
        <v>7053</v>
      </c>
      <c r="J3347" s="3" t="str">
        <f>HYPERLINK("https://www.boe.es/gazeta/dias/1821/03/16/pdfs/GMD-1821-75.pdf#page=6","Abrir facsímil")</f>
        <v>Abrir facsímil</v>
      </c>
      <c r="K3347" s="3" t="s">
        <v>23</v>
      </c>
    </row>
    <row r="3348" spans="1:11" ht="42" customHeight="1">
      <c r="A3348" s="2" t="s">
        <v>7054</v>
      </c>
      <c r="B3348" s="2" t="s">
        <v>7055</v>
      </c>
      <c r="C3348" s="2" t="s">
        <v>17</v>
      </c>
      <c r="D3348" s="2" t="s">
        <v>18</v>
      </c>
      <c r="E3348" s="5">
        <v>-28718</v>
      </c>
      <c r="F3348" s="3" t="s">
        <v>583</v>
      </c>
      <c r="G3348" s="3" t="s">
        <v>88</v>
      </c>
      <c r="H3348" s="2" t="s">
        <v>21</v>
      </c>
      <c r="I3348" s="2" t="s">
        <v>7056</v>
      </c>
      <c r="J3348" s="3" t="str">
        <f>HYPERLINK("https://www.boe.es/gazeta/dias/1821/05/15/pdfs/GMD-1821-137.pdf#page=4","Abrir facsímil")</f>
        <v>Abrir facsímil</v>
      </c>
      <c r="K3348" s="3" t="s">
        <v>23</v>
      </c>
    </row>
    <row r="3349" spans="1:11" ht="42" customHeight="1">
      <c r="A3349" s="2" t="s">
        <v>7057</v>
      </c>
      <c r="B3349" s="2" t="s">
        <v>7058</v>
      </c>
      <c r="C3349" s="2" t="s">
        <v>35</v>
      </c>
      <c r="D3349" s="2" t="s">
        <v>27</v>
      </c>
      <c r="E3349" s="5">
        <v>-28718</v>
      </c>
      <c r="F3349" s="3" t="s">
        <v>583</v>
      </c>
      <c r="G3349" s="3" t="s">
        <v>88</v>
      </c>
      <c r="H3349" s="2" t="s">
        <v>21</v>
      </c>
      <c r="I3349" s="2" t="s">
        <v>7059</v>
      </c>
      <c r="J3349" s="3" t="str">
        <f>HYPERLINK("https://www.boe.es/gazeta/dias/1821/05/15/pdfs/GMD-1821-137.pdf#page=4","Abrir facsímil")</f>
        <v>Abrir facsímil</v>
      </c>
      <c r="K3349" s="3" t="s">
        <v>23</v>
      </c>
    </row>
    <row r="3350" spans="1:11" ht="42" customHeight="1">
      <c r="A3350" s="2" t="s">
        <v>7060</v>
      </c>
      <c r="B3350" s="2" t="s">
        <v>7061</v>
      </c>
      <c r="C3350" s="2" t="s">
        <v>35</v>
      </c>
      <c r="D3350" s="2" t="s">
        <v>27</v>
      </c>
      <c r="E3350" s="5">
        <v>-28536</v>
      </c>
      <c r="F3350" s="3" t="s">
        <v>553</v>
      </c>
      <c r="G3350" s="3" t="s">
        <v>52</v>
      </c>
      <c r="H3350" s="2" t="s">
        <v>21</v>
      </c>
      <c r="I3350" s="2" t="s">
        <v>7062</v>
      </c>
      <c r="J3350" s="3" t="str">
        <f>HYPERLINK("https://www.boe.es/gazeta/dias/1821/11/13/pdfs/GMD-1821-324.pdf#page=2","Abrir facsímil")</f>
        <v>Abrir facsímil</v>
      </c>
      <c r="K3350" s="3" t="s">
        <v>23</v>
      </c>
    </row>
    <row r="3351" spans="1:11" ht="42" customHeight="1">
      <c r="A3351" s="2" t="s">
        <v>7063</v>
      </c>
      <c r="B3351" s="2" t="s">
        <v>7063</v>
      </c>
      <c r="C3351" s="2" t="s">
        <v>17</v>
      </c>
      <c r="D3351" s="2" t="s">
        <v>18</v>
      </c>
      <c r="E3351" s="5">
        <v>-28556</v>
      </c>
      <c r="F3351" s="3" t="s">
        <v>264</v>
      </c>
      <c r="G3351" s="3" t="s">
        <v>20</v>
      </c>
      <c r="H3351" s="2" t="s">
        <v>21</v>
      </c>
      <c r="I3351" s="2" t="s">
        <v>7064</v>
      </c>
      <c r="J3351" s="3" t="str">
        <f>HYPERLINK("https://www.boe.es/gazeta/dias/1821/10/24/pdfs/GMD-1821-303.pdf#page=3","Abrir facsímil")</f>
        <v>Abrir facsímil</v>
      </c>
      <c r="K3351" s="3" t="s">
        <v>23</v>
      </c>
    </row>
    <row r="3352" spans="1:11" ht="42" customHeight="1">
      <c r="A3352" s="2" t="s">
        <v>7065</v>
      </c>
      <c r="B3352" s="2" t="s">
        <v>7065</v>
      </c>
      <c r="C3352" s="2" t="s">
        <v>40</v>
      </c>
      <c r="D3352" s="2" t="s">
        <v>41</v>
      </c>
      <c r="E3352" s="5">
        <v>-28687</v>
      </c>
      <c r="F3352" s="3" t="s">
        <v>851</v>
      </c>
      <c r="G3352" s="3" t="s">
        <v>20</v>
      </c>
      <c r="H3352" s="2" t="s">
        <v>21</v>
      </c>
      <c r="I3352" s="2" t="s">
        <v>7066</v>
      </c>
      <c r="J3352" s="3" t="str">
        <f>HYPERLINK("https://www.boe.es/gazeta/dias/1821/06/15/pdfs/GMD-1821-168.pdf#page=3","Abrir facsímil")</f>
        <v>Abrir facsímil</v>
      </c>
      <c r="K3352" s="3" t="s">
        <v>23</v>
      </c>
    </row>
    <row r="3353" spans="1:11" ht="42" customHeight="1">
      <c r="A3353" s="2" t="s">
        <v>7065</v>
      </c>
      <c r="B3353" s="2" t="s">
        <v>7065</v>
      </c>
      <c r="C3353" s="2" t="s">
        <v>40</v>
      </c>
      <c r="D3353" s="2" t="s">
        <v>41</v>
      </c>
      <c r="E3353" s="5">
        <v>-28520</v>
      </c>
      <c r="F3353" s="3" t="s">
        <v>878</v>
      </c>
      <c r="G3353" s="3" t="s">
        <v>43</v>
      </c>
      <c r="H3353" s="2" t="s">
        <v>21</v>
      </c>
      <c r="I3353" s="2" t="s">
        <v>7067</v>
      </c>
      <c r="J3353" s="3" t="str">
        <f>HYPERLINK("https://www.boe.es/gazeta/dias/1821/11/29/pdfs/GMD-1821-341.pdf#page=1","Abrir facsímil")</f>
        <v>Abrir facsímil</v>
      </c>
      <c r="K3353" s="3" t="s">
        <v>23</v>
      </c>
    </row>
    <row r="3354" spans="1:11" ht="42" customHeight="1">
      <c r="A3354" s="2" t="s">
        <v>7068</v>
      </c>
      <c r="B3354" s="2" t="s">
        <v>7068</v>
      </c>
      <c r="C3354" s="2" t="s">
        <v>35</v>
      </c>
      <c r="D3354" s="2" t="s">
        <v>27</v>
      </c>
      <c r="E3354" s="5">
        <v>-28527</v>
      </c>
      <c r="F3354" s="3" t="s">
        <v>328</v>
      </c>
      <c r="G3354" s="3" t="s">
        <v>20</v>
      </c>
      <c r="H3354" s="2" t="s">
        <v>21</v>
      </c>
      <c r="I3354" s="2" t="s">
        <v>7069</v>
      </c>
      <c r="J3354" s="3" t="str">
        <f>HYPERLINK("https://www.boe.es/gazeta/dias/1821/11/22/pdfs/GMD-1821-333.pdf#page=3","Abrir facsímil")</f>
        <v>Abrir facsímil</v>
      </c>
      <c r="K3354" s="3" t="s">
        <v>23</v>
      </c>
    </row>
    <row r="3355" spans="1:11" ht="42" customHeight="1">
      <c r="A3355" s="2" t="s">
        <v>7070</v>
      </c>
      <c r="B3355" s="2" t="s">
        <v>7070</v>
      </c>
      <c r="C3355" s="2" t="s">
        <v>40</v>
      </c>
      <c r="D3355" s="2" t="s">
        <v>41</v>
      </c>
      <c r="E3355" s="5">
        <v>-28527</v>
      </c>
      <c r="F3355" s="3" t="s">
        <v>328</v>
      </c>
      <c r="G3355" s="3" t="s">
        <v>20</v>
      </c>
      <c r="H3355" s="2" t="s">
        <v>21</v>
      </c>
      <c r="I3355" s="2" t="s">
        <v>7071</v>
      </c>
      <c r="J3355" s="3" t="str">
        <f>HYPERLINK("https://www.boe.es/gazeta/dias/1821/11/22/pdfs/GMD-1821-333.pdf#page=3","Abrir facsímil")</f>
        <v>Abrir facsímil</v>
      </c>
      <c r="K3355" s="3" t="s">
        <v>23</v>
      </c>
    </row>
    <row r="3356" spans="1:11" ht="42" customHeight="1">
      <c r="A3356" s="2" t="s">
        <v>7072</v>
      </c>
      <c r="B3356" s="2" t="s">
        <v>7072</v>
      </c>
      <c r="C3356" s="2" t="s">
        <v>40</v>
      </c>
      <c r="D3356" s="2" t="s">
        <v>41</v>
      </c>
      <c r="E3356" s="5">
        <v>-28777</v>
      </c>
      <c r="F3356" s="3" t="s">
        <v>1004</v>
      </c>
      <c r="G3356" s="3" t="s">
        <v>20</v>
      </c>
      <c r="H3356" s="2" t="s">
        <v>21</v>
      </c>
      <c r="I3356" s="2" t="s">
        <v>7073</v>
      </c>
      <c r="J3356" s="3" t="str">
        <f>HYPERLINK("https://www.boe.es/gazeta/dias/1821/03/17/pdfs/GMD-1821-76.pdf#page=3","Abrir facsímil")</f>
        <v>Abrir facsímil</v>
      </c>
      <c r="K3356" s="3" t="s">
        <v>23</v>
      </c>
    </row>
    <row r="3357" spans="1:11" ht="42" customHeight="1">
      <c r="A3357" s="2" t="s">
        <v>7072</v>
      </c>
      <c r="B3357" s="2" t="s">
        <v>7072</v>
      </c>
      <c r="C3357" s="2" t="s">
        <v>40</v>
      </c>
      <c r="D3357" s="2" t="s">
        <v>41</v>
      </c>
      <c r="E3357" s="5">
        <v>-28748</v>
      </c>
      <c r="F3357" s="3" t="s">
        <v>634</v>
      </c>
      <c r="G3357" s="3" t="s">
        <v>20</v>
      </c>
      <c r="H3357" s="2" t="s">
        <v>21</v>
      </c>
      <c r="I3357" s="2" t="s">
        <v>7074</v>
      </c>
      <c r="J3357" s="3" t="str">
        <f>HYPERLINK("https://www.boe.es/gazeta/dias/1821/04/15/pdfs/GMD-1821-107.pdf#page=3","Abrir facsímil")</f>
        <v>Abrir facsímil</v>
      </c>
      <c r="K3357" s="3" t="s">
        <v>23</v>
      </c>
    </row>
    <row r="3358" spans="1:11" ht="42" customHeight="1">
      <c r="A3358" s="2" t="s">
        <v>7072</v>
      </c>
      <c r="B3358" s="2" t="s">
        <v>7072</v>
      </c>
      <c r="C3358" s="2" t="s">
        <v>40</v>
      </c>
      <c r="D3358" s="2" t="s">
        <v>41</v>
      </c>
      <c r="E3358" s="5">
        <v>-28746</v>
      </c>
      <c r="F3358" s="3" t="s">
        <v>687</v>
      </c>
      <c r="G3358" s="3" t="s">
        <v>88</v>
      </c>
      <c r="H3358" s="2" t="s">
        <v>21</v>
      </c>
      <c r="I3358" s="2" t="s">
        <v>7075</v>
      </c>
      <c r="J3358" s="3" t="str">
        <f>HYPERLINK("https://www.boe.es/gazeta/dias/1821/04/17/pdfs/GMD-1821-109.pdf#page=4","Abrir facsímil")</f>
        <v>Abrir facsímil</v>
      </c>
      <c r="K3358" s="3" t="s">
        <v>23</v>
      </c>
    </row>
    <row r="3359" spans="1:11" ht="42" customHeight="1">
      <c r="A3359" s="2" t="s">
        <v>7072</v>
      </c>
      <c r="B3359" s="2" t="s">
        <v>7072</v>
      </c>
      <c r="C3359" s="2" t="s">
        <v>17</v>
      </c>
      <c r="D3359" s="2" t="s">
        <v>18</v>
      </c>
      <c r="E3359" s="5">
        <v>-28744</v>
      </c>
      <c r="F3359" s="3" t="s">
        <v>834</v>
      </c>
      <c r="G3359" s="3" t="s">
        <v>88</v>
      </c>
      <c r="H3359" s="2" t="s">
        <v>21</v>
      </c>
      <c r="I3359" s="2" t="s">
        <v>7076</v>
      </c>
      <c r="J3359" s="3" t="str">
        <f>HYPERLINK("https://www.boe.es/gazeta/dias/1821/04/19/pdfs/GMD-1821-111.pdf#page=4","Abrir facsímil")</f>
        <v>Abrir facsímil</v>
      </c>
      <c r="K3359" s="3" t="s">
        <v>23</v>
      </c>
    </row>
    <row r="3360" spans="1:11" ht="42" customHeight="1">
      <c r="A3360" s="2" t="s">
        <v>7072</v>
      </c>
      <c r="B3360" s="2" t="s">
        <v>7072</v>
      </c>
      <c r="C3360" s="2" t="s">
        <v>174</v>
      </c>
      <c r="D3360" s="2" t="s">
        <v>27</v>
      </c>
      <c r="E3360" s="5">
        <v>-28740</v>
      </c>
      <c r="F3360" s="3" t="s">
        <v>2800</v>
      </c>
      <c r="G3360" s="3" t="s">
        <v>20</v>
      </c>
      <c r="H3360" s="2" t="s">
        <v>21</v>
      </c>
      <c r="I3360" s="2" t="s">
        <v>7077</v>
      </c>
      <c r="J3360" s="3" t="str">
        <f>HYPERLINK("https://www.boe.es/gazeta/dias/1821/04/23/pdfs/GMD-1821-115.pdf#page=3","Abrir facsímil")</f>
        <v>Abrir facsímil</v>
      </c>
      <c r="K3360" s="3" t="s">
        <v>23</v>
      </c>
    </row>
    <row r="3361" spans="1:11" ht="42" customHeight="1">
      <c r="A3361" s="2" t="s">
        <v>7072</v>
      </c>
      <c r="B3361" s="2" t="s">
        <v>7072</v>
      </c>
      <c r="C3361" s="2" t="s">
        <v>35</v>
      </c>
      <c r="D3361" s="2" t="s">
        <v>27</v>
      </c>
      <c r="E3361" s="5">
        <v>-28709</v>
      </c>
      <c r="F3361" s="3" t="s">
        <v>1434</v>
      </c>
      <c r="G3361" s="3" t="s">
        <v>1435</v>
      </c>
      <c r="H3361" s="2" t="s">
        <v>21</v>
      </c>
      <c r="I3361" s="2" t="s">
        <v>7078</v>
      </c>
      <c r="J3361" s="3" t="str">
        <f>HYPERLINK("https://www.boe.es/gazeta/dias/1821/05/24/pdfs/GMD-1821-146.pdf#page=2","Abrir facsímil")</f>
        <v>Abrir facsímil</v>
      </c>
      <c r="K3361" s="3" t="s">
        <v>23</v>
      </c>
    </row>
    <row r="3362" spans="1:11" ht="42" customHeight="1">
      <c r="A3362" s="2" t="s">
        <v>7072</v>
      </c>
      <c r="B3362" s="2" t="s">
        <v>7072</v>
      </c>
      <c r="C3362" s="2" t="s">
        <v>40</v>
      </c>
      <c r="D3362" s="2" t="s">
        <v>41</v>
      </c>
      <c r="E3362" s="5">
        <v>-28704</v>
      </c>
      <c r="F3362" s="3" t="s">
        <v>1050</v>
      </c>
      <c r="G3362" s="3" t="s">
        <v>52</v>
      </c>
      <c r="H3362" s="2" t="s">
        <v>21</v>
      </c>
      <c r="I3362" s="2" t="s">
        <v>7079</v>
      </c>
      <c r="J3362" s="3" t="str">
        <f>HYPERLINK("https://www.boe.es/gazeta/dias/1821/05/29/pdfs/GMD-1821-151.pdf#page=2","Abrir facsímil")</f>
        <v>Abrir facsímil</v>
      </c>
      <c r="K3362" s="3" t="s">
        <v>23</v>
      </c>
    </row>
    <row r="3363" spans="1:11" ht="42" customHeight="1">
      <c r="A3363" s="2" t="s">
        <v>7072</v>
      </c>
      <c r="B3363" s="2" t="s">
        <v>7072</v>
      </c>
      <c r="C3363" s="2" t="s">
        <v>17</v>
      </c>
      <c r="D3363" s="2" t="s">
        <v>18</v>
      </c>
      <c r="E3363" s="5">
        <v>-28703</v>
      </c>
      <c r="F3363" s="3" t="s">
        <v>231</v>
      </c>
      <c r="G3363" s="3" t="s">
        <v>88</v>
      </c>
      <c r="H3363" s="2" t="s">
        <v>21</v>
      </c>
      <c r="I3363" s="2" t="s">
        <v>7080</v>
      </c>
      <c r="J3363" s="3" t="str">
        <f>HYPERLINK("https://www.boe.es/gazeta/dias/1821/05/30/pdfs/GMD-1821-152.pdf#page=4","Abrir facsímil")</f>
        <v>Abrir facsímil</v>
      </c>
      <c r="K3363" s="3" t="s">
        <v>23</v>
      </c>
    </row>
    <row r="3364" spans="1:11" ht="42" customHeight="1">
      <c r="A3364" s="2" t="s">
        <v>7072</v>
      </c>
      <c r="B3364" s="2" t="s">
        <v>7072</v>
      </c>
      <c r="C3364" s="2" t="s">
        <v>114</v>
      </c>
      <c r="D3364" s="2" t="s">
        <v>27</v>
      </c>
      <c r="E3364" s="5">
        <v>-28686</v>
      </c>
      <c r="F3364" s="3" t="s">
        <v>115</v>
      </c>
      <c r="G3364" s="3" t="s">
        <v>52</v>
      </c>
      <c r="H3364" s="2" t="s">
        <v>21</v>
      </c>
      <c r="I3364" s="2" t="s">
        <v>7081</v>
      </c>
      <c r="J3364" s="3" t="str">
        <f>HYPERLINK("https://www.boe.es/gazeta/dias/1821/06/16/pdfs/GMD-1821-169.pdf#page=2","Abrir facsímil")</f>
        <v>Abrir facsímil</v>
      </c>
      <c r="K3364" s="3" t="s">
        <v>23</v>
      </c>
    </row>
    <row r="3365" spans="1:11" ht="42" customHeight="1">
      <c r="A3365" s="2" t="s">
        <v>7072</v>
      </c>
      <c r="B3365" s="2" t="s">
        <v>7072</v>
      </c>
      <c r="C3365" s="2" t="s">
        <v>35</v>
      </c>
      <c r="D3365" s="2" t="s">
        <v>27</v>
      </c>
      <c r="E3365" s="5">
        <v>-28685</v>
      </c>
      <c r="F3365" s="3" t="s">
        <v>303</v>
      </c>
      <c r="G3365" s="3" t="s">
        <v>162</v>
      </c>
      <c r="H3365" s="2" t="s">
        <v>21</v>
      </c>
      <c r="I3365" s="2" t="s">
        <v>7082</v>
      </c>
      <c r="J3365" s="3" t="str">
        <f>HYPERLINK("https://www.boe.es/gazeta/dias/1821/06/17/pdfs/GMD-1821-170.pdf#page=5","Abrir facsímil")</f>
        <v>Abrir facsímil</v>
      </c>
      <c r="K3365" s="3" t="s">
        <v>23</v>
      </c>
    </row>
    <row r="3366" spans="1:11" ht="42" customHeight="1">
      <c r="A3366" s="2" t="s">
        <v>7072</v>
      </c>
      <c r="B3366" s="2" t="s">
        <v>7072</v>
      </c>
      <c r="C3366" s="2" t="s">
        <v>114</v>
      </c>
      <c r="D3366" s="2" t="s">
        <v>27</v>
      </c>
      <c r="E3366" s="5">
        <v>-28683</v>
      </c>
      <c r="F3366" s="3" t="s">
        <v>332</v>
      </c>
      <c r="G3366" s="3" t="s">
        <v>88</v>
      </c>
      <c r="H3366" s="2" t="s">
        <v>21</v>
      </c>
      <c r="I3366" s="2" t="s">
        <v>7083</v>
      </c>
      <c r="J3366" s="3" t="str">
        <f>HYPERLINK("https://www.boe.es/gazeta/dias/1821/06/19/pdfs/GMD-1821-172.pdf#page=4","Abrir facsímil")</f>
        <v>Abrir facsímil</v>
      </c>
      <c r="K3366" s="3" t="s">
        <v>23</v>
      </c>
    </row>
    <row r="3367" spans="1:11" ht="42" customHeight="1">
      <c r="A3367" s="2" t="s">
        <v>7072</v>
      </c>
      <c r="B3367" s="2" t="s">
        <v>7072</v>
      </c>
      <c r="C3367" s="2" t="s">
        <v>17</v>
      </c>
      <c r="D3367" s="2" t="s">
        <v>18</v>
      </c>
      <c r="E3367" s="5">
        <v>-28681</v>
      </c>
      <c r="F3367" s="3" t="s">
        <v>210</v>
      </c>
      <c r="G3367" s="3" t="s">
        <v>88</v>
      </c>
      <c r="H3367" s="2" t="s">
        <v>21</v>
      </c>
      <c r="I3367" s="2" t="s">
        <v>7084</v>
      </c>
      <c r="J3367" s="3" t="str">
        <f>HYPERLINK("https://www.boe.es/gazeta/dias/1821/06/21/pdfs/GMD-1821-174.pdf#page=4","Abrir facsímil")</f>
        <v>Abrir facsímil</v>
      </c>
      <c r="K3367" s="3" t="s">
        <v>23</v>
      </c>
    </row>
    <row r="3368" spans="1:11" ht="42" customHeight="1">
      <c r="A3368" s="2" t="s">
        <v>7072</v>
      </c>
      <c r="B3368" s="2" t="s">
        <v>7072</v>
      </c>
      <c r="C3368" s="2" t="s">
        <v>70</v>
      </c>
      <c r="D3368" s="2" t="s">
        <v>27</v>
      </c>
      <c r="E3368" s="5">
        <v>-28676</v>
      </c>
      <c r="F3368" s="3" t="s">
        <v>534</v>
      </c>
      <c r="G3368" s="3" t="s">
        <v>88</v>
      </c>
      <c r="H3368" s="2" t="s">
        <v>21</v>
      </c>
      <c r="I3368" s="2" t="s">
        <v>7085</v>
      </c>
      <c r="J3368" s="3" t="str">
        <f>HYPERLINK("https://www.boe.es/gazeta/dias/1821/06/26/pdfs/GMD-1821-179.pdf#page=4","Abrir facsímil")</f>
        <v>Abrir facsímil</v>
      </c>
      <c r="K3368" s="3" t="s">
        <v>23</v>
      </c>
    </row>
    <row r="3369" spans="1:11" ht="42" customHeight="1">
      <c r="A3369" s="2" t="s">
        <v>7072</v>
      </c>
      <c r="B3369" s="2" t="s">
        <v>7072</v>
      </c>
      <c r="C3369" s="2" t="s">
        <v>40</v>
      </c>
      <c r="D3369" s="2" t="s">
        <v>41</v>
      </c>
      <c r="E3369" s="5">
        <v>-28675</v>
      </c>
      <c r="F3369" s="3" t="s">
        <v>943</v>
      </c>
      <c r="G3369" s="3" t="s">
        <v>88</v>
      </c>
      <c r="H3369" s="2" t="s">
        <v>21</v>
      </c>
      <c r="I3369" s="2" t="s">
        <v>7086</v>
      </c>
      <c r="J3369" s="3" t="str">
        <f>HYPERLINK("https://www.boe.es/gazeta/dias/1821/06/27/pdfs/GMD-1821-180.pdf#page=4","Abrir facsímil")</f>
        <v>Abrir facsímil</v>
      </c>
      <c r="K3369" s="3" t="s">
        <v>23</v>
      </c>
    </row>
    <row r="3370" spans="1:11" ht="42" customHeight="1">
      <c r="A3370" s="2" t="s">
        <v>7072</v>
      </c>
      <c r="B3370" s="2" t="s">
        <v>7072</v>
      </c>
      <c r="C3370" s="2" t="s">
        <v>35</v>
      </c>
      <c r="D3370" s="2" t="s">
        <v>27</v>
      </c>
      <c r="E3370" s="5">
        <v>-28578</v>
      </c>
      <c r="F3370" s="3" t="s">
        <v>899</v>
      </c>
      <c r="G3370" s="3" t="s">
        <v>88</v>
      </c>
      <c r="H3370" s="2" t="s">
        <v>21</v>
      </c>
      <c r="I3370" s="2" t="s">
        <v>7087</v>
      </c>
      <c r="J3370" s="3" t="str">
        <f>HYPERLINK("https://www.boe.es/gazeta/dias/1821/10/02/pdfs/GMD-1821-281.pdf#page=4","Abrir facsímil")</f>
        <v>Abrir facsímil</v>
      </c>
      <c r="K3370" s="3" t="s">
        <v>23</v>
      </c>
    </row>
    <row r="3371" spans="1:11" ht="42" customHeight="1">
      <c r="A3371" s="2" t="s">
        <v>7072</v>
      </c>
      <c r="B3371" s="2" t="s">
        <v>7072</v>
      </c>
      <c r="C3371" s="2" t="s">
        <v>17</v>
      </c>
      <c r="D3371" s="2" t="s">
        <v>18</v>
      </c>
      <c r="E3371" s="5">
        <v>-28576</v>
      </c>
      <c r="F3371" s="3" t="s">
        <v>1924</v>
      </c>
      <c r="G3371" s="3" t="s">
        <v>20</v>
      </c>
      <c r="H3371" s="2" t="s">
        <v>21</v>
      </c>
      <c r="I3371" s="2" t="s">
        <v>7088</v>
      </c>
      <c r="J3371" s="3" t="str">
        <f>HYPERLINK("https://www.boe.es/gazeta/dias/1821/10/04/pdfs/GMD-1821-283.pdf#page=3","Abrir facsímil")</f>
        <v>Abrir facsímil</v>
      </c>
      <c r="K3371" s="3" t="s">
        <v>23</v>
      </c>
    </row>
    <row r="3372" spans="1:11" ht="42" customHeight="1">
      <c r="A3372" s="2" t="s">
        <v>7072</v>
      </c>
      <c r="B3372" s="2" t="s">
        <v>7072</v>
      </c>
      <c r="C3372" s="2" t="s">
        <v>17</v>
      </c>
      <c r="D3372" s="2" t="s">
        <v>18</v>
      </c>
      <c r="E3372" s="5">
        <v>-28565</v>
      </c>
      <c r="F3372" s="3" t="s">
        <v>326</v>
      </c>
      <c r="G3372" s="3" t="s">
        <v>52</v>
      </c>
      <c r="H3372" s="2" t="s">
        <v>21</v>
      </c>
      <c r="I3372" s="2" t="s">
        <v>7089</v>
      </c>
      <c r="J3372" s="3" t="str">
        <f>HYPERLINK("https://www.boe.es/gazeta/dias/1821/10/15/pdfs/GMD-1821-294.pdf#page=2","Abrir facsímil")</f>
        <v>Abrir facsímil</v>
      </c>
      <c r="K3372" s="3" t="s">
        <v>23</v>
      </c>
    </row>
    <row r="3373" spans="1:11" ht="42" customHeight="1">
      <c r="A3373" s="2" t="s">
        <v>7072</v>
      </c>
      <c r="B3373" s="2" t="s">
        <v>7072</v>
      </c>
      <c r="C3373" s="2" t="s">
        <v>40</v>
      </c>
      <c r="D3373" s="2" t="s">
        <v>41</v>
      </c>
      <c r="E3373" s="5">
        <v>-28561</v>
      </c>
      <c r="F3373" s="3" t="s">
        <v>240</v>
      </c>
      <c r="G3373" s="3" t="s">
        <v>29</v>
      </c>
      <c r="H3373" s="2" t="s">
        <v>21</v>
      </c>
      <c r="I3373" s="2" t="s">
        <v>7090</v>
      </c>
      <c r="J3373" s="3" t="str">
        <f>HYPERLINK("https://www.boe.es/gazeta/dias/1821/10/19/pdfs/GMD-1821-298.pdf#page=6","Abrir facsímil")</f>
        <v>Abrir facsímil</v>
      </c>
      <c r="K3373" s="3" t="s">
        <v>23</v>
      </c>
    </row>
    <row r="3374" spans="1:11" ht="42" customHeight="1">
      <c r="A3374" s="2" t="s">
        <v>7072</v>
      </c>
      <c r="B3374" s="2" t="s">
        <v>7072</v>
      </c>
      <c r="C3374" s="2" t="s">
        <v>26</v>
      </c>
      <c r="D3374" s="2" t="s">
        <v>27</v>
      </c>
      <c r="E3374" s="5">
        <v>-28555</v>
      </c>
      <c r="F3374" s="3" t="s">
        <v>219</v>
      </c>
      <c r="G3374" s="3" t="s">
        <v>162</v>
      </c>
      <c r="H3374" s="2" t="s">
        <v>21</v>
      </c>
      <c r="I3374" s="2" t="s">
        <v>7091</v>
      </c>
      <c r="J3374" s="3" t="str">
        <f>HYPERLINK("https://www.boe.es/gazeta/dias/1821/10/25/pdfs/GMD-1821-304.pdf#page=5","Abrir facsímil")</f>
        <v>Abrir facsímil</v>
      </c>
      <c r="K3374" s="3" t="s">
        <v>23</v>
      </c>
    </row>
    <row r="3375" spans="1:11" ht="42" customHeight="1">
      <c r="A3375" s="2" t="s">
        <v>7072</v>
      </c>
      <c r="B3375" s="2" t="s">
        <v>7072</v>
      </c>
      <c r="C3375" s="2" t="s">
        <v>17</v>
      </c>
      <c r="D3375" s="2" t="s">
        <v>18</v>
      </c>
      <c r="E3375" s="5">
        <v>-28547</v>
      </c>
      <c r="F3375" s="3" t="s">
        <v>247</v>
      </c>
      <c r="G3375" s="3" t="s">
        <v>88</v>
      </c>
      <c r="H3375" s="2" t="s">
        <v>21</v>
      </c>
      <c r="I3375" s="2" t="s">
        <v>7092</v>
      </c>
      <c r="J3375" s="3" t="str">
        <f>HYPERLINK("https://www.boe.es/gazeta/dias/1821/11/02/pdfs/GMD-1821-312.pdf#page=4","Abrir facsímil")</f>
        <v>Abrir facsímil</v>
      </c>
      <c r="K3375" s="3" t="s">
        <v>23</v>
      </c>
    </row>
    <row r="3376" spans="1:11" ht="42" customHeight="1">
      <c r="A3376" s="2" t="s">
        <v>7072</v>
      </c>
      <c r="B3376" s="2" t="s">
        <v>7072</v>
      </c>
      <c r="C3376" s="2" t="s">
        <v>17</v>
      </c>
      <c r="D3376" s="2" t="s">
        <v>18</v>
      </c>
      <c r="E3376" s="5">
        <v>-28543</v>
      </c>
      <c r="F3376" s="3" t="s">
        <v>136</v>
      </c>
      <c r="G3376" s="3" t="s">
        <v>609</v>
      </c>
      <c r="H3376" s="2" t="s">
        <v>21</v>
      </c>
      <c r="I3376" s="2" t="s">
        <v>7093</v>
      </c>
      <c r="J3376" s="3" t="str">
        <f>HYPERLINK("https://www.boe.es/gazeta/dias/1821/11/06/pdfs/GMD-1821-317.pdf#page=7","Abrir facsímil")</f>
        <v>Abrir facsímil</v>
      </c>
      <c r="K3376" s="3" t="s">
        <v>23</v>
      </c>
    </row>
    <row r="3377" spans="1:11" ht="42" customHeight="1">
      <c r="A3377" s="2" t="s">
        <v>7072</v>
      </c>
      <c r="B3377" s="2" t="s">
        <v>7072</v>
      </c>
      <c r="C3377" s="2" t="s">
        <v>17</v>
      </c>
      <c r="D3377" s="2" t="s">
        <v>18</v>
      </c>
      <c r="E3377" s="5">
        <v>-28542</v>
      </c>
      <c r="F3377" s="3" t="s">
        <v>221</v>
      </c>
      <c r="G3377" s="3" t="s">
        <v>88</v>
      </c>
      <c r="H3377" s="2" t="s">
        <v>21</v>
      </c>
      <c r="I3377" s="2" t="s">
        <v>7094</v>
      </c>
      <c r="J3377" s="3" t="str">
        <f>HYPERLINK("https://www.boe.es/gazeta/dias/1821/11/07/pdfs/GMD-1821-318.pdf#page=4","Abrir facsímil")</f>
        <v>Abrir facsímil</v>
      </c>
      <c r="K3377" s="3" t="s">
        <v>23</v>
      </c>
    </row>
    <row r="3378" spans="1:11" ht="42" customHeight="1">
      <c r="A3378" s="2" t="s">
        <v>7072</v>
      </c>
      <c r="B3378" s="2" t="s">
        <v>7072</v>
      </c>
      <c r="C3378" s="2" t="s">
        <v>17</v>
      </c>
      <c r="D3378" s="2" t="s">
        <v>18</v>
      </c>
      <c r="E3378" s="5">
        <v>-28542</v>
      </c>
      <c r="F3378" s="3" t="s">
        <v>221</v>
      </c>
      <c r="G3378" s="3" t="s">
        <v>162</v>
      </c>
      <c r="H3378" s="2" t="s">
        <v>21</v>
      </c>
      <c r="I3378" s="2" t="s">
        <v>7095</v>
      </c>
      <c r="J3378" s="3" t="str">
        <f>HYPERLINK("https://www.boe.es/gazeta/dias/1821/11/07/pdfs/GMD-1821-318.pdf#page=5","Abrir facsímil")</f>
        <v>Abrir facsímil</v>
      </c>
      <c r="K3378" s="3" t="s">
        <v>23</v>
      </c>
    </row>
    <row r="3379" spans="1:11" ht="42" customHeight="1">
      <c r="A3379" s="2" t="s">
        <v>7072</v>
      </c>
      <c r="B3379" s="2" t="s">
        <v>7072</v>
      </c>
      <c r="C3379" s="2" t="s">
        <v>17</v>
      </c>
      <c r="D3379" s="2" t="s">
        <v>18</v>
      </c>
      <c r="E3379" s="5">
        <v>-28533</v>
      </c>
      <c r="F3379" s="3" t="s">
        <v>559</v>
      </c>
      <c r="G3379" s="3" t="s">
        <v>88</v>
      </c>
      <c r="H3379" s="2" t="s">
        <v>21</v>
      </c>
      <c r="I3379" s="2" t="s">
        <v>7096</v>
      </c>
      <c r="J3379" s="3" t="str">
        <f>HYPERLINK("https://www.boe.es/gazeta/dias/1821/11/16/pdfs/GMD-1821-327.pdf#page=4","Abrir facsímil")</f>
        <v>Abrir facsímil</v>
      </c>
      <c r="K3379" s="3" t="s">
        <v>23</v>
      </c>
    </row>
    <row r="3380" spans="1:11" ht="42" customHeight="1">
      <c r="A3380" s="2" t="s">
        <v>7072</v>
      </c>
      <c r="B3380" s="2" t="s">
        <v>7072</v>
      </c>
      <c r="C3380" s="2" t="s">
        <v>40</v>
      </c>
      <c r="D3380" s="2" t="s">
        <v>41</v>
      </c>
      <c r="E3380" s="5">
        <v>-28527</v>
      </c>
      <c r="F3380" s="3" t="s">
        <v>328</v>
      </c>
      <c r="G3380" s="3" t="s">
        <v>20</v>
      </c>
      <c r="H3380" s="2" t="s">
        <v>21</v>
      </c>
      <c r="I3380" s="2" t="s">
        <v>7097</v>
      </c>
      <c r="J3380" s="3" t="str">
        <f>HYPERLINK("https://www.boe.es/gazeta/dias/1821/11/22/pdfs/GMD-1821-333.pdf#page=3","Abrir facsímil")</f>
        <v>Abrir facsímil</v>
      </c>
      <c r="K3380" s="3" t="s">
        <v>23</v>
      </c>
    </row>
    <row r="3381" spans="1:11" ht="42" customHeight="1">
      <c r="A3381" s="2" t="s">
        <v>7072</v>
      </c>
      <c r="B3381" s="2" t="s">
        <v>7072</v>
      </c>
      <c r="C3381" s="2" t="s">
        <v>35</v>
      </c>
      <c r="D3381" s="2" t="s">
        <v>27</v>
      </c>
      <c r="E3381" s="5">
        <v>-28525</v>
      </c>
      <c r="F3381" s="3" t="s">
        <v>186</v>
      </c>
      <c r="G3381" s="3" t="s">
        <v>52</v>
      </c>
      <c r="H3381" s="2" t="s">
        <v>21</v>
      </c>
      <c r="I3381" s="2" t="s">
        <v>7098</v>
      </c>
      <c r="J3381" s="3" t="str">
        <f>HYPERLINK("https://www.boe.es/gazeta/dias/1821/11/24/pdfs/GMD-1821-335.pdf#page=2","Abrir facsímil")</f>
        <v>Abrir facsímil</v>
      </c>
      <c r="K3381" s="3" t="s">
        <v>23</v>
      </c>
    </row>
    <row r="3382" spans="1:11" ht="42" customHeight="1">
      <c r="A3382" s="2" t="s">
        <v>7072</v>
      </c>
      <c r="B3382" s="2" t="s">
        <v>7072</v>
      </c>
      <c r="C3382" s="2" t="s">
        <v>26</v>
      </c>
      <c r="D3382" s="2" t="s">
        <v>27</v>
      </c>
      <c r="E3382" s="5">
        <v>-28518</v>
      </c>
      <c r="F3382" s="3" t="s">
        <v>410</v>
      </c>
      <c r="G3382" s="3" t="s">
        <v>20</v>
      </c>
      <c r="H3382" s="2" t="s">
        <v>21</v>
      </c>
      <c r="I3382" s="2" t="s">
        <v>7099</v>
      </c>
      <c r="J3382" s="3" t="str">
        <f>HYPERLINK("https://www.boe.es/gazeta/dias/1821/12/01/pdfs/GMD-1821-343.pdf#page=3","Abrir facsímil")</f>
        <v>Abrir facsímil</v>
      </c>
      <c r="K3382" s="3" t="s">
        <v>23</v>
      </c>
    </row>
    <row r="3383" spans="1:11" ht="42" customHeight="1">
      <c r="A3383" s="2" t="s">
        <v>7100</v>
      </c>
      <c r="B3383" s="2" t="s">
        <v>7101</v>
      </c>
      <c r="C3383" s="2" t="s">
        <v>17</v>
      </c>
      <c r="D3383" s="2" t="s">
        <v>18</v>
      </c>
      <c r="E3383" s="5">
        <v>-28818</v>
      </c>
      <c r="F3383" s="3" t="s">
        <v>2337</v>
      </c>
      <c r="G3383" s="3" t="s">
        <v>4055</v>
      </c>
      <c r="H3383" s="2" t="s">
        <v>21</v>
      </c>
      <c r="I3383" s="2" t="s">
        <v>7102</v>
      </c>
      <c r="J3383" s="3" t="str">
        <f>HYPERLINK("https://www.boe.es/gazeta/dias/1821/02/04/pdfs/GGB-1821-35.pdf#page=6","Abrir facsímil")</f>
        <v>Abrir facsímil</v>
      </c>
      <c r="K3383" s="3" t="s">
        <v>23</v>
      </c>
    </row>
    <row r="3384" spans="1:11" ht="42" customHeight="1">
      <c r="A3384" s="2" t="s">
        <v>7103</v>
      </c>
      <c r="B3384" s="2" t="s">
        <v>7103</v>
      </c>
      <c r="C3384" s="2" t="s">
        <v>40</v>
      </c>
      <c r="D3384" s="2" t="s">
        <v>41</v>
      </c>
      <c r="E3384" s="5">
        <v>-28576</v>
      </c>
      <c r="F3384" s="3" t="s">
        <v>1924</v>
      </c>
      <c r="G3384" s="3" t="s">
        <v>43</v>
      </c>
      <c r="H3384" s="2" t="s">
        <v>21</v>
      </c>
      <c r="I3384" s="2" t="s">
        <v>7104</v>
      </c>
      <c r="J3384" s="3" t="str">
        <f>HYPERLINK("https://www.boe.es/gazeta/dias/1821/10/04/pdfs/GMD-1821-283.pdf#page=1","Abrir facsímil")</f>
        <v>Abrir facsímil</v>
      </c>
      <c r="K3384" s="3" t="s">
        <v>23</v>
      </c>
    </row>
    <row r="3385" spans="1:11" ht="42" customHeight="1">
      <c r="A3385" s="2" t="s">
        <v>7105</v>
      </c>
      <c r="B3385" s="2" t="s">
        <v>7105</v>
      </c>
      <c r="C3385" s="2" t="s">
        <v>35</v>
      </c>
      <c r="D3385" s="2" t="s">
        <v>27</v>
      </c>
      <c r="E3385" s="5">
        <v>-28537</v>
      </c>
      <c r="F3385" s="3" t="s">
        <v>56</v>
      </c>
      <c r="G3385" s="3" t="s">
        <v>52</v>
      </c>
      <c r="H3385" s="2" t="s">
        <v>21</v>
      </c>
      <c r="I3385" s="2" t="s">
        <v>7106</v>
      </c>
      <c r="J3385" s="3" t="str">
        <f>HYPERLINK("https://www.boe.es/gazeta/dias/1821/11/12/pdfs/GMD-1821-323.pdf#page=2","Abrir facsímil")</f>
        <v>Abrir facsímil</v>
      </c>
      <c r="K3385" s="3" t="s">
        <v>23</v>
      </c>
    </row>
    <row r="3386" spans="1:11" ht="42" customHeight="1">
      <c r="A3386" s="2" t="s">
        <v>7107</v>
      </c>
      <c r="B3386" s="2" t="s">
        <v>7108</v>
      </c>
      <c r="C3386" s="2" t="s">
        <v>17</v>
      </c>
      <c r="D3386" s="2" t="s">
        <v>18</v>
      </c>
      <c r="E3386" s="5">
        <v>-28650</v>
      </c>
      <c r="F3386" s="3" t="s">
        <v>3285</v>
      </c>
      <c r="G3386" s="3" t="s">
        <v>88</v>
      </c>
      <c r="H3386" s="2" t="s">
        <v>21</v>
      </c>
      <c r="I3386" s="2" t="s">
        <v>7109</v>
      </c>
      <c r="J3386" s="3" t="str">
        <f>HYPERLINK("https://www.boe.es/gazeta/dias/1821/07/22/pdfs/GMD-1821-207.pdf#page=4","Abrir facsímil")</f>
        <v>Abrir facsímil</v>
      </c>
      <c r="K3386" s="3" t="s">
        <v>23</v>
      </c>
    </row>
    <row r="3387" spans="1:11" ht="42" customHeight="1">
      <c r="A3387" s="2" t="s">
        <v>7110</v>
      </c>
      <c r="B3387" s="2" t="s">
        <v>7111</v>
      </c>
      <c r="C3387" s="2" t="s">
        <v>26</v>
      </c>
      <c r="D3387" s="2" t="s">
        <v>27</v>
      </c>
      <c r="E3387" s="5">
        <v>-28795</v>
      </c>
      <c r="F3387" s="3" t="s">
        <v>2287</v>
      </c>
      <c r="G3387" s="3" t="s">
        <v>88</v>
      </c>
      <c r="H3387" s="2" t="s">
        <v>21</v>
      </c>
      <c r="I3387" s="2" t="s">
        <v>7112</v>
      </c>
      <c r="J3387" s="3" t="str">
        <f>HYPERLINK("https://www.boe.es/gazeta/dias/1821/02/27/pdfs/GGB-1821-58.pdf#page=4","Abrir facsímil")</f>
        <v>Abrir facsímil</v>
      </c>
      <c r="K3387" s="3" t="s">
        <v>23</v>
      </c>
    </row>
    <row r="3388" spans="1:11" ht="42" customHeight="1">
      <c r="A3388" s="2" t="s">
        <v>7113</v>
      </c>
      <c r="B3388" s="2" t="s">
        <v>7114</v>
      </c>
      <c r="C3388" s="2" t="s">
        <v>40</v>
      </c>
      <c r="D3388" s="2" t="s">
        <v>41</v>
      </c>
      <c r="E3388" s="5">
        <v>-28492</v>
      </c>
      <c r="F3388" s="3" t="s">
        <v>1550</v>
      </c>
      <c r="G3388" s="3" t="s">
        <v>88</v>
      </c>
      <c r="H3388" s="2" t="s">
        <v>21</v>
      </c>
      <c r="I3388" s="2" t="s">
        <v>7115</v>
      </c>
      <c r="J3388" s="3" t="str">
        <f>HYPERLINK("https://www.boe.es/gazeta/dias/1821/12/27/pdfs/GMD-1821-370.pdf#page=4","Abrir facsímil")</f>
        <v>Abrir facsímil</v>
      </c>
      <c r="K3388" s="3" t="s">
        <v>23</v>
      </c>
    </row>
    <row r="3389" spans="1:11" ht="42" customHeight="1">
      <c r="A3389" s="2" t="s">
        <v>7116</v>
      </c>
      <c r="B3389" s="2" t="s">
        <v>7117</v>
      </c>
      <c r="C3389" s="2" t="s">
        <v>114</v>
      </c>
      <c r="D3389" s="2" t="s">
        <v>27</v>
      </c>
      <c r="E3389" s="5">
        <v>-28718</v>
      </c>
      <c r="F3389" s="3" t="s">
        <v>583</v>
      </c>
      <c r="G3389" s="3" t="s">
        <v>88</v>
      </c>
      <c r="H3389" s="2" t="s">
        <v>21</v>
      </c>
      <c r="I3389" s="2" t="s">
        <v>7118</v>
      </c>
      <c r="J3389" s="3" t="str">
        <f>HYPERLINK("https://www.boe.es/gazeta/dias/1821/05/15/pdfs/GMD-1821-137.pdf#page=4","Abrir facsímil")</f>
        <v>Abrir facsímil</v>
      </c>
      <c r="K3389" s="3" t="s">
        <v>23</v>
      </c>
    </row>
    <row r="3390" spans="1:11" ht="42" customHeight="1">
      <c r="A3390" s="2" t="s">
        <v>7119</v>
      </c>
      <c r="B3390" s="2" t="s">
        <v>7119</v>
      </c>
      <c r="C3390" s="2" t="s">
        <v>26</v>
      </c>
      <c r="D3390" s="2" t="s">
        <v>27</v>
      </c>
      <c r="E3390" s="5">
        <v>-28788</v>
      </c>
      <c r="F3390" s="3" t="s">
        <v>996</v>
      </c>
      <c r="G3390" s="3" t="s">
        <v>43</v>
      </c>
      <c r="H3390" s="2" t="s">
        <v>21</v>
      </c>
      <c r="I3390" s="2" t="s">
        <v>7120</v>
      </c>
      <c r="J3390" s="3" t="str">
        <f>HYPERLINK("https://www.boe.es/gazeta/dias/1821/03/06/pdfs/GGB-1821-65.pdf#page=1","Abrir facsímil")</f>
        <v>Abrir facsímil</v>
      </c>
      <c r="K3390" s="3" t="s">
        <v>23</v>
      </c>
    </row>
    <row r="3391" spans="1:11" ht="42" customHeight="1">
      <c r="A3391" s="2" t="s">
        <v>7121</v>
      </c>
      <c r="B3391" s="2" t="s">
        <v>7121</v>
      </c>
      <c r="C3391" s="2" t="s">
        <v>26</v>
      </c>
      <c r="D3391" s="2" t="s">
        <v>27</v>
      </c>
      <c r="E3391" s="5">
        <v>-28732</v>
      </c>
      <c r="F3391" s="3" t="s">
        <v>2628</v>
      </c>
      <c r="G3391" s="3" t="s">
        <v>88</v>
      </c>
      <c r="H3391" s="2" t="s">
        <v>21</v>
      </c>
      <c r="I3391" s="2" t="s">
        <v>7122</v>
      </c>
      <c r="J3391" s="3" t="str">
        <f>HYPERLINK("https://www.boe.es/gazeta/dias/1821/05/01/pdfs/GMD-1821-123.pdf#page=4","Abrir facsímil")</f>
        <v>Abrir facsímil</v>
      </c>
      <c r="K3391" s="3" t="s">
        <v>23</v>
      </c>
    </row>
    <row r="3392" spans="1:11" ht="42" customHeight="1">
      <c r="A3392" s="2" t="s">
        <v>7123</v>
      </c>
      <c r="B3392" s="2" t="s">
        <v>7123</v>
      </c>
      <c r="C3392" s="2" t="s">
        <v>40</v>
      </c>
      <c r="D3392" s="2" t="s">
        <v>41</v>
      </c>
      <c r="E3392" s="5">
        <v>-28669</v>
      </c>
      <c r="F3392" s="3" t="s">
        <v>2816</v>
      </c>
      <c r="G3392" s="3" t="s">
        <v>52</v>
      </c>
      <c r="H3392" s="2" t="s">
        <v>21</v>
      </c>
      <c r="I3392" s="2" t="s">
        <v>7124</v>
      </c>
      <c r="J3392" s="3" t="str">
        <f>HYPERLINK("https://www.boe.es/gazeta/dias/1821/07/03/pdfs/GMD-1821-187.pdf#page=2","Abrir facsímil")</f>
        <v>Abrir facsímil</v>
      </c>
      <c r="K3392" s="3" t="s">
        <v>23</v>
      </c>
    </row>
    <row r="3393" spans="1:11" ht="42" customHeight="1">
      <c r="A3393" s="2" t="s">
        <v>7125</v>
      </c>
      <c r="B3393" s="2" t="s">
        <v>7125</v>
      </c>
      <c r="C3393" s="2" t="s">
        <v>70</v>
      </c>
      <c r="D3393" s="2" t="s">
        <v>27</v>
      </c>
      <c r="E3393" s="5">
        <v>-28741</v>
      </c>
      <c r="F3393" s="3" t="s">
        <v>1841</v>
      </c>
      <c r="G3393" s="3" t="s">
        <v>52</v>
      </c>
      <c r="H3393" s="2" t="s">
        <v>21</v>
      </c>
      <c r="I3393" s="2" t="s">
        <v>7126</v>
      </c>
      <c r="J3393" s="3" t="str">
        <f>HYPERLINK("https://www.boe.es/gazeta/dias/1821/04/22/pdfs/GMD-1821-114.pdf#page=2","Abrir facsímil")</f>
        <v>Abrir facsímil</v>
      </c>
      <c r="K3393" s="3" t="s">
        <v>23</v>
      </c>
    </row>
    <row r="3394" spans="1:11" ht="42" customHeight="1">
      <c r="A3394" s="2" t="s">
        <v>7125</v>
      </c>
      <c r="B3394" s="2" t="s">
        <v>7125</v>
      </c>
      <c r="C3394" s="2" t="s">
        <v>17</v>
      </c>
      <c r="D3394" s="2" t="s">
        <v>18</v>
      </c>
      <c r="E3394" s="5">
        <v>-28697</v>
      </c>
      <c r="F3394" s="3" t="s">
        <v>166</v>
      </c>
      <c r="G3394" s="3" t="s">
        <v>1357</v>
      </c>
      <c r="H3394" s="2" t="s">
        <v>21</v>
      </c>
      <c r="I3394" s="2" t="s">
        <v>7127</v>
      </c>
      <c r="J3394" s="3" t="str">
        <f>HYPERLINK("https://www.boe.es/gazeta/dias/1821/06/05/pdfs/GMD-1821-158.pdf#page=4","Abrir facsímil")</f>
        <v>Abrir facsímil</v>
      </c>
      <c r="K3394" s="3" t="s">
        <v>23</v>
      </c>
    </row>
    <row r="3395" spans="1:11" ht="42" customHeight="1">
      <c r="A3395" s="2" t="s">
        <v>7125</v>
      </c>
      <c r="B3395" s="2" t="s">
        <v>7125</v>
      </c>
      <c r="C3395" s="2" t="s">
        <v>17</v>
      </c>
      <c r="D3395" s="2" t="s">
        <v>18</v>
      </c>
      <c r="E3395" s="5">
        <v>-28579</v>
      </c>
      <c r="F3395" s="3" t="s">
        <v>743</v>
      </c>
      <c r="G3395" s="3" t="s">
        <v>7128</v>
      </c>
      <c r="H3395" s="2" t="s">
        <v>21</v>
      </c>
      <c r="I3395" s="2" t="s">
        <v>7129</v>
      </c>
      <c r="J3395" s="3" t="str">
        <f>HYPERLINK("https://www.boe.es/gazeta/dias/1821/10/01/pdfs/GMD-1821-280.pdf#page=3","Abrir facsímil")</f>
        <v>Abrir facsímil</v>
      </c>
      <c r="K3395" s="3" t="s">
        <v>23</v>
      </c>
    </row>
    <row r="3396" spans="1:11" ht="42" customHeight="1">
      <c r="A3396" s="2" t="s">
        <v>7130</v>
      </c>
      <c r="B3396" s="2" t="s">
        <v>7130</v>
      </c>
      <c r="C3396" s="2" t="s">
        <v>26</v>
      </c>
      <c r="D3396" s="2" t="s">
        <v>27</v>
      </c>
      <c r="E3396" s="5">
        <v>-28581</v>
      </c>
      <c r="F3396" s="3" t="s">
        <v>254</v>
      </c>
      <c r="G3396" s="3" t="s">
        <v>3366</v>
      </c>
      <c r="H3396" s="2" t="s">
        <v>21</v>
      </c>
      <c r="I3396" s="2" t="s">
        <v>7131</v>
      </c>
      <c r="J3396" s="3" t="str">
        <f>HYPERLINK("https://www.boe.es/gazeta/dias/1821/09/29/pdfs/GMD-1821-278.pdf#page=2","Abrir facsímil")</f>
        <v>Abrir facsímil</v>
      </c>
      <c r="K3396" s="3" t="s">
        <v>23</v>
      </c>
    </row>
    <row r="3397" spans="1:11" ht="42" customHeight="1">
      <c r="A3397" s="2" t="s">
        <v>7132</v>
      </c>
      <c r="B3397" s="2" t="s">
        <v>7133</v>
      </c>
      <c r="C3397" s="2" t="s">
        <v>26</v>
      </c>
      <c r="D3397" s="2" t="s">
        <v>27</v>
      </c>
      <c r="E3397" s="5">
        <v>-28661</v>
      </c>
      <c r="F3397" s="3" t="s">
        <v>2298</v>
      </c>
      <c r="G3397" s="3" t="s">
        <v>29</v>
      </c>
      <c r="H3397" s="2" t="s">
        <v>21</v>
      </c>
      <c r="I3397" s="2" t="s">
        <v>7134</v>
      </c>
      <c r="J3397" s="3" t="str">
        <f>HYPERLINK("https://www.boe.es/gazeta/dias/1821/07/11/pdfs/GMD-1821-196.pdf#page=6","Abrir facsímil")</f>
        <v>Abrir facsímil</v>
      </c>
      <c r="K3397" s="3" t="s">
        <v>23</v>
      </c>
    </row>
    <row r="3398" spans="1:11" ht="42" customHeight="1">
      <c r="A3398" s="2" t="s">
        <v>7135</v>
      </c>
      <c r="B3398" s="2" t="s">
        <v>7135</v>
      </c>
      <c r="C3398" s="2" t="s">
        <v>17</v>
      </c>
      <c r="D3398" s="2" t="s">
        <v>18</v>
      </c>
      <c r="E3398" s="5">
        <v>-28500</v>
      </c>
      <c r="F3398" s="3" t="s">
        <v>298</v>
      </c>
      <c r="G3398" s="3" t="s">
        <v>43</v>
      </c>
      <c r="H3398" s="2" t="s">
        <v>21</v>
      </c>
      <c r="I3398" s="2" t="s">
        <v>7136</v>
      </c>
      <c r="J3398" s="3" t="str">
        <f>HYPERLINK("https://www.boe.es/gazeta/dias/1821/12/19/pdfs/GMD-1821-362.pdf#page=1","Abrir facsímil")</f>
        <v>Abrir facsímil</v>
      </c>
      <c r="K3398" s="3" t="s">
        <v>23</v>
      </c>
    </row>
    <row r="3399" spans="1:11" ht="42" customHeight="1">
      <c r="A3399" s="2" t="s">
        <v>7137</v>
      </c>
      <c r="B3399" s="2" t="s">
        <v>7137</v>
      </c>
      <c r="C3399" s="2" t="s">
        <v>26</v>
      </c>
      <c r="D3399" s="2" t="s">
        <v>27</v>
      </c>
      <c r="E3399" s="5">
        <v>-28832</v>
      </c>
      <c r="F3399" s="3" t="s">
        <v>353</v>
      </c>
      <c r="G3399" s="3" t="s">
        <v>29</v>
      </c>
      <c r="H3399" s="2" t="s">
        <v>21</v>
      </c>
      <c r="I3399" s="2" t="s">
        <v>7138</v>
      </c>
      <c r="J3399" s="3" t="str">
        <f>HYPERLINK("https://www.boe.es/gazeta/dias/1821/01/21/pdfs/GGB-1821-21.pdf#page=6","Abrir facsímil")</f>
        <v>Abrir facsímil</v>
      </c>
      <c r="K3399" s="3" t="s">
        <v>23</v>
      </c>
    </row>
    <row r="3400" spans="1:11" ht="42" customHeight="1">
      <c r="A3400" s="2" t="s">
        <v>7139</v>
      </c>
      <c r="B3400" s="2" t="s">
        <v>7139</v>
      </c>
      <c r="C3400" s="2" t="s">
        <v>17</v>
      </c>
      <c r="D3400" s="2" t="s">
        <v>18</v>
      </c>
      <c r="E3400" s="5">
        <v>-28698</v>
      </c>
      <c r="F3400" s="3" t="s">
        <v>2067</v>
      </c>
      <c r="G3400" s="3" t="s">
        <v>3804</v>
      </c>
      <c r="H3400" s="2" t="s">
        <v>21</v>
      </c>
      <c r="I3400" s="2" t="s">
        <v>7140</v>
      </c>
      <c r="J3400" s="3" t="str">
        <f>HYPERLINK("https://www.boe.es/gazeta/dias/1821/06/04/pdfs/GMD-1821-157.pdf#page=2","Abrir facsímil")</f>
        <v>Abrir facsímil</v>
      </c>
      <c r="K3400" s="3" t="s">
        <v>23</v>
      </c>
    </row>
    <row r="3401" spans="1:11" ht="42" customHeight="1">
      <c r="A3401" s="2" t="s">
        <v>7141</v>
      </c>
      <c r="B3401" s="2" t="s">
        <v>7142</v>
      </c>
      <c r="C3401" s="2" t="s">
        <v>40</v>
      </c>
      <c r="D3401" s="2" t="s">
        <v>41</v>
      </c>
      <c r="E3401" s="5">
        <v>-28743</v>
      </c>
      <c r="F3401" s="3" t="s">
        <v>51</v>
      </c>
      <c r="G3401" s="3" t="s">
        <v>88</v>
      </c>
      <c r="H3401" s="2" t="s">
        <v>21</v>
      </c>
      <c r="I3401" s="2" t="s">
        <v>7143</v>
      </c>
      <c r="J3401" s="3" t="str">
        <f>HYPERLINK("https://www.boe.es/gazeta/dias/1821/04/20/pdfs/GMD-1821-112.pdf#page=4","Abrir facsímil")</f>
        <v>Abrir facsímil</v>
      </c>
      <c r="K3401" s="3" t="s">
        <v>23</v>
      </c>
    </row>
    <row r="3402" spans="1:11" ht="42" customHeight="1">
      <c r="A3402" s="2" t="s">
        <v>7144</v>
      </c>
      <c r="B3402" s="2" t="s">
        <v>7145</v>
      </c>
      <c r="C3402" s="2" t="s">
        <v>114</v>
      </c>
      <c r="D3402" s="2" t="s">
        <v>27</v>
      </c>
      <c r="E3402" s="5">
        <v>-28809</v>
      </c>
      <c r="F3402" s="3" t="s">
        <v>1173</v>
      </c>
      <c r="G3402" s="3" t="s">
        <v>88</v>
      </c>
      <c r="H3402" s="2" t="s">
        <v>21</v>
      </c>
      <c r="I3402" s="2" t="s">
        <v>7146</v>
      </c>
      <c r="J3402" s="3" t="str">
        <f>HYPERLINK("https://www.boe.es/gazeta/dias/1821/02/13/pdfs/GGB-1821-44.pdf#page=4","Abrir facsímil")</f>
        <v>Abrir facsímil</v>
      </c>
      <c r="K3402" s="3" t="s">
        <v>23</v>
      </c>
    </row>
    <row r="3403" spans="1:11" ht="42" customHeight="1">
      <c r="A3403" s="2" t="s">
        <v>7147</v>
      </c>
      <c r="B3403" s="2" t="s">
        <v>7148</v>
      </c>
      <c r="C3403" s="2" t="s">
        <v>40</v>
      </c>
      <c r="D3403" s="2" t="s">
        <v>41</v>
      </c>
      <c r="E3403" s="5">
        <v>-28512</v>
      </c>
      <c r="F3403" s="3" t="s">
        <v>66</v>
      </c>
      <c r="G3403" s="3" t="s">
        <v>43</v>
      </c>
      <c r="H3403" s="2" t="s">
        <v>21</v>
      </c>
      <c r="I3403" s="2" t="s">
        <v>7149</v>
      </c>
      <c r="J3403" s="3" t="str">
        <f>HYPERLINK("https://www.boe.es/gazeta/dias/1821/12/07/pdfs/GMD-1821-349.pdf#page=1","Abrir facsímil")</f>
        <v>Abrir facsímil</v>
      </c>
      <c r="K3403" s="3" t="s">
        <v>23</v>
      </c>
    </row>
    <row r="3404" spans="1:11" ht="42" customHeight="1">
      <c r="A3404" s="2" t="s">
        <v>7150</v>
      </c>
      <c r="B3404" s="2" t="s">
        <v>7151</v>
      </c>
      <c r="C3404" s="2" t="s">
        <v>40</v>
      </c>
      <c r="D3404" s="2" t="s">
        <v>41</v>
      </c>
      <c r="E3404" s="5">
        <v>-28510</v>
      </c>
      <c r="F3404" s="3" t="s">
        <v>83</v>
      </c>
      <c r="G3404" s="3" t="s">
        <v>52</v>
      </c>
      <c r="H3404" s="2" t="s">
        <v>21</v>
      </c>
      <c r="I3404" s="2" t="s">
        <v>7152</v>
      </c>
      <c r="J3404" s="3" t="str">
        <f>HYPERLINK("https://www.boe.es/gazeta/dias/1821/12/09/pdfs/GMD-1821-351.pdf#page=2","Abrir facsímil")</f>
        <v>Abrir facsímil</v>
      </c>
      <c r="K3404" s="3" t="s">
        <v>23</v>
      </c>
    </row>
    <row r="3405" spans="1:11" ht="42" customHeight="1">
      <c r="A3405" s="2" t="s">
        <v>7153</v>
      </c>
      <c r="B3405" s="2" t="s">
        <v>7154</v>
      </c>
      <c r="C3405" s="2" t="s">
        <v>17</v>
      </c>
      <c r="D3405" s="2" t="s">
        <v>18</v>
      </c>
      <c r="E3405" s="5">
        <v>-28651</v>
      </c>
      <c r="F3405" s="3" t="s">
        <v>1518</v>
      </c>
      <c r="G3405" s="3" t="s">
        <v>52</v>
      </c>
      <c r="H3405" s="2" t="s">
        <v>21</v>
      </c>
      <c r="I3405" s="2" t="s">
        <v>7155</v>
      </c>
      <c r="J3405" s="3" t="str">
        <f>HYPERLINK("https://www.boe.es/gazeta/dias/1821/07/21/pdfs/GMD-1821-206.pdf#page=2","Abrir facsímil")</f>
        <v>Abrir facsímil</v>
      </c>
      <c r="K3405" s="3" t="s">
        <v>23</v>
      </c>
    </row>
    <row r="3406" spans="1:11" ht="42" customHeight="1">
      <c r="A3406" s="2" t="s">
        <v>7156</v>
      </c>
      <c r="B3406" s="2" t="s">
        <v>7156</v>
      </c>
      <c r="C3406" s="2" t="s">
        <v>17</v>
      </c>
      <c r="D3406" s="2" t="s">
        <v>18</v>
      </c>
      <c r="E3406" s="5">
        <v>-28662</v>
      </c>
      <c r="F3406" s="3" t="s">
        <v>3289</v>
      </c>
      <c r="G3406" s="3" t="s">
        <v>52</v>
      </c>
      <c r="H3406" s="2" t="s">
        <v>21</v>
      </c>
      <c r="I3406" s="2" t="s">
        <v>7157</v>
      </c>
      <c r="J3406" s="3" t="str">
        <f>HYPERLINK("https://www.boe.es/gazeta/dias/1821/07/10/pdfs/GMD-1821-195.pdf#page=2","Abrir facsímil")</f>
        <v>Abrir facsímil</v>
      </c>
      <c r="K3406" s="3" t="s">
        <v>23</v>
      </c>
    </row>
    <row r="3407" spans="1:11" ht="42" customHeight="1">
      <c r="A3407" s="2" t="s">
        <v>7158</v>
      </c>
      <c r="B3407" s="2" t="s">
        <v>7159</v>
      </c>
      <c r="C3407" s="2" t="s">
        <v>40</v>
      </c>
      <c r="D3407" s="2" t="s">
        <v>41</v>
      </c>
      <c r="E3407" s="5">
        <v>-28677</v>
      </c>
      <c r="F3407" s="3" t="s">
        <v>361</v>
      </c>
      <c r="G3407" s="3" t="s">
        <v>43</v>
      </c>
      <c r="H3407" s="2" t="s">
        <v>21</v>
      </c>
      <c r="I3407" s="2" t="s">
        <v>7160</v>
      </c>
      <c r="J3407" s="3" t="str">
        <f>HYPERLINK("https://www.boe.es/gazeta/dias/1821/06/25/pdfs/GMD-1821-178.pdf#page=1","Abrir facsímil")</f>
        <v>Abrir facsímil</v>
      </c>
      <c r="K3407" s="3" t="s">
        <v>23</v>
      </c>
    </row>
    <row r="3408" spans="1:11" ht="42" customHeight="1">
      <c r="A3408" s="2" t="s">
        <v>7161</v>
      </c>
      <c r="B3408" s="2" t="s">
        <v>7161</v>
      </c>
      <c r="C3408" s="2" t="s">
        <v>40</v>
      </c>
      <c r="D3408" s="2" t="s">
        <v>41</v>
      </c>
      <c r="E3408" s="5">
        <v>-28638</v>
      </c>
      <c r="F3408" s="3" t="s">
        <v>736</v>
      </c>
      <c r="G3408" s="3" t="s">
        <v>20</v>
      </c>
      <c r="H3408" s="2" t="s">
        <v>21</v>
      </c>
      <c r="I3408" s="2" t="s">
        <v>7162</v>
      </c>
      <c r="J3408" s="3" t="str">
        <f>HYPERLINK("https://www.boe.es/gazeta/dias/1821/08/03/pdfs/GMD-1821-219.pdf#page=3","Abrir facsímil")</f>
        <v>Abrir facsímil</v>
      </c>
      <c r="K3408" s="3" t="s">
        <v>23</v>
      </c>
    </row>
    <row r="3409" spans="1:11" ht="42" customHeight="1">
      <c r="A3409" s="2" t="s">
        <v>7163</v>
      </c>
      <c r="B3409" s="2" t="s">
        <v>7163</v>
      </c>
      <c r="C3409" s="2" t="s">
        <v>40</v>
      </c>
      <c r="D3409" s="2" t="s">
        <v>41</v>
      </c>
      <c r="E3409" s="5">
        <v>-28773</v>
      </c>
      <c r="F3409" s="3" t="s">
        <v>1755</v>
      </c>
      <c r="G3409" s="3" t="s">
        <v>43</v>
      </c>
      <c r="H3409" s="2" t="s">
        <v>21</v>
      </c>
      <c r="I3409" s="2" t="s">
        <v>7164</v>
      </c>
      <c r="J3409" s="3" t="str">
        <f>HYPERLINK("https://www.boe.es/gazeta/dias/1821/03/21/pdfs/GMD-1821-80.pdf#page=1","Abrir facsímil")</f>
        <v>Abrir facsímil</v>
      </c>
      <c r="K3409" s="3" t="s">
        <v>23</v>
      </c>
    </row>
    <row r="3410" spans="1:11" ht="42" customHeight="1">
      <c r="A3410" s="2" t="s">
        <v>7165</v>
      </c>
      <c r="B3410" s="2" t="s">
        <v>7166</v>
      </c>
      <c r="C3410" s="2" t="s">
        <v>26</v>
      </c>
      <c r="D3410" s="2" t="s">
        <v>27</v>
      </c>
      <c r="E3410" s="5">
        <v>-28752</v>
      </c>
      <c r="F3410" s="3" t="s">
        <v>1012</v>
      </c>
      <c r="G3410" s="3" t="s">
        <v>43</v>
      </c>
      <c r="H3410" s="2" t="s">
        <v>30</v>
      </c>
      <c r="I3410" s="2" t="s">
        <v>7167</v>
      </c>
      <c r="J3410" s="3" t="str">
        <f>HYPERLINK("https://www.boe.es/gazeta/dias/1821/04/11/pdfs/GMD-1821-103.pdf#page=1","Abrir facsímil")</f>
        <v>Abrir facsímil</v>
      </c>
      <c r="K3410" s="3" t="s">
        <v>32</v>
      </c>
    </row>
    <row r="3411" spans="1:11" ht="42" customHeight="1">
      <c r="A3411" s="2" t="s">
        <v>7168</v>
      </c>
      <c r="B3411" s="2" t="s">
        <v>7169</v>
      </c>
      <c r="C3411" s="2" t="s">
        <v>40</v>
      </c>
      <c r="D3411" s="2" t="s">
        <v>41</v>
      </c>
      <c r="E3411" s="5">
        <v>-28678</v>
      </c>
      <c r="F3411" s="3" t="s">
        <v>215</v>
      </c>
      <c r="G3411" s="3" t="s">
        <v>1445</v>
      </c>
      <c r="H3411" s="2" t="s">
        <v>21</v>
      </c>
      <c r="I3411" s="2" t="s">
        <v>7170</v>
      </c>
      <c r="J3411" s="3" t="str">
        <f>HYPERLINK("https://www.boe.es/gazeta/dias/1821/06/24/pdfs/GMD-1821-177.pdf#page=3","Abrir facsímil")</f>
        <v>Abrir facsímil</v>
      </c>
      <c r="K3411" s="3" t="s">
        <v>23</v>
      </c>
    </row>
    <row r="3412" spans="1:11" ht="42" customHeight="1">
      <c r="A3412" s="2" t="s">
        <v>7171</v>
      </c>
      <c r="B3412" s="2" t="s">
        <v>7172</v>
      </c>
      <c r="C3412" s="2" t="s">
        <v>35</v>
      </c>
      <c r="D3412" s="2" t="s">
        <v>27</v>
      </c>
      <c r="E3412" s="5">
        <v>-28541</v>
      </c>
      <c r="F3412" s="3" t="s">
        <v>275</v>
      </c>
      <c r="G3412" s="3" t="s">
        <v>52</v>
      </c>
      <c r="H3412" s="2" t="s">
        <v>21</v>
      </c>
      <c r="I3412" s="2" t="s">
        <v>7173</v>
      </c>
      <c r="J3412" s="3" t="str">
        <f>HYPERLINK("https://www.boe.es/gazeta/dias/1821/11/08/pdfs/GMD-1821-319.pdf#page=2","Abrir facsímil")</f>
        <v>Abrir facsímil</v>
      </c>
      <c r="K3412" s="3" t="s">
        <v>23</v>
      </c>
    </row>
    <row r="3413" spans="1:11" ht="42" customHeight="1">
      <c r="A3413" s="2" t="s">
        <v>7174</v>
      </c>
      <c r="B3413" s="2" t="s">
        <v>7174</v>
      </c>
      <c r="C3413" s="2" t="s">
        <v>40</v>
      </c>
      <c r="D3413" s="2" t="s">
        <v>41</v>
      </c>
      <c r="E3413" s="5">
        <v>-28752</v>
      </c>
      <c r="F3413" s="3" t="s">
        <v>1012</v>
      </c>
      <c r="G3413" s="3" t="s">
        <v>88</v>
      </c>
      <c r="H3413" s="2" t="s">
        <v>21</v>
      </c>
      <c r="I3413" s="2" t="s">
        <v>7175</v>
      </c>
      <c r="J3413" s="3" t="str">
        <f>HYPERLINK("https://www.boe.es/gazeta/dias/1821/04/11/pdfs/GMD-1821-103.pdf#page=4","Abrir facsímil")</f>
        <v>Abrir facsímil</v>
      </c>
      <c r="K3413" s="3" t="s">
        <v>23</v>
      </c>
    </row>
    <row r="3414" spans="1:11" ht="42" customHeight="1">
      <c r="A3414" s="2" t="s">
        <v>7176</v>
      </c>
      <c r="B3414" s="2" t="s">
        <v>7176</v>
      </c>
      <c r="C3414" s="2" t="s">
        <v>40</v>
      </c>
      <c r="D3414" s="2" t="s">
        <v>41</v>
      </c>
      <c r="E3414" s="5">
        <v>-28758</v>
      </c>
      <c r="F3414" s="3" t="s">
        <v>4115</v>
      </c>
      <c r="G3414" s="3" t="s">
        <v>20</v>
      </c>
      <c r="H3414" s="2" t="s">
        <v>21</v>
      </c>
      <c r="I3414" s="2" t="s">
        <v>7177</v>
      </c>
      <c r="J3414" s="3" t="str">
        <f>HYPERLINK("https://www.boe.es/gazeta/dias/1821/04/05/pdfs/GMD-1821-97.pdf#page=3","Abrir facsímil")</f>
        <v>Abrir facsímil</v>
      </c>
      <c r="K3414" s="3" t="s">
        <v>23</v>
      </c>
    </row>
    <row r="3415" spans="1:11" ht="42" customHeight="1">
      <c r="A3415" s="2" t="s">
        <v>7176</v>
      </c>
      <c r="B3415" s="2" t="s">
        <v>7176</v>
      </c>
      <c r="C3415" s="2" t="s">
        <v>40</v>
      </c>
      <c r="D3415" s="2" t="s">
        <v>41</v>
      </c>
      <c r="E3415" s="5">
        <v>-28673</v>
      </c>
      <c r="F3415" s="3" t="s">
        <v>1069</v>
      </c>
      <c r="G3415" s="3" t="s">
        <v>88</v>
      </c>
      <c r="H3415" s="2" t="s">
        <v>21</v>
      </c>
      <c r="I3415" s="2" t="s">
        <v>7178</v>
      </c>
      <c r="J3415" s="3" t="str">
        <f>HYPERLINK("https://www.boe.es/gazeta/dias/1821/06/29/pdfs/GMD-1821-182.pdf#page=4","Abrir facsímil")</f>
        <v>Abrir facsímil</v>
      </c>
      <c r="K3415" s="3" t="s">
        <v>23</v>
      </c>
    </row>
    <row r="3416" spans="1:11" ht="42" customHeight="1">
      <c r="A3416" s="2" t="s">
        <v>7176</v>
      </c>
      <c r="B3416" s="2" t="s">
        <v>7176</v>
      </c>
      <c r="C3416" s="2" t="s">
        <v>40</v>
      </c>
      <c r="D3416" s="2" t="s">
        <v>41</v>
      </c>
      <c r="E3416" s="5">
        <v>-28640</v>
      </c>
      <c r="F3416" s="3" t="s">
        <v>1590</v>
      </c>
      <c r="G3416" s="3" t="s">
        <v>43</v>
      </c>
      <c r="H3416" s="2" t="s">
        <v>21</v>
      </c>
      <c r="I3416" s="2" t="s">
        <v>7179</v>
      </c>
      <c r="J3416" s="3" t="str">
        <f>HYPERLINK("https://www.boe.es/gazeta/dias/1821/08/01/pdfs/GMD-1821-217.pdf#page=1","Abrir facsímil")</f>
        <v>Abrir facsímil</v>
      </c>
      <c r="K3416" s="3" t="s">
        <v>23</v>
      </c>
    </row>
    <row r="3417" spans="1:11" ht="42" customHeight="1">
      <c r="A3417" s="2" t="s">
        <v>7180</v>
      </c>
      <c r="B3417" s="2" t="s">
        <v>7181</v>
      </c>
      <c r="C3417" s="2" t="s">
        <v>26</v>
      </c>
      <c r="D3417" s="2" t="s">
        <v>27</v>
      </c>
      <c r="E3417" s="5">
        <v>-28594</v>
      </c>
      <c r="F3417" s="3" t="s">
        <v>2412</v>
      </c>
      <c r="G3417" s="3" t="s">
        <v>88</v>
      </c>
      <c r="H3417" s="2" t="s">
        <v>21</v>
      </c>
      <c r="I3417" s="2" t="s">
        <v>7182</v>
      </c>
      <c r="J3417" s="3" t="str">
        <f>HYPERLINK("https://www.boe.es/gazeta/dias/1821/09/16/pdfs/GMD-1821-264.pdf#page=4","Abrir facsímil")</f>
        <v>Abrir facsímil</v>
      </c>
      <c r="K3417" s="3" t="s">
        <v>23</v>
      </c>
    </row>
    <row r="3418" spans="1:11" ht="42" customHeight="1">
      <c r="A3418" s="2" t="s">
        <v>7183</v>
      </c>
      <c r="B3418" s="2" t="s">
        <v>7183</v>
      </c>
      <c r="C3418" s="2" t="s">
        <v>40</v>
      </c>
      <c r="D3418" s="2" t="s">
        <v>41</v>
      </c>
      <c r="E3418" s="5">
        <v>-28492</v>
      </c>
      <c r="F3418" s="3" t="s">
        <v>1550</v>
      </c>
      <c r="G3418" s="3" t="s">
        <v>43</v>
      </c>
      <c r="H3418" s="2" t="s">
        <v>21</v>
      </c>
      <c r="I3418" s="2" t="s">
        <v>7184</v>
      </c>
      <c r="J3418" s="3" t="str">
        <f>HYPERLINK("https://www.boe.es/gazeta/dias/1821/12/27/pdfs/GMD-1821-370.pdf#page=1","Abrir facsímil")</f>
        <v>Abrir facsímil</v>
      </c>
      <c r="K3418" s="3" t="s">
        <v>23</v>
      </c>
    </row>
    <row r="3419" spans="1:11" ht="42" customHeight="1">
      <c r="A3419" s="2" t="s">
        <v>7185</v>
      </c>
      <c r="B3419" s="2" t="s">
        <v>7186</v>
      </c>
      <c r="C3419" s="2" t="s">
        <v>40</v>
      </c>
      <c r="D3419" s="2" t="s">
        <v>41</v>
      </c>
      <c r="E3419" s="5">
        <v>-28677</v>
      </c>
      <c r="F3419" s="3" t="s">
        <v>361</v>
      </c>
      <c r="G3419" s="3" t="s">
        <v>20</v>
      </c>
      <c r="H3419" s="2" t="s">
        <v>21</v>
      </c>
      <c r="I3419" s="2" t="s">
        <v>7187</v>
      </c>
      <c r="J3419" s="3" t="str">
        <f>HYPERLINK("https://www.boe.es/gazeta/dias/1821/06/25/pdfs/GMD-1821-178.pdf#page=3","Abrir facsímil")</f>
        <v>Abrir facsímil</v>
      </c>
      <c r="K3419" s="3" t="s">
        <v>23</v>
      </c>
    </row>
    <row r="3420" spans="1:11" ht="42" customHeight="1">
      <c r="A3420" s="2" t="s">
        <v>7188</v>
      </c>
      <c r="B3420" s="2" t="s">
        <v>7189</v>
      </c>
      <c r="C3420" s="2" t="s">
        <v>40</v>
      </c>
      <c r="D3420" s="2" t="s">
        <v>41</v>
      </c>
      <c r="E3420" s="5">
        <v>-28793</v>
      </c>
      <c r="F3420" s="3" t="s">
        <v>157</v>
      </c>
      <c r="G3420" s="3" t="s">
        <v>162</v>
      </c>
      <c r="H3420" s="2" t="s">
        <v>21</v>
      </c>
      <c r="I3420" s="2" t="s">
        <v>7190</v>
      </c>
      <c r="J3420" s="3" t="str">
        <f>HYPERLINK("https://www.boe.es/gazeta/dias/1821/03/01/pdfs/GGB-1821-60.pdf#page=5","Abrir facsímil")</f>
        <v>Abrir facsímil</v>
      </c>
      <c r="K3420" s="3" t="s">
        <v>23</v>
      </c>
    </row>
    <row r="3421" spans="1:11" ht="42" customHeight="1">
      <c r="A3421" s="2" t="s">
        <v>7191</v>
      </c>
      <c r="B3421" s="2" t="s">
        <v>7191</v>
      </c>
      <c r="C3421" s="2" t="s">
        <v>17</v>
      </c>
      <c r="D3421" s="2" t="s">
        <v>18</v>
      </c>
      <c r="E3421" s="5">
        <v>-28695</v>
      </c>
      <c r="F3421" s="3" t="s">
        <v>1309</v>
      </c>
      <c r="G3421" s="3" t="s">
        <v>88</v>
      </c>
      <c r="H3421" s="2" t="s">
        <v>21</v>
      </c>
      <c r="I3421" s="2" t="s">
        <v>7192</v>
      </c>
      <c r="J3421" s="3" t="str">
        <f>HYPERLINK("https://www.boe.es/gazeta/dias/1821/06/07/pdfs/GMD-1821-160.pdf#page=4","Abrir facsímil")</f>
        <v>Abrir facsímil</v>
      </c>
      <c r="K3421" s="3" t="s">
        <v>23</v>
      </c>
    </row>
    <row r="3422" spans="1:11" ht="42" customHeight="1">
      <c r="A3422" s="2" t="s">
        <v>7193</v>
      </c>
      <c r="B3422" s="2" t="s">
        <v>7194</v>
      </c>
      <c r="C3422" s="2" t="s">
        <v>26</v>
      </c>
      <c r="D3422" s="2" t="s">
        <v>27</v>
      </c>
      <c r="E3422" s="5">
        <v>-28554</v>
      </c>
      <c r="F3422" s="3" t="s">
        <v>433</v>
      </c>
      <c r="G3422" s="3" t="s">
        <v>52</v>
      </c>
      <c r="H3422" s="2" t="s">
        <v>21</v>
      </c>
      <c r="I3422" s="2" t="s">
        <v>7195</v>
      </c>
      <c r="J3422" s="3" t="str">
        <f>HYPERLINK("https://www.boe.es/gazeta/dias/1821/10/26/pdfs/GMD-1821-305.pdf#page=2","Abrir facsímil")</f>
        <v>Abrir facsímil</v>
      </c>
      <c r="K3422" s="3" t="s">
        <v>23</v>
      </c>
    </row>
    <row r="3423" spans="1:11" ht="42" customHeight="1">
      <c r="A3423" s="2" t="s">
        <v>7196</v>
      </c>
      <c r="B3423" s="2" t="s">
        <v>7196</v>
      </c>
      <c r="C3423" s="2" t="s">
        <v>70</v>
      </c>
      <c r="D3423" s="2" t="s">
        <v>27</v>
      </c>
      <c r="E3423" s="5">
        <v>-28606</v>
      </c>
      <c r="F3423" s="3" t="s">
        <v>1799</v>
      </c>
      <c r="G3423" s="3" t="s">
        <v>52</v>
      </c>
      <c r="H3423" s="2" t="s">
        <v>21</v>
      </c>
      <c r="I3423" s="2" t="s">
        <v>7197</v>
      </c>
      <c r="J3423" s="3" t="str">
        <f>HYPERLINK("https://www.boe.es/gazeta/dias/1821/09/04/pdfs/GMD-1821-252.pdf#page=2","Abrir facsímil")</f>
        <v>Abrir facsímil</v>
      </c>
      <c r="K3423" s="3" t="s">
        <v>23</v>
      </c>
    </row>
    <row r="3424" spans="1:11" ht="42" customHeight="1">
      <c r="A3424" s="2" t="s">
        <v>7198</v>
      </c>
      <c r="B3424" s="2" t="s">
        <v>7198</v>
      </c>
      <c r="C3424" s="2" t="s">
        <v>17</v>
      </c>
      <c r="D3424" s="2" t="s">
        <v>18</v>
      </c>
      <c r="E3424" s="5">
        <v>-28598</v>
      </c>
      <c r="F3424" s="3" t="s">
        <v>1206</v>
      </c>
      <c r="G3424" s="3" t="s">
        <v>52</v>
      </c>
      <c r="H3424" s="2" t="s">
        <v>21</v>
      </c>
      <c r="I3424" s="2" t="s">
        <v>7199</v>
      </c>
      <c r="J3424" s="3" t="str">
        <f>HYPERLINK("https://www.boe.es/gazeta/dias/1821/09/12/pdfs/GMD-1821-260.pdf#page=2","Abrir facsímil")</f>
        <v>Abrir facsímil</v>
      </c>
      <c r="K3424" s="3" t="s">
        <v>23</v>
      </c>
    </row>
    <row r="3425" spans="1:11" ht="42" customHeight="1">
      <c r="A3425" s="2" t="s">
        <v>7200</v>
      </c>
      <c r="B3425" s="2" t="s">
        <v>7201</v>
      </c>
      <c r="C3425" s="2" t="s">
        <v>26</v>
      </c>
      <c r="D3425" s="2" t="s">
        <v>27</v>
      </c>
      <c r="E3425" s="5">
        <v>-28660</v>
      </c>
      <c r="F3425" s="3" t="s">
        <v>7202</v>
      </c>
      <c r="G3425" s="3" t="s">
        <v>88</v>
      </c>
      <c r="H3425" s="2" t="s">
        <v>21</v>
      </c>
      <c r="I3425" s="2" t="s">
        <v>7203</v>
      </c>
      <c r="J3425" s="3" t="str">
        <f>HYPERLINK("https://www.boe.es/gazeta/dias/1821/07/12/pdfs/GMD-1821-197.pdf#page=4","Abrir facsímil")</f>
        <v>Abrir facsímil</v>
      </c>
      <c r="K3425" s="3" t="s">
        <v>23</v>
      </c>
    </row>
    <row r="3426" spans="1:11" ht="42" customHeight="1">
      <c r="A3426" s="2" t="s">
        <v>7204</v>
      </c>
      <c r="B3426" s="2" t="s">
        <v>7205</v>
      </c>
      <c r="C3426" s="2" t="s">
        <v>17</v>
      </c>
      <c r="D3426" s="2" t="s">
        <v>18</v>
      </c>
      <c r="E3426" s="5">
        <v>-28511</v>
      </c>
      <c r="F3426" s="3" t="s">
        <v>340</v>
      </c>
      <c r="G3426" s="3" t="s">
        <v>52</v>
      </c>
      <c r="H3426" s="2" t="s">
        <v>21</v>
      </c>
      <c r="I3426" s="2" t="s">
        <v>7206</v>
      </c>
      <c r="J3426" s="3" t="str">
        <f>HYPERLINK("https://www.boe.es/gazeta/dias/1821/12/08/pdfs/GMD-1821-350.pdf#page=2","Abrir facsímil")</f>
        <v>Abrir facsímil</v>
      </c>
      <c r="K3426" s="3" t="s">
        <v>23</v>
      </c>
    </row>
    <row r="3427" spans="1:11" ht="42" customHeight="1">
      <c r="A3427" s="2" t="s">
        <v>7207</v>
      </c>
      <c r="B3427" s="2" t="s">
        <v>7207</v>
      </c>
      <c r="C3427" s="2" t="s">
        <v>40</v>
      </c>
      <c r="D3427" s="2" t="s">
        <v>41</v>
      </c>
      <c r="E3427" s="5">
        <v>-28750</v>
      </c>
      <c r="F3427" s="3" t="s">
        <v>917</v>
      </c>
      <c r="G3427" s="3" t="s">
        <v>88</v>
      </c>
      <c r="H3427" s="2" t="s">
        <v>21</v>
      </c>
      <c r="I3427" s="2" t="s">
        <v>7208</v>
      </c>
      <c r="J3427" s="3" t="str">
        <f>HYPERLINK("https://www.boe.es/gazeta/dias/1821/04/13/pdfs/GMD-1821-105.pdf#page=4","Abrir facsímil")</f>
        <v>Abrir facsímil</v>
      </c>
      <c r="K3427" s="3" t="s">
        <v>23</v>
      </c>
    </row>
    <row r="3428" spans="1:11" ht="42" customHeight="1">
      <c r="A3428" s="2" t="s">
        <v>7207</v>
      </c>
      <c r="B3428" s="2" t="s">
        <v>7207</v>
      </c>
      <c r="C3428" s="2" t="s">
        <v>40</v>
      </c>
      <c r="D3428" s="2" t="s">
        <v>41</v>
      </c>
      <c r="E3428" s="5">
        <v>-28509</v>
      </c>
      <c r="F3428" s="3" t="s">
        <v>388</v>
      </c>
      <c r="G3428" s="3" t="s">
        <v>609</v>
      </c>
      <c r="H3428" s="2" t="s">
        <v>21</v>
      </c>
      <c r="I3428" s="2" t="s">
        <v>7209</v>
      </c>
      <c r="J3428" s="3" t="str">
        <f>HYPERLINK("https://www.boe.es/gazeta/dias/1821/12/10/pdfs/GMD-1821-352.pdf#page=7","Abrir facsímil")</f>
        <v>Abrir facsímil</v>
      </c>
      <c r="K3428" s="3" t="s">
        <v>23</v>
      </c>
    </row>
    <row r="3429" spans="1:11" ht="42" customHeight="1">
      <c r="A3429" s="2" t="s">
        <v>7210</v>
      </c>
      <c r="B3429" s="2" t="s">
        <v>7211</v>
      </c>
      <c r="C3429" s="2" t="s">
        <v>17</v>
      </c>
      <c r="D3429" s="2" t="s">
        <v>18</v>
      </c>
      <c r="E3429" s="5">
        <v>-28525</v>
      </c>
      <c r="F3429" s="3" t="s">
        <v>186</v>
      </c>
      <c r="G3429" s="3" t="s">
        <v>88</v>
      </c>
      <c r="H3429" s="2" t="s">
        <v>21</v>
      </c>
      <c r="I3429" s="2" t="s">
        <v>7212</v>
      </c>
      <c r="J3429" s="3" t="str">
        <f>HYPERLINK("https://www.boe.es/gazeta/dias/1821/11/24/pdfs/GMD-1821-335.pdf#page=4","Abrir facsímil")</f>
        <v>Abrir facsímil</v>
      </c>
      <c r="K3429" s="3" t="s">
        <v>23</v>
      </c>
    </row>
    <row r="3430" spans="1:11" ht="42" customHeight="1">
      <c r="A3430" s="2" t="s">
        <v>7213</v>
      </c>
      <c r="B3430" s="2" t="s">
        <v>7213</v>
      </c>
      <c r="C3430" s="2" t="s">
        <v>40</v>
      </c>
      <c r="D3430" s="2" t="s">
        <v>41</v>
      </c>
      <c r="E3430" s="5">
        <v>-28550</v>
      </c>
      <c r="F3430" s="3" t="s">
        <v>546</v>
      </c>
      <c r="G3430" s="3" t="s">
        <v>52</v>
      </c>
      <c r="H3430" s="2" t="s">
        <v>21</v>
      </c>
      <c r="I3430" s="2" t="s">
        <v>7214</v>
      </c>
      <c r="J3430" s="3" t="str">
        <f>HYPERLINK("https://www.boe.es/gazeta/dias/1821/10/30/pdfs/GMD-1821-309.pdf#page=2","Abrir facsímil")</f>
        <v>Abrir facsímil</v>
      </c>
      <c r="K3430" s="3" t="s">
        <v>23</v>
      </c>
    </row>
    <row r="3431" spans="1:11" ht="42" customHeight="1">
      <c r="A3431" s="2" t="s">
        <v>7215</v>
      </c>
      <c r="B3431" s="2" t="s">
        <v>7215</v>
      </c>
      <c r="C3431" s="2" t="s">
        <v>70</v>
      </c>
      <c r="D3431" s="2" t="s">
        <v>27</v>
      </c>
      <c r="E3431" s="5">
        <v>-28796</v>
      </c>
      <c r="F3431" s="3" t="s">
        <v>1421</v>
      </c>
      <c r="G3431" s="3" t="s">
        <v>43</v>
      </c>
      <c r="H3431" s="2" t="s">
        <v>21</v>
      </c>
      <c r="I3431" s="2" t="s">
        <v>7216</v>
      </c>
      <c r="J3431" s="3" t="str">
        <f>HYPERLINK("https://www.boe.es/gazeta/dias/1821/02/26/pdfs/GGB-1821-57.pdf#page=1","Abrir facsímil")</f>
        <v>Abrir facsímil</v>
      </c>
      <c r="K3431" s="3" t="s">
        <v>23</v>
      </c>
    </row>
    <row r="3432" spans="1:11" ht="42" customHeight="1">
      <c r="A3432" s="2" t="s">
        <v>7215</v>
      </c>
      <c r="B3432" s="2" t="s">
        <v>7215</v>
      </c>
      <c r="C3432" s="2" t="s">
        <v>26</v>
      </c>
      <c r="D3432" s="2" t="s">
        <v>27</v>
      </c>
      <c r="E3432" s="5">
        <v>-28645</v>
      </c>
      <c r="F3432" s="3" t="s">
        <v>2579</v>
      </c>
      <c r="G3432" s="3" t="s">
        <v>43</v>
      </c>
      <c r="H3432" s="2" t="s">
        <v>21</v>
      </c>
      <c r="I3432" s="2" t="s">
        <v>7217</v>
      </c>
      <c r="J3432" s="3" t="str">
        <f>HYPERLINK("https://www.boe.es/gazeta/dias/1821/07/27/pdfs/GMD-1821-212.pdf#page=1","Abrir facsímil")</f>
        <v>Abrir facsímil</v>
      </c>
      <c r="K3432" s="3" t="s">
        <v>23</v>
      </c>
    </row>
    <row r="3433" spans="1:11" ht="42" customHeight="1">
      <c r="A3433" s="2" t="s">
        <v>7215</v>
      </c>
      <c r="B3433" s="2" t="s">
        <v>7215</v>
      </c>
      <c r="C3433" s="2" t="s">
        <v>26</v>
      </c>
      <c r="D3433" s="2" t="s">
        <v>27</v>
      </c>
      <c r="E3433" s="5">
        <v>-28619</v>
      </c>
      <c r="F3433" s="3" t="s">
        <v>3364</v>
      </c>
      <c r="G3433" s="3" t="s">
        <v>43</v>
      </c>
      <c r="H3433" s="2" t="s">
        <v>21</v>
      </c>
      <c r="I3433" s="2" t="s">
        <v>7218</v>
      </c>
      <c r="J3433" s="3" t="str">
        <f>HYPERLINK("https://www.boe.es/gazeta/dias/1821/08/22/pdfs/GMD-1821-239.pdf#page=1","Abrir facsímil")</f>
        <v>Abrir facsímil</v>
      </c>
      <c r="K3433" s="3" t="s">
        <v>23</v>
      </c>
    </row>
    <row r="3434" spans="1:11" ht="42" customHeight="1">
      <c r="A3434" s="2" t="s">
        <v>7215</v>
      </c>
      <c r="B3434" s="2" t="s">
        <v>7215</v>
      </c>
      <c r="C3434" s="2" t="s">
        <v>40</v>
      </c>
      <c r="D3434" s="2" t="s">
        <v>41</v>
      </c>
      <c r="E3434" s="5">
        <v>-28610</v>
      </c>
      <c r="F3434" s="3" t="s">
        <v>190</v>
      </c>
      <c r="G3434" s="3" t="s">
        <v>52</v>
      </c>
      <c r="H3434" s="2" t="s">
        <v>21</v>
      </c>
      <c r="I3434" s="2" t="s">
        <v>7219</v>
      </c>
      <c r="J3434" s="3" t="str">
        <f>HYPERLINK("https://www.boe.es/gazeta/dias/1821/08/31/pdfs/GMD-1821-248.pdf#page=2","Abrir facsímil")</f>
        <v>Abrir facsímil</v>
      </c>
      <c r="K3434" s="3" t="s">
        <v>23</v>
      </c>
    </row>
    <row r="3435" spans="1:11" ht="42" customHeight="1">
      <c r="A3435" s="2" t="s">
        <v>7220</v>
      </c>
      <c r="B3435" s="2" t="s">
        <v>7220</v>
      </c>
      <c r="C3435" s="2" t="s">
        <v>26</v>
      </c>
      <c r="D3435" s="2" t="s">
        <v>27</v>
      </c>
      <c r="E3435" s="5">
        <v>-28613</v>
      </c>
      <c r="F3435" s="3" t="s">
        <v>178</v>
      </c>
      <c r="G3435" s="3" t="s">
        <v>52</v>
      </c>
      <c r="H3435" s="2" t="s">
        <v>21</v>
      </c>
      <c r="I3435" s="2" t="s">
        <v>7221</v>
      </c>
      <c r="J3435" s="3" t="str">
        <f>HYPERLINK("https://www.boe.es/gazeta/dias/1821/08/28/pdfs/GMD-1821-245.pdf#page=2","Abrir facsímil")</f>
        <v>Abrir facsímil</v>
      </c>
      <c r="K3435" s="3" t="s">
        <v>23</v>
      </c>
    </row>
    <row r="3436" spans="1:11" ht="42" customHeight="1">
      <c r="A3436" s="2" t="s">
        <v>7222</v>
      </c>
      <c r="B3436" s="2" t="s">
        <v>7223</v>
      </c>
      <c r="C3436" s="2" t="s">
        <v>35</v>
      </c>
      <c r="D3436" s="2" t="s">
        <v>27</v>
      </c>
      <c r="E3436" s="5">
        <v>-28705</v>
      </c>
      <c r="F3436" s="3" t="s">
        <v>1844</v>
      </c>
      <c r="G3436" s="3" t="s">
        <v>43</v>
      </c>
      <c r="H3436" s="2" t="s">
        <v>21</v>
      </c>
      <c r="I3436" s="2" t="s">
        <v>7224</v>
      </c>
      <c r="J3436" s="3" t="str">
        <f>HYPERLINK("https://www.boe.es/gazeta/dias/1821/05/28/pdfs/GMD-1821-150.pdf#page=1","Abrir facsímil")</f>
        <v>Abrir facsímil</v>
      </c>
      <c r="K3436" s="3" t="s">
        <v>23</v>
      </c>
    </row>
    <row r="3437" spans="1:11" ht="42" customHeight="1">
      <c r="A3437" s="2" t="s">
        <v>7225</v>
      </c>
      <c r="B3437" s="2" t="s">
        <v>7225</v>
      </c>
      <c r="C3437" s="2" t="s">
        <v>26</v>
      </c>
      <c r="D3437" s="2" t="s">
        <v>27</v>
      </c>
      <c r="E3437" s="5">
        <v>-28643</v>
      </c>
      <c r="F3437" s="3" t="s">
        <v>1569</v>
      </c>
      <c r="G3437" s="3" t="s">
        <v>20</v>
      </c>
      <c r="H3437" s="2" t="s">
        <v>21</v>
      </c>
      <c r="I3437" s="2" t="s">
        <v>7226</v>
      </c>
      <c r="J3437" s="3" t="str">
        <f>HYPERLINK("https://www.boe.es/gazeta/dias/1821/07/29/pdfs/GMD-1821-214.pdf#page=3","Abrir facsímil")</f>
        <v>Abrir facsímil</v>
      </c>
      <c r="K3437" s="3" t="s">
        <v>23</v>
      </c>
    </row>
    <row r="3438" spans="1:11" ht="42" customHeight="1">
      <c r="A3438" s="2" t="s">
        <v>7227</v>
      </c>
      <c r="B3438" s="2" t="s">
        <v>7227</v>
      </c>
      <c r="C3438" s="2" t="s">
        <v>17</v>
      </c>
      <c r="D3438" s="2" t="s">
        <v>18</v>
      </c>
      <c r="E3438" s="5">
        <v>-28535</v>
      </c>
      <c r="F3438" s="3" t="s">
        <v>96</v>
      </c>
      <c r="G3438" s="3" t="s">
        <v>52</v>
      </c>
      <c r="H3438" s="2" t="s">
        <v>21</v>
      </c>
      <c r="I3438" s="2" t="s">
        <v>7228</v>
      </c>
      <c r="J3438" s="3" t="str">
        <f>HYPERLINK("https://www.boe.es/gazeta/dias/1821/11/14/pdfs/GMD-1821-325.pdf#page=2","Abrir facsímil")</f>
        <v>Abrir facsímil</v>
      </c>
      <c r="K3438" s="3" t="s">
        <v>23</v>
      </c>
    </row>
    <row r="3439" spans="1:11" ht="42" customHeight="1">
      <c r="A3439" s="2" t="s">
        <v>7229</v>
      </c>
      <c r="B3439" s="2" t="s">
        <v>7230</v>
      </c>
      <c r="C3439" s="2" t="s">
        <v>174</v>
      </c>
      <c r="D3439" s="2" t="s">
        <v>27</v>
      </c>
      <c r="E3439" s="5">
        <v>-28504</v>
      </c>
      <c r="F3439" s="3" t="s">
        <v>1098</v>
      </c>
      <c r="G3439" s="3" t="s">
        <v>52</v>
      </c>
      <c r="H3439" s="2" t="s">
        <v>21</v>
      </c>
      <c r="I3439" s="2" t="s">
        <v>7231</v>
      </c>
      <c r="J3439" s="3" t="str">
        <f>HYPERLINK("https://www.boe.es/gazeta/dias/1821/12/15/pdfs/GMD-1821-358.pdf#page=2","Abrir facsímil")</f>
        <v>Abrir facsímil</v>
      </c>
      <c r="K3439" s="3" t="s">
        <v>23</v>
      </c>
    </row>
    <row r="3440" spans="1:11" ht="42" customHeight="1">
      <c r="A3440" s="2" t="s">
        <v>7232</v>
      </c>
      <c r="B3440" s="2" t="s">
        <v>7232</v>
      </c>
      <c r="C3440" s="2" t="s">
        <v>40</v>
      </c>
      <c r="D3440" s="2" t="s">
        <v>41</v>
      </c>
      <c r="E3440" s="5">
        <v>-28732</v>
      </c>
      <c r="F3440" s="3" t="s">
        <v>2628</v>
      </c>
      <c r="G3440" s="3" t="s">
        <v>43</v>
      </c>
      <c r="H3440" s="2" t="s">
        <v>21</v>
      </c>
      <c r="I3440" s="2" t="s">
        <v>7233</v>
      </c>
      <c r="J3440" s="3" t="str">
        <f>HYPERLINK("https://www.boe.es/gazeta/dias/1821/05/01/pdfs/GMD-1821-123.pdf#page=1","Abrir facsímil")</f>
        <v>Abrir facsímil</v>
      </c>
      <c r="K3440" s="3" t="s">
        <v>23</v>
      </c>
    </row>
    <row r="3441" spans="1:11" ht="42" customHeight="1">
      <c r="A3441" s="2" t="s">
        <v>7234</v>
      </c>
      <c r="B3441" s="2" t="s">
        <v>7234</v>
      </c>
      <c r="C3441" s="2" t="s">
        <v>26</v>
      </c>
      <c r="D3441" s="2" t="s">
        <v>27</v>
      </c>
      <c r="E3441" s="5">
        <v>-28718</v>
      </c>
      <c r="F3441" s="3" t="s">
        <v>583</v>
      </c>
      <c r="G3441" s="3" t="s">
        <v>43</v>
      </c>
      <c r="H3441" s="2" t="s">
        <v>21</v>
      </c>
      <c r="I3441" s="2" t="s">
        <v>7235</v>
      </c>
      <c r="J3441" s="3" t="str">
        <f>HYPERLINK("https://www.boe.es/gazeta/dias/1821/05/15/pdfs/GMD-1821-137.pdf#page=1","Abrir facsímil")</f>
        <v>Abrir facsímil</v>
      </c>
      <c r="K3441" s="3" t="s">
        <v>23</v>
      </c>
    </row>
    <row r="3442" spans="1:11" ht="42" customHeight="1">
      <c r="A3442" s="2" t="s">
        <v>7234</v>
      </c>
      <c r="B3442" s="2" t="s">
        <v>7234</v>
      </c>
      <c r="C3442" s="2" t="s">
        <v>17</v>
      </c>
      <c r="D3442" s="2" t="s">
        <v>18</v>
      </c>
      <c r="E3442" s="5">
        <v>-28697</v>
      </c>
      <c r="F3442" s="3" t="s">
        <v>166</v>
      </c>
      <c r="G3442" s="3" t="s">
        <v>43</v>
      </c>
      <c r="H3442" s="2" t="s">
        <v>21</v>
      </c>
      <c r="I3442" s="2" t="s">
        <v>7236</v>
      </c>
      <c r="J3442" s="3" t="str">
        <f>HYPERLINK("https://www.boe.es/gazeta/dias/1821/06/05/pdfs/GMD-1821-158.pdf#page=1","Abrir facsímil")</f>
        <v>Abrir facsímil</v>
      </c>
      <c r="K3442" s="3" t="s">
        <v>23</v>
      </c>
    </row>
    <row r="3443" spans="1:11" ht="42" customHeight="1">
      <c r="A3443" s="2" t="s">
        <v>7234</v>
      </c>
      <c r="B3443" s="2" t="s">
        <v>7234</v>
      </c>
      <c r="C3443" s="2" t="s">
        <v>17</v>
      </c>
      <c r="D3443" s="2" t="s">
        <v>18</v>
      </c>
      <c r="E3443" s="5">
        <v>-28623</v>
      </c>
      <c r="F3443" s="3" t="s">
        <v>2767</v>
      </c>
      <c r="G3443" s="3" t="s">
        <v>52</v>
      </c>
      <c r="H3443" s="2" t="s">
        <v>21</v>
      </c>
      <c r="I3443" s="2" t="s">
        <v>7237</v>
      </c>
      <c r="J3443" s="3" t="str">
        <f>HYPERLINK("https://www.boe.es/gazeta/dias/1821/08/18/pdfs/GMD-1821-235.pdf#page=2","Abrir facsímil")</f>
        <v>Abrir facsímil</v>
      </c>
      <c r="K3443" s="3" t="s">
        <v>23</v>
      </c>
    </row>
    <row r="3444" spans="1:11" ht="42" customHeight="1">
      <c r="A3444" s="2" t="s">
        <v>7238</v>
      </c>
      <c r="B3444" s="2" t="s">
        <v>7238</v>
      </c>
      <c r="C3444" s="2" t="s">
        <v>35</v>
      </c>
      <c r="D3444" s="2" t="s">
        <v>27</v>
      </c>
      <c r="E3444" s="5">
        <v>-28784</v>
      </c>
      <c r="F3444" s="3" t="s">
        <v>451</v>
      </c>
      <c r="G3444" s="3" t="s">
        <v>43</v>
      </c>
      <c r="H3444" s="2" t="s">
        <v>21</v>
      </c>
      <c r="I3444" s="2" t="s">
        <v>7239</v>
      </c>
      <c r="J3444" s="3" t="str">
        <f>HYPERLINK("https://www.boe.es/gazeta/dias/1821/03/10/pdfs/GGB-1821-69.pdf#page=1","Abrir facsímil")</f>
        <v>Abrir facsímil</v>
      </c>
      <c r="K3444" s="3" t="s">
        <v>23</v>
      </c>
    </row>
    <row r="3445" spans="1:11" ht="42" customHeight="1">
      <c r="A3445" s="2" t="s">
        <v>7240</v>
      </c>
      <c r="B3445" s="2" t="s">
        <v>7241</v>
      </c>
      <c r="C3445" s="2" t="s">
        <v>26</v>
      </c>
      <c r="D3445" s="2" t="s">
        <v>27</v>
      </c>
      <c r="E3445" s="5">
        <v>-28569</v>
      </c>
      <c r="F3445" s="3" t="s">
        <v>512</v>
      </c>
      <c r="G3445" s="3" t="s">
        <v>52</v>
      </c>
      <c r="H3445" s="2" t="s">
        <v>21</v>
      </c>
      <c r="I3445" s="2" t="s">
        <v>7242</v>
      </c>
      <c r="J3445" s="3" t="str">
        <f>HYPERLINK("https://www.boe.es/gazeta/dias/1821/10/11/pdfs/GMD-1821-290.pdf#page=2","Abrir facsímil")</f>
        <v>Abrir facsímil</v>
      </c>
      <c r="K3445" s="3" t="s">
        <v>23</v>
      </c>
    </row>
    <row r="3446" spans="1:11" ht="42" customHeight="1">
      <c r="A3446" s="2" t="s">
        <v>7243</v>
      </c>
      <c r="B3446" s="2" t="s">
        <v>7243</v>
      </c>
      <c r="C3446" s="2" t="s">
        <v>40</v>
      </c>
      <c r="D3446" s="2" t="s">
        <v>41</v>
      </c>
      <c r="E3446" s="5">
        <v>-28814</v>
      </c>
      <c r="F3446" s="3" t="s">
        <v>2090</v>
      </c>
      <c r="G3446" s="3" t="s">
        <v>3053</v>
      </c>
      <c r="H3446" s="2" t="s">
        <v>21</v>
      </c>
      <c r="I3446" s="2" t="s">
        <v>7244</v>
      </c>
      <c r="J3446" s="3" t="str">
        <f>HYPERLINK("https://www.boe.es/gazeta/dias/1821/02/08/pdfs/GGB-1821-39.pdf#page=3","Abrir facsímil")</f>
        <v>Abrir facsímil</v>
      </c>
      <c r="K3446" s="3" t="s">
        <v>23</v>
      </c>
    </row>
    <row r="3447" spans="1:11" ht="42" customHeight="1">
      <c r="A3447" s="2" t="s">
        <v>7243</v>
      </c>
      <c r="B3447" s="2" t="s">
        <v>7243</v>
      </c>
      <c r="C3447" s="2" t="s">
        <v>17</v>
      </c>
      <c r="D3447" s="2" t="s">
        <v>18</v>
      </c>
      <c r="E3447" s="5">
        <v>-28652</v>
      </c>
      <c r="F3447" s="3" t="s">
        <v>1314</v>
      </c>
      <c r="G3447" s="3" t="s">
        <v>52</v>
      </c>
      <c r="H3447" s="2" t="s">
        <v>21</v>
      </c>
      <c r="I3447" s="2" t="s">
        <v>7245</v>
      </c>
      <c r="J3447" s="3" t="str">
        <f>HYPERLINK("https://www.boe.es/gazeta/dias/1821/07/20/pdfs/GMD-1821-205.pdf#page=2","Abrir facsímil")</f>
        <v>Abrir facsímil</v>
      </c>
      <c r="K3447" s="3" t="s">
        <v>23</v>
      </c>
    </row>
    <row r="3448" spans="1:11" ht="42" customHeight="1">
      <c r="A3448" s="2" t="s">
        <v>7243</v>
      </c>
      <c r="B3448" s="2" t="s">
        <v>7243</v>
      </c>
      <c r="C3448" s="2" t="s">
        <v>17</v>
      </c>
      <c r="D3448" s="2" t="s">
        <v>18</v>
      </c>
      <c r="E3448" s="5">
        <v>-28630</v>
      </c>
      <c r="F3448" s="3" t="s">
        <v>616</v>
      </c>
      <c r="G3448" s="3" t="s">
        <v>52</v>
      </c>
      <c r="H3448" s="2" t="s">
        <v>21</v>
      </c>
      <c r="I3448" s="2" t="s">
        <v>7246</v>
      </c>
      <c r="J3448" s="3" t="str">
        <f>HYPERLINK("https://www.boe.es/gazeta/dias/1821/08/11/pdfs/GMD-1821-228.pdf#page=2","Abrir facsímil")</f>
        <v>Abrir facsímil</v>
      </c>
      <c r="K3448" s="3" t="s">
        <v>23</v>
      </c>
    </row>
    <row r="3449" spans="1:11" ht="42" customHeight="1">
      <c r="A3449" s="2" t="s">
        <v>7243</v>
      </c>
      <c r="B3449" s="2" t="s">
        <v>7243</v>
      </c>
      <c r="C3449" s="2" t="s">
        <v>17</v>
      </c>
      <c r="D3449" s="2" t="s">
        <v>18</v>
      </c>
      <c r="E3449" s="5">
        <v>-28619</v>
      </c>
      <c r="F3449" s="3" t="s">
        <v>3364</v>
      </c>
      <c r="G3449" s="3" t="s">
        <v>52</v>
      </c>
      <c r="H3449" s="2" t="s">
        <v>21</v>
      </c>
      <c r="I3449" s="2" t="s">
        <v>7247</v>
      </c>
      <c r="J3449" s="3" t="str">
        <f>HYPERLINK("https://www.boe.es/gazeta/dias/1821/08/22/pdfs/GMD-1821-239.pdf#page=2","Abrir facsímil")</f>
        <v>Abrir facsímil</v>
      </c>
      <c r="K3449" s="3" t="s">
        <v>23</v>
      </c>
    </row>
    <row r="3450" spans="1:11" ht="42" customHeight="1">
      <c r="A3450" s="2" t="s">
        <v>7243</v>
      </c>
      <c r="B3450" s="2" t="s">
        <v>7243</v>
      </c>
      <c r="C3450" s="2" t="s">
        <v>17</v>
      </c>
      <c r="D3450" s="2" t="s">
        <v>18</v>
      </c>
      <c r="E3450" s="5">
        <v>-28617</v>
      </c>
      <c r="F3450" s="3" t="s">
        <v>436</v>
      </c>
      <c r="G3450" s="3" t="s">
        <v>20</v>
      </c>
      <c r="H3450" s="2" t="s">
        <v>21</v>
      </c>
      <c r="I3450" s="2" t="s">
        <v>7248</v>
      </c>
      <c r="J3450" s="3" t="str">
        <f>HYPERLINK("https://www.boe.es/gazeta/dias/1821/08/24/pdfs/GMD-1821-241.pdf#page=3","Abrir facsímil")</f>
        <v>Abrir facsímil</v>
      </c>
      <c r="K3450" s="3" t="s">
        <v>23</v>
      </c>
    </row>
    <row r="3451" spans="1:11" ht="42" customHeight="1">
      <c r="A3451" s="2" t="s">
        <v>7249</v>
      </c>
      <c r="B3451" s="2" t="s">
        <v>7249</v>
      </c>
      <c r="C3451" s="2" t="s">
        <v>26</v>
      </c>
      <c r="D3451" s="2" t="s">
        <v>27</v>
      </c>
      <c r="E3451" s="5">
        <v>-28569</v>
      </c>
      <c r="F3451" s="3" t="s">
        <v>512</v>
      </c>
      <c r="G3451" s="3" t="s">
        <v>43</v>
      </c>
      <c r="H3451" s="2" t="s">
        <v>21</v>
      </c>
      <c r="I3451" s="2" t="s">
        <v>7250</v>
      </c>
      <c r="J3451" s="3" t="str">
        <f>HYPERLINK("https://www.boe.es/gazeta/dias/1821/10/11/pdfs/GMD-1821-290.pdf#page=1","Abrir facsímil")</f>
        <v>Abrir facsímil</v>
      </c>
      <c r="K3451" s="3" t="s">
        <v>23</v>
      </c>
    </row>
    <row r="3452" spans="1:11" ht="42" customHeight="1">
      <c r="A3452" s="2" t="s">
        <v>7251</v>
      </c>
      <c r="B3452" s="2" t="s">
        <v>7251</v>
      </c>
      <c r="C3452" s="2" t="s">
        <v>17</v>
      </c>
      <c r="D3452" s="2" t="s">
        <v>18</v>
      </c>
      <c r="E3452" s="5">
        <v>-28641</v>
      </c>
      <c r="F3452" s="3" t="s">
        <v>398</v>
      </c>
      <c r="G3452" s="3" t="s">
        <v>88</v>
      </c>
      <c r="H3452" s="2" t="s">
        <v>21</v>
      </c>
      <c r="I3452" s="2" t="s">
        <v>7252</v>
      </c>
      <c r="J3452" s="3" t="str">
        <f>HYPERLINK("https://www.boe.es/gazeta/dias/1821/07/31/pdfs/GMD-1821-216.pdf#page=4","Abrir facsímil")</f>
        <v>Abrir facsímil</v>
      </c>
      <c r="K3452" s="3" t="s">
        <v>23</v>
      </c>
    </row>
    <row r="3453" spans="1:11" ht="42" customHeight="1">
      <c r="A3453" s="2" t="s">
        <v>7251</v>
      </c>
      <c r="B3453" s="2" t="s">
        <v>7251</v>
      </c>
      <c r="C3453" s="2" t="s">
        <v>26</v>
      </c>
      <c r="D3453" s="2" t="s">
        <v>27</v>
      </c>
      <c r="E3453" s="5">
        <v>-28566</v>
      </c>
      <c r="F3453" s="3" t="s">
        <v>1529</v>
      </c>
      <c r="G3453" s="3" t="s">
        <v>88</v>
      </c>
      <c r="H3453" s="2" t="s">
        <v>21</v>
      </c>
      <c r="I3453" s="2" t="s">
        <v>7253</v>
      </c>
      <c r="J3453" s="3" t="str">
        <f>HYPERLINK("https://www.boe.es/gazeta/dias/1821/10/14/pdfs/GMD-1821-293.pdf#page=4","Abrir facsímil")</f>
        <v>Abrir facsímil</v>
      </c>
      <c r="K3453" s="3" t="s">
        <v>23</v>
      </c>
    </row>
    <row r="3454" spans="1:11" ht="42" customHeight="1">
      <c r="A3454" s="2" t="s">
        <v>7254</v>
      </c>
      <c r="B3454" s="2" t="s">
        <v>7254</v>
      </c>
      <c r="C3454" s="2" t="s">
        <v>40</v>
      </c>
      <c r="D3454" s="2" t="s">
        <v>41</v>
      </c>
      <c r="E3454" s="5">
        <v>-28616</v>
      </c>
      <c r="F3454" s="3" t="s">
        <v>1912</v>
      </c>
      <c r="G3454" s="3" t="s">
        <v>52</v>
      </c>
      <c r="H3454" s="2" t="s">
        <v>21</v>
      </c>
      <c r="I3454" s="2" t="s">
        <v>7255</v>
      </c>
      <c r="J3454" s="3" t="str">
        <f>HYPERLINK("https://www.boe.es/gazeta/dias/1821/08/25/pdfs/GMD-1821-242.pdf#page=2","Abrir facsímil")</f>
        <v>Abrir facsímil</v>
      </c>
      <c r="K3454" s="3" t="s">
        <v>23</v>
      </c>
    </row>
    <row r="3455" spans="1:11" ht="42" customHeight="1">
      <c r="A3455" s="2" t="s">
        <v>7256</v>
      </c>
      <c r="B3455" s="2" t="s">
        <v>7256</v>
      </c>
      <c r="C3455" s="2" t="s">
        <v>17</v>
      </c>
      <c r="D3455" s="2" t="s">
        <v>18</v>
      </c>
      <c r="E3455" s="5">
        <v>-28643</v>
      </c>
      <c r="F3455" s="3" t="s">
        <v>1569</v>
      </c>
      <c r="G3455" s="3" t="s">
        <v>88</v>
      </c>
      <c r="H3455" s="2" t="s">
        <v>21</v>
      </c>
      <c r="I3455" s="2" t="s">
        <v>7257</v>
      </c>
      <c r="J3455" s="3" t="str">
        <f>HYPERLINK("https://www.boe.es/gazeta/dias/1821/07/29/pdfs/GMD-1821-214.pdf#page=4","Abrir facsímil")</f>
        <v>Abrir facsímil</v>
      </c>
      <c r="K3455" s="3" t="s">
        <v>23</v>
      </c>
    </row>
    <row r="3456" spans="1:11" ht="42" customHeight="1">
      <c r="A3456" s="2" t="s">
        <v>7258</v>
      </c>
      <c r="B3456" s="2" t="s">
        <v>7258</v>
      </c>
      <c r="C3456" s="2" t="s">
        <v>17</v>
      </c>
      <c r="D3456" s="2" t="s">
        <v>18</v>
      </c>
      <c r="E3456" s="5">
        <v>-28844</v>
      </c>
      <c r="F3456" s="3" t="s">
        <v>1743</v>
      </c>
      <c r="G3456" s="3" t="s">
        <v>29</v>
      </c>
      <c r="H3456" s="2" t="s">
        <v>21</v>
      </c>
      <c r="I3456" s="2" t="s">
        <v>7259</v>
      </c>
      <c r="J3456" s="3" t="str">
        <f>HYPERLINK("https://www.boe.es/gazeta/dias/1821/01/09/pdfs/GGB-1821-9.pdf#page=6","Abrir facsímil")</f>
        <v>Abrir facsímil</v>
      </c>
      <c r="K3456" s="3" t="s">
        <v>23</v>
      </c>
    </row>
    <row r="3457" spans="1:11" ht="42" customHeight="1">
      <c r="A3457" s="2" t="s">
        <v>7258</v>
      </c>
      <c r="B3457" s="2" t="s">
        <v>7258</v>
      </c>
      <c r="C3457" s="2" t="s">
        <v>17</v>
      </c>
      <c r="D3457" s="2" t="s">
        <v>18</v>
      </c>
      <c r="E3457" s="5">
        <v>-28838</v>
      </c>
      <c r="F3457" s="3" t="s">
        <v>7260</v>
      </c>
      <c r="G3457" s="3" t="s">
        <v>88</v>
      </c>
      <c r="H3457" s="2" t="s">
        <v>21</v>
      </c>
      <c r="I3457" s="2" t="s">
        <v>7261</v>
      </c>
      <c r="J3457" s="3" t="str">
        <f>HYPERLINK("https://www.boe.es/gazeta/dias/1821/01/15/pdfs/GGB-1821-15.pdf#page=4","Abrir facsímil")</f>
        <v>Abrir facsímil</v>
      </c>
      <c r="K3457" s="3" t="s">
        <v>23</v>
      </c>
    </row>
    <row r="3458" spans="1:11" ht="42" customHeight="1">
      <c r="A3458" s="2" t="s">
        <v>7258</v>
      </c>
      <c r="B3458" s="2" t="s">
        <v>7258</v>
      </c>
      <c r="C3458" s="2" t="s">
        <v>40</v>
      </c>
      <c r="D3458" s="2" t="s">
        <v>41</v>
      </c>
      <c r="E3458" s="5">
        <v>-28798</v>
      </c>
      <c r="F3458" s="3" t="s">
        <v>60</v>
      </c>
      <c r="G3458" s="3" t="s">
        <v>88</v>
      </c>
      <c r="H3458" s="2" t="s">
        <v>21</v>
      </c>
      <c r="I3458" s="2" t="s">
        <v>7262</v>
      </c>
      <c r="J3458" s="3" t="str">
        <f>HYPERLINK("https://www.boe.es/gazeta/dias/1821/02/24/pdfs/GGB-1821-55.pdf#page=4","Abrir facsímil")</f>
        <v>Abrir facsímil</v>
      </c>
      <c r="K3458" s="3" t="s">
        <v>23</v>
      </c>
    </row>
    <row r="3459" spans="1:11" ht="42" customHeight="1">
      <c r="A3459" s="2" t="s">
        <v>7263</v>
      </c>
      <c r="B3459" s="2" t="s">
        <v>7263</v>
      </c>
      <c r="C3459" s="2" t="s">
        <v>174</v>
      </c>
      <c r="D3459" s="2" t="s">
        <v>27</v>
      </c>
      <c r="E3459" s="5">
        <v>-28851</v>
      </c>
      <c r="F3459" s="3" t="s">
        <v>3227</v>
      </c>
      <c r="G3459" s="3" t="s">
        <v>20</v>
      </c>
      <c r="H3459" s="2" t="s">
        <v>21</v>
      </c>
      <c r="I3459" s="2" t="s">
        <v>7264</v>
      </c>
      <c r="J3459" s="3" t="str">
        <f>HYPERLINK("https://www.boe.es/gazeta/dias/1821/01/02/pdfs/GGB-1821-2.pdf#page=3","Abrir facsímil")</f>
        <v>Abrir facsímil</v>
      </c>
      <c r="K3459" s="3" t="s">
        <v>23</v>
      </c>
    </row>
    <row r="3460" spans="1:11" ht="42" customHeight="1">
      <c r="A3460" s="2" t="s">
        <v>7263</v>
      </c>
      <c r="B3460" s="2" t="s">
        <v>7263</v>
      </c>
      <c r="C3460" s="2" t="s">
        <v>40</v>
      </c>
      <c r="D3460" s="2" t="s">
        <v>41</v>
      </c>
      <c r="E3460" s="5">
        <v>-28787</v>
      </c>
      <c r="F3460" s="3" t="s">
        <v>486</v>
      </c>
      <c r="G3460" s="3" t="s">
        <v>52</v>
      </c>
      <c r="H3460" s="2" t="s">
        <v>21</v>
      </c>
      <c r="I3460" s="2" t="s">
        <v>7265</v>
      </c>
      <c r="J3460" s="3" t="str">
        <f>HYPERLINK("https://www.boe.es/gazeta/dias/1821/03/07/pdfs/GGB-1821-66.pdf#page=2","Abrir facsímil")</f>
        <v>Abrir facsímil</v>
      </c>
      <c r="K3460" s="3" t="s">
        <v>23</v>
      </c>
    </row>
    <row r="3461" spans="1:11" ht="42" customHeight="1">
      <c r="A3461" s="2" t="s">
        <v>7263</v>
      </c>
      <c r="B3461" s="2" t="s">
        <v>7263</v>
      </c>
      <c r="C3461" s="2" t="s">
        <v>26</v>
      </c>
      <c r="D3461" s="2" t="s">
        <v>27</v>
      </c>
      <c r="E3461" s="5">
        <v>-28784</v>
      </c>
      <c r="F3461" s="3" t="s">
        <v>451</v>
      </c>
      <c r="G3461" s="3" t="s">
        <v>20</v>
      </c>
      <c r="H3461" s="2" t="s">
        <v>21</v>
      </c>
      <c r="I3461" s="2" t="s">
        <v>7266</v>
      </c>
      <c r="J3461" s="3" t="str">
        <f>HYPERLINK("https://www.boe.es/gazeta/dias/1821/03/10/pdfs/GGB-1821-69.pdf#page=3","Abrir facsímil")</f>
        <v>Abrir facsímil</v>
      </c>
      <c r="K3461" s="3" t="s">
        <v>23</v>
      </c>
    </row>
    <row r="3462" spans="1:11" ht="42" customHeight="1">
      <c r="A3462" s="2" t="s">
        <v>7263</v>
      </c>
      <c r="B3462" s="2" t="s">
        <v>7263</v>
      </c>
      <c r="C3462" s="2" t="s">
        <v>17</v>
      </c>
      <c r="D3462" s="2" t="s">
        <v>18</v>
      </c>
      <c r="E3462" s="5">
        <v>-28784</v>
      </c>
      <c r="F3462" s="3" t="s">
        <v>451</v>
      </c>
      <c r="G3462" s="3" t="s">
        <v>88</v>
      </c>
      <c r="H3462" s="2" t="s">
        <v>21</v>
      </c>
      <c r="I3462" s="2" t="s">
        <v>7267</v>
      </c>
      <c r="J3462" s="3" t="str">
        <f>HYPERLINK("https://www.boe.es/gazeta/dias/1821/03/10/pdfs/GGB-1821-69.pdf#page=4","Abrir facsímil")</f>
        <v>Abrir facsímil</v>
      </c>
      <c r="K3462" s="3" t="s">
        <v>23</v>
      </c>
    </row>
    <row r="3463" spans="1:11" ht="42" customHeight="1">
      <c r="A3463" s="2" t="s">
        <v>7263</v>
      </c>
      <c r="B3463" s="2" t="s">
        <v>7263</v>
      </c>
      <c r="C3463" s="2" t="s">
        <v>17</v>
      </c>
      <c r="D3463" s="2" t="s">
        <v>18</v>
      </c>
      <c r="E3463" s="5">
        <v>-28773</v>
      </c>
      <c r="F3463" s="3" t="s">
        <v>1755</v>
      </c>
      <c r="G3463" s="3" t="s">
        <v>52</v>
      </c>
      <c r="H3463" s="2" t="s">
        <v>21</v>
      </c>
      <c r="I3463" s="2" t="s">
        <v>7268</v>
      </c>
      <c r="J3463" s="3" t="str">
        <f>HYPERLINK("https://www.boe.es/gazeta/dias/1821/03/21/pdfs/GMD-1821-80.pdf#page=2","Abrir facsímil")</f>
        <v>Abrir facsímil</v>
      </c>
      <c r="K3463" s="3" t="s">
        <v>23</v>
      </c>
    </row>
    <row r="3464" spans="1:11" ht="42" customHeight="1">
      <c r="A3464" s="2" t="s">
        <v>7263</v>
      </c>
      <c r="B3464" s="2" t="s">
        <v>7263</v>
      </c>
      <c r="C3464" s="2" t="s">
        <v>35</v>
      </c>
      <c r="D3464" s="2" t="s">
        <v>27</v>
      </c>
      <c r="E3464" s="5">
        <v>-28766</v>
      </c>
      <c r="F3464" s="3" t="s">
        <v>1481</v>
      </c>
      <c r="G3464" s="3" t="s">
        <v>20</v>
      </c>
      <c r="H3464" s="2" t="s">
        <v>21</v>
      </c>
      <c r="I3464" s="2" t="s">
        <v>7269</v>
      </c>
      <c r="J3464" s="3" t="str">
        <f>HYPERLINK("https://www.boe.es/gazeta/dias/1821/03/28/pdfs/GMD-1821-88.pdf#page=3","Abrir facsímil")</f>
        <v>Abrir facsímil</v>
      </c>
      <c r="K3464" s="3" t="s">
        <v>23</v>
      </c>
    </row>
    <row r="3465" spans="1:11" ht="42" customHeight="1">
      <c r="A3465" s="2" t="s">
        <v>7263</v>
      </c>
      <c r="B3465" s="2" t="s">
        <v>7263</v>
      </c>
      <c r="C3465" s="2" t="s">
        <v>70</v>
      </c>
      <c r="D3465" s="2" t="s">
        <v>27</v>
      </c>
      <c r="E3465" s="5">
        <v>-28765</v>
      </c>
      <c r="F3465" s="3" t="s">
        <v>974</v>
      </c>
      <c r="G3465" s="3" t="s">
        <v>20</v>
      </c>
      <c r="H3465" s="2" t="s">
        <v>21</v>
      </c>
      <c r="I3465" s="2" t="s">
        <v>7270</v>
      </c>
      <c r="J3465" s="3" t="str">
        <f>HYPERLINK("https://www.boe.es/gazeta/dias/1821/03/29/pdfs/GMD-1821-90.pdf#page=3","Abrir facsímil")</f>
        <v>Abrir facsímil</v>
      </c>
      <c r="K3465" s="3" t="s">
        <v>23</v>
      </c>
    </row>
    <row r="3466" spans="1:11" ht="42" customHeight="1">
      <c r="A3466" s="2" t="s">
        <v>7263</v>
      </c>
      <c r="B3466" s="2" t="s">
        <v>7263</v>
      </c>
      <c r="C3466" s="2" t="s">
        <v>26</v>
      </c>
      <c r="D3466" s="2" t="s">
        <v>27</v>
      </c>
      <c r="E3466" s="5">
        <v>-28756</v>
      </c>
      <c r="F3466" s="3" t="s">
        <v>3145</v>
      </c>
      <c r="G3466" s="3" t="s">
        <v>52</v>
      </c>
      <c r="H3466" s="2" t="s">
        <v>21</v>
      </c>
      <c r="I3466" s="2" t="s">
        <v>7271</v>
      </c>
      <c r="J3466" s="3" t="str">
        <f>HYPERLINK("https://www.boe.es/gazeta/dias/1821/04/07/pdfs/GMD-1821-99.pdf#page=2","Abrir facsímil")</f>
        <v>Abrir facsímil</v>
      </c>
      <c r="K3466" s="3" t="s">
        <v>23</v>
      </c>
    </row>
    <row r="3467" spans="1:11" ht="42" customHeight="1">
      <c r="A3467" s="2" t="s">
        <v>7263</v>
      </c>
      <c r="B3467" s="2" t="s">
        <v>7263</v>
      </c>
      <c r="C3467" s="2" t="s">
        <v>40</v>
      </c>
      <c r="D3467" s="2" t="s">
        <v>41</v>
      </c>
      <c r="E3467" s="5">
        <v>-28756</v>
      </c>
      <c r="F3467" s="3" t="s">
        <v>3145</v>
      </c>
      <c r="G3467" s="3" t="s">
        <v>20</v>
      </c>
      <c r="H3467" s="2" t="s">
        <v>21</v>
      </c>
      <c r="I3467" s="2" t="s">
        <v>7272</v>
      </c>
      <c r="J3467" s="3" t="str">
        <f>HYPERLINK("https://www.boe.es/gazeta/dias/1821/04/07/pdfs/GMD-1821-99.pdf#page=3","Abrir facsímil")</f>
        <v>Abrir facsímil</v>
      </c>
      <c r="K3467" s="3" t="s">
        <v>23</v>
      </c>
    </row>
    <row r="3468" spans="1:11" ht="42" customHeight="1">
      <c r="A3468" s="2" t="s">
        <v>7263</v>
      </c>
      <c r="B3468" s="2" t="s">
        <v>7263</v>
      </c>
      <c r="C3468" s="2" t="s">
        <v>40</v>
      </c>
      <c r="D3468" s="2" t="s">
        <v>41</v>
      </c>
      <c r="E3468" s="5">
        <v>-28754</v>
      </c>
      <c r="F3468" s="3" t="s">
        <v>1942</v>
      </c>
      <c r="G3468" s="3" t="s">
        <v>52</v>
      </c>
      <c r="H3468" s="2" t="s">
        <v>21</v>
      </c>
      <c r="I3468" s="2" t="s">
        <v>7273</v>
      </c>
      <c r="J3468" s="3" t="str">
        <f>HYPERLINK("https://www.boe.es/gazeta/dias/1821/04/09/pdfs/GMD-1821-101.pdf#page=2","Abrir facsímil")</f>
        <v>Abrir facsímil</v>
      </c>
      <c r="K3468" s="3" t="s">
        <v>23</v>
      </c>
    </row>
    <row r="3469" spans="1:11" ht="42" customHeight="1">
      <c r="A3469" s="2" t="s">
        <v>7263</v>
      </c>
      <c r="B3469" s="2" t="s">
        <v>7263</v>
      </c>
      <c r="C3469" s="2" t="s">
        <v>35</v>
      </c>
      <c r="D3469" s="2" t="s">
        <v>27</v>
      </c>
      <c r="E3469" s="5">
        <v>-28740</v>
      </c>
      <c r="F3469" s="3" t="s">
        <v>2800</v>
      </c>
      <c r="G3469" s="3" t="s">
        <v>20</v>
      </c>
      <c r="H3469" s="2" t="s">
        <v>21</v>
      </c>
      <c r="I3469" s="2" t="s">
        <v>7274</v>
      </c>
      <c r="J3469" s="3" t="str">
        <f>HYPERLINK("https://www.boe.es/gazeta/dias/1821/04/23/pdfs/GMD-1821-115.pdf#page=3","Abrir facsímil")</f>
        <v>Abrir facsímil</v>
      </c>
      <c r="K3469" s="3" t="s">
        <v>23</v>
      </c>
    </row>
    <row r="3470" spans="1:11" ht="42" customHeight="1">
      <c r="A3470" s="2" t="s">
        <v>7263</v>
      </c>
      <c r="B3470" s="2" t="s">
        <v>7263</v>
      </c>
      <c r="C3470" s="2" t="s">
        <v>40</v>
      </c>
      <c r="D3470" s="2" t="s">
        <v>41</v>
      </c>
      <c r="E3470" s="5">
        <v>-28738</v>
      </c>
      <c r="F3470" s="3" t="s">
        <v>359</v>
      </c>
      <c r="G3470" s="3" t="s">
        <v>88</v>
      </c>
      <c r="H3470" s="2" t="s">
        <v>21</v>
      </c>
      <c r="I3470" s="2" t="s">
        <v>7275</v>
      </c>
      <c r="J3470" s="3" t="str">
        <f>HYPERLINK("https://www.boe.es/gazeta/dias/1821/04/25/pdfs/GMD-1821-117.pdf#page=4","Abrir facsímil")</f>
        <v>Abrir facsímil</v>
      </c>
      <c r="K3470" s="3" t="s">
        <v>23</v>
      </c>
    </row>
    <row r="3471" spans="1:11" ht="42" customHeight="1">
      <c r="A3471" s="2" t="s">
        <v>7263</v>
      </c>
      <c r="B3471" s="2" t="s">
        <v>7263</v>
      </c>
      <c r="C3471" s="2" t="s">
        <v>17</v>
      </c>
      <c r="D3471" s="2" t="s">
        <v>18</v>
      </c>
      <c r="E3471" s="5">
        <v>-28737</v>
      </c>
      <c r="F3471" s="3" t="s">
        <v>732</v>
      </c>
      <c r="G3471" s="3" t="s">
        <v>52</v>
      </c>
      <c r="H3471" s="2" t="s">
        <v>21</v>
      </c>
      <c r="I3471" s="2" t="s">
        <v>7276</v>
      </c>
      <c r="J3471" s="3" t="str">
        <f>HYPERLINK("https://www.boe.es/gazeta/dias/1821/04/26/pdfs/GMD-1821-118.pdf#page=2","Abrir facsímil")</f>
        <v>Abrir facsímil</v>
      </c>
      <c r="K3471" s="3" t="s">
        <v>23</v>
      </c>
    </row>
    <row r="3472" spans="1:11" ht="42" customHeight="1">
      <c r="A3472" s="2" t="s">
        <v>7263</v>
      </c>
      <c r="B3472" s="2" t="s">
        <v>7263</v>
      </c>
      <c r="C3472" s="2" t="s">
        <v>17</v>
      </c>
      <c r="D3472" s="2" t="s">
        <v>18</v>
      </c>
      <c r="E3472" s="5">
        <v>-28726</v>
      </c>
      <c r="F3472" s="3" t="s">
        <v>347</v>
      </c>
      <c r="G3472" s="3" t="s">
        <v>20</v>
      </c>
      <c r="H3472" s="2" t="s">
        <v>21</v>
      </c>
      <c r="I3472" s="2" t="s">
        <v>7277</v>
      </c>
      <c r="J3472" s="3" t="str">
        <f>HYPERLINK("https://www.boe.es/gazeta/dias/1821/05/07/pdfs/GMD-1821-129.pdf#page=3","Abrir facsímil")</f>
        <v>Abrir facsímil</v>
      </c>
      <c r="K3472" s="3" t="s">
        <v>23</v>
      </c>
    </row>
    <row r="3473" spans="1:11" ht="42" customHeight="1">
      <c r="A3473" s="2" t="s">
        <v>7263</v>
      </c>
      <c r="B3473" s="2" t="s">
        <v>7263</v>
      </c>
      <c r="C3473" s="2" t="s">
        <v>26</v>
      </c>
      <c r="D3473" s="2" t="s">
        <v>27</v>
      </c>
      <c r="E3473" s="5">
        <v>-28719</v>
      </c>
      <c r="F3473" s="3" t="s">
        <v>647</v>
      </c>
      <c r="G3473" s="3" t="s">
        <v>20</v>
      </c>
      <c r="H3473" s="2" t="s">
        <v>21</v>
      </c>
      <c r="I3473" s="2" t="s">
        <v>7278</v>
      </c>
      <c r="J3473" s="3" t="str">
        <f>HYPERLINK("https://www.boe.es/gazeta/dias/1821/05/14/pdfs/GMD-1821-136.pdf#page=3","Abrir facsímil")</f>
        <v>Abrir facsímil</v>
      </c>
      <c r="K3473" s="3" t="s">
        <v>23</v>
      </c>
    </row>
    <row r="3474" spans="1:11" ht="42" customHeight="1">
      <c r="A3474" s="2" t="s">
        <v>7263</v>
      </c>
      <c r="B3474" s="2" t="s">
        <v>7263</v>
      </c>
      <c r="C3474" s="2" t="s">
        <v>17</v>
      </c>
      <c r="D3474" s="2" t="s">
        <v>18</v>
      </c>
      <c r="E3474" s="5">
        <v>-28718</v>
      </c>
      <c r="F3474" s="3" t="s">
        <v>583</v>
      </c>
      <c r="G3474" s="3" t="s">
        <v>20</v>
      </c>
      <c r="H3474" s="2" t="s">
        <v>21</v>
      </c>
      <c r="I3474" s="2" t="s">
        <v>7279</v>
      </c>
      <c r="J3474" s="3" t="str">
        <f>HYPERLINK("https://www.boe.es/gazeta/dias/1821/05/15/pdfs/GMD-1821-137.pdf#page=3","Abrir facsímil")</f>
        <v>Abrir facsímil</v>
      </c>
      <c r="K3474" s="3" t="s">
        <v>23</v>
      </c>
    </row>
    <row r="3475" spans="1:11" ht="42" customHeight="1">
      <c r="A3475" s="2" t="s">
        <v>7263</v>
      </c>
      <c r="B3475" s="2" t="s">
        <v>7263</v>
      </c>
      <c r="C3475" s="2" t="s">
        <v>70</v>
      </c>
      <c r="D3475" s="2" t="s">
        <v>27</v>
      </c>
      <c r="E3475" s="5">
        <v>-28717</v>
      </c>
      <c r="F3475" s="3" t="s">
        <v>1044</v>
      </c>
      <c r="G3475" s="3" t="s">
        <v>20</v>
      </c>
      <c r="H3475" s="2" t="s">
        <v>21</v>
      </c>
      <c r="I3475" s="2" t="s">
        <v>7280</v>
      </c>
      <c r="J3475" s="3" t="str">
        <f>HYPERLINK("https://www.boe.es/gazeta/dias/1821/05/16/pdfs/GMD-1821-138.pdf#page=3","Abrir facsímil")</f>
        <v>Abrir facsímil</v>
      </c>
      <c r="K3475" s="3" t="s">
        <v>23</v>
      </c>
    </row>
    <row r="3476" spans="1:11" ht="42" customHeight="1">
      <c r="A3476" s="2" t="s">
        <v>7263</v>
      </c>
      <c r="B3476" s="2" t="s">
        <v>7263</v>
      </c>
      <c r="C3476" s="2" t="s">
        <v>40</v>
      </c>
      <c r="D3476" s="2" t="s">
        <v>41</v>
      </c>
      <c r="E3476" s="5">
        <v>-28714</v>
      </c>
      <c r="F3476" s="3" t="s">
        <v>522</v>
      </c>
      <c r="G3476" s="3" t="s">
        <v>52</v>
      </c>
      <c r="H3476" s="2" t="s">
        <v>21</v>
      </c>
      <c r="I3476" s="2" t="s">
        <v>7281</v>
      </c>
      <c r="J3476" s="3" t="str">
        <f>HYPERLINK("https://www.boe.es/gazeta/dias/1821/05/19/pdfs/GMD-1821-141.pdf#page=2","Abrir facsímil")</f>
        <v>Abrir facsímil</v>
      </c>
      <c r="K3476" s="3" t="s">
        <v>23</v>
      </c>
    </row>
    <row r="3477" spans="1:11" ht="42" customHeight="1">
      <c r="A3477" s="2" t="s">
        <v>7263</v>
      </c>
      <c r="B3477" s="2" t="s">
        <v>7263</v>
      </c>
      <c r="C3477" s="2" t="s">
        <v>40</v>
      </c>
      <c r="D3477" s="2" t="s">
        <v>41</v>
      </c>
      <c r="E3477" s="5">
        <v>-28714</v>
      </c>
      <c r="F3477" s="3" t="s">
        <v>522</v>
      </c>
      <c r="G3477" s="3" t="s">
        <v>20</v>
      </c>
      <c r="H3477" s="2" t="s">
        <v>21</v>
      </c>
      <c r="I3477" s="2" t="s">
        <v>7282</v>
      </c>
      <c r="J3477" s="3" t="str">
        <f>HYPERLINK("https://www.boe.es/gazeta/dias/1821/05/19/pdfs/GMD-1821-141.pdf#page=3","Abrir facsímil")</f>
        <v>Abrir facsímil</v>
      </c>
      <c r="K3477" s="3" t="s">
        <v>23</v>
      </c>
    </row>
    <row r="3478" spans="1:11" ht="42" customHeight="1">
      <c r="A3478" s="2" t="s">
        <v>7263</v>
      </c>
      <c r="B3478" s="2" t="s">
        <v>7263</v>
      </c>
      <c r="C3478" s="2" t="s">
        <v>17</v>
      </c>
      <c r="D3478" s="2" t="s">
        <v>18</v>
      </c>
      <c r="E3478" s="5">
        <v>-28712</v>
      </c>
      <c r="F3478" s="3" t="s">
        <v>695</v>
      </c>
      <c r="G3478" s="3" t="s">
        <v>20</v>
      </c>
      <c r="H3478" s="2" t="s">
        <v>21</v>
      </c>
      <c r="I3478" s="2" t="s">
        <v>7283</v>
      </c>
      <c r="J3478" s="3" t="str">
        <f>HYPERLINK("https://www.boe.es/gazeta/dias/1821/05/21/pdfs/GMD-1821-143.pdf#page=3","Abrir facsímil")</f>
        <v>Abrir facsímil</v>
      </c>
      <c r="K3478" s="3" t="s">
        <v>23</v>
      </c>
    </row>
    <row r="3479" spans="1:11" ht="42" customHeight="1">
      <c r="A3479" s="2" t="s">
        <v>7263</v>
      </c>
      <c r="B3479" s="2" t="s">
        <v>7263</v>
      </c>
      <c r="C3479" s="2" t="s">
        <v>26</v>
      </c>
      <c r="D3479" s="2" t="s">
        <v>27</v>
      </c>
      <c r="E3479" s="5">
        <v>-28711</v>
      </c>
      <c r="F3479" s="3" t="s">
        <v>1048</v>
      </c>
      <c r="G3479" s="3" t="s">
        <v>52</v>
      </c>
      <c r="H3479" s="2" t="s">
        <v>21</v>
      </c>
      <c r="I3479" s="2" t="s">
        <v>7284</v>
      </c>
      <c r="J3479" s="3" t="str">
        <f>HYPERLINK("https://www.boe.es/gazeta/dias/1821/05/22/pdfs/GMD-1821-144.pdf#page=2","Abrir facsímil")</f>
        <v>Abrir facsímil</v>
      </c>
      <c r="K3479" s="3" t="s">
        <v>23</v>
      </c>
    </row>
    <row r="3480" spans="1:11" ht="42" customHeight="1">
      <c r="A3480" s="2" t="s">
        <v>7263</v>
      </c>
      <c r="B3480" s="2" t="s">
        <v>7263</v>
      </c>
      <c r="C3480" s="2" t="s">
        <v>17</v>
      </c>
      <c r="D3480" s="2" t="s">
        <v>18</v>
      </c>
      <c r="E3480" s="5">
        <v>-28703</v>
      </c>
      <c r="F3480" s="3" t="s">
        <v>231</v>
      </c>
      <c r="G3480" s="3" t="s">
        <v>52</v>
      </c>
      <c r="H3480" s="2" t="s">
        <v>21</v>
      </c>
      <c r="I3480" s="2" t="s">
        <v>7285</v>
      </c>
      <c r="J3480" s="3" t="str">
        <f>HYPERLINK("https://www.boe.es/gazeta/dias/1821/05/30/pdfs/GMD-1821-152.pdf#page=2","Abrir facsímil")</f>
        <v>Abrir facsímil</v>
      </c>
      <c r="K3480" s="3" t="s">
        <v>23</v>
      </c>
    </row>
    <row r="3481" spans="1:11" ht="42" customHeight="1">
      <c r="A3481" s="2" t="s">
        <v>7263</v>
      </c>
      <c r="B3481" s="2" t="s">
        <v>7263</v>
      </c>
      <c r="C3481" s="2" t="s">
        <v>26</v>
      </c>
      <c r="D3481" s="2" t="s">
        <v>27</v>
      </c>
      <c r="E3481" s="5">
        <v>-28698</v>
      </c>
      <c r="F3481" s="3" t="s">
        <v>2067</v>
      </c>
      <c r="G3481" s="3" t="s">
        <v>88</v>
      </c>
      <c r="H3481" s="2" t="s">
        <v>21</v>
      </c>
      <c r="I3481" s="2" t="s">
        <v>7286</v>
      </c>
      <c r="J3481" s="3" t="str">
        <f>HYPERLINK("https://www.boe.es/gazeta/dias/1821/06/04/pdfs/GMD-1821-157.pdf#page=4","Abrir facsímil")</f>
        <v>Abrir facsímil</v>
      </c>
      <c r="K3481" s="3" t="s">
        <v>23</v>
      </c>
    </row>
    <row r="3482" spans="1:11" ht="42" customHeight="1">
      <c r="A3482" s="2" t="s">
        <v>7263</v>
      </c>
      <c r="B3482" s="2" t="s">
        <v>7263</v>
      </c>
      <c r="C3482" s="2" t="s">
        <v>70</v>
      </c>
      <c r="D3482" s="2" t="s">
        <v>27</v>
      </c>
      <c r="E3482" s="5">
        <v>-28686</v>
      </c>
      <c r="F3482" s="3" t="s">
        <v>115</v>
      </c>
      <c r="G3482" s="3" t="s">
        <v>52</v>
      </c>
      <c r="H3482" s="2" t="s">
        <v>21</v>
      </c>
      <c r="I3482" s="2" t="s">
        <v>7287</v>
      </c>
      <c r="J3482" s="3" t="str">
        <f>HYPERLINK("https://www.boe.es/gazeta/dias/1821/06/16/pdfs/GMD-1821-169.pdf#page=2","Abrir facsímil")</f>
        <v>Abrir facsímil</v>
      </c>
      <c r="K3482" s="3" t="s">
        <v>23</v>
      </c>
    </row>
    <row r="3483" spans="1:11" ht="42" customHeight="1">
      <c r="A3483" s="2" t="s">
        <v>7263</v>
      </c>
      <c r="B3483" s="2" t="s">
        <v>7263</v>
      </c>
      <c r="C3483" s="2" t="s">
        <v>35</v>
      </c>
      <c r="D3483" s="2" t="s">
        <v>27</v>
      </c>
      <c r="E3483" s="5">
        <v>-28685</v>
      </c>
      <c r="F3483" s="3" t="s">
        <v>303</v>
      </c>
      <c r="G3483" s="3" t="s">
        <v>162</v>
      </c>
      <c r="H3483" s="2" t="s">
        <v>21</v>
      </c>
      <c r="I3483" s="2" t="s">
        <v>7288</v>
      </c>
      <c r="J3483" s="3" t="str">
        <f>HYPERLINK("https://www.boe.es/gazeta/dias/1821/06/17/pdfs/GMD-1821-170.pdf#page=5","Abrir facsímil")</f>
        <v>Abrir facsímil</v>
      </c>
      <c r="K3483" s="3" t="s">
        <v>23</v>
      </c>
    </row>
    <row r="3484" spans="1:11" ht="42" customHeight="1">
      <c r="A3484" s="2" t="s">
        <v>7263</v>
      </c>
      <c r="B3484" s="2" t="s">
        <v>7263</v>
      </c>
      <c r="C3484" s="2" t="s">
        <v>17</v>
      </c>
      <c r="D3484" s="2" t="s">
        <v>18</v>
      </c>
      <c r="E3484" s="5">
        <v>-28683</v>
      </c>
      <c r="F3484" s="3" t="s">
        <v>332</v>
      </c>
      <c r="G3484" s="3" t="s">
        <v>88</v>
      </c>
      <c r="H3484" s="2" t="s">
        <v>21</v>
      </c>
      <c r="I3484" s="2" t="s">
        <v>7289</v>
      </c>
      <c r="J3484" s="3" t="str">
        <f>HYPERLINK("https://www.boe.es/gazeta/dias/1821/06/19/pdfs/GMD-1821-172.pdf#page=4","Abrir facsímil")</f>
        <v>Abrir facsímil</v>
      </c>
      <c r="K3484" s="3" t="s">
        <v>23</v>
      </c>
    </row>
    <row r="3485" spans="1:11" ht="42" customHeight="1">
      <c r="A3485" s="2" t="s">
        <v>7263</v>
      </c>
      <c r="B3485" s="2" t="s">
        <v>7263</v>
      </c>
      <c r="C3485" s="2" t="s">
        <v>70</v>
      </c>
      <c r="D3485" s="2" t="s">
        <v>27</v>
      </c>
      <c r="E3485" s="5">
        <v>-28675</v>
      </c>
      <c r="F3485" s="3" t="s">
        <v>943</v>
      </c>
      <c r="G3485" s="3" t="s">
        <v>20</v>
      </c>
      <c r="H3485" s="2" t="s">
        <v>21</v>
      </c>
      <c r="I3485" s="2" t="s">
        <v>7290</v>
      </c>
      <c r="J3485" s="3" t="str">
        <f>HYPERLINK("https://www.boe.es/gazeta/dias/1821/06/27/pdfs/GMD-1821-180.pdf#page=3","Abrir facsímil")</f>
        <v>Abrir facsímil</v>
      </c>
      <c r="K3485" s="3" t="s">
        <v>23</v>
      </c>
    </row>
    <row r="3486" spans="1:11" ht="42" customHeight="1">
      <c r="A3486" s="2" t="s">
        <v>7263</v>
      </c>
      <c r="B3486" s="2" t="s">
        <v>7263</v>
      </c>
      <c r="C3486" s="2" t="s">
        <v>35</v>
      </c>
      <c r="D3486" s="2" t="s">
        <v>27</v>
      </c>
      <c r="E3486" s="5">
        <v>-28646</v>
      </c>
      <c r="F3486" s="3" t="s">
        <v>1457</v>
      </c>
      <c r="G3486" s="3" t="s">
        <v>20</v>
      </c>
      <c r="H3486" s="2" t="s">
        <v>21</v>
      </c>
      <c r="I3486" s="2" t="s">
        <v>7291</v>
      </c>
      <c r="J3486" s="3" t="str">
        <f>HYPERLINK("https://www.boe.es/gazeta/dias/1821/07/26/pdfs/GMD-1821-211.pdf#page=3","Abrir facsímil")</f>
        <v>Abrir facsímil</v>
      </c>
      <c r="K3486" s="3" t="s">
        <v>23</v>
      </c>
    </row>
    <row r="3487" spans="1:11" ht="42" customHeight="1">
      <c r="A3487" s="2" t="s">
        <v>7263</v>
      </c>
      <c r="B3487" s="2" t="s">
        <v>7263</v>
      </c>
      <c r="C3487" s="2" t="s">
        <v>26</v>
      </c>
      <c r="D3487" s="2" t="s">
        <v>27</v>
      </c>
      <c r="E3487" s="5">
        <v>-28626</v>
      </c>
      <c r="F3487" s="3" t="s">
        <v>468</v>
      </c>
      <c r="G3487" s="3" t="s">
        <v>88</v>
      </c>
      <c r="H3487" s="2" t="s">
        <v>21</v>
      </c>
      <c r="I3487" s="2" t="s">
        <v>7292</v>
      </c>
      <c r="J3487" s="3" t="str">
        <f>HYPERLINK("https://www.boe.es/gazeta/dias/1821/08/15/pdfs/GMD-1821-232.pdf#page=4","Abrir facsímil")</f>
        <v>Abrir facsímil</v>
      </c>
      <c r="K3487" s="3" t="s">
        <v>23</v>
      </c>
    </row>
    <row r="3488" spans="1:11" ht="42" customHeight="1">
      <c r="A3488" s="2" t="s">
        <v>7263</v>
      </c>
      <c r="B3488" s="2" t="s">
        <v>7263</v>
      </c>
      <c r="C3488" s="2" t="s">
        <v>114</v>
      </c>
      <c r="D3488" s="2" t="s">
        <v>27</v>
      </c>
      <c r="E3488" s="5">
        <v>-28585</v>
      </c>
      <c r="F3488" s="3" t="s">
        <v>627</v>
      </c>
      <c r="G3488" s="3" t="s">
        <v>20</v>
      </c>
      <c r="H3488" s="2" t="s">
        <v>21</v>
      </c>
      <c r="I3488" s="2" t="s">
        <v>7293</v>
      </c>
      <c r="J3488" s="3" t="str">
        <f>HYPERLINK("https://www.boe.es/gazeta/dias/1821/09/25/pdfs/GMD-1821-273.pdf#page=3","Abrir facsímil")</f>
        <v>Abrir facsímil</v>
      </c>
      <c r="K3488" s="3" t="s">
        <v>23</v>
      </c>
    </row>
    <row r="3489" spans="1:11" ht="42" customHeight="1">
      <c r="A3489" s="2" t="s">
        <v>7263</v>
      </c>
      <c r="B3489" s="2" t="s">
        <v>7263</v>
      </c>
      <c r="C3489" s="2" t="s">
        <v>40</v>
      </c>
      <c r="D3489" s="2" t="s">
        <v>41</v>
      </c>
      <c r="E3489" s="5">
        <v>-28580</v>
      </c>
      <c r="F3489" s="3" t="s">
        <v>175</v>
      </c>
      <c r="G3489" s="3" t="s">
        <v>20</v>
      </c>
      <c r="H3489" s="2" t="s">
        <v>21</v>
      </c>
      <c r="I3489" s="2" t="s">
        <v>7294</v>
      </c>
      <c r="J3489" s="3" t="str">
        <f>HYPERLINK("https://www.boe.es/gazeta/dias/1821/09/30/pdfs/GMD-1821-279.pdf#page=3","Abrir facsímil")</f>
        <v>Abrir facsímil</v>
      </c>
      <c r="K3489" s="3" t="s">
        <v>23</v>
      </c>
    </row>
    <row r="3490" spans="1:11" ht="42" customHeight="1">
      <c r="A3490" s="2" t="s">
        <v>7263</v>
      </c>
      <c r="B3490" s="2" t="s">
        <v>7263</v>
      </c>
      <c r="C3490" s="2" t="s">
        <v>40</v>
      </c>
      <c r="D3490" s="2" t="s">
        <v>41</v>
      </c>
      <c r="E3490" s="5">
        <v>-28570</v>
      </c>
      <c r="F3490" s="3" t="s">
        <v>2300</v>
      </c>
      <c r="G3490" s="3" t="s">
        <v>20</v>
      </c>
      <c r="H3490" s="2" t="s">
        <v>21</v>
      </c>
      <c r="I3490" s="2" t="s">
        <v>7295</v>
      </c>
      <c r="J3490" s="3" t="str">
        <f>HYPERLINK("https://www.boe.es/gazeta/dias/1821/10/10/pdfs/GMD-1821-289.pdf#page=3","Abrir facsímil")</f>
        <v>Abrir facsímil</v>
      </c>
      <c r="K3490" s="3" t="s">
        <v>23</v>
      </c>
    </row>
    <row r="3491" spans="1:11" ht="42" customHeight="1">
      <c r="A3491" s="2" t="s">
        <v>7263</v>
      </c>
      <c r="B3491" s="2" t="s">
        <v>7263</v>
      </c>
      <c r="C3491" s="2" t="s">
        <v>40</v>
      </c>
      <c r="D3491" s="2" t="s">
        <v>41</v>
      </c>
      <c r="E3491" s="5">
        <v>-28567</v>
      </c>
      <c r="F3491" s="3" t="s">
        <v>217</v>
      </c>
      <c r="G3491" s="3" t="s">
        <v>20</v>
      </c>
      <c r="H3491" s="2" t="s">
        <v>21</v>
      </c>
      <c r="I3491" s="2" t="s">
        <v>7296</v>
      </c>
      <c r="J3491" s="3" t="str">
        <f>HYPERLINK("https://www.boe.es/gazeta/dias/1821/10/13/pdfs/GMD-1821-292.pdf#page=3","Abrir facsímil")</f>
        <v>Abrir facsímil</v>
      </c>
      <c r="K3491" s="3" t="s">
        <v>23</v>
      </c>
    </row>
    <row r="3492" spans="1:11" ht="42" customHeight="1">
      <c r="A3492" s="2" t="s">
        <v>7263</v>
      </c>
      <c r="B3492" s="2" t="s">
        <v>7263</v>
      </c>
      <c r="C3492" s="2" t="s">
        <v>35</v>
      </c>
      <c r="D3492" s="2" t="s">
        <v>27</v>
      </c>
      <c r="E3492" s="5">
        <v>-28565</v>
      </c>
      <c r="F3492" s="3" t="s">
        <v>326</v>
      </c>
      <c r="G3492" s="3" t="s">
        <v>52</v>
      </c>
      <c r="H3492" s="2" t="s">
        <v>21</v>
      </c>
      <c r="I3492" s="2" t="s">
        <v>7297</v>
      </c>
      <c r="J3492" s="3" t="str">
        <f>HYPERLINK("https://www.boe.es/gazeta/dias/1821/10/15/pdfs/GMD-1821-294.pdf#page=2","Abrir facsímil")</f>
        <v>Abrir facsímil</v>
      </c>
      <c r="K3492" s="3" t="s">
        <v>23</v>
      </c>
    </row>
    <row r="3493" spans="1:11" ht="42" customHeight="1">
      <c r="A3493" s="2" t="s">
        <v>7263</v>
      </c>
      <c r="B3493" s="2" t="s">
        <v>7263</v>
      </c>
      <c r="C3493" s="2" t="s">
        <v>26</v>
      </c>
      <c r="D3493" s="2" t="s">
        <v>27</v>
      </c>
      <c r="E3493" s="5">
        <v>-28559</v>
      </c>
      <c r="F3493" s="3" t="s">
        <v>1078</v>
      </c>
      <c r="G3493" s="3" t="s">
        <v>88</v>
      </c>
      <c r="H3493" s="2" t="s">
        <v>21</v>
      </c>
      <c r="I3493" s="2" t="s">
        <v>7298</v>
      </c>
      <c r="J3493" s="3" t="str">
        <f>HYPERLINK("https://www.boe.es/gazeta/dias/1821/10/21/pdfs/GMD-1821-300.pdf#page=4","Abrir facsímil")</f>
        <v>Abrir facsímil</v>
      </c>
      <c r="K3493" s="3" t="s">
        <v>23</v>
      </c>
    </row>
    <row r="3494" spans="1:11" ht="42" customHeight="1">
      <c r="A3494" s="2" t="s">
        <v>7263</v>
      </c>
      <c r="B3494" s="2" t="s">
        <v>7263</v>
      </c>
      <c r="C3494" s="2" t="s">
        <v>26</v>
      </c>
      <c r="D3494" s="2" t="s">
        <v>27</v>
      </c>
      <c r="E3494" s="5">
        <v>-28547</v>
      </c>
      <c r="F3494" s="3" t="s">
        <v>247</v>
      </c>
      <c r="G3494" s="3" t="s">
        <v>248</v>
      </c>
      <c r="H3494" s="2" t="s">
        <v>21</v>
      </c>
      <c r="I3494" s="2" t="s">
        <v>7299</v>
      </c>
      <c r="J3494" s="3" t="str">
        <f>HYPERLINK("https://www.boe.es/gazeta/dias/1821/11/02/pdfs/GMD-1821-312.pdf#page=2","Abrir facsímil")</f>
        <v>Abrir facsímil</v>
      </c>
      <c r="K3494" s="3" t="s">
        <v>23</v>
      </c>
    </row>
    <row r="3495" spans="1:11" ht="42" customHeight="1">
      <c r="A3495" s="2" t="s">
        <v>7263</v>
      </c>
      <c r="B3495" s="2" t="s">
        <v>7263</v>
      </c>
      <c r="C3495" s="2" t="s">
        <v>70</v>
      </c>
      <c r="D3495" s="2" t="s">
        <v>27</v>
      </c>
      <c r="E3495" s="5">
        <v>-28534</v>
      </c>
      <c r="F3495" s="3" t="s">
        <v>414</v>
      </c>
      <c r="G3495" s="3" t="s">
        <v>20</v>
      </c>
      <c r="H3495" s="2" t="s">
        <v>21</v>
      </c>
      <c r="I3495" s="2" t="s">
        <v>7300</v>
      </c>
      <c r="J3495" s="3" t="str">
        <f>HYPERLINK("https://www.boe.es/gazeta/dias/1821/11/15/pdfs/GMD-1821-326.pdf#page=3","Abrir facsímil")</f>
        <v>Abrir facsímil</v>
      </c>
      <c r="K3495" s="3" t="s">
        <v>23</v>
      </c>
    </row>
    <row r="3496" spans="1:11" ht="42" customHeight="1">
      <c r="A3496" s="2" t="s">
        <v>7263</v>
      </c>
      <c r="B3496" s="2" t="s">
        <v>7263</v>
      </c>
      <c r="C3496" s="2" t="s">
        <v>40</v>
      </c>
      <c r="D3496" s="2" t="s">
        <v>41</v>
      </c>
      <c r="E3496" s="5">
        <v>-28520</v>
      </c>
      <c r="F3496" s="3" t="s">
        <v>878</v>
      </c>
      <c r="G3496" s="3" t="s">
        <v>43</v>
      </c>
      <c r="H3496" s="2" t="s">
        <v>21</v>
      </c>
      <c r="I3496" s="2" t="s">
        <v>7301</v>
      </c>
      <c r="J3496" s="3" t="str">
        <f>HYPERLINK("https://www.boe.es/gazeta/dias/1821/11/29/pdfs/GMD-1821-341.pdf#page=1","Abrir facsímil")</f>
        <v>Abrir facsímil</v>
      </c>
      <c r="K3496" s="3" t="s">
        <v>23</v>
      </c>
    </row>
    <row r="3497" spans="1:11" ht="42" customHeight="1">
      <c r="A3497" s="2" t="s">
        <v>7263</v>
      </c>
      <c r="B3497" s="2" t="s">
        <v>7263</v>
      </c>
      <c r="C3497" s="2" t="s">
        <v>35</v>
      </c>
      <c r="D3497" s="2" t="s">
        <v>27</v>
      </c>
      <c r="E3497" s="5">
        <v>-28512</v>
      </c>
      <c r="F3497" s="3" t="s">
        <v>66</v>
      </c>
      <c r="G3497" s="3" t="s">
        <v>20</v>
      </c>
      <c r="H3497" s="2" t="s">
        <v>21</v>
      </c>
      <c r="I3497" s="2" t="s">
        <v>7302</v>
      </c>
      <c r="J3497" s="3" t="str">
        <f>HYPERLINK("https://www.boe.es/gazeta/dias/1821/12/07/pdfs/GMD-1821-349.pdf#page=3","Abrir facsímil")</f>
        <v>Abrir facsímil</v>
      </c>
      <c r="K3497" s="3" t="s">
        <v>23</v>
      </c>
    </row>
    <row r="3498" spans="1:11" ht="42" customHeight="1">
      <c r="A3498" s="2" t="s">
        <v>7263</v>
      </c>
      <c r="B3498" s="2" t="s">
        <v>7263</v>
      </c>
      <c r="C3498" s="2" t="s">
        <v>26</v>
      </c>
      <c r="D3498" s="2" t="s">
        <v>27</v>
      </c>
      <c r="E3498" s="5">
        <v>-28509</v>
      </c>
      <c r="F3498" s="3" t="s">
        <v>388</v>
      </c>
      <c r="G3498" s="3" t="s">
        <v>29</v>
      </c>
      <c r="H3498" s="2" t="s">
        <v>21</v>
      </c>
      <c r="I3498" s="2" t="s">
        <v>7303</v>
      </c>
      <c r="J3498" s="3" t="str">
        <f>HYPERLINK("https://www.boe.es/gazeta/dias/1821/12/10/pdfs/GMD-1821-352.pdf#page=6","Abrir facsímil")</f>
        <v>Abrir facsímil</v>
      </c>
      <c r="K3498" s="3" t="s">
        <v>23</v>
      </c>
    </row>
    <row r="3499" spans="1:11" ht="42" customHeight="1">
      <c r="A3499" s="2" t="s">
        <v>7263</v>
      </c>
      <c r="B3499" s="2" t="s">
        <v>7263</v>
      </c>
      <c r="C3499" s="2" t="s">
        <v>40</v>
      </c>
      <c r="D3499" s="2" t="s">
        <v>41</v>
      </c>
      <c r="E3499" s="5">
        <v>-28505</v>
      </c>
      <c r="F3499" s="3" t="s">
        <v>567</v>
      </c>
      <c r="G3499" s="3" t="s">
        <v>43</v>
      </c>
      <c r="H3499" s="2" t="s">
        <v>21</v>
      </c>
      <c r="I3499" s="2" t="s">
        <v>7304</v>
      </c>
      <c r="J3499" s="3" t="str">
        <f>HYPERLINK("https://www.boe.es/gazeta/dias/1821/12/14/pdfs/GMD-1821-357.pdf#page=1","Abrir facsímil")</f>
        <v>Abrir facsímil</v>
      </c>
      <c r="K3499" s="3" t="s">
        <v>23</v>
      </c>
    </row>
    <row r="3500" spans="1:11" ht="42" customHeight="1">
      <c r="A3500" s="2" t="s">
        <v>7263</v>
      </c>
      <c r="B3500" s="2" t="s">
        <v>7263</v>
      </c>
      <c r="C3500" s="2" t="s">
        <v>40</v>
      </c>
      <c r="D3500" s="2" t="s">
        <v>41</v>
      </c>
      <c r="E3500" s="5">
        <v>-28503</v>
      </c>
      <c r="F3500" s="3" t="s">
        <v>947</v>
      </c>
      <c r="G3500" s="3" t="s">
        <v>29</v>
      </c>
      <c r="H3500" s="2" t="s">
        <v>21</v>
      </c>
      <c r="I3500" s="2" t="s">
        <v>7305</v>
      </c>
      <c r="J3500" s="3" t="str">
        <f>HYPERLINK("https://www.boe.es/gazeta/dias/1821/12/16/pdfs/GMD-1821-359.pdf#page=6","Abrir facsímil")</f>
        <v>Abrir facsímil</v>
      </c>
      <c r="K3500" s="3" t="s">
        <v>23</v>
      </c>
    </row>
    <row r="3501" spans="1:11" ht="42" customHeight="1">
      <c r="A3501" s="2" t="s">
        <v>7263</v>
      </c>
      <c r="B3501" s="2" t="s">
        <v>7263</v>
      </c>
      <c r="C3501" s="2" t="s">
        <v>279</v>
      </c>
      <c r="D3501" s="2" t="s">
        <v>27</v>
      </c>
      <c r="E3501" s="5">
        <v>-28501</v>
      </c>
      <c r="F3501" s="3" t="s">
        <v>456</v>
      </c>
      <c r="G3501" s="3" t="s">
        <v>1253</v>
      </c>
      <c r="H3501" s="2" t="s">
        <v>21</v>
      </c>
      <c r="I3501" s="2" t="s">
        <v>7306</v>
      </c>
      <c r="J3501" s="3" t="str">
        <f>HYPERLINK("https://www.boe.es/gazeta/dias/1821/12/18/pdfs/GMD-1821-361.pdf#page=6","Abrir facsímil")</f>
        <v>Abrir facsímil</v>
      </c>
      <c r="K3501" s="3" t="s">
        <v>23</v>
      </c>
    </row>
    <row r="3502" spans="1:11" ht="42" customHeight="1">
      <c r="A3502" s="2" t="s">
        <v>7263</v>
      </c>
      <c r="B3502" s="2" t="s">
        <v>7263</v>
      </c>
      <c r="C3502" s="2" t="s">
        <v>35</v>
      </c>
      <c r="D3502" s="2" t="s">
        <v>27</v>
      </c>
      <c r="E3502" s="5">
        <v>-28496</v>
      </c>
      <c r="F3502" s="3" t="s">
        <v>785</v>
      </c>
      <c r="G3502" s="3" t="s">
        <v>20</v>
      </c>
      <c r="H3502" s="2" t="s">
        <v>21</v>
      </c>
      <c r="I3502" s="2" t="s">
        <v>7307</v>
      </c>
      <c r="J3502" s="3" t="str">
        <f>HYPERLINK("https://www.boe.es/gazeta/dias/1821/12/23/pdfs/GMD-1821-366.pdf#page=3","Abrir facsímil")</f>
        <v>Abrir facsímil</v>
      </c>
      <c r="K3502" s="3" t="s">
        <v>23</v>
      </c>
    </row>
    <row r="3503" spans="1:11" ht="42" customHeight="1">
      <c r="A3503" s="2" t="s">
        <v>7263</v>
      </c>
      <c r="B3503" s="2" t="s">
        <v>7263</v>
      </c>
      <c r="C3503" s="2" t="s">
        <v>35</v>
      </c>
      <c r="D3503" s="2" t="s">
        <v>27</v>
      </c>
      <c r="E3503" s="5">
        <v>-28495</v>
      </c>
      <c r="F3503" s="3" t="s">
        <v>227</v>
      </c>
      <c r="G3503" s="3" t="s">
        <v>88</v>
      </c>
      <c r="H3503" s="2" t="s">
        <v>21</v>
      </c>
      <c r="I3503" s="2" t="s">
        <v>7308</v>
      </c>
      <c r="J3503" s="3" t="str">
        <f>HYPERLINK("https://www.boe.es/gazeta/dias/1821/12/24/pdfs/GMD-1821-367.pdf#page=4","Abrir facsímil")</f>
        <v>Abrir facsímil</v>
      </c>
      <c r="K3503" s="3" t="s">
        <v>23</v>
      </c>
    </row>
    <row r="3504" spans="1:11" ht="42" customHeight="1">
      <c r="A3504" s="2" t="s">
        <v>7263</v>
      </c>
      <c r="B3504" s="2" t="s">
        <v>7263</v>
      </c>
      <c r="C3504" s="2" t="s">
        <v>40</v>
      </c>
      <c r="D3504" s="2" t="s">
        <v>41</v>
      </c>
      <c r="E3504" s="5">
        <v>-28489</v>
      </c>
      <c r="F3504" s="3" t="s">
        <v>3894</v>
      </c>
      <c r="G3504" s="3" t="s">
        <v>20</v>
      </c>
      <c r="H3504" s="2" t="s">
        <v>21</v>
      </c>
      <c r="I3504" s="2" t="s">
        <v>7309</v>
      </c>
      <c r="J3504" s="3" t="str">
        <f>HYPERLINK("https://www.boe.es/gazeta/dias/1821/12/30/pdfs/GMD-1821-373.pdf#page=3","Abrir facsímil")</f>
        <v>Abrir facsímil</v>
      </c>
      <c r="K3504" s="3" t="s">
        <v>23</v>
      </c>
    </row>
    <row r="3505" spans="1:11" ht="42" customHeight="1">
      <c r="A3505" s="2" t="s">
        <v>7263</v>
      </c>
      <c r="B3505" s="2" t="s">
        <v>7263</v>
      </c>
      <c r="C3505" s="2" t="s">
        <v>40</v>
      </c>
      <c r="D3505" s="2" t="s">
        <v>41</v>
      </c>
      <c r="E3505" s="5">
        <v>-28489</v>
      </c>
      <c r="F3505" s="3" t="s">
        <v>3894</v>
      </c>
      <c r="G3505" s="3" t="s">
        <v>88</v>
      </c>
      <c r="H3505" s="2" t="s">
        <v>21</v>
      </c>
      <c r="I3505" s="2" t="s">
        <v>7310</v>
      </c>
      <c r="J3505" s="3" t="str">
        <f>HYPERLINK("https://www.boe.es/gazeta/dias/1821/12/30/pdfs/GMD-1821-373.pdf#page=4","Abrir facsímil")</f>
        <v>Abrir facsímil</v>
      </c>
      <c r="K3505" s="3" t="s">
        <v>23</v>
      </c>
    </row>
    <row r="3506" spans="1:11" ht="42" customHeight="1">
      <c r="A3506" s="2" t="s">
        <v>7311</v>
      </c>
      <c r="B3506" s="2" t="s">
        <v>7311</v>
      </c>
      <c r="C3506" s="2" t="s">
        <v>279</v>
      </c>
      <c r="D3506" s="2" t="s">
        <v>27</v>
      </c>
      <c r="E3506" s="5">
        <v>-28784</v>
      </c>
      <c r="F3506" s="3" t="s">
        <v>451</v>
      </c>
      <c r="G3506" s="3" t="s">
        <v>20</v>
      </c>
      <c r="H3506" s="2" t="s">
        <v>21</v>
      </c>
      <c r="I3506" s="2" t="s">
        <v>7312</v>
      </c>
      <c r="J3506" s="3" t="str">
        <f>HYPERLINK("https://www.boe.es/gazeta/dias/1821/03/10/pdfs/GGB-1821-69.pdf#page=3","Abrir facsímil")</f>
        <v>Abrir facsímil</v>
      </c>
      <c r="K3506" s="3" t="s">
        <v>23</v>
      </c>
    </row>
    <row r="3507" spans="1:11" ht="42" customHeight="1">
      <c r="A3507" s="2" t="s">
        <v>7313</v>
      </c>
      <c r="B3507" s="2" t="s">
        <v>7313</v>
      </c>
      <c r="C3507" s="2" t="s">
        <v>70</v>
      </c>
      <c r="D3507" s="2" t="s">
        <v>27</v>
      </c>
      <c r="E3507" s="5">
        <v>-28505</v>
      </c>
      <c r="F3507" s="3" t="s">
        <v>567</v>
      </c>
      <c r="G3507" s="3" t="s">
        <v>20</v>
      </c>
      <c r="H3507" s="2" t="s">
        <v>21</v>
      </c>
      <c r="I3507" s="2" t="s">
        <v>7314</v>
      </c>
      <c r="J3507" s="3" t="str">
        <f>HYPERLINK("https://www.boe.es/gazeta/dias/1821/12/14/pdfs/GMD-1821-357.pdf#page=3","Abrir facsímil")</f>
        <v>Abrir facsímil</v>
      </c>
      <c r="K3507" s="3" t="s">
        <v>23</v>
      </c>
    </row>
    <row r="3508" spans="1:11" ht="42" customHeight="1">
      <c r="A3508" s="2" t="s">
        <v>7313</v>
      </c>
      <c r="B3508" s="2" t="s">
        <v>7313</v>
      </c>
      <c r="C3508" s="2" t="s">
        <v>26</v>
      </c>
      <c r="D3508" s="2" t="s">
        <v>27</v>
      </c>
      <c r="E3508" s="5">
        <v>-28504</v>
      </c>
      <c r="F3508" s="3" t="s">
        <v>1098</v>
      </c>
      <c r="G3508" s="3" t="s">
        <v>20</v>
      </c>
      <c r="H3508" s="2" t="s">
        <v>21</v>
      </c>
      <c r="I3508" s="2" t="s">
        <v>7315</v>
      </c>
      <c r="J3508" s="3" t="str">
        <f>HYPERLINK("https://www.boe.es/gazeta/dias/1821/12/15/pdfs/GMD-1821-358.pdf#page=3","Abrir facsímil")</f>
        <v>Abrir facsímil</v>
      </c>
      <c r="K3508" s="3" t="s">
        <v>23</v>
      </c>
    </row>
    <row r="3509" spans="1:11" ht="42" customHeight="1">
      <c r="A3509" s="2" t="s">
        <v>7316</v>
      </c>
      <c r="B3509" s="2" t="s">
        <v>7317</v>
      </c>
      <c r="C3509" s="2" t="s">
        <v>26</v>
      </c>
      <c r="D3509" s="2" t="s">
        <v>27</v>
      </c>
      <c r="E3509" s="5">
        <v>-28657</v>
      </c>
      <c r="F3509" s="3" t="s">
        <v>5977</v>
      </c>
      <c r="G3509" s="3" t="s">
        <v>20</v>
      </c>
      <c r="H3509" s="2" t="s">
        <v>21</v>
      </c>
      <c r="I3509" s="2" t="s">
        <v>7318</v>
      </c>
      <c r="J3509" s="3" t="str">
        <f>HYPERLINK("https://www.boe.es/gazeta/dias/1821/07/15/pdfs/GMD-1821-200.pdf#page=3","Abrir facsímil")</f>
        <v>Abrir facsímil</v>
      </c>
      <c r="K3509" s="3" t="s">
        <v>23</v>
      </c>
    </row>
    <row r="3510" spans="1:11" ht="42" customHeight="1">
      <c r="A3510" s="2" t="s">
        <v>7319</v>
      </c>
      <c r="B3510" s="2" t="s">
        <v>7320</v>
      </c>
      <c r="C3510" s="2" t="s">
        <v>35</v>
      </c>
      <c r="D3510" s="2" t="s">
        <v>27</v>
      </c>
      <c r="E3510" s="5">
        <v>-28787</v>
      </c>
      <c r="F3510" s="3" t="s">
        <v>486</v>
      </c>
      <c r="G3510" s="3" t="s">
        <v>20</v>
      </c>
      <c r="H3510" s="2" t="s">
        <v>21</v>
      </c>
      <c r="I3510" s="2" t="s">
        <v>7321</v>
      </c>
      <c r="J3510" s="3" t="str">
        <f>HYPERLINK("https://www.boe.es/gazeta/dias/1821/03/07/pdfs/GGB-1821-66.pdf#page=3","Abrir facsímil")</f>
        <v>Abrir facsímil</v>
      </c>
      <c r="K3510" s="3" t="s">
        <v>23</v>
      </c>
    </row>
    <row r="3511" spans="1:11" ht="42" customHeight="1">
      <c r="A3511" s="2" t="s">
        <v>7322</v>
      </c>
      <c r="B3511" s="2" t="s">
        <v>7323</v>
      </c>
      <c r="C3511" s="2" t="s">
        <v>40</v>
      </c>
      <c r="D3511" s="2" t="s">
        <v>41</v>
      </c>
      <c r="E3511" s="5">
        <v>-28717</v>
      </c>
      <c r="F3511" s="3" t="s">
        <v>1044</v>
      </c>
      <c r="G3511" s="3" t="s">
        <v>88</v>
      </c>
      <c r="H3511" s="2" t="s">
        <v>21</v>
      </c>
      <c r="I3511" s="2" t="s">
        <v>7324</v>
      </c>
      <c r="J3511" s="3" t="str">
        <f>HYPERLINK("https://www.boe.es/gazeta/dias/1821/05/16/pdfs/GMD-1821-138.pdf#page=4","Abrir facsímil")</f>
        <v>Abrir facsímil</v>
      </c>
      <c r="K3511" s="3" t="s">
        <v>23</v>
      </c>
    </row>
    <row r="3512" spans="1:11" ht="42" customHeight="1">
      <c r="A3512" s="2" t="s">
        <v>7322</v>
      </c>
      <c r="B3512" s="2" t="s">
        <v>7323</v>
      </c>
      <c r="C3512" s="2" t="s">
        <v>70</v>
      </c>
      <c r="D3512" s="2" t="s">
        <v>27</v>
      </c>
      <c r="E3512" s="5">
        <v>-28709</v>
      </c>
      <c r="F3512" s="3" t="s">
        <v>1434</v>
      </c>
      <c r="G3512" s="3" t="s">
        <v>88</v>
      </c>
      <c r="H3512" s="2" t="s">
        <v>21</v>
      </c>
      <c r="I3512" s="2" t="s">
        <v>7325</v>
      </c>
      <c r="J3512" s="3" t="str">
        <f>HYPERLINK("https://www.boe.es/gazeta/dias/1821/05/24/pdfs/GMD-1821-146.pdf#page=4","Abrir facsímil")</f>
        <v>Abrir facsímil</v>
      </c>
      <c r="K3512" s="3" t="s">
        <v>23</v>
      </c>
    </row>
    <row r="3513" spans="1:11" ht="42" customHeight="1">
      <c r="A3513" s="2" t="s">
        <v>7322</v>
      </c>
      <c r="B3513" s="2" t="s">
        <v>7323</v>
      </c>
      <c r="C3513" s="2" t="s">
        <v>17</v>
      </c>
      <c r="D3513" s="2" t="s">
        <v>18</v>
      </c>
      <c r="E3513" s="5">
        <v>-28697</v>
      </c>
      <c r="F3513" s="3" t="s">
        <v>166</v>
      </c>
      <c r="G3513" s="3" t="s">
        <v>52</v>
      </c>
      <c r="H3513" s="2" t="s">
        <v>21</v>
      </c>
      <c r="I3513" s="2" t="s">
        <v>7326</v>
      </c>
      <c r="J3513" s="3" t="str">
        <f>HYPERLINK("https://www.boe.es/gazeta/dias/1821/06/05/pdfs/GMD-1821-158.pdf#page=2","Abrir facsímil")</f>
        <v>Abrir facsímil</v>
      </c>
      <c r="K3513" s="3" t="s">
        <v>23</v>
      </c>
    </row>
    <row r="3514" spans="1:11" ht="42" customHeight="1">
      <c r="A3514" s="2" t="s">
        <v>7322</v>
      </c>
      <c r="B3514" s="2" t="s">
        <v>7323</v>
      </c>
      <c r="C3514" s="2" t="s">
        <v>114</v>
      </c>
      <c r="D3514" s="2" t="s">
        <v>27</v>
      </c>
      <c r="E3514" s="5">
        <v>-28659</v>
      </c>
      <c r="F3514" s="3" t="s">
        <v>2850</v>
      </c>
      <c r="G3514" s="3" t="s">
        <v>5087</v>
      </c>
      <c r="H3514" s="2" t="s">
        <v>21</v>
      </c>
      <c r="I3514" s="2" t="s">
        <v>7327</v>
      </c>
      <c r="J3514" s="3" t="str">
        <f>HYPERLINK("https://www.boe.es/gazeta/dias/1821/07/13/pdfs/GMD-1821-198.pdf#page=4","Abrir facsímil")</f>
        <v>Abrir facsímil</v>
      </c>
      <c r="K3514" s="3" t="s">
        <v>23</v>
      </c>
    </row>
    <row r="3515" spans="1:11" ht="42" customHeight="1">
      <c r="A3515" s="2" t="s">
        <v>7322</v>
      </c>
      <c r="B3515" s="2" t="s">
        <v>7323</v>
      </c>
      <c r="C3515" s="2" t="s">
        <v>174</v>
      </c>
      <c r="D3515" s="2" t="s">
        <v>27</v>
      </c>
      <c r="E3515" s="5">
        <v>-28620</v>
      </c>
      <c r="F3515" s="3" t="s">
        <v>87</v>
      </c>
      <c r="G3515" s="3" t="s">
        <v>88</v>
      </c>
      <c r="H3515" s="2" t="s">
        <v>21</v>
      </c>
      <c r="I3515" s="2" t="s">
        <v>7328</v>
      </c>
      <c r="J3515" s="3" t="str">
        <f>HYPERLINK("https://www.boe.es/gazeta/dias/1821/08/21/pdfs/GMD-1821-238.pdf#page=4","Abrir facsímil")</f>
        <v>Abrir facsímil</v>
      </c>
      <c r="K3515" s="3" t="s">
        <v>23</v>
      </c>
    </row>
    <row r="3516" spans="1:11" ht="42" customHeight="1">
      <c r="A3516" s="2" t="s">
        <v>7329</v>
      </c>
      <c r="B3516" s="2" t="s">
        <v>7330</v>
      </c>
      <c r="C3516" s="2" t="s">
        <v>40</v>
      </c>
      <c r="D3516" s="2" t="s">
        <v>41</v>
      </c>
      <c r="E3516" s="5">
        <v>-28756</v>
      </c>
      <c r="F3516" s="3" t="s">
        <v>3145</v>
      </c>
      <c r="G3516" s="3" t="s">
        <v>43</v>
      </c>
      <c r="H3516" s="2" t="s">
        <v>21</v>
      </c>
      <c r="I3516" s="2" t="s">
        <v>7331</v>
      </c>
      <c r="J3516" s="3" t="str">
        <f>HYPERLINK("https://www.boe.es/gazeta/dias/1821/04/07/pdfs/GMD-1821-99.pdf#page=1","Abrir facsímil")</f>
        <v>Abrir facsímil</v>
      </c>
      <c r="K3516" s="3" t="s">
        <v>23</v>
      </c>
    </row>
    <row r="3517" spans="1:11" ht="42" customHeight="1">
      <c r="A3517" s="2" t="s">
        <v>7329</v>
      </c>
      <c r="B3517" s="2" t="s">
        <v>7330</v>
      </c>
      <c r="C3517" s="2" t="s">
        <v>26</v>
      </c>
      <c r="D3517" s="2" t="s">
        <v>27</v>
      </c>
      <c r="E3517" s="5">
        <v>-28540</v>
      </c>
      <c r="F3517" s="3" t="s">
        <v>2672</v>
      </c>
      <c r="G3517" s="3" t="s">
        <v>20</v>
      </c>
      <c r="H3517" s="2" t="s">
        <v>21</v>
      </c>
      <c r="I3517" s="2" t="s">
        <v>7332</v>
      </c>
      <c r="J3517" s="3" t="str">
        <f>HYPERLINK("https://www.boe.es/gazeta/dias/1821/11/09/pdfs/GMD-1821-320.pdf#page=3","Abrir facsímil")</f>
        <v>Abrir facsímil</v>
      </c>
      <c r="K3517" s="3" t="s">
        <v>23</v>
      </c>
    </row>
    <row r="3518" spans="1:11" ht="42" customHeight="1">
      <c r="A3518" s="2" t="s">
        <v>7333</v>
      </c>
      <c r="B3518" s="2" t="s">
        <v>7334</v>
      </c>
      <c r="C3518" s="2" t="s">
        <v>17</v>
      </c>
      <c r="D3518" s="2" t="s">
        <v>18</v>
      </c>
      <c r="E3518" s="5">
        <v>-28668</v>
      </c>
      <c r="F3518" s="3" t="s">
        <v>2130</v>
      </c>
      <c r="G3518" s="3" t="s">
        <v>20</v>
      </c>
      <c r="H3518" s="2" t="s">
        <v>30</v>
      </c>
      <c r="I3518" s="2" t="s">
        <v>7335</v>
      </c>
      <c r="J3518" s="3" t="str">
        <f>HYPERLINK("https://www.boe.es/gazeta/dias/1821/07/04/pdfs/GMD-1821-188.pdf#page=3","Abrir facsímil")</f>
        <v>Abrir facsímil</v>
      </c>
      <c r="K3518" s="3" t="s">
        <v>32</v>
      </c>
    </row>
    <row r="3519" spans="1:11" ht="42" customHeight="1">
      <c r="A3519" s="2" t="s">
        <v>7336</v>
      </c>
      <c r="B3519" s="2" t="s">
        <v>7337</v>
      </c>
      <c r="C3519" s="2" t="s">
        <v>17</v>
      </c>
      <c r="D3519" s="2" t="s">
        <v>18</v>
      </c>
      <c r="E3519" s="5">
        <v>-28669</v>
      </c>
      <c r="F3519" s="3" t="s">
        <v>2816</v>
      </c>
      <c r="G3519" s="3" t="s">
        <v>88</v>
      </c>
      <c r="H3519" s="2" t="s">
        <v>21</v>
      </c>
      <c r="I3519" s="2" t="s">
        <v>7338</v>
      </c>
      <c r="J3519" s="3" t="str">
        <f>HYPERLINK("https://www.boe.es/gazeta/dias/1821/07/03/pdfs/GMD-1821-187.pdf#page=4","Abrir facsímil")</f>
        <v>Abrir facsímil</v>
      </c>
      <c r="K3519" s="3" t="s">
        <v>23</v>
      </c>
    </row>
    <row r="3520" spans="1:11" ht="42" customHeight="1">
      <c r="A3520" s="2" t="s">
        <v>7336</v>
      </c>
      <c r="B3520" s="2" t="s">
        <v>7337</v>
      </c>
      <c r="C3520" s="2" t="s">
        <v>40</v>
      </c>
      <c r="D3520" s="2" t="s">
        <v>41</v>
      </c>
      <c r="E3520" s="5">
        <v>-28668</v>
      </c>
      <c r="F3520" s="3" t="s">
        <v>2130</v>
      </c>
      <c r="G3520" s="3" t="s">
        <v>20</v>
      </c>
      <c r="H3520" s="2" t="s">
        <v>21</v>
      </c>
      <c r="I3520" s="2" t="s">
        <v>7339</v>
      </c>
      <c r="J3520" s="3" t="str">
        <f>HYPERLINK("https://www.boe.es/gazeta/dias/1821/07/04/pdfs/GMD-1821-188.pdf#page=3","Abrir facsímil")</f>
        <v>Abrir facsímil</v>
      </c>
      <c r="K3520" s="3" t="s">
        <v>23</v>
      </c>
    </row>
    <row r="3521" spans="1:11" ht="42" customHeight="1">
      <c r="A3521" s="2" t="s">
        <v>7340</v>
      </c>
      <c r="B3521" s="2" t="s">
        <v>7341</v>
      </c>
      <c r="C3521" s="2" t="s">
        <v>40</v>
      </c>
      <c r="D3521" s="2" t="s">
        <v>41</v>
      </c>
      <c r="E3521" s="5">
        <v>-28788</v>
      </c>
      <c r="F3521" s="3" t="s">
        <v>996</v>
      </c>
      <c r="G3521" s="3" t="s">
        <v>20</v>
      </c>
      <c r="H3521" s="2" t="s">
        <v>21</v>
      </c>
      <c r="I3521" s="2" t="s">
        <v>7342</v>
      </c>
      <c r="J3521" s="3" t="str">
        <f>HYPERLINK("https://www.boe.es/gazeta/dias/1821/03/06/pdfs/GGB-1821-65.pdf#page=3","Abrir facsímil")</f>
        <v>Abrir facsímil</v>
      </c>
      <c r="K3521" s="3" t="s">
        <v>23</v>
      </c>
    </row>
    <row r="3522" spans="1:11" ht="42" customHeight="1">
      <c r="A3522" s="2" t="s">
        <v>7343</v>
      </c>
      <c r="B3522" s="2" t="s">
        <v>7343</v>
      </c>
      <c r="C3522" s="2" t="s">
        <v>35</v>
      </c>
      <c r="D3522" s="2" t="s">
        <v>27</v>
      </c>
      <c r="E3522" s="5">
        <v>-28677</v>
      </c>
      <c r="F3522" s="3" t="s">
        <v>361</v>
      </c>
      <c r="G3522" s="3" t="s">
        <v>162</v>
      </c>
      <c r="H3522" s="2" t="s">
        <v>21</v>
      </c>
      <c r="I3522" s="2" t="s">
        <v>7344</v>
      </c>
      <c r="J3522" s="3" t="str">
        <f>HYPERLINK("https://www.boe.es/gazeta/dias/1821/06/25/pdfs/GMD-1821-178.pdf#page=5","Abrir facsímil")</f>
        <v>Abrir facsímil</v>
      </c>
      <c r="K3522" s="3" t="s">
        <v>23</v>
      </c>
    </row>
    <row r="3523" spans="1:11" ht="42" customHeight="1">
      <c r="A3523" s="2" t="s">
        <v>7345</v>
      </c>
      <c r="B3523" s="2" t="s">
        <v>7345</v>
      </c>
      <c r="C3523" s="2" t="s">
        <v>70</v>
      </c>
      <c r="D3523" s="2" t="s">
        <v>27</v>
      </c>
      <c r="E3523" s="5">
        <v>-28564</v>
      </c>
      <c r="F3523" s="3" t="s">
        <v>861</v>
      </c>
      <c r="G3523" s="3" t="s">
        <v>52</v>
      </c>
      <c r="H3523" s="2" t="s">
        <v>21</v>
      </c>
      <c r="I3523" s="2" t="s">
        <v>7346</v>
      </c>
      <c r="J3523" s="3" t="str">
        <f>HYPERLINK("https://www.boe.es/gazeta/dias/1821/10/16/pdfs/GMD-1821-295.pdf#page=2","Abrir facsímil")</f>
        <v>Abrir facsímil</v>
      </c>
      <c r="K3523" s="3" t="s">
        <v>23</v>
      </c>
    </row>
    <row r="3524" spans="1:11" ht="42" customHeight="1">
      <c r="A3524" s="2" t="s">
        <v>7347</v>
      </c>
      <c r="B3524" s="2" t="s">
        <v>7347</v>
      </c>
      <c r="C3524" s="2" t="s">
        <v>17</v>
      </c>
      <c r="D3524" s="2" t="s">
        <v>18</v>
      </c>
      <c r="E3524" s="5">
        <v>-28641</v>
      </c>
      <c r="F3524" s="3" t="s">
        <v>398</v>
      </c>
      <c r="G3524" s="3" t="s">
        <v>52</v>
      </c>
      <c r="H3524" s="2" t="s">
        <v>21</v>
      </c>
      <c r="I3524" s="2" t="s">
        <v>7348</v>
      </c>
      <c r="J3524" s="3" t="str">
        <f>HYPERLINK("https://www.boe.es/gazeta/dias/1821/07/31/pdfs/GMD-1821-216.pdf#page=2","Abrir facsímil")</f>
        <v>Abrir facsímil</v>
      </c>
      <c r="K3524" s="3" t="s">
        <v>23</v>
      </c>
    </row>
    <row r="3525" spans="1:11" ht="42" customHeight="1">
      <c r="A3525" s="2" t="s">
        <v>7349</v>
      </c>
      <c r="B3525" s="2" t="s">
        <v>7349</v>
      </c>
      <c r="C3525" s="2" t="s">
        <v>35</v>
      </c>
      <c r="D3525" s="2" t="s">
        <v>27</v>
      </c>
      <c r="E3525" s="5">
        <v>-28765</v>
      </c>
      <c r="F3525" s="3" t="s">
        <v>974</v>
      </c>
      <c r="G3525" s="3" t="s">
        <v>20</v>
      </c>
      <c r="H3525" s="2" t="s">
        <v>21</v>
      </c>
      <c r="I3525" s="2" t="s">
        <v>7350</v>
      </c>
      <c r="J3525" s="3" t="str">
        <f>HYPERLINK("https://www.boe.es/gazeta/dias/1821/03/29/pdfs/GMD-1821-90.pdf#page=3","Abrir facsímil")</f>
        <v>Abrir facsímil</v>
      </c>
      <c r="K3525" s="3" t="s">
        <v>23</v>
      </c>
    </row>
    <row r="3526" spans="1:11" ht="42" customHeight="1">
      <c r="A3526" s="2" t="s">
        <v>7351</v>
      </c>
      <c r="B3526" s="2" t="s">
        <v>7351</v>
      </c>
      <c r="C3526" s="2" t="s">
        <v>17</v>
      </c>
      <c r="D3526" s="2" t="s">
        <v>18</v>
      </c>
      <c r="E3526" s="5">
        <v>-28743</v>
      </c>
      <c r="F3526" s="3" t="s">
        <v>51</v>
      </c>
      <c r="G3526" s="3" t="s">
        <v>52</v>
      </c>
      <c r="H3526" s="2" t="s">
        <v>21</v>
      </c>
      <c r="I3526" s="2" t="s">
        <v>7352</v>
      </c>
      <c r="J3526" s="3" t="str">
        <f>HYPERLINK("https://www.boe.es/gazeta/dias/1821/04/20/pdfs/GMD-1821-112.pdf#page=2","Abrir facsímil")</f>
        <v>Abrir facsímil</v>
      </c>
      <c r="K3526" s="3" t="s">
        <v>23</v>
      </c>
    </row>
    <row r="3527" spans="1:11" ht="42" customHeight="1">
      <c r="A3527" s="2" t="s">
        <v>7351</v>
      </c>
      <c r="B3527" s="2" t="s">
        <v>7351</v>
      </c>
      <c r="C3527" s="2" t="s">
        <v>40</v>
      </c>
      <c r="D3527" s="2" t="s">
        <v>41</v>
      </c>
      <c r="E3527" s="5">
        <v>-28729</v>
      </c>
      <c r="F3527" s="3" t="s">
        <v>838</v>
      </c>
      <c r="G3527" s="3" t="s">
        <v>52</v>
      </c>
      <c r="H3527" s="2" t="s">
        <v>21</v>
      </c>
      <c r="I3527" s="2" t="s">
        <v>7353</v>
      </c>
      <c r="J3527" s="3" t="str">
        <f>HYPERLINK("https://www.boe.es/gazeta/dias/1821/05/04/pdfs/GMD-1821-126.pdf#page=2","Abrir facsímil")</f>
        <v>Abrir facsímil</v>
      </c>
      <c r="K3527" s="3" t="s">
        <v>23</v>
      </c>
    </row>
    <row r="3528" spans="1:11" ht="42" customHeight="1">
      <c r="A3528" s="2" t="s">
        <v>7351</v>
      </c>
      <c r="B3528" s="2" t="s">
        <v>7351</v>
      </c>
      <c r="C3528" s="2" t="s">
        <v>40</v>
      </c>
      <c r="D3528" s="2" t="s">
        <v>41</v>
      </c>
      <c r="E3528" s="5">
        <v>-28661</v>
      </c>
      <c r="F3528" s="3" t="s">
        <v>2298</v>
      </c>
      <c r="G3528" s="3" t="s">
        <v>162</v>
      </c>
      <c r="H3528" s="2" t="s">
        <v>21</v>
      </c>
      <c r="I3528" s="2" t="s">
        <v>7354</v>
      </c>
      <c r="J3528" s="3" t="str">
        <f>HYPERLINK("https://www.boe.es/gazeta/dias/1821/07/11/pdfs/GMD-1821-196.pdf#page=5","Abrir facsímil")</f>
        <v>Abrir facsímil</v>
      </c>
      <c r="K3528" s="3" t="s">
        <v>23</v>
      </c>
    </row>
    <row r="3529" spans="1:11" ht="42" customHeight="1">
      <c r="A3529" s="2" t="s">
        <v>7351</v>
      </c>
      <c r="B3529" s="2" t="s">
        <v>7351</v>
      </c>
      <c r="C3529" s="2" t="s">
        <v>35</v>
      </c>
      <c r="D3529" s="2" t="s">
        <v>27</v>
      </c>
      <c r="E3529" s="5">
        <v>-28635</v>
      </c>
      <c r="F3529" s="3" t="s">
        <v>1210</v>
      </c>
      <c r="G3529" s="3" t="s">
        <v>20</v>
      </c>
      <c r="H3529" s="2" t="s">
        <v>21</v>
      </c>
      <c r="I3529" s="2" t="s">
        <v>7355</v>
      </c>
      <c r="J3529" s="3" t="str">
        <f>HYPERLINK("https://www.boe.es/gazeta/dias/1821/08/06/pdfs/GMD-1821-222.pdf#page=3","Abrir facsímil")</f>
        <v>Abrir facsímil</v>
      </c>
      <c r="K3529" s="3" t="s">
        <v>23</v>
      </c>
    </row>
    <row r="3530" spans="1:11" ht="42" customHeight="1">
      <c r="A3530" s="2" t="s">
        <v>7351</v>
      </c>
      <c r="B3530" s="2" t="s">
        <v>7351</v>
      </c>
      <c r="C3530" s="2" t="s">
        <v>26</v>
      </c>
      <c r="D3530" s="2" t="s">
        <v>27</v>
      </c>
      <c r="E3530" s="5">
        <v>-28631</v>
      </c>
      <c r="F3530" s="3" t="s">
        <v>751</v>
      </c>
      <c r="G3530" s="3" t="s">
        <v>20</v>
      </c>
      <c r="H3530" s="2" t="s">
        <v>21</v>
      </c>
      <c r="I3530" s="2" t="s">
        <v>7356</v>
      </c>
      <c r="J3530" s="3" t="str">
        <f>HYPERLINK("https://www.boe.es/gazeta/dias/1821/08/10/pdfs/GMD-1821-227.pdf#page=3","Abrir facsímil")</f>
        <v>Abrir facsímil</v>
      </c>
      <c r="K3530" s="3" t="s">
        <v>23</v>
      </c>
    </row>
    <row r="3531" spans="1:11" ht="42" customHeight="1">
      <c r="A3531" s="2" t="s">
        <v>7351</v>
      </c>
      <c r="B3531" s="2" t="s">
        <v>7351</v>
      </c>
      <c r="C3531" s="2" t="s">
        <v>40</v>
      </c>
      <c r="D3531" s="2" t="s">
        <v>41</v>
      </c>
      <c r="E3531" s="5">
        <v>-28511</v>
      </c>
      <c r="F3531" s="3" t="s">
        <v>340</v>
      </c>
      <c r="G3531" s="3" t="s">
        <v>52</v>
      </c>
      <c r="H3531" s="2" t="s">
        <v>21</v>
      </c>
      <c r="I3531" s="2" t="s">
        <v>7357</v>
      </c>
      <c r="J3531" s="3" t="str">
        <f>HYPERLINK("https://www.boe.es/gazeta/dias/1821/12/08/pdfs/GMD-1821-350.pdf#page=2","Abrir facsímil")</f>
        <v>Abrir facsímil</v>
      </c>
      <c r="K3531" s="3" t="s">
        <v>23</v>
      </c>
    </row>
    <row r="3532" spans="1:11" ht="42" customHeight="1">
      <c r="A3532" s="2" t="s">
        <v>7358</v>
      </c>
      <c r="B3532" s="2" t="s">
        <v>7359</v>
      </c>
      <c r="C3532" s="2" t="s">
        <v>26</v>
      </c>
      <c r="D3532" s="2" t="s">
        <v>27</v>
      </c>
      <c r="E3532" s="5">
        <v>-28652</v>
      </c>
      <c r="F3532" s="3" t="s">
        <v>1314</v>
      </c>
      <c r="G3532" s="3" t="s">
        <v>1315</v>
      </c>
      <c r="H3532" s="2" t="s">
        <v>21</v>
      </c>
      <c r="I3532" s="2" t="s">
        <v>7360</v>
      </c>
      <c r="J3532" s="3" t="str">
        <f>HYPERLINK("https://www.boe.es/gazeta/dias/1821/07/20/pdfs/GMD-1821-205.pdf#page=4","Abrir facsímil")</f>
        <v>Abrir facsímil</v>
      </c>
      <c r="K3532" s="3" t="s">
        <v>23</v>
      </c>
    </row>
    <row r="3533" spans="1:11" ht="42" customHeight="1">
      <c r="A3533" s="2" t="s">
        <v>7361</v>
      </c>
      <c r="B3533" s="2" t="s">
        <v>7362</v>
      </c>
      <c r="C3533" s="2" t="s">
        <v>279</v>
      </c>
      <c r="D3533" s="2" t="s">
        <v>27</v>
      </c>
      <c r="E3533" s="5">
        <v>-28776</v>
      </c>
      <c r="F3533" s="3" t="s">
        <v>312</v>
      </c>
      <c r="G3533" s="3" t="s">
        <v>29</v>
      </c>
      <c r="H3533" s="2" t="s">
        <v>21</v>
      </c>
      <c r="I3533" s="2" t="s">
        <v>7363</v>
      </c>
      <c r="J3533" s="3" t="str">
        <f>HYPERLINK("https://www.boe.es/gazeta/dias/1821/03/18/pdfs/GMD-1821-77.pdf#page=6","Abrir facsímil")</f>
        <v>Abrir facsímil</v>
      </c>
      <c r="K3533" s="3" t="s">
        <v>23</v>
      </c>
    </row>
    <row r="3534" spans="1:11" ht="42" customHeight="1">
      <c r="A3534" s="2" t="s">
        <v>7364</v>
      </c>
      <c r="B3534" s="2" t="s">
        <v>7364</v>
      </c>
      <c r="C3534" s="2" t="s">
        <v>114</v>
      </c>
      <c r="D3534" s="2" t="s">
        <v>27</v>
      </c>
      <c r="E3534" s="5">
        <v>-28650</v>
      </c>
      <c r="F3534" s="3" t="s">
        <v>3285</v>
      </c>
      <c r="G3534" s="3" t="s">
        <v>20</v>
      </c>
      <c r="H3534" s="2" t="s">
        <v>21</v>
      </c>
      <c r="I3534" s="2" t="s">
        <v>7365</v>
      </c>
      <c r="J3534" s="3" t="str">
        <f>HYPERLINK("https://www.boe.es/gazeta/dias/1821/07/22/pdfs/GMD-1821-207.pdf#page=3","Abrir facsímil")</f>
        <v>Abrir facsímil</v>
      </c>
      <c r="K3534" s="3" t="s">
        <v>23</v>
      </c>
    </row>
    <row r="3535" spans="1:11" ht="42" customHeight="1">
      <c r="A3535" s="2" t="s">
        <v>7366</v>
      </c>
      <c r="B3535" s="2" t="s">
        <v>7366</v>
      </c>
      <c r="C3535" s="2" t="s">
        <v>40</v>
      </c>
      <c r="D3535" s="2" t="s">
        <v>41</v>
      </c>
      <c r="E3535" s="5">
        <v>-28540</v>
      </c>
      <c r="F3535" s="3" t="s">
        <v>2672</v>
      </c>
      <c r="G3535" s="3" t="s">
        <v>52</v>
      </c>
      <c r="H3535" s="2" t="s">
        <v>21</v>
      </c>
      <c r="I3535" s="2" t="s">
        <v>7367</v>
      </c>
      <c r="J3535" s="3" t="str">
        <f>HYPERLINK("https://www.boe.es/gazeta/dias/1821/11/09/pdfs/GMD-1821-320.pdf#page=2","Abrir facsímil")</f>
        <v>Abrir facsímil</v>
      </c>
      <c r="K3535" s="3" t="s">
        <v>23</v>
      </c>
    </row>
    <row r="3536" spans="1:11" ht="42" customHeight="1">
      <c r="A3536" s="2" t="s">
        <v>7368</v>
      </c>
      <c r="B3536" s="2" t="s">
        <v>7369</v>
      </c>
      <c r="C3536" s="2" t="s">
        <v>26</v>
      </c>
      <c r="D3536" s="2" t="s">
        <v>27</v>
      </c>
      <c r="E3536" s="5">
        <v>-28540</v>
      </c>
      <c r="F3536" s="3" t="s">
        <v>2672</v>
      </c>
      <c r="G3536" s="3" t="s">
        <v>52</v>
      </c>
      <c r="H3536" s="2" t="s">
        <v>21</v>
      </c>
      <c r="I3536" s="2" t="s">
        <v>7370</v>
      </c>
      <c r="J3536" s="3" t="str">
        <f>HYPERLINK("https://www.boe.es/gazeta/dias/1821/11/09/pdfs/GMD-1821-320.pdf#page=2","Abrir facsímil")</f>
        <v>Abrir facsímil</v>
      </c>
      <c r="K3536" s="3" t="s">
        <v>23</v>
      </c>
    </row>
    <row r="3537" spans="1:11" ht="42" customHeight="1">
      <c r="A3537" s="2" t="s">
        <v>7371</v>
      </c>
      <c r="B3537" s="2" t="s">
        <v>7371</v>
      </c>
      <c r="C3537" s="2" t="s">
        <v>40</v>
      </c>
      <c r="D3537" s="2" t="s">
        <v>41</v>
      </c>
      <c r="E3537" s="5">
        <v>-28510</v>
      </c>
      <c r="F3537" s="3" t="s">
        <v>83</v>
      </c>
      <c r="G3537" s="3" t="s">
        <v>52</v>
      </c>
      <c r="H3537" s="2" t="s">
        <v>21</v>
      </c>
      <c r="I3537" s="2" t="s">
        <v>7372</v>
      </c>
      <c r="J3537" s="3" t="str">
        <f>HYPERLINK("https://www.boe.es/gazeta/dias/1821/12/09/pdfs/GMD-1821-351.pdf#page=2","Abrir facsímil")</f>
        <v>Abrir facsímil</v>
      </c>
      <c r="K3537" s="3" t="s">
        <v>23</v>
      </c>
    </row>
    <row r="3538" spans="1:11" ht="42" customHeight="1">
      <c r="A3538" s="2" t="s">
        <v>7373</v>
      </c>
      <c r="B3538" s="2" t="s">
        <v>7374</v>
      </c>
      <c r="C3538" s="2" t="s">
        <v>40</v>
      </c>
      <c r="D3538" s="2" t="s">
        <v>41</v>
      </c>
      <c r="E3538" s="5">
        <v>-28509</v>
      </c>
      <c r="F3538" s="3" t="s">
        <v>388</v>
      </c>
      <c r="G3538" s="3" t="s">
        <v>333</v>
      </c>
      <c r="H3538" s="2" t="s">
        <v>21</v>
      </c>
      <c r="I3538" s="2" t="s">
        <v>7375</v>
      </c>
      <c r="J3538" s="3" t="str">
        <f>HYPERLINK("https://www.boe.es/gazeta/dias/1821/12/10/pdfs/GMD-1821-352.pdf#page=8","Abrir facsímil")</f>
        <v>Abrir facsímil</v>
      </c>
      <c r="K3538" s="3" t="s">
        <v>23</v>
      </c>
    </row>
    <row r="3539" spans="1:11" ht="42" customHeight="1">
      <c r="A3539" s="2" t="s">
        <v>7376</v>
      </c>
      <c r="B3539" s="2" t="s">
        <v>7376</v>
      </c>
      <c r="C3539" s="2" t="s">
        <v>26</v>
      </c>
      <c r="D3539" s="2" t="s">
        <v>27</v>
      </c>
      <c r="E3539" s="5">
        <v>-28724</v>
      </c>
      <c r="F3539" s="3" t="s">
        <v>1305</v>
      </c>
      <c r="G3539" s="3" t="s">
        <v>20</v>
      </c>
      <c r="H3539" s="2" t="s">
        <v>21</v>
      </c>
      <c r="I3539" s="2" t="s">
        <v>7377</v>
      </c>
      <c r="J3539" s="3" t="str">
        <f>HYPERLINK("https://www.boe.es/gazeta/dias/1821/05/09/pdfs/GMD-1821-131.pdf#page=3","Abrir facsímil")</f>
        <v>Abrir facsímil</v>
      </c>
      <c r="K3539" s="3" t="s">
        <v>23</v>
      </c>
    </row>
    <row r="3540" spans="1:11" ht="42" customHeight="1">
      <c r="A3540" s="2" t="s">
        <v>7378</v>
      </c>
      <c r="B3540" s="2" t="s">
        <v>7378</v>
      </c>
      <c r="C3540" s="2" t="s">
        <v>40</v>
      </c>
      <c r="D3540" s="2" t="s">
        <v>41</v>
      </c>
      <c r="E3540" s="5">
        <v>-28554</v>
      </c>
      <c r="F3540" s="3" t="s">
        <v>433</v>
      </c>
      <c r="G3540" s="3" t="s">
        <v>29</v>
      </c>
      <c r="H3540" s="2" t="s">
        <v>21</v>
      </c>
      <c r="I3540" s="2" t="s">
        <v>7379</v>
      </c>
      <c r="J3540" s="3" t="str">
        <f>HYPERLINK("https://www.boe.es/gazeta/dias/1821/10/26/pdfs/GMD-1821-305.pdf#page=6","Abrir facsímil")</f>
        <v>Abrir facsímil</v>
      </c>
      <c r="K3540" s="3" t="s">
        <v>23</v>
      </c>
    </row>
    <row r="3541" spans="1:11" ht="42" customHeight="1">
      <c r="A3541" s="2" t="s">
        <v>7380</v>
      </c>
      <c r="B3541" s="2" t="s">
        <v>7381</v>
      </c>
      <c r="C3541" s="2" t="s">
        <v>26</v>
      </c>
      <c r="D3541" s="2" t="s">
        <v>27</v>
      </c>
      <c r="E3541" s="5">
        <v>-28685</v>
      </c>
      <c r="F3541" s="3" t="s">
        <v>303</v>
      </c>
      <c r="G3541" s="3" t="s">
        <v>1507</v>
      </c>
      <c r="H3541" s="2" t="s">
        <v>21</v>
      </c>
      <c r="I3541" s="2" t="s">
        <v>7382</v>
      </c>
      <c r="J3541" s="3" t="str">
        <f>HYPERLINK("https://www.boe.es/gazeta/dias/1821/06/17/pdfs/GMD-1821-170.pdf#page=6","Abrir facsímil")</f>
        <v>Abrir facsímil</v>
      </c>
      <c r="K3541" s="3" t="s">
        <v>23</v>
      </c>
    </row>
    <row r="3542" spans="1:11" ht="42" customHeight="1">
      <c r="A3542" s="2" t="s">
        <v>7383</v>
      </c>
      <c r="B3542" s="2" t="s">
        <v>7384</v>
      </c>
      <c r="C3542" s="2" t="s">
        <v>17</v>
      </c>
      <c r="D3542" s="2" t="s">
        <v>18</v>
      </c>
      <c r="E3542" s="5">
        <v>-28531</v>
      </c>
      <c r="F3542" s="3" t="s">
        <v>365</v>
      </c>
      <c r="G3542" s="3" t="s">
        <v>20</v>
      </c>
      <c r="H3542" s="2" t="s">
        <v>21</v>
      </c>
      <c r="I3542" s="2" t="s">
        <v>7385</v>
      </c>
      <c r="J3542" s="3" t="str">
        <f>HYPERLINK("https://www.boe.es/gazeta/dias/1821/11/18/pdfs/GMD-1821-329.pdf#page=3","Abrir facsímil")</f>
        <v>Abrir facsímil</v>
      </c>
      <c r="K3542" s="3" t="s">
        <v>23</v>
      </c>
    </row>
    <row r="3543" spans="1:11" ht="42" customHeight="1">
      <c r="A3543" s="2" t="s">
        <v>7386</v>
      </c>
      <c r="B3543" s="2" t="s">
        <v>7386</v>
      </c>
      <c r="C3543" s="2" t="s">
        <v>17</v>
      </c>
      <c r="D3543" s="2" t="s">
        <v>18</v>
      </c>
      <c r="E3543" s="5">
        <v>-28570</v>
      </c>
      <c r="F3543" s="3" t="s">
        <v>2300</v>
      </c>
      <c r="G3543" s="3" t="s">
        <v>52</v>
      </c>
      <c r="H3543" s="2" t="s">
        <v>21</v>
      </c>
      <c r="I3543" s="2" t="s">
        <v>7387</v>
      </c>
      <c r="J3543" s="3" t="str">
        <f>HYPERLINK("https://www.boe.es/gazeta/dias/1821/10/10/pdfs/GMD-1821-289.pdf#page=2","Abrir facsímil")</f>
        <v>Abrir facsímil</v>
      </c>
      <c r="K3543" s="3" t="s">
        <v>23</v>
      </c>
    </row>
    <row r="3544" spans="1:11" ht="42" customHeight="1">
      <c r="A3544" s="2" t="s">
        <v>7388</v>
      </c>
      <c r="B3544" s="2" t="s">
        <v>7389</v>
      </c>
      <c r="C3544" s="2" t="s">
        <v>40</v>
      </c>
      <c r="D3544" s="2" t="s">
        <v>41</v>
      </c>
      <c r="E3544" s="5">
        <v>-28725</v>
      </c>
      <c r="F3544" s="3" t="s">
        <v>440</v>
      </c>
      <c r="G3544" s="3" t="s">
        <v>20</v>
      </c>
      <c r="H3544" s="2" t="s">
        <v>21</v>
      </c>
      <c r="I3544" s="2" t="s">
        <v>7390</v>
      </c>
      <c r="J3544" s="3" t="str">
        <f>HYPERLINK("https://www.boe.es/gazeta/dias/1821/05/08/pdfs/GMD-1821-130.pdf#page=3","Abrir facsímil")</f>
        <v>Abrir facsímil</v>
      </c>
      <c r="K3544" s="3" t="s">
        <v>23</v>
      </c>
    </row>
    <row r="3545" spans="1:11" ht="42" customHeight="1">
      <c r="A3545" s="2" t="s">
        <v>7391</v>
      </c>
      <c r="B3545" s="2" t="s">
        <v>7392</v>
      </c>
      <c r="C3545" s="2" t="s">
        <v>26</v>
      </c>
      <c r="D3545" s="2" t="s">
        <v>27</v>
      </c>
      <c r="E3545" s="5">
        <v>-28725</v>
      </c>
      <c r="F3545" s="3" t="s">
        <v>440</v>
      </c>
      <c r="G3545" s="3" t="s">
        <v>52</v>
      </c>
      <c r="H3545" s="2" t="s">
        <v>21</v>
      </c>
      <c r="I3545" s="2" t="s">
        <v>7393</v>
      </c>
      <c r="J3545" s="3" t="str">
        <f>HYPERLINK("https://www.boe.es/gazeta/dias/1821/05/08/pdfs/GMD-1821-130.pdf#page=2","Abrir facsímil")</f>
        <v>Abrir facsímil</v>
      </c>
      <c r="K3545" s="3" t="s">
        <v>23</v>
      </c>
    </row>
    <row r="3546" spans="1:11" ht="42" customHeight="1">
      <c r="A3546" s="2" t="s">
        <v>7394</v>
      </c>
      <c r="B3546" s="2" t="s">
        <v>7395</v>
      </c>
      <c r="C3546" s="2" t="s">
        <v>40</v>
      </c>
      <c r="D3546" s="2" t="s">
        <v>41</v>
      </c>
      <c r="E3546" s="5">
        <v>-28818</v>
      </c>
      <c r="F3546" s="3" t="s">
        <v>2337</v>
      </c>
      <c r="G3546" s="3" t="s">
        <v>88</v>
      </c>
      <c r="H3546" s="2" t="s">
        <v>21</v>
      </c>
      <c r="I3546" s="2" t="s">
        <v>7396</v>
      </c>
      <c r="J3546" s="3" t="str">
        <f>HYPERLINK("https://www.boe.es/gazeta/dias/1821/02/04/pdfs/GGB-1821-35.pdf#page=4","Abrir facsímil")</f>
        <v>Abrir facsímil</v>
      </c>
      <c r="K3546" s="3" t="s">
        <v>23</v>
      </c>
    </row>
    <row r="3547" spans="1:11" ht="42" customHeight="1">
      <c r="A3547" s="2" t="s">
        <v>7397</v>
      </c>
      <c r="B3547" s="2" t="s">
        <v>7398</v>
      </c>
      <c r="C3547" s="2" t="s">
        <v>26</v>
      </c>
      <c r="D3547" s="2" t="s">
        <v>27</v>
      </c>
      <c r="E3547" s="5">
        <v>-28820</v>
      </c>
      <c r="F3547" s="3" t="s">
        <v>1430</v>
      </c>
      <c r="G3547" s="3" t="s">
        <v>162</v>
      </c>
      <c r="H3547" s="2" t="s">
        <v>21</v>
      </c>
      <c r="I3547" s="2" t="s">
        <v>7399</v>
      </c>
      <c r="J3547" s="3" t="str">
        <f>HYPERLINK("https://www.boe.es/gazeta/dias/1821/02/02/pdfs/GGB-1821-33.pdf#page=5","Abrir facsímil")</f>
        <v>Abrir facsímil</v>
      </c>
      <c r="K3547" s="3" t="s">
        <v>23</v>
      </c>
    </row>
    <row r="3548" spans="1:11" ht="42" customHeight="1">
      <c r="A3548" s="2" t="s">
        <v>7400</v>
      </c>
      <c r="B3548" s="2" t="s">
        <v>7401</v>
      </c>
      <c r="C3548" s="2" t="s">
        <v>17</v>
      </c>
      <c r="D3548" s="2" t="s">
        <v>18</v>
      </c>
      <c r="E3548" s="5">
        <v>-28819</v>
      </c>
      <c r="F3548" s="3" t="s">
        <v>1830</v>
      </c>
      <c r="G3548" s="3" t="s">
        <v>20</v>
      </c>
      <c r="H3548" s="2" t="s">
        <v>21</v>
      </c>
      <c r="I3548" s="2" t="s">
        <v>7402</v>
      </c>
      <c r="J3548" s="3" t="str">
        <f>HYPERLINK("https://www.boe.es/gazeta/dias/1821/02/03/pdfs/GGB-1821-34.pdf#page=3","Abrir facsímil")</f>
        <v>Abrir facsímil</v>
      </c>
      <c r="K3548" s="3" t="s">
        <v>23</v>
      </c>
    </row>
    <row r="3549" spans="1:11" ht="42" customHeight="1">
      <c r="A3549" s="2" t="s">
        <v>7403</v>
      </c>
      <c r="B3549" s="2" t="s">
        <v>7403</v>
      </c>
      <c r="C3549" s="2" t="s">
        <v>40</v>
      </c>
      <c r="D3549" s="2" t="s">
        <v>41</v>
      </c>
      <c r="E3549" s="5">
        <v>-28809</v>
      </c>
      <c r="F3549" s="3" t="s">
        <v>1173</v>
      </c>
      <c r="G3549" s="3" t="s">
        <v>52</v>
      </c>
      <c r="H3549" s="2" t="s">
        <v>21</v>
      </c>
      <c r="I3549" s="2" t="s">
        <v>7404</v>
      </c>
      <c r="J3549" s="3" t="str">
        <f>HYPERLINK("https://www.boe.es/gazeta/dias/1821/02/13/pdfs/GGB-1821-44.pdf#page=2","Abrir facsímil")</f>
        <v>Abrir facsímil</v>
      </c>
      <c r="K3549" s="3" t="s">
        <v>23</v>
      </c>
    </row>
    <row r="3550" spans="1:11" ht="42" customHeight="1">
      <c r="A3550" s="2" t="s">
        <v>7403</v>
      </c>
      <c r="B3550" s="2" t="s">
        <v>7403</v>
      </c>
      <c r="C3550" s="2" t="s">
        <v>174</v>
      </c>
      <c r="D3550" s="2" t="s">
        <v>27</v>
      </c>
      <c r="E3550" s="5">
        <v>-28690</v>
      </c>
      <c r="F3550" s="3" t="s">
        <v>846</v>
      </c>
      <c r="G3550" s="3" t="s">
        <v>1243</v>
      </c>
      <c r="H3550" s="2" t="s">
        <v>21</v>
      </c>
      <c r="I3550" s="2" t="s">
        <v>7405</v>
      </c>
      <c r="J3550" s="3" t="str">
        <f>HYPERLINK("https://www.boe.es/gazeta/dias/1821/06/12/pdfs/GMD-1821-165.pdf#page=4","Abrir facsímil")</f>
        <v>Abrir facsímil</v>
      </c>
      <c r="K3550" s="3" t="s">
        <v>23</v>
      </c>
    </row>
    <row r="3551" spans="1:11" ht="42" customHeight="1">
      <c r="A3551" s="2" t="s">
        <v>7403</v>
      </c>
      <c r="B3551" s="2" t="s">
        <v>7403</v>
      </c>
      <c r="C3551" s="2" t="s">
        <v>40</v>
      </c>
      <c r="D3551" s="2" t="s">
        <v>41</v>
      </c>
      <c r="E3551" s="5">
        <v>-28627</v>
      </c>
      <c r="F3551" s="3" t="s">
        <v>3216</v>
      </c>
      <c r="G3551" s="3" t="s">
        <v>20</v>
      </c>
      <c r="H3551" s="2" t="s">
        <v>21</v>
      </c>
      <c r="I3551" s="2" t="s">
        <v>7406</v>
      </c>
      <c r="J3551" s="3" t="str">
        <f>HYPERLINK("https://www.boe.es/gazeta/dias/1821/08/14/pdfs/GMD-1821-231.pdf#page=3","Abrir facsímil")</f>
        <v>Abrir facsímil</v>
      </c>
      <c r="K3551" s="3" t="s">
        <v>23</v>
      </c>
    </row>
    <row r="3552" spans="1:11" ht="42" customHeight="1">
      <c r="A3552" s="2" t="s">
        <v>7403</v>
      </c>
      <c r="B3552" s="2" t="s">
        <v>7403</v>
      </c>
      <c r="C3552" s="2" t="s">
        <v>26</v>
      </c>
      <c r="D3552" s="2" t="s">
        <v>27</v>
      </c>
      <c r="E3552" s="5">
        <v>-28606</v>
      </c>
      <c r="F3552" s="3" t="s">
        <v>1799</v>
      </c>
      <c r="G3552" s="3" t="s">
        <v>52</v>
      </c>
      <c r="H3552" s="2" t="s">
        <v>21</v>
      </c>
      <c r="I3552" s="2" t="s">
        <v>7407</v>
      </c>
      <c r="J3552" s="3" t="str">
        <f>HYPERLINK("https://www.boe.es/gazeta/dias/1821/09/04/pdfs/GMD-1821-252.pdf#page=2","Abrir facsímil")</f>
        <v>Abrir facsímil</v>
      </c>
      <c r="K3552" s="3" t="s">
        <v>23</v>
      </c>
    </row>
    <row r="3553" spans="1:11" ht="42" customHeight="1">
      <c r="A3553" s="2" t="s">
        <v>7403</v>
      </c>
      <c r="B3553" s="2" t="s">
        <v>7403</v>
      </c>
      <c r="C3553" s="2" t="s">
        <v>17</v>
      </c>
      <c r="D3553" s="2" t="s">
        <v>18</v>
      </c>
      <c r="E3553" s="5">
        <v>-28580</v>
      </c>
      <c r="F3553" s="3" t="s">
        <v>175</v>
      </c>
      <c r="G3553" s="3" t="s">
        <v>88</v>
      </c>
      <c r="H3553" s="2" t="s">
        <v>21</v>
      </c>
      <c r="I3553" s="2" t="s">
        <v>7408</v>
      </c>
      <c r="J3553" s="3" t="str">
        <f>HYPERLINK("https://www.boe.es/gazeta/dias/1821/09/30/pdfs/GMD-1821-279.pdf#page=4","Abrir facsímil")</f>
        <v>Abrir facsímil</v>
      </c>
      <c r="K3553" s="3" t="s">
        <v>23</v>
      </c>
    </row>
    <row r="3554" spans="1:11" ht="42" customHeight="1">
      <c r="A3554" s="2" t="s">
        <v>7403</v>
      </c>
      <c r="B3554" s="2" t="s">
        <v>7403</v>
      </c>
      <c r="C3554" s="2" t="s">
        <v>114</v>
      </c>
      <c r="D3554" s="2" t="s">
        <v>27</v>
      </c>
      <c r="E3554" s="5">
        <v>-28569</v>
      </c>
      <c r="F3554" s="3" t="s">
        <v>512</v>
      </c>
      <c r="G3554" s="3" t="s">
        <v>162</v>
      </c>
      <c r="H3554" s="2" t="s">
        <v>21</v>
      </c>
      <c r="I3554" s="2" t="s">
        <v>7409</v>
      </c>
      <c r="J3554" s="3" t="str">
        <f>HYPERLINK("https://www.boe.es/gazeta/dias/1821/10/11/pdfs/GMD-1821-290.pdf#page=5","Abrir facsímil")</f>
        <v>Abrir facsímil</v>
      </c>
      <c r="K3554" s="3" t="s">
        <v>23</v>
      </c>
    </row>
    <row r="3555" spans="1:11" ht="42" customHeight="1">
      <c r="A3555" s="2" t="s">
        <v>7403</v>
      </c>
      <c r="B3555" s="2" t="s">
        <v>7403</v>
      </c>
      <c r="C3555" s="2" t="s">
        <v>26</v>
      </c>
      <c r="D3555" s="2" t="s">
        <v>27</v>
      </c>
      <c r="E3555" s="5">
        <v>-28558</v>
      </c>
      <c r="F3555" s="3" t="s">
        <v>758</v>
      </c>
      <c r="G3555" s="3" t="s">
        <v>20</v>
      </c>
      <c r="H3555" s="2" t="s">
        <v>21</v>
      </c>
      <c r="I3555" s="2" t="s">
        <v>7410</v>
      </c>
      <c r="J3555" s="3" t="str">
        <f>HYPERLINK("https://www.boe.es/gazeta/dias/1821/10/22/pdfs/GMD-1821-301.pdf#page=3","Abrir facsímil")</f>
        <v>Abrir facsímil</v>
      </c>
      <c r="K3555" s="3" t="s">
        <v>23</v>
      </c>
    </row>
    <row r="3556" spans="1:11" ht="42" customHeight="1">
      <c r="A3556" s="2" t="s">
        <v>7411</v>
      </c>
      <c r="B3556" s="2" t="s">
        <v>7411</v>
      </c>
      <c r="C3556" s="2" t="s">
        <v>26</v>
      </c>
      <c r="D3556" s="2" t="s">
        <v>27</v>
      </c>
      <c r="E3556" s="5">
        <v>-28746</v>
      </c>
      <c r="F3556" s="3" t="s">
        <v>687</v>
      </c>
      <c r="G3556" s="3" t="s">
        <v>20</v>
      </c>
      <c r="H3556" s="2" t="s">
        <v>21</v>
      </c>
      <c r="I3556" s="2" t="s">
        <v>7412</v>
      </c>
      <c r="J3556" s="3" t="str">
        <f>HYPERLINK("https://www.boe.es/gazeta/dias/1821/04/17/pdfs/GMD-1821-109.pdf#page=3","Abrir facsímil")</f>
        <v>Abrir facsímil</v>
      </c>
      <c r="K3556" s="3" t="s">
        <v>23</v>
      </c>
    </row>
    <row r="3557" spans="1:11" ht="42" customHeight="1">
      <c r="A3557" s="2" t="s">
        <v>7413</v>
      </c>
      <c r="B3557" s="2" t="s">
        <v>7414</v>
      </c>
      <c r="C3557" s="2" t="s">
        <v>40</v>
      </c>
      <c r="D3557" s="2" t="s">
        <v>41</v>
      </c>
      <c r="E3557" s="5">
        <v>-28624</v>
      </c>
      <c r="F3557" s="3" t="s">
        <v>78</v>
      </c>
      <c r="G3557" s="3" t="s">
        <v>20</v>
      </c>
      <c r="H3557" s="2" t="s">
        <v>21</v>
      </c>
      <c r="I3557" s="2" t="s">
        <v>7415</v>
      </c>
      <c r="J3557" s="3" t="str">
        <f>HYPERLINK("https://www.boe.es/gazeta/dias/1821/08/17/pdfs/GMD-1821-234.pdf#page=3","Abrir facsímil")</f>
        <v>Abrir facsímil</v>
      </c>
      <c r="K3557" s="3" t="s">
        <v>23</v>
      </c>
    </row>
    <row r="3558" spans="1:11" ht="42" customHeight="1">
      <c r="A3558" s="2" t="s">
        <v>7416</v>
      </c>
      <c r="B3558" s="2" t="s">
        <v>7417</v>
      </c>
      <c r="C3558" s="2" t="s">
        <v>35</v>
      </c>
      <c r="D3558" s="2" t="s">
        <v>27</v>
      </c>
      <c r="E3558" s="5">
        <v>-28649</v>
      </c>
      <c r="F3558" s="3" t="s">
        <v>4688</v>
      </c>
      <c r="G3558" s="3" t="s">
        <v>52</v>
      </c>
      <c r="H3558" s="2" t="s">
        <v>21</v>
      </c>
      <c r="I3558" s="2" t="s">
        <v>7418</v>
      </c>
      <c r="J3558" s="3" t="str">
        <f>HYPERLINK("https://www.boe.es/gazeta/dias/1821/07/23/pdfs/GMD-1821-208.pdf#page=2","Abrir facsímil")</f>
        <v>Abrir facsímil</v>
      </c>
      <c r="K3558" s="3" t="s">
        <v>23</v>
      </c>
    </row>
    <row r="3559" spans="1:11" ht="42" customHeight="1">
      <c r="A3559" s="2" t="s">
        <v>7419</v>
      </c>
      <c r="B3559" s="2" t="s">
        <v>7420</v>
      </c>
      <c r="C3559" s="2" t="s">
        <v>17</v>
      </c>
      <c r="D3559" s="2" t="s">
        <v>18</v>
      </c>
      <c r="E3559" s="5">
        <v>-28753</v>
      </c>
      <c r="F3559" s="3" t="s">
        <v>720</v>
      </c>
      <c r="G3559" s="3" t="s">
        <v>88</v>
      </c>
      <c r="H3559" s="2" t="s">
        <v>21</v>
      </c>
      <c r="I3559" s="2" t="s">
        <v>7421</v>
      </c>
      <c r="J3559" s="3" t="str">
        <f>HYPERLINK("https://www.boe.es/gazeta/dias/1821/04/10/pdfs/GMD-1821-102.pdf#page=4","Abrir facsímil")</f>
        <v>Abrir facsímil</v>
      </c>
      <c r="K3559" s="3" t="s">
        <v>23</v>
      </c>
    </row>
    <row r="3560" spans="1:11" ht="42" customHeight="1">
      <c r="A3560" s="2" t="s">
        <v>7422</v>
      </c>
      <c r="B3560" s="2" t="s">
        <v>7423</v>
      </c>
      <c r="C3560" s="2" t="s">
        <v>40</v>
      </c>
      <c r="D3560" s="2" t="s">
        <v>41</v>
      </c>
      <c r="E3560" s="5">
        <v>-28683</v>
      </c>
      <c r="F3560" s="3" t="s">
        <v>332</v>
      </c>
      <c r="G3560" s="3" t="s">
        <v>29</v>
      </c>
      <c r="H3560" s="2" t="s">
        <v>21</v>
      </c>
      <c r="I3560" s="2" t="s">
        <v>7424</v>
      </c>
      <c r="J3560" s="3" t="str">
        <f>HYPERLINK("https://www.boe.es/gazeta/dias/1821/06/19/pdfs/GMD-1821-172.pdf#page=6","Abrir facsímil")</f>
        <v>Abrir facsímil</v>
      </c>
      <c r="K3560" s="3" t="s">
        <v>23</v>
      </c>
    </row>
    <row r="3561" spans="1:11" ht="42" customHeight="1">
      <c r="A3561" s="2" t="s">
        <v>7425</v>
      </c>
      <c r="B3561" s="2" t="s">
        <v>7426</v>
      </c>
      <c r="C3561" s="2" t="s">
        <v>17</v>
      </c>
      <c r="D3561" s="2" t="s">
        <v>18</v>
      </c>
      <c r="E3561" s="5">
        <v>-28798</v>
      </c>
      <c r="F3561" s="3" t="s">
        <v>60</v>
      </c>
      <c r="G3561" s="3" t="s">
        <v>88</v>
      </c>
      <c r="H3561" s="2" t="s">
        <v>21</v>
      </c>
      <c r="I3561" s="2" t="s">
        <v>7427</v>
      </c>
      <c r="J3561" s="3" t="str">
        <f>HYPERLINK("https://www.boe.es/gazeta/dias/1821/02/24/pdfs/GGB-1821-55.pdf#page=4","Abrir facsímil")</f>
        <v>Abrir facsímil</v>
      </c>
      <c r="K3561" s="3" t="s">
        <v>23</v>
      </c>
    </row>
    <row r="3562" spans="1:11" ht="42" customHeight="1">
      <c r="A3562" s="2" t="s">
        <v>7425</v>
      </c>
      <c r="B3562" s="2" t="s">
        <v>7426</v>
      </c>
      <c r="C3562" s="2" t="s">
        <v>17</v>
      </c>
      <c r="D3562" s="2" t="s">
        <v>18</v>
      </c>
      <c r="E3562" s="5">
        <v>-28793</v>
      </c>
      <c r="F3562" s="3" t="s">
        <v>157</v>
      </c>
      <c r="G3562" s="3" t="s">
        <v>29</v>
      </c>
      <c r="H3562" s="2" t="s">
        <v>21</v>
      </c>
      <c r="I3562" s="2" t="s">
        <v>7428</v>
      </c>
      <c r="J3562" s="3" t="str">
        <f>HYPERLINK("https://www.boe.es/gazeta/dias/1821/03/01/pdfs/GGB-1821-60.pdf#page=6","Abrir facsímil")</f>
        <v>Abrir facsímil</v>
      </c>
      <c r="K3562" s="3" t="s">
        <v>23</v>
      </c>
    </row>
    <row r="3563" spans="1:11" ht="42" customHeight="1">
      <c r="A3563" s="2" t="s">
        <v>7425</v>
      </c>
      <c r="B3563" s="2" t="s">
        <v>7426</v>
      </c>
      <c r="C3563" s="2" t="s">
        <v>17</v>
      </c>
      <c r="D3563" s="2" t="s">
        <v>18</v>
      </c>
      <c r="E3563" s="5">
        <v>-28758</v>
      </c>
      <c r="F3563" s="3" t="s">
        <v>4115</v>
      </c>
      <c r="G3563" s="3" t="s">
        <v>7429</v>
      </c>
      <c r="H3563" s="2" t="s">
        <v>21</v>
      </c>
      <c r="I3563" s="2" t="s">
        <v>7430</v>
      </c>
      <c r="J3563" s="3" t="str">
        <f>HYPERLINK("https://www.boe.es/gazeta/dias/1821/04/05/pdfs/GMD-1821-97.pdf#page=4","Abrir facsímil")</f>
        <v>Abrir facsímil</v>
      </c>
      <c r="K3563" s="3" t="s">
        <v>23</v>
      </c>
    </row>
    <row r="3564" spans="1:11" ht="42" customHeight="1">
      <c r="A3564" s="2" t="s">
        <v>7425</v>
      </c>
      <c r="B3564" s="2" t="s">
        <v>7426</v>
      </c>
      <c r="C3564" s="2" t="s">
        <v>17</v>
      </c>
      <c r="D3564" s="2" t="s">
        <v>18</v>
      </c>
      <c r="E3564" s="5">
        <v>-28753</v>
      </c>
      <c r="F3564" s="3" t="s">
        <v>720</v>
      </c>
      <c r="G3564" s="3" t="s">
        <v>88</v>
      </c>
      <c r="H3564" s="2" t="s">
        <v>21</v>
      </c>
      <c r="I3564" s="2" t="s">
        <v>7431</v>
      </c>
      <c r="J3564" s="3" t="str">
        <f>HYPERLINK("https://www.boe.es/gazeta/dias/1821/04/10/pdfs/GMD-1821-102.pdf#page=4","Abrir facsímil")</f>
        <v>Abrir facsímil</v>
      </c>
      <c r="K3564" s="3" t="s">
        <v>23</v>
      </c>
    </row>
    <row r="3565" spans="1:11" ht="42" customHeight="1">
      <c r="A3565" s="2" t="s">
        <v>7425</v>
      </c>
      <c r="B3565" s="2" t="s">
        <v>7426</v>
      </c>
      <c r="C3565" s="2" t="s">
        <v>40</v>
      </c>
      <c r="D3565" s="2" t="s">
        <v>41</v>
      </c>
      <c r="E3565" s="5">
        <v>-28750</v>
      </c>
      <c r="F3565" s="3" t="s">
        <v>917</v>
      </c>
      <c r="G3565" s="3" t="s">
        <v>52</v>
      </c>
      <c r="H3565" s="2" t="s">
        <v>21</v>
      </c>
      <c r="I3565" s="2" t="s">
        <v>7432</v>
      </c>
      <c r="J3565" s="3" t="str">
        <f>HYPERLINK("https://www.boe.es/gazeta/dias/1821/04/13/pdfs/GMD-1821-105.pdf#page=2","Abrir facsímil")</f>
        <v>Abrir facsímil</v>
      </c>
      <c r="K3565" s="3" t="s">
        <v>23</v>
      </c>
    </row>
    <row r="3566" spans="1:11" ht="42" customHeight="1">
      <c r="A3566" s="2" t="s">
        <v>7425</v>
      </c>
      <c r="B3566" s="2" t="s">
        <v>7426</v>
      </c>
      <c r="C3566" s="2" t="s">
        <v>40</v>
      </c>
      <c r="D3566" s="2" t="s">
        <v>41</v>
      </c>
      <c r="E3566" s="5">
        <v>-28745</v>
      </c>
      <c r="F3566" s="3" t="s">
        <v>1020</v>
      </c>
      <c r="G3566" s="3" t="s">
        <v>88</v>
      </c>
      <c r="H3566" s="2" t="s">
        <v>21</v>
      </c>
      <c r="I3566" s="2" t="s">
        <v>7433</v>
      </c>
      <c r="J3566" s="3" t="str">
        <f>HYPERLINK("https://www.boe.es/gazeta/dias/1821/04/18/pdfs/GMD-1821-110.pdf#page=4","Abrir facsímil")</f>
        <v>Abrir facsímil</v>
      </c>
      <c r="K3566" s="3" t="s">
        <v>23</v>
      </c>
    </row>
    <row r="3567" spans="1:11" ht="42" customHeight="1">
      <c r="A3567" s="2" t="s">
        <v>7425</v>
      </c>
      <c r="B3567" s="2" t="s">
        <v>7426</v>
      </c>
      <c r="C3567" s="2" t="s">
        <v>17</v>
      </c>
      <c r="D3567" s="2" t="s">
        <v>18</v>
      </c>
      <c r="E3567" s="5">
        <v>-28733</v>
      </c>
      <c r="F3567" s="3" t="s">
        <v>1033</v>
      </c>
      <c r="G3567" s="3" t="s">
        <v>7434</v>
      </c>
      <c r="H3567" s="2" t="s">
        <v>21</v>
      </c>
      <c r="I3567" s="2" t="s">
        <v>7435</v>
      </c>
      <c r="J3567" s="3" t="str">
        <f>HYPERLINK("https://www.boe.es/gazeta/dias/1821/04/30/pdfs/GMD-1821-122.pdf#page=4","Abrir facsímil")</f>
        <v>Abrir facsímil</v>
      </c>
      <c r="K3567" s="3" t="s">
        <v>23</v>
      </c>
    </row>
    <row r="3568" spans="1:11" ht="42" customHeight="1">
      <c r="A3568" s="2" t="s">
        <v>7425</v>
      </c>
      <c r="B3568" s="2" t="s">
        <v>7426</v>
      </c>
      <c r="C3568" s="2" t="s">
        <v>17</v>
      </c>
      <c r="D3568" s="2" t="s">
        <v>18</v>
      </c>
      <c r="E3568" s="5">
        <v>-28718</v>
      </c>
      <c r="F3568" s="3" t="s">
        <v>583</v>
      </c>
      <c r="G3568" s="3" t="s">
        <v>88</v>
      </c>
      <c r="H3568" s="2" t="s">
        <v>21</v>
      </c>
      <c r="I3568" s="2" t="s">
        <v>7436</v>
      </c>
      <c r="J3568" s="3" t="str">
        <f>HYPERLINK("https://www.boe.es/gazeta/dias/1821/05/15/pdfs/GMD-1821-137.pdf#page=4","Abrir facsímil")</f>
        <v>Abrir facsímil</v>
      </c>
      <c r="K3568" s="3" t="s">
        <v>23</v>
      </c>
    </row>
    <row r="3569" spans="1:11" ht="42" customHeight="1">
      <c r="A3569" s="2" t="s">
        <v>7425</v>
      </c>
      <c r="B3569" s="2" t="s">
        <v>7426</v>
      </c>
      <c r="C3569" s="2" t="s">
        <v>17</v>
      </c>
      <c r="D3569" s="2" t="s">
        <v>18</v>
      </c>
      <c r="E3569" s="5">
        <v>-28716</v>
      </c>
      <c r="F3569" s="3" t="s">
        <v>842</v>
      </c>
      <c r="G3569" s="3" t="s">
        <v>88</v>
      </c>
      <c r="H3569" s="2" t="s">
        <v>21</v>
      </c>
      <c r="I3569" s="2" t="s">
        <v>7437</v>
      </c>
      <c r="J3569" s="3" t="str">
        <f>HYPERLINK("https://www.boe.es/gazeta/dias/1821/05/17/pdfs/GMD-1821-139.pdf#page=4","Abrir facsímil")</f>
        <v>Abrir facsímil</v>
      </c>
      <c r="K3569" s="3" t="s">
        <v>23</v>
      </c>
    </row>
    <row r="3570" spans="1:11" ht="42" customHeight="1">
      <c r="A3570" s="2" t="s">
        <v>7425</v>
      </c>
      <c r="B3570" s="2" t="s">
        <v>7426</v>
      </c>
      <c r="C3570" s="2" t="s">
        <v>35</v>
      </c>
      <c r="D3570" s="2" t="s">
        <v>27</v>
      </c>
      <c r="E3570" s="5">
        <v>-28693</v>
      </c>
      <c r="F3570" s="3" t="s">
        <v>74</v>
      </c>
      <c r="G3570" s="3" t="s">
        <v>1846</v>
      </c>
      <c r="H3570" s="2" t="s">
        <v>21</v>
      </c>
      <c r="I3570" s="2" t="s">
        <v>7438</v>
      </c>
      <c r="J3570" s="3" t="str">
        <f>HYPERLINK("https://www.boe.es/gazeta/dias/1821/06/09/pdfs/GMD-1821-162.pdf#page=6","Abrir facsímil")</f>
        <v>Abrir facsímil</v>
      </c>
      <c r="K3570" s="3" t="s">
        <v>23</v>
      </c>
    </row>
    <row r="3571" spans="1:11" ht="42" customHeight="1">
      <c r="A3571" s="2" t="s">
        <v>7439</v>
      </c>
      <c r="B3571" s="2" t="s">
        <v>7440</v>
      </c>
      <c r="C3571" s="2" t="s">
        <v>40</v>
      </c>
      <c r="D3571" s="2" t="s">
        <v>41</v>
      </c>
      <c r="E3571" s="5">
        <v>-28690</v>
      </c>
      <c r="F3571" s="3" t="s">
        <v>846</v>
      </c>
      <c r="G3571" s="3" t="s">
        <v>847</v>
      </c>
      <c r="H3571" s="2" t="s">
        <v>21</v>
      </c>
      <c r="I3571" s="2" t="s">
        <v>7441</v>
      </c>
      <c r="J3571" s="3" t="str">
        <f>HYPERLINK("https://www.boe.es/gazeta/dias/1821/06/12/pdfs/GMD-1821-165.pdf#page=2","Abrir facsímil")</f>
        <v>Abrir facsímil</v>
      </c>
      <c r="K3571" s="3" t="s">
        <v>23</v>
      </c>
    </row>
    <row r="3572" spans="1:11" ht="42" customHeight="1">
      <c r="A3572" s="2" t="s">
        <v>7425</v>
      </c>
      <c r="B3572" s="2" t="s">
        <v>7426</v>
      </c>
      <c r="C3572" s="2" t="s">
        <v>17</v>
      </c>
      <c r="D3572" s="2" t="s">
        <v>18</v>
      </c>
      <c r="E3572" s="5">
        <v>-28683</v>
      </c>
      <c r="F3572" s="3" t="s">
        <v>332</v>
      </c>
      <c r="G3572" s="3" t="s">
        <v>29</v>
      </c>
      <c r="H3572" s="2" t="s">
        <v>21</v>
      </c>
      <c r="I3572" s="2" t="s">
        <v>7442</v>
      </c>
      <c r="J3572" s="3" t="str">
        <f>HYPERLINK("https://www.boe.es/gazeta/dias/1821/06/19/pdfs/GMD-1821-172.pdf#page=6","Abrir facsímil")</f>
        <v>Abrir facsímil</v>
      </c>
      <c r="K3572" s="3" t="s">
        <v>23</v>
      </c>
    </row>
    <row r="3573" spans="1:11" ht="42" customHeight="1">
      <c r="A3573" s="2" t="s">
        <v>7425</v>
      </c>
      <c r="B3573" s="2" t="s">
        <v>7426</v>
      </c>
      <c r="C3573" s="2" t="s">
        <v>17</v>
      </c>
      <c r="D3573" s="2" t="s">
        <v>18</v>
      </c>
      <c r="E3573" s="5">
        <v>-28679</v>
      </c>
      <c r="F3573" s="3" t="s">
        <v>213</v>
      </c>
      <c r="G3573" s="3" t="s">
        <v>29</v>
      </c>
      <c r="H3573" s="2" t="s">
        <v>21</v>
      </c>
      <c r="I3573" s="2" t="s">
        <v>7443</v>
      </c>
      <c r="J3573" s="3" t="str">
        <f>HYPERLINK("https://www.boe.es/gazeta/dias/1821/06/23/pdfs/GMD-1821-176.pdf#page=6","Abrir facsímil")</f>
        <v>Abrir facsímil</v>
      </c>
      <c r="K3573" s="3" t="s">
        <v>23</v>
      </c>
    </row>
    <row r="3574" spans="1:11" ht="42" customHeight="1">
      <c r="A3574" s="2" t="s">
        <v>7425</v>
      </c>
      <c r="B3574" s="2" t="s">
        <v>7426</v>
      </c>
      <c r="C3574" s="2" t="s">
        <v>17</v>
      </c>
      <c r="D3574" s="2" t="s">
        <v>18</v>
      </c>
      <c r="E3574" s="5">
        <v>-28677</v>
      </c>
      <c r="F3574" s="3" t="s">
        <v>361</v>
      </c>
      <c r="G3574" s="3" t="s">
        <v>29</v>
      </c>
      <c r="H3574" s="2" t="s">
        <v>21</v>
      </c>
      <c r="I3574" s="2" t="s">
        <v>7444</v>
      </c>
      <c r="J3574" s="3" t="str">
        <f>HYPERLINK("https://www.boe.es/gazeta/dias/1821/06/25/pdfs/GMD-1821-178.pdf#page=6","Abrir facsímil")</f>
        <v>Abrir facsímil</v>
      </c>
      <c r="K3574" s="3" t="s">
        <v>23</v>
      </c>
    </row>
    <row r="3575" spans="1:11" ht="42" customHeight="1">
      <c r="A3575" s="2" t="s">
        <v>7425</v>
      </c>
      <c r="B3575" s="2" t="s">
        <v>7426</v>
      </c>
      <c r="C3575" s="2" t="s">
        <v>17</v>
      </c>
      <c r="D3575" s="2" t="s">
        <v>18</v>
      </c>
      <c r="E3575" s="5">
        <v>-28645</v>
      </c>
      <c r="F3575" s="3" t="s">
        <v>2579</v>
      </c>
      <c r="G3575" s="3" t="s">
        <v>88</v>
      </c>
      <c r="H3575" s="2" t="s">
        <v>21</v>
      </c>
      <c r="I3575" s="2" t="s">
        <v>7445</v>
      </c>
      <c r="J3575" s="3" t="str">
        <f>HYPERLINK("https://www.boe.es/gazeta/dias/1821/07/27/pdfs/GMD-1821-212.pdf#page=4","Abrir facsímil")</f>
        <v>Abrir facsímil</v>
      </c>
      <c r="K3575" s="3" t="s">
        <v>23</v>
      </c>
    </row>
    <row r="3576" spans="1:11" ht="42" customHeight="1">
      <c r="A3576" s="2" t="s">
        <v>7425</v>
      </c>
      <c r="B3576" s="2" t="s">
        <v>7426</v>
      </c>
      <c r="C3576" s="2" t="s">
        <v>17</v>
      </c>
      <c r="D3576" s="2" t="s">
        <v>18</v>
      </c>
      <c r="E3576" s="5">
        <v>-28644</v>
      </c>
      <c r="F3576" s="3" t="s">
        <v>1340</v>
      </c>
      <c r="G3576" s="3" t="s">
        <v>88</v>
      </c>
      <c r="H3576" s="2" t="s">
        <v>21</v>
      </c>
      <c r="I3576" s="2" t="s">
        <v>7446</v>
      </c>
      <c r="J3576" s="3" t="str">
        <f>HYPERLINK("https://www.boe.es/gazeta/dias/1821/07/28/pdfs/GMD-1821-213.pdf#page=4","Abrir facsímil")</f>
        <v>Abrir facsímil</v>
      </c>
      <c r="K3576" s="3" t="s">
        <v>23</v>
      </c>
    </row>
    <row r="3577" spans="1:11" ht="42" customHeight="1">
      <c r="A3577" s="2" t="s">
        <v>7425</v>
      </c>
      <c r="B3577" s="2" t="s">
        <v>7426</v>
      </c>
      <c r="C3577" s="2" t="s">
        <v>17</v>
      </c>
      <c r="D3577" s="2" t="s">
        <v>18</v>
      </c>
      <c r="E3577" s="5">
        <v>-28617</v>
      </c>
      <c r="F3577" s="3" t="s">
        <v>436</v>
      </c>
      <c r="G3577" s="3" t="s">
        <v>88</v>
      </c>
      <c r="H3577" s="2" t="s">
        <v>21</v>
      </c>
      <c r="I3577" s="2" t="s">
        <v>7447</v>
      </c>
      <c r="J3577" s="3" t="str">
        <f>HYPERLINK("https://www.boe.es/gazeta/dias/1821/08/24/pdfs/GMD-1821-241.pdf#page=4","Abrir facsímil")</f>
        <v>Abrir facsímil</v>
      </c>
      <c r="K3577" s="3" t="s">
        <v>23</v>
      </c>
    </row>
    <row r="3578" spans="1:11" ht="42" customHeight="1">
      <c r="A3578" s="2" t="s">
        <v>7425</v>
      </c>
      <c r="B3578" s="2" t="s">
        <v>7426</v>
      </c>
      <c r="C3578" s="2" t="s">
        <v>26</v>
      </c>
      <c r="D3578" s="2" t="s">
        <v>27</v>
      </c>
      <c r="E3578" s="5">
        <v>-28607</v>
      </c>
      <c r="F3578" s="3" t="s">
        <v>740</v>
      </c>
      <c r="G3578" s="3" t="s">
        <v>88</v>
      </c>
      <c r="H3578" s="2" t="s">
        <v>21</v>
      </c>
      <c r="I3578" s="2" t="s">
        <v>7448</v>
      </c>
      <c r="J3578" s="3" t="str">
        <f>HYPERLINK("https://www.boe.es/gazeta/dias/1821/09/03/pdfs/GMD-1821-251.pdf#page=4","Abrir facsímil")</f>
        <v>Abrir facsímil</v>
      </c>
      <c r="K3578" s="3" t="s">
        <v>23</v>
      </c>
    </row>
    <row r="3579" spans="1:11" ht="42" customHeight="1">
      <c r="A3579" s="2" t="s">
        <v>7425</v>
      </c>
      <c r="B3579" s="2" t="s">
        <v>7426</v>
      </c>
      <c r="C3579" s="2" t="s">
        <v>17</v>
      </c>
      <c r="D3579" s="2" t="s">
        <v>18</v>
      </c>
      <c r="E3579" s="5">
        <v>-28535</v>
      </c>
      <c r="F3579" s="3" t="s">
        <v>96</v>
      </c>
      <c r="G3579" s="3" t="s">
        <v>29</v>
      </c>
      <c r="H3579" s="2" t="s">
        <v>21</v>
      </c>
      <c r="I3579" s="2" t="s">
        <v>7449</v>
      </c>
      <c r="J3579" s="3" t="str">
        <f>HYPERLINK("https://www.boe.es/gazeta/dias/1821/11/14/pdfs/GMD-1821-325.pdf#page=6","Abrir facsímil")</f>
        <v>Abrir facsímil</v>
      </c>
      <c r="K3579" s="3" t="s">
        <v>23</v>
      </c>
    </row>
    <row r="3580" spans="1:11" ht="42" customHeight="1">
      <c r="A3580" s="2" t="s">
        <v>7425</v>
      </c>
      <c r="B3580" s="2" t="s">
        <v>7426</v>
      </c>
      <c r="C3580" s="2" t="s">
        <v>17</v>
      </c>
      <c r="D3580" s="2" t="s">
        <v>18</v>
      </c>
      <c r="E3580" s="5">
        <v>-28494</v>
      </c>
      <c r="F3580" s="3" t="s">
        <v>1665</v>
      </c>
      <c r="G3580" s="3" t="s">
        <v>3631</v>
      </c>
      <c r="H3580" s="2" t="s">
        <v>21</v>
      </c>
      <c r="I3580" s="2" t="s">
        <v>7450</v>
      </c>
      <c r="J3580" s="3" t="str">
        <f>HYPERLINK("https://www.boe.es/gazeta/dias/1821/12/25/pdfs/GMD-1821-368.pdf#page=4","Abrir facsímil")</f>
        <v>Abrir facsímil</v>
      </c>
      <c r="K3580" s="3" t="s">
        <v>23</v>
      </c>
    </row>
    <row r="3581" spans="1:11" ht="42" customHeight="1">
      <c r="A3581" s="2" t="s">
        <v>7425</v>
      </c>
      <c r="B3581" s="2" t="s">
        <v>7426</v>
      </c>
      <c r="C3581" s="2" t="s">
        <v>17</v>
      </c>
      <c r="D3581" s="2" t="s">
        <v>18</v>
      </c>
      <c r="E3581" s="5">
        <v>-28489</v>
      </c>
      <c r="F3581" s="3" t="s">
        <v>3894</v>
      </c>
      <c r="G3581" s="3" t="s">
        <v>88</v>
      </c>
      <c r="H3581" s="2" t="s">
        <v>21</v>
      </c>
      <c r="I3581" s="2" t="s">
        <v>7451</v>
      </c>
      <c r="J3581" s="3" t="str">
        <f>HYPERLINK("https://www.boe.es/gazeta/dias/1821/12/30/pdfs/GMD-1821-373.pdf#page=4","Abrir facsímil")</f>
        <v>Abrir facsímil</v>
      </c>
      <c r="K3581" s="3" t="s">
        <v>23</v>
      </c>
    </row>
    <row r="3582" spans="1:11" ht="42" customHeight="1">
      <c r="A3582" s="2" t="s">
        <v>7452</v>
      </c>
      <c r="B3582" s="2" t="s">
        <v>7453</v>
      </c>
      <c r="C3582" s="2" t="s">
        <v>70</v>
      </c>
      <c r="D3582" s="2" t="s">
        <v>27</v>
      </c>
      <c r="E3582" s="5">
        <v>-28837</v>
      </c>
      <c r="F3582" s="3" t="s">
        <v>1234</v>
      </c>
      <c r="G3582" s="3" t="s">
        <v>88</v>
      </c>
      <c r="H3582" s="2" t="s">
        <v>21</v>
      </c>
      <c r="I3582" s="2" t="s">
        <v>7454</v>
      </c>
      <c r="J3582" s="3" t="str">
        <f>HYPERLINK("https://www.boe.es/gazeta/dias/1821/01/16/pdfs/GGB-1821-16.pdf#page=4","Abrir facsímil")</f>
        <v>Abrir facsímil</v>
      </c>
      <c r="K3582" s="3" t="s">
        <v>23</v>
      </c>
    </row>
    <row r="3583" spans="1:11" ht="42" customHeight="1">
      <c r="A3583" s="2" t="s">
        <v>7452</v>
      </c>
      <c r="B3583" s="2" t="s">
        <v>7453</v>
      </c>
      <c r="C3583" s="2" t="s">
        <v>40</v>
      </c>
      <c r="D3583" s="2" t="s">
        <v>41</v>
      </c>
      <c r="E3583" s="5">
        <v>-28733</v>
      </c>
      <c r="F3583" s="3" t="s">
        <v>1033</v>
      </c>
      <c r="G3583" s="3" t="s">
        <v>52</v>
      </c>
      <c r="H3583" s="2" t="s">
        <v>21</v>
      </c>
      <c r="I3583" s="2" t="s">
        <v>7455</v>
      </c>
      <c r="J3583" s="3" t="str">
        <f>HYPERLINK("https://www.boe.es/gazeta/dias/1821/04/30/pdfs/GMD-1821-122.pdf#page=2","Abrir facsímil")</f>
        <v>Abrir facsímil</v>
      </c>
      <c r="K3583" s="3" t="s">
        <v>23</v>
      </c>
    </row>
    <row r="3584" spans="1:11" ht="42" customHeight="1">
      <c r="A3584" s="2" t="s">
        <v>7452</v>
      </c>
      <c r="B3584" s="2" t="s">
        <v>7453</v>
      </c>
      <c r="C3584" s="2" t="s">
        <v>114</v>
      </c>
      <c r="D3584" s="2" t="s">
        <v>27</v>
      </c>
      <c r="E3584" s="5">
        <v>-28666</v>
      </c>
      <c r="F3584" s="3" t="s">
        <v>1263</v>
      </c>
      <c r="G3584" s="3" t="s">
        <v>88</v>
      </c>
      <c r="H3584" s="2" t="s">
        <v>21</v>
      </c>
      <c r="I3584" s="2" t="s">
        <v>7456</v>
      </c>
      <c r="J3584" s="3" t="str">
        <f>HYPERLINK("https://www.boe.es/gazeta/dias/1821/07/06/pdfs/GMD-1821-190.pdf#page=4","Abrir facsímil")</f>
        <v>Abrir facsímil</v>
      </c>
      <c r="K3584" s="3" t="s">
        <v>23</v>
      </c>
    </row>
    <row r="3585" spans="1:11" ht="42" customHeight="1">
      <c r="A3585" s="2" t="s">
        <v>7457</v>
      </c>
      <c r="B3585" s="2" t="s">
        <v>7458</v>
      </c>
      <c r="C3585" s="2" t="s">
        <v>17</v>
      </c>
      <c r="D3585" s="2" t="s">
        <v>18</v>
      </c>
      <c r="E3585" s="5">
        <v>-28801</v>
      </c>
      <c r="F3585" s="3" t="s">
        <v>378</v>
      </c>
      <c r="G3585" s="3" t="s">
        <v>20</v>
      </c>
      <c r="H3585" s="2" t="s">
        <v>21</v>
      </c>
      <c r="I3585" s="2" t="s">
        <v>7459</v>
      </c>
      <c r="J3585" s="3" t="str">
        <f>HYPERLINK("https://www.boe.es/gazeta/dias/1821/02/21/pdfs/GGB-1821-52.pdf#page=3","Abrir facsímil")</f>
        <v>Abrir facsímil</v>
      </c>
      <c r="K3585" s="3" t="s">
        <v>23</v>
      </c>
    </row>
    <row r="3586" spans="1:11" ht="42" customHeight="1">
      <c r="A3586" s="2" t="s">
        <v>7460</v>
      </c>
      <c r="B3586" s="2" t="s">
        <v>7461</v>
      </c>
      <c r="C3586" s="2" t="s">
        <v>17</v>
      </c>
      <c r="D3586" s="2" t="s">
        <v>18</v>
      </c>
      <c r="E3586" s="5">
        <v>-28696</v>
      </c>
      <c r="F3586" s="3" t="s">
        <v>497</v>
      </c>
      <c r="G3586" s="3" t="s">
        <v>88</v>
      </c>
      <c r="H3586" s="2" t="s">
        <v>21</v>
      </c>
      <c r="I3586" s="2" t="s">
        <v>7462</v>
      </c>
      <c r="J3586" s="3" t="str">
        <f>HYPERLINK("https://www.boe.es/gazeta/dias/1821/06/06/pdfs/GMD-1821-159.pdf#page=4","Abrir facsímil")</f>
        <v>Abrir facsímil</v>
      </c>
      <c r="K3586" s="3" t="s">
        <v>23</v>
      </c>
    </row>
    <row r="3587" spans="1:11" ht="42" customHeight="1">
      <c r="A3587" s="2" t="s">
        <v>7463</v>
      </c>
      <c r="B3587" s="2" t="s">
        <v>7464</v>
      </c>
      <c r="C3587" s="2" t="s">
        <v>114</v>
      </c>
      <c r="D3587" s="2" t="s">
        <v>27</v>
      </c>
      <c r="E3587" s="5">
        <v>-28593</v>
      </c>
      <c r="F3587" s="3" t="s">
        <v>1635</v>
      </c>
      <c r="G3587" s="3" t="s">
        <v>88</v>
      </c>
      <c r="H3587" s="2" t="s">
        <v>21</v>
      </c>
      <c r="I3587" s="2" t="s">
        <v>7465</v>
      </c>
      <c r="J3587" s="3" t="str">
        <f>HYPERLINK("https://www.boe.es/gazeta/dias/1821/09/17/pdfs/GMD-1821-265.pdf#page=4","Abrir facsímil")</f>
        <v>Abrir facsímil</v>
      </c>
      <c r="K3587" s="3" t="s">
        <v>23</v>
      </c>
    </row>
    <row r="3588" spans="1:11" ht="42" customHeight="1">
      <c r="A3588" s="2" t="s">
        <v>7466</v>
      </c>
      <c r="B3588" s="2" t="s">
        <v>7467</v>
      </c>
      <c r="C3588" s="2" t="s">
        <v>40</v>
      </c>
      <c r="D3588" s="2" t="s">
        <v>41</v>
      </c>
      <c r="E3588" s="5">
        <v>-28599</v>
      </c>
      <c r="F3588" s="3" t="s">
        <v>902</v>
      </c>
      <c r="G3588" s="3" t="s">
        <v>88</v>
      </c>
      <c r="H3588" s="2" t="s">
        <v>21</v>
      </c>
      <c r="I3588" s="2" t="s">
        <v>7468</v>
      </c>
      <c r="J3588" s="3" t="str">
        <f>HYPERLINK("https://www.boe.es/gazeta/dias/1821/09/11/pdfs/GMD-1821-259.pdf#page=4","Abrir facsímil")</f>
        <v>Abrir facsímil</v>
      </c>
      <c r="K3588" s="3" t="s">
        <v>23</v>
      </c>
    </row>
    <row r="3589" spans="1:11" ht="42" customHeight="1">
      <c r="A3589" s="2" t="s">
        <v>7469</v>
      </c>
      <c r="B3589" s="2" t="s">
        <v>7470</v>
      </c>
      <c r="C3589" s="2" t="s">
        <v>26</v>
      </c>
      <c r="D3589" s="2" t="s">
        <v>27</v>
      </c>
      <c r="E3589" s="5">
        <v>-28772</v>
      </c>
      <c r="F3589" s="3" t="s">
        <v>62</v>
      </c>
      <c r="G3589" s="3" t="s">
        <v>52</v>
      </c>
      <c r="H3589" s="2" t="s">
        <v>21</v>
      </c>
      <c r="I3589" s="2" t="s">
        <v>7471</v>
      </c>
      <c r="J3589" s="3" t="str">
        <f>HYPERLINK("https://www.boe.es/gazeta/dias/1821/03/22/pdfs/GMD-1821-81.pdf#page=2","Abrir facsímil")</f>
        <v>Abrir facsímil</v>
      </c>
      <c r="K3589" s="3" t="s">
        <v>23</v>
      </c>
    </row>
    <row r="3590" spans="1:11" ht="42" customHeight="1">
      <c r="A3590" s="2" t="s">
        <v>7472</v>
      </c>
      <c r="B3590" s="2" t="s">
        <v>7473</v>
      </c>
      <c r="C3590" s="2" t="s">
        <v>26</v>
      </c>
      <c r="D3590" s="2" t="s">
        <v>27</v>
      </c>
      <c r="E3590" s="5">
        <v>-28547</v>
      </c>
      <c r="F3590" s="3" t="s">
        <v>247</v>
      </c>
      <c r="G3590" s="3" t="s">
        <v>248</v>
      </c>
      <c r="H3590" s="2" t="s">
        <v>21</v>
      </c>
      <c r="I3590" s="2" t="s">
        <v>7474</v>
      </c>
      <c r="J3590" s="3" t="str">
        <f>HYPERLINK("https://www.boe.es/gazeta/dias/1821/11/02/pdfs/GMD-1821-312.pdf#page=2","Abrir facsímil")</f>
        <v>Abrir facsímil</v>
      </c>
      <c r="K3590" s="3" t="s">
        <v>23</v>
      </c>
    </row>
    <row r="3591" spans="1:11" ht="42" customHeight="1">
      <c r="A3591" s="2" t="s">
        <v>7475</v>
      </c>
      <c r="B3591" s="2" t="s">
        <v>7476</v>
      </c>
      <c r="C3591" s="2" t="s">
        <v>114</v>
      </c>
      <c r="D3591" s="2" t="s">
        <v>27</v>
      </c>
      <c r="E3591" s="5">
        <v>-28805</v>
      </c>
      <c r="F3591" s="3" t="s">
        <v>382</v>
      </c>
      <c r="G3591" s="3" t="s">
        <v>88</v>
      </c>
      <c r="H3591" s="2" t="s">
        <v>21</v>
      </c>
      <c r="I3591" s="2" t="s">
        <v>7477</v>
      </c>
      <c r="J3591" s="3" t="str">
        <f>HYPERLINK("https://www.boe.es/gazeta/dias/1821/02/17/pdfs/GGB-1821-48.pdf#page=4","Abrir facsímil")</f>
        <v>Abrir facsímil</v>
      </c>
      <c r="K3591" s="3" t="s">
        <v>23</v>
      </c>
    </row>
    <row r="3592" spans="1:11" ht="42" customHeight="1">
      <c r="A3592" s="2" t="s">
        <v>7478</v>
      </c>
      <c r="B3592" s="2" t="s">
        <v>7479</v>
      </c>
      <c r="C3592" s="2" t="s">
        <v>26</v>
      </c>
      <c r="D3592" s="2" t="s">
        <v>27</v>
      </c>
      <c r="E3592" s="5">
        <v>-28847</v>
      </c>
      <c r="F3592" s="3" t="s">
        <v>288</v>
      </c>
      <c r="G3592" s="3" t="s">
        <v>289</v>
      </c>
      <c r="H3592" s="2" t="s">
        <v>30</v>
      </c>
      <c r="I3592" s="2" t="s">
        <v>7480</v>
      </c>
      <c r="J3592" s="3" t="str">
        <f>HYPERLINK("https://www.boe.es/gazeta/dias/1821/01/06/pdfs/GGB-1821-6.pdf#page=4","Abrir facsímil")</f>
        <v>Abrir facsímil</v>
      </c>
      <c r="K3592" s="3" t="s">
        <v>32</v>
      </c>
    </row>
    <row r="3593" spans="1:11" ht="42" customHeight="1">
      <c r="A3593" s="2" t="s">
        <v>7481</v>
      </c>
      <c r="B3593" s="2" t="s">
        <v>7482</v>
      </c>
      <c r="C3593" s="2" t="s">
        <v>35</v>
      </c>
      <c r="D3593" s="2" t="s">
        <v>27</v>
      </c>
      <c r="E3593" s="5">
        <v>-28783</v>
      </c>
      <c r="F3593" s="3" t="s">
        <v>198</v>
      </c>
      <c r="G3593" s="3" t="s">
        <v>20</v>
      </c>
      <c r="H3593" s="2" t="s">
        <v>21</v>
      </c>
      <c r="I3593" s="2" t="s">
        <v>7483</v>
      </c>
      <c r="J3593" s="3" t="str">
        <f>HYPERLINK("https://www.boe.es/gazeta/dias/1821/03/11/pdfs/GGB-1821-70.pdf#page=3","Abrir facsímil")</f>
        <v>Abrir facsímil</v>
      </c>
      <c r="K3593" s="3" t="s">
        <v>23</v>
      </c>
    </row>
    <row r="3594" spans="1:11" ht="42" customHeight="1">
      <c r="A3594" s="2" t="s">
        <v>7481</v>
      </c>
      <c r="B3594" s="2" t="s">
        <v>7482</v>
      </c>
      <c r="C3594" s="2" t="s">
        <v>17</v>
      </c>
      <c r="D3594" s="2" t="s">
        <v>18</v>
      </c>
      <c r="E3594" s="5">
        <v>-28720</v>
      </c>
      <c r="F3594" s="3" t="s">
        <v>492</v>
      </c>
      <c r="G3594" s="3" t="s">
        <v>43</v>
      </c>
      <c r="H3594" s="2" t="s">
        <v>21</v>
      </c>
      <c r="I3594" s="2" t="s">
        <v>7484</v>
      </c>
      <c r="J3594" s="3" t="str">
        <f>HYPERLINK("https://www.boe.es/gazeta/dias/1821/05/13/pdfs/GMD-1821-135.pdf#page=1","Abrir facsímil")</f>
        <v>Abrir facsímil</v>
      </c>
      <c r="K3594" s="3" t="s">
        <v>23</v>
      </c>
    </row>
    <row r="3595" spans="1:11" ht="42" customHeight="1">
      <c r="A3595" s="2" t="s">
        <v>7485</v>
      </c>
      <c r="B3595" s="2" t="s">
        <v>7486</v>
      </c>
      <c r="C3595" s="2" t="s">
        <v>26</v>
      </c>
      <c r="D3595" s="2" t="s">
        <v>27</v>
      </c>
      <c r="E3595" s="5">
        <v>-28670</v>
      </c>
      <c r="F3595" s="3" t="s">
        <v>243</v>
      </c>
      <c r="G3595" s="3" t="s">
        <v>88</v>
      </c>
      <c r="H3595" s="2" t="s">
        <v>21</v>
      </c>
      <c r="I3595" s="2" t="s">
        <v>7487</v>
      </c>
      <c r="J3595" s="3" t="str">
        <f>HYPERLINK("https://www.boe.es/gazeta/dias/1821/07/02/pdfs/GMD-1821-186.pdf#page=4","Abrir facsímil")</f>
        <v>Abrir facsímil</v>
      </c>
      <c r="K3595" s="3" t="s">
        <v>23</v>
      </c>
    </row>
    <row r="3596" spans="1:11" ht="42" customHeight="1">
      <c r="A3596" s="2" t="s">
        <v>7488</v>
      </c>
      <c r="B3596" s="2" t="s">
        <v>7489</v>
      </c>
      <c r="C3596" s="2" t="s">
        <v>40</v>
      </c>
      <c r="D3596" s="2" t="s">
        <v>41</v>
      </c>
      <c r="E3596" s="5">
        <v>-28512</v>
      </c>
      <c r="F3596" s="3" t="s">
        <v>66</v>
      </c>
      <c r="G3596" s="3" t="s">
        <v>43</v>
      </c>
      <c r="H3596" s="2" t="s">
        <v>30</v>
      </c>
      <c r="I3596" s="2" t="s">
        <v>7490</v>
      </c>
      <c r="J3596" s="3" t="str">
        <f>HYPERLINK("https://www.boe.es/gazeta/dias/1821/12/07/pdfs/GMD-1821-349.pdf#page=1","Abrir facsímil")</f>
        <v>Abrir facsímil</v>
      </c>
      <c r="K3596" s="3" t="s">
        <v>32</v>
      </c>
    </row>
    <row r="3597" spans="1:11" ht="42" customHeight="1">
      <c r="A3597" s="2" t="s">
        <v>7491</v>
      </c>
      <c r="B3597" s="2" t="s">
        <v>7492</v>
      </c>
      <c r="C3597" s="2" t="s">
        <v>26</v>
      </c>
      <c r="D3597" s="2" t="s">
        <v>27</v>
      </c>
      <c r="E3597" s="5">
        <v>-28742</v>
      </c>
      <c r="F3597" s="3" t="s">
        <v>324</v>
      </c>
      <c r="G3597" s="3" t="s">
        <v>20</v>
      </c>
      <c r="H3597" s="2" t="s">
        <v>21</v>
      </c>
      <c r="I3597" s="2" t="s">
        <v>7493</v>
      </c>
      <c r="J3597" s="3" t="str">
        <f>HYPERLINK("https://www.boe.es/gazeta/dias/1821/04/21/pdfs/GMD-1821-113.pdf#page=3","Abrir facsímil")</f>
        <v>Abrir facsímil</v>
      </c>
      <c r="K3597" s="3" t="s">
        <v>23</v>
      </c>
    </row>
    <row r="3598" spans="1:11" ht="42" customHeight="1">
      <c r="A3598" s="2" t="s">
        <v>7494</v>
      </c>
      <c r="B3598" s="2" t="s">
        <v>7495</v>
      </c>
      <c r="C3598" s="2" t="s">
        <v>26</v>
      </c>
      <c r="D3598" s="2" t="s">
        <v>27</v>
      </c>
      <c r="E3598" s="5">
        <v>-28813</v>
      </c>
      <c r="F3598" s="3" t="s">
        <v>268</v>
      </c>
      <c r="G3598" s="3" t="s">
        <v>20</v>
      </c>
      <c r="H3598" s="2" t="s">
        <v>21</v>
      </c>
      <c r="I3598" s="2" t="s">
        <v>7496</v>
      </c>
      <c r="J3598" s="3" t="str">
        <f>HYPERLINK("https://www.boe.es/gazeta/dias/1821/02/09/pdfs/GGB-1821-40.pdf#page=3","Abrir facsímil")</f>
        <v>Abrir facsímil</v>
      </c>
      <c r="K3598" s="3" t="s">
        <v>23</v>
      </c>
    </row>
    <row r="3599" spans="1:11" ht="42" customHeight="1">
      <c r="A3599" s="2" t="s">
        <v>7497</v>
      </c>
      <c r="B3599" s="2" t="s">
        <v>7498</v>
      </c>
      <c r="C3599" s="2" t="s">
        <v>40</v>
      </c>
      <c r="D3599" s="2" t="s">
        <v>41</v>
      </c>
      <c r="E3599" s="5">
        <v>-28752</v>
      </c>
      <c r="F3599" s="3" t="s">
        <v>1012</v>
      </c>
      <c r="G3599" s="3" t="s">
        <v>52</v>
      </c>
      <c r="H3599" s="2" t="s">
        <v>21</v>
      </c>
      <c r="I3599" s="2" t="s">
        <v>7499</v>
      </c>
      <c r="J3599" s="3" t="str">
        <f>HYPERLINK("https://www.boe.es/gazeta/dias/1821/04/11/pdfs/GMD-1821-103.pdf#page=2","Abrir facsímil")</f>
        <v>Abrir facsímil</v>
      </c>
      <c r="K3599" s="3" t="s">
        <v>23</v>
      </c>
    </row>
    <row r="3600" spans="1:11" ht="42" customHeight="1">
      <c r="A3600" s="2" t="s">
        <v>7500</v>
      </c>
      <c r="B3600" s="2" t="s">
        <v>7501</v>
      </c>
      <c r="C3600" s="2" t="s">
        <v>26</v>
      </c>
      <c r="D3600" s="2" t="s">
        <v>27</v>
      </c>
      <c r="E3600" s="5">
        <v>-28834</v>
      </c>
      <c r="F3600" s="3" t="s">
        <v>369</v>
      </c>
      <c r="G3600" s="3" t="s">
        <v>20</v>
      </c>
      <c r="H3600" s="2" t="s">
        <v>21</v>
      </c>
      <c r="I3600" s="2" t="s">
        <v>7502</v>
      </c>
      <c r="J3600" s="3" t="str">
        <f>HYPERLINK("https://www.boe.es/gazeta/dias/1821/01/19/pdfs/GGB-1821-19.pdf#page=3","Abrir facsímil")</f>
        <v>Abrir facsímil</v>
      </c>
      <c r="K3600" s="3" t="s">
        <v>23</v>
      </c>
    </row>
    <row r="3601" spans="1:11" ht="42" customHeight="1">
      <c r="A3601" s="2" t="s">
        <v>7503</v>
      </c>
      <c r="B3601" s="2" t="s">
        <v>7504</v>
      </c>
      <c r="C3601" s="2" t="s">
        <v>40</v>
      </c>
      <c r="D3601" s="2" t="s">
        <v>41</v>
      </c>
      <c r="E3601" s="5">
        <v>-28764</v>
      </c>
      <c r="F3601" s="3" t="s">
        <v>924</v>
      </c>
      <c r="G3601" s="3" t="s">
        <v>52</v>
      </c>
      <c r="H3601" s="2" t="s">
        <v>21</v>
      </c>
      <c r="I3601" s="2" t="s">
        <v>7505</v>
      </c>
      <c r="J3601" s="3" t="str">
        <f>HYPERLINK("https://www.boe.es/gazeta/dias/1821/03/30/pdfs/GMD-1821-91.pdf#page=2","Abrir facsímil")</f>
        <v>Abrir facsímil</v>
      </c>
      <c r="K3601" s="3" t="s">
        <v>23</v>
      </c>
    </row>
    <row r="3602" spans="1:11" ht="42" customHeight="1">
      <c r="A3602" s="2" t="s">
        <v>7506</v>
      </c>
      <c r="B3602" s="2" t="s">
        <v>7507</v>
      </c>
      <c r="C3602" s="2" t="s">
        <v>40</v>
      </c>
      <c r="D3602" s="2" t="s">
        <v>41</v>
      </c>
      <c r="E3602" s="5">
        <v>-28786</v>
      </c>
      <c r="F3602" s="3" t="s">
        <v>1933</v>
      </c>
      <c r="G3602" s="3" t="s">
        <v>20</v>
      </c>
      <c r="H3602" s="2" t="s">
        <v>21</v>
      </c>
      <c r="I3602" s="2" t="s">
        <v>7508</v>
      </c>
      <c r="J3602" s="3" t="str">
        <f>HYPERLINK("https://www.boe.es/gazeta/dias/1821/03/08/pdfs/GGB-1821-67.pdf#page=3","Abrir facsímil")</f>
        <v>Abrir facsímil</v>
      </c>
      <c r="K3602" s="3" t="s">
        <v>23</v>
      </c>
    </row>
    <row r="3603" spans="1:11" ht="42" customHeight="1">
      <c r="A3603" s="2" t="s">
        <v>7509</v>
      </c>
      <c r="B3603" s="2" t="s">
        <v>7510</v>
      </c>
      <c r="C3603" s="2" t="s">
        <v>17</v>
      </c>
      <c r="D3603" s="2" t="s">
        <v>18</v>
      </c>
      <c r="E3603" s="5">
        <v>-28644</v>
      </c>
      <c r="F3603" s="3" t="s">
        <v>1340</v>
      </c>
      <c r="G3603" s="3" t="s">
        <v>88</v>
      </c>
      <c r="H3603" s="2" t="s">
        <v>21</v>
      </c>
      <c r="I3603" s="2" t="s">
        <v>7511</v>
      </c>
      <c r="J3603" s="3" t="str">
        <f>HYPERLINK("https://www.boe.es/gazeta/dias/1821/07/28/pdfs/GMD-1821-213.pdf#page=4","Abrir facsímil")</f>
        <v>Abrir facsímil</v>
      </c>
      <c r="K3603" s="3" t="s">
        <v>23</v>
      </c>
    </row>
    <row r="3604" spans="1:11" ht="42" customHeight="1">
      <c r="A3604" s="2" t="s">
        <v>7512</v>
      </c>
      <c r="B3604" s="2" t="s">
        <v>7513</v>
      </c>
      <c r="C3604" s="2" t="s">
        <v>40</v>
      </c>
      <c r="D3604" s="2" t="s">
        <v>41</v>
      </c>
      <c r="E3604" s="5">
        <v>-28509</v>
      </c>
      <c r="F3604" s="3" t="s">
        <v>388</v>
      </c>
      <c r="G3604" s="3" t="s">
        <v>333</v>
      </c>
      <c r="H3604" s="2" t="s">
        <v>21</v>
      </c>
      <c r="I3604" s="2" t="s">
        <v>7514</v>
      </c>
      <c r="J3604" s="3" t="str">
        <f>HYPERLINK("https://www.boe.es/gazeta/dias/1821/12/10/pdfs/GMD-1821-352.pdf#page=8","Abrir facsímil")</f>
        <v>Abrir facsímil</v>
      </c>
      <c r="K3604" s="3" t="s">
        <v>23</v>
      </c>
    </row>
    <row r="3605" spans="1:11" ht="42" customHeight="1">
      <c r="A3605" s="2" t="s">
        <v>7515</v>
      </c>
      <c r="B3605" s="2" t="s">
        <v>7516</v>
      </c>
      <c r="C3605" s="2" t="s">
        <v>26</v>
      </c>
      <c r="D3605" s="2" t="s">
        <v>27</v>
      </c>
      <c r="E3605" s="5">
        <v>-28813</v>
      </c>
      <c r="F3605" s="3" t="s">
        <v>268</v>
      </c>
      <c r="G3605" s="3" t="s">
        <v>20</v>
      </c>
      <c r="H3605" s="2" t="s">
        <v>21</v>
      </c>
      <c r="I3605" s="2" t="s">
        <v>7517</v>
      </c>
      <c r="J3605" s="3" t="str">
        <f>HYPERLINK("https://www.boe.es/gazeta/dias/1821/02/09/pdfs/GGB-1821-40.pdf#page=3","Abrir facsímil")</f>
        <v>Abrir facsímil</v>
      </c>
      <c r="K3605" s="3" t="s">
        <v>23</v>
      </c>
    </row>
    <row r="3606" spans="1:11" ht="42" customHeight="1">
      <c r="A3606" s="2" t="s">
        <v>7518</v>
      </c>
      <c r="B3606" s="2" t="s">
        <v>7519</v>
      </c>
      <c r="C3606" s="2" t="s">
        <v>114</v>
      </c>
      <c r="D3606" s="2" t="s">
        <v>27</v>
      </c>
      <c r="E3606" s="5">
        <v>-28667</v>
      </c>
      <c r="F3606" s="3" t="s">
        <v>107</v>
      </c>
      <c r="G3606" s="3" t="s">
        <v>52</v>
      </c>
      <c r="H3606" s="2" t="s">
        <v>21</v>
      </c>
      <c r="I3606" s="2" t="s">
        <v>7520</v>
      </c>
      <c r="J3606" s="3" t="str">
        <f>HYPERLINK("https://www.boe.es/gazeta/dias/1821/07/05/pdfs/GMD-1821-189.pdf#page=2","Abrir facsímil")</f>
        <v>Abrir facsímil</v>
      </c>
      <c r="K3606" s="3" t="s">
        <v>23</v>
      </c>
    </row>
    <row r="3607" spans="1:11" ht="42" customHeight="1">
      <c r="A3607" s="2" t="s">
        <v>7521</v>
      </c>
      <c r="B3607" s="2" t="s">
        <v>7522</v>
      </c>
      <c r="C3607" s="2" t="s">
        <v>40</v>
      </c>
      <c r="D3607" s="2" t="s">
        <v>41</v>
      </c>
      <c r="E3607" s="5">
        <v>-28599</v>
      </c>
      <c r="F3607" s="3" t="s">
        <v>902</v>
      </c>
      <c r="G3607" s="3" t="s">
        <v>20</v>
      </c>
      <c r="H3607" s="2" t="s">
        <v>21</v>
      </c>
      <c r="I3607" s="2" t="s">
        <v>7523</v>
      </c>
      <c r="J3607" s="3" t="str">
        <f>HYPERLINK("https://www.boe.es/gazeta/dias/1821/09/11/pdfs/GMD-1821-259.pdf#page=3","Abrir facsímil")</f>
        <v>Abrir facsímil</v>
      </c>
      <c r="K3607" s="3" t="s">
        <v>23</v>
      </c>
    </row>
    <row r="3608" spans="1:11" ht="42" customHeight="1">
      <c r="A3608" s="2" t="s">
        <v>7524</v>
      </c>
      <c r="B3608" s="2" t="s">
        <v>7525</v>
      </c>
      <c r="C3608" s="2" t="s">
        <v>40</v>
      </c>
      <c r="D3608" s="2" t="s">
        <v>41</v>
      </c>
      <c r="E3608" s="5">
        <v>-28827</v>
      </c>
      <c r="F3608" s="3" t="s">
        <v>1382</v>
      </c>
      <c r="G3608" s="3" t="s">
        <v>88</v>
      </c>
      <c r="H3608" s="2" t="s">
        <v>21</v>
      </c>
      <c r="I3608" s="2" t="s">
        <v>7526</v>
      </c>
      <c r="J3608" s="3" t="str">
        <f>HYPERLINK("https://www.boe.es/gazeta/dias/1821/01/26/pdfs/GGB-1821-26.pdf#page=4","Abrir facsímil")</f>
        <v>Abrir facsímil</v>
      </c>
      <c r="K3608" s="3" t="s">
        <v>23</v>
      </c>
    </row>
    <row r="3609" spans="1:11" ht="42" customHeight="1">
      <c r="A3609" s="2" t="s">
        <v>7524</v>
      </c>
      <c r="B3609" s="2" t="s">
        <v>7525</v>
      </c>
      <c r="C3609" s="2" t="s">
        <v>114</v>
      </c>
      <c r="D3609" s="2" t="s">
        <v>27</v>
      </c>
      <c r="E3609" s="5">
        <v>-28746</v>
      </c>
      <c r="F3609" s="3" t="s">
        <v>687</v>
      </c>
      <c r="G3609" s="3" t="s">
        <v>333</v>
      </c>
      <c r="H3609" s="2" t="s">
        <v>21</v>
      </c>
      <c r="I3609" s="2" t="s">
        <v>7527</v>
      </c>
      <c r="J3609" s="3" t="str">
        <f>HYPERLINK("https://www.boe.es/gazeta/dias/1821/04/17/pdfs/GMD-1821-109.pdf#page=8","Abrir facsímil")</f>
        <v>Abrir facsímil</v>
      </c>
      <c r="K3609" s="3" t="s">
        <v>23</v>
      </c>
    </row>
    <row r="3610" spans="1:11" ht="42" customHeight="1">
      <c r="A3610" s="2" t="s">
        <v>7528</v>
      </c>
      <c r="B3610" s="2" t="s">
        <v>7529</v>
      </c>
      <c r="C3610" s="2" t="s">
        <v>40</v>
      </c>
      <c r="D3610" s="2" t="s">
        <v>41</v>
      </c>
      <c r="E3610" s="5">
        <v>-28729</v>
      </c>
      <c r="F3610" s="3" t="s">
        <v>838</v>
      </c>
      <c r="G3610" s="3" t="s">
        <v>52</v>
      </c>
      <c r="H3610" s="2" t="s">
        <v>21</v>
      </c>
      <c r="I3610" s="2" t="s">
        <v>7530</v>
      </c>
      <c r="J3610" s="3" t="str">
        <f>HYPERLINK("https://www.boe.es/gazeta/dias/1821/05/04/pdfs/GMD-1821-126.pdf#page=2","Abrir facsímil")</f>
        <v>Abrir facsímil</v>
      </c>
      <c r="K3610" s="3" t="s">
        <v>23</v>
      </c>
    </row>
    <row r="3611" spans="1:11" ht="42" customHeight="1">
      <c r="A3611" s="2" t="s">
        <v>7531</v>
      </c>
      <c r="B3611" s="2" t="s">
        <v>7532</v>
      </c>
      <c r="C3611" s="2" t="s">
        <v>40</v>
      </c>
      <c r="D3611" s="2" t="s">
        <v>41</v>
      </c>
      <c r="E3611" s="5">
        <v>-28606</v>
      </c>
      <c r="F3611" s="3" t="s">
        <v>1799</v>
      </c>
      <c r="G3611" s="3" t="s">
        <v>88</v>
      </c>
      <c r="H3611" s="2" t="s">
        <v>21</v>
      </c>
      <c r="I3611" s="2" t="s">
        <v>7533</v>
      </c>
      <c r="J3611" s="3" t="str">
        <f>HYPERLINK("https://www.boe.es/gazeta/dias/1821/09/04/pdfs/GMD-1821-252.pdf#page=4","Abrir facsímil")</f>
        <v>Abrir facsímil</v>
      </c>
      <c r="K3611" s="3" t="s">
        <v>23</v>
      </c>
    </row>
    <row r="3612" spans="1:11" ht="42" customHeight="1">
      <c r="A3612" s="2" t="s">
        <v>7534</v>
      </c>
      <c r="B3612" s="2" t="s">
        <v>7535</v>
      </c>
      <c r="C3612" s="2" t="s">
        <v>40</v>
      </c>
      <c r="D3612" s="2" t="s">
        <v>41</v>
      </c>
      <c r="E3612" s="5">
        <v>-28743</v>
      </c>
      <c r="F3612" s="3" t="s">
        <v>51</v>
      </c>
      <c r="G3612" s="3" t="s">
        <v>52</v>
      </c>
      <c r="H3612" s="2" t="s">
        <v>21</v>
      </c>
      <c r="I3612" s="2" t="s">
        <v>7536</v>
      </c>
      <c r="J3612" s="3" t="str">
        <f>HYPERLINK("https://www.boe.es/gazeta/dias/1821/04/20/pdfs/GMD-1821-112.pdf#page=2","Abrir facsímil")</f>
        <v>Abrir facsímil</v>
      </c>
      <c r="K3612" s="3" t="s">
        <v>23</v>
      </c>
    </row>
    <row r="3613" spans="1:11" ht="42" customHeight="1">
      <c r="A3613" s="2" t="s">
        <v>7537</v>
      </c>
      <c r="B3613" s="2" t="s">
        <v>7538</v>
      </c>
      <c r="C3613" s="2" t="s">
        <v>40</v>
      </c>
      <c r="D3613" s="2" t="s">
        <v>41</v>
      </c>
      <c r="E3613" s="5">
        <v>-28570</v>
      </c>
      <c r="F3613" s="3" t="s">
        <v>2300</v>
      </c>
      <c r="G3613" s="3" t="s">
        <v>162</v>
      </c>
      <c r="H3613" s="2" t="s">
        <v>21</v>
      </c>
      <c r="I3613" s="2" t="s">
        <v>7539</v>
      </c>
      <c r="J3613" s="3" t="str">
        <f>HYPERLINK("https://www.boe.es/gazeta/dias/1821/10/10/pdfs/GMD-1821-289.pdf#page=5","Abrir facsímil")</f>
        <v>Abrir facsímil</v>
      </c>
      <c r="K3613" s="3" t="s">
        <v>23</v>
      </c>
    </row>
    <row r="3614" spans="1:11" ht="42" customHeight="1">
      <c r="A3614" s="2" t="s">
        <v>7540</v>
      </c>
      <c r="B3614" s="2" t="s">
        <v>7541</v>
      </c>
      <c r="C3614" s="2" t="s">
        <v>70</v>
      </c>
      <c r="D3614" s="2" t="s">
        <v>27</v>
      </c>
      <c r="E3614" s="5">
        <v>-28693</v>
      </c>
      <c r="F3614" s="3" t="s">
        <v>74</v>
      </c>
      <c r="G3614" s="3" t="s">
        <v>52</v>
      </c>
      <c r="H3614" s="2" t="s">
        <v>21</v>
      </c>
      <c r="I3614" s="2" t="s">
        <v>7542</v>
      </c>
      <c r="J3614" s="3" t="str">
        <f>HYPERLINK("https://www.boe.es/gazeta/dias/1821/06/09/pdfs/GMD-1821-162.pdf#page=2","Abrir facsímil")</f>
        <v>Abrir facsímil</v>
      </c>
      <c r="K3614" s="3" t="s">
        <v>23</v>
      </c>
    </row>
    <row r="3615" spans="1:11" ht="42" customHeight="1">
      <c r="A3615" s="2" t="s">
        <v>7543</v>
      </c>
      <c r="B3615" s="2" t="s">
        <v>7543</v>
      </c>
      <c r="C3615" s="2" t="s">
        <v>35</v>
      </c>
      <c r="D3615" s="2" t="s">
        <v>27</v>
      </c>
      <c r="E3615" s="5">
        <v>-28850</v>
      </c>
      <c r="F3615" s="3" t="s">
        <v>664</v>
      </c>
      <c r="G3615" s="3" t="s">
        <v>88</v>
      </c>
      <c r="H3615" s="2" t="s">
        <v>21</v>
      </c>
      <c r="I3615" s="2" t="s">
        <v>7544</v>
      </c>
      <c r="J3615" s="3" t="str">
        <f>HYPERLINK("https://www.boe.es/gazeta/dias/1821/01/03/pdfs/GGB-1821-3.pdf#page=4","Abrir facsímil")</f>
        <v>Abrir facsímil</v>
      </c>
      <c r="K3615" s="3" t="s">
        <v>23</v>
      </c>
    </row>
    <row r="3616" spans="1:11" ht="42" customHeight="1">
      <c r="A3616" s="2" t="s">
        <v>7543</v>
      </c>
      <c r="B3616" s="2" t="s">
        <v>7543</v>
      </c>
      <c r="C3616" s="2" t="s">
        <v>70</v>
      </c>
      <c r="D3616" s="2" t="s">
        <v>27</v>
      </c>
      <c r="E3616" s="5">
        <v>-28822</v>
      </c>
      <c r="F3616" s="3" t="s">
        <v>1748</v>
      </c>
      <c r="G3616" s="3" t="s">
        <v>20</v>
      </c>
      <c r="H3616" s="2" t="s">
        <v>21</v>
      </c>
      <c r="I3616" s="2" t="s">
        <v>7545</v>
      </c>
      <c r="J3616" s="3" t="str">
        <f>HYPERLINK("https://www.boe.es/gazeta/dias/1821/01/31/pdfs/GGB-1821-31.pdf#page=3","Abrir facsímil")</f>
        <v>Abrir facsímil</v>
      </c>
      <c r="K3616" s="3" t="s">
        <v>23</v>
      </c>
    </row>
    <row r="3617" spans="1:11" ht="42" customHeight="1">
      <c r="A3617" s="2" t="s">
        <v>7543</v>
      </c>
      <c r="B3617" s="2" t="s">
        <v>7543</v>
      </c>
      <c r="C3617" s="2" t="s">
        <v>70</v>
      </c>
      <c r="D3617" s="2" t="s">
        <v>27</v>
      </c>
      <c r="E3617" s="5">
        <v>-28806</v>
      </c>
      <c r="F3617" s="3" t="s">
        <v>1201</v>
      </c>
      <c r="G3617" s="3" t="s">
        <v>88</v>
      </c>
      <c r="H3617" s="2" t="s">
        <v>21</v>
      </c>
      <c r="I3617" s="2" t="s">
        <v>7546</v>
      </c>
      <c r="J3617" s="3" t="str">
        <f>HYPERLINK("https://www.boe.es/gazeta/dias/1821/02/16/pdfs/GGB-1821-47.pdf#page=4","Abrir facsímil")</f>
        <v>Abrir facsímil</v>
      </c>
      <c r="K3617" s="3" t="s">
        <v>23</v>
      </c>
    </row>
    <row r="3618" spans="1:11" ht="42" customHeight="1">
      <c r="A3618" s="2" t="s">
        <v>7543</v>
      </c>
      <c r="B3618" s="2" t="s">
        <v>7543</v>
      </c>
      <c r="C3618" s="2" t="s">
        <v>17</v>
      </c>
      <c r="D3618" s="2" t="s">
        <v>18</v>
      </c>
      <c r="E3618" s="5">
        <v>-28781</v>
      </c>
      <c r="F3618" s="3" t="s">
        <v>149</v>
      </c>
      <c r="G3618" s="3" t="s">
        <v>88</v>
      </c>
      <c r="H3618" s="2" t="s">
        <v>21</v>
      </c>
      <c r="I3618" s="2" t="s">
        <v>7547</v>
      </c>
      <c r="J3618" s="3" t="str">
        <f>HYPERLINK("https://www.boe.es/gazeta/dias/1821/03/13/pdfs/GMD-1821-72.pdf#page=4","Abrir facsímil")</f>
        <v>Abrir facsímil</v>
      </c>
      <c r="K3618" s="3" t="s">
        <v>23</v>
      </c>
    </row>
    <row r="3619" spans="1:11" ht="42" customHeight="1">
      <c r="A3619" s="2" t="s">
        <v>7543</v>
      </c>
      <c r="B3619" s="2" t="s">
        <v>7543</v>
      </c>
      <c r="C3619" s="2" t="s">
        <v>35</v>
      </c>
      <c r="D3619" s="2" t="s">
        <v>27</v>
      </c>
      <c r="E3619" s="5">
        <v>-28777</v>
      </c>
      <c r="F3619" s="3" t="s">
        <v>1004</v>
      </c>
      <c r="G3619" s="3" t="s">
        <v>29</v>
      </c>
      <c r="H3619" s="2" t="s">
        <v>21</v>
      </c>
      <c r="I3619" s="2" t="s">
        <v>7548</v>
      </c>
      <c r="J3619" s="3" t="str">
        <f>HYPERLINK("https://www.boe.es/gazeta/dias/1821/03/17/pdfs/GMD-1821-76.pdf#page=6","Abrir facsímil")</f>
        <v>Abrir facsímil</v>
      </c>
      <c r="K3619" s="3" t="s">
        <v>23</v>
      </c>
    </row>
    <row r="3620" spans="1:11" ht="42" customHeight="1">
      <c r="A3620" s="2" t="s">
        <v>7543</v>
      </c>
      <c r="B3620" s="2" t="s">
        <v>7543</v>
      </c>
      <c r="C3620" s="2" t="s">
        <v>26</v>
      </c>
      <c r="D3620" s="2" t="s">
        <v>27</v>
      </c>
      <c r="E3620" s="5">
        <v>-28768</v>
      </c>
      <c r="F3620" s="3" t="s">
        <v>1114</v>
      </c>
      <c r="G3620" s="3" t="s">
        <v>20</v>
      </c>
      <c r="H3620" s="2" t="s">
        <v>21</v>
      </c>
      <c r="I3620" s="2" t="s">
        <v>7549</v>
      </c>
      <c r="J3620" s="3" t="str">
        <f>HYPERLINK("https://www.boe.es/gazeta/dias/1821/03/26/pdfs/GMD-1821-86.pdf#page=3","Abrir facsímil")</f>
        <v>Abrir facsímil</v>
      </c>
      <c r="K3620" s="3" t="s">
        <v>23</v>
      </c>
    </row>
    <row r="3621" spans="1:11" ht="42" customHeight="1">
      <c r="A3621" s="2" t="s">
        <v>7543</v>
      </c>
      <c r="B3621" s="2" t="s">
        <v>7543</v>
      </c>
      <c r="C3621" s="2" t="s">
        <v>70</v>
      </c>
      <c r="D3621" s="2" t="s">
        <v>27</v>
      </c>
      <c r="E3621" s="5">
        <v>-28764</v>
      </c>
      <c r="F3621" s="3" t="s">
        <v>924</v>
      </c>
      <c r="G3621" s="3" t="s">
        <v>20</v>
      </c>
      <c r="H3621" s="2" t="s">
        <v>21</v>
      </c>
      <c r="I3621" s="2" t="s">
        <v>7550</v>
      </c>
      <c r="J3621" s="3" t="str">
        <f>HYPERLINK("https://www.boe.es/gazeta/dias/1821/03/30/pdfs/GMD-1821-91.pdf#page=3","Abrir facsímil")</f>
        <v>Abrir facsímil</v>
      </c>
      <c r="K3621" s="3" t="s">
        <v>23</v>
      </c>
    </row>
    <row r="3622" spans="1:11" ht="42" customHeight="1">
      <c r="A3622" s="2" t="s">
        <v>7543</v>
      </c>
      <c r="B3622" s="2" t="s">
        <v>7543</v>
      </c>
      <c r="C3622" s="2" t="s">
        <v>17</v>
      </c>
      <c r="D3622" s="2" t="s">
        <v>18</v>
      </c>
      <c r="E3622" s="5">
        <v>-28763</v>
      </c>
      <c r="F3622" s="3" t="s">
        <v>1145</v>
      </c>
      <c r="G3622" s="3" t="s">
        <v>88</v>
      </c>
      <c r="H3622" s="2" t="s">
        <v>21</v>
      </c>
      <c r="I3622" s="2" t="s">
        <v>7551</v>
      </c>
      <c r="J3622" s="3" t="str">
        <f>HYPERLINK("https://www.boe.es/gazeta/dias/1821/03/31/pdfs/GMD-1821-92.pdf#page=4","Abrir facsímil")</f>
        <v>Abrir facsímil</v>
      </c>
      <c r="K3622" s="3" t="s">
        <v>23</v>
      </c>
    </row>
    <row r="3623" spans="1:11" ht="42" customHeight="1">
      <c r="A3623" s="2" t="s">
        <v>7543</v>
      </c>
      <c r="B3623" s="2" t="s">
        <v>7543</v>
      </c>
      <c r="C3623" s="2" t="s">
        <v>114</v>
      </c>
      <c r="D3623" s="2" t="s">
        <v>27</v>
      </c>
      <c r="E3623" s="5">
        <v>-28762</v>
      </c>
      <c r="F3623" s="3" t="s">
        <v>608</v>
      </c>
      <c r="G3623" s="3" t="s">
        <v>29</v>
      </c>
      <c r="H3623" s="2" t="s">
        <v>21</v>
      </c>
      <c r="I3623" s="2" t="s">
        <v>7552</v>
      </c>
      <c r="J3623" s="3" t="str">
        <f>HYPERLINK("https://www.boe.es/gazeta/dias/1821/04/01/pdfs/GMD-1821-93.pdf#page=6","Abrir facsímil")</f>
        <v>Abrir facsímil</v>
      </c>
      <c r="K3623" s="3" t="s">
        <v>23</v>
      </c>
    </row>
    <row r="3624" spans="1:11" ht="42" customHeight="1">
      <c r="A3624" s="2" t="s">
        <v>7543</v>
      </c>
      <c r="B3624" s="2" t="s">
        <v>7543</v>
      </c>
      <c r="C3624" s="2" t="s">
        <v>70</v>
      </c>
      <c r="D3624" s="2" t="s">
        <v>27</v>
      </c>
      <c r="E3624" s="5">
        <v>-28756</v>
      </c>
      <c r="F3624" s="3" t="s">
        <v>3145</v>
      </c>
      <c r="G3624" s="3" t="s">
        <v>7553</v>
      </c>
      <c r="H3624" s="2" t="s">
        <v>21</v>
      </c>
      <c r="I3624" s="2" t="s">
        <v>7554</v>
      </c>
      <c r="J3624" s="3" t="str">
        <f>HYPERLINK("https://www.boe.es/gazeta/dias/1821/04/07/pdfs/GMD-1821-99.pdf#page=4","Abrir facsímil")</f>
        <v>Abrir facsímil</v>
      </c>
      <c r="K3624" s="3" t="s">
        <v>23</v>
      </c>
    </row>
    <row r="3625" spans="1:11" ht="42" customHeight="1">
      <c r="A3625" s="2" t="s">
        <v>7543</v>
      </c>
      <c r="B3625" s="2" t="s">
        <v>7543</v>
      </c>
      <c r="C3625" s="2" t="s">
        <v>70</v>
      </c>
      <c r="D3625" s="2" t="s">
        <v>27</v>
      </c>
      <c r="E3625" s="5">
        <v>-28753</v>
      </c>
      <c r="F3625" s="3" t="s">
        <v>720</v>
      </c>
      <c r="G3625" s="3" t="s">
        <v>88</v>
      </c>
      <c r="H3625" s="2" t="s">
        <v>21</v>
      </c>
      <c r="I3625" s="2" t="s">
        <v>7555</v>
      </c>
      <c r="J3625" s="3" t="str">
        <f>HYPERLINK("https://www.boe.es/gazeta/dias/1821/04/10/pdfs/GMD-1821-102.pdf#page=4","Abrir facsímil")</f>
        <v>Abrir facsímil</v>
      </c>
      <c r="K3625" s="3" t="s">
        <v>23</v>
      </c>
    </row>
    <row r="3626" spans="1:11" ht="42" customHeight="1">
      <c r="A3626" s="2" t="s">
        <v>7543</v>
      </c>
      <c r="B3626" s="2" t="s">
        <v>7543</v>
      </c>
      <c r="C3626" s="2" t="s">
        <v>26</v>
      </c>
      <c r="D3626" s="2" t="s">
        <v>27</v>
      </c>
      <c r="E3626" s="5">
        <v>-28727</v>
      </c>
      <c r="F3626" s="3" t="s">
        <v>200</v>
      </c>
      <c r="G3626" s="3" t="s">
        <v>88</v>
      </c>
      <c r="H3626" s="2" t="s">
        <v>21</v>
      </c>
      <c r="I3626" s="2" t="s">
        <v>7556</v>
      </c>
      <c r="J3626" s="3" t="str">
        <f>HYPERLINK("https://www.boe.es/gazeta/dias/1821/05/06/pdfs/GMD-1821-128.pdf#page=4","Abrir facsímil")</f>
        <v>Abrir facsímil</v>
      </c>
      <c r="K3626" s="3" t="s">
        <v>23</v>
      </c>
    </row>
    <row r="3627" spans="1:11" ht="42" customHeight="1">
      <c r="A3627" s="2" t="s">
        <v>7543</v>
      </c>
      <c r="B3627" s="2" t="s">
        <v>7543</v>
      </c>
      <c r="C3627" s="2" t="s">
        <v>35</v>
      </c>
      <c r="D3627" s="2" t="s">
        <v>27</v>
      </c>
      <c r="E3627" s="5">
        <v>-28724</v>
      </c>
      <c r="F3627" s="3" t="s">
        <v>1305</v>
      </c>
      <c r="G3627" s="3" t="s">
        <v>1583</v>
      </c>
      <c r="H3627" s="2" t="s">
        <v>21</v>
      </c>
      <c r="I3627" s="2" t="s">
        <v>7557</v>
      </c>
      <c r="J3627" s="3" t="str">
        <f>HYPERLINK("https://www.boe.es/gazeta/dias/1821/05/09/pdfs/GMD-1821-131.pdf#page=4","Abrir facsímil")</f>
        <v>Abrir facsímil</v>
      </c>
      <c r="K3627" s="3" t="s">
        <v>23</v>
      </c>
    </row>
    <row r="3628" spans="1:11" ht="42" customHeight="1">
      <c r="A3628" s="2" t="s">
        <v>7543</v>
      </c>
      <c r="B3628" s="2" t="s">
        <v>7543</v>
      </c>
      <c r="C3628" s="2" t="s">
        <v>17</v>
      </c>
      <c r="D3628" s="2" t="s">
        <v>18</v>
      </c>
      <c r="E3628" s="5">
        <v>-28715</v>
      </c>
      <c r="F3628" s="3" t="s">
        <v>1046</v>
      </c>
      <c r="G3628" s="3" t="s">
        <v>20</v>
      </c>
      <c r="H3628" s="2" t="s">
        <v>21</v>
      </c>
      <c r="I3628" s="2" t="s">
        <v>7558</v>
      </c>
      <c r="J3628" s="3" t="str">
        <f>HYPERLINK("https://www.boe.es/gazeta/dias/1821/05/18/pdfs/GMD-1821-140.pdf#page=3","Abrir facsímil")</f>
        <v>Abrir facsímil</v>
      </c>
      <c r="K3628" s="3" t="s">
        <v>23</v>
      </c>
    </row>
    <row r="3629" spans="1:11" ht="42" customHeight="1">
      <c r="A3629" s="2" t="s">
        <v>7543</v>
      </c>
      <c r="B3629" s="2" t="s">
        <v>7543</v>
      </c>
      <c r="C3629" s="2" t="s">
        <v>40</v>
      </c>
      <c r="D3629" s="2" t="s">
        <v>41</v>
      </c>
      <c r="E3629" s="5">
        <v>-28713</v>
      </c>
      <c r="F3629" s="3" t="s">
        <v>1976</v>
      </c>
      <c r="G3629" s="3" t="s">
        <v>88</v>
      </c>
      <c r="H3629" s="2" t="s">
        <v>21</v>
      </c>
      <c r="I3629" s="2" t="s">
        <v>7559</v>
      </c>
      <c r="J3629" s="3" t="str">
        <f>HYPERLINK("https://www.boe.es/gazeta/dias/1821/05/20/pdfs/GMD-1821-142.pdf#page=4","Abrir facsímil")</f>
        <v>Abrir facsímil</v>
      </c>
      <c r="K3629" s="3" t="s">
        <v>23</v>
      </c>
    </row>
    <row r="3630" spans="1:11" ht="42" customHeight="1">
      <c r="A3630" s="2" t="s">
        <v>7543</v>
      </c>
      <c r="B3630" s="2" t="s">
        <v>7543</v>
      </c>
      <c r="C3630" s="2" t="s">
        <v>17</v>
      </c>
      <c r="D3630" s="2" t="s">
        <v>18</v>
      </c>
      <c r="E3630" s="5">
        <v>-28710</v>
      </c>
      <c r="F3630" s="3" t="s">
        <v>375</v>
      </c>
      <c r="G3630" s="3" t="s">
        <v>7560</v>
      </c>
      <c r="H3630" s="2" t="s">
        <v>21</v>
      </c>
      <c r="I3630" s="2" t="s">
        <v>7561</v>
      </c>
      <c r="J3630" s="3" t="str">
        <f>HYPERLINK("https://www.boe.es/gazeta/dias/1821/05/23/pdfs/GMD-1821-145.pdf#page=3","Abrir facsímil")</f>
        <v>Abrir facsímil</v>
      </c>
      <c r="K3630" s="3" t="s">
        <v>23</v>
      </c>
    </row>
    <row r="3631" spans="1:11" ht="42" customHeight="1">
      <c r="A3631" s="2" t="s">
        <v>7543</v>
      </c>
      <c r="B3631" s="2" t="s">
        <v>7543</v>
      </c>
      <c r="C3631" s="2" t="s">
        <v>70</v>
      </c>
      <c r="D3631" s="2" t="s">
        <v>27</v>
      </c>
      <c r="E3631" s="5">
        <v>-28709</v>
      </c>
      <c r="F3631" s="3" t="s">
        <v>1434</v>
      </c>
      <c r="G3631" s="3" t="s">
        <v>20</v>
      </c>
      <c r="H3631" s="2" t="s">
        <v>21</v>
      </c>
      <c r="I3631" s="2" t="s">
        <v>7562</v>
      </c>
      <c r="J3631" s="3" t="str">
        <f>HYPERLINK("https://www.boe.es/gazeta/dias/1821/05/24/pdfs/GMD-1821-146.pdf#page=3","Abrir facsímil")</f>
        <v>Abrir facsímil</v>
      </c>
      <c r="K3631" s="3" t="s">
        <v>23</v>
      </c>
    </row>
    <row r="3632" spans="1:11" ht="42" customHeight="1">
      <c r="A3632" s="2" t="s">
        <v>7543</v>
      </c>
      <c r="B3632" s="2" t="s">
        <v>7543</v>
      </c>
      <c r="C3632" s="2" t="s">
        <v>35</v>
      </c>
      <c r="D3632" s="2" t="s">
        <v>27</v>
      </c>
      <c r="E3632" s="5">
        <v>-28705</v>
      </c>
      <c r="F3632" s="3" t="s">
        <v>1844</v>
      </c>
      <c r="G3632" s="3" t="s">
        <v>88</v>
      </c>
      <c r="H3632" s="2" t="s">
        <v>21</v>
      </c>
      <c r="I3632" s="2" t="s">
        <v>7563</v>
      </c>
      <c r="J3632" s="3" t="str">
        <f>HYPERLINK("https://www.boe.es/gazeta/dias/1821/05/28/pdfs/GMD-1821-150.pdf#page=4","Abrir facsímil")</f>
        <v>Abrir facsímil</v>
      </c>
      <c r="K3632" s="3" t="s">
        <v>23</v>
      </c>
    </row>
    <row r="3633" spans="1:11" ht="42" customHeight="1">
      <c r="A3633" s="2" t="s">
        <v>7543</v>
      </c>
      <c r="B3633" s="2" t="s">
        <v>7543</v>
      </c>
      <c r="C3633" s="2" t="s">
        <v>35</v>
      </c>
      <c r="D3633" s="2" t="s">
        <v>27</v>
      </c>
      <c r="E3633" s="5">
        <v>-28700</v>
      </c>
      <c r="F3633" s="3" t="s">
        <v>701</v>
      </c>
      <c r="G3633" s="3" t="s">
        <v>88</v>
      </c>
      <c r="H3633" s="2" t="s">
        <v>21</v>
      </c>
      <c r="I3633" s="2" t="s">
        <v>7564</v>
      </c>
      <c r="J3633" s="3" t="str">
        <f>HYPERLINK("https://www.boe.es/gazeta/dias/1821/06/02/pdfs/GMD-1821-155.pdf#page=4","Abrir facsímil")</f>
        <v>Abrir facsímil</v>
      </c>
      <c r="K3633" s="3" t="s">
        <v>23</v>
      </c>
    </row>
    <row r="3634" spans="1:11" ht="42" customHeight="1">
      <c r="A3634" s="2" t="s">
        <v>7543</v>
      </c>
      <c r="B3634" s="2" t="s">
        <v>7543</v>
      </c>
      <c r="C3634" s="2" t="s">
        <v>70</v>
      </c>
      <c r="D3634" s="2" t="s">
        <v>27</v>
      </c>
      <c r="E3634" s="5">
        <v>-28699</v>
      </c>
      <c r="F3634" s="3" t="s">
        <v>280</v>
      </c>
      <c r="G3634" s="3" t="s">
        <v>29</v>
      </c>
      <c r="H3634" s="2" t="s">
        <v>21</v>
      </c>
      <c r="I3634" s="2" t="s">
        <v>7565</v>
      </c>
      <c r="J3634" s="3" t="str">
        <f>HYPERLINK("https://www.boe.es/gazeta/dias/1821/06/03/pdfs/GMD-1821-156.pdf#page=6","Abrir facsímil")</f>
        <v>Abrir facsímil</v>
      </c>
      <c r="K3634" s="3" t="s">
        <v>23</v>
      </c>
    </row>
    <row r="3635" spans="1:11" ht="42" customHeight="1">
      <c r="A3635" s="2" t="s">
        <v>7543</v>
      </c>
      <c r="B3635" s="2" t="s">
        <v>7543</v>
      </c>
      <c r="C3635" s="2" t="s">
        <v>17</v>
      </c>
      <c r="D3635" s="2" t="s">
        <v>18</v>
      </c>
      <c r="E3635" s="5">
        <v>-28697</v>
      </c>
      <c r="F3635" s="3" t="s">
        <v>166</v>
      </c>
      <c r="G3635" s="3" t="s">
        <v>1357</v>
      </c>
      <c r="H3635" s="2" t="s">
        <v>21</v>
      </c>
      <c r="I3635" s="2" t="s">
        <v>7566</v>
      </c>
      <c r="J3635" s="3" t="str">
        <f>HYPERLINK("https://www.boe.es/gazeta/dias/1821/06/05/pdfs/GMD-1821-158.pdf#page=4","Abrir facsímil")</f>
        <v>Abrir facsímil</v>
      </c>
      <c r="K3635" s="3" t="s">
        <v>23</v>
      </c>
    </row>
    <row r="3636" spans="1:11" ht="42" customHeight="1">
      <c r="A3636" s="2" t="s">
        <v>7543</v>
      </c>
      <c r="B3636" s="2" t="s">
        <v>7543</v>
      </c>
      <c r="C3636" s="2" t="s">
        <v>70</v>
      </c>
      <c r="D3636" s="2" t="s">
        <v>27</v>
      </c>
      <c r="E3636" s="5">
        <v>-28696</v>
      </c>
      <c r="F3636" s="3" t="s">
        <v>497</v>
      </c>
      <c r="G3636" s="3" t="s">
        <v>88</v>
      </c>
      <c r="H3636" s="2" t="s">
        <v>21</v>
      </c>
      <c r="I3636" s="2" t="s">
        <v>7567</v>
      </c>
      <c r="J3636" s="3" t="str">
        <f>HYPERLINK("https://www.boe.es/gazeta/dias/1821/06/06/pdfs/GMD-1821-159.pdf#page=4","Abrir facsímil")</f>
        <v>Abrir facsímil</v>
      </c>
      <c r="K3636" s="3" t="s">
        <v>23</v>
      </c>
    </row>
    <row r="3637" spans="1:11" ht="42" customHeight="1">
      <c r="A3637" s="2" t="s">
        <v>7543</v>
      </c>
      <c r="B3637" s="2" t="s">
        <v>7543</v>
      </c>
      <c r="C3637" s="2" t="s">
        <v>70</v>
      </c>
      <c r="D3637" s="2" t="s">
        <v>27</v>
      </c>
      <c r="E3637" s="5">
        <v>-28694</v>
      </c>
      <c r="F3637" s="3" t="s">
        <v>1057</v>
      </c>
      <c r="G3637" s="3" t="s">
        <v>29</v>
      </c>
      <c r="H3637" s="2" t="s">
        <v>21</v>
      </c>
      <c r="I3637" s="2" t="s">
        <v>7568</v>
      </c>
      <c r="J3637" s="3" t="str">
        <f>HYPERLINK("https://www.boe.es/gazeta/dias/1821/06/08/pdfs/GMD-1821-161.pdf#page=6","Abrir facsímil")</f>
        <v>Abrir facsímil</v>
      </c>
      <c r="K3637" s="3" t="s">
        <v>23</v>
      </c>
    </row>
    <row r="3638" spans="1:11" ht="42" customHeight="1">
      <c r="A3638" s="2" t="s">
        <v>7543</v>
      </c>
      <c r="B3638" s="2" t="s">
        <v>7543</v>
      </c>
      <c r="C3638" s="2" t="s">
        <v>70</v>
      </c>
      <c r="D3638" s="2" t="s">
        <v>27</v>
      </c>
      <c r="E3638" s="5">
        <v>-28693</v>
      </c>
      <c r="F3638" s="3" t="s">
        <v>74</v>
      </c>
      <c r="G3638" s="3" t="s">
        <v>1846</v>
      </c>
      <c r="H3638" s="2" t="s">
        <v>21</v>
      </c>
      <c r="I3638" s="2" t="s">
        <v>7569</v>
      </c>
      <c r="J3638" s="3" t="str">
        <f>HYPERLINK("https://www.boe.es/gazeta/dias/1821/06/09/pdfs/GMD-1821-162.pdf#page=6","Abrir facsímil")</f>
        <v>Abrir facsímil</v>
      </c>
      <c r="K3638" s="3" t="s">
        <v>23</v>
      </c>
    </row>
    <row r="3639" spans="1:11" ht="42" customHeight="1">
      <c r="A3639" s="2" t="s">
        <v>7543</v>
      </c>
      <c r="B3639" s="2" t="s">
        <v>7543</v>
      </c>
      <c r="C3639" s="2" t="s">
        <v>70</v>
      </c>
      <c r="D3639" s="2" t="s">
        <v>27</v>
      </c>
      <c r="E3639" s="5">
        <v>-28690</v>
      </c>
      <c r="F3639" s="3" t="s">
        <v>846</v>
      </c>
      <c r="G3639" s="3" t="s">
        <v>1243</v>
      </c>
      <c r="H3639" s="2" t="s">
        <v>21</v>
      </c>
      <c r="I3639" s="2" t="s">
        <v>7570</v>
      </c>
      <c r="J3639" s="3" t="str">
        <f>HYPERLINK("https://www.boe.es/gazeta/dias/1821/06/12/pdfs/GMD-1821-165.pdf#page=4","Abrir facsímil")</f>
        <v>Abrir facsímil</v>
      </c>
      <c r="K3639" s="3" t="s">
        <v>23</v>
      </c>
    </row>
    <row r="3640" spans="1:11" ht="42" customHeight="1">
      <c r="A3640" s="2" t="s">
        <v>7543</v>
      </c>
      <c r="B3640" s="2" t="s">
        <v>7543</v>
      </c>
      <c r="C3640" s="2" t="s">
        <v>114</v>
      </c>
      <c r="D3640" s="2" t="s">
        <v>27</v>
      </c>
      <c r="E3640" s="5">
        <v>-28684</v>
      </c>
      <c r="F3640" s="3" t="s">
        <v>208</v>
      </c>
      <c r="G3640" s="3" t="s">
        <v>88</v>
      </c>
      <c r="H3640" s="2" t="s">
        <v>21</v>
      </c>
      <c r="I3640" s="2" t="s">
        <v>7571</v>
      </c>
      <c r="J3640" s="3" t="str">
        <f>HYPERLINK("https://www.boe.es/gazeta/dias/1821/06/18/pdfs/GMD-1821-171.pdf#page=4","Abrir facsímil")</f>
        <v>Abrir facsímil</v>
      </c>
      <c r="K3640" s="3" t="s">
        <v>23</v>
      </c>
    </row>
    <row r="3641" spans="1:11" ht="42" customHeight="1">
      <c r="A3641" s="2" t="s">
        <v>7543</v>
      </c>
      <c r="B3641" s="2" t="s">
        <v>7543</v>
      </c>
      <c r="C3641" s="2" t="s">
        <v>17</v>
      </c>
      <c r="D3641" s="2" t="s">
        <v>18</v>
      </c>
      <c r="E3641" s="5">
        <v>-28683</v>
      </c>
      <c r="F3641" s="3" t="s">
        <v>332</v>
      </c>
      <c r="G3641" s="3" t="s">
        <v>29</v>
      </c>
      <c r="H3641" s="2" t="s">
        <v>21</v>
      </c>
      <c r="I3641" s="2" t="s">
        <v>7572</v>
      </c>
      <c r="J3641" s="3" t="str">
        <f>HYPERLINK("https://www.boe.es/gazeta/dias/1821/06/19/pdfs/GMD-1821-172.pdf#page=6","Abrir facsímil")</f>
        <v>Abrir facsímil</v>
      </c>
      <c r="K3641" s="3" t="s">
        <v>23</v>
      </c>
    </row>
    <row r="3642" spans="1:11" ht="42" customHeight="1">
      <c r="A3642" s="2" t="s">
        <v>7543</v>
      </c>
      <c r="B3642" s="2" t="s">
        <v>7543</v>
      </c>
      <c r="C3642" s="2" t="s">
        <v>174</v>
      </c>
      <c r="D3642" s="2" t="s">
        <v>27</v>
      </c>
      <c r="E3642" s="5">
        <v>-28683</v>
      </c>
      <c r="F3642" s="3" t="s">
        <v>332</v>
      </c>
      <c r="G3642" s="3" t="s">
        <v>333</v>
      </c>
      <c r="H3642" s="2" t="s">
        <v>21</v>
      </c>
      <c r="I3642" s="2" t="s">
        <v>7573</v>
      </c>
      <c r="J3642" s="3" t="str">
        <f>HYPERLINK("https://www.boe.es/gazeta/dias/1821/06/19/pdfs/GMD-1821-172.pdf#page=8","Abrir facsímil")</f>
        <v>Abrir facsímil</v>
      </c>
      <c r="K3642" s="3" t="s">
        <v>23</v>
      </c>
    </row>
    <row r="3643" spans="1:11" ht="42" customHeight="1">
      <c r="A3643" s="2" t="s">
        <v>7543</v>
      </c>
      <c r="B3643" s="2" t="s">
        <v>7543</v>
      </c>
      <c r="C3643" s="2" t="s">
        <v>70</v>
      </c>
      <c r="D3643" s="2" t="s">
        <v>27</v>
      </c>
      <c r="E3643" s="5">
        <v>-28680</v>
      </c>
      <c r="F3643" s="3" t="s">
        <v>531</v>
      </c>
      <c r="G3643" s="3" t="s">
        <v>88</v>
      </c>
      <c r="H3643" s="2" t="s">
        <v>21</v>
      </c>
      <c r="I3643" s="2" t="s">
        <v>7574</v>
      </c>
      <c r="J3643" s="3" t="str">
        <f>HYPERLINK("https://www.boe.es/gazeta/dias/1821/06/22/pdfs/GMD-1821-175.pdf#page=4","Abrir facsímil")</f>
        <v>Abrir facsímil</v>
      </c>
      <c r="K3643" s="3" t="s">
        <v>23</v>
      </c>
    </row>
    <row r="3644" spans="1:11" ht="42" customHeight="1">
      <c r="A3644" s="2" t="s">
        <v>7543</v>
      </c>
      <c r="B3644" s="2" t="s">
        <v>7543</v>
      </c>
      <c r="C3644" s="2" t="s">
        <v>35</v>
      </c>
      <c r="D3644" s="2" t="s">
        <v>27</v>
      </c>
      <c r="E3644" s="5">
        <v>-28678</v>
      </c>
      <c r="F3644" s="3" t="s">
        <v>215</v>
      </c>
      <c r="G3644" s="3" t="s">
        <v>29</v>
      </c>
      <c r="H3644" s="2" t="s">
        <v>21</v>
      </c>
      <c r="I3644" s="2" t="s">
        <v>7575</v>
      </c>
      <c r="J3644" s="3" t="str">
        <f>HYPERLINK("https://www.boe.es/gazeta/dias/1821/06/24/pdfs/GMD-1821-177.pdf#page=6","Abrir facsímil")</f>
        <v>Abrir facsímil</v>
      </c>
      <c r="K3644" s="3" t="s">
        <v>23</v>
      </c>
    </row>
    <row r="3645" spans="1:11" ht="42" customHeight="1">
      <c r="A3645" s="2" t="s">
        <v>7543</v>
      </c>
      <c r="B3645" s="2" t="s">
        <v>7543</v>
      </c>
      <c r="C3645" s="2" t="s">
        <v>40</v>
      </c>
      <c r="D3645" s="2" t="s">
        <v>41</v>
      </c>
      <c r="E3645" s="5">
        <v>-28675</v>
      </c>
      <c r="F3645" s="3" t="s">
        <v>943</v>
      </c>
      <c r="G3645" s="3" t="s">
        <v>88</v>
      </c>
      <c r="H3645" s="2" t="s">
        <v>21</v>
      </c>
      <c r="I3645" s="2" t="s">
        <v>7576</v>
      </c>
      <c r="J3645" s="3" t="str">
        <f>HYPERLINK("https://www.boe.es/gazeta/dias/1821/06/27/pdfs/GMD-1821-180.pdf#page=4","Abrir facsímil")</f>
        <v>Abrir facsímil</v>
      </c>
      <c r="K3645" s="3" t="s">
        <v>23</v>
      </c>
    </row>
    <row r="3646" spans="1:11" ht="42" customHeight="1">
      <c r="A3646" s="2" t="s">
        <v>7543</v>
      </c>
      <c r="B3646" s="2" t="s">
        <v>7543</v>
      </c>
      <c r="C3646" s="2" t="s">
        <v>35</v>
      </c>
      <c r="D3646" s="2" t="s">
        <v>27</v>
      </c>
      <c r="E3646" s="5">
        <v>-28671</v>
      </c>
      <c r="F3646" s="3" t="s">
        <v>5059</v>
      </c>
      <c r="G3646" s="3" t="s">
        <v>20</v>
      </c>
      <c r="H3646" s="2" t="s">
        <v>21</v>
      </c>
      <c r="I3646" s="2" t="s">
        <v>7577</v>
      </c>
      <c r="J3646" s="3" t="str">
        <f>HYPERLINK("https://www.boe.es/gazeta/dias/1821/07/01/pdfs/GMD-1821-185.pdf#page=3","Abrir facsímil")</f>
        <v>Abrir facsímil</v>
      </c>
      <c r="K3646" s="3" t="s">
        <v>23</v>
      </c>
    </row>
    <row r="3647" spans="1:11" ht="42" customHeight="1">
      <c r="A3647" s="2" t="s">
        <v>7543</v>
      </c>
      <c r="B3647" s="2" t="s">
        <v>7543</v>
      </c>
      <c r="C3647" s="2" t="s">
        <v>70</v>
      </c>
      <c r="D3647" s="2" t="s">
        <v>27</v>
      </c>
      <c r="E3647" s="5">
        <v>-28669</v>
      </c>
      <c r="F3647" s="3" t="s">
        <v>2816</v>
      </c>
      <c r="G3647" s="3" t="s">
        <v>20</v>
      </c>
      <c r="H3647" s="2" t="s">
        <v>21</v>
      </c>
      <c r="I3647" s="2" t="s">
        <v>7578</v>
      </c>
      <c r="J3647" s="3" t="str">
        <f>HYPERLINK("https://www.boe.es/gazeta/dias/1821/07/03/pdfs/GMD-1821-187.pdf#page=3","Abrir facsímil")</f>
        <v>Abrir facsímil</v>
      </c>
      <c r="K3647" s="3" t="s">
        <v>23</v>
      </c>
    </row>
    <row r="3648" spans="1:11" ht="42" customHeight="1">
      <c r="A3648" s="2" t="s">
        <v>7543</v>
      </c>
      <c r="B3648" s="2" t="s">
        <v>7543</v>
      </c>
      <c r="C3648" s="2" t="s">
        <v>26</v>
      </c>
      <c r="D3648" s="2" t="s">
        <v>27</v>
      </c>
      <c r="E3648" s="5">
        <v>-28668</v>
      </c>
      <c r="F3648" s="3" t="s">
        <v>2130</v>
      </c>
      <c r="G3648" s="3" t="s">
        <v>20</v>
      </c>
      <c r="H3648" s="2" t="s">
        <v>21</v>
      </c>
      <c r="I3648" s="2" t="s">
        <v>7579</v>
      </c>
      <c r="J3648" s="3" t="str">
        <f>HYPERLINK("https://www.boe.es/gazeta/dias/1821/07/04/pdfs/GMD-1821-188.pdf#page=3","Abrir facsímil")</f>
        <v>Abrir facsímil</v>
      </c>
      <c r="K3648" s="3" t="s">
        <v>23</v>
      </c>
    </row>
    <row r="3649" spans="1:11" ht="42" customHeight="1">
      <c r="A3649" s="2" t="s">
        <v>7543</v>
      </c>
      <c r="B3649" s="2" t="s">
        <v>7543</v>
      </c>
      <c r="C3649" s="2" t="s">
        <v>70</v>
      </c>
      <c r="D3649" s="2" t="s">
        <v>27</v>
      </c>
      <c r="E3649" s="5">
        <v>-28666</v>
      </c>
      <c r="F3649" s="3" t="s">
        <v>1263</v>
      </c>
      <c r="G3649" s="3" t="s">
        <v>88</v>
      </c>
      <c r="H3649" s="2" t="s">
        <v>21</v>
      </c>
      <c r="I3649" s="2" t="s">
        <v>7580</v>
      </c>
      <c r="J3649" s="3" t="str">
        <f>HYPERLINK("https://www.boe.es/gazeta/dias/1821/07/06/pdfs/GMD-1821-190.pdf#page=4","Abrir facsímil")</f>
        <v>Abrir facsímil</v>
      </c>
      <c r="K3649" s="3" t="s">
        <v>23</v>
      </c>
    </row>
    <row r="3650" spans="1:11" ht="42" customHeight="1">
      <c r="A3650" s="2" t="s">
        <v>7543</v>
      </c>
      <c r="B3650" s="2" t="s">
        <v>7543</v>
      </c>
      <c r="C3650" s="2" t="s">
        <v>35</v>
      </c>
      <c r="D3650" s="2" t="s">
        <v>27</v>
      </c>
      <c r="E3650" s="5">
        <v>-28665</v>
      </c>
      <c r="F3650" s="3" t="s">
        <v>789</v>
      </c>
      <c r="G3650" s="3" t="s">
        <v>20</v>
      </c>
      <c r="H3650" s="2" t="s">
        <v>21</v>
      </c>
      <c r="I3650" s="2" t="s">
        <v>7581</v>
      </c>
      <c r="J3650" s="3" t="str">
        <f>HYPERLINK("https://www.boe.es/gazeta/dias/1821/07/07/pdfs/GMD-1821-191.pdf#page=3","Abrir facsímil")</f>
        <v>Abrir facsímil</v>
      </c>
      <c r="K3650" s="3" t="s">
        <v>23</v>
      </c>
    </row>
    <row r="3651" spans="1:11" ht="42" customHeight="1">
      <c r="A3651" s="2" t="s">
        <v>7543</v>
      </c>
      <c r="B3651" s="2" t="s">
        <v>7543</v>
      </c>
      <c r="C3651" s="2" t="s">
        <v>17</v>
      </c>
      <c r="D3651" s="2" t="s">
        <v>18</v>
      </c>
      <c r="E3651" s="5">
        <v>-28663</v>
      </c>
      <c r="F3651" s="3" t="s">
        <v>3032</v>
      </c>
      <c r="G3651" s="3" t="s">
        <v>20</v>
      </c>
      <c r="H3651" s="2" t="s">
        <v>21</v>
      </c>
      <c r="I3651" s="2" t="s">
        <v>7582</v>
      </c>
      <c r="J3651" s="3" t="str">
        <f>HYPERLINK("https://www.boe.es/gazeta/dias/1821/07/09/pdfs/GMD-1821-194.pdf#page=3","Abrir facsímil")</f>
        <v>Abrir facsímil</v>
      </c>
      <c r="K3651" s="3" t="s">
        <v>23</v>
      </c>
    </row>
    <row r="3652" spans="1:11" ht="42" customHeight="1">
      <c r="A3652" s="2" t="s">
        <v>7543</v>
      </c>
      <c r="B3652" s="2" t="s">
        <v>7543</v>
      </c>
      <c r="C3652" s="2" t="s">
        <v>35</v>
      </c>
      <c r="D3652" s="2" t="s">
        <v>27</v>
      </c>
      <c r="E3652" s="5">
        <v>-28662</v>
      </c>
      <c r="F3652" s="3" t="s">
        <v>3289</v>
      </c>
      <c r="G3652" s="3" t="s">
        <v>88</v>
      </c>
      <c r="H3652" s="2" t="s">
        <v>21</v>
      </c>
      <c r="I3652" s="2" t="s">
        <v>7583</v>
      </c>
      <c r="J3652" s="3" t="str">
        <f>HYPERLINK("https://www.boe.es/gazeta/dias/1821/07/10/pdfs/GMD-1821-195.pdf#page=4","Abrir facsímil")</f>
        <v>Abrir facsímil</v>
      </c>
      <c r="K3652" s="3" t="s">
        <v>23</v>
      </c>
    </row>
    <row r="3653" spans="1:11" ht="42" customHeight="1">
      <c r="A3653" s="2" t="s">
        <v>7543</v>
      </c>
      <c r="B3653" s="2" t="s">
        <v>7543</v>
      </c>
      <c r="C3653" s="2" t="s">
        <v>35</v>
      </c>
      <c r="D3653" s="2" t="s">
        <v>27</v>
      </c>
      <c r="E3653" s="5">
        <v>-28661</v>
      </c>
      <c r="F3653" s="3" t="s">
        <v>2298</v>
      </c>
      <c r="G3653" s="3" t="s">
        <v>162</v>
      </c>
      <c r="H3653" s="2" t="s">
        <v>21</v>
      </c>
      <c r="I3653" s="2" t="s">
        <v>7584</v>
      </c>
      <c r="J3653" s="3" t="str">
        <f>HYPERLINK("https://www.boe.es/gazeta/dias/1821/07/11/pdfs/GMD-1821-196.pdf#page=5","Abrir facsímil")</f>
        <v>Abrir facsímil</v>
      </c>
      <c r="K3653" s="3" t="s">
        <v>23</v>
      </c>
    </row>
    <row r="3654" spans="1:11" ht="42" customHeight="1">
      <c r="A3654" s="2" t="s">
        <v>7543</v>
      </c>
      <c r="B3654" s="2" t="s">
        <v>7543</v>
      </c>
      <c r="C3654" s="2" t="s">
        <v>70</v>
      </c>
      <c r="D3654" s="2" t="s">
        <v>27</v>
      </c>
      <c r="E3654" s="5">
        <v>-28660</v>
      </c>
      <c r="F3654" s="3" t="s">
        <v>7202</v>
      </c>
      <c r="G3654" s="3" t="s">
        <v>88</v>
      </c>
      <c r="H3654" s="2" t="s">
        <v>21</v>
      </c>
      <c r="I3654" s="2" t="s">
        <v>7585</v>
      </c>
      <c r="J3654" s="3" t="str">
        <f>HYPERLINK("https://www.boe.es/gazeta/dias/1821/07/12/pdfs/GMD-1821-197.pdf#page=4","Abrir facsímil")</f>
        <v>Abrir facsímil</v>
      </c>
      <c r="K3654" s="3" t="s">
        <v>23</v>
      </c>
    </row>
    <row r="3655" spans="1:11" ht="42" customHeight="1">
      <c r="A3655" s="2" t="s">
        <v>7543</v>
      </c>
      <c r="B3655" s="2" t="s">
        <v>7543</v>
      </c>
      <c r="C3655" s="2" t="s">
        <v>26</v>
      </c>
      <c r="D3655" s="2" t="s">
        <v>27</v>
      </c>
      <c r="E3655" s="5">
        <v>-28659</v>
      </c>
      <c r="F3655" s="3" t="s">
        <v>2850</v>
      </c>
      <c r="G3655" s="3" t="s">
        <v>5087</v>
      </c>
      <c r="H3655" s="2" t="s">
        <v>21</v>
      </c>
      <c r="I3655" s="2" t="s">
        <v>7586</v>
      </c>
      <c r="J3655" s="3" t="str">
        <f>HYPERLINK("https://www.boe.es/gazeta/dias/1821/07/13/pdfs/GMD-1821-198.pdf#page=4","Abrir facsímil")</f>
        <v>Abrir facsímil</v>
      </c>
      <c r="K3655" s="3" t="s">
        <v>23</v>
      </c>
    </row>
    <row r="3656" spans="1:11" ht="42" customHeight="1">
      <c r="A3656" s="2" t="s">
        <v>7543</v>
      </c>
      <c r="B3656" s="2" t="s">
        <v>7543</v>
      </c>
      <c r="C3656" s="2" t="s">
        <v>70</v>
      </c>
      <c r="D3656" s="2" t="s">
        <v>27</v>
      </c>
      <c r="E3656" s="5">
        <v>-28659</v>
      </c>
      <c r="F3656" s="3" t="s">
        <v>2850</v>
      </c>
      <c r="G3656" s="3" t="s">
        <v>20</v>
      </c>
      <c r="H3656" s="2" t="s">
        <v>21</v>
      </c>
      <c r="I3656" s="2" t="s">
        <v>7587</v>
      </c>
      <c r="J3656" s="3" t="str">
        <f>HYPERLINK("https://www.boe.es/gazeta/dias/1821/07/13/pdfs/GMD-1821-198.pdf#page=3","Abrir facsímil")</f>
        <v>Abrir facsímil</v>
      </c>
      <c r="K3656" s="3" t="s">
        <v>23</v>
      </c>
    </row>
    <row r="3657" spans="1:11" ht="42" customHeight="1">
      <c r="A3657" s="2" t="s">
        <v>7543</v>
      </c>
      <c r="B3657" s="2" t="s">
        <v>7543</v>
      </c>
      <c r="C3657" s="2" t="s">
        <v>70</v>
      </c>
      <c r="D3657" s="2" t="s">
        <v>27</v>
      </c>
      <c r="E3657" s="5">
        <v>-28658</v>
      </c>
      <c r="F3657" s="3" t="s">
        <v>2528</v>
      </c>
      <c r="G3657" s="3" t="s">
        <v>20</v>
      </c>
      <c r="H3657" s="2" t="s">
        <v>21</v>
      </c>
      <c r="I3657" s="2" t="s">
        <v>7588</v>
      </c>
      <c r="J3657" s="3" t="str">
        <f>HYPERLINK("https://www.boe.es/gazeta/dias/1821/07/14/pdfs/GMD-1821-199.pdf#page=3","Abrir facsímil")</f>
        <v>Abrir facsímil</v>
      </c>
      <c r="K3657" s="3" t="s">
        <v>23</v>
      </c>
    </row>
    <row r="3658" spans="1:11" ht="42" customHeight="1">
      <c r="A3658" s="2" t="s">
        <v>7543</v>
      </c>
      <c r="B3658" s="2" t="s">
        <v>7543</v>
      </c>
      <c r="C3658" s="2" t="s">
        <v>70</v>
      </c>
      <c r="D3658" s="2" t="s">
        <v>27</v>
      </c>
      <c r="E3658" s="5">
        <v>-28657</v>
      </c>
      <c r="F3658" s="3" t="s">
        <v>5977</v>
      </c>
      <c r="G3658" s="3" t="s">
        <v>20</v>
      </c>
      <c r="H3658" s="2" t="s">
        <v>21</v>
      </c>
      <c r="I3658" s="2" t="s">
        <v>7589</v>
      </c>
      <c r="J3658" s="3" t="str">
        <f>HYPERLINK("https://www.boe.es/gazeta/dias/1821/07/15/pdfs/GMD-1821-200.pdf#page=3","Abrir facsímil")</f>
        <v>Abrir facsímil</v>
      </c>
      <c r="K3658" s="3" t="s">
        <v>23</v>
      </c>
    </row>
    <row r="3659" spans="1:11" ht="42" customHeight="1">
      <c r="A3659" s="2" t="s">
        <v>7543</v>
      </c>
      <c r="B3659" s="2" t="s">
        <v>7543</v>
      </c>
      <c r="C3659" s="2" t="s">
        <v>26</v>
      </c>
      <c r="D3659" s="2" t="s">
        <v>27</v>
      </c>
      <c r="E3659" s="5">
        <v>-28657</v>
      </c>
      <c r="F3659" s="3" t="s">
        <v>5977</v>
      </c>
      <c r="G3659" s="3" t="s">
        <v>88</v>
      </c>
      <c r="H3659" s="2" t="s">
        <v>21</v>
      </c>
      <c r="I3659" s="2" t="s">
        <v>7590</v>
      </c>
      <c r="J3659" s="3" t="str">
        <f>HYPERLINK("https://www.boe.es/gazeta/dias/1821/07/15/pdfs/GMD-1821-200.pdf#page=4","Abrir facsímil")</f>
        <v>Abrir facsímil</v>
      </c>
      <c r="K3659" s="3" t="s">
        <v>23</v>
      </c>
    </row>
    <row r="3660" spans="1:11" ht="42" customHeight="1">
      <c r="A3660" s="2" t="s">
        <v>7543</v>
      </c>
      <c r="B3660" s="2" t="s">
        <v>7543</v>
      </c>
      <c r="C3660" s="2" t="s">
        <v>40</v>
      </c>
      <c r="D3660" s="2" t="s">
        <v>41</v>
      </c>
      <c r="E3660" s="5">
        <v>-28656</v>
      </c>
      <c r="F3660" s="3" t="s">
        <v>2399</v>
      </c>
      <c r="G3660" s="3" t="s">
        <v>3208</v>
      </c>
      <c r="H3660" s="2" t="s">
        <v>21</v>
      </c>
      <c r="I3660" s="2" t="s">
        <v>7591</v>
      </c>
      <c r="J3660" s="3" t="str">
        <f>HYPERLINK("https://www.boe.es/gazeta/dias/1821/07/16/pdfs/GMD-1821-201.pdf#page=3","Abrir facsímil")</f>
        <v>Abrir facsímil</v>
      </c>
      <c r="K3660" s="3" t="s">
        <v>23</v>
      </c>
    </row>
    <row r="3661" spans="1:11" ht="42" customHeight="1">
      <c r="A3661" s="2" t="s">
        <v>7543</v>
      </c>
      <c r="B3661" s="2" t="s">
        <v>7543</v>
      </c>
      <c r="C3661" s="2" t="s">
        <v>26</v>
      </c>
      <c r="D3661" s="2" t="s">
        <v>27</v>
      </c>
      <c r="E3661" s="5">
        <v>-28656</v>
      </c>
      <c r="F3661" s="3" t="s">
        <v>2399</v>
      </c>
      <c r="G3661" s="3" t="s">
        <v>88</v>
      </c>
      <c r="H3661" s="2" t="s">
        <v>21</v>
      </c>
      <c r="I3661" s="2" t="s">
        <v>7592</v>
      </c>
      <c r="J3661" s="3" t="str">
        <f>HYPERLINK("https://www.boe.es/gazeta/dias/1821/07/16/pdfs/GMD-1821-201.pdf#page=4","Abrir facsímil")</f>
        <v>Abrir facsímil</v>
      </c>
      <c r="K3661" s="3" t="s">
        <v>23</v>
      </c>
    </row>
    <row r="3662" spans="1:11" ht="42" customHeight="1">
      <c r="A3662" s="2" t="s">
        <v>7543</v>
      </c>
      <c r="B3662" s="2" t="s">
        <v>7543</v>
      </c>
      <c r="C3662" s="2" t="s">
        <v>70</v>
      </c>
      <c r="D3662" s="2" t="s">
        <v>27</v>
      </c>
      <c r="E3662" s="5">
        <v>-28655</v>
      </c>
      <c r="F3662" s="3" t="s">
        <v>2530</v>
      </c>
      <c r="G3662" s="3" t="s">
        <v>20</v>
      </c>
      <c r="H3662" s="2" t="s">
        <v>21</v>
      </c>
      <c r="I3662" s="2" t="s">
        <v>7593</v>
      </c>
      <c r="J3662" s="3" t="str">
        <f>HYPERLINK("https://www.boe.es/gazeta/dias/1821/07/17/pdfs/GMD-1821-202.pdf#page=3","Abrir facsímil")</f>
        <v>Abrir facsímil</v>
      </c>
      <c r="K3662" s="3" t="s">
        <v>23</v>
      </c>
    </row>
    <row r="3663" spans="1:11" ht="42" customHeight="1">
      <c r="A3663" s="2" t="s">
        <v>7543</v>
      </c>
      <c r="B3663" s="2" t="s">
        <v>7543</v>
      </c>
      <c r="C3663" s="2" t="s">
        <v>17</v>
      </c>
      <c r="D3663" s="2" t="s">
        <v>18</v>
      </c>
      <c r="E3663" s="5">
        <v>-28654</v>
      </c>
      <c r="F3663" s="3" t="s">
        <v>674</v>
      </c>
      <c r="G3663" s="3" t="s">
        <v>20</v>
      </c>
      <c r="H3663" s="2" t="s">
        <v>21</v>
      </c>
      <c r="I3663" s="2" t="s">
        <v>7594</v>
      </c>
      <c r="J3663" s="3" t="str">
        <f>HYPERLINK("https://www.boe.es/gazeta/dias/1821/07/18/pdfs/GMD-1821-203.pdf#page=3","Abrir facsímil")</f>
        <v>Abrir facsímil</v>
      </c>
      <c r="K3663" s="3" t="s">
        <v>23</v>
      </c>
    </row>
    <row r="3664" spans="1:11" ht="42" customHeight="1">
      <c r="A3664" s="2" t="s">
        <v>7543</v>
      </c>
      <c r="B3664" s="2" t="s">
        <v>7543</v>
      </c>
      <c r="C3664" s="2" t="s">
        <v>17</v>
      </c>
      <c r="D3664" s="2" t="s">
        <v>18</v>
      </c>
      <c r="E3664" s="5">
        <v>-28653</v>
      </c>
      <c r="F3664" s="3" t="s">
        <v>1179</v>
      </c>
      <c r="G3664" s="3" t="s">
        <v>29</v>
      </c>
      <c r="H3664" s="2" t="s">
        <v>21</v>
      </c>
      <c r="I3664" s="2" t="s">
        <v>7595</v>
      </c>
      <c r="J3664" s="3" t="str">
        <f>HYPERLINK("https://www.boe.es/gazeta/dias/1821/07/19/pdfs/GMD-1821-204.pdf#page=6","Abrir facsímil")</f>
        <v>Abrir facsímil</v>
      </c>
      <c r="K3664" s="3" t="s">
        <v>23</v>
      </c>
    </row>
    <row r="3665" spans="1:11" ht="42" customHeight="1">
      <c r="A3665" s="2" t="s">
        <v>7543</v>
      </c>
      <c r="B3665" s="2" t="s">
        <v>7543</v>
      </c>
      <c r="C3665" s="2" t="s">
        <v>70</v>
      </c>
      <c r="D3665" s="2" t="s">
        <v>27</v>
      </c>
      <c r="E3665" s="5">
        <v>-28649</v>
      </c>
      <c r="F3665" s="3" t="s">
        <v>4688</v>
      </c>
      <c r="G3665" s="3" t="s">
        <v>88</v>
      </c>
      <c r="H3665" s="2" t="s">
        <v>21</v>
      </c>
      <c r="I3665" s="2" t="s">
        <v>7596</v>
      </c>
      <c r="J3665" s="3" t="str">
        <f>HYPERLINK("https://www.boe.es/gazeta/dias/1821/07/23/pdfs/GMD-1821-208.pdf#page=4","Abrir facsímil")</f>
        <v>Abrir facsímil</v>
      </c>
      <c r="K3665" s="3" t="s">
        <v>23</v>
      </c>
    </row>
    <row r="3666" spans="1:11" ht="42" customHeight="1">
      <c r="A3666" s="2" t="s">
        <v>7543</v>
      </c>
      <c r="B3666" s="2" t="s">
        <v>7543</v>
      </c>
      <c r="C3666" s="2" t="s">
        <v>35</v>
      </c>
      <c r="D3666" s="2" t="s">
        <v>27</v>
      </c>
      <c r="E3666" s="5">
        <v>-28647</v>
      </c>
      <c r="F3666" s="3" t="s">
        <v>1295</v>
      </c>
      <c r="G3666" s="3" t="s">
        <v>88</v>
      </c>
      <c r="H3666" s="2" t="s">
        <v>21</v>
      </c>
      <c r="I3666" s="2" t="s">
        <v>7597</v>
      </c>
      <c r="J3666" s="3" t="str">
        <f>HYPERLINK("https://www.boe.es/gazeta/dias/1821/07/25/pdfs/GMD-1821-210.pdf#page=4","Abrir facsímil")</f>
        <v>Abrir facsímil</v>
      </c>
      <c r="K3666" s="3" t="s">
        <v>23</v>
      </c>
    </row>
    <row r="3667" spans="1:11" ht="42" customHeight="1">
      <c r="A3667" s="2" t="s">
        <v>7543</v>
      </c>
      <c r="B3667" s="2" t="s">
        <v>7543</v>
      </c>
      <c r="C3667" s="2" t="s">
        <v>40</v>
      </c>
      <c r="D3667" s="2" t="s">
        <v>41</v>
      </c>
      <c r="E3667" s="5">
        <v>-28646</v>
      </c>
      <c r="F3667" s="3" t="s">
        <v>1457</v>
      </c>
      <c r="G3667" s="3" t="s">
        <v>20</v>
      </c>
      <c r="H3667" s="2" t="s">
        <v>21</v>
      </c>
      <c r="I3667" s="2" t="s">
        <v>7598</v>
      </c>
      <c r="J3667" s="3" t="str">
        <f>HYPERLINK("https://www.boe.es/gazeta/dias/1821/07/26/pdfs/GMD-1821-211.pdf#page=3","Abrir facsímil")</f>
        <v>Abrir facsímil</v>
      </c>
      <c r="K3667" s="3" t="s">
        <v>23</v>
      </c>
    </row>
    <row r="3668" spans="1:11" ht="42" customHeight="1">
      <c r="A3668" s="2" t="s">
        <v>7543</v>
      </c>
      <c r="B3668" s="2" t="s">
        <v>7543</v>
      </c>
      <c r="C3668" s="2" t="s">
        <v>35</v>
      </c>
      <c r="D3668" s="2" t="s">
        <v>27</v>
      </c>
      <c r="E3668" s="5">
        <v>-28644</v>
      </c>
      <c r="F3668" s="3" t="s">
        <v>1340</v>
      </c>
      <c r="G3668" s="3" t="s">
        <v>88</v>
      </c>
      <c r="H3668" s="2" t="s">
        <v>21</v>
      </c>
      <c r="I3668" s="2" t="s">
        <v>7599</v>
      </c>
      <c r="J3668" s="3" t="str">
        <f>HYPERLINK("https://www.boe.es/gazeta/dias/1821/07/28/pdfs/GMD-1821-213.pdf#page=4","Abrir facsímil")</f>
        <v>Abrir facsímil</v>
      </c>
      <c r="K3668" s="3" t="s">
        <v>23</v>
      </c>
    </row>
    <row r="3669" spans="1:11" ht="42" customHeight="1">
      <c r="A3669" s="2" t="s">
        <v>7543</v>
      </c>
      <c r="B3669" s="2" t="s">
        <v>7543</v>
      </c>
      <c r="C3669" s="2" t="s">
        <v>70</v>
      </c>
      <c r="D3669" s="2" t="s">
        <v>27</v>
      </c>
      <c r="E3669" s="5">
        <v>-28640</v>
      </c>
      <c r="F3669" s="3" t="s">
        <v>1590</v>
      </c>
      <c r="G3669" s="3" t="s">
        <v>20</v>
      </c>
      <c r="H3669" s="2" t="s">
        <v>21</v>
      </c>
      <c r="I3669" s="2" t="s">
        <v>7600</v>
      </c>
      <c r="J3669" s="3" t="str">
        <f>HYPERLINK("https://www.boe.es/gazeta/dias/1821/08/01/pdfs/GMD-1821-217.pdf#page=3","Abrir facsímil")</f>
        <v>Abrir facsímil</v>
      </c>
      <c r="K3669" s="3" t="s">
        <v>23</v>
      </c>
    </row>
    <row r="3670" spans="1:11" ht="42" customHeight="1">
      <c r="A3670" s="2" t="s">
        <v>7543</v>
      </c>
      <c r="B3670" s="2" t="s">
        <v>7543</v>
      </c>
      <c r="C3670" s="2" t="s">
        <v>26</v>
      </c>
      <c r="D3670" s="2" t="s">
        <v>27</v>
      </c>
      <c r="E3670" s="5">
        <v>-28640</v>
      </c>
      <c r="F3670" s="3" t="s">
        <v>1590</v>
      </c>
      <c r="G3670" s="3" t="s">
        <v>162</v>
      </c>
      <c r="H3670" s="2" t="s">
        <v>21</v>
      </c>
      <c r="I3670" s="2" t="s">
        <v>7601</v>
      </c>
      <c r="J3670" s="3" t="str">
        <f>HYPERLINK("https://www.boe.es/gazeta/dias/1821/08/01/pdfs/GMD-1821-217.pdf#page=5","Abrir facsímil")</f>
        <v>Abrir facsímil</v>
      </c>
      <c r="K3670" s="3" t="s">
        <v>23</v>
      </c>
    </row>
    <row r="3671" spans="1:11" ht="42" customHeight="1">
      <c r="A3671" s="2" t="s">
        <v>7543</v>
      </c>
      <c r="B3671" s="2" t="s">
        <v>7543</v>
      </c>
      <c r="C3671" s="2" t="s">
        <v>70</v>
      </c>
      <c r="D3671" s="2" t="s">
        <v>27</v>
      </c>
      <c r="E3671" s="5">
        <v>-28637</v>
      </c>
      <c r="F3671" s="3" t="s">
        <v>3049</v>
      </c>
      <c r="G3671" s="3" t="s">
        <v>20</v>
      </c>
      <c r="H3671" s="2" t="s">
        <v>21</v>
      </c>
      <c r="I3671" s="2" t="s">
        <v>7602</v>
      </c>
      <c r="J3671" s="3" t="str">
        <f>HYPERLINK("https://www.boe.es/gazeta/dias/1821/08/04/pdfs/GMD-1821-220.pdf#page=3","Abrir facsímil")</f>
        <v>Abrir facsímil</v>
      </c>
      <c r="K3671" s="3" t="s">
        <v>23</v>
      </c>
    </row>
    <row r="3672" spans="1:11" ht="42" customHeight="1">
      <c r="A3672" s="2" t="s">
        <v>7543</v>
      </c>
      <c r="B3672" s="2" t="s">
        <v>7543</v>
      </c>
      <c r="C3672" s="2" t="s">
        <v>70</v>
      </c>
      <c r="D3672" s="2" t="s">
        <v>27</v>
      </c>
      <c r="E3672" s="5">
        <v>-28636</v>
      </c>
      <c r="F3672" s="3" t="s">
        <v>122</v>
      </c>
      <c r="G3672" s="3" t="s">
        <v>20</v>
      </c>
      <c r="H3672" s="2" t="s">
        <v>21</v>
      </c>
      <c r="I3672" s="2" t="s">
        <v>7603</v>
      </c>
      <c r="J3672" s="3" t="str">
        <f>HYPERLINK("https://www.boe.es/gazeta/dias/1821/08/05/pdfs/GMD-1821-221.pdf#page=3","Abrir facsímil")</f>
        <v>Abrir facsímil</v>
      </c>
      <c r="K3672" s="3" t="s">
        <v>23</v>
      </c>
    </row>
    <row r="3673" spans="1:11" ht="42" customHeight="1">
      <c r="A3673" s="2" t="s">
        <v>7543</v>
      </c>
      <c r="B3673" s="2" t="s">
        <v>7543</v>
      </c>
      <c r="C3673" s="2" t="s">
        <v>35</v>
      </c>
      <c r="D3673" s="2" t="s">
        <v>27</v>
      </c>
      <c r="E3673" s="5">
        <v>-28634</v>
      </c>
      <c r="F3673" s="3" t="s">
        <v>2533</v>
      </c>
      <c r="G3673" s="3" t="s">
        <v>20</v>
      </c>
      <c r="H3673" s="2" t="s">
        <v>21</v>
      </c>
      <c r="I3673" s="2" t="s">
        <v>7604</v>
      </c>
      <c r="J3673" s="3" t="str">
        <f>HYPERLINK("https://www.boe.es/gazeta/dias/1821/08/07/pdfs/GMD-1821-223.pdf#page=3","Abrir facsímil")</f>
        <v>Abrir facsímil</v>
      </c>
      <c r="K3673" s="3" t="s">
        <v>23</v>
      </c>
    </row>
    <row r="3674" spans="1:11" ht="42" customHeight="1">
      <c r="A3674" s="2" t="s">
        <v>7543</v>
      </c>
      <c r="B3674" s="2" t="s">
        <v>7543</v>
      </c>
      <c r="C3674" s="2" t="s">
        <v>70</v>
      </c>
      <c r="D3674" s="2" t="s">
        <v>27</v>
      </c>
      <c r="E3674" s="5">
        <v>-28623</v>
      </c>
      <c r="F3674" s="3" t="s">
        <v>2767</v>
      </c>
      <c r="G3674" s="3" t="s">
        <v>88</v>
      </c>
      <c r="H3674" s="2" t="s">
        <v>21</v>
      </c>
      <c r="I3674" s="2" t="s">
        <v>7605</v>
      </c>
      <c r="J3674" s="3" t="str">
        <f>HYPERLINK("https://www.boe.es/gazeta/dias/1821/08/18/pdfs/GMD-1821-235.pdf#page=4","Abrir facsímil")</f>
        <v>Abrir facsímil</v>
      </c>
      <c r="K3674" s="3" t="s">
        <v>23</v>
      </c>
    </row>
    <row r="3675" spans="1:11" ht="42" customHeight="1">
      <c r="A3675" s="2" t="s">
        <v>7543</v>
      </c>
      <c r="B3675" s="2" t="s">
        <v>7543</v>
      </c>
      <c r="C3675" s="2" t="s">
        <v>70</v>
      </c>
      <c r="D3675" s="2" t="s">
        <v>27</v>
      </c>
      <c r="E3675" s="5">
        <v>-28616</v>
      </c>
      <c r="F3675" s="3" t="s">
        <v>1912</v>
      </c>
      <c r="G3675" s="3" t="s">
        <v>1913</v>
      </c>
      <c r="H3675" s="2" t="s">
        <v>21</v>
      </c>
      <c r="I3675" s="2" t="s">
        <v>7606</v>
      </c>
      <c r="J3675" s="3" t="str">
        <f>HYPERLINK("https://www.boe.es/gazeta/dias/1821/08/25/pdfs/GMD-1821-242.pdf#page=3","Abrir facsímil")</f>
        <v>Abrir facsímil</v>
      </c>
      <c r="K3675" s="3" t="s">
        <v>23</v>
      </c>
    </row>
    <row r="3676" spans="1:11" ht="42" customHeight="1">
      <c r="A3676" s="2" t="s">
        <v>7543</v>
      </c>
      <c r="B3676" s="2" t="s">
        <v>7543</v>
      </c>
      <c r="C3676" s="2" t="s">
        <v>70</v>
      </c>
      <c r="D3676" s="2" t="s">
        <v>27</v>
      </c>
      <c r="E3676" s="5">
        <v>-28610</v>
      </c>
      <c r="F3676" s="3" t="s">
        <v>190</v>
      </c>
      <c r="G3676" s="3" t="s">
        <v>20</v>
      </c>
      <c r="H3676" s="2" t="s">
        <v>21</v>
      </c>
      <c r="I3676" s="2" t="s">
        <v>7607</v>
      </c>
      <c r="J3676" s="3" t="str">
        <f>HYPERLINK("https://www.boe.es/gazeta/dias/1821/08/31/pdfs/GMD-1821-248.pdf#page=3","Abrir facsímil")</f>
        <v>Abrir facsímil</v>
      </c>
      <c r="K3676" s="3" t="s">
        <v>23</v>
      </c>
    </row>
    <row r="3677" spans="1:11" ht="42" customHeight="1">
      <c r="A3677" s="2" t="s">
        <v>7543</v>
      </c>
      <c r="B3677" s="2" t="s">
        <v>7543</v>
      </c>
      <c r="C3677" s="2" t="s">
        <v>35</v>
      </c>
      <c r="D3677" s="2" t="s">
        <v>27</v>
      </c>
      <c r="E3677" s="5">
        <v>-28608</v>
      </c>
      <c r="F3677" s="3" t="s">
        <v>805</v>
      </c>
      <c r="G3677" s="3" t="s">
        <v>20</v>
      </c>
      <c r="H3677" s="2" t="s">
        <v>21</v>
      </c>
      <c r="I3677" s="2" t="s">
        <v>7608</v>
      </c>
      <c r="J3677" s="3" t="str">
        <f>HYPERLINK("https://www.boe.es/gazeta/dias/1821/09/02/pdfs/GMD-1821-250.pdf#page=3","Abrir facsímil")</f>
        <v>Abrir facsímil</v>
      </c>
      <c r="K3677" s="3" t="s">
        <v>23</v>
      </c>
    </row>
    <row r="3678" spans="1:11" ht="42" customHeight="1">
      <c r="A3678" s="2" t="s">
        <v>7543</v>
      </c>
      <c r="B3678" s="2" t="s">
        <v>7543</v>
      </c>
      <c r="C3678" s="2" t="s">
        <v>35</v>
      </c>
      <c r="D3678" s="2" t="s">
        <v>27</v>
      </c>
      <c r="E3678" s="5">
        <v>-28605</v>
      </c>
      <c r="F3678" s="3" t="s">
        <v>3173</v>
      </c>
      <c r="G3678" s="3" t="s">
        <v>88</v>
      </c>
      <c r="H3678" s="2" t="s">
        <v>21</v>
      </c>
      <c r="I3678" s="2" t="s">
        <v>7609</v>
      </c>
      <c r="J3678" s="3" t="str">
        <f>HYPERLINK("https://www.boe.es/gazeta/dias/1821/09/05/pdfs/GMD-1821-253.pdf#page=4","Abrir facsímil")</f>
        <v>Abrir facsímil</v>
      </c>
      <c r="K3678" s="3" t="s">
        <v>23</v>
      </c>
    </row>
    <row r="3679" spans="1:11" ht="42" customHeight="1">
      <c r="A3679" s="2" t="s">
        <v>7543</v>
      </c>
      <c r="B3679" s="2" t="s">
        <v>7543</v>
      </c>
      <c r="C3679" s="2" t="s">
        <v>17</v>
      </c>
      <c r="D3679" s="2" t="s">
        <v>18</v>
      </c>
      <c r="E3679" s="5">
        <v>-28602</v>
      </c>
      <c r="F3679" s="3" t="s">
        <v>1526</v>
      </c>
      <c r="G3679" s="3" t="s">
        <v>20</v>
      </c>
      <c r="H3679" s="2" t="s">
        <v>21</v>
      </c>
      <c r="I3679" s="2" t="s">
        <v>7610</v>
      </c>
      <c r="J3679" s="3" t="str">
        <f>HYPERLINK("https://www.boe.es/gazeta/dias/1821/09/08/pdfs/GMD-1821-256.pdf#page=3","Abrir facsímil")</f>
        <v>Abrir facsímil</v>
      </c>
      <c r="K3679" s="3" t="s">
        <v>23</v>
      </c>
    </row>
    <row r="3680" spans="1:11" ht="42" customHeight="1">
      <c r="A3680" s="2" t="s">
        <v>7543</v>
      </c>
      <c r="B3680" s="2" t="s">
        <v>7543</v>
      </c>
      <c r="C3680" s="2" t="s">
        <v>114</v>
      </c>
      <c r="D3680" s="2" t="s">
        <v>27</v>
      </c>
      <c r="E3680" s="5">
        <v>-28585</v>
      </c>
      <c r="F3680" s="3" t="s">
        <v>627</v>
      </c>
      <c r="G3680" s="3" t="s">
        <v>20</v>
      </c>
      <c r="H3680" s="2" t="s">
        <v>21</v>
      </c>
      <c r="I3680" s="2" t="s">
        <v>7611</v>
      </c>
      <c r="J3680" s="3" t="str">
        <f>HYPERLINK("https://www.boe.es/gazeta/dias/1821/09/25/pdfs/GMD-1821-273.pdf#page=3","Abrir facsímil")</f>
        <v>Abrir facsímil</v>
      </c>
      <c r="K3680" s="3" t="s">
        <v>23</v>
      </c>
    </row>
    <row r="3681" spans="1:11" ht="42" customHeight="1">
      <c r="A3681" s="2" t="s">
        <v>7543</v>
      </c>
      <c r="B3681" s="2" t="s">
        <v>7543</v>
      </c>
      <c r="C3681" s="2" t="s">
        <v>26</v>
      </c>
      <c r="D3681" s="2" t="s">
        <v>27</v>
      </c>
      <c r="E3681" s="5">
        <v>-28585</v>
      </c>
      <c r="F3681" s="3" t="s">
        <v>627</v>
      </c>
      <c r="G3681" s="3" t="s">
        <v>88</v>
      </c>
      <c r="H3681" s="2" t="s">
        <v>21</v>
      </c>
      <c r="I3681" s="2" t="s">
        <v>7612</v>
      </c>
      <c r="J3681" s="3" t="str">
        <f>HYPERLINK("https://www.boe.es/gazeta/dias/1821/09/25/pdfs/GMD-1821-273.pdf#page=4","Abrir facsímil")</f>
        <v>Abrir facsímil</v>
      </c>
      <c r="K3681" s="3" t="s">
        <v>23</v>
      </c>
    </row>
    <row r="3682" spans="1:11" ht="42" customHeight="1">
      <c r="A3682" s="2" t="s">
        <v>7543</v>
      </c>
      <c r="B3682" s="2" t="s">
        <v>7543</v>
      </c>
      <c r="C3682" s="2" t="s">
        <v>174</v>
      </c>
      <c r="D3682" s="2" t="s">
        <v>27</v>
      </c>
      <c r="E3682" s="5">
        <v>-28552</v>
      </c>
      <c r="F3682" s="3" t="s">
        <v>28</v>
      </c>
      <c r="G3682" s="3" t="s">
        <v>29</v>
      </c>
      <c r="H3682" s="2" t="s">
        <v>21</v>
      </c>
      <c r="I3682" s="2" t="s">
        <v>7613</v>
      </c>
      <c r="J3682" s="3" t="str">
        <f>HYPERLINK("https://www.boe.es/gazeta/dias/1821/10/28/pdfs/GMD-1821-307.pdf#page=6","Abrir facsímil")</f>
        <v>Abrir facsímil</v>
      </c>
      <c r="K3682" s="3" t="s">
        <v>23</v>
      </c>
    </row>
    <row r="3683" spans="1:11" ht="42" customHeight="1">
      <c r="A3683" s="2" t="s">
        <v>7543</v>
      </c>
      <c r="B3683" s="2" t="s">
        <v>7543</v>
      </c>
      <c r="C3683" s="2" t="s">
        <v>26</v>
      </c>
      <c r="D3683" s="2" t="s">
        <v>27</v>
      </c>
      <c r="E3683" s="5">
        <v>-28548</v>
      </c>
      <c r="F3683" s="3" t="s">
        <v>782</v>
      </c>
      <c r="G3683" s="3" t="s">
        <v>52</v>
      </c>
      <c r="H3683" s="2" t="s">
        <v>21</v>
      </c>
      <c r="I3683" s="2" t="s">
        <v>7614</v>
      </c>
      <c r="J3683" s="3" t="str">
        <f>HYPERLINK("https://www.boe.es/gazeta/dias/1821/11/01/pdfs/GMD-1821-311.pdf#page=2","Abrir facsímil")</f>
        <v>Abrir facsímil</v>
      </c>
      <c r="K3683" s="3" t="s">
        <v>23</v>
      </c>
    </row>
    <row r="3684" spans="1:11" ht="42" customHeight="1">
      <c r="A3684" s="2" t="s">
        <v>7543</v>
      </c>
      <c r="B3684" s="2" t="s">
        <v>7543</v>
      </c>
      <c r="C3684" s="2" t="s">
        <v>17</v>
      </c>
      <c r="D3684" s="2" t="s">
        <v>18</v>
      </c>
      <c r="E3684" s="5">
        <v>-28545</v>
      </c>
      <c r="F3684" s="3" t="s">
        <v>284</v>
      </c>
      <c r="G3684" s="3" t="s">
        <v>52</v>
      </c>
      <c r="H3684" s="2" t="s">
        <v>21</v>
      </c>
      <c r="I3684" s="2" t="s">
        <v>7615</v>
      </c>
      <c r="J3684" s="3" t="str">
        <f>HYPERLINK("https://www.boe.es/gazeta/dias/1821/11/04/pdfs/GMD-1821-315.pdf#page=2","Abrir facsímil")</f>
        <v>Abrir facsímil</v>
      </c>
      <c r="K3684" s="3" t="s">
        <v>23</v>
      </c>
    </row>
    <row r="3685" spans="1:11" ht="42" customHeight="1">
      <c r="A3685" s="2" t="s">
        <v>7543</v>
      </c>
      <c r="B3685" s="2" t="s">
        <v>7543</v>
      </c>
      <c r="C3685" s="2" t="s">
        <v>70</v>
      </c>
      <c r="D3685" s="2" t="s">
        <v>27</v>
      </c>
      <c r="E3685" s="5">
        <v>-28540</v>
      </c>
      <c r="F3685" s="3" t="s">
        <v>2672</v>
      </c>
      <c r="G3685" s="3" t="s">
        <v>162</v>
      </c>
      <c r="H3685" s="2" t="s">
        <v>21</v>
      </c>
      <c r="I3685" s="2" t="s">
        <v>7616</v>
      </c>
      <c r="J3685" s="3" t="str">
        <f>HYPERLINK("https://www.boe.es/gazeta/dias/1821/11/09/pdfs/GMD-1821-320.pdf#page=5","Abrir facsímil")</f>
        <v>Abrir facsímil</v>
      </c>
      <c r="K3685" s="3" t="s">
        <v>23</v>
      </c>
    </row>
    <row r="3686" spans="1:11" ht="42" customHeight="1">
      <c r="A3686" s="2" t="s">
        <v>7543</v>
      </c>
      <c r="B3686" s="2" t="s">
        <v>7543</v>
      </c>
      <c r="C3686" s="2" t="s">
        <v>26</v>
      </c>
      <c r="D3686" s="2" t="s">
        <v>27</v>
      </c>
      <c r="E3686" s="5">
        <v>-28535</v>
      </c>
      <c r="F3686" s="3" t="s">
        <v>96</v>
      </c>
      <c r="G3686" s="3" t="s">
        <v>162</v>
      </c>
      <c r="H3686" s="2" t="s">
        <v>21</v>
      </c>
      <c r="I3686" s="2" t="s">
        <v>7617</v>
      </c>
      <c r="J3686" s="3" t="str">
        <f>HYPERLINK("https://www.boe.es/gazeta/dias/1821/11/14/pdfs/GMD-1821-325.pdf#page=5","Abrir facsímil")</f>
        <v>Abrir facsímil</v>
      </c>
      <c r="K3686" s="3" t="s">
        <v>23</v>
      </c>
    </row>
    <row r="3687" spans="1:11" ht="42" customHeight="1">
      <c r="A3687" s="2" t="s">
        <v>7543</v>
      </c>
      <c r="B3687" s="2" t="s">
        <v>7543</v>
      </c>
      <c r="C3687" s="2" t="s">
        <v>70</v>
      </c>
      <c r="D3687" s="2" t="s">
        <v>27</v>
      </c>
      <c r="E3687" s="5">
        <v>-28532</v>
      </c>
      <c r="F3687" s="3" t="s">
        <v>1415</v>
      </c>
      <c r="G3687" s="3" t="s">
        <v>162</v>
      </c>
      <c r="H3687" s="2" t="s">
        <v>21</v>
      </c>
      <c r="I3687" s="2" t="s">
        <v>7618</v>
      </c>
      <c r="J3687" s="3" t="str">
        <f>HYPERLINK("https://www.boe.es/gazeta/dias/1821/11/17/pdfs/GMD-1821-328.pdf#page=5","Abrir facsímil")</f>
        <v>Abrir facsímil</v>
      </c>
      <c r="K3687" s="3" t="s">
        <v>23</v>
      </c>
    </row>
    <row r="3688" spans="1:11" ht="42" customHeight="1">
      <c r="A3688" s="2" t="s">
        <v>7543</v>
      </c>
      <c r="B3688" s="2" t="s">
        <v>7543</v>
      </c>
      <c r="C3688" s="2" t="s">
        <v>40</v>
      </c>
      <c r="D3688" s="2" t="s">
        <v>41</v>
      </c>
      <c r="E3688" s="5">
        <v>-28521</v>
      </c>
      <c r="F3688" s="3" t="s">
        <v>499</v>
      </c>
      <c r="G3688" s="3" t="s">
        <v>20</v>
      </c>
      <c r="H3688" s="2" t="s">
        <v>21</v>
      </c>
      <c r="I3688" s="2" t="s">
        <v>7619</v>
      </c>
      <c r="J3688" s="3" t="str">
        <f>HYPERLINK("https://www.boe.es/gazeta/dias/1821/11/28/pdfs/GMD-1821-340.pdf#page=3","Abrir facsímil")</f>
        <v>Abrir facsímil</v>
      </c>
      <c r="K3688" s="3" t="s">
        <v>23</v>
      </c>
    </row>
    <row r="3689" spans="1:11" ht="42" customHeight="1">
      <c r="A3689" s="2" t="s">
        <v>7543</v>
      </c>
      <c r="B3689" s="2" t="s">
        <v>7543</v>
      </c>
      <c r="C3689" s="2" t="s">
        <v>35</v>
      </c>
      <c r="D3689" s="2" t="s">
        <v>27</v>
      </c>
      <c r="E3689" s="5">
        <v>-28517</v>
      </c>
      <c r="F3689" s="3" t="s">
        <v>563</v>
      </c>
      <c r="G3689" s="3" t="s">
        <v>88</v>
      </c>
      <c r="H3689" s="2" t="s">
        <v>21</v>
      </c>
      <c r="I3689" s="2" t="s">
        <v>7620</v>
      </c>
      <c r="J3689" s="3" t="str">
        <f>HYPERLINK("https://www.boe.es/gazeta/dias/1821/12/02/pdfs/GMD-1821-344.pdf#page=4","Abrir facsímil")</f>
        <v>Abrir facsímil</v>
      </c>
      <c r="K3689" s="3" t="s">
        <v>23</v>
      </c>
    </row>
    <row r="3690" spans="1:11" ht="42" customHeight="1">
      <c r="A3690" s="2" t="s">
        <v>7543</v>
      </c>
      <c r="B3690" s="2" t="s">
        <v>7543</v>
      </c>
      <c r="C3690" s="2" t="s">
        <v>35</v>
      </c>
      <c r="D3690" s="2" t="s">
        <v>27</v>
      </c>
      <c r="E3690" s="5">
        <v>-28511</v>
      </c>
      <c r="F3690" s="3" t="s">
        <v>340</v>
      </c>
      <c r="G3690" s="3" t="s">
        <v>3761</v>
      </c>
      <c r="H3690" s="2" t="s">
        <v>21</v>
      </c>
      <c r="I3690" s="2" t="s">
        <v>7621</v>
      </c>
      <c r="J3690" s="3" t="str">
        <f>HYPERLINK("https://www.boe.es/gazeta/dias/1821/12/08/pdfs/GMD-1821-350.pdf#page=4","Abrir facsímil")</f>
        <v>Abrir facsímil</v>
      </c>
      <c r="K3690" s="3" t="s">
        <v>23</v>
      </c>
    </row>
    <row r="3691" spans="1:11" ht="42" customHeight="1">
      <c r="A3691" s="2" t="s">
        <v>7543</v>
      </c>
      <c r="B3691" s="2" t="s">
        <v>7543</v>
      </c>
      <c r="C3691" s="2" t="s">
        <v>35</v>
      </c>
      <c r="D3691" s="2" t="s">
        <v>27</v>
      </c>
      <c r="E3691" s="5">
        <v>-28510</v>
      </c>
      <c r="F3691" s="3" t="s">
        <v>83</v>
      </c>
      <c r="G3691" s="3" t="s">
        <v>162</v>
      </c>
      <c r="H3691" s="2" t="s">
        <v>21</v>
      </c>
      <c r="I3691" s="2" t="s">
        <v>7622</v>
      </c>
      <c r="J3691" s="3" t="str">
        <f>HYPERLINK("https://www.boe.es/gazeta/dias/1821/12/09/pdfs/GMD-1821-351.pdf#page=5","Abrir facsímil")</f>
        <v>Abrir facsímil</v>
      </c>
      <c r="K3691" s="3" t="s">
        <v>23</v>
      </c>
    </row>
    <row r="3692" spans="1:11" ht="42" customHeight="1">
      <c r="A3692" s="2" t="s">
        <v>7543</v>
      </c>
      <c r="B3692" s="2" t="s">
        <v>7543</v>
      </c>
      <c r="C3692" s="2" t="s">
        <v>17</v>
      </c>
      <c r="D3692" s="2" t="s">
        <v>18</v>
      </c>
      <c r="E3692" s="5">
        <v>-28509</v>
      </c>
      <c r="F3692" s="3" t="s">
        <v>388</v>
      </c>
      <c r="G3692" s="3" t="s">
        <v>609</v>
      </c>
      <c r="H3692" s="2" t="s">
        <v>21</v>
      </c>
      <c r="I3692" s="2" t="s">
        <v>7623</v>
      </c>
      <c r="J3692" s="3" t="str">
        <f>HYPERLINK("https://www.boe.es/gazeta/dias/1821/12/10/pdfs/GMD-1821-352.pdf#page=7","Abrir facsímil")</f>
        <v>Abrir facsímil</v>
      </c>
      <c r="K3692" s="3" t="s">
        <v>23</v>
      </c>
    </row>
    <row r="3693" spans="1:11" ht="42" customHeight="1">
      <c r="A3693" s="2" t="s">
        <v>7543</v>
      </c>
      <c r="B3693" s="2" t="s">
        <v>7543</v>
      </c>
      <c r="C3693" s="2" t="s">
        <v>70</v>
      </c>
      <c r="D3693" s="2" t="s">
        <v>27</v>
      </c>
      <c r="E3693" s="5">
        <v>-28503</v>
      </c>
      <c r="F3693" s="3" t="s">
        <v>947</v>
      </c>
      <c r="G3693" s="3" t="s">
        <v>29</v>
      </c>
      <c r="H3693" s="2" t="s">
        <v>21</v>
      </c>
      <c r="I3693" s="2" t="s">
        <v>7624</v>
      </c>
      <c r="J3693" s="3" t="str">
        <f>HYPERLINK("https://www.boe.es/gazeta/dias/1821/12/16/pdfs/GMD-1821-359.pdf#page=6","Abrir facsímil")</f>
        <v>Abrir facsímil</v>
      </c>
      <c r="K3693" s="3" t="s">
        <v>23</v>
      </c>
    </row>
    <row r="3694" spans="1:11" ht="42" customHeight="1">
      <c r="A3694" s="2" t="s">
        <v>7543</v>
      </c>
      <c r="B3694" s="2" t="s">
        <v>7543</v>
      </c>
      <c r="C3694" s="2" t="s">
        <v>17</v>
      </c>
      <c r="D3694" s="2" t="s">
        <v>18</v>
      </c>
      <c r="E3694" s="5">
        <v>-28501</v>
      </c>
      <c r="F3694" s="3" t="s">
        <v>456</v>
      </c>
      <c r="G3694" s="3" t="s">
        <v>1253</v>
      </c>
      <c r="H3694" s="2" t="s">
        <v>21</v>
      </c>
      <c r="I3694" s="2" t="s">
        <v>7625</v>
      </c>
      <c r="J3694" s="3" t="str">
        <f>HYPERLINK("https://www.boe.es/gazeta/dias/1821/12/18/pdfs/GMD-1821-361.pdf#page=6","Abrir facsímil")</f>
        <v>Abrir facsímil</v>
      </c>
      <c r="K3694" s="3" t="s">
        <v>23</v>
      </c>
    </row>
    <row r="3695" spans="1:11" ht="42" customHeight="1">
      <c r="A3695" s="2" t="s">
        <v>7543</v>
      </c>
      <c r="B3695" s="2" t="s">
        <v>7543</v>
      </c>
      <c r="C3695" s="2" t="s">
        <v>17</v>
      </c>
      <c r="D3695" s="2" t="s">
        <v>18</v>
      </c>
      <c r="E3695" s="5">
        <v>-28499</v>
      </c>
      <c r="F3695" s="3" t="s">
        <v>954</v>
      </c>
      <c r="G3695" s="3" t="s">
        <v>88</v>
      </c>
      <c r="H3695" s="2" t="s">
        <v>21</v>
      </c>
      <c r="I3695" s="2" t="s">
        <v>7626</v>
      </c>
      <c r="J3695" s="3" t="str">
        <f>HYPERLINK("https://www.boe.es/gazeta/dias/1821/12/20/pdfs/GMD-1821-363.pdf#page=4","Abrir facsímil")</f>
        <v>Abrir facsímil</v>
      </c>
      <c r="K3695" s="3" t="s">
        <v>23</v>
      </c>
    </row>
    <row r="3696" spans="1:11" ht="42" customHeight="1">
      <c r="A3696" s="2" t="s">
        <v>7543</v>
      </c>
      <c r="B3696" s="2" t="s">
        <v>7543</v>
      </c>
      <c r="C3696" s="2" t="s">
        <v>70</v>
      </c>
      <c r="D3696" s="2" t="s">
        <v>27</v>
      </c>
      <c r="E3696" s="5">
        <v>-28498</v>
      </c>
      <c r="F3696" s="3" t="s">
        <v>447</v>
      </c>
      <c r="G3696" s="3" t="s">
        <v>88</v>
      </c>
      <c r="H3696" s="2" t="s">
        <v>21</v>
      </c>
      <c r="I3696" s="2" t="s">
        <v>7627</v>
      </c>
      <c r="J3696" s="3" t="str">
        <f>HYPERLINK("https://www.boe.es/gazeta/dias/1821/12/21/pdfs/GMD-1821-364.pdf#page=4","Abrir facsímil")</f>
        <v>Abrir facsímil</v>
      </c>
      <c r="K3696" s="3" t="s">
        <v>23</v>
      </c>
    </row>
    <row r="3697" spans="1:11" ht="42" customHeight="1">
      <c r="A3697" s="2" t="s">
        <v>7543</v>
      </c>
      <c r="B3697" s="2" t="s">
        <v>7543</v>
      </c>
      <c r="C3697" s="2" t="s">
        <v>70</v>
      </c>
      <c r="D3697" s="2" t="s">
        <v>27</v>
      </c>
      <c r="E3697" s="5">
        <v>-28494</v>
      </c>
      <c r="F3697" s="3" t="s">
        <v>1665</v>
      </c>
      <c r="G3697" s="3" t="s">
        <v>1666</v>
      </c>
      <c r="H3697" s="2" t="s">
        <v>21</v>
      </c>
      <c r="I3697" s="2" t="s">
        <v>7628</v>
      </c>
      <c r="J3697" s="3" t="str">
        <f>HYPERLINK("https://www.boe.es/gazeta/dias/1821/12/25/pdfs/GMD-1821-368.pdf#page=3","Abrir facsímil")</f>
        <v>Abrir facsímil</v>
      </c>
      <c r="K3697" s="3" t="s">
        <v>23</v>
      </c>
    </row>
    <row r="3698" spans="1:11" ht="42" customHeight="1">
      <c r="A3698" s="2" t="s">
        <v>7543</v>
      </c>
      <c r="B3698" s="2" t="s">
        <v>7543</v>
      </c>
      <c r="C3698" s="2" t="s">
        <v>70</v>
      </c>
      <c r="D3698" s="2" t="s">
        <v>27</v>
      </c>
      <c r="E3698" s="5">
        <v>-28493</v>
      </c>
      <c r="F3698" s="3" t="s">
        <v>3010</v>
      </c>
      <c r="G3698" s="3" t="s">
        <v>20</v>
      </c>
      <c r="H3698" s="2" t="s">
        <v>21</v>
      </c>
      <c r="I3698" s="2" t="s">
        <v>7629</v>
      </c>
      <c r="J3698" s="3" t="str">
        <f>HYPERLINK("https://www.boe.es/gazeta/dias/1821/12/26/pdfs/GMD-1821-369.pdf#page=3","Abrir facsímil")</f>
        <v>Abrir facsímil</v>
      </c>
      <c r="K3698" s="3" t="s">
        <v>23</v>
      </c>
    </row>
    <row r="3699" spans="1:11" ht="42" customHeight="1">
      <c r="A3699" s="2" t="s">
        <v>7630</v>
      </c>
      <c r="B3699" s="2" t="s">
        <v>7631</v>
      </c>
      <c r="C3699" s="2" t="s">
        <v>40</v>
      </c>
      <c r="D3699" s="2" t="s">
        <v>41</v>
      </c>
      <c r="E3699" s="5">
        <v>-28749</v>
      </c>
      <c r="F3699" s="3" t="s">
        <v>832</v>
      </c>
      <c r="G3699" s="3" t="s">
        <v>88</v>
      </c>
      <c r="H3699" s="2" t="s">
        <v>21</v>
      </c>
      <c r="I3699" s="2" t="s">
        <v>7632</v>
      </c>
      <c r="J3699" s="3" t="str">
        <f>HYPERLINK("https://www.boe.es/gazeta/dias/1821/04/14/pdfs/GMD-1821-106.pdf#page=4","Abrir facsímil")</f>
        <v>Abrir facsímil</v>
      </c>
      <c r="K3699" s="3" t="s">
        <v>23</v>
      </c>
    </row>
    <row r="3700" spans="1:11" ht="42" customHeight="1">
      <c r="A3700" s="2" t="s">
        <v>7633</v>
      </c>
      <c r="B3700" s="2" t="s">
        <v>7634</v>
      </c>
      <c r="C3700" s="2" t="s">
        <v>26</v>
      </c>
      <c r="D3700" s="2" t="s">
        <v>27</v>
      </c>
      <c r="E3700" s="5">
        <v>-28721</v>
      </c>
      <c r="F3700" s="3" t="s">
        <v>92</v>
      </c>
      <c r="G3700" s="3" t="s">
        <v>88</v>
      </c>
      <c r="H3700" s="2" t="s">
        <v>21</v>
      </c>
      <c r="I3700" s="2" t="s">
        <v>7635</v>
      </c>
      <c r="J3700" s="3" t="str">
        <f>HYPERLINK("https://www.boe.es/gazeta/dias/1821/05/12/pdfs/GMD-1821-134.pdf#page=4","Abrir facsímil")</f>
        <v>Abrir facsímil</v>
      </c>
      <c r="K3700" s="3" t="s">
        <v>23</v>
      </c>
    </row>
    <row r="3701" spans="1:11" ht="42" customHeight="1">
      <c r="A3701" s="2" t="s">
        <v>7636</v>
      </c>
      <c r="B3701" s="2" t="s">
        <v>7636</v>
      </c>
      <c r="C3701" s="2" t="s">
        <v>17</v>
      </c>
      <c r="D3701" s="2" t="s">
        <v>18</v>
      </c>
      <c r="E3701" s="5">
        <v>-28781</v>
      </c>
      <c r="F3701" s="3" t="s">
        <v>149</v>
      </c>
      <c r="G3701" s="3" t="s">
        <v>88</v>
      </c>
      <c r="H3701" s="2" t="s">
        <v>21</v>
      </c>
      <c r="I3701" s="2" t="s">
        <v>7637</v>
      </c>
      <c r="J3701" s="3" t="str">
        <f>HYPERLINK("https://www.boe.es/gazeta/dias/1821/03/13/pdfs/GMD-1821-72.pdf#page=4","Abrir facsímil")</f>
        <v>Abrir facsímil</v>
      </c>
      <c r="K3701" s="3" t="s">
        <v>23</v>
      </c>
    </row>
    <row r="3702" spans="1:11" ht="42" customHeight="1">
      <c r="A3702" s="2" t="s">
        <v>7638</v>
      </c>
      <c r="B3702" s="2" t="s">
        <v>7639</v>
      </c>
      <c r="C3702" s="2" t="s">
        <v>40</v>
      </c>
      <c r="D3702" s="2" t="s">
        <v>41</v>
      </c>
      <c r="E3702" s="5">
        <v>-28616</v>
      </c>
      <c r="F3702" s="3" t="s">
        <v>1912</v>
      </c>
      <c r="G3702" s="3" t="s">
        <v>1913</v>
      </c>
      <c r="H3702" s="2" t="s">
        <v>21</v>
      </c>
      <c r="I3702" s="2" t="s">
        <v>7640</v>
      </c>
      <c r="J3702" s="3" t="str">
        <f>HYPERLINK("https://www.boe.es/gazeta/dias/1821/08/25/pdfs/GMD-1821-242.pdf#page=3","Abrir facsímil")</f>
        <v>Abrir facsímil</v>
      </c>
      <c r="K3702" s="3" t="s">
        <v>23</v>
      </c>
    </row>
    <row r="3703" spans="1:11" ht="42" customHeight="1">
      <c r="A3703" s="2" t="s">
        <v>7641</v>
      </c>
      <c r="B3703" s="2" t="s">
        <v>7641</v>
      </c>
      <c r="C3703" s="2" t="s">
        <v>26</v>
      </c>
      <c r="D3703" s="2" t="s">
        <v>27</v>
      </c>
      <c r="E3703" s="5">
        <v>-28683</v>
      </c>
      <c r="F3703" s="3" t="s">
        <v>332</v>
      </c>
      <c r="G3703" s="3" t="s">
        <v>52</v>
      </c>
      <c r="H3703" s="2" t="s">
        <v>21</v>
      </c>
      <c r="I3703" s="2" t="s">
        <v>7642</v>
      </c>
      <c r="J3703" s="3" t="str">
        <f>HYPERLINK("https://www.boe.es/gazeta/dias/1821/06/19/pdfs/GMD-1821-172.pdf#page=2","Abrir facsímil")</f>
        <v>Abrir facsímil</v>
      </c>
      <c r="K3703" s="3" t="s">
        <v>23</v>
      </c>
    </row>
    <row r="3704" spans="1:11" ht="42" customHeight="1">
      <c r="A3704" s="2" t="s">
        <v>7643</v>
      </c>
      <c r="B3704" s="2" t="s">
        <v>7643</v>
      </c>
      <c r="C3704" s="2" t="s">
        <v>40</v>
      </c>
      <c r="D3704" s="2" t="s">
        <v>41</v>
      </c>
      <c r="E3704" s="5">
        <v>-28804</v>
      </c>
      <c r="F3704" s="3" t="s">
        <v>1580</v>
      </c>
      <c r="G3704" s="3" t="s">
        <v>52</v>
      </c>
      <c r="H3704" s="2" t="s">
        <v>21</v>
      </c>
      <c r="I3704" s="2" t="s">
        <v>7644</v>
      </c>
      <c r="J3704" s="3" t="str">
        <f>HYPERLINK("https://www.boe.es/gazeta/dias/1821/02/18/pdfs/GGB-1821-49.pdf#page=2","Abrir facsímil")</f>
        <v>Abrir facsímil</v>
      </c>
      <c r="K3704" s="3" t="s">
        <v>23</v>
      </c>
    </row>
    <row r="3705" spans="1:11" ht="42" customHeight="1">
      <c r="A3705" s="2" t="s">
        <v>7643</v>
      </c>
      <c r="B3705" s="2" t="s">
        <v>7643</v>
      </c>
      <c r="C3705" s="2" t="s">
        <v>35</v>
      </c>
      <c r="D3705" s="2" t="s">
        <v>27</v>
      </c>
      <c r="E3705" s="5">
        <v>-28792</v>
      </c>
      <c r="F3705" s="3" t="s">
        <v>2289</v>
      </c>
      <c r="G3705" s="3" t="s">
        <v>2290</v>
      </c>
      <c r="H3705" s="2" t="s">
        <v>21</v>
      </c>
      <c r="I3705" s="2" t="s">
        <v>7645</v>
      </c>
      <c r="J3705" s="3" t="str">
        <f>HYPERLINK("https://www.boe.es/gazeta/dias/1821/03/02/pdfs/GGB-1821-61.pdf#page=2","Abrir facsímil")</f>
        <v>Abrir facsímil</v>
      </c>
      <c r="K3705" s="3" t="s">
        <v>23</v>
      </c>
    </row>
    <row r="3706" spans="1:11" ht="42" customHeight="1">
      <c r="A3706" s="2" t="s">
        <v>7643</v>
      </c>
      <c r="B3706" s="2" t="s">
        <v>7643</v>
      </c>
      <c r="C3706" s="2" t="s">
        <v>40</v>
      </c>
      <c r="D3706" s="2" t="s">
        <v>41</v>
      </c>
      <c r="E3706" s="5">
        <v>-28758</v>
      </c>
      <c r="F3706" s="3" t="s">
        <v>4115</v>
      </c>
      <c r="G3706" s="3" t="s">
        <v>43</v>
      </c>
      <c r="H3706" s="2" t="s">
        <v>21</v>
      </c>
      <c r="I3706" s="2" t="s">
        <v>7646</v>
      </c>
      <c r="J3706" s="3" t="str">
        <f>HYPERLINK("https://www.boe.es/gazeta/dias/1821/04/05/pdfs/GMD-1821-97.pdf#page=1","Abrir facsímil")</f>
        <v>Abrir facsímil</v>
      </c>
      <c r="K3706" s="3" t="s">
        <v>23</v>
      </c>
    </row>
    <row r="3707" spans="1:11" ht="42" customHeight="1">
      <c r="A3707" s="2" t="s">
        <v>7643</v>
      </c>
      <c r="B3707" s="2" t="s">
        <v>7643</v>
      </c>
      <c r="C3707" s="2" t="s">
        <v>26</v>
      </c>
      <c r="D3707" s="2" t="s">
        <v>27</v>
      </c>
      <c r="E3707" s="5">
        <v>-28652</v>
      </c>
      <c r="F3707" s="3" t="s">
        <v>1314</v>
      </c>
      <c r="G3707" s="3" t="s">
        <v>52</v>
      </c>
      <c r="H3707" s="2" t="s">
        <v>21</v>
      </c>
      <c r="I3707" s="2" t="s">
        <v>7647</v>
      </c>
      <c r="J3707" s="3" t="str">
        <f>HYPERLINK("https://www.boe.es/gazeta/dias/1821/07/20/pdfs/GMD-1821-205.pdf#page=2","Abrir facsímil")</f>
        <v>Abrir facsímil</v>
      </c>
      <c r="K3707" s="3" t="s">
        <v>23</v>
      </c>
    </row>
    <row r="3708" spans="1:11" ht="42" customHeight="1">
      <c r="A3708" s="2" t="s">
        <v>7643</v>
      </c>
      <c r="B3708" s="2" t="s">
        <v>7643</v>
      </c>
      <c r="C3708" s="2" t="s">
        <v>40</v>
      </c>
      <c r="D3708" s="2" t="s">
        <v>41</v>
      </c>
      <c r="E3708" s="5">
        <v>-28568</v>
      </c>
      <c r="F3708" s="3" t="s">
        <v>539</v>
      </c>
      <c r="G3708" s="3" t="s">
        <v>20</v>
      </c>
      <c r="H3708" s="2" t="s">
        <v>21</v>
      </c>
      <c r="I3708" s="2" t="s">
        <v>7648</v>
      </c>
      <c r="J3708" s="3" t="str">
        <f>HYPERLINK("https://www.boe.es/gazeta/dias/1821/10/12/pdfs/GMD-1821-291.pdf#page=3","Abrir facsímil")</f>
        <v>Abrir facsímil</v>
      </c>
      <c r="K3708" s="3" t="s">
        <v>23</v>
      </c>
    </row>
    <row r="3709" spans="1:11" ht="42" customHeight="1">
      <c r="A3709" s="2" t="s">
        <v>7643</v>
      </c>
      <c r="B3709" s="2" t="s">
        <v>7643</v>
      </c>
      <c r="C3709" s="2" t="s">
        <v>70</v>
      </c>
      <c r="D3709" s="2" t="s">
        <v>27</v>
      </c>
      <c r="E3709" s="5">
        <v>-28565</v>
      </c>
      <c r="F3709" s="3" t="s">
        <v>326</v>
      </c>
      <c r="G3709" s="3" t="s">
        <v>52</v>
      </c>
      <c r="H3709" s="2" t="s">
        <v>21</v>
      </c>
      <c r="I3709" s="2" t="s">
        <v>7649</v>
      </c>
      <c r="J3709" s="3" t="str">
        <f>HYPERLINK("https://www.boe.es/gazeta/dias/1821/10/15/pdfs/GMD-1821-294.pdf#page=2","Abrir facsímil")</f>
        <v>Abrir facsímil</v>
      </c>
      <c r="K3709" s="3" t="s">
        <v>23</v>
      </c>
    </row>
    <row r="3710" spans="1:11" ht="42" customHeight="1">
      <c r="A3710" s="2" t="s">
        <v>7650</v>
      </c>
      <c r="B3710" s="2" t="s">
        <v>7651</v>
      </c>
      <c r="C3710" s="2" t="s">
        <v>40</v>
      </c>
      <c r="D3710" s="2" t="s">
        <v>41</v>
      </c>
      <c r="E3710" s="5">
        <v>-28641</v>
      </c>
      <c r="F3710" s="3" t="s">
        <v>398</v>
      </c>
      <c r="G3710" s="3" t="s">
        <v>20</v>
      </c>
      <c r="H3710" s="2" t="s">
        <v>21</v>
      </c>
      <c r="I3710" s="2" t="s">
        <v>7652</v>
      </c>
      <c r="J3710" s="3" t="str">
        <f>HYPERLINK("https://www.boe.es/gazeta/dias/1821/07/31/pdfs/GMD-1821-216.pdf#page=3","Abrir facsímil")</f>
        <v>Abrir facsímil</v>
      </c>
      <c r="K3710" s="3" t="s">
        <v>23</v>
      </c>
    </row>
    <row r="3711" spans="1:11" ht="42" customHeight="1">
      <c r="A3711" s="2" t="s">
        <v>7653</v>
      </c>
      <c r="B3711" s="2" t="s">
        <v>7654</v>
      </c>
      <c r="C3711" s="2" t="s">
        <v>17</v>
      </c>
      <c r="D3711" s="2" t="s">
        <v>18</v>
      </c>
      <c r="E3711" s="5">
        <v>-28543</v>
      </c>
      <c r="F3711" s="3" t="s">
        <v>136</v>
      </c>
      <c r="G3711" s="3" t="s">
        <v>88</v>
      </c>
      <c r="H3711" s="2" t="s">
        <v>21</v>
      </c>
      <c r="I3711" s="2" t="s">
        <v>7655</v>
      </c>
      <c r="J3711" s="3" t="str">
        <f>HYPERLINK("https://www.boe.es/gazeta/dias/1821/11/06/pdfs/GMD-1821-317.pdf#page=4","Abrir facsímil")</f>
        <v>Abrir facsímil</v>
      </c>
      <c r="K3711" s="3" t="s">
        <v>23</v>
      </c>
    </row>
    <row r="3712" spans="1:11" ht="42" customHeight="1">
      <c r="A3712" s="2" t="s">
        <v>7656</v>
      </c>
      <c r="B3712" s="2" t="s">
        <v>7657</v>
      </c>
      <c r="C3712" s="2" t="s">
        <v>35</v>
      </c>
      <c r="D3712" s="2" t="s">
        <v>27</v>
      </c>
      <c r="E3712" s="5">
        <v>-28530</v>
      </c>
      <c r="F3712" s="3" t="s">
        <v>237</v>
      </c>
      <c r="G3712" s="3" t="s">
        <v>52</v>
      </c>
      <c r="H3712" s="2" t="s">
        <v>21</v>
      </c>
      <c r="I3712" s="2" t="s">
        <v>7658</v>
      </c>
      <c r="J3712" s="3" t="str">
        <f>HYPERLINK("https://www.boe.es/gazeta/dias/1821/11/19/pdfs/GMD-1821-330.pdf#page=2","Abrir facsímil")</f>
        <v>Abrir facsímil</v>
      </c>
      <c r="K3712" s="3" t="s">
        <v>23</v>
      </c>
    </row>
    <row r="3713" spans="1:11" ht="42" customHeight="1">
      <c r="A3713" s="2" t="s">
        <v>7659</v>
      </c>
      <c r="B3713" s="2" t="s">
        <v>7660</v>
      </c>
      <c r="C3713" s="2" t="s">
        <v>17</v>
      </c>
      <c r="D3713" s="2" t="s">
        <v>18</v>
      </c>
      <c r="E3713" s="5">
        <v>-28600</v>
      </c>
      <c r="F3713" s="3" t="s">
        <v>99</v>
      </c>
      <c r="G3713" s="3" t="s">
        <v>52</v>
      </c>
      <c r="H3713" s="2" t="s">
        <v>21</v>
      </c>
      <c r="I3713" s="2" t="s">
        <v>7661</v>
      </c>
      <c r="J3713" s="3" t="str">
        <f>HYPERLINK("https://www.boe.es/gazeta/dias/1821/09/10/pdfs/GMD-1821-258.pdf#page=2","Abrir facsímil")</f>
        <v>Abrir facsímil</v>
      </c>
      <c r="K3713" s="3" t="s">
        <v>23</v>
      </c>
    </row>
    <row r="3714" spans="1:11" ht="42" customHeight="1">
      <c r="A3714" s="2" t="s">
        <v>7662</v>
      </c>
      <c r="B3714" s="2" t="s">
        <v>7663</v>
      </c>
      <c r="C3714" s="2" t="s">
        <v>40</v>
      </c>
      <c r="D3714" s="2" t="s">
        <v>41</v>
      </c>
      <c r="E3714" s="5">
        <v>-28600</v>
      </c>
      <c r="F3714" s="3" t="s">
        <v>99</v>
      </c>
      <c r="G3714" s="3" t="s">
        <v>52</v>
      </c>
      <c r="H3714" s="2" t="s">
        <v>21</v>
      </c>
      <c r="I3714" s="2" t="s">
        <v>7664</v>
      </c>
      <c r="J3714" s="3" t="str">
        <f>HYPERLINK("https://www.boe.es/gazeta/dias/1821/09/10/pdfs/GMD-1821-258.pdf#page=2","Abrir facsímil")</f>
        <v>Abrir facsímil</v>
      </c>
      <c r="K3714" s="3" t="s">
        <v>23</v>
      </c>
    </row>
    <row r="3715" spans="1:11" ht="42" customHeight="1">
      <c r="A3715" s="2" t="s">
        <v>7665</v>
      </c>
      <c r="B3715" s="2" t="s">
        <v>7666</v>
      </c>
      <c r="C3715" s="2" t="s">
        <v>17</v>
      </c>
      <c r="D3715" s="2" t="s">
        <v>18</v>
      </c>
      <c r="E3715" s="5">
        <v>-28629</v>
      </c>
      <c r="F3715" s="3" t="s">
        <v>235</v>
      </c>
      <c r="G3715" s="3" t="s">
        <v>88</v>
      </c>
      <c r="H3715" s="2" t="s">
        <v>21</v>
      </c>
      <c r="I3715" s="2" t="s">
        <v>7667</v>
      </c>
      <c r="J3715" s="3" t="str">
        <f>HYPERLINK("https://www.boe.es/gazeta/dias/1821/08/12/pdfs/GMD-1821-229.pdf#page=4","Abrir facsímil")</f>
        <v>Abrir facsímil</v>
      </c>
      <c r="K3715" s="3" t="s">
        <v>23</v>
      </c>
    </row>
    <row r="3716" spans="1:11" ht="42" customHeight="1">
      <c r="A3716" s="2" t="s">
        <v>7668</v>
      </c>
      <c r="B3716" s="2" t="s">
        <v>7669</v>
      </c>
      <c r="C3716" s="2" t="s">
        <v>40</v>
      </c>
      <c r="D3716" s="2" t="s">
        <v>41</v>
      </c>
      <c r="E3716" s="5">
        <v>-28538</v>
      </c>
      <c r="F3716" s="3" t="s">
        <v>395</v>
      </c>
      <c r="G3716" s="3" t="s">
        <v>52</v>
      </c>
      <c r="H3716" s="2" t="s">
        <v>21</v>
      </c>
      <c r="I3716" s="2" t="s">
        <v>7670</v>
      </c>
      <c r="J3716" s="3" t="str">
        <f>HYPERLINK("https://www.boe.es/gazeta/dias/1821/11/11/pdfs/GMD-1821-322.pdf#page=2","Abrir facsímil")</f>
        <v>Abrir facsímil</v>
      </c>
      <c r="K3716" s="3" t="s">
        <v>23</v>
      </c>
    </row>
    <row r="3717" spans="1:11" ht="42" customHeight="1">
      <c r="A3717" s="2" t="s">
        <v>7671</v>
      </c>
      <c r="B3717" s="2" t="s">
        <v>7672</v>
      </c>
      <c r="C3717" s="2" t="s">
        <v>17</v>
      </c>
      <c r="D3717" s="2" t="s">
        <v>18</v>
      </c>
      <c r="E3717" s="5">
        <v>-28690</v>
      </c>
      <c r="F3717" s="3" t="s">
        <v>846</v>
      </c>
      <c r="G3717" s="3" t="s">
        <v>847</v>
      </c>
      <c r="H3717" s="2" t="s">
        <v>21</v>
      </c>
      <c r="I3717" s="2" t="s">
        <v>7673</v>
      </c>
      <c r="J3717" s="3" t="str">
        <f>HYPERLINK("https://www.boe.es/gazeta/dias/1821/06/12/pdfs/GMD-1821-165.pdf#page=2","Abrir facsímil")</f>
        <v>Abrir facsímil</v>
      </c>
      <c r="K3717" s="3" t="s">
        <v>23</v>
      </c>
    </row>
    <row r="3718" spans="1:11" ht="42" customHeight="1">
      <c r="A3718" s="2" t="s">
        <v>7674</v>
      </c>
      <c r="B3718" s="2" t="s">
        <v>7675</v>
      </c>
      <c r="C3718" s="2" t="s">
        <v>40</v>
      </c>
      <c r="D3718" s="2" t="s">
        <v>41</v>
      </c>
      <c r="E3718" s="5">
        <v>-28780</v>
      </c>
      <c r="F3718" s="3" t="s">
        <v>143</v>
      </c>
      <c r="G3718" s="3" t="s">
        <v>88</v>
      </c>
      <c r="H3718" s="2" t="s">
        <v>21</v>
      </c>
      <c r="I3718" s="2" t="s">
        <v>7676</v>
      </c>
      <c r="J3718" s="3" t="str">
        <f>HYPERLINK("https://www.boe.es/gazeta/dias/1821/03/14/pdfs/GMD-1821-73.pdf#page=4","Abrir facsímil")</f>
        <v>Abrir facsímil</v>
      </c>
      <c r="K3718" s="3" t="s">
        <v>23</v>
      </c>
    </row>
    <row r="3719" spans="1:11" ht="42" customHeight="1">
      <c r="A3719" s="2" t="s">
        <v>7674</v>
      </c>
      <c r="B3719" s="2" t="s">
        <v>7675</v>
      </c>
      <c r="C3719" s="2" t="s">
        <v>17</v>
      </c>
      <c r="D3719" s="2" t="s">
        <v>18</v>
      </c>
      <c r="E3719" s="5">
        <v>-28773</v>
      </c>
      <c r="F3719" s="3" t="s">
        <v>1755</v>
      </c>
      <c r="G3719" s="3" t="s">
        <v>29</v>
      </c>
      <c r="H3719" s="2" t="s">
        <v>21</v>
      </c>
      <c r="I3719" s="2" t="s">
        <v>7677</v>
      </c>
      <c r="J3719" s="3" t="str">
        <f>HYPERLINK("https://www.boe.es/gazeta/dias/1821/03/21/pdfs/GMD-1821-80.pdf#page=6","Abrir facsímil")</f>
        <v>Abrir facsímil</v>
      </c>
      <c r="K3719" s="3" t="s">
        <v>23</v>
      </c>
    </row>
    <row r="3720" spans="1:11" ht="42" customHeight="1">
      <c r="A3720" s="2" t="s">
        <v>7678</v>
      </c>
      <c r="B3720" s="2" t="s">
        <v>7679</v>
      </c>
      <c r="C3720" s="2" t="s">
        <v>494</v>
      </c>
      <c r="D3720" s="2" t="s">
        <v>18</v>
      </c>
      <c r="E3720" s="5">
        <v>-28644</v>
      </c>
      <c r="F3720" s="3" t="s">
        <v>1340</v>
      </c>
      <c r="G3720" s="3" t="s">
        <v>20</v>
      </c>
      <c r="H3720" s="2" t="s">
        <v>21</v>
      </c>
      <c r="I3720" s="2" t="s">
        <v>7680</v>
      </c>
      <c r="J3720" s="3" t="str">
        <f>HYPERLINK("https://www.boe.es/gazeta/dias/1821/07/28/pdfs/GMD-1821-213.pdf#page=3","Abrir facsímil")</f>
        <v>Abrir facsímil</v>
      </c>
      <c r="K3720" s="3" t="s">
        <v>23</v>
      </c>
    </row>
    <row r="3721" spans="1:11" ht="42" customHeight="1">
      <c r="A3721" s="2" t="s">
        <v>7681</v>
      </c>
      <c r="B3721" s="2" t="s">
        <v>7682</v>
      </c>
      <c r="C3721" s="2" t="s">
        <v>114</v>
      </c>
      <c r="D3721" s="2" t="s">
        <v>27</v>
      </c>
      <c r="E3721" s="5">
        <v>-28641</v>
      </c>
      <c r="F3721" s="3" t="s">
        <v>398</v>
      </c>
      <c r="G3721" s="3" t="s">
        <v>20</v>
      </c>
      <c r="H3721" s="2" t="s">
        <v>21</v>
      </c>
      <c r="I3721" s="2" t="s">
        <v>7683</v>
      </c>
      <c r="J3721" s="3" t="str">
        <f>HYPERLINK("https://www.boe.es/gazeta/dias/1821/07/31/pdfs/GMD-1821-216.pdf#page=3","Abrir facsímil")</f>
        <v>Abrir facsímil</v>
      </c>
      <c r="K3721" s="3" t="s">
        <v>23</v>
      </c>
    </row>
    <row r="3722" spans="1:11" ht="42" customHeight="1">
      <c r="A3722" s="2" t="s">
        <v>7684</v>
      </c>
      <c r="B3722" s="2" t="s">
        <v>7685</v>
      </c>
      <c r="C3722" s="2" t="s">
        <v>40</v>
      </c>
      <c r="D3722" s="2" t="s">
        <v>41</v>
      </c>
      <c r="E3722" s="5">
        <v>-28541</v>
      </c>
      <c r="F3722" s="3" t="s">
        <v>275</v>
      </c>
      <c r="G3722" s="3" t="s">
        <v>52</v>
      </c>
      <c r="H3722" s="2" t="s">
        <v>21</v>
      </c>
      <c r="I3722" s="2" t="s">
        <v>7686</v>
      </c>
      <c r="J3722" s="3" t="str">
        <f>HYPERLINK("https://www.boe.es/gazeta/dias/1821/11/08/pdfs/GMD-1821-319.pdf#page=2","Abrir facsímil")</f>
        <v>Abrir facsímil</v>
      </c>
      <c r="K3722" s="3" t="s">
        <v>23</v>
      </c>
    </row>
    <row r="3723" spans="1:11" ht="42" customHeight="1">
      <c r="A3723" s="2" t="s">
        <v>7687</v>
      </c>
      <c r="B3723" s="2" t="s">
        <v>7688</v>
      </c>
      <c r="C3723" s="2" t="s">
        <v>40</v>
      </c>
      <c r="D3723" s="2" t="s">
        <v>41</v>
      </c>
      <c r="E3723" s="5">
        <v>-28686</v>
      </c>
      <c r="F3723" s="3" t="s">
        <v>115</v>
      </c>
      <c r="G3723" s="3" t="s">
        <v>20</v>
      </c>
      <c r="H3723" s="2" t="s">
        <v>21</v>
      </c>
      <c r="I3723" s="2" t="s">
        <v>7689</v>
      </c>
      <c r="J3723" s="3" t="str">
        <f>HYPERLINK("https://www.boe.es/gazeta/dias/1821/06/16/pdfs/GMD-1821-169.pdf#page=3","Abrir facsímil")</f>
        <v>Abrir facsímil</v>
      </c>
      <c r="K3723" s="3" t="s">
        <v>23</v>
      </c>
    </row>
    <row r="3724" spans="1:11" ht="42" customHeight="1">
      <c r="A3724" s="2" t="s">
        <v>7690</v>
      </c>
      <c r="B3724" s="2" t="s">
        <v>7691</v>
      </c>
      <c r="C3724" s="2" t="s">
        <v>40</v>
      </c>
      <c r="D3724" s="2" t="s">
        <v>41</v>
      </c>
      <c r="E3724" s="5">
        <v>-28818</v>
      </c>
      <c r="F3724" s="3" t="s">
        <v>2337</v>
      </c>
      <c r="G3724" s="3" t="s">
        <v>43</v>
      </c>
      <c r="H3724" s="2" t="s">
        <v>21</v>
      </c>
      <c r="I3724" s="2" t="s">
        <v>7692</v>
      </c>
      <c r="J3724" s="3" t="str">
        <f>HYPERLINK("https://www.boe.es/gazeta/dias/1821/02/04/pdfs/GGB-1821-35.pdf#page=1","Abrir facsímil")</f>
        <v>Abrir facsímil</v>
      </c>
      <c r="K3724" s="3" t="s">
        <v>23</v>
      </c>
    </row>
    <row r="3725" spans="1:11" ht="42" customHeight="1">
      <c r="A3725" s="2" t="s">
        <v>7693</v>
      </c>
      <c r="B3725" s="2" t="s">
        <v>7693</v>
      </c>
      <c r="C3725" s="2" t="s">
        <v>35</v>
      </c>
      <c r="D3725" s="2" t="s">
        <v>27</v>
      </c>
      <c r="E3725" s="5">
        <v>-28600</v>
      </c>
      <c r="F3725" s="3" t="s">
        <v>99</v>
      </c>
      <c r="G3725" s="3" t="s">
        <v>52</v>
      </c>
      <c r="H3725" s="2" t="s">
        <v>21</v>
      </c>
      <c r="I3725" s="2" t="s">
        <v>7694</v>
      </c>
      <c r="J3725" s="3" t="str">
        <f>HYPERLINK("https://www.boe.es/gazeta/dias/1821/09/10/pdfs/GMD-1821-258.pdf#page=2","Abrir facsímil")</f>
        <v>Abrir facsímil</v>
      </c>
      <c r="K3725" s="3" t="s">
        <v>23</v>
      </c>
    </row>
    <row r="3726" spans="1:11" ht="42" customHeight="1">
      <c r="A3726" s="2" t="s">
        <v>7695</v>
      </c>
      <c r="B3726" s="2" t="s">
        <v>7695</v>
      </c>
      <c r="C3726" s="2" t="s">
        <v>279</v>
      </c>
      <c r="D3726" s="2" t="s">
        <v>27</v>
      </c>
      <c r="E3726" s="5">
        <v>-28832</v>
      </c>
      <c r="F3726" s="3" t="s">
        <v>353</v>
      </c>
      <c r="G3726" s="3" t="s">
        <v>162</v>
      </c>
      <c r="H3726" s="2" t="s">
        <v>21</v>
      </c>
      <c r="I3726" s="2" t="s">
        <v>7696</v>
      </c>
      <c r="J3726" s="3" t="str">
        <f>HYPERLINK("https://www.boe.es/gazeta/dias/1821/01/21/pdfs/GGB-1821-21.pdf#page=5","Abrir facsímil")</f>
        <v>Abrir facsímil</v>
      </c>
      <c r="K3726" s="3" t="s">
        <v>23</v>
      </c>
    </row>
    <row r="3727" spans="1:11" ht="42" customHeight="1">
      <c r="A3727" s="2" t="s">
        <v>7697</v>
      </c>
      <c r="B3727" s="2" t="s">
        <v>7698</v>
      </c>
      <c r="C3727" s="2" t="s">
        <v>70</v>
      </c>
      <c r="D3727" s="2" t="s">
        <v>27</v>
      </c>
      <c r="E3727" s="5">
        <v>-28641</v>
      </c>
      <c r="F3727" s="3" t="s">
        <v>398</v>
      </c>
      <c r="G3727" s="3" t="s">
        <v>20</v>
      </c>
      <c r="H3727" s="2" t="s">
        <v>21</v>
      </c>
      <c r="I3727" s="2" t="s">
        <v>7699</v>
      </c>
      <c r="J3727" s="3" t="str">
        <f>HYPERLINK("https://www.boe.es/gazeta/dias/1821/07/31/pdfs/GMD-1821-216.pdf#page=3","Abrir facsímil")</f>
        <v>Abrir facsímil</v>
      </c>
      <c r="K3727" s="3" t="s">
        <v>23</v>
      </c>
    </row>
    <row r="3728" spans="1:11" ht="42" customHeight="1">
      <c r="A3728" s="2" t="s">
        <v>7700</v>
      </c>
      <c r="B3728" s="2" t="s">
        <v>7701</v>
      </c>
      <c r="C3728" s="2" t="s">
        <v>174</v>
      </c>
      <c r="D3728" s="2" t="s">
        <v>27</v>
      </c>
      <c r="E3728" s="5">
        <v>-28528</v>
      </c>
      <c r="F3728" s="3" t="s">
        <v>1872</v>
      </c>
      <c r="G3728" s="3" t="s">
        <v>52</v>
      </c>
      <c r="H3728" s="2" t="s">
        <v>21</v>
      </c>
      <c r="I3728" s="2" t="s">
        <v>7702</v>
      </c>
      <c r="J3728" s="3" t="str">
        <f>HYPERLINK("https://www.boe.es/gazeta/dias/1821/11/21/pdfs/GMD-1821-332.pdf#page=2","Abrir facsímil")</f>
        <v>Abrir facsímil</v>
      </c>
      <c r="K3728" s="3" t="s">
        <v>23</v>
      </c>
    </row>
    <row r="3729" spans="1:11" ht="42" customHeight="1">
      <c r="A3729" s="2" t="s">
        <v>7703</v>
      </c>
      <c r="B3729" s="2" t="s">
        <v>7703</v>
      </c>
      <c r="C3729" s="2" t="s">
        <v>26</v>
      </c>
      <c r="D3729" s="2" t="s">
        <v>27</v>
      </c>
      <c r="E3729" s="5">
        <v>-28736</v>
      </c>
      <c r="F3729" s="3" t="s">
        <v>464</v>
      </c>
      <c r="G3729" s="3" t="s">
        <v>43</v>
      </c>
      <c r="H3729" s="2" t="s">
        <v>21</v>
      </c>
      <c r="I3729" s="2" t="s">
        <v>7704</v>
      </c>
      <c r="J3729" s="3" t="str">
        <f>HYPERLINK("https://www.boe.es/gazeta/dias/1821/04/27/pdfs/GMD-1821-119.pdf#page=1","Abrir facsímil")</f>
        <v>Abrir facsímil</v>
      </c>
      <c r="K3729" s="3" t="s">
        <v>23</v>
      </c>
    </row>
    <row r="3730" spans="1:11" ht="42" customHeight="1">
      <c r="A3730" s="2" t="s">
        <v>7705</v>
      </c>
      <c r="B3730" s="2" t="s">
        <v>7705</v>
      </c>
      <c r="C3730" s="2" t="s">
        <v>26</v>
      </c>
      <c r="D3730" s="2" t="s">
        <v>27</v>
      </c>
      <c r="E3730" s="5">
        <v>-28782</v>
      </c>
      <c r="F3730" s="3" t="s">
        <v>508</v>
      </c>
      <c r="G3730" s="3" t="s">
        <v>52</v>
      </c>
      <c r="H3730" s="2" t="s">
        <v>21</v>
      </c>
      <c r="I3730" s="2" t="s">
        <v>7706</v>
      </c>
      <c r="J3730" s="3" t="str">
        <f>HYPERLINK("https://www.boe.es/gazeta/dias/1821/03/12/pdfs/GMD-1821-71.pdf#page=2","Abrir facsímil")</f>
        <v>Abrir facsímil</v>
      </c>
      <c r="K3730" s="3" t="s">
        <v>23</v>
      </c>
    </row>
    <row r="3731" spans="1:11" ht="42" customHeight="1">
      <c r="A3731" s="2" t="s">
        <v>7705</v>
      </c>
      <c r="B3731" s="2" t="s">
        <v>7705</v>
      </c>
      <c r="C3731" s="2" t="s">
        <v>26</v>
      </c>
      <c r="D3731" s="2" t="s">
        <v>27</v>
      </c>
      <c r="E3731" s="5">
        <v>-28781</v>
      </c>
      <c r="F3731" s="3" t="s">
        <v>149</v>
      </c>
      <c r="G3731" s="3" t="s">
        <v>52</v>
      </c>
      <c r="H3731" s="2" t="s">
        <v>21</v>
      </c>
      <c r="I3731" s="2" t="s">
        <v>7707</v>
      </c>
      <c r="J3731" s="3" t="str">
        <f>HYPERLINK("https://www.boe.es/gazeta/dias/1821/03/13/pdfs/GMD-1821-72.pdf#page=2","Abrir facsímil")</f>
        <v>Abrir facsímil</v>
      </c>
      <c r="K3731" s="3" t="s">
        <v>23</v>
      </c>
    </row>
    <row r="3732" spans="1:11" ht="42" customHeight="1">
      <c r="A3732" s="2" t="s">
        <v>7708</v>
      </c>
      <c r="B3732" s="2" t="s">
        <v>7708</v>
      </c>
      <c r="C3732" s="2" t="s">
        <v>40</v>
      </c>
      <c r="D3732" s="2" t="s">
        <v>41</v>
      </c>
      <c r="E3732" s="5">
        <v>-28798</v>
      </c>
      <c r="F3732" s="3" t="s">
        <v>60</v>
      </c>
      <c r="G3732" s="3" t="s">
        <v>43</v>
      </c>
      <c r="H3732" s="2" t="s">
        <v>21</v>
      </c>
      <c r="I3732" s="2" t="s">
        <v>7709</v>
      </c>
      <c r="J3732" s="3" t="str">
        <f>HYPERLINK("https://www.boe.es/gazeta/dias/1821/02/24/pdfs/GGB-1821-55.pdf#page=1","Abrir facsímil")</f>
        <v>Abrir facsímil</v>
      </c>
      <c r="K3732" s="3" t="s">
        <v>23</v>
      </c>
    </row>
    <row r="3733" spans="1:11" ht="42" customHeight="1">
      <c r="A3733" s="2" t="s">
        <v>7710</v>
      </c>
      <c r="B3733" s="2" t="s">
        <v>7710</v>
      </c>
      <c r="C3733" s="2" t="s">
        <v>40</v>
      </c>
      <c r="D3733" s="2" t="s">
        <v>41</v>
      </c>
      <c r="E3733" s="5">
        <v>-28848</v>
      </c>
      <c r="F3733" s="3" t="s">
        <v>5247</v>
      </c>
      <c r="G3733" s="3" t="s">
        <v>52</v>
      </c>
      <c r="H3733" s="2" t="s">
        <v>21</v>
      </c>
      <c r="I3733" s="2" t="s">
        <v>7711</v>
      </c>
      <c r="J3733" s="3" t="str">
        <f>HYPERLINK("https://www.boe.es/gazeta/dias/1821/01/05/pdfs/GGB-1821-5.pdf#page=2","Abrir facsímil")</f>
        <v>Abrir facsímil</v>
      </c>
      <c r="K3733" s="3" t="s">
        <v>23</v>
      </c>
    </row>
    <row r="3734" spans="1:11" ht="42" customHeight="1">
      <c r="A3734" s="2" t="s">
        <v>7710</v>
      </c>
      <c r="B3734" s="2" t="s">
        <v>7710</v>
      </c>
      <c r="C3734" s="2" t="s">
        <v>40</v>
      </c>
      <c r="D3734" s="2" t="s">
        <v>41</v>
      </c>
      <c r="E3734" s="5">
        <v>-28781</v>
      </c>
      <c r="F3734" s="3" t="s">
        <v>149</v>
      </c>
      <c r="G3734" s="3" t="s">
        <v>162</v>
      </c>
      <c r="H3734" s="2" t="s">
        <v>21</v>
      </c>
      <c r="I3734" s="2" t="s">
        <v>7712</v>
      </c>
      <c r="J3734" s="3" t="str">
        <f>HYPERLINK("https://www.boe.es/gazeta/dias/1821/03/13/pdfs/GMD-1821-72.pdf#page=5","Abrir facsímil")</f>
        <v>Abrir facsímil</v>
      </c>
      <c r="K3734" s="3" t="s">
        <v>23</v>
      </c>
    </row>
    <row r="3735" spans="1:11" ht="42" customHeight="1">
      <c r="A3735" s="2" t="s">
        <v>7710</v>
      </c>
      <c r="B3735" s="2" t="s">
        <v>7710</v>
      </c>
      <c r="C3735" s="2" t="s">
        <v>40</v>
      </c>
      <c r="D3735" s="2" t="s">
        <v>41</v>
      </c>
      <c r="E3735" s="5">
        <v>-28776</v>
      </c>
      <c r="F3735" s="3" t="s">
        <v>312</v>
      </c>
      <c r="G3735" s="3" t="s">
        <v>52</v>
      </c>
      <c r="H3735" s="2" t="s">
        <v>21</v>
      </c>
      <c r="I3735" s="2" t="s">
        <v>7713</v>
      </c>
      <c r="J3735" s="3" t="str">
        <f>HYPERLINK("https://www.boe.es/gazeta/dias/1821/03/18/pdfs/GMD-1821-77.pdf#page=2","Abrir facsímil")</f>
        <v>Abrir facsímil</v>
      </c>
      <c r="K3735" s="3" t="s">
        <v>23</v>
      </c>
    </row>
    <row r="3736" spans="1:11" ht="42" customHeight="1">
      <c r="A3736" s="2" t="s">
        <v>7710</v>
      </c>
      <c r="B3736" s="2" t="s">
        <v>7710</v>
      </c>
      <c r="C3736" s="2" t="s">
        <v>40</v>
      </c>
      <c r="D3736" s="2" t="s">
        <v>41</v>
      </c>
      <c r="E3736" s="5">
        <v>-28775</v>
      </c>
      <c r="F3736" s="3" t="s">
        <v>132</v>
      </c>
      <c r="G3736" s="3" t="s">
        <v>20</v>
      </c>
      <c r="H3736" s="2" t="s">
        <v>21</v>
      </c>
      <c r="I3736" s="2" t="s">
        <v>7714</v>
      </c>
      <c r="J3736" s="3" t="str">
        <f>HYPERLINK("https://www.boe.es/gazeta/dias/1821/03/19/pdfs/GMD-1821-78.pdf#page=3","Abrir facsímil")</f>
        <v>Abrir facsímil</v>
      </c>
      <c r="K3736" s="3" t="s">
        <v>23</v>
      </c>
    </row>
    <row r="3737" spans="1:11" ht="42" customHeight="1">
      <c r="A3737" s="2" t="s">
        <v>7715</v>
      </c>
      <c r="B3737" s="2" t="s">
        <v>7715</v>
      </c>
      <c r="C3737" s="2" t="s">
        <v>40</v>
      </c>
      <c r="D3737" s="2" t="s">
        <v>41</v>
      </c>
      <c r="E3737" s="5">
        <v>-28736</v>
      </c>
      <c r="F3737" s="3" t="s">
        <v>464</v>
      </c>
      <c r="G3737" s="3" t="s">
        <v>43</v>
      </c>
      <c r="H3737" s="2" t="s">
        <v>21</v>
      </c>
      <c r="I3737" s="2" t="s">
        <v>7716</v>
      </c>
      <c r="J3737" s="3" t="str">
        <f>HYPERLINK("https://www.boe.es/gazeta/dias/1821/04/27/pdfs/GMD-1821-119.pdf#page=1","Abrir facsímil")</f>
        <v>Abrir facsímil</v>
      </c>
      <c r="K3737" s="3" t="s">
        <v>23</v>
      </c>
    </row>
    <row r="3738" spans="1:11" ht="42" customHeight="1">
      <c r="A3738" s="2" t="s">
        <v>7717</v>
      </c>
      <c r="B3738" s="2" t="s">
        <v>7717</v>
      </c>
      <c r="C3738" s="2" t="s">
        <v>17</v>
      </c>
      <c r="D3738" s="2" t="s">
        <v>18</v>
      </c>
      <c r="E3738" s="5">
        <v>-28790</v>
      </c>
      <c r="F3738" s="3" t="s">
        <v>991</v>
      </c>
      <c r="G3738" s="3" t="s">
        <v>52</v>
      </c>
      <c r="H3738" s="2" t="s">
        <v>21</v>
      </c>
      <c r="I3738" s="2" t="s">
        <v>7718</v>
      </c>
      <c r="J3738" s="3" t="str">
        <f>HYPERLINK("https://www.boe.es/gazeta/dias/1821/03/04/pdfs/GGB-1821-63.pdf#page=2","Abrir facsímil")</f>
        <v>Abrir facsímil</v>
      </c>
      <c r="K3738" s="3" t="s">
        <v>23</v>
      </c>
    </row>
    <row r="3739" spans="1:11" ht="42" customHeight="1">
      <c r="A3739" s="2" t="s">
        <v>7719</v>
      </c>
      <c r="B3739" s="2" t="s">
        <v>7719</v>
      </c>
      <c r="C3739" s="2" t="s">
        <v>17</v>
      </c>
      <c r="D3739" s="2" t="s">
        <v>18</v>
      </c>
      <c r="E3739" s="5">
        <v>-28818</v>
      </c>
      <c r="F3739" s="3" t="s">
        <v>2337</v>
      </c>
      <c r="G3739" s="3" t="s">
        <v>20</v>
      </c>
      <c r="H3739" s="2" t="s">
        <v>21</v>
      </c>
      <c r="I3739" s="2" t="s">
        <v>7720</v>
      </c>
      <c r="J3739" s="3" t="str">
        <f>HYPERLINK("https://www.boe.es/gazeta/dias/1821/02/04/pdfs/GGB-1821-35.pdf#page=3","Abrir facsímil")</f>
        <v>Abrir facsímil</v>
      </c>
      <c r="K3739" s="3" t="s">
        <v>23</v>
      </c>
    </row>
    <row r="3740" spans="1:11" ht="42" customHeight="1">
      <c r="A3740" s="2" t="s">
        <v>7719</v>
      </c>
      <c r="B3740" s="2" t="s">
        <v>7719</v>
      </c>
      <c r="C3740" s="2" t="s">
        <v>17</v>
      </c>
      <c r="D3740" s="2" t="s">
        <v>18</v>
      </c>
      <c r="E3740" s="5">
        <v>-28810</v>
      </c>
      <c r="F3740" s="3" t="s">
        <v>308</v>
      </c>
      <c r="G3740" s="3" t="s">
        <v>52</v>
      </c>
      <c r="H3740" s="2" t="s">
        <v>21</v>
      </c>
      <c r="I3740" s="2" t="s">
        <v>7721</v>
      </c>
      <c r="J3740" s="3" t="str">
        <f>HYPERLINK("https://www.boe.es/gazeta/dias/1821/02/12/pdfs/GGB-1821-43.pdf#page=2","Abrir facsímil")</f>
        <v>Abrir facsímil</v>
      </c>
      <c r="K3740" s="3" t="s">
        <v>23</v>
      </c>
    </row>
    <row r="3741" spans="1:11" ht="42" customHeight="1">
      <c r="A3741" s="2" t="s">
        <v>7719</v>
      </c>
      <c r="B3741" s="2" t="s">
        <v>7719</v>
      </c>
      <c r="C3741" s="2" t="s">
        <v>17</v>
      </c>
      <c r="D3741" s="2" t="s">
        <v>18</v>
      </c>
      <c r="E3741" s="5">
        <v>-28805</v>
      </c>
      <c r="F3741" s="3" t="s">
        <v>382</v>
      </c>
      <c r="G3741" s="3" t="s">
        <v>52</v>
      </c>
      <c r="H3741" s="2" t="s">
        <v>21</v>
      </c>
      <c r="I3741" s="2" t="s">
        <v>7722</v>
      </c>
      <c r="J3741" s="3" t="str">
        <f>HYPERLINK("https://www.boe.es/gazeta/dias/1821/02/17/pdfs/GGB-1821-48.pdf#page=2","Abrir facsímil")</f>
        <v>Abrir facsímil</v>
      </c>
      <c r="K3741" s="3" t="s">
        <v>23</v>
      </c>
    </row>
    <row r="3742" spans="1:11" ht="42" customHeight="1">
      <c r="A3742" s="2" t="s">
        <v>7719</v>
      </c>
      <c r="B3742" s="2" t="s">
        <v>7719</v>
      </c>
      <c r="C3742" s="2" t="s">
        <v>40</v>
      </c>
      <c r="D3742" s="2" t="s">
        <v>41</v>
      </c>
      <c r="E3742" s="5">
        <v>-28804</v>
      </c>
      <c r="F3742" s="3" t="s">
        <v>1580</v>
      </c>
      <c r="G3742" s="3" t="s">
        <v>52</v>
      </c>
      <c r="H3742" s="2" t="s">
        <v>21</v>
      </c>
      <c r="I3742" s="2" t="s">
        <v>7723</v>
      </c>
      <c r="J3742" s="3" t="str">
        <f>HYPERLINK("https://www.boe.es/gazeta/dias/1821/02/18/pdfs/GGB-1821-49.pdf#page=2","Abrir facsímil")</f>
        <v>Abrir facsímil</v>
      </c>
      <c r="K3742" s="3" t="s">
        <v>23</v>
      </c>
    </row>
    <row r="3743" spans="1:11" ht="42" customHeight="1">
      <c r="A3743" s="2" t="s">
        <v>7719</v>
      </c>
      <c r="B3743" s="2" t="s">
        <v>7719</v>
      </c>
      <c r="C3743" s="2" t="s">
        <v>17</v>
      </c>
      <c r="D3743" s="2" t="s">
        <v>18</v>
      </c>
      <c r="E3743" s="5">
        <v>-28792</v>
      </c>
      <c r="F3743" s="3" t="s">
        <v>2289</v>
      </c>
      <c r="G3743" s="3" t="s">
        <v>2290</v>
      </c>
      <c r="H3743" s="2" t="s">
        <v>21</v>
      </c>
      <c r="I3743" s="2" t="s">
        <v>7724</v>
      </c>
      <c r="J3743" s="3" t="str">
        <f>HYPERLINK("https://www.boe.es/gazeta/dias/1821/03/02/pdfs/GGB-1821-61.pdf#page=2","Abrir facsímil")</f>
        <v>Abrir facsímil</v>
      </c>
      <c r="K3743" s="3" t="s">
        <v>23</v>
      </c>
    </row>
    <row r="3744" spans="1:11" ht="42" customHeight="1">
      <c r="A3744" s="2" t="s">
        <v>7719</v>
      </c>
      <c r="B3744" s="2" t="s">
        <v>7719</v>
      </c>
      <c r="C3744" s="2" t="s">
        <v>17</v>
      </c>
      <c r="D3744" s="2" t="s">
        <v>18</v>
      </c>
      <c r="E3744" s="5">
        <v>-28791</v>
      </c>
      <c r="F3744" s="3" t="s">
        <v>47</v>
      </c>
      <c r="G3744" s="3" t="s">
        <v>43</v>
      </c>
      <c r="H3744" s="2" t="s">
        <v>21</v>
      </c>
      <c r="I3744" s="2" t="s">
        <v>7725</v>
      </c>
      <c r="J3744" s="3" t="str">
        <f>HYPERLINK("https://www.boe.es/gazeta/dias/1821/03/03/pdfs/GGB-1821-62.pdf#page=1","Abrir facsímil")</f>
        <v>Abrir facsímil</v>
      </c>
      <c r="K3744" s="3" t="s">
        <v>23</v>
      </c>
    </row>
    <row r="3745" spans="1:11" ht="42" customHeight="1">
      <c r="A3745" s="2" t="s">
        <v>7719</v>
      </c>
      <c r="B3745" s="2" t="s">
        <v>7719</v>
      </c>
      <c r="C3745" s="2" t="s">
        <v>17</v>
      </c>
      <c r="D3745" s="2" t="s">
        <v>18</v>
      </c>
      <c r="E3745" s="5">
        <v>-28786</v>
      </c>
      <c r="F3745" s="3" t="s">
        <v>1933</v>
      </c>
      <c r="G3745" s="3" t="s">
        <v>52</v>
      </c>
      <c r="H3745" s="2" t="s">
        <v>21</v>
      </c>
      <c r="I3745" s="2" t="s">
        <v>7726</v>
      </c>
      <c r="J3745" s="3" t="str">
        <f>HYPERLINK("https://www.boe.es/gazeta/dias/1821/03/08/pdfs/GGB-1821-67.pdf#page=2","Abrir facsímil")</f>
        <v>Abrir facsímil</v>
      </c>
      <c r="K3745" s="3" t="s">
        <v>23</v>
      </c>
    </row>
    <row r="3746" spans="1:11" ht="42" customHeight="1">
      <c r="A3746" s="2" t="s">
        <v>7719</v>
      </c>
      <c r="B3746" s="2" t="s">
        <v>7719</v>
      </c>
      <c r="C3746" s="2" t="s">
        <v>40</v>
      </c>
      <c r="D3746" s="2" t="s">
        <v>41</v>
      </c>
      <c r="E3746" s="5">
        <v>-28728</v>
      </c>
      <c r="F3746" s="3" t="s">
        <v>1038</v>
      </c>
      <c r="G3746" s="3" t="s">
        <v>52</v>
      </c>
      <c r="H3746" s="2" t="s">
        <v>21</v>
      </c>
      <c r="I3746" s="2" t="s">
        <v>7727</v>
      </c>
      <c r="J3746" s="3" t="str">
        <f>HYPERLINK("https://www.boe.es/gazeta/dias/1821/05/05/pdfs/GMD-1821-127.pdf#page=2","Abrir facsímil")</f>
        <v>Abrir facsímil</v>
      </c>
      <c r="K3746" s="3" t="s">
        <v>23</v>
      </c>
    </row>
    <row r="3747" spans="1:11" ht="42" customHeight="1">
      <c r="A3747" s="2" t="s">
        <v>7719</v>
      </c>
      <c r="B3747" s="2" t="s">
        <v>7719</v>
      </c>
      <c r="C3747" s="2" t="s">
        <v>17</v>
      </c>
      <c r="D3747" s="2" t="s">
        <v>18</v>
      </c>
      <c r="E3747" s="5">
        <v>-28671</v>
      </c>
      <c r="F3747" s="3" t="s">
        <v>5059</v>
      </c>
      <c r="G3747" s="3" t="s">
        <v>52</v>
      </c>
      <c r="H3747" s="2" t="s">
        <v>21</v>
      </c>
      <c r="I3747" s="2" t="s">
        <v>7728</v>
      </c>
      <c r="J3747" s="3" t="str">
        <f>HYPERLINK("https://www.boe.es/gazeta/dias/1821/07/01/pdfs/GMD-1821-185.pdf#page=2","Abrir facsímil")</f>
        <v>Abrir facsímil</v>
      </c>
      <c r="K3747" s="3" t="s">
        <v>23</v>
      </c>
    </row>
    <row r="3748" spans="1:11" ht="42" customHeight="1">
      <c r="A3748" s="2" t="s">
        <v>7719</v>
      </c>
      <c r="B3748" s="2" t="s">
        <v>7719</v>
      </c>
      <c r="C3748" s="2" t="s">
        <v>40</v>
      </c>
      <c r="D3748" s="2" t="s">
        <v>41</v>
      </c>
      <c r="E3748" s="5">
        <v>-28666</v>
      </c>
      <c r="F3748" s="3" t="s">
        <v>1263</v>
      </c>
      <c r="G3748" s="3" t="s">
        <v>20</v>
      </c>
      <c r="H3748" s="2" t="s">
        <v>21</v>
      </c>
      <c r="I3748" s="2" t="s">
        <v>7729</v>
      </c>
      <c r="J3748" s="3" t="str">
        <f>HYPERLINK("https://www.boe.es/gazeta/dias/1821/07/06/pdfs/GMD-1821-190.pdf#page=3","Abrir facsímil")</f>
        <v>Abrir facsímil</v>
      </c>
      <c r="K3748" s="3" t="s">
        <v>23</v>
      </c>
    </row>
    <row r="3749" spans="1:11" ht="42" customHeight="1">
      <c r="A3749" s="2" t="s">
        <v>7719</v>
      </c>
      <c r="B3749" s="2" t="s">
        <v>7719</v>
      </c>
      <c r="C3749" s="2" t="s">
        <v>17</v>
      </c>
      <c r="D3749" s="2" t="s">
        <v>18</v>
      </c>
      <c r="E3749" s="5">
        <v>-28650</v>
      </c>
      <c r="F3749" s="3" t="s">
        <v>3285</v>
      </c>
      <c r="G3749" s="3" t="s">
        <v>20</v>
      </c>
      <c r="H3749" s="2" t="s">
        <v>21</v>
      </c>
      <c r="I3749" s="2" t="s">
        <v>7730</v>
      </c>
      <c r="J3749" s="3" t="str">
        <f>HYPERLINK("https://www.boe.es/gazeta/dias/1821/07/22/pdfs/GMD-1821-207.pdf#page=3","Abrir facsímil")</f>
        <v>Abrir facsímil</v>
      </c>
      <c r="K3749" s="3" t="s">
        <v>23</v>
      </c>
    </row>
    <row r="3750" spans="1:11" ht="42" customHeight="1">
      <c r="A3750" s="2" t="s">
        <v>7731</v>
      </c>
      <c r="B3750" s="2" t="s">
        <v>7731</v>
      </c>
      <c r="C3750" s="2" t="s">
        <v>40</v>
      </c>
      <c r="D3750" s="2" t="s">
        <v>41</v>
      </c>
      <c r="E3750" s="5">
        <v>-28771</v>
      </c>
      <c r="F3750" s="3" t="s">
        <v>110</v>
      </c>
      <c r="G3750" s="3" t="s">
        <v>43</v>
      </c>
      <c r="H3750" s="2" t="s">
        <v>21</v>
      </c>
      <c r="I3750" s="2" t="s">
        <v>7732</v>
      </c>
      <c r="J3750" s="3" t="str">
        <f>HYPERLINK("https://www.boe.es/gazeta/dias/1821/03/23/pdfs/GMD-1821-83.pdf#page=1","Abrir facsímil")</f>
        <v>Abrir facsímil</v>
      </c>
      <c r="K3750" s="3" t="s">
        <v>23</v>
      </c>
    </row>
    <row r="3751" spans="1:11" ht="42" customHeight="1">
      <c r="A3751" s="2" t="s">
        <v>7733</v>
      </c>
      <c r="B3751" s="2" t="s">
        <v>7733</v>
      </c>
      <c r="C3751" s="2" t="s">
        <v>35</v>
      </c>
      <c r="D3751" s="2" t="s">
        <v>27</v>
      </c>
      <c r="E3751" s="5">
        <v>-28542</v>
      </c>
      <c r="F3751" s="3" t="s">
        <v>221</v>
      </c>
      <c r="G3751" s="3" t="s">
        <v>43</v>
      </c>
      <c r="H3751" s="2" t="s">
        <v>21</v>
      </c>
      <c r="I3751" s="2" t="s">
        <v>7734</v>
      </c>
      <c r="J3751" s="3" t="str">
        <f>HYPERLINK("https://www.boe.es/gazeta/dias/1821/11/07/pdfs/GMD-1821-318.pdf#page=1","Abrir facsímil")</f>
        <v>Abrir facsímil</v>
      </c>
      <c r="K3751" s="3" t="s">
        <v>23</v>
      </c>
    </row>
    <row r="3752" spans="1:11" ht="42" customHeight="1">
      <c r="A3752" s="2" t="s">
        <v>7735</v>
      </c>
      <c r="B3752" s="2" t="s">
        <v>7736</v>
      </c>
      <c r="C3752" s="2" t="s">
        <v>17</v>
      </c>
      <c r="D3752" s="2" t="s">
        <v>18</v>
      </c>
      <c r="E3752" s="5">
        <v>-28669</v>
      </c>
      <c r="F3752" s="3" t="s">
        <v>2816</v>
      </c>
      <c r="G3752" s="3" t="s">
        <v>88</v>
      </c>
      <c r="H3752" s="2" t="s">
        <v>21</v>
      </c>
      <c r="I3752" s="2" t="s">
        <v>7737</v>
      </c>
      <c r="J3752" s="3" t="str">
        <f>HYPERLINK("https://www.boe.es/gazeta/dias/1821/07/03/pdfs/GMD-1821-187.pdf#page=4","Abrir facsímil")</f>
        <v>Abrir facsímil</v>
      </c>
      <c r="K3752" s="3" t="s">
        <v>23</v>
      </c>
    </row>
    <row r="3753" spans="1:11" ht="42" customHeight="1">
      <c r="A3753" s="2" t="s">
        <v>7738</v>
      </c>
      <c r="B3753" s="2" t="s">
        <v>7738</v>
      </c>
      <c r="C3753" s="2" t="s">
        <v>40</v>
      </c>
      <c r="D3753" s="2" t="s">
        <v>41</v>
      </c>
      <c r="E3753" s="5">
        <v>-28749</v>
      </c>
      <c r="F3753" s="3" t="s">
        <v>832</v>
      </c>
      <c r="G3753" s="3" t="s">
        <v>43</v>
      </c>
      <c r="H3753" s="2" t="s">
        <v>21</v>
      </c>
      <c r="I3753" s="2" t="s">
        <v>7739</v>
      </c>
      <c r="J3753" s="3" t="str">
        <f>HYPERLINK("https://www.boe.es/gazeta/dias/1821/04/14/pdfs/GMD-1821-106.pdf#page=1","Abrir facsímil")</f>
        <v>Abrir facsímil</v>
      </c>
      <c r="K3753" s="3" t="s">
        <v>23</v>
      </c>
    </row>
    <row r="3754" spans="1:11" ht="42" customHeight="1">
      <c r="A3754" s="2" t="s">
        <v>7740</v>
      </c>
      <c r="B3754" s="2" t="s">
        <v>7740</v>
      </c>
      <c r="C3754" s="2" t="s">
        <v>17</v>
      </c>
      <c r="D3754" s="2" t="s">
        <v>18</v>
      </c>
      <c r="E3754" s="5">
        <v>-28532</v>
      </c>
      <c r="F3754" s="3" t="s">
        <v>1415</v>
      </c>
      <c r="G3754" s="3" t="s">
        <v>52</v>
      </c>
      <c r="H3754" s="2" t="s">
        <v>21</v>
      </c>
      <c r="I3754" s="2" t="s">
        <v>7741</v>
      </c>
      <c r="J3754" s="3" t="str">
        <f>HYPERLINK("https://www.boe.es/gazeta/dias/1821/11/17/pdfs/GMD-1821-328.pdf#page=2","Abrir facsímil")</f>
        <v>Abrir facsímil</v>
      </c>
      <c r="K3754" s="3" t="s">
        <v>23</v>
      </c>
    </row>
    <row r="3755" spans="1:11" ht="42" customHeight="1">
      <c r="A3755" s="2" t="s">
        <v>7742</v>
      </c>
      <c r="B3755" s="2" t="s">
        <v>7742</v>
      </c>
      <c r="C3755" s="2" t="s">
        <v>35</v>
      </c>
      <c r="D3755" s="2" t="s">
        <v>27</v>
      </c>
      <c r="E3755" s="5">
        <v>-28722</v>
      </c>
      <c r="F3755" s="3" t="s">
        <v>623</v>
      </c>
      <c r="G3755" s="3" t="s">
        <v>88</v>
      </c>
      <c r="H3755" s="2" t="s">
        <v>21</v>
      </c>
      <c r="I3755" s="2" t="s">
        <v>7743</v>
      </c>
      <c r="J3755" s="3" t="str">
        <f>HYPERLINK("https://www.boe.es/gazeta/dias/1821/05/11/pdfs/GMD-1821-133.pdf#page=4","Abrir facsímil")</f>
        <v>Abrir facsímil</v>
      </c>
      <c r="K3755" s="3" t="s">
        <v>23</v>
      </c>
    </row>
    <row r="3756" spans="1:11" ht="42" customHeight="1">
      <c r="A3756" s="2" t="s">
        <v>7744</v>
      </c>
      <c r="B3756" s="2" t="s">
        <v>7744</v>
      </c>
      <c r="C3756" s="2" t="s">
        <v>40</v>
      </c>
      <c r="D3756" s="2" t="s">
        <v>41</v>
      </c>
      <c r="E3756" s="5">
        <v>-28757</v>
      </c>
      <c r="F3756" s="3" t="s">
        <v>472</v>
      </c>
      <c r="G3756" s="3" t="s">
        <v>88</v>
      </c>
      <c r="H3756" s="2" t="s">
        <v>21</v>
      </c>
      <c r="I3756" s="2" t="s">
        <v>7745</v>
      </c>
      <c r="J3756" s="3" t="str">
        <f>HYPERLINK("https://www.boe.es/gazeta/dias/1821/04/06/pdfs/GMD-1821-98.pdf#page=4","Abrir facsímil")</f>
        <v>Abrir facsímil</v>
      </c>
      <c r="K3756" s="3" t="s">
        <v>23</v>
      </c>
    </row>
    <row r="3757" spans="1:11" ht="42" customHeight="1">
      <c r="A3757" s="2" t="s">
        <v>7746</v>
      </c>
      <c r="B3757" s="2" t="s">
        <v>7746</v>
      </c>
      <c r="C3757" s="2" t="s">
        <v>26</v>
      </c>
      <c r="D3757" s="2" t="s">
        <v>27</v>
      </c>
      <c r="E3757" s="5">
        <v>-28497</v>
      </c>
      <c r="F3757" s="3" t="s">
        <v>225</v>
      </c>
      <c r="G3757" s="3" t="s">
        <v>43</v>
      </c>
      <c r="H3757" s="2" t="s">
        <v>21</v>
      </c>
      <c r="I3757" s="2" t="s">
        <v>7747</v>
      </c>
      <c r="J3757" s="3" t="str">
        <f>HYPERLINK("https://www.boe.es/gazeta/dias/1821/12/22/pdfs/GMD-1821-365.pdf#page=1","Abrir facsímil")</f>
        <v>Abrir facsímil</v>
      </c>
      <c r="K3757" s="3" t="s">
        <v>23</v>
      </c>
    </row>
    <row r="3758" spans="1:11" ht="42" customHeight="1">
      <c r="A3758" s="2" t="s">
        <v>7748</v>
      </c>
      <c r="B3758" s="2" t="s">
        <v>7748</v>
      </c>
      <c r="C3758" s="2" t="s">
        <v>26</v>
      </c>
      <c r="D3758" s="2" t="s">
        <v>27</v>
      </c>
      <c r="E3758" s="5">
        <v>-28726</v>
      </c>
      <c r="F3758" s="3" t="s">
        <v>347</v>
      </c>
      <c r="G3758" s="3" t="s">
        <v>88</v>
      </c>
      <c r="H3758" s="2" t="s">
        <v>21</v>
      </c>
      <c r="I3758" s="2" t="s">
        <v>7749</v>
      </c>
      <c r="J3758" s="3" t="str">
        <f>HYPERLINK("https://www.boe.es/gazeta/dias/1821/05/07/pdfs/GMD-1821-129.pdf#page=4","Abrir facsímil")</f>
        <v>Abrir facsímil</v>
      </c>
      <c r="K3758" s="3" t="s">
        <v>23</v>
      </c>
    </row>
    <row r="3759" spans="1:11" ht="42" customHeight="1">
      <c r="A3759" s="2" t="s">
        <v>7750</v>
      </c>
      <c r="B3759" s="2" t="s">
        <v>7751</v>
      </c>
      <c r="C3759" s="2" t="s">
        <v>40</v>
      </c>
      <c r="D3759" s="2" t="s">
        <v>41</v>
      </c>
      <c r="E3759" s="5">
        <v>-28749</v>
      </c>
      <c r="F3759" s="3" t="s">
        <v>832</v>
      </c>
      <c r="G3759" s="3" t="s">
        <v>52</v>
      </c>
      <c r="H3759" s="2" t="s">
        <v>21</v>
      </c>
      <c r="I3759" s="2" t="s">
        <v>7752</v>
      </c>
      <c r="J3759" s="3" t="str">
        <f>HYPERLINK("https://www.boe.es/gazeta/dias/1821/04/14/pdfs/GMD-1821-106.pdf#page=2","Abrir facsímil")</f>
        <v>Abrir facsímil</v>
      </c>
      <c r="K3759" s="3" t="s">
        <v>23</v>
      </c>
    </row>
    <row r="3760" spans="1:11" ht="42" customHeight="1">
      <c r="A3760" s="2" t="s">
        <v>7753</v>
      </c>
      <c r="B3760" s="2" t="s">
        <v>7754</v>
      </c>
      <c r="C3760" s="2" t="s">
        <v>35</v>
      </c>
      <c r="D3760" s="2" t="s">
        <v>27</v>
      </c>
      <c r="E3760" s="5">
        <v>-28791</v>
      </c>
      <c r="F3760" s="3" t="s">
        <v>47</v>
      </c>
      <c r="G3760" s="3" t="s">
        <v>88</v>
      </c>
      <c r="H3760" s="2" t="s">
        <v>21</v>
      </c>
      <c r="I3760" s="2" t="s">
        <v>7755</v>
      </c>
      <c r="J3760" s="3" t="str">
        <f>HYPERLINK("https://www.boe.es/gazeta/dias/1821/03/03/pdfs/GGB-1821-62.pdf#page=4","Abrir facsímil")</f>
        <v>Abrir facsímil</v>
      </c>
      <c r="K3760" s="3" t="s">
        <v>23</v>
      </c>
    </row>
    <row r="3761" spans="1:11" ht="42" customHeight="1">
      <c r="A3761" s="2" t="s">
        <v>7756</v>
      </c>
      <c r="B3761" s="2" t="s">
        <v>7757</v>
      </c>
      <c r="C3761" s="2" t="s">
        <v>40</v>
      </c>
      <c r="D3761" s="2" t="s">
        <v>41</v>
      </c>
      <c r="E3761" s="5">
        <v>-28749</v>
      </c>
      <c r="F3761" s="3" t="s">
        <v>832</v>
      </c>
      <c r="G3761" s="3" t="s">
        <v>43</v>
      </c>
      <c r="H3761" s="2" t="s">
        <v>21</v>
      </c>
      <c r="I3761" s="2" t="s">
        <v>7758</v>
      </c>
      <c r="J3761" s="3" t="str">
        <f>HYPERLINK("https://www.boe.es/gazeta/dias/1821/04/14/pdfs/GMD-1821-106.pdf#page=1","Abrir facsímil")</f>
        <v>Abrir facsímil</v>
      </c>
      <c r="K3761" s="3" t="s">
        <v>23</v>
      </c>
    </row>
    <row r="3762" spans="1:11" ht="42" customHeight="1">
      <c r="A3762" s="2" t="s">
        <v>7759</v>
      </c>
      <c r="B3762" s="2" t="s">
        <v>7759</v>
      </c>
      <c r="C3762" s="2" t="s">
        <v>114</v>
      </c>
      <c r="D3762" s="2" t="s">
        <v>27</v>
      </c>
      <c r="E3762" s="5">
        <v>-28774</v>
      </c>
      <c r="F3762" s="3" t="s">
        <v>1221</v>
      </c>
      <c r="G3762" s="3" t="s">
        <v>88</v>
      </c>
      <c r="H3762" s="2" t="s">
        <v>21</v>
      </c>
      <c r="I3762" s="2" t="s">
        <v>7760</v>
      </c>
      <c r="J3762" s="3" t="str">
        <f>HYPERLINK("https://www.boe.es/gazeta/dias/1821/03/20/pdfs/GMD-1821-79.pdf#page=4","Abrir facsímil")</f>
        <v>Abrir facsímil</v>
      </c>
      <c r="K3762" s="3" t="s">
        <v>23</v>
      </c>
    </row>
    <row r="3763" spans="1:11" ht="42" customHeight="1">
      <c r="A3763" s="2" t="s">
        <v>7761</v>
      </c>
      <c r="B3763" s="2" t="s">
        <v>7762</v>
      </c>
      <c r="C3763" s="2" t="s">
        <v>114</v>
      </c>
      <c r="D3763" s="2" t="s">
        <v>27</v>
      </c>
      <c r="E3763" s="5">
        <v>-28809</v>
      </c>
      <c r="F3763" s="3" t="s">
        <v>1173</v>
      </c>
      <c r="G3763" s="3" t="s">
        <v>88</v>
      </c>
      <c r="H3763" s="2" t="s">
        <v>21</v>
      </c>
      <c r="I3763" s="2" t="s">
        <v>7763</v>
      </c>
      <c r="J3763" s="3" t="str">
        <f>HYPERLINK("https://www.boe.es/gazeta/dias/1821/02/13/pdfs/GGB-1821-44.pdf#page=4","Abrir facsímil")</f>
        <v>Abrir facsímil</v>
      </c>
      <c r="K3763" s="3" t="s">
        <v>23</v>
      </c>
    </row>
    <row r="3764" spans="1:11" ht="42" customHeight="1">
      <c r="A3764" s="2" t="s">
        <v>7764</v>
      </c>
      <c r="B3764" s="2" t="s">
        <v>7765</v>
      </c>
      <c r="C3764" s="2" t="s">
        <v>17</v>
      </c>
      <c r="D3764" s="2" t="s">
        <v>18</v>
      </c>
      <c r="E3764" s="5">
        <v>-28746</v>
      </c>
      <c r="F3764" s="3" t="s">
        <v>687</v>
      </c>
      <c r="G3764" s="3" t="s">
        <v>162</v>
      </c>
      <c r="H3764" s="2" t="s">
        <v>21</v>
      </c>
      <c r="I3764" s="2" t="s">
        <v>7766</v>
      </c>
      <c r="J3764" s="3" t="str">
        <f>HYPERLINK("https://www.boe.es/gazeta/dias/1821/04/17/pdfs/GMD-1821-109.pdf#page=5","Abrir facsímil")</f>
        <v>Abrir facsímil</v>
      </c>
      <c r="K3764" s="3" t="s">
        <v>23</v>
      </c>
    </row>
    <row r="3765" spans="1:11" ht="42" customHeight="1">
      <c r="A3765" s="2" t="s">
        <v>7767</v>
      </c>
      <c r="B3765" s="2" t="s">
        <v>7767</v>
      </c>
      <c r="C3765" s="2" t="s">
        <v>26</v>
      </c>
      <c r="D3765" s="2" t="s">
        <v>27</v>
      </c>
      <c r="E3765" s="5">
        <v>-28726</v>
      </c>
      <c r="F3765" s="3" t="s">
        <v>347</v>
      </c>
      <c r="G3765" s="3" t="s">
        <v>88</v>
      </c>
      <c r="H3765" s="2" t="s">
        <v>21</v>
      </c>
      <c r="I3765" s="2" t="s">
        <v>7768</v>
      </c>
      <c r="J3765" s="3" t="str">
        <f>HYPERLINK("https://www.boe.es/gazeta/dias/1821/05/07/pdfs/GMD-1821-129.pdf#page=4","Abrir facsímil")</f>
        <v>Abrir facsímil</v>
      </c>
      <c r="K3765" s="3" t="s">
        <v>23</v>
      </c>
    </row>
    <row r="3766" spans="1:11" ht="42" customHeight="1">
      <c r="A3766" s="2" t="s">
        <v>7769</v>
      </c>
      <c r="B3766" s="2" t="s">
        <v>7770</v>
      </c>
      <c r="C3766" s="2" t="s">
        <v>35</v>
      </c>
      <c r="D3766" s="2" t="s">
        <v>27</v>
      </c>
      <c r="E3766" s="5">
        <v>-28721</v>
      </c>
      <c r="F3766" s="3" t="s">
        <v>92</v>
      </c>
      <c r="G3766" s="3" t="s">
        <v>52</v>
      </c>
      <c r="H3766" s="2" t="s">
        <v>21</v>
      </c>
      <c r="I3766" s="2" t="s">
        <v>7771</v>
      </c>
      <c r="J3766" s="3" t="str">
        <f>HYPERLINK("https://www.boe.es/gazeta/dias/1821/05/12/pdfs/GMD-1821-134.pdf#page=2","Abrir facsímil")</f>
        <v>Abrir facsímil</v>
      </c>
      <c r="K3766" s="3" t="s">
        <v>23</v>
      </c>
    </row>
    <row r="3767" spans="1:11" ht="42" customHeight="1">
      <c r="A3767" s="2" t="s">
        <v>7772</v>
      </c>
      <c r="B3767" s="2" t="s">
        <v>7773</v>
      </c>
      <c r="C3767" s="2" t="s">
        <v>40</v>
      </c>
      <c r="D3767" s="2" t="s">
        <v>41</v>
      </c>
      <c r="E3767" s="5">
        <v>-28591</v>
      </c>
      <c r="F3767" s="3" t="s">
        <v>3638</v>
      </c>
      <c r="G3767" s="3" t="s">
        <v>88</v>
      </c>
      <c r="H3767" s="2" t="s">
        <v>21</v>
      </c>
      <c r="I3767" s="2" t="s">
        <v>7774</v>
      </c>
      <c r="J3767" s="3" t="str">
        <f>HYPERLINK("https://www.boe.es/gazeta/dias/1821/09/19/pdfs/GMD-1821-267.pdf#page=4","Abrir facsímil")</f>
        <v>Abrir facsímil</v>
      </c>
      <c r="K3767" s="3" t="s">
        <v>23</v>
      </c>
    </row>
    <row r="3768" spans="1:11" ht="42" customHeight="1">
      <c r="A3768" s="2" t="s">
        <v>7775</v>
      </c>
      <c r="B3768" s="2" t="s">
        <v>7776</v>
      </c>
      <c r="C3768" s="2" t="s">
        <v>40</v>
      </c>
      <c r="D3768" s="2" t="s">
        <v>41</v>
      </c>
      <c r="E3768" s="5">
        <v>-28572</v>
      </c>
      <c r="F3768" s="3" t="s">
        <v>1072</v>
      </c>
      <c r="G3768" s="3" t="s">
        <v>43</v>
      </c>
      <c r="H3768" s="2" t="s">
        <v>21</v>
      </c>
      <c r="I3768" s="2" t="s">
        <v>7777</v>
      </c>
      <c r="J3768" s="3" t="str">
        <f>HYPERLINK("https://www.boe.es/gazeta/dias/1821/10/08/pdfs/GMD-1821-287.pdf#page=1","Abrir facsímil")</f>
        <v>Abrir facsímil</v>
      </c>
      <c r="K3768" s="3" t="s">
        <v>23</v>
      </c>
    </row>
    <row r="3769" spans="1:11" ht="42" customHeight="1">
      <c r="A3769" s="2" t="s">
        <v>7778</v>
      </c>
      <c r="B3769" s="2" t="s">
        <v>7779</v>
      </c>
      <c r="C3769" s="2" t="s">
        <v>40</v>
      </c>
      <c r="D3769" s="2" t="s">
        <v>41</v>
      </c>
      <c r="E3769" s="5">
        <v>-28616</v>
      </c>
      <c r="F3769" s="3" t="s">
        <v>1912</v>
      </c>
      <c r="G3769" s="3" t="s">
        <v>1913</v>
      </c>
      <c r="H3769" s="2" t="s">
        <v>21</v>
      </c>
      <c r="I3769" s="2" t="s">
        <v>7780</v>
      </c>
      <c r="J3769" s="3" t="str">
        <f>HYPERLINK("https://www.boe.es/gazeta/dias/1821/08/25/pdfs/GMD-1821-242.pdf#page=3","Abrir facsímil")</f>
        <v>Abrir facsímil</v>
      </c>
      <c r="K3769" s="3" t="s">
        <v>23</v>
      </c>
    </row>
    <row r="3770" spans="1:11" ht="42" customHeight="1">
      <c r="A3770" s="2" t="s">
        <v>7781</v>
      </c>
      <c r="B3770" s="2" t="s">
        <v>7782</v>
      </c>
      <c r="C3770" s="2" t="s">
        <v>17</v>
      </c>
      <c r="D3770" s="2" t="s">
        <v>18</v>
      </c>
      <c r="E3770" s="5">
        <v>-28528</v>
      </c>
      <c r="F3770" s="3" t="s">
        <v>1872</v>
      </c>
      <c r="G3770" s="3" t="s">
        <v>29</v>
      </c>
      <c r="H3770" s="2" t="s">
        <v>21</v>
      </c>
      <c r="I3770" s="2" t="s">
        <v>7783</v>
      </c>
      <c r="J3770" s="3" t="str">
        <f>HYPERLINK("https://www.boe.es/gazeta/dias/1821/11/21/pdfs/GMD-1821-332.pdf#page=6","Abrir facsímil")</f>
        <v>Abrir facsímil</v>
      </c>
      <c r="K3770" s="3" t="s">
        <v>23</v>
      </c>
    </row>
    <row r="3771" spans="1:11" ht="42" customHeight="1">
      <c r="A3771" s="2" t="s">
        <v>7784</v>
      </c>
      <c r="B3771" s="2" t="s">
        <v>7785</v>
      </c>
      <c r="C3771" s="2" t="s">
        <v>17</v>
      </c>
      <c r="D3771" s="2" t="s">
        <v>18</v>
      </c>
      <c r="E3771" s="5">
        <v>-28509</v>
      </c>
      <c r="F3771" s="3" t="s">
        <v>388</v>
      </c>
      <c r="G3771" s="3" t="s">
        <v>333</v>
      </c>
      <c r="H3771" s="2" t="s">
        <v>21</v>
      </c>
      <c r="I3771" s="2" t="s">
        <v>7786</v>
      </c>
      <c r="J3771" s="3" t="str">
        <f>HYPERLINK("https://www.boe.es/gazeta/dias/1821/12/10/pdfs/GMD-1821-352.pdf#page=8","Abrir facsímil")</f>
        <v>Abrir facsímil</v>
      </c>
      <c r="K3771" s="3" t="s">
        <v>23</v>
      </c>
    </row>
    <row r="3772" spans="1:11" ht="42" customHeight="1">
      <c r="A3772" s="2" t="s">
        <v>7787</v>
      </c>
      <c r="B3772" s="2" t="s">
        <v>7788</v>
      </c>
      <c r="C3772" s="2" t="s">
        <v>40</v>
      </c>
      <c r="D3772" s="2" t="s">
        <v>41</v>
      </c>
      <c r="E3772" s="5">
        <v>-28593</v>
      </c>
      <c r="F3772" s="3" t="s">
        <v>1635</v>
      </c>
      <c r="G3772" s="3" t="s">
        <v>43</v>
      </c>
      <c r="H3772" s="2" t="s">
        <v>21</v>
      </c>
      <c r="I3772" s="2" t="s">
        <v>7789</v>
      </c>
      <c r="J3772" s="3" t="str">
        <f>HYPERLINK("https://www.boe.es/gazeta/dias/1821/09/17/pdfs/GMD-1821-265.pdf#page=1","Abrir facsímil")</f>
        <v>Abrir facsímil</v>
      </c>
      <c r="K3772" s="3" t="s">
        <v>23</v>
      </c>
    </row>
    <row r="3773" spans="1:11" ht="42" customHeight="1">
      <c r="A3773" s="2" t="s">
        <v>7790</v>
      </c>
      <c r="B3773" s="2" t="s">
        <v>7790</v>
      </c>
      <c r="C3773" s="2" t="s">
        <v>35</v>
      </c>
      <c r="D3773" s="2" t="s">
        <v>27</v>
      </c>
      <c r="E3773" s="5">
        <v>-28569</v>
      </c>
      <c r="F3773" s="3" t="s">
        <v>512</v>
      </c>
      <c r="G3773" s="3" t="s">
        <v>88</v>
      </c>
      <c r="H3773" s="2" t="s">
        <v>21</v>
      </c>
      <c r="I3773" s="2" t="s">
        <v>7791</v>
      </c>
      <c r="J3773" s="3" t="str">
        <f>HYPERLINK("https://www.boe.es/gazeta/dias/1821/10/11/pdfs/GMD-1821-290.pdf#page=4","Abrir facsímil")</f>
        <v>Abrir facsímil</v>
      </c>
      <c r="K3773" s="3" t="s">
        <v>23</v>
      </c>
    </row>
    <row r="3774" spans="1:11" ht="42" customHeight="1">
      <c r="A3774" s="2" t="s">
        <v>7792</v>
      </c>
      <c r="B3774" s="2" t="s">
        <v>7793</v>
      </c>
      <c r="C3774" s="2" t="s">
        <v>40</v>
      </c>
      <c r="D3774" s="2" t="s">
        <v>41</v>
      </c>
      <c r="E3774" s="5">
        <v>-28770</v>
      </c>
      <c r="F3774" s="3" t="s">
        <v>1009</v>
      </c>
      <c r="G3774" s="3" t="s">
        <v>20</v>
      </c>
      <c r="H3774" s="2" t="s">
        <v>21</v>
      </c>
      <c r="I3774" s="2" t="s">
        <v>7794</v>
      </c>
      <c r="J3774" s="3" t="str">
        <f>HYPERLINK("https://www.boe.es/gazeta/dias/1821/03/24/pdfs/GMD-1821-84.pdf#page=3","Abrir facsímil")</f>
        <v>Abrir facsímil</v>
      </c>
      <c r="K3774" s="3" t="s">
        <v>23</v>
      </c>
    </row>
    <row r="3775" spans="1:11" ht="42" customHeight="1">
      <c r="A3775" s="2" t="s">
        <v>7795</v>
      </c>
      <c r="B3775" s="2" t="s">
        <v>7795</v>
      </c>
      <c r="C3775" s="2" t="s">
        <v>26</v>
      </c>
      <c r="D3775" s="2" t="s">
        <v>27</v>
      </c>
      <c r="E3775" s="5">
        <v>-28569</v>
      </c>
      <c r="F3775" s="3" t="s">
        <v>512</v>
      </c>
      <c r="G3775" s="3" t="s">
        <v>88</v>
      </c>
      <c r="H3775" s="2" t="s">
        <v>21</v>
      </c>
      <c r="I3775" s="2" t="s">
        <v>7796</v>
      </c>
      <c r="J3775" s="3" t="str">
        <f>HYPERLINK("https://www.boe.es/gazeta/dias/1821/10/11/pdfs/GMD-1821-290.pdf#page=4","Abrir facsímil")</f>
        <v>Abrir facsímil</v>
      </c>
      <c r="K3775" s="3" t="s">
        <v>23</v>
      </c>
    </row>
    <row r="3776" spans="1:11" ht="42" customHeight="1">
      <c r="A3776" s="2" t="s">
        <v>7795</v>
      </c>
      <c r="B3776" s="2" t="s">
        <v>7795</v>
      </c>
      <c r="C3776" s="2" t="s">
        <v>35</v>
      </c>
      <c r="D3776" s="2" t="s">
        <v>27</v>
      </c>
      <c r="E3776" s="5">
        <v>-28494</v>
      </c>
      <c r="F3776" s="3" t="s">
        <v>1665</v>
      </c>
      <c r="G3776" s="3" t="s">
        <v>2803</v>
      </c>
      <c r="H3776" s="2" t="s">
        <v>21</v>
      </c>
      <c r="I3776" s="2" t="s">
        <v>7797</v>
      </c>
      <c r="J3776" s="3" t="str">
        <f>HYPERLINK("https://www.boe.es/gazeta/dias/1821/12/25/pdfs/GMD-1821-368.pdf#page=2","Abrir facsímil")</f>
        <v>Abrir facsímil</v>
      </c>
      <c r="K3776" s="3" t="s">
        <v>23</v>
      </c>
    </row>
    <row r="3777" spans="1:11" ht="42" customHeight="1">
      <c r="A3777" s="2" t="s">
        <v>7798</v>
      </c>
      <c r="B3777" s="2" t="s">
        <v>7798</v>
      </c>
      <c r="C3777" s="2" t="s">
        <v>35</v>
      </c>
      <c r="D3777" s="2" t="s">
        <v>27</v>
      </c>
      <c r="E3777" s="5">
        <v>-28569</v>
      </c>
      <c r="F3777" s="3" t="s">
        <v>512</v>
      </c>
      <c r="G3777" s="3" t="s">
        <v>20</v>
      </c>
      <c r="H3777" s="2" t="s">
        <v>21</v>
      </c>
      <c r="I3777" s="2" t="s">
        <v>7799</v>
      </c>
      <c r="J3777" s="3" t="str">
        <f>HYPERLINK("https://www.boe.es/gazeta/dias/1821/10/11/pdfs/GMD-1821-290.pdf#page=3","Abrir facsímil")</f>
        <v>Abrir facsímil</v>
      </c>
      <c r="K3777" s="3" t="s">
        <v>23</v>
      </c>
    </row>
    <row r="3778" spans="1:11" ht="42" customHeight="1">
      <c r="A3778" s="2" t="s">
        <v>7800</v>
      </c>
      <c r="B3778" s="2" t="s">
        <v>7801</v>
      </c>
      <c r="C3778" s="2" t="s">
        <v>40</v>
      </c>
      <c r="D3778" s="2" t="s">
        <v>41</v>
      </c>
      <c r="E3778" s="5">
        <v>-28509</v>
      </c>
      <c r="F3778" s="3" t="s">
        <v>388</v>
      </c>
      <c r="G3778" s="3" t="s">
        <v>88</v>
      </c>
      <c r="H3778" s="2" t="s">
        <v>21</v>
      </c>
      <c r="I3778" s="2" t="s">
        <v>7802</v>
      </c>
      <c r="J3778" s="3" t="str">
        <f>HYPERLINK("https://www.boe.es/gazeta/dias/1821/12/10/pdfs/GMD-1821-352.pdf#page=4","Abrir facsímil")</f>
        <v>Abrir facsímil</v>
      </c>
      <c r="K3778" s="3" t="s">
        <v>23</v>
      </c>
    </row>
    <row r="3779" spans="1:11" ht="42" customHeight="1">
      <c r="A3779" s="2" t="s">
        <v>7803</v>
      </c>
      <c r="B3779" s="2" t="s">
        <v>7804</v>
      </c>
      <c r="C3779" s="2" t="s">
        <v>26</v>
      </c>
      <c r="D3779" s="2" t="s">
        <v>27</v>
      </c>
      <c r="E3779" s="5">
        <v>-28815</v>
      </c>
      <c r="F3779" s="3" t="s">
        <v>2394</v>
      </c>
      <c r="G3779" s="3" t="s">
        <v>20</v>
      </c>
      <c r="H3779" s="2" t="s">
        <v>21</v>
      </c>
      <c r="I3779" s="2" t="s">
        <v>7805</v>
      </c>
      <c r="J3779" s="3" t="str">
        <f>HYPERLINK("https://www.boe.es/gazeta/dias/1821/02/07/pdfs/GGB-1821-38.pdf#page=3","Abrir facsímil")</f>
        <v>Abrir facsímil</v>
      </c>
      <c r="K3779" s="3" t="s">
        <v>23</v>
      </c>
    </row>
    <row r="3780" spans="1:11" ht="42" customHeight="1">
      <c r="A3780" s="2" t="s">
        <v>7806</v>
      </c>
      <c r="B3780" s="2" t="s">
        <v>7807</v>
      </c>
      <c r="C3780" s="2" t="s">
        <v>40</v>
      </c>
      <c r="D3780" s="2" t="s">
        <v>41</v>
      </c>
      <c r="E3780" s="5">
        <v>-28782</v>
      </c>
      <c r="F3780" s="3" t="s">
        <v>508</v>
      </c>
      <c r="G3780" s="3" t="s">
        <v>88</v>
      </c>
      <c r="H3780" s="2" t="s">
        <v>21</v>
      </c>
      <c r="I3780" s="2" t="s">
        <v>7808</v>
      </c>
      <c r="J3780" s="3" t="str">
        <f>HYPERLINK("https://www.boe.es/gazeta/dias/1821/03/12/pdfs/GMD-1821-71.pdf#page=4","Abrir facsímil")</f>
        <v>Abrir facsímil</v>
      </c>
      <c r="K3780" s="3" t="s">
        <v>23</v>
      </c>
    </row>
    <row r="3781" spans="1:11" ht="42" customHeight="1">
      <c r="A3781" s="2" t="s">
        <v>7809</v>
      </c>
      <c r="B3781" s="2" t="s">
        <v>7809</v>
      </c>
      <c r="C3781" s="2" t="s">
        <v>35</v>
      </c>
      <c r="D3781" s="2" t="s">
        <v>27</v>
      </c>
      <c r="E3781" s="5">
        <v>-28665</v>
      </c>
      <c r="F3781" s="3" t="s">
        <v>789</v>
      </c>
      <c r="G3781" s="3" t="s">
        <v>43</v>
      </c>
      <c r="H3781" s="2" t="s">
        <v>21</v>
      </c>
      <c r="I3781" s="2" t="s">
        <v>7810</v>
      </c>
      <c r="J3781" s="3" t="str">
        <f>HYPERLINK("https://www.boe.es/gazeta/dias/1821/07/07/pdfs/GMD-1821-191.pdf#page=1","Abrir facsímil")</f>
        <v>Abrir facsímil</v>
      </c>
      <c r="K3781" s="3" t="s">
        <v>23</v>
      </c>
    </row>
    <row r="3782" spans="1:11" ht="42" customHeight="1">
      <c r="A3782" s="2" t="s">
        <v>7811</v>
      </c>
      <c r="B3782" s="2" t="s">
        <v>7812</v>
      </c>
      <c r="C3782" s="2" t="s">
        <v>40</v>
      </c>
      <c r="D3782" s="2" t="s">
        <v>41</v>
      </c>
      <c r="E3782" s="5">
        <v>-28598</v>
      </c>
      <c r="F3782" s="3" t="s">
        <v>1206</v>
      </c>
      <c r="G3782" s="3" t="s">
        <v>52</v>
      </c>
      <c r="H3782" s="2" t="s">
        <v>21</v>
      </c>
      <c r="I3782" s="2" t="s">
        <v>7813</v>
      </c>
      <c r="J3782" s="3" t="str">
        <f>HYPERLINK("https://www.boe.es/gazeta/dias/1821/09/12/pdfs/GMD-1821-260.pdf#page=2","Abrir facsímil")</f>
        <v>Abrir facsímil</v>
      </c>
      <c r="K3782" s="3" t="s">
        <v>23</v>
      </c>
    </row>
    <row r="3783" spans="1:11" ht="42" customHeight="1">
      <c r="A3783" s="2" t="s">
        <v>7814</v>
      </c>
      <c r="B3783" s="2" t="s">
        <v>7815</v>
      </c>
      <c r="C3783" s="2" t="s">
        <v>40</v>
      </c>
      <c r="D3783" s="2" t="s">
        <v>41</v>
      </c>
      <c r="E3783" s="5">
        <v>-28650</v>
      </c>
      <c r="F3783" s="3" t="s">
        <v>3285</v>
      </c>
      <c r="G3783" s="3" t="s">
        <v>88</v>
      </c>
      <c r="H3783" s="2" t="s">
        <v>21</v>
      </c>
      <c r="I3783" s="2" t="s">
        <v>7816</v>
      </c>
      <c r="J3783" s="3" t="str">
        <f>HYPERLINK("https://www.boe.es/gazeta/dias/1821/07/22/pdfs/GMD-1821-207.pdf#page=4","Abrir facsímil")</f>
        <v>Abrir facsímil</v>
      </c>
      <c r="K3783" s="3" t="s">
        <v>23</v>
      </c>
    </row>
    <row r="3784" spans="1:11" ht="42" customHeight="1">
      <c r="A3784" s="2" t="s">
        <v>7817</v>
      </c>
      <c r="B3784" s="2" t="s">
        <v>7818</v>
      </c>
      <c r="C3784" s="2" t="s">
        <v>40</v>
      </c>
      <c r="D3784" s="2" t="s">
        <v>41</v>
      </c>
      <c r="E3784" s="5">
        <v>-28577</v>
      </c>
      <c r="F3784" s="3" t="s">
        <v>858</v>
      </c>
      <c r="G3784" s="3" t="s">
        <v>88</v>
      </c>
      <c r="H3784" s="2" t="s">
        <v>21</v>
      </c>
      <c r="I3784" s="2" t="s">
        <v>7819</v>
      </c>
      <c r="J3784" s="3" t="str">
        <f>HYPERLINK("https://www.boe.es/gazeta/dias/1821/10/03/pdfs/GMD-1821-282.pdf#page=4","Abrir facsímil")</f>
        <v>Abrir facsímil</v>
      </c>
      <c r="K3784" s="3" t="s">
        <v>23</v>
      </c>
    </row>
    <row r="3785" spans="1:11" ht="42" customHeight="1">
      <c r="A3785" s="2" t="s">
        <v>7820</v>
      </c>
      <c r="B3785" s="2" t="s">
        <v>7821</v>
      </c>
      <c r="C3785" s="2" t="s">
        <v>35</v>
      </c>
      <c r="D3785" s="2" t="s">
        <v>27</v>
      </c>
      <c r="E3785" s="5">
        <v>-28782</v>
      </c>
      <c r="F3785" s="3" t="s">
        <v>508</v>
      </c>
      <c r="G3785" s="3" t="s">
        <v>88</v>
      </c>
      <c r="H3785" s="2" t="s">
        <v>21</v>
      </c>
      <c r="I3785" s="2" t="s">
        <v>7822</v>
      </c>
      <c r="J3785" s="3" t="str">
        <f>HYPERLINK("https://www.boe.es/gazeta/dias/1821/03/12/pdfs/GMD-1821-71.pdf#page=4","Abrir facsímil")</f>
        <v>Abrir facsímil</v>
      </c>
      <c r="K3785" s="3" t="s">
        <v>23</v>
      </c>
    </row>
    <row r="3786" spans="1:11" ht="42" customHeight="1">
      <c r="A3786" s="2" t="s">
        <v>7823</v>
      </c>
      <c r="B3786" s="2" t="s">
        <v>7824</v>
      </c>
      <c r="C3786" s="2" t="s">
        <v>26</v>
      </c>
      <c r="D3786" s="2" t="s">
        <v>27</v>
      </c>
      <c r="E3786" s="5">
        <v>-28695</v>
      </c>
      <c r="F3786" s="3" t="s">
        <v>1309</v>
      </c>
      <c r="G3786" s="3" t="s">
        <v>52</v>
      </c>
      <c r="H3786" s="2" t="s">
        <v>21</v>
      </c>
      <c r="I3786" s="2" t="s">
        <v>7825</v>
      </c>
      <c r="J3786" s="3" t="str">
        <f>HYPERLINK("https://www.boe.es/gazeta/dias/1821/06/07/pdfs/GMD-1821-160.pdf#page=2","Abrir facsímil")</f>
        <v>Abrir facsímil</v>
      </c>
      <c r="K3786" s="3" t="s">
        <v>23</v>
      </c>
    </row>
    <row r="3787" spans="1:11" ht="42" customHeight="1">
      <c r="A3787" s="2" t="s">
        <v>7826</v>
      </c>
      <c r="B3787" s="2" t="s">
        <v>7827</v>
      </c>
      <c r="C3787" s="2" t="s">
        <v>17</v>
      </c>
      <c r="D3787" s="2" t="s">
        <v>18</v>
      </c>
      <c r="E3787" s="5">
        <v>-28634</v>
      </c>
      <c r="F3787" s="3" t="s">
        <v>2533</v>
      </c>
      <c r="G3787" s="3" t="s">
        <v>52</v>
      </c>
      <c r="H3787" s="2" t="s">
        <v>21</v>
      </c>
      <c r="I3787" s="2" t="s">
        <v>7828</v>
      </c>
      <c r="J3787" s="3" t="str">
        <f>HYPERLINK("https://www.boe.es/gazeta/dias/1821/08/07/pdfs/GMD-1821-223.pdf#page=2","Abrir facsímil")</f>
        <v>Abrir facsímil</v>
      </c>
      <c r="K3787" s="3" t="s">
        <v>23</v>
      </c>
    </row>
    <row r="3788" spans="1:11" ht="42" customHeight="1">
      <c r="A3788" s="2" t="s">
        <v>7829</v>
      </c>
      <c r="B3788" s="2" t="s">
        <v>7830</v>
      </c>
      <c r="C3788" s="2" t="s">
        <v>26</v>
      </c>
      <c r="D3788" s="2" t="s">
        <v>27</v>
      </c>
      <c r="E3788" s="5">
        <v>-28693</v>
      </c>
      <c r="F3788" s="3" t="s">
        <v>74</v>
      </c>
      <c r="G3788" s="3" t="s">
        <v>43</v>
      </c>
      <c r="H3788" s="2" t="s">
        <v>21</v>
      </c>
      <c r="I3788" s="2" t="s">
        <v>7831</v>
      </c>
      <c r="J3788" s="3" t="str">
        <f>HYPERLINK("https://www.boe.es/gazeta/dias/1821/06/09/pdfs/GMD-1821-162.pdf#page=1","Abrir facsímil")</f>
        <v>Abrir facsímil</v>
      </c>
      <c r="K3788" s="3" t="s">
        <v>23</v>
      </c>
    </row>
    <row r="3789" spans="1:11" ht="42" customHeight="1">
      <c r="A3789" s="2" t="s">
        <v>7832</v>
      </c>
      <c r="B3789" s="2" t="s">
        <v>7833</v>
      </c>
      <c r="C3789" s="2" t="s">
        <v>35</v>
      </c>
      <c r="D3789" s="2" t="s">
        <v>27</v>
      </c>
      <c r="E3789" s="5">
        <v>-28784</v>
      </c>
      <c r="F3789" s="3" t="s">
        <v>451</v>
      </c>
      <c r="G3789" s="3" t="s">
        <v>52</v>
      </c>
      <c r="H3789" s="2" t="s">
        <v>21</v>
      </c>
      <c r="I3789" s="2" t="s">
        <v>7834</v>
      </c>
      <c r="J3789" s="3" t="str">
        <f>HYPERLINK("https://www.boe.es/gazeta/dias/1821/03/10/pdfs/GGB-1821-69.pdf#page=2","Abrir facsímil")</f>
        <v>Abrir facsímil</v>
      </c>
      <c r="K3789" s="3" t="s">
        <v>23</v>
      </c>
    </row>
    <row r="3790" spans="1:11" ht="42" customHeight="1">
      <c r="A3790" s="2" t="s">
        <v>7835</v>
      </c>
      <c r="B3790" s="2" t="s">
        <v>7835</v>
      </c>
      <c r="C3790" s="2" t="s">
        <v>40</v>
      </c>
      <c r="D3790" s="2" t="s">
        <v>41</v>
      </c>
      <c r="E3790" s="5">
        <v>-28783</v>
      </c>
      <c r="F3790" s="3" t="s">
        <v>198</v>
      </c>
      <c r="G3790" s="3" t="s">
        <v>43</v>
      </c>
      <c r="H3790" s="2" t="s">
        <v>21</v>
      </c>
      <c r="I3790" s="2" t="s">
        <v>7836</v>
      </c>
      <c r="J3790" s="3" t="str">
        <f>HYPERLINK("https://www.boe.es/gazeta/dias/1821/03/11/pdfs/GGB-1821-70.pdf#page=1","Abrir facsímil")</f>
        <v>Abrir facsímil</v>
      </c>
      <c r="K3790" s="3" t="s">
        <v>23</v>
      </c>
    </row>
    <row r="3791" spans="1:11" ht="42" customHeight="1">
      <c r="A3791" s="2" t="s">
        <v>7835</v>
      </c>
      <c r="B3791" s="2" t="s">
        <v>7835</v>
      </c>
      <c r="C3791" s="2" t="s">
        <v>40</v>
      </c>
      <c r="D3791" s="2" t="s">
        <v>41</v>
      </c>
      <c r="E3791" s="5">
        <v>-28762</v>
      </c>
      <c r="F3791" s="3" t="s">
        <v>608</v>
      </c>
      <c r="G3791" s="3" t="s">
        <v>88</v>
      </c>
      <c r="H3791" s="2" t="s">
        <v>21</v>
      </c>
      <c r="I3791" s="2" t="s">
        <v>7837</v>
      </c>
      <c r="J3791" s="3" t="str">
        <f>HYPERLINK("https://www.boe.es/gazeta/dias/1821/04/01/pdfs/GMD-1821-93.pdf#page=4","Abrir facsímil")</f>
        <v>Abrir facsímil</v>
      </c>
      <c r="K3791" s="3" t="s">
        <v>23</v>
      </c>
    </row>
    <row r="3792" spans="1:11" ht="42" customHeight="1">
      <c r="A3792" s="2" t="s">
        <v>7835</v>
      </c>
      <c r="B3792" s="2" t="s">
        <v>7835</v>
      </c>
      <c r="C3792" s="2" t="s">
        <v>40</v>
      </c>
      <c r="D3792" s="2" t="s">
        <v>41</v>
      </c>
      <c r="E3792" s="5">
        <v>-28756</v>
      </c>
      <c r="F3792" s="3" t="s">
        <v>3145</v>
      </c>
      <c r="G3792" s="3" t="s">
        <v>52</v>
      </c>
      <c r="H3792" s="2" t="s">
        <v>21</v>
      </c>
      <c r="I3792" s="2" t="s">
        <v>7838</v>
      </c>
      <c r="J3792" s="3" t="str">
        <f>HYPERLINK("https://www.boe.es/gazeta/dias/1821/04/07/pdfs/GMD-1821-99.pdf#page=2","Abrir facsímil")</f>
        <v>Abrir facsímil</v>
      </c>
      <c r="K3792" s="3" t="s">
        <v>23</v>
      </c>
    </row>
    <row r="3793" spans="1:11" ht="42" customHeight="1">
      <c r="A3793" s="2" t="s">
        <v>7835</v>
      </c>
      <c r="B3793" s="2" t="s">
        <v>7835</v>
      </c>
      <c r="C3793" s="2" t="s">
        <v>40</v>
      </c>
      <c r="D3793" s="2" t="s">
        <v>41</v>
      </c>
      <c r="E3793" s="5">
        <v>-28755</v>
      </c>
      <c r="F3793" s="3" t="s">
        <v>906</v>
      </c>
      <c r="G3793" s="3" t="s">
        <v>52</v>
      </c>
      <c r="H3793" s="2" t="s">
        <v>21</v>
      </c>
      <c r="I3793" s="2" t="s">
        <v>7839</v>
      </c>
      <c r="J3793" s="3" t="str">
        <f>HYPERLINK("https://www.boe.es/gazeta/dias/1821/04/08/pdfs/GMD-1821-100.pdf#page=2","Abrir facsímil")</f>
        <v>Abrir facsímil</v>
      </c>
      <c r="K3793" s="3" t="s">
        <v>23</v>
      </c>
    </row>
    <row r="3794" spans="1:11" ht="42" customHeight="1">
      <c r="A3794" s="2" t="s">
        <v>7835</v>
      </c>
      <c r="B3794" s="2" t="s">
        <v>7835</v>
      </c>
      <c r="C3794" s="2" t="s">
        <v>40</v>
      </c>
      <c r="D3794" s="2" t="s">
        <v>41</v>
      </c>
      <c r="E3794" s="5">
        <v>-28728</v>
      </c>
      <c r="F3794" s="3" t="s">
        <v>1038</v>
      </c>
      <c r="G3794" s="3" t="s">
        <v>52</v>
      </c>
      <c r="H3794" s="2" t="s">
        <v>21</v>
      </c>
      <c r="I3794" s="2" t="s">
        <v>7840</v>
      </c>
      <c r="J3794" s="3" t="str">
        <f>HYPERLINK("https://www.boe.es/gazeta/dias/1821/05/05/pdfs/GMD-1821-127.pdf#page=2","Abrir facsímil")</f>
        <v>Abrir facsímil</v>
      </c>
      <c r="K3794" s="3" t="s">
        <v>23</v>
      </c>
    </row>
    <row r="3795" spans="1:11" ht="42" customHeight="1">
      <c r="A3795" s="2" t="s">
        <v>7835</v>
      </c>
      <c r="B3795" s="2" t="s">
        <v>7835</v>
      </c>
      <c r="C3795" s="2" t="s">
        <v>40</v>
      </c>
      <c r="D3795" s="2" t="s">
        <v>41</v>
      </c>
      <c r="E3795" s="5">
        <v>-28698</v>
      </c>
      <c r="F3795" s="3" t="s">
        <v>2067</v>
      </c>
      <c r="G3795" s="3" t="s">
        <v>43</v>
      </c>
      <c r="H3795" s="2" t="s">
        <v>21</v>
      </c>
      <c r="I3795" s="2" t="s">
        <v>7841</v>
      </c>
      <c r="J3795" s="3" t="str">
        <f>HYPERLINK("https://www.boe.es/gazeta/dias/1821/06/04/pdfs/GMD-1821-157.pdf#page=1","Abrir facsímil")</f>
        <v>Abrir facsímil</v>
      </c>
      <c r="K3795" s="3" t="s">
        <v>23</v>
      </c>
    </row>
    <row r="3796" spans="1:11" ht="42" customHeight="1">
      <c r="A3796" s="2" t="s">
        <v>7835</v>
      </c>
      <c r="B3796" s="2" t="s">
        <v>7835</v>
      </c>
      <c r="C3796" s="2" t="s">
        <v>40</v>
      </c>
      <c r="D3796" s="2" t="s">
        <v>41</v>
      </c>
      <c r="E3796" s="5">
        <v>-28672</v>
      </c>
      <c r="F3796" s="3" t="s">
        <v>964</v>
      </c>
      <c r="G3796" s="3" t="s">
        <v>43</v>
      </c>
      <c r="H3796" s="2" t="s">
        <v>21</v>
      </c>
      <c r="I3796" s="2" t="s">
        <v>7842</v>
      </c>
      <c r="J3796" s="3" t="str">
        <f>HYPERLINK("https://www.boe.es/gazeta/dias/1821/06/30/pdfs/GMD-1821-183.pdf#page=1","Abrir facsímil")</f>
        <v>Abrir facsímil</v>
      </c>
      <c r="K3796" s="3" t="s">
        <v>23</v>
      </c>
    </row>
    <row r="3797" spans="1:11" ht="42" customHeight="1">
      <c r="A3797" s="2" t="s">
        <v>7835</v>
      </c>
      <c r="B3797" s="2" t="s">
        <v>7835</v>
      </c>
      <c r="C3797" s="2" t="s">
        <v>40</v>
      </c>
      <c r="D3797" s="2" t="s">
        <v>41</v>
      </c>
      <c r="E3797" s="5">
        <v>-28669</v>
      </c>
      <c r="F3797" s="3" t="s">
        <v>2816</v>
      </c>
      <c r="G3797" s="3" t="s">
        <v>52</v>
      </c>
      <c r="H3797" s="2" t="s">
        <v>21</v>
      </c>
      <c r="I3797" s="2" t="s">
        <v>7843</v>
      </c>
      <c r="J3797" s="3" t="str">
        <f>HYPERLINK("https://www.boe.es/gazeta/dias/1821/07/03/pdfs/GMD-1821-187.pdf#page=2","Abrir facsímil")</f>
        <v>Abrir facsímil</v>
      </c>
      <c r="K3797" s="3" t="s">
        <v>23</v>
      </c>
    </row>
    <row r="3798" spans="1:11" ht="42" customHeight="1">
      <c r="A3798" s="2" t="s">
        <v>7835</v>
      </c>
      <c r="B3798" s="2" t="s">
        <v>7835</v>
      </c>
      <c r="C3798" s="2" t="s">
        <v>40</v>
      </c>
      <c r="D3798" s="2" t="s">
        <v>41</v>
      </c>
      <c r="E3798" s="5">
        <v>-28659</v>
      </c>
      <c r="F3798" s="3" t="s">
        <v>2850</v>
      </c>
      <c r="G3798" s="3" t="s">
        <v>52</v>
      </c>
      <c r="H3798" s="2" t="s">
        <v>21</v>
      </c>
      <c r="I3798" s="2" t="s">
        <v>7844</v>
      </c>
      <c r="J3798" s="3" t="str">
        <f>HYPERLINK("https://www.boe.es/gazeta/dias/1821/07/13/pdfs/GMD-1821-198.pdf#page=2","Abrir facsímil")</f>
        <v>Abrir facsímil</v>
      </c>
      <c r="K3798" s="3" t="s">
        <v>23</v>
      </c>
    </row>
    <row r="3799" spans="1:11" ht="42" customHeight="1">
      <c r="A3799" s="2" t="s">
        <v>7835</v>
      </c>
      <c r="B3799" s="2" t="s">
        <v>7835</v>
      </c>
      <c r="C3799" s="2" t="s">
        <v>40</v>
      </c>
      <c r="D3799" s="2" t="s">
        <v>41</v>
      </c>
      <c r="E3799" s="5">
        <v>-28534</v>
      </c>
      <c r="F3799" s="3" t="s">
        <v>414</v>
      </c>
      <c r="G3799" s="3" t="s">
        <v>52</v>
      </c>
      <c r="H3799" s="2" t="s">
        <v>21</v>
      </c>
      <c r="I3799" s="2" t="s">
        <v>7845</v>
      </c>
      <c r="J3799" s="3" t="str">
        <f>HYPERLINK("https://www.boe.es/gazeta/dias/1821/11/15/pdfs/GMD-1821-326.pdf#page=2","Abrir facsímil")</f>
        <v>Abrir facsímil</v>
      </c>
      <c r="K3799" s="3" t="s">
        <v>23</v>
      </c>
    </row>
    <row r="3800" spans="1:11" ht="42" customHeight="1">
      <c r="A3800" s="2" t="s">
        <v>7846</v>
      </c>
      <c r="B3800" s="2" t="s">
        <v>7846</v>
      </c>
      <c r="C3800" s="2" t="s">
        <v>40</v>
      </c>
      <c r="D3800" s="2" t="s">
        <v>41</v>
      </c>
      <c r="E3800" s="5">
        <v>-28654</v>
      </c>
      <c r="F3800" s="3" t="s">
        <v>674</v>
      </c>
      <c r="G3800" s="3" t="s">
        <v>20</v>
      </c>
      <c r="H3800" s="2" t="s">
        <v>21</v>
      </c>
      <c r="I3800" s="2" t="s">
        <v>7847</v>
      </c>
      <c r="J3800" s="3" t="str">
        <f>HYPERLINK("https://www.boe.es/gazeta/dias/1821/07/18/pdfs/GMD-1821-203.pdf#page=3","Abrir facsímil")</f>
        <v>Abrir facsímil</v>
      </c>
      <c r="K3800" s="3" t="s">
        <v>23</v>
      </c>
    </row>
    <row r="3801" spans="1:11" ht="42" customHeight="1">
      <c r="A3801" s="2" t="s">
        <v>7846</v>
      </c>
      <c r="B3801" s="2" t="s">
        <v>7846</v>
      </c>
      <c r="C3801" s="2" t="s">
        <v>26</v>
      </c>
      <c r="D3801" s="2" t="s">
        <v>27</v>
      </c>
      <c r="E3801" s="5">
        <v>-28559</v>
      </c>
      <c r="F3801" s="3" t="s">
        <v>1078</v>
      </c>
      <c r="G3801" s="3" t="s">
        <v>52</v>
      </c>
      <c r="H3801" s="2" t="s">
        <v>21</v>
      </c>
      <c r="I3801" s="2" t="s">
        <v>7848</v>
      </c>
      <c r="J3801" s="3" t="str">
        <f>HYPERLINK("https://www.boe.es/gazeta/dias/1821/10/21/pdfs/GMD-1821-300.pdf#page=2","Abrir facsímil")</f>
        <v>Abrir facsímil</v>
      </c>
      <c r="K3801" s="3" t="s">
        <v>23</v>
      </c>
    </row>
    <row r="3802" spans="1:11" ht="42" customHeight="1">
      <c r="A3802" s="2" t="s">
        <v>7846</v>
      </c>
      <c r="B3802" s="2" t="s">
        <v>7846</v>
      </c>
      <c r="C3802" s="2" t="s">
        <v>26</v>
      </c>
      <c r="D3802" s="2" t="s">
        <v>27</v>
      </c>
      <c r="E3802" s="5">
        <v>-28545</v>
      </c>
      <c r="F3802" s="3" t="s">
        <v>284</v>
      </c>
      <c r="G3802" s="3" t="s">
        <v>52</v>
      </c>
      <c r="H3802" s="2" t="s">
        <v>21</v>
      </c>
      <c r="I3802" s="2" t="s">
        <v>7849</v>
      </c>
      <c r="J3802" s="3" t="str">
        <f>HYPERLINK("https://www.boe.es/gazeta/dias/1821/11/04/pdfs/GMD-1821-315.pdf#page=2","Abrir facsímil")</f>
        <v>Abrir facsímil</v>
      </c>
      <c r="K3802" s="3" t="s">
        <v>23</v>
      </c>
    </row>
    <row r="3803" spans="1:11" ht="42" customHeight="1">
      <c r="A3803" s="2" t="s">
        <v>7850</v>
      </c>
      <c r="B3803" s="2" t="s">
        <v>7850</v>
      </c>
      <c r="C3803" s="2" t="s">
        <v>40</v>
      </c>
      <c r="D3803" s="2" t="s">
        <v>41</v>
      </c>
      <c r="E3803" s="5">
        <v>-28759</v>
      </c>
      <c r="F3803" s="3" t="s">
        <v>71</v>
      </c>
      <c r="G3803" s="3" t="s">
        <v>43</v>
      </c>
      <c r="H3803" s="2" t="s">
        <v>21</v>
      </c>
      <c r="I3803" s="2" t="s">
        <v>7851</v>
      </c>
      <c r="J3803" s="3" t="str">
        <f>HYPERLINK("https://www.boe.es/gazeta/dias/1821/04/04/pdfs/GMD-1821-96.pdf#page=1","Abrir facsímil")</f>
        <v>Abrir facsímil</v>
      </c>
      <c r="K3803" s="3" t="s">
        <v>23</v>
      </c>
    </row>
    <row r="3804" spans="1:11" ht="42" customHeight="1">
      <c r="A3804" s="2" t="s">
        <v>7852</v>
      </c>
      <c r="B3804" s="2" t="s">
        <v>7852</v>
      </c>
      <c r="C3804" s="2" t="s">
        <v>26</v>
      </c>
      <c r="D3804" s="2" t="s">
        <v>27</v>
      </c>
      <c r="E3804" s="5">
        <v>-28749</v>
      </c>
      <c r="F3804" s="3" t="s">
        <v>832</v>
      </c>
      <c r="G3804" s="3" t="s">
        <v>20</v>
      </c>
      <c r="H3804" s="2" t="s">
        <v>21</v>
      </c>
      <c r="I3804" s="2" t="s">
        <v>7853</v>
      </c>
      <c r="J3804" s="3" t="str">
        <f>HYPERLINK("https://www.boe.es/gazeta/dias/1821/04/14/pdfs/GMD-1821-106.pdf#page=3","Abrir facsímil")</f>
        <v>Abrir facsímil</v>
      </c>
      <c r="K3804" s="3" t="s">
        <v>23</v>
      </c>
    </row>
    <row r="3805" spans="1:11" ht="42" customHeight="1">
      <c r="A3805" s="2" t="s">
        <v>7852</v>
      </c>
      <c r="B3805" s="2" t="s">
        <v>7852</v>
      </c>
      <c r="C3805" s="2" t="s">
        <v>40</v>
      </c>
      <c r="D3805" s="2" t="s">
        <v>41</v>
      </c>
      <c r="E3805" s="5">
        <v>-28749</v>
      </c>
      <c r="F3805" s="3" t="s">
        <v>832</v>
      </c>
      <c r="G3805" s="3" t="s">
        <v>88</v>
      </c>
      <c r="H3805" s="2" t="s">
        <v>21</v>
      </c>
      <c r="I3805" s="2" t="s">
        <v>7854</v>
      </c>
      <c r="J3805" s="3" t="str">
        <f>HYPERLINK("https://www.boe.es/gazeta/dias/1821/04/14/pdfs/GMD-1821-106.pdf#page=4","Abrir facsímil")</f>
        <v>Abrir facsímil</v>
      </c>
      <c r="K3805" s="3" t="s">
        <v>23</v>
      </c>
    </row>
    <row r="3806" spans="1:11" ht="42" customHeight="1">
      <c r="A3806" s="2" t="s">
        <v>7852</v>
      </c>
      <c r="B3806" s="2" t="s">
        <v>7852</v>
      </c>
      <c r="C3806" s="2" t="s">
        <v>26</v>
      </c>
      <c r="D3806" s="2" t="s">
        <v>27</v>
      </c>
      <c r="E3806" s="5">
        <v>-28736</v>
      </c>
      <c r="F3806" s="3" t="s">
        <v>464</v>
      </c>
      <c r="G3806" s="3" t="s">
        <v>20</v>
      </c>
      <c r="H3806" s="2" t="s">
        <v>21</v>
      </c>
      <c r="I3806" s="2" t="s">
        <v>7855</v>
      </c>
      <c r="J3806" s="3" t="str">
        <f>HYPERLINK("https://www.boe.es/gazeta/dias/1821/04/27/pdfs/GMD-1821-119.pdf#page=3","Abrir facsímil")</f>
        <v>Abrir facsímil</v>
      </c>
      <c r="K3806" s="3" t="s">
        <v>23</v>
      </c>
    </row>
    <row r="3807" spans="1:11" ht="42" customHeight="1">
      <c r="A3807" s="2" t="s">
        <v>7852</v>
      </c>
      <c r="B3807" s="2" t="s">
        <v>7852</v>
      </c>
      <c r="C3807" s="2" t="s">
        <v>35</v>
      </c>
      <c r="D3807" s="2" t="s">
        <v>27</v>
      </c>
      <c r="E3807" s="5">
        <v>-28710</v>
      </c>
      <c r="F3807" s="3" t="s">
        <v>375</v>
      </c>
      <c r="G3807" s="3" t="s">
        <v>52</v>
      </c>
      <c r="H3807" s="2" t="s">
        <v>21</v>
      </c>
      <c r="I3807" s="2" t="s">
        <v>7856</v>
      </c>
      <c r="J3807" s="3" t="str">
        <f>HYPERLINK("https://www.boe.es/gazeta/dias/1821/05/23/pdfs/GMD-1821-145.pdf#page=2","Abrir facsímil")</f>
        <v>Abrir facsímil</v>
      </c>
      <c r="K3807" s="3" t="s">
        <v>23</v>
      </c>
    </row>
    <row r="3808" spans="1:11" ht="42" customHeight="1">
      <c r="A3808" s="2" t="s">
        <v>7852</v>
      </c>
      <c r="B3808" s="2" t="s">
        <v>7852</v>
      </c>
      <c r="C3808" s="2" t="s">
        <v>17</v>
      </c>
      <c r="D3808" s="2" t="s">
        <v>18</v>
      </c>
      <c r="E3808" s="5">
        <v>-28709</v>
      </c>
      <c r="F3808" s="3" t="s">
        <v>1434</v>
      </c>
      <c r="G3808" s="3" t="s">
        <v>20</v>
      </c>
      <c r="H3808" s="2" t="s">
        <v>21</v>
      </c>
      <c r="I3808" s="2" t="s">
        <v>7857</v>
      </c>
      <c r="J3808" s="3" t="str">
        <f>HYPERLINK("https://www.boe.es/gazeta/dias/1821/05/24/pdfs/GMD-1821-146.pdf#page=3","Abrir facsímil")</f>
        <v>Abrir facsímil</v>
      </c>
      <c r="K3808" s="3" t="s">
        <v>23</v>
      </c>
    </row>
    <row r="3809" spans="1:11" ht="42" customHeight="1">
      <c r="A3809" s="2" t="s">
        <v>7852</v>
      </c>
      <c r="B3809" s="2" t="s">
        <v>7852</v>
      </c>
      <c r="C3809" s="2" t="s">
        <v>40</v>
      </c>
      <c r="D3809" s="2" t="s">
        <v>41</v>
      </c>
      <c r="E3809" s="5">
        <v>-28704</v>
      </c>
      <c r="F3809" s="3" t="s">
        <v>1050</v>
      </c>
      <c r="G3809" s="3" t="s">
        <v>52</v>
      </c>
      <c r="H3809" s="2" t="s">
        <v>21</v>
      </c>
      <c r="I3809" s="2" t="s">
        <v>7858</v>
      </c>
      <c r="J3809" s="3" t="str">
        <f>HYPERLINK("https://www.boe.es/gazeta/dias/1821/05/29/pdfs/GMD-1821-151.pdf#page=2","Abrir facsímil")</f>
        <v>Abrir facsímil</v>
      </c>
      <c r="K3809" s="3" t="s">
        <v>23</v>
      </c>
    </row>
    <row r="3810" spans="1:11" ht="42" customHeight="1">
      <c r="A3810" s="2" t="s">
        <v>7852</v>
      </c>
      <c r="B3810" s="2" t="s">
        <v>7852</v>
      </c>
      <c r="C3810" s="2" t="s">
        <v>35</v>
      </c>
      <c r="D3810" s="2" t="s">
        <v>27</v>
      </c>
      <c r="E3810" s="5">
        <v>-28702</v>
      </c>
      <c r="F3810" s="3" t="s">
        <v>1176</v>
      </c>
      <c r="G3810" s="3" t="s">
        <v>20</v>
      </c>
      <c r="H3810" s="2" t="s">
        <v>21</v>
      </c>
      <c r="I3810" s="2" t="s">
        <v>7859</v>
      </c>
      <c r="J3810" s="3" t="str">
        <f>HYPERLINK("https://www.boe.es/gazeta/dias/1821/05/31/pdfs/GMD-1821-153.pdf#page=3","Abrir facsímil")</f>
        <v>Abrir facsímil</v>
      </c>
      <c r="K3810" s="3" t="s">
        <v>23</v>
      </c>
    </row>
    <row r="3811" spans="1:11" ht="42" customHeight="1">
      <c r="A3811" s="2" t="s">
        <v>7852</v>
      </c>
      <c r="B3811" s="2" t="s">
        <v>7852</v>
      </c>
      <c r="C3811" s="2" t="s">
        <v>17</v>
      </c>
      <c r="D3811" s="2" t="s">
        <v>18</v>
      </c>
      <c r="E3811" s="5">
        <v>-28701</v>
      </c>
      <c r="F3811" s="3" t="s">
        <v>202</v>
      </c>
      <c r="G3811" s="3" t="s">
        <v>52</v>
      </c>
      <c r="H3811" s="2" t="s">
        <v>21</v>
      </c>
      <c r="I3811" s="2" t="s">
        <v>7860</v>
      </c>
      <c r="J3811" s="3" t="str">
        <f>HYPERLINK("https://www.boe.es/gazeta/dias/1821/06/01/pdfs/GMD-1821-154.pdf#page=2","Abrir facsímil")</f>
        <v>Abrir facsímil</v>
      </c>
      <c r="K3811" s="3" t="s">
        <v>23</v>
      </c>
    </row>
    <row r="3812" spans="1:11" ht="42" customHeight="1">
      <c r="A3812" s="2" t="s">
        <v>7852</v>
      </c>
      <c r="B3812" s="2" t="s">
        <v>7852</v>
      </c>
      <c r="C3812" s="2" t="s">
        <v>26</v>
      </c>
      <c r="D3812" s="2" t="s">
        <v>27</v>
      </c>
      <c r="E3812" s="5">
        <v>-28652</v>
      </c>
      <c r="F3812" s="3" t="s">
        <v>1314</v>
      </c>
      <c r="G3812" s="3" t="s">
        <v>1315</v>
      </c>
      <c r="H3812" s="2" t="s">
        <v>21</v>
      </c>
      <c r="I3812" s="2" t="s">
        <v>7861</v>
      </c>
      <c r="J3812" s="3" t="str">
        <f>HYPERLINK("https://www.boe.es/gazeta/dias/1821/07/20/pdfs/GMD-1821-205.pdf#page=4","Abrir facsímil")</f>
        <v>Abrir facsímil</v>
      </c>
      <c r="K3812" s="3" t="s">
        <v>23</v>
      </c>
    </row>
    <row r="3813" spans="1:11" ht="42" customHeight="1">
      <c r="A3813" s="2" t="s">
        <v>7852</v>
      </c>
      <c r="B3813" s="2" t="s">
        <v>7852</v>
      </c>
      <c r="C3813" s="2" t="s">
        <v>26</v>
      </c>
      <c r="D3813" s="2" t="s">
        <v>27</v>
      </c>
      <c r="E3813" s="5">
        <v>-28566</v>
      </c>
      <c r="F3813" s="3" t="s">
        <v>1529</v>
      </c>
      <c r="G3813" s="3" t="s">
        <v>88</v>
      </c>
      <c r="H3813" s="2" t="s">
        <v>21</v>
      </c>
      <c r="I3813" s="2" t="s">
        <v>7862</v>
      </c>
      <c r="J3813" s="3" t="str">
        <f>HYPERLINK("https://www.boe.es/gazeta/dias/1821/10/14/pdfs/GMD-1821-293.pdf#page=4","Abrir facsímil")</f>
        <v>Abrir facsímil</v>
      </c>
      <c r="K3813" s="3" t="s">
        <v>23</v>
      </c>
    </row>
    <row r="3814" spans="1:11" ht="42" customHeight="1">
      <c r="A3814" s="2" t="s">
        <v>7852</v>
      </c>
      <c r="B3814" s="2" t="s">
        <v>7852</v>
      </c>
      <c r="C3814" s="2" t="s">
        <v>35</v>
      </c>
      <c r="D3814" s="2" t="s">
        <v>27</v>
      </c>
      <c r="E3814" s="5">
        <v>-28537</v>
      </c>
      <c r="F3814" s="3" t="s">
        <v>56</v>
      </c>
      <c r="G3814" s="3" t="s">
        <v>88</v>
      </c>
      <c r="H3814" s="2" t="s">
        <v>21</v>
      </c>
      <c r="I3814" s="2" t="s">
        <v>7863</v>
      </c>
      <c r="J3814" s="3" t="str">
        <f>HYPERLINK("https://www.boe.es/gazeta/dias/1821/11/12/pdfs/GMD-1821-323.pdf#page=4","Abrir facsímil")</f>
        <v>Abrir facsímil</v>
      </c>
      <c r="K3814" s="3" t="s">
        <v>23</v>
      </c>
    </row>
    <row r="3815" spans="1:11" ht="42" customHeight="1">
      <c r="A3815" s="2" t="s">
        <v>7852</v>
      </c>
      <c r="B3815" s="2" t="s">
        <v>7852</v>
      </c>
      <c r="C3815" s="2" t="s">
        <v>26</v>
      </c>
      <c r="D3815" s="2" t="s">
        <v>27</v>
      </c>
      <c r="E3815" s="5">
        <v>-28511</v>
      </c>
      <c r="F3815" s="3" t="s">
        <v>340</v>
      </c>
      <c r="G3815" s="3" t="s">
        <v>20</v>
      </c>
      <c r="H3815" s="2" t="s">
        <v>21</v>
      </c>
      <c r="I3815" s="2" t="s">
        <v>7864</v>
      </c>
      <c r="J3815" s="3" t="str">
        <f>HYPERLINK("https://www.boe.es/gazeta/dias/1821/12/08/pdfs/GMD-1821-350.pdf#page=3","Abrir facsímil")</f>
        <v>Abrir facsímil</v>
      </c>
      <c r="K3815" s="3" t="s">
        <v>23</v>
      </c>
    </row>
    <row r="3816" spans="1:11" ht="42" customHeight="1">
      <c r="A3816" s="2" t="s">
        <v>7865</v>
      </c>
      <c r="B3816" s="2" t="s">
        <v>7865</v>
      </c>
      <c r="C3816" s="2" t="s">
        <v>114</v>
      </c>
      <c r="D3816" s="2" t="s">
        <v>27</v>
      </c>
      <c r="E3816" s="5">
        <v>-28851</v>
      </c>
      <c r="F3816" s="3" t="s">
        <v>3227</v>
      </c>
      <c r="G3816" s="3" t="s">
        <v>88</v>
      </c>
      <c r="H3816" s="2" t="s">
        <v>21</v>
      </c>
      <c r="I3816" s="2" t="s">
        <v>7866</v>
      </c>
      <c r="J3816" s="3" t="str">
        <f>HYPERLINK("https://www.boe.es/gazeta/dias/1821/01/02/pdfs/GGB-1821-2.pdf#page=4","Abrir facsímil")</f>
        <v>Abrir facsímil</v>
      </c>
      <c r="K3816" s="3" t="s">
        <v>23</v>
      </c>
    </row>
    <row r="3817" spans="1:11" ht="42" customHeight="1">
      <c r="A3817" s="2" t="s">
        <v>7867</v>
      </c>
      <c r="B3817" s="2" t="s">
        <v>7867</v>
      </c>
      <c r="C3817" s="2" t="s">
        <v>174</v>
      </c>
      <c r="D3817" s="2" t="s">
        <v>27</v>
      </c>
      <c r="E3817" s="5">
        <v>-28847</v>
      </c>
      <c r="F3817" s="3" t="s">
        <v>288</v>
      </c>
      <c r="G3817" s="3" t="s">
        <v>289</v>
      </c>
      <c r="H3817" s="2" t="s">
        <v>21</v>
      </c>
      <c r="I3817" s="2" t="s">
        <v>7868</v>
      </c>
      <c r="J3817" s="3" t="str">
        <f>HYPERLINK("https://www.boe.es/gazeta/dias/1821/01/06/pdfs/GGB-1821-6.pdf#page=4","Abrir facsímil")</f>
        <v>Abrir facsímil</v>
      </c>
      <c r="K3817" s="3" t="s">
        <v>23</v>
      </c>
    </row>
    <row r="3818" spans="1:11" ht="42" customHeight="1">
      <c r="A3818" s="2" t="s">
        <v>7867</v>
      </c>
      <c r="B3818" s="2" t="s">
        <v>7867</v>
      </c>
      <c r="C3818" s="2" t="s">
        <v>26</v>
      </c>
      <c r="D3818" s="2" t="s">
        <v>27</v>
      </c>
      <c r="E3818" s="5">
        <v>-28809</v>
      </c>
      <c r="F3818" s="3" t="s">
        <v>1173</v>
      </c>
      <c r="G3818" s="3" t="s">
        <v>88</v>
      </c>
      <c r="H3818" s="2" t="s">
        <v>21</v>
      </c>
      <c r="I3818" s="2" t="s">
        <v>7869</v>
      </c>
      <c r="J3818" s="3" t="str">
        <f>HYPERLINK("https://www.boe.es/gazeta/dias/1821/02/13/pdfs/GGB-1821-44.pdf#page=4","Abrir facsímil")</f>
        <v>Abrir facsímil</v>
      </c>
      <c r="K3818" s="3" t="s">
        <v>23</v>
      </c>
    </row>
    <row r="3819" spans="1:11" ht="42" customHeight="1">
      <c r="A3819" s="2" t="s">
        <v>7867</v>
      </c>
      <c r="B3819" s="2" t="s">
        <v>7867</v>
      </c>
      <c r="C3819" s="2" t="s">
        <v>17</v>
      </c>
      <c r="D3819" s="2" t="s">
        <v>18</v>
      </c>
      <c r="E3819" s="5">
        <v>-28781</v>
      </c>
      <c r="F3819" s="3" t="s">
        <v>149</v>
      </c>
      <c r="G3819" s="3" t="s">
        <v>88</v>
      </c>
      <c r="H3819" s="2" t="s">
        <v>21</v>
      </c>
      <c r="I3819" s="2" t="s">
        <v>7870</v>
      </c>
      <c r="J3819" s="3" t="str">
        <f>HYPERLINK("https://www.boe.es/gazeta/dias/1821/03/13/pdfs/GMD-1821-72.pdf#page=4","Abrir facsímil")</f>
        <v>Abrir facsímil</v>
      </c>
      <c r="K3819" s="3" t="s">
        <v>23</v>
      </c>
    </row>
    <row r="3820" spans="1:11" ht="42" customHeight="1">
      <c r="A3820" s="2" t="s">
        <v>7867</v>
      </c>
      <c r="B3820" s="2" t="s">
        <v>7867</v>
      </c>
      <c r="C3820" s="2" t="s">
        <v>26</v>
      </c>
      <c r="D3820" s="2" t="s">
        <v>27</v>
      </c>
      <c r="E3820" s="5">
        <v>-28749</v>
      </c>
      <c r="F3820" s="3" t="s">
        <v>832</v>
      </c>
      <c r="G3820" s="3" t="s">
        <v>20</v>
      </c>
      <c r="H3820" s="2" t="s">
        <v>21</v>
      </c>
      <c r="I3820" s="2" t="s">
        <v>7871</v>
      </c>
      <c r="J3820" s="3" t="str">
        <f>HYPERLINK("https://www.boe.es/gazeta/dias/1821/04/14/pdfs/GMD-1821-106.pdf#page=3","Abrir facsímil")</f>
        <v>Abrir facsímil</v>
      </c>
      <c r="K3820" s="3" t="s">
        <v>23</v>
      </c>
    </row>
    <row r="3821" spans="1:11" ht="42" customHeight="1">
      <c r="A3821" s="2" t="s">
        <v>7867</v>
      </c>
      <c r="B3821" s="2" t="s">
        <v>7867</v>
      </c>
      <c r="C3821" s="2" t="s">
        <v>35</v>
      </c>
      <c r="D3821" s="2" t="s">
        <v>27</v>
      </c>
      <c r="E3821" s="5">
        <v>-28742</v>
      </c>
      <c r="F3821" s="3" t="s">
        <v>324</v>
      </c>
      <c r="G3821" s="3" t="s">
        <v>88</v>
      </c>
      <c r="H3821" s="2" t="s">
        <v>21</v>
      </c>
      <c r="I3821" s="2" t="s">
        <v>7872</v>
      </c>
      <c r="J3821" s="3" t="str">
        <f>HYPERLINK("https://www.boe.es/gazeta/dias/1821/04/21/pdfs/GMD-1821-113.pdf#page=4","Abrir facsímil")</f>
        <v>Abrir facsímil</v>
      </c>
      <c r="K3821" s="3" t="s">
        <v>23</v>
      </c>
    </row>
    <row r="3822" spans="1:11" ht="42" customHeight="1">
      <c r="A3822" s="2" t="s">
        <v>7867</v>
      </c>
      <c r="B3822" s="2" t="s">
        <v>7867</v>
      </c>
      <c r="C3822" s="2" t="s">
        <v>40</v>
      </c>
      <c r="D3822" s="2" t="s">
        <v>41</v>
      </c>
      <c r="E3822" s="5">
        <v>-28735</v>
      </c>
      <c r="F3822" s="3" t="s">
        <v>836</v>
      </c>
      <c r="G3822" s="3" t="s">
        <v>52</v>
      </c>
      <c r="H3822" s="2" t="s">
        <v>21</v>
      </c>
      <c r="I3822" s="2" t="s">
        <v>7873</v>
      </c>
      <c r="J3822" s="3" t="str">
        <f>HYPERLINK("https://www.boe.es/gazeta/dias/1821/04/28/pdfs/GMD-1821-120.pdf#page=2","Abrir facsímil")</f>
        <v>Abrir facsímil</v>
      </c>
      <c r="K3822" s="3" t="s">
        <v>23</v>
      </c>
    </row>
    <row r="3823" spans="1:11" ht="42" customHeight="1">
      <c r="A3823" s="2" t="s">
        <v>7867</v>
      </c>
      <c r="B3823" s="2" t="s">
        <v>7867</v>
      </c>
      <c r="C3823" s="2" t="s">
        <v>70</v>
      </c>
      <c r="D3823" s="2" t="s">
        <v>27</v>
      </c>
      <c r="E3823" s="5">
        <v>-28696</v>
      </c>
      <c r="F3823" s="3" t="s">
        <v>497</v>
      </c>
      <c r="G3823" s="3" t="s">
        <v>43</v>
      </c>
      <c r="H3823" s="2" t="s">
        <v>21</v>
      </c>
      <c r="I3823" s="2" t="s">
        <v>7874</v>
      </c>
      <c r="J3823" s="3" t="str">
        <f>HYPERLINK("https://www.boe.es/gazeta/dias/1821/06/06/pdfs/GMD-1821-159.pdf#page=1","Abrir facsímil")</f>
        <v>Abrir facsímil</v>
      </c>
      <c r="K3823" s="3" t="s">
        <v>23</v>
      </c>
    </row>
    <row r="3824" spans="1:11" ht="42" customHeight="1">
      <c r="A3824" s="2" t="s">
        <v>7867</v>
      </c>
      <c r="B3824" s="2" t="s">
        <v>7867</v>
      </c>
      <c r="C3824" s="2" t="s">
        <v>40</v>
      </c>
      <c r="D3824" s="2" t="s">
        <v>41</v>
      </c>
      <c r="E3824" s="5">
        <v>-28685</v>
      </c>
      <c r="F3824" s="3" t="s">
        <v>303</v>
      </c>
      <c r="G3824" s="3" t="s">
        <v>1507</v>
      </c>
      <c r="H3824" s="2" t="s">
        <v>21</v>
      </c>
      <c r="I3824" s="2" t="s">
        <v>7875</v>
      </c>
      <c r="J3824" s="3" t="str">
        <f>HYPERLINK("https://www.boe.es/gazeta/dias/1821/06/17/pdfs/GMD-1821-170.pdf#page=6","Abrir facsímil")</f>
        <v>Abrir facsímil</v>
      </c>
      <c r="K3824" s="3" t="s">
        <v>23</v>
      </c>
    </row>
    <row r="3825" spans="1:11" ht="42" customHeight="1">
      <c r="A3825" s="2" t="s">
        <v>7867</v>
      </c>
      <c r="B3825" s="2" t="s">
        <v>7867</v>
      </c>
      <c r="C3825" s="2" t="s">
        <v>40</v>
      </c>
      <c r="D3825" s="2" t="s">
        <v>41</v>
      </c>
      <c r="E3825" s="5">
        <v>-28672</v>
      </c>
      <c r="F3825" s="3" t="s">
        <v>964</v>
      </c>
      <c r="G3825" s="3" t="s">
        <v>52</v>
      </c>
      <c r="H3825" s="2" t="s">
        <v>21</v>
      </c>
      <c r="I3825" s="2" t="s">
        <v>7876</v>
      </c>
      <c r="J3825" s="3" t="str">
        <f>HYPERLINK("https://www.boe.es/gazeta/dias/1821/06/30/pdfs/GMD-1821-183.pdf#page=2","Abrir facsímil")</f>
        <v>Abrir facsímil</v>
      </c>
      <c r="K3825" s="3" t="s">
        <v>23</v>
      </c>
    </row>
    <row r="3826" spans="1:11" ht="42" customHeight="1">
      <c r="A3826" s="2" t="s">
        <v>7867</v>
      </c>
      <c r="B3826" s="2" t="s">
        <v>7867</v>
      </c>
      <c r="C3826" s="2" t="s">
        <v>17</v>
      </c>
      <c r="D3826" s="2" t="s">
        <v>18</v>
      </c>
      <c r="E3826" s="5">
        <v>-28669</v>
      </c>
      <c r="F3826" s="3" t="s">
        <v>2816</v>
      </c>
      <c r="G3826" s="3" t="s">
        <v>88</v>
      </c>
      <c r="H3826" s="2" t="s">
        <v>21</v>
      </c>
      <c r="I3826" s="2" t="s">
        <v>7877</v>
      </c>
      <c r="J3826" s="3" t="str">
        <f>HYPERLINK("https://www.boe.es/gazeta/dias/1821/07/03/pdfs/GMD-1821-187.pdf#page=4","Abrir facsímil")</f>
        <v>Abrir facsímil</v>
      </c>
      <c r="K3826" s="3" t="s">
        <v>23</v>
      </c>
    </row>
    <row r="3827" spans="1:11" ht="42" customHeight="1">
      <c r="A3827" s="2" t="s">
        <v>7867</v>
      </c>
      <c r="B3827" s="2" t="s">
        <v>7867</v>
      </c>
      <c r="C3827" s="2" t="s">
        <v>40</v>
      </c>
      <c r="D3827" s="2" t="s">
        <v>41</v>
      </c>
      <c r="E3827" s="5">
        <v>-28667</v>
      </c>
      <c r="F3827" s="3" t="s">
        <v>107</v>
      </c>
      <c r="G3827" s="3" t="s">
        <v>52</v>
      </c>
      <c r="H3827" s="2" t="s">
        <v>21</v>
      </c>
      <c r="I3827" s="2" t="s">
        <v>7878</v>
      </c>
      <c r="J3827" s="3" t="str">
        <f>HYPERLINK("https://www.boe.es/gazeta/dias/1821/07/05/pdfs/GMD-1821-189.pdf#page=2","Abrir facsímil")</f>
        <v>Abrir facsímil</v>
      </c>
      <c r="K3827" s="3" t="s">
        <v>23</v>
      </c>
    </row>
    <row r="3828" spans="1:11" ht="42" customHeight="1">
      <c r="A3828" s="2" t="s">
        <v>7867</v>
      </c>
      <c r="B3828" s="2" t="s">
        <v>7867</v>
      </c>
      <c r="C3828" s="2" t="s">
        <v>40</v>
      </c>
      <c r="D3828" s="2" t="s">
        <v>41</v>
      </c>
      <c r="E3828" s="5">
        <v>-28659</v>
      </c>
      <c r="F3828" s="3" t="s">
        <v>2850</v>
      </c>
      <c r="G3828" s="3" t="s">
        <v>5087</v>
      </c>
      <c r="H3828" s="2" t="s">
        <v>21</v>
      </c>
      <c r="I3828" s="2" t="s">
        <v>7879</v>
      </c>
      <c r="J3828" s="3" t="str">
        <f>HYPERLINK("https://www.boe.es/gazeta/dias/1821/07/13/pdfs/GMD-1821-198.pdf#page=4","Abrir facsímil")</f>
        <v>Abrir facsímil</v>
      </c>
      <c r="K3828" s="3" t="s">
        <v>23</v>
      </c>
    </row>
    <row r="3829" spans="1:11" ht="42" customHeight="1">
      <c r="A3829" s="2" t="s">
        <v>7867</v>
      </c>
      <c r="B3829" s="2" t="s">
        <v>7867</v>
      </c>
      <c r="C3829" s="2" t="s">
        <v>40</v>
      </c>
      <c r="D3829" s="2" t="s">
        <v>41</v>
      </c>
      <c r="E3829" s="5">
        <v>-28615</v>
      </c>
      <c r="F3829" s="3" t="s">
        <v>427</v>
      </c>
      <c r="G3829" s="3" t="s">
        <v>88</v>
      </c>
      <c r="H3829" s="2" t="s">
        <v>21</v>
      </c>
      <c r="I3829" s="2" t="s">
        <v>7880</v>
      </c>
      <c r="J3829" s="3" t="str">
        <f>HYPERLINK("https://www.boe.es/gazeta/dias/1821/08/26/pdfs/GMD-1821-243.pdf#page=4","Abrir facsímil")</f>
        <v>Abrir facsímil</v>
      </c>
      <c r="K3829" s="3" t="s">
        <v>23</v>
      </c>
    </row>
    <row r="3830" spans="1:11" ht="42" customHeight="1">
      <c r="A3830" s="2" t="s">
        <v>7867</v>
      </c>
      <c r="B3830" s="2" t="s">
        <v>7867</v>
      </c>
      <c r="C3830" s="2" t="s">
        <v>40</v>
      </c>
      <c r="D3830" s="2" t="s">
        <v>41</v>
      </c>
      <c r="E3830" s="5">
        <v>-28577</v>
      </c>
      <c r="F3830" s="3" t="s">
        <v>858</v>
      </c>
      <c r="G3830" s="3" t="s">
        <v>88</v>
      </c>
      <c r="H3830" s="2" t="s">
        <v>21</v>
      </c>
      <c r="I3830" s="2" t="s">
        <v>7881</v>
      </c>
      <c r="J3830" s="3" t="str">
        <f>HYPERLINK("https://www.boe.es/gazeta/dias/1821/10/03/pdfs/GMD-1821-282.pdf#page=4","Abrir facsímil")</f>
        <v>Abrir facsímil</v>
      </c>
      <c r="K3830" s="3" t="s">
        <v>23</v>
      </c>
    </row>
    <row r="3831" spans="1:11" ht="42" customHeight="1">
      <c r="A3831" s="2" t="s">
        <v>7867</v>
      </c>
      <c r="B3831" s="2" t="s">
        <v>7867</v>
      </c>
      <c r="C3831" s="2" t="s">
        <v>26</v>
      </c>
      <c r="D3831" s="2" t="s">
        <v>27</v>
      </c>
      <c r="E3831" s="5">
        <v>-28565</v>
      </c>
      <c r="F3831" s="3" t="s">
        <v>326</v>
      </c>
      <c r="G3831" s="3" t="s">
        <v>162</v>
      </c>
      <c r="H3831" s="2" t="s">
        <v>21</v>
      </c>
      <c r="I3831" s="2" t="s">
        <v>7882</v>
      </c>
      <c r="J3831" s="3" t="str">
        <f>HYPERLINK("https://www.boe.es/gazeta/dias/1821/10/15/pdfs/GMD-1821-294.pdf#page=5","Abrir facsímil")</f>
        <v>Abrir facsímil</v>
      </c>
      <c r="K3831" s="3" t="s">
        <v>23</v>
      </c>
    </row>
    <row r="3832" spans="1:11" ht="42" customHeight="1">
      <c r="A3832" s="2" t="s">
        <v>7867</v>
      </c>
      <c r="B3832" s="2" t="s">
        <v>7867</v>
      </c>
      <c r="C3832" s="2" t="s">
        <v>26</v>
      </c>
      <c r="D3832" s="2" t="s">
        <v>27</v>
      </c>
      <c r="E3832" s="5">
        <v>-28547</v>
      </c>
      <c r="F3832" s="3" t="s">
        <v>247</v>
      </c>
      <c r="G3832" s="3" t="s">
        <v>248</v>
      </c>
      <c r="H3832" s="2" t="s">
        <v>21</v>
      </c>
      <c r="I3832" s="2" t="s">
        <v>7883</v>
      </c>
      <c r="J3832" s="3" t="str">
        <f>HYPERLINK("https://www.boe.es/gazeta/dias/1821/11/02/pdfs/GMD-1821-312.pdf#page=2","Abrir facsímil")</f>
        <v>Abrir facsímil</v>
      </c>
      <c r="K3832" s="3" t="s">
        <v>23</v>
      </c>
    </row>
    <row r="3833" spans="1:11" ht="42" customHeight="1">
      <c r="A3833" s="2" t="s">
        <v>7867</v>
      </c>
      <c r="B3833" s="2" t="s">
        <v>7867</v>
      </c>
      <c r="C3833" s="2" t="s">
        <v>17</v>
      </c>
      <c r="D3833" s="2" t="s">
        <v>18</v>
      </c>
      <c r="E3833" s="5">
        <v>-28535</v>
      </c>
      <c r="F3833" s="3" t="s">
        <v>96</v>
      </c>
      <c r="G3833" s="3" t="s">
        <v>52</v>
      </c>
      <c r="H3833" s="2" t="s">
        <v>21</v>
      </c>
      <c r="I3833" s="2" t="s">
        <v>7884</v>
      </c>
      <c r="J3833" s="3" t="str">
        <f>HYPERLINK("https://www.boe.es/gazeta/dias/1821/11/14/pdfs/GMD-1821-325.pdf#page=2","Abrir facsímil")</f>
        <v>Abrir facsímil</v>
      </c>
      <c r="K3833" s="3" t="s">
        <v>23</v>
      </c>
    </row>
    <row r="3834" spans="1:11" ht="42" customHeight="1">
      <c r="A3834" s="2" t="s">
        <v>7867</v>
      </c>
      <c r="B3834" s="2" t="s">
        <v>7867</v>
      </c>
      <c r="C3834" s="2" t="s">
        <v>17</v>
      </c>
      <c r="D3834" s="2" t="s">
        <v>18</v>
      </c>
      <c r="E3834" s="5">
        <v>-28532</v>
      </c>
      <c r="F3834" s="3" t="s">
        <v>1415</v>
      </c>
      <c r="G3834" s="3" t="s">
        <v>29</v>
      </c>
      <c r="H3834" s="2" t="s">
        <v>21</v>
      </c>
      <c r="I3834" s="2" t="s">
        <v>7885</v>
      </c>
      <c r="J3834" s="3" t="str">
        <f>HYPERLINK("https://www.boe.es/gazeta/dias/1821/11/17/pdfs/GMD-1821-328.pdf#page=6","Abrir facsímil")</f>
        <v>Abrir facsímil</v>
      </c>
      <c r="K3834" s="3" t="s">
        <v>23</v>
      </c>
    </row>
    <row r="3835" spans="1:11" ht="42" customHeight="1">
      <c r="A3835" s="2" t="s">
        <v>7867</v>
      </c>
      <c r="B3835" s="2" t="s">
        <v>7867</v>
      </c>
      <c r="C3835" s="2" t="s">
        <v>70</v>
      </c>
      <c r="D3835" s="2" t="s">
        <v>27</v>
      </c>
      <c r="E3835" s="5">
        <v>-28526</v>
      </c>
      <c r="F3835" s="3" t="s">
        <v>223</v>
      </c>
      <c r="G3835" s="3" t="s">
        <v>1251</v>
      </c>
      <c r="H3835" s="2" t="s">
        <v>21</v>
      </c>
      <c r="I3835" s="2" t="s">
        <v>7886</v>
      </c>
      <c r="J3835" s="3" t="str">
        <f>HYPERLINK("https://www.boe.es/gazeta/dias/1821/11/23/pdfs/GMD-1821-334.pdf#page=3","Abrir facsímil")</f>
        <v>Abrir facsímil</v>
      </c>
      <c r="K3835" s="3" t="s">
        <v>23</v>
      </c>
    </row>
    <row r="3836" spans="1:11" ht="42" customHeight="1">
      <c r="A3836" s="2" t="s">
        <v>7867</v>
      </c>
      <c r="B3836" s="2" t="s">
        <v>7867</v>
      </c>
      <c r="C3836" s="2" t="s">
        <v>35</v>
      </c>
      <c r="D3836" s="2" t="s">
        <v>27</v>
      </c>
      <c r="E3836" s="5">
        <v>-28525</v>
      </c>
      <c r="F3836" s="3" t="s">
        <v>186</v>
      </c>
      <c r="G3836" s="3" t="s">
        <v>88</v>
      </c>
      <c r="H3836" s="2" t="s">
        <v>21</v>
      </c>
      <c r="I3836" s="2" t="s">
        <v>7887</v>
      </c>
      <c r="J3836" s="3" t="str">
        <f>HYPERLINK("https://www.boe.es/gazeta/dias/1821/11/24/pdfs/GMD-1821-335.pdf#page=4","Abrir facsímil")</f>
        <v>Abrir facsímil</v>
      </c>
      <c r="K3836" s="3" t="s">
        <v>23</v>
      </c>
    </row>
    <row r="3837" spans="1:11" ht="42" customHeight="1">
      <c r="A3837" s="2" t="s">
        <v>7888</v>
      </c>
      <c r="B3837" s="2" t="s">
        <v>7889</v>
      </c>
      <c r="C3837" s="2" t="s">
        <v>26</v>
      </c>
      <c r="D3837" s="2" t="s">
        <v>27</v>
      </c>
      <c r="E3837" s="5">
        <v>-28708</v>
      </c>
      <c r="F3837" s="3" t="s">
        <v>528</v>
      </c>
      <c r="G3837" s="3" t="s">
        <v>1716</v>
      </c>
      <c r="H3837" s="2" t="s">
        <v>21</v>
      </c>
      <c r="I3837" s="2" t="s">
        <v>7890</v>
      </c>
      <c r="J3837" s="3" t="str">
        <f>HYPERLINK("https://www.boe.es/gazeta/dias/1821/05/25/pdfs/GMD-1821-147.pdf#page=2","Abrir facsímil")</f>
        <v>Abrir facsímil</v>
      </c>
      <c r="K3837" s="3" t="s">
        <v>23</v>
      </c>
    </row>
    <row r="3838" spans="1:11" ht="42" customHeight="1">
      <c r="A3838" s="2" t="s">
        <v>7891</v>
      </c>
      <c r="B3838" s="2" t="s">
        <v>7891</v>
      </c>
      <c r="C3838" s="2" t="s">
        <v>40</v>
      </c>
      <c r="D3838" s="2" t="s">
        <v>41</v>
      </c>
      <c r="E3838" s="5">
        <v>-28763</v>
      </c>
      <c r="F3838" s="3" t="s">
        <v>1145</v>
      </c>
      <c r="G3838" s="3" t="s">
        <v>88</v>
      </c>
      <c r="H3838" s="2" t="s">
        <v>21</v>
      </c>
      <c r="I3838" s="2" t="s">
        <v>7892</v>
      </c>
      <c r="J3838" s="3" t="str">
        <f>HYPERLINK("https://www.boe.es/gazeta/dias/1821/03/31/pdfs/GMD-1821-92.pdf#page=4","Abrir facsímil")</f>
        <v>Abrir facsímil</v>
      </c>
      <c r="K3838" s="3" t="s">
        <v>23</v>
      </c>
    </row>
    <row r="3839" spans="1:11" ht="42" customHeight="1">
      <c r="A3839" s="2" t="s">
        <v>7893</v>
      </c>
      <c r="B3839" s="2" t="s">
        <v>7893</v>
      </c>
      <c r="C3839" s="2" t="s">
        <v>26</v>
      </c>
      <c r="D3839" s="2" t="s">
        <v>27</v>
      </c>
      <c r="E3839" s="5">
        <v>-28620</v>
      </c>
      <c r="F3839" s="3" t="s">
        <v>87</v>
      </c>
      <c r="G3839" s="3" t="s">
        <v>88</v>
      </c>
      <c r="H3839" s="2" t="s">
        <v>21</v>
      </c>
      <c r="I3839" s="2" t="s">
        <v>7894</v>
      </c>
      <c r="J3839" s="3" t="str">
        <f>HYPERLINK("https://www.boe.es/gazeta/dias/1821/08/21/pdfs/GMD-1821-238.pdf#page=4","Abrir facsímil")</f>
        <v>Abrir facsímil</v>
      </c>
      <c r="K3839" s="3" t="s">
        <v>23</v>
      </c>
    </row>
    <row r="3840" spans="1:11" ht="42" customHeight="1">
      <c r="A3840" s="2" t="s">
        <v>7895</v>
      </c>
      <c r="B3840" s="2" t="s">
        <v>7896</v>
      </c>
      <c r="C3840" s="2" t="s">
        <v>17</v>
      </c>
      <c r="D3840" s="2" t="s">
        <v>18</v>
      </c>
      <c r="E3840" s="5">
        <v>-28531</v>
      </c>
      <c r="F3840" s="3" t="s">
        <v>365</v>
      </c>
      <c r="G3840" s="3" t="s">
        <v>20</v>
      </c>
      <c r="H3840" s="2" t="s">
        <v>30</v>
      </c>
      <c r="I3840" s="2" t="s">
        <v>7897</v>
      </c>
      <c r="J3840" s="3" t="str">
        <f>HYPERLINK("https://www.boe.es/gazeta/dias/1821/11/18/pdfs/GMD-1821-329.pdf#page=3","Abrir facsímil")</f>
        <v>Abrir facsímil</v>
      </c>
      <c r="K3840" s="3" t="s">
        <v>32</v>
      </c>
    </row>
    <row r="3841" spans="1:11" ht="42" customHeight="1">
      <c r="A3841" s="2" t="s">
        <v>7898</v>
      </c>
      <c r="B3841" s="2" t="s">
        <v>7898</v>
      </c>
      <c r="C3841" s="2" t="s">
        <v>17</v>
      </c>
      <c r="D3841" s="2" t="s">
        <v>18</v>
      </c>
      <c r="E3841" s="5">
        <v>-28627</v>
      </c>
      <c r="F3841" s="3" t="s">
        <v>3216</v>
      </c>
      <c r="G3841" s="3" t="s">
        <v>20</v>
      </c>
      <c r="H3841" s="2" t="s">
        <v>21</v>
      </c>
      <c r="I3841" s="2" t="s">
        <v>7899</v>
      </c>
      <c r="J3841" s="3" t="str">
        <f>HYPERLINK("https://www.boe.es/gazeta/dias/1821/08/14/pdfs/GMD-1821-231.pdf#page=3","Abrir facsímil")</f>
        <v>Abrir facsímil</v>
      </c>
      <c r="K3841" s="3" t="s">
        <v>23</v>
      </c>
    </row>
    <row r="3842" spans="1:11" ht="42" customHeight="1">
      <c r="A3842" s="2" t="s">
        <v>7900</v>
      </c>
      <c r="B3842" s="2" t="s">
        <v>7900</v>
      </c>
      <c r="C3842" s="2" t="s">
        <v>17</v>
      </c>
      <c r="D3842" s="2" t="s">
        <v>18</v>
      </c>
      <c r="E3842" s="5">
        <v>-28761</v>
      </c>
      <c r="F3842" s="3" t="s">
        <v>771</v>
      </c>
      <c r="G3842" s="3" t="s">
        <v>52</v>
      </c>
      <c r="H3842" s="2" t="s">
        <v>21</v>
      </c>
      <c r="I3842" s="2" t="s">
        <v>7901</v>
      </c>
      <c r="J3842" s="3" t="str">
        <f>HYPERLINK("https://www.boe.es/gazeta/dias/1821/04/02/pdfs/GMD-1821-94.pdf#page=2","Abrir facsímil")</f>
        <v>Abrir facsímil</v>
      </c>
      <c r="K3842" s="3" t="s">
        <v>23</v>
      </c>
    </row>
    <row r="3843" spans="1:11" ht="42" customHeight="1">
      <c r="A3843" s="2" t="s">
        <v>7900</v>
      </c>
      <c r="B3843" s="2" t="s">
        <v>7900</v>
      </c>
      <c r="C3843" s="2" t="s">
        <v>17</v>
      </c>
      <c r="D3843" s="2" t="s">
        <v>18</v>
      </c>
      <c r="E3843" s="5">
        <v>-28742</v>
      </c>
      <c r="F3843" s="3" t="s">
        <v>324</v>
      </c>
      <c r="G3843" s="3" t="s">
        <v>43</v>
      </c>
      <c r="H3843" s="2" t="s">
        <v>21</v>
      </c>
      <c r="I3843" s="2" t="s">
        <v>7902</v>
      </c>
      <c r="J3843" s="3" t="str">
        <f>HYPERLINK("https://www.boe.es/gazeta/dias/1821/04/21/pdfs/GMD-1821-113.pdf#page=1","Abrir facsímil")</f>
        <v>Abrir facsímil</v>
      </c>
      <c r="K3843" s="3" t="s">
        <v>23</v>
      </c>
    </row>
    <row r="3844" spans="1:11" ht="42" customHeight="1">
      <c r="A3844" s="2" t="s">
        <v>7900</v>
      </c>
      <c r="B3844" s="2" t="s">
        <v>7900</v>
      </c>
      <c r="C3844" s="2" t="s">
        <v>40</v>
      </c>
      <c r="D3844" s="2" t="s">
        <v>41</v>
      </c>
      <c r="E3844" s="5">
        <v>-28617</v>
      </c>
      <c r="F3844" s="3" t="s">
        <v>436</v>
      </c>
      <c r="G3844" s="3" t="s">
        <v>88</v>
      </c>
      <c r="H3844" s="2" t="s">
        <v>21</v>
      </c>
      <c r="I3844" s="2" t="s">
        <v>7903</v>
      </c>
      <c r="J3844" s="3" t="str">
        <f>HYPERLINK("https://www.boe.es/gazeta/dias/1821/08/24/pdfs/GMD-1821-241.pdf#page=4","Abrir facsímil")</f>
        <v>Abrir facsímil</v>
      </c>
      <c r="K3844" s="3" t="s">
        <v>23</v>
      </c>
    </row>
    <row r="3845" spans="1:11" ht="42" customHeight="1">
      <c r="A3845" s="2" t="s">
        <v>7900</v>
      </c>
      <c r="B3845" s="2" t="s">
        <v>7900</v>
      </c>
      <c r="C3845" s="2" t="s">
        <v>35</v>
      </c>
      <c r="D3845" s="2" t="s">
        <v>27</v>
      </c>
      <c r="E3845" s="5">
        <v>-28616</v>
      </c>
      <c r="F3845" s="3" t="s">
        <v>1912</v>
      </c>
      <c r="G3845" s="3" t="s">
        <v>6462</v>
      </c>
      <c r="H3845" s="2" t="s">
        <v>21</v>
      </c>
      <c r="I3845" s="2" t="s">
        <v>7904</v>
      </c>
      <c r="J3845" s="3" t="str">
        <f>HYPERLINK("https://www.boe.es/gazeta/dias/1821/08/25/pdfs/GMD-1821-242.pdf#page=4","Abrir facsímil")</f>
        <v>Abrir facsímil</v>
      </c>
      <c r="K3845" s="3" t="s">
        <v>23</v>
      </c>
    </row>
    <row r="3846" spans="1:11" ht="42" customHeight="1">
      <c r="A3846" s="2" t="s">
        <v>7900</v>
      </c>
      <c r="B3846" s="2" t="s">
        <v>7900</v>
      </c>
      <c r="C3846" s="2" t="s">
        <v>17</v>
      </c>
      <c r="D3846" s="2" t="s">
        <v>18</v>
      </c>
      <c r="E3846" s="5">
        <v>-28611</v>
      </c>
      <c r="F3846" s="3" t="s">
        <v>5777</v>
      </c>
      <c r="G3846" s="3" t="s">
        <v>88</v>
      </c>
      <c r="H3846" s="2" t="s">
        <v>21</v>
      </c>
      <c r="I3846" s="2" t="s">
        <v>7905</v>
      </c>
      <c r="J3846" s="3" t="str">
        <f>HYPERLINK("https://www.boe.es/gazeta/dias/1821/08/30/pdfs/GMD-1821-247.pdf#page=4","Abrir facsímil")</f>
        <v>Abrir facsímil</v>
      </c>
      <c r="K3846" s="3" t="s">
        <v>23</v>
      </c>
    </row>
    <row r="3847" spans="1:11" ht="42" customHeight="1">
      <c r="A3847" s="2" t="s">
        <v>7906</v>
      </c>
      <c r="B3847" s="2" t="s">
        <v>7907</v>
      </c>
      <c r="C3847" s="2" t="s">
        <v>70</v>
      </c>
      <c r="D3847" s="2" t="s">
        <v>27</v>
      </c>
      <c r="E3847" s="5">
        <v>-28600</v>
      </c>
      <c r="F3847" s="3" t="s">
        <v>99</v>
      </c>
      <c r="G3847" s="3" t="s">
        <v>20</v>
      </c>
      <c r="H3847" s="2" t="s">
        <v>21</v>
      </c>
      <c r="I3847" s="2" t="s">
        <v>7908</v>
      </c>
      <c r="J3847" s="3" t="str">
        <f>HYPERLINK("https://www.boe.es/gazeta/dias/1821/09/10/pdfs/GMD-1821-258.pdf#page=3","Abrir facsímil")</f>
        <v>Abrir facsímil</v>
      </c>
      <c r="K3847" s="3" t="s">
        <v>23</v>
      </c>
    </row>
    <row r="3848" spans="1:11" ht="42" customHeight="1">
      <c r="A3848" s="2" t="s">
        <v>7909</v>
      </c>
      <c r="B3848" s="2" t="s">
        <v>7910</v>
      </c>
      <c r="C3848" s="2" t="s">
        <v>17</v>
      </c>
      <c r="D3848" s="2" t="s">
        <v>18</v>
      </c>
      <c r="E3848" s="5">
        <v>-28539</v>
      </c>
      <c r="F3848" s="3" t="s">
        <v>153</v>
      </c>
      <c r="G3848" s="3" t="s">
        <v>52</v>
      </c>
      <c r="H3848" s="2" t="s">
        <v>21</v>
      </c>
      <c r="I3848" s="2" t="s">
        <v>7911</v>
      </c>
      <c r="J3848" s="3" t="str">
        <f>HYPERLINK("https://www.boe.es/gazeta/dias/1821/11/10/pdfs/GMD-1821-321.pdf#page=2","Abrir facsímil")</f>
        <v>Abrir facsímil</v>
      </c>
      <c r="K3848" s="3" t="s">
        <v>23</v>
      </c>
    </row>
    <row r="3849" spans="1:11" ht="42" customHeight="1">
      <c r="A3849" s="2" t="s">
        <v>7912</v>
      </c>
      <c r="B3849" s="2" t="s">
        <v>7912</v>
      </c>
      <c r="C3849" s="2" t="s">
        <v>40</v>
      </c>
      <c r="D3849" s="2" t="s">
        <v>41</v>
      </c>
      <c r="E3849" s="5">
        <v>-28679</v>
      </c>
      <c r="F3849" s="3" t="s">
        <v>213</v>
      </c>
      <c r="G3849" s="3" t="s">
        <v>88</v>
      </c>
      <c r="H3849" s="2" t="s">
        <v>21</v>
      </c>
      <c r="I3849" s="2" t="s">
        <v>7913</v>
      </c>
      <c r="J3849" s="3" t="str">
        <f>HYPERLINK("https://www.boe.es/gazeta/dias/1821/06/23/pdfs/GMD-1821-176.pdf#page=4","Abrir facsímil")</f>
        <v>Abrir facsímil</v>
      </c>
      <c r="K3849" s="3" t="s">
        <v>23</v>
      </c>
    </row>
    <row r="3850" spans="1:11" ht="42" customHeight="1">
      <c r="A3850" s="2" t="s">
        <v>7914</v>
      </c>
      <c r="B3850" s="2" t="s">
        <v>7915</v>
      </c>
      <c r="C3850" s="2" t="s">
        <v>40</v>
      </c>
      <c r="D3850" s="2" t="s">
        <v>41</v>
      </c>
      <c r="E3850" s="5">
        <v>-28792</v>
      </c>
      <c r="F3850" s="3" t="s">
        <v>2289</v>
      </c>
      <c r="G3850" s="3" t="s">
        <v>2290</v>
      </c>
      <c r="H3850" s="2" t="s">
        <v>21</v>
      </c>
      <c r="I3850" s="2" t="s">
        <v>7916</v>
      </c>
      <c r="J3850" s="3" t="str">
        <f>HYPERLINK("https://www.boe.es/gazeta/dias/1821/03/02/pdfs/GGB-1821-61.pdf#page=2","Abrir facsímil")</f>
        <v>Abrir facsímil</v>
      </c>
      <c r="K3850" s="3" t="s">
        <v>23</v>
      </c>
    </row>
    <row r="3851" spans="1:11" ht="42" customHeight="1">
      <c r="A3851" s="2" t="s">
        <v>7914</v>
      </c>
      <c r="B3851" s="2" t="s">
        <v>7915</v>
      </c>
      <c r="C3851" s="2" t="s">
        <v>494</v>
      </c>
      <c r="D3851" s="2" t="s">
        <v>18</v>
      </c>
      <c r="E3851" s="5">
        <v>-28673</v>
      </c>
      <c r="F3851" s="3" t="s">
        <v>1069</v>
      </c>
      <c r="G3851" s="3" t="s">
        <v>20</v>
      </c>
      <c r="H3851" s="2" t="s">
        <v>21</v>
      </c>
      <c r="I3851" s="2" t="s">
        <v>7917</v>
      </c>
      <c r="J3851" s="3" t="str">
        <f>HYPERLINK("https://www.boe.es/gazeta/dias/1821/06/29/pdfs/GMD-1821-182.pdf#page=3","Abrir facsímil")</f>
        <v>Abrir facsímil</v>
      </c>
      <c r="K3851" s="3" t="s">
        <v>23</v>
      </c>
    </row>
    <row r="3852" spans="1:11" ht="42" customHeight="1">
      <c r="A3852" s="2" t="s">
        <v>7918</v>
      </c>
      <c r="B3852" s="2" t="s">
        <v>7919</v>
      </c>
      <c r="C3852" s="2" t="s">
        <v>174</v>
      </c>
      <c r="D3852" s="2" t="s">
        <v>27</v>
      </c>
      <c r="E3852" s="5">
        <v>-28640</v>
      </c>
      <c r="F3852" s="3" t="s">
        <v>1590</v>
      </c>
      <c r="G3852" s="3" t="s">
        <v>20</v>
      </c>
      <c r="H3852" s="2" t="s">
        <v>21</v>
      </c>
      <c r="I3852" s="2" t="s">
        <v>7920</v>
      </c>
      <c r="J3852" s="3" t="str">
        <f>HYPERLINK("https://www.boe.es/gazeta/dias/1821/08/01/pdfs/GMD-1821-217.pdf#page=3","Abrir facsímil")</f>
        <v>Abrir facsímil</v>
      </c>
      <c r="K3852" s="3" t="s">
        <v>23</v>
      </c>
    </row>
    <row r="3853" spans="1:11" ht="42" customHeight="1">
      <c r="A3853" s="2" t="s">
        <v>7921</v>
      </c>
      <c r="B3853" s="2" t="s">
        <v>7921</v>
      </c>
      <c r="C3853" s="2" t="s">
        <v>26</v>
      </c>
      <c r="D3853" s="2" t="s">
        <v>27</v>
      </c>
      <c r="E3853" s="5">
        <v>-28847</v>
      </c>
      <c r="F3853" s="3" t="s">
        <v>288</v>
      </c>
      <c r="G3853" s="3" t="s">
        <v>289</v>
      </c>
      <c r="H3853" s="2" t="s">
        <v>21</v>
      </c>
      <c r="I3853" s="2" t="s">
        <v>7922</v>
      </c>
      <c r="J3853" s="3" t="str">
        <f>HYPERLINK("https://www.boe.es/gazeta/dias/1821/01/06/pdfs/GGB-1821-6.pdf#page=4","Abrir facsímil")</f>
        <v>Abrir facsímil</v>
      </c>
      <c r="K3853" s="3" t="s">
        <v>23</v>
      </c>
    </row>
    <row r="3854" spans="1:11" ht="42" customHeight="1">
      <c r="A3854" s="2" t="s">
        <v>7921</v>
      </c>
      <c r="B3854" s="2" t="s">
        <v>7921</v>
      </c>
      <c r="C3854" s="2" t="s">
        <v>17</v>
      </c>
      <c r="D3854" s="2" t="s">
        <v>18</v>
      </c>
      <c r="E3854" s="5">
        <v>-28813</v>
      </c>
      <c r="F3854" s="3" t="s">
        <v>268</v>
      </c>
      <c r="G3854" s="3" t="s">
        <v>20</v>
      </c>
      <c r="H3854" s="2" t="s">
        <v>21</v>
      </c>
      <c r="I3854" s="2" t="s">
        <v>7923</v>
      </c>
      <c r="J3854" s="3" t="str">
        <f>HYPERLINK("https://www.boe.es/gazeta/dias/1821/02/09/pdfs/GGB-1821-40.pdf#page=3","Abrir facsímil")</f>
        <v>Abrir facsímil</v>
      </c>
      <c r="K3854" s="3" t="s">
        <v>23</v>
      </c>
    </row>
    <row r="3855" spans="1:11" ht="42" customHeight="1">
      <c r="A3855" s="2" t="s">
        <v>7921</v>
      </c>
      <c r="B3855" s="2" t="s">
        <v>7921</v>
      </c>
      <c r="C3855" s="2" t="s">
        <v>40</v>
      </c>
      <c r="D3855" s="2" t="s">
        <v>41</v>
      </c>
      <c r="E3855" s="5">
        <v>-28788</v>
      </c>
      <c r="F3855" s="3" t="s">
        <v>996</v>
      </c>
      <c r="G3855" s="3" t="s">
        <v>20</v>
      </c>
      <c r="H3855" s="2" t="s">
        <v>21</v>
      </c>
      <c r="I3855" s="2" t="s">
        <v>7924</v>
      </c>
      <c r="J3855" s="3" t="str">
        <f>HYPERLINK("https://www.boe.es/gazeta/dias/1821/03/06/pdfs/GGB-1821-65.pdf#page=3","Abrir facsímil")</f>
        <v>Abrir facsímil</v>
      </c>
      <c r="K3855" s="3" t="s">
        <v>23</v>
      </c>
    </row>
    <row r="3856" spans="1:11" ht="42" customHeight="1">
      <c r="A3856" s="2" t="s">
        <v>7921</v>
      </c>
      <c r="B3856" s="2" t="s">
        <v>7921</v>
      </c>
      <c r="C3856" s="2" t="s">
        <v>40</v>
      </c>
      <c r="D3856" s="2" t="s">
        <v>41</v>
      </c>
      <c r="E3856" s="5">
        <v>-28784</v>
      </c>
      <c r="F3856" s="3" t="s">
        <v>451</v>
      </c>
      <c r="G3856" s="3" t="s">
        <v>52</v>
      </c>
      <c r="H3856" s="2" t="s">
        <v>21</v>
      </c>
      <c r="I3856" s="2" t="s">
        <v>7925</v>
      </c>
      <c r="J3856" s="3" t="str">
        <f>HYPERLINK("https://www.boe.es/gazeta/dias/1821/03/10/pdfs/GGB-1821-69.pdf#page=2","Abrir facsímil")</f>
        <v>Abrir facsímil</v>
      </c>
      <c r="K3856" s="3" t="s">
        <v>23</v>
      </c>
    </row>
    <row r="3857" spans="1:11" ht="42" customHeight="1">
      <c r="A3857" s="2" t="s">
        <v>7921</v>
      </c>
      <c r="B3857" s="2" t="s">
        <v>7921</v>
      </c>
      <c r="C3857" s="2" t="s">
        <v>70</v>
      </c>
      <c r="D3857" s="2" t="s">
        <v>27</v>
      </c>
      <c r="E3857" s="5">
        <v>-28783</v>
      </c>
      <c r="F3857" s="3" t="s">
        <v>198</v>
      </c>
      <c r="G3857" s="3" t="s">
        <v>20</v>
      </c>
      <c r="H3857" s="2" t="s">
        <v>21</v>
      </c>
      <c r="I3857" s="2" t="s">
        <v>7926</v>
      </c>
      <c r="J3857" s="3" t="str">
        <f>HYPERLINK("https://www.boe.es/gazeta/dias/1821/03/11/pdfs/GGB-1821-70.pdf#page=3","Abrir facsímil")</f>
        <v>Abrir facsímil</v>
      </c>
      <c r="K3857" s="3" t="s">
        <v>23</v>
      </c>
    </row>
    <row r="3858" spans="1:11" ht="42" customHeight="1">
      <c r="A3858" s="2" t="s">
        <v>7921</v>
      </c>
      <c r="B3858" s="2" t="s">
        <v>7921</v>
      </c>
      <c r="C3858" s="2" t="s">
        <v>17</v>
      </c>
      <c r="D3858" s="2" t="s">
        <v>18</v>
      </c>
      <c r="E3858" s="5">
        <v>-28780</v>
      </c>
      <c r="F3858" s="3" t="s">
        <v>143</v>
      </c>
      <c r="G3858" s="3" t="s">
        <v>20</v>
      </c>
      <c r="H3858" s="2" t="s">
        <v>21</v>
      </c>
      <c r="I3858" s="2" t="s">
        <v>7927</v>
      </c>
      <c r="J3858" s="3" t="str">
        <f>HYPERLINK("https://www.boe.es/gazeta/dias/1821/03/14/pdfs/GMD-1821-73.pdf#page=3","Abrir facsímil")</f>
        <v>Abrir facsímil</v>
      </c>
      <c r="K3858" s="3" t="s">
        <v>23</v>
      </c>
    </row>
    <row r="3859" spans="1:11" ht="42" customHeight="1">
      <c r="A3859" s="2" t="s">
        <v>7921</v>
      </c>
      <c r="B3859" s="2" t="s">
        <v>7921</v>
      </c>
      <c r="C3859" s="2" t="s">
        <v>114</v>
      </c>
      <c r="D3859" s="2" t="s">
        <v>27</v>
      </c>
      <c r="E3859" s="5">
        <v>-28776</v>
      </c>
      <c r="F3859" s="3" t="s">
        <v>312</v>
      </c>
      <c r="G3859" s="3" t="s">
        <v>162</v>
      </c>
      <c r="H3859" s="2" t="s">
        <v>21</v>
      </c>
      <c r="I3859" s="2" t="s">
        <v>7928</v>
      </c>
      <c r="J3859" s="3" t="str">
        <f>HYPERLINK("https://www.boe.es/gazeta/dias/1821/03/18/pdfs/GMD-1821-77.pdf#page=5","Abrir facsímil")</f>
        <v>Abrir facsímil</v>
      </c>
      <c r="K3859" s="3" t="s">
        <v>23</v>
      </c>
    </row>
    <row r="3860" spans="1:11" ht="42" customHeight="1">
      <c r="A3860" s="2" t="s">
        <v>7921</v>
      </c>
      <c r="B3860" s="2" t="s">
        <v>7921</v>
      </c>
      <c r="C3860" s="2" t="s">
        <v>35</v>
      </c>
      <c r="D3860" s="2" t="s">
        <v>27</v>
      </c>
      <c r="E3860" s="5">
        <v>-28774</v>
      </c>
      <c r="F3860" s="3" t="s">
        <v>1221</v>
      </c>
      <c r="G3860" s="3" t="s">
        <v>52</v>
      </c>
      <c r="H3860" s="2" t="s">
        <v>21</v>
      </c>
      <c r="I3860" s="2" t="s">
        <v>7929</v>
      </c>
      <c r="J3860" s="3" t="str">
        <f>HYPERLINK("https://www.boe.es/gazeta/dias/1821/03/20/pdfs/GMD-1821-79.pdf#page=2","Abrir facsímil")</f>
        <v>Abrir facsímil</v>
      </c>
      <c r="K3860" s="3" t="s">
        <v>23</v>
      </c>
    </row>
    <row r="3861" spans="1:11" ht="42" customHeight="1">
      <c r="A3861" s="2" t="s">
        <v>7921</v>
      </c>
      <c r="B3861" s="2" t="s">
        <v>7921</v>
      </c>
      <c r="C3861" s="2" t="s">
        <v>17</v>
      </c>
      <c r="D3861" s="2" t="s">
        <v>18</v>
      </c>
      <c r="E3861" s="5">
        <v>-28764</v>
      </c>
      <c r="F3861" s="3" t="s">
        <v>924</v>
      </c>
      <c r="G3861" s="3" t="s">
        <v>20</v>
      </c>
      <c r="H3861" s="2" t="s">
        <v>21</v>
      </c>
      <c r="I3861" s="2" t="s">
        <v>7930</v>
      </c>
      <c r="J3861" s="3" t="str">
        <f>HYPERLINK("https://www.boe.es/gazeta/dias/1821/03/30/pdfs/GMD-1821-91.pdf#page=3","Abrir facsímil")</f>
        <v>Abrir facsímil</v>
      </c>
      <c r="K3861" s="3" t="s">
        <v>23</v>
      </c>
    </row>
    <row r="3862" spans="1:11" ht="42" customHeight="1">
      <c r="A3862" s="2" t="s">
        <v>7921</v>
      </c>
      <c r="B3862" s="2" t="s">
        <v>7921</v>
      </c>
      <c r="C3862" s="2" t="s">
        <v>17</v>
      </c>
      <c r="D3862" s="2" t="s">
        <v>18</v>
      </c>
      <c r="E3862" s="5">
        <v>-28753</v>
      </c>
      <c r="F3862" s="3" t="s">
        <v>720</v>
      </c>
      <c r="G3862" s="3" t="s">
        <v>776</v>
      </c>
      <c r="H3862" s="2" t="s">
        <v>21</v>
      </c>
      <c r="I3862" s="2" t="s">
        <v>7931</v>
      </c>
      <c r="J3862" s="3" t="str">
        <f>HYPERLINK("https://www.boe.es/gazeta/dias/1821/04/10/pdfs/GMD-1821-102.pdf#page=2","Abrir facsímil")</f>
        <v>Abrir facsímil</v>
      </c>
      <c r="K3862" s="3" t="s">
        <v>23</v>
      </c>
    </row>
    <row r="3863" spans="1:11" ht="42" customHeight="1">
      <c r="A3863" s="2" t="s">
        <v>7921</v>
      </c>
      <c r="B3863" s="2" t="s">
        <v>7921</v>
      </c>
      <c r="C3863" s="2" t="s">
        <v>279</v>
      </c>
      <c r="D3863" s="2" t="s">
        <v>27</v>
      </c>
      <c r="E3863" s="5">
        <v>-28747</v>
      </c>
      <c r="F3863" s="3" t="s">
        <v>1016</v>
      </c>
      <c r="G3863" s="3" t="s">
        <v>43</v>
      </c>
      <c r="H3863" s="2" t="s">
        <v>21</v>
      </c>
      <c r="I3863" s="2" t="s">
        <v>7932</v>
      </c>
      <c r="J3863" s="3" t="str">
        <f>HYPERLINK("https://www.boe.es/gazeta/dias/1821/04/16/pdfs/GMD-1821-108.pdf#page=1","Abrir facsímil")</f>
        <v>Abrir facsímil</v>
      </c>
      <c r="K3863" s="3" t="s">
        <v>23</v>
      </c>
    </row>
    <row r="3864" spans="1:11" ht="42" customHeight="1">
      <c r="A3864" s="2" t="s">
        <v>7921</v>
      </c>
      <c r="B3864" s="2" t="s">
        <v>7921</v>
      </c>
      <c r="C3864" s="2" t="s">
        <v>40</v>
      </c>
      <c r="D3864" s="2" t="s">
        <v>41</v>
      </c>
      <c r="E3864" s="5">
        <v>-28743</v>
      </c>
      <c r="F3864" s="3" t="s">
        <v>51</v>
      </c>
      <c r="G3864" s="3" t="s">
        <v>88</v>
      </c>
      <c r="H3864" s="2" t="s">
        <v>21</v>
      </c>
      <c r="I3864" s="2" t="s">
        <v>7933</v>
      </c>
      <c r="J3864" s="3" t="str">
        <f>HYPERLINK("https://www.boe.es/gazeta/dias/1821/04/20/pdfs/GMD-1821-112.pdf#page=4","Abrir facsímil")</f>
        <v>Abrir facsímil</v>
      </c>
      <c r="K3864" s="3" t="s">
        <v>23</v>
      </c>
    </row>
    <row r="3865" spans="1:11" ht="42" customHeight="1">
      <c r="A3865" s="2" t="s">
        <v>7921</v>
      </c>
      <c r="B3865" s="2" t="s">
        <v>7921</v>
      </c>
      <c r="C3865" s="2" t="s">
        <v>40</v>
      </c>
      <c r="D3865" s="2" t="s">
        <v>41</v>
      </c>
      <c r="E3865" s="5">
        <v>-28730</v>
      </c>
      <c r="F3865" s="3" t="s">
        <v>747</v>
      </c>
      <c r="G3865" s="3" t="s">
        <v>20</v>
      </c>
      <c r="H3865" s="2" t="s">
        <v>21</v>
      </c>
      <c r="I3865" s="2" t="s">
        <v>7934</v>
      </c>
      <c r="J3865" s="3" t="str">
        <f>HYPERLINK("https://www.boe.es/gazeta/dias/1821/05/03/pdfs/GMD-1821-125.pdf#page=3","Abrir facsímil")</f>
        <v>Abrir facsímil</v>
      </c>
      <c r="K3865" s="3" t="s">
        <v>23</v>
      </c>
    </row>
    <row r="3866" spans="1:11" ht="42" customHeight="1">
      <c r="A3866" s="2" t="s">
        <v>7921</v>
      </c>
      <c r="B3866" s="2" t="s">
        <v>7921</v>
      </c>
      <c r="C3866" s="2" t="s">
        <v>35</v>
      </c>
      <c r="D3866" s="2" t="s">
        <v>27</v>
      </c>
      <c r="E3866" s="5">
        <v>-28722</v>
      </c>
      <c r="F3866" s="3" t="s">
        <v>623</v>
      </c>
      <c r="G3866" s="3" t="s">
        <v>52</v>
      </c>
      <c r="H3866" s="2" t="s">
        <v>21</v>
      </c>
      <c r="I3866" s="2" t="s">
        <v>7935</v>
      </c>
      <c r="J3866" s="3" t="str">
        <f>HYPERLINK("https://www.boe.es/gazeta/dias/1821/05/11/pdfs/GMD-1821-133.pdf#page=2","Abrir facsímil")</f>
        <v>Abrir facsímil</v>
      </c>
      <c r="K3866" s="3" t="s">
        <v>23</v>
      </c>
    </row>
    <row r="3867" spans="1:11" ht="42" customHeight="1">
      <c r="A3867" s="2" t="s">
        <v>7921</v>
      </c>
      <c r="B3867" s="2" t="s">
        <v>7921</v>
      </c>
      <c r="C3867" s="2" t="s">
        <v>17</v>
      </c>
      <c r="D3867" s="2" t="s">
        <v>18</v>
      </c>
      <c r="E3867" s="5">
        <v>-28719</v>
      </c>
      <c r="F3867" s="3" t="s">
        <v>647</v>
      </c>
      <c r="G3867" s="3" t="s">
        <v>20</v>
      </c>
      <c r="H3867" s="2" t="s">
        <v>21</v>
      </c>
      <c r="I3867" s="2" t="s">
        <v>7936</v>
      </c>
      <c r="J3867" s="3" t="str">
        <f>HYPERLINK("https://www.boe.es/gazeta/dias/1821/05/14/pdfs/GMD-1821-136.pdf#page=3","Abrir facsímil")</f>
        <v>Abrir facsímil</v>
      </c>
      <c r="K3867" s="3" t="s">
        <v>23</v>
      </c>
    </row>
    <row r="3868" spans="1:11" ht="42" customHeight="1">
      <c r="A3868" s="2" t="s">
        <v>7921</v>
      </c>
      <c r="B3868" s="2" t="s">
        <v>7921</v>
      </c>
      <c r="C3868" s="2" t="s">
        <v>70</v>
      </c>
      <c r="D3868" s="2" t="s">
        <v>27</v>
      </c>
      <c r="E3868" s="5">
        <v>-28705</v>
      </c>
      <c r="F3868" s="3" t="s">
        <v>1844</v>
      </c>
      <c r="G3868" s="3" t="s">
        <v>43</v>
      </c>
      <c r="H3868" s="2" t="s">
        <v>21</v>
      </c>
      <c r="I3868" s="2" t="s">
        <v>7937</v>
      </c>
      <c r="J3868" s="3" t="str">
        <f>HYPERLINK("https://www.boe.es/gazeta/dias/1821/05/28/pdfs/GMD-1821-150.pdf#page=1","Abrir facsímil")</f>
        <v>Abrir facsímil</v>
      </c>
      <c r="K3868" s="3" t="s">
        <v>23</v>
      </c>
    </row>
    <row r="3869" spans="1:11" ht="42" customHeight="1">
      <c r="A3869" s="2" t="s">
        <v>7921</v>
      </c>
      <c r="B3869" s="2" t="s">
        <v>7921</v>
      </c>
      <c r="C3869" s="2" t="s">
        <v>17</v>
      </c>
      <c r="D3869" s="2" t="s">
        <v>18</v>
      </c>
      <c r="E3869" s="5">
        <v>-28693</v>
      </c>
      <c r="F3869" s="3" t="s">
        <v>74</v>
      </c>
      <c r="G3869" s="3" t="s">
        <v>1846</v>
      </c>
      <c r="H3869" s="2" t="s">
        <v>21</v>
      </c>
      <c r="I3869" s="2" t="s">
        <v>7938</v>
      </c>
      <c r="J3869" s="3" t="str">
        <f>HYPERLINK("https://www.boe.es/gazeta/dias/1821/06/09/pdfs/GMD-1821-162.pdf#page=6","Abrir facsímil")</f>
        <v>Abrir facsímil</v>
      </c>
      <c r="K3869" s="3" t="s">
        <v>23</v>
      </c>
    </row>
    <row r="3870" spans="1:11" ht="42" customHeight="1">
      <c r="A3870" s="2" t="s">
        <v>7921</v>
      </c>
      <c r="B3870" s="2" t="s">
        <v>7921</v>
      </c>
      <c r="C3870" s="2" t="s">
        <v>35</v>
      </c>
      <c r="D3870" s="2" t="s">
        <v>27</v>
      </c>
      <c r="E3870" s="5">
        <v>-28685</v>
      </c>
      <c r="F3870" s="3" t="s">
        <v>303</v>
      </c>
      <c r="G3870" s="3" t="s">
        <v>52</v>
      </c>
      <c r="H3870" s="2" t="s">
        <v>21</v>
      </c>
      <c r="I3870" s="2" t="s">
        <v>7939</v>
      </c>
      <c r="J3870" s="3" t="str">
        <f>HYPERLINK("https://www.boe.es/gazeta/dias/1821/06/17/pdfs/GMD-1821-170.pdf#page=2","Abrir facsímil")</f>
        <v>Abrir facsímil</v>
      </c>
      <c r="K3870" s="3" t="s">
        <v>23</v>
      </c>
    </row>
    <row r="3871" spans="1:11" ht="42" customHeight="1">
      <c r="A3871" s="2" t="s">
        <v>7921</v>
      </c>
      <c r="B3871" s="2" t="s">
        <v>7921</v>
      </c>
      <c r="C3871" s="2" t="s">
        <v>40</v>
      </c>
      <c r="D3871" s="2" t="s">
        <v>41</v>
      </c>
      <c r="E3871" s="5">
        <v>-28685</v>
      </c>
      <c r="F3871" s="3" t="s">
        <v>303</v>
      </c>
      <c r="G3871" s="3" t="s">
        <v>88</v>
      </c>
      <c r="H3871" s="2" t="s">
        <v>21</v>
      </c>
      <c r="I3871" s="2" t="s">
        <v>7940</v>
      </c>
      <c r="J3871" s="3" t="str">
        <f>HYPERLINK("https://www.boe.es/gazeta/dias/1821/06/17/pdfs/GMD-1821-170.pdf#page=4","Abrir facsímil")</f>
        <v>Abrir facsímil</v>
      </c>
      <c r="K3871" s="3" t="s">
        <v>23</v>
      </c>
    </row>
    <row r="3872" spans="1:11" ht="42" customHeight="1">
      <c r="A3872" s="2" t="s">
        <v>7921</v>
      </c>
      <c r="B3872" s="2" t="s">
        <v>7921</v>
      </c>
      <c r="C3872" s="2" t="s">
        <v>17</v>
      </c>
      <c r="D3872" s="2" t="s">
        <v>18</v>
      </c>
      <c r="E3872" s="5">
        <v>-28669</v>
      </c>
      <c r="F3872" s="3" t="s">
        <v>2816</v>
      </c>
      <c r="G3872" s="3" t="s">
        <v>20</v>
      </c>
      <c r="H3872" s="2" t="s">
        <v>21</v>
      </c>
      <c r="I3872" s="2" t="s">
        <v>7941</v>
      </c>
      <c r="J3872" s="3" t="str">
        <f>HYPERLINK("https://www.boe.es/gazeta/dias/1821/07/03/pdfs/GMD-1821-187.pdf#page=3","Abrir facsímil")</f>
        <v>Abrir facsímil</v>
      </c>
      <c r="K3872" s="3" t="s">
        <v>23</v>
      </c>
    </row>
    <row r="3873" spans="1:11" ht="42" customHeight="1">
      <c r="A3873" s="2" t="s">
        <v>7921</v>
      </c>
      <c r="B3873" s="2" t="s">
        <v>7921</v>
      </c>
      <c r="C3873" s="2" t="s">
        <v>17</v>
      </c>
      <c r="D3873" s="2" t="s">
        <v>18</v>
      </c>
      <c r="E3873" s="5">
        <v>-28669</v>
      </c>
      <c r="F3873" s="3" t="s">
        <v>2816</v>
      </c>
      <c r="G3873" s="3" t="s">
        <v>88</v>
      </c>
      <c r="H3873" s="2" t="s">
        <v>21</v>
      </c>
      <c r="I3873" s="2" t="s">
        <v>7942</v>
      </c>
      <c r="J3873" s="3" t="str">
        <f>HYPERLINK("https://www.boe.es/gazeta/dias/1821/07/03/pdfs/GMD-1821-187.pdf#page=4","Abrir facsímil")</f>
        <v>Abrir facsímil</v>
      </c>
      <c r="K3873" s="3" t="s">
        <v>23</v>
      </c>
    </row>
    <row r="3874" spans="1:11" ht="42" customHeight="1">
      <c r="A3874" s="2" t="s">
        <v>7921</v>
      </c>
      <c r="B3874" s="2" t="s">
        <v>7921</v>
      </c>
      <c r="C3874" s="2" t="s">
        <v>279</v>
      </c>
      <c r="D3874" s="2" t="s">
        <v>27</v>
      </c>
      <c r="E3874" s="5">
        <v>-28646</v>
      </c>
      <c r="F3874" s="3" t="s">
        <v>1457</v>
      </c>
      <c r="G3874" s="3" t="s">
        <v>79</v>
      </c>
      <c r="H3874" s="2" t="s">
        <v>21</v>
      </c>
      <c r="I3874" s="2" t="s">
        <v>7943</v>
      </c>
      <c r="J3874" s="3" t="str">
        <f>HYPERLINK("https://www.boe.es/gazeta/dias/1821/07/26/pdfs/GMD-1821-211.pdf#page=4","Abrir facsímil")</f>
        <v>Abrir facsímil</v>
      </c>
      <c r="K3874" s="3" t="s">
        <v>23</v>
      </c>
    </row>
    <row r="3875" spans="1:11" ht="42" customHeight="1">
      <c r="A3875" s="2" t="s">
        <v>7921</v>
      </c>
      <c r="B3875" s="2" t="s">
        <v>7921</v>
      </c>
      <c r="C3875" s="2" t="s">
        <v>174</v>
      </c>
      <c r="D3875" s="2" t="s">
        <v>27</v>
      </c>
      <c r="E3875" s="5">
        <v>-28644</v>
      </c>
      <c r="F3875" s="3" t="s">
        <v>1340</v>
      </c>
      <c r="G3875" s="3" t="s">
        <v>20</v>
      </c>
      <c r="H3875" s="2" t="s">
        <v>21</v>
      </c>
      <c r="I3875" s="2" t="s">
        <v>7944</v>
      </c>
      <c r="J3875" s="3" t="str">
        <f>HYPERLINK("https://www.boe.es/gazeta/dias/1821/07/28/pdfs/GMD-1821-213.pdf#page=3","Abrir facsímil")</f>
        <v>Abrir facsímil</v>
      </c>
      <c r="K3875" s="3" t="s">
        <v>23</v>
      </c>
    </row>
    <row r="3876" spans="1:11" ht="42" customHeight="1">
      <c r="A3876" s="2" t="s">
        <v>7921</v>
      </c>
      <c r="B3876" s="2" t="s">
        <v>7921</v>
      </c>
      <c r="C3876" s="2" t="s">
        <v>26</v>
      </c>
      <c r="D3876" s="2" t="s">
        <v>27</v>
      </c>
      <c r="E3876" s="5">
        <v>-28620</v>
      </c>
      <c r="F3876" s="3" t="s">
        <v>87</v>
      </c>
      <c r="G3876" s="3" t="s">
        <v>88</v>
      </c>
      <c r="H3876" s="2" t="s">
        <v>21</v>
      </c>
      <c r="I3876" s="2" t="s">
        <v>7945</v>
      </c>
      <c r="J3876" s="3" t="str">
        <f>HYPERLINK("https://www.boe.es/gazeta/dias/1821/08/21/pdfs/GMD-1821-238.pdf#page=4","Abrir facsímil")</f>
        <v>Abrir facsímil</v>
      </c>
      <c r="K3876" s="3" t="s">
        <v>23</v>
      </c>
    </row>
    <row r="3877" spans="1:11" ht="42" customHeight="1">
      <c r="A3877" s="2" t="s">
        <v>7921</v>
      </c>
      <c r="B3877" s="2" t="s">
        <v>7921</v>
      </c>
      <c r="C3877" s="2" t="s">
        <v>114</v>
      </c>
      <c r="D3877" s="2" t="s">
        <v>27</v>
      </c>
      <c r="E3877" s="5">
        <v>-28616</v>
      </c>
      <c r="F3877" s="3" t="s">
        <v>1912</v>
      </c>
      <c r="G3877" s="3" t="s">
        <v>6462</v>
      </c>
      <c r="H3877" s="2" t="s">
        <v>21</v>
      </c>
      <c r="I3877" s="2" t="s">
        <v>7946</v>
      </c>
      <c r="J3877" s="3" t="str">
        <f>HYPERLINK("https://www.boe.es/gazeta/dias/1821/08/25/pdfs/GMD-1821-242.pdf#page=4","Abrir facsímil")</f>
        <v>Abrir facsímil</v>
      </c>
      <c r="K3877" s="3" t="s">
        <v>23</v>
      </c>
    </row>
    <row r="3878" spans="1:11" ht="42" customHeight="1">
      <c r="A3878" s="2" t="s">
        <v>7921</v>
      </c>
      <c r="B3878" s="2" t="s">
        <v>7921</v>
      </c>
      <c r="C3878" s="2" t="s">
        <v>40</v>
      </c>
      <c r="D3878" s="2" t="s">
        <v>41</v>
      </c>
      <c r="E3878" s="5">
        <v>-28590</v>
      </c>
      <c r="F3878" s="3" t="s">
        <v>2787</v>
      </c>
      <c r="G3878" s="3" t="s">
        <v>88</v>
      </c>
      <c r="H3878" s="2" t="s">
        <v>21</v>
      </c>
      <c r="I3878" s="2" t="s">
        <v>7947</v>
      </c>
      <c r="J3878" s="3" t="str">
        <f>HYPERLINK("https://www.boe.es/gazeta/dias/1821/09/20/pdfs/GMD-1821-268.pdf#page=4","Abrir facsímil")</f>
        <v>Abrir facsímil</v>
      </c>
      <c r="K3878" s="3" t="s">
        <v>23</v>
      </c>
    </row>
    <row r="3879" spans="1:11" ht="42" customHeight="1">
      <c r="A3879" s="2" t="s">
        <v>7921</v>
      </c>
      <c r="B3879" s="2" t="s">
        <v>7921</v>
      </c>
      <c r="C3879" s="2" t="s">
        <v>70</v>
      </c>
      <c r="D3879" s="2" t="s">
        <v>27</v>
      </c>
      <c r="E3879" s="5">
        <v>-28568</v>
      </c>
      <c r="F3879" s="3" t="s">
        <v>539</v>
      </c>
      <c r="G3879" s="3" t="s">
        <v>43</v>
      </c>
      <c r="H3879" s="2" t="s">
        <v>21</v>
      </c>
      <c r="I3879" s="2" t="s">
        <v>7948</v>
      </c>
      <c r="J3879" s="3" t="str">
        <f>HYPERLINK("https://www.boe.es/gazeta/dias/1821/10/12/pdfs/GMD-1821-291.pdf#page=1","Abrir facsímil")</f>
        <v>Abrir facsímil</v>
      </c>
      <c r="K3879" s="3" t="s">
        <v>23</v>
      </c>
    </row>
    <row r="3880" spans="1:11" ht="42" customHeight="1">
      <c r="A3880" s="2" t="s">
        <v>7921</v>
      </c>
      <c r="B3880" s="2" t="s">
        <v>7921</v>
      </c>
      <c r="C3880" s="2" t="s">
        <v>17</v>
      </c>
      <c r="D3880" s="2" t="s">
        <v>18</v>
      </c>
      <c r="E3880" s="5">
        <v>-28565</v>
      </c>
      <c r="F3880" s="3" t="s">
        <v>326</v>
      </c>
      <c r="G3880" s="3" t="s">
        <v>88</v>
      </c>
      <c r="H3880" s="2" t="s">
        <v>21</v>
      </c>
      <c r="I3880" s="2" t="s">
        <v>7949</v>
      </c>
      <c r="J3880" s="3" t="str">
        <f>HYPERLINK("https://www.boe.es/gazeta/dias/1821/10/15/pdfs/GMD-1821-294.pdf#page=4","Abrir facsímil")</f>
        <v>Abrir facsímil</v>
      </c>
      <c r="K3880" s="3" t="s">
        <v>23</v>
      </c>
    </row>
    <row r="3881" spans="1:11" ht="42" customHeight="1">
      <c r="A3881" s="2" t="s">
        <v>7921</v>
      </c>
      <c r="B3881" s="2" t="s">
        <v>7921</v>
      </c>
      <c r="C3881" s="2" t="s">
        <v>17</v>
      </c>
      <c r="D3881" s="2" t="s">
        <v>18</v>
      </c>
      <c r="E3881" s="5">
        <v>-28560</v>
      </c>
      <c r="F3881" s="3" t="s">
        <v>363</v>
      </c>
      <c r="G3881" s="3" t="s">
        <v>162</v>
      </c>
      <c r="H3881" s="2" t="s">
        <v>21</v>
      </c>
      <c r="I3881" s="2" t="s">
        <v>7950</v>
      </c>
      <c r="J3881" s="3" t="str">
        <f>HYPERLINK("https://www.boe.es/gazeta/dias/1821/10/20/pdfs/GMD-1821-299.pdf#page=5","Abrir facsímil")</f>
        <v>Abrir facsímil</v>
      </c>
      <c r="K3881" s="3" t="s">
        <v>23</v>
      </c>
    </row>
    <row r="3882" spans="1:11" ht="42" customHeight="1">
      <c r="A3882" s="2" t="s">
        <v>7921</v>
      </c>
      <c r="B3882" s="2" t="s">
        <v>7921</v>
      </c>
      <c r="C3882" s="2" t="s">
        <v>17</v>
      </c>
      <c r="D3882" s="2" t="s">
        <v>18</v>
      </c>
      <c r="E3882" s="5">
        <v>-28553</v>
      </c>
      <c r="F3882" s="3" t="s">
        <v>182</v>
      </c>
      <c r="G3882" s="3" t="s">
        <v>29</v>
      </c>
      <c r="H3882" s="2" t="s">
        <v>21</v>
      </c>
      <c r="I3882" s="2" t="s">
        <v>7951</v>
      </c>
      <c r="J3882" s="3" t="str">
        <f>HYPERLINK("https://www.boe.es/gazeta/dias/1821/10/27/pdfs/GMD-1821-306.pdf#page=6","Abrir facsímil")</f>
        <v>Abrir facsímil</v>
      </c>
      <c r="K3882" s="3" t="s">
        <v>23</v>
      </c>
    </row>
    <row r="3883" spans="1:11" ht="42" customHeight="1">
      <c r="A3883" s="2" t="s">
        <v>7921</v>
      </c>
      <c r="B3883" s="2" t="s">
        <v>7921</v>
      </c>
      <c r="C3883" s="2" t="s">
        <v>26</v>
      </c>
      <c r="D3883" s="2" t="s">
        <v>27</v>
      </c>
      <c r="E3883" s="5">
        <v>-28547</v>
      </c>
      <c r="F3883" s="3" t="s">
        <v>247</v>
      </c>
      <c r="G3883" s="3" t="s">
        <v>248</v>
      </c>
      <c r="H3883" s="2" t="s">
        <v>21</v>
      </c>
      <c r="I3883" s="2" t="s">
        <v>7952</v>
      </c>
      <c r="J3883" s="3" t="str">
        <f>HYPERLINK("https://www.boe.es/gazeta/dias/1821/11/02/pdfs/GMD-1821-312.pdf#page=2","Abrir facsímil")</f>
        <v>Abrir facsímil</v>
      </c>
      <c r="K3883" s="3" t="s">
        <v>23</v>
      </c>
    </row>
    <row r="3884" spans="1:11" ht="42" customHeight="1">
      <c r="A3884" s="2" t="s">
        <v>7921</v>
      </c>
      <c r="B3884" s="2" t="s">
        <v>7921</v>
      </c>
      <c r="C3884" s="2" t="s">
        <v>26</v>
      </c>
      <c r="D3884" s="2" t="s">
        <v>405</v>
      </c>
      <c r="E3884" s="5">
        <v>-28546</v>
      </c>
      <c r="F3884" s="3" t="s">
        <v>6425</v>
      </c>
      <c r="G3884" s="3" t="s">
        <v>43</v>
      </c>
      <c r="H3884" s="2" t="s">
        <v>21</v>
      </c>
      <c r="I3884" s="2" t="s">
        <v>7953</v>
      </c>
      <c r="J3884" s="3" t="str">
        <f>HYPERLINK("https://www.boe.es/gazeta/dias/1821/11/03/pdfs/GMD-1821-314E.pdf#page=1","Abrir facsímil")</f>
        <v>Abrir facsímil</v>
      </c>
      <c r="K3884" s="3" t="s">
        <v>23</v>
      </c>
    </row>
    <row r="3885" spans="1:11" ht="42" customHeight="1">
      <c r="A3885" s="2" t="s">
        <v>7921</v>
      </c>
      <c r="B3885" s="2" t="s">
        <v>7921</v>
      </c>
      <c r="C3885" s="2" t="s">
        <v>40</v>
      </c>
      <c r="D3885" s="2" t="s">
        <v>41</v>
      </c>
      <c r="E3885" s="5">
        <v>-28536</v>
      </c>
      <c r="F3885" s="3" t="s">
        <v>553</v>
      </c>
      <c r="G3885" s="3" t="s">
        <v>52</v>
      </c>
      <c r="H3885" s="2" t="s">
        <v>21</v>
      </c>
      <c r="I3885" s="2" t="s">
        <v>7954</v>
      </c>
      <c r="J3885" s="3" t="str">
        <f>HYPERLINK("https://www.boe.es/gazeta/dias/1821/11/13/pdfs/GMD-1821-324.pdf#page=2","Abrir facsímil")</f>
        <v>Abrir facsímil</v>
      </c>
      <c r="K3885" s="3" t="s">
        <v>23</v>
      </c>
    </row>
    <row r="3886" spans="1:11" ht="42" customHeight="1">
      <c r="A3886" s="2" t="s">
        <v>7921</v>
      </c>
      <c r="B3886" s="2" t="s">
        <v>7921</v>
      </c>
      <c r="C3886" s="2" t="s">
        <v>17</v>
      </c>
      <c r="D3886" s="2" t="s">
        <v>18</v>
      </c>
      <c r="E3886" s="5">
        <v>-28534</v>
      </c>
      <c r="F3886" s="3" t="s">
        <v>414</v>
      </c>
      <c r="G3886" s="3" t="s">
        <v>162</v>
      </c>
      <c r="H3886" s="2" t="s">
        <v>21</v>
      </c>
      <c r="I3886" s="2" t="s">
        <v>7955</v>
      </c>
      <c r="J3886" s="3" t="str">
        <f>HYPERLINK("https://www.boe.es/gazeta/dias/1821/11/15/pdfs/GMD-1821-326.pdf#page=5","Abrir facsímil")</f>
        <v>Abrir facsímil</v>
      </c>
      <c r="K3886" s="3" t="s">
        <v>23</v>
      </c>
    </row>
    <row r="3887" spans="1:11" ht="42" customHeight="1">
      <c r="A3887" s="2" t="s">
        <v>7921</v>
      </c>
      <c r="B3887" s="2" t="s">
        <v>7921</v>
      </c>
      <c r="C3887" s="2" t="s">
        <v>40</v>
      </c>
      <c r="D3887" s="2" t="s">
        <v>41</v>
      </c>
      <c r="E3887" s="5">
        <v>-28525</v>
      </c>
      <c r="F3887" s="3" t="s">
        <v>186</v>
      </c>
      <c r="G3887" s="3" t="s">
        <v>52</v>
      </c>
      <c r="H3887" s="2" t="s">
        <v>21</v>
      </c>
      <c r="I3887" s="2" t="s">
        <v>7956</v>
      </c>
      <c r="J3887" s="3" t="str">
        <f>HYPERLINK("https://www.boe.es/gazeta/dias/1821/11/24/pdfs/GMD-1821-335.pdf#page=2","Abrir facsímil")</f>
        <v>Abrir facsímil</v>
      </c>
      <c r="K3887" s="3" t="s">
        <v>23</v>
      </c>
    </row>
    <row r="3888" spans="1:11" ht="42" customHeight="1">
      <c r="A3888" s="2" t="s">
        <v>7921</v>
      </c>
      <c r="B3888" s="2" t="s">
        <v>7921</v>
      </c>
      <c r="C3888" s="2" t="s">
        <v>40</v>
      </c>
      <c r="D3888" s="2" t="s">
        <v>41</v>
      </c>
      <c r="E3888" s="5">
        <v>-28511</v>
      </c>
      <c r="F3888" s="3" t="s">
        <v>340</v>
      </c>
      <c r="G3888" s="3" t="s">
        <v>52</v>
      </c>
      <c r="H3888" s="2" t="s">
        <v>21</v>
      </c>
      <c r="I3888" s="2" t="s">
        <v>7957</v>
      </c>
      <c r="J3888" s="3" t="str">
        <f>HYPERLINK("https://www.boe.es/gazeta/dias/1821/12/08/pdfs/GMD-1821-350.pdf#page=2","Abrir facsímil")</f>
        <v>Abrir facsímil</v>
      </c>
      <c r="K3888" s="3" t="s">
        <v>23</v>
      </c>
    </row>
    <row r="3889" spans="1:11" ht="42" customHeight="1">
      <c r="A3889" s="2" t="s">
        <v>7921</v>
      </c>
      <c r="B3889" s="2" t="s">
        <v>7921</v>
      </c>
      <c r="C3889" s="2" t="s">
        <v>40</v>
      </c>
      <c r="D3889" s="2" t="s">
        <v>41</v>
      </c>
      <c r="E3889" s="5">
        <v>-28504</v>
      </c>
      <c r="F3889" s="3" t="s">
        <v>1098</v>
      </c>
      <c r="G3889" s="3" t="s">
        <v>29</v>
      </c>
      <c r="H3889" s="2" t="s">
        <v>21</v>
      </c>
      <c r="I3889" s="2" t="s">
        <v>7958</v>
      </c>
      <c r="J3889" s="3" t="str">
        <f>HYPERLINK("https://www.boe.es/gazeta/dias/1821/12/15/pdfs/GMD-1821-358.pdf#page=6","Abrir facsímil")</f>
        <v>Abrir facsímil</v>
      </c>
      <c r="K3889" s="3" t="s">
        <v>23</v>
      </c>
    </row>
    <row r="3890" spans="1:11" ht="42" customHeight="1">
      <c r="A3890" s="2" t="s">
        <v>7921</v>
      </c>
      <c r="B3890" s="2" t="s">
        <v>7921</v>
      </c>
      <c r="C3890" s="2" t="s">
        <v>17</v>
      </c>
      <c r="D3890" s="2" t="s">
        <v>18</v>
      </c>
      <c r="E3890" s="5">
        <v>-28501</v>
      </c>
      <c r="F3890" s="3" t="s">
        <v>456</v>
      </c>
      <c r="G3890" s="3" t="s">
        <v>1253</v>
      </c>
      <c r="H3890" s="2" t="s">
        <v>21</v>
      </c>
      <c r="I3890" s="2" t="s">
        <v>7959</v>
      </c>
      <c r="J3890" s="3" t="str">
        <f>HYPERLINK("https://www.boe.es/gazeta/dias/1821/12/18/pdfs/GMD-1821-361.pdf#page=6","Abrir facsímil")</f>
        <v>Abrir facsímil</v>
      </c>
      <c r="K3890" s="3" t="s">
        <v>23</v>
      </c>
    </row>
    <row r="3891" spans="1:11" ht="42" customHeight="1">
      <c r="A3891" s="2" t="s">
        <v>7921</v>
      </c>
      <c r="B3891" s="2" t="s">
        <v>7921</v>
      </c>
      <c r="C3891" s="2" t="s">
        <v>279</v>
      </c>
      <c r="D3891" s="2" t="s">
        <v>27</v>
      </c>
      <c r="E3891" s="5">
        <v>-28497</v>
      </c>
      <c r="F3891" s="3" t="s">
        <v>225</v>
      </c>
      <c r="G3891" s="3" t="s">
        <v>504</v>
      </c>
      <c r="H3891" s="2" t="s">
        <v>21</v>
      </c>
      <c r="I3891" s="2" t="s">
        <v>7960</v>
      </c>
      <c r="J3891" s="3" t="str">
        <f>HYPERLINK("https://www.boe.es/gazeta/dias/1821/12/22/pdfs/GMD-1821-365.pdf#page=6","Abrir facsímil")</f>
        <v>Abrir facsímil</v>
      </c>
      <c r="K3891" s="3" t="s">
        <v>23</v>
      </c>
    </row>
    <row r="3892" spans="1:11" ht="42" customHeight="1">
      <c r="A3892" s="2" t="s">
        <v>7921</v>
      </c>
      <c r="B3892" s="2" t="s">
        <v>7921</v>
      </c>
      <c r="C3892" s="2" t="s">
        <v>17</v>
      </c>
      <c r="D3892" s="2" t="s">
        <v>18</v>
      </c>
      <c r="E3892" s="5">
        <v>-28495</v>
      </c>
      <c r="F3892" s="3" t="s">
        <v>227</v>
      </c>
      <c r="G3892" s="3" t="s">
        <v>333</v>
      </c>
      <c r="H3892" s="2" t="s">
        <v>21</v>
      </c>
      <c r="I3892" s="2" t="s">
        <v>7961</v>
      </c>
      <c r="J3892" s="3" t="str">
        <f>HYPERLINK("https://www.boe.es/gazeta/dias/1821/12/24/pdfs/GMD-1821-367.pdf#page=8","Abrir facsímil")</f>
        <v>Abrir facsímil</v>
      </c>
      <c r="K3892" s="3" t="s">
        <v>23</v>
      </c>
    </row>
    <row r="3893" spans="1:11" ht="42" customHeight="1">
      <c r="A3893" s="2" t="s">
        <v>7962</v>
      </c>
      <c r="B3893" s="2" t="s">
        <v>7963</v>
      </c>
      <c r="C3893" s="2" t="s">
        <v>17</v>
      </c>
      <c r="D3893" s="2" t="s">
        <v>18</v>
      </c>
      <c r="E3893" s="5">
        <v>-28543</v>
      </c>
      <c r="F3893" s="3" t="s">
        <v>136</v>
      </c>
      <c r="G3893" s="3" t="s">
        <v>333</v>
      </c>
      <c r="H3893" s="2" t="s">
        <v>21</v>
      </c>
      <c r="I3893" s="2" t="s">
        <v>7964</v>
      </c>
      <c r="J3893" s="3" t="str">
        <f>HYPERLINK("https://www.boe.es/gazeta/dias/1821/11/06/pdfs/GMD-1821-317.pdf#page=8","Abrir facsímil")</f>
        <v>Abrir facsímil</v>
      </c>
      <c r="K3893" s="3" t="s">
        <v>23</v>
      </c>
    </row>
    <row r="3894" spans="1:11" ht="42" customHeight="1">
      <c r="A3894" s="2" t="s">
        <v>7965</v>
      </c>
      <c r="B3894" s="2" t="s">
        <v>7966</v>
      </c>
      <c r="C3894" s="2" t="s">
        <v>40</v>
      </c>
      <c r="D3894" s="2" t="s">
        <v>41</v>
      </c>
      <c r="E3894" s="5">
        <v>-28716</v>
      </c>
      <c r="F3894" s="3" t="s">
        <v>842</v>
      </c>
      <c r="G3894" s="3" t="s">
        <v>52</v>
      </c>
      <c r="H3894" s="2" t="s">
        <v>21</v>
      </c>
      <c r="I3894" s="2" t="s">
        <v>7967</v>
      </c>
      <c r="J3894" s="3" t="str">
        <f>HYPERLINK("https://www.boe.es/gazeta/dias/1821/05/17/pdfs/GMD-1821-139.pdf#page=2","Abrir facsímil")</f>
        <v>Abrir facsímil</v>
      </c>
      <c r="K3894" s="3" t="s">
        <v>23</v>
      </c>
    </row>
    <row r="3895" spans="1:11" ht="42" customHeight="1">
      <c r="A3895" s="2" t="s">
        <v>7965</v>
      </c>
      <c r="B3895" s="2" t="s">
        <v>7966</v>
      </c>
      <c r="C3895" s="2" t="s">
        <v>40</v>
      </c>
      <c r="D3895" s="2" t="s">
        <v>41</v>
      </c>
      <c r="E3895" s="5">
        <v>-28676</v>
      </c>
      <c r="F3895" s="3" t="s">
        <v>534</v>
      </c>
      <c r="G3895" s="3" t="s">
        <v>88</v>
      </c>
      <c r="H3895" s="2" t="s">
        <v>21</v>
      </c>
      <c r="I3895" s="2" t="s">
        <v>7968</v>
      </c>
      <c r="J3895" s="3" t="str">
        <f>HYPERLINK("https://www.boe.es/gazeta/dias/1821/06/26/pdfs/GMD-1821-179.pdf#page=4","Abrir facsímil")</f>
        <v>Abrir facsímil</v>
      </c>
      <c r="K3895" s="3" t="s">
        <v>23</v>
      </c>
    </row>
    <row r="3896" spans="1:11" ht="42" customHeight="1">
      <c r="A3896" s="2" t="s">
        <v>7969</v>
      </c>
      <c r="B3896" s="2" t="s">
        <v>7970</v>
      </c>
      <c r="C3896" s="2" t="s">
        <v>17</v>
      </c>
      <c r="D3896" s="2" t="s">
        <v>18</v>
      </c>
      <c r="E3896" s="5">
        <v>-28729</v>
      </c>
      <c r="F3896" s="3" t="s">
        <v>838</v>
      </c>
      <c r="G3896" s="3" t="s">
        <v>52</v>
      </c>
      <c r="H3896" s="2" t="s">
        <v>21</v>
      </c>
      <c r="I3896" s="2" t="s">
        <v>7971</v>
      </c>
      <c r="J3896" s="3" t="str">
        <f>HYPERLINK("https://www.boe.es/gazeta/dias/1821/05/04/pdfs/GMD-1821-126.pdf#page=2","Abrir facsímil")</f>
        <v>Abrir facsímil</v>
      </c>
      <c r="K3896" s="3" t="s">
        <v>23</v>
      </c>
    </row>
    <row r="3897" spans="1:11" ht="42" customHeight="1">
      <c r="A3897" s="2" t="s">
        <v>7972</v>
      </c>
      <c r="B3897" s="2" t="s">
        <v>7973</v>
      </c>
      <c r="C3897" s="2" t="s">
        <v>17</v>
      </c>
      <c r="D3897" s="2" t="s">
        <v>18</v>
      </c>
      <c r="E3897" s="5">
        <v>-28791</v>
      </c>
      <c r="F3897" s="3" t="s">
        <v>47</v>
      </c>
      <c r="G3897" s="3" t="s">
        <v>293</v>
      </c>
      <c r="H3897" s="2" t="s">
        <v>21</v>
      </c>
      <c r="I3897" s="2" t="s">
        <v>7974</v>
      </c>
      <c r="J3897" s="3" t="str">
        <f>HYPERLINK("https://www.boe.es/gazeta/dias/1821/03/03/pdfs/GGB-1821-62.pdf#page=2","Abrir facsímil")</f>
        <v>Abrir facsímil</v>
      </c>
      <c r="K3897" s="3" t="s">
        <v>23</v>
      </c>
    </row>
    <row r="3898" spans="1:11" ht="42" customHeight="1">
      <c r="A3898" s="2" t="s">
        <v>7975</v>
      </c>
      <c r="B3898" s="2" t="s">
        <v>7976</v>
      </c>
      <c r="C3898" s="2" t="s">
        <v>26</v>
      </c>
      <c r="D3898" s="2" t="s">
        <v>27</v>
      </c>
      <c r="E3898" s="5">
        <v>-28777</v>
      </c>
      <c r="F3898" s="3" t="s">
        <v>1004</v>
      </c>
      <c r="G3898" s="3" t="s">
        <v>43</v>
      </c>
      <c r="H3898" s="2" t="s">
        <v>21</v>
      </c>
      <c r="I3898" s="2" t="s">
        <v>7977</v>
      </c>
      <c r="J3898" s="3" t="str">
        <f>HYPERLINK("https://www.boe.es/gazeta/dias/1821/03/17/pdfs/GMD-1821-76.pdf#page=1","Abrir facsímil")</f>
        <v>Abrir facsímil</v>
      </c>
      <c r="K3898" s="3" t="s">
        <v>23</v>
      </c>
    </row>
    <row r="3899" spans="1:11" ht="42" customHeight="1">
      <c r="A3899" s="2" t="s">
        <v>7978</v>
      </c>
      <c r="B3899" s="2" t="s">
        <v>7979</v>
      </c>
      <c r="C3899" s="2" t="s">
        <v>40</v>
      </c>
      <c r="D3899" s="2" t="s">
        <v>41</v>
      </c>
      <c r="E3899" s="5">
        <v>-28510</v>
      </c>
      <c r="F3899" s="3" t="s">
        <v>83</v>
      </c>
      <c r="G3899" s="3" t="s">
        <v>29</v>
      </c>
      <c r="H3899" s="2" t="s">
        <v>21</v>
      </c>
      <c r="I3899" s="2" t="s">
        <v>7980</v>
      </c>
      <c r="J3899" s="3" t="str">
        <f>HYPERLINK("https://www.boe.es/gazeta/dias/1821/12/09/pdfs/GMD-1821-351.pdf#page=6","Abrir facsímil")</f>
        <v>Abrir facsímil</v>
      </c>
      <c r="K3899" s="3" t="s">
        <v>23</v>
      </c>
    </row>
    <row r="3900" spans="1:11" ht="42" customHeight="1">
      <c r="A3900" s="2" t="s">
        <v>7981</v>
      </c>
      <c r="B3900" s="2" t="s">
        <v>7982</v>
      </c>
      <c r="C3900" s="2" t="s">
        <v>35</v>
      </c>
      <c r="D3900" s="2" t="s">
        <v>27</v>
      </c>
      <c r="E3900" s="5">
        <v>-28678</v>
      </c>
      <c r="F3900" s="3" t="s">
        <v>215</v>
      </c>
      <c r="G3900" s="3" t="s">
        <v>1445</v>
      </c>
      <c r="H3900" s="2" t="s">
        <v>21</v>
      </c>
      <c r="I3900" s="2" t="s">
        <v>7983</v>
      </c>
      <c r="J3900" s="3" t="str">
        <f>HYPERLINK("https://www.boe.es/gazeta/dias/1821/06/24/pdfs/GMD-1821-177.pdf#page=3","Abrir facsímil")</f>
        <v>Abrir facsímil</v>
      </c>
      <c r="K3900" s="3" t="s">
        <v>23</v>
      </c>
    </row>
    <row r="3901" spans="1:11" ht="42" customHeight="1">
      <c r="A3901" s="2" t="s">
        <v>7984</v>
      </c>
      <c r="B3901" s="2" t="s">
        <v>7985</v>
      </c>
      <c r="C3901" s="2" t="s">
        <v>40</v>
      </c>
      <c r="D3901" s="2" t="s">
        <v>41</v>
      </c>
      <c r="E3901" s="5">
        <v>-28730</v>
      </c>
      <c r="F3901" s="3" t="s">
        <v>747</v>
      </c>
      <c r="G3901" s="3" t="s">
        <v>20</v>
      </c>
      <c r="H3901" s="2" t="s">
        <v>21</v>
      </c>
      <c r="I3901" s="2" t="s">
        <v>7986</v>
      </c>
      <c r="J3901" s="3" t="str">
        <f>HYPERLINK("https://www.boe.es/gazeta/dias/1821/05/03/pdfs/GMD-1821-125.pdf#page=3","Abrir facsímil")</f>
        <v>Abrir facsímil</v>
      </c>
      <c r="K3901" s="3" t="s">
        <v>23</v>
      </c>
    </row>
    <row r="3902" spans="1:11" ht="42" customHeight="1">
      <c r="A3902" s="2" t="s">
        <v>7987</v>
      </c>
      <c r="B3902" s="2" t="s">
        <v>7988</v>
      </c>
      <c r="C3902" s="2" t="s">
        <v>35</v>
      </c>
      <c r="D3902" s="2" t="s">
        <v>27</v>
      </c>
      <c r="E3902" s="5">
        <v>-28806</v>
      </c>
      <c r="F3902" s="3" t="s">
        <v>1201</v>
      </c>
      <c r="G3902" s="3" t="s">
        <v>3200</v>
      </c>
      <c r="H3902" s="2" t="s">
        <v>21</v>
      </c>
      <c r="I3902" s="2" t="s">
        <v>7989</v>
      </c>
      <c r="J3902" s="3" t="str">
        <f>HYPERLINK("https://www.boe.es/gazeta/dias/1821/02/16/pdfs/GGB-1821-47.pdf#page=3","Abrir facsímil")</f>
        <v>Abrir facsímil</v>
      </c>
      <c r="K3902" s="3" t="s">
        <v>23</v>
      </c>
    </row>
    <row r="3903" spans="1:11" ht="42" customHeight="1">
      <c r="A3903" s="2" t="s">
        <v>7987</v>
      </c>
      <c r="B3903" s="2" t="s">
        <v>7988</v>
      </c>
      <c r="C3903" s="2" t="s">
        <v>17</v>
      </c>
      <c r="D3903" s="2" t="s">
        <v>18</v>
      </c>
      <c r="E3903" s="5">
        <v>-28781</v>
      </c>
      <c r="F3903" s="3" t="s">
        <v>149</v>
      </c>
      <c r="G3903" s="3" t="s">
        <v>20</v>
      </c>
      <c r="H3903" s="2" t="s">
        <v>21</v>
      </c>
      <c r="I3903" s="2" t="s">
        <v>7990</v>
      </c>
      <c r="J3903" s="3" t="str">
        <f>HYPERLINK("https://www.boe.es/gazeta/dias/1821/03/13/pdfs/GMD-1821-72.pdf#page=3","Abrir facsímil")</f>
        <v>Abrir facsímil</v>
      </c>
      <c r="K3903" s="3" t="s">
        <v>23</v>
      </c>
    </row>
    <row r="3904" spans="1:11" ht="42" customHeight="1">
      <c r="A3904" s="2" t="s">
        <v>7987</v>
      </c>
      <c r="B3904" s="2" t="s">
        <v>7988</v>
      </c>
      <c r="C3904" s="2" t="s">
        <v>35</v>
      </c>
      <c r="D3904" s="2" t="s">
        <v>27</v>
      </c>
      <c r="E3904" s="5">
        <v>-28779</v>
      </c>
      <c r="F3904" s="3" t="s">
        <v>1002</v>
      </c>
      <c r="G3904" s="3" t="s">
        <v>43</v>
      </c>
      <c r="H3904" s="2" t="s">
        <v>21</v>
      </c>
      <c r="I3904" s="2" t="s">
        <v>7991</v>
      </c>
      <c r="J3904" s="3" t="str">
        <f>HYPERLINK("https://www.boe.es/gazeta/dias/1821/03/15/pdfs/GMD-1821-74.pdf#page=1","Abrir facsímil")</f>
        <v>Abrir facsímil</v>
      </c>
      <c r="K3904" s="3" t="s">
        <v>23</v>
      </c>
    </row>
    <row r="3905" spans="1:11" ht="42" customHeight="1">
      <c r="A3905" s="2" t="s">
        <v>7987</v>
      </c>
      <c r="B3905" s="2" t="s">
        <v>7988</v>
      </c>
      <c r="C3905" s="2" t="s">
        <v>40</v>
      </c>
      <c r="D3905" s="2" t="s">
        <v>41</v>
      </c>
      <c r="E3905" s="5">
        <v>-28758</v>
      </c>
      <c r="F3905" s="3" t="s">
        <v>4115</v>
      </c>
      <c r="G3905" s="3" t="s">
        <v>43</v>
      </c>
      <c r="H3905" s="2" t="s">
        <v>21</v>
      </c>
      <c r="I3905" s="2" t="s">
        <v>7992</v>
      </c>
      <c r="J3905" s="3" t="str">
        <f>HYPERLINK("https://www.boe.es/gazeta/dias/1821/04/05/pdfs/GMD-1821-97.pdf#page=1","Abrir facsímil")</f>
        <v>Abrir facsímil</v>
      </c>
      <c r="K3905" s="3" t="s">
        <v>23</v>
      </c>
    </row>
    <row r="3906" spans="1:11" ht="42" customHeight="1">
      <c r="A3906" s="2" t="s">
        <v>7987</v>
      </c>
      <c r="B3906" s="2" t="s">
        <v>7988</v>
      </c>
      <c r="C3906" s="2" t="s">
        <v>70</v>
      </c>
      <c r="D3906" s="2" t="s">
        <v>27</v>
      </c>
      <c r="E3906" s="5">
        <v>-28734</v>
      </c>
      <c r="F3906" s="3" t="s">
        <v>1553</v>
      </c>
      <c r="G3906" s="3" t="s">
        <v>2625</v>
      </c>
      <c r="H3906" s="2" t="s">
        <v>21</v>
      </c>
      <c r="I3906" s="2" t="s">
        <v>7993</v>
      </c>
      <c r="J3906" s="3" t="str">
        <f>HYPERLINK("https://www.boe.es/gazeta/dias/1821/04/29/pdfs/GMD-1821-121.pdf#page=2","Abrir facsímil")</f>
        <v>Abrir facsímil</v>
      </c>
      <c r="K3906" s="3" t="s">
        <v>23</v>
      </c>
    </row>
    <row r="3907" spans="1:11" ht="42" customHeight="1">
      <c r="A3907" s="2" t="s">
        <v>7987</v>
      </c>
      <c r="B3907" s="2" t="s">
        <v>7988</v>
      </c>
      <c r="C3907" s="2" t="s">
        <v>17</v>
      </c>
      <c r="D3907" s="2" t="s">
        <v>18</v>
      </c>
      <c r="E3907" s="5">
        <v>-28728</v>
      </c>
      <c r="F3907" s="3" t="s">
        <v>1038</v>
      </c>
      <c r="G3907" s="3" t="s">
        <v>52</v>
      </c>
      <c r="H3907" s="2" t="s">
        <v>21</v>
      </c>
      <c r="I3907" s="2" t="s">
        <v>7994</v>
      </c>
      <c r="J3907" s="3" t="str">
        <f>HYPERLINK("https://www.boe.es/gazeta/dias/1821/05/05/pdfs/GMD-1821-127.pdf#page=2","Abrir facsímil")</f>
        <v>Abrir facsímil</v>
      </c>
      <c r="K3907" s="3" t="s">
        <v>23</v>
      </c>
    </row>
    <row r="3908" spans="1:11" ht="42" customHeight="1">
      <c r="A3908" s="2" t="s">
        <v>7987</v>
      </c>
      <c r="B3908" s="2" t="s">
        <v>7988</v>
      </c>
      <c r="C3908" s="2" t="s">
        <v>70</v>
      </c>
      <c r="D3908" s="2" t="s">
        <v>27</v>
      </c>
      <c r="E3908" s="5">
        <v>-28708</v>
      </c>
      <c r="F3908" s="3" t="s">
        <v>528</v>
      </c>
      <c r="G3908" s="3" t="s">
        <v>1716</v>
      </c>
      <c r="H3908" s="2" t="s">
        <v>21</v>
      </c>
      <c r="I3908" s="2" t="s">
        <v>7995</v>
      </c>
      <c r="J3908" s="3" t="str">
        <f>HYPERLINK("https://www.boe.es/gazeta/dias/1821/05/25/pdfs/GMD-1821-147.pdf#page=2","Abrir facsímil")</f>
        <v>Abrir facsímil</v>
      </c>
      <c r="K3908" s="3" t="s">
        <v>23</v>
      </c>
    </row>
    <row r="3909" spans="1:11" ht="42" customHeight="1">
      <c r="A3909" s="2" t="s">
        <v>7987</v>
      </c>
      <c r="B3909" s="2" t="s">
        <v>7988</v>
      </c>
      <c r="C3909" s="2" t="s">
        <v>35</v>
      </c>
      <c r="D3909" s="2" t="s">
        <v>27</v>
      </c>
      <c r="E3909" s="5">
        <v>-28591</v>
      </c>
      <c r="F3909" s="3" t="s">
        <v>3638</v>
      </c>
      <c r="G3909" s="3" t="s">
        <v>52</v>
      </c>
      <c r="H3909" s="2" t="s">
        <v>21</v>
      </c>
      <c r="I3909" s="2" t="s">
        <v>7996</v>
      </c>
      <c r="J3909" s="3" t="str">
        <f>HYPERLINK("https://www.boe.es/gazeta/dias/1821/09/19/pdfs/GMD-1821-267.pdf#page=2","Abrir facsímil")</f>
        <v>Abrir facsímil</v>
      </c>
      <c r="K3909" s="3" t="s">
        <v>23</v>
      </c>
    </row>
    <row r="3910" spans="1:11" ht="42" customHeight="1">
      <c r="A3910" s="2" t="s">
        <v>7997</v>
      </c>
      <c r="B3910" s="2" t="s">
        <v>7998</v>
      </c>
      <c r="C3910" s="2" t="s">
        <v>40</v>
      </c>
      <c r="D3910" s="2" t="s">
        <v>41</v>
      </c>
      <c r="E3910" s="5">
        <v>-28814</v>
      </c>
      <c r="F3910" s="3" t="s">
        <v>2090</v>
      </c>
      <c r="G3910" s="3" t="s">
        <v>3053</v>
      </c>
      <c r="H3910" s="2" t="s">
        <v>21</v>
      </c>
      <c r="I3910" s="2" t="s">
        <v>7999</v>
      </c>
      <c r="J3910" s="3" t="str">
        <f>HYPERLINK("https://www.boe.es/gazeta/dias/1821/02/08/pdfs/GGB-1821-39.pdf#page=3","Abrir facsímil")</f>
        <v>Abrir facsímil</v>
      </c>
      <c r="K3910" s="3" t="s">
        <v>23</v>
      </c>
    </row>
    <row r="3911" spans="1:11" ht="42" customHeight="1">
      <c r="A3911" s="2" t="s">
        <v>8000</v>
      </c>
      <c r="B3911" s="2" t="s">
        <v>8001</v>
      </c>
      <c r="C3911" s="2" t="s">
        <v>17</v>
      </c>
      <c r="D3911" s="2" t="s">
        <v>18</v>
      </c>
      <c r="E3911" s="5">
        <v>-28809</v>
      </c>
      <c r="F3911" s="3" t="s">
        <v>1173</v>
      </c>
      <c r="G3911" s="3" t="s">
        <v>52</v>
      </c>
      <c r="H3911" s="2" t="s">
        <v>21</v>
      </c>
      <c r="I3911" s="2" t="s">
        <v>8002</v>
      </c>
      <c r="J3911" s="3" t="str">
        <f>HYPERLINK("https://www.boe.es/gazeta/dias/1821/02/13/pdfs/GGB-1821-44.pdf#page=2","Abrir facsímil")</f>
        <v>Abrir facsímil</v>
      </c>
      <c r="K3911" s="3" t="s">
        <v>23</v>
      </c>
    </row>
    <row r="3912" spans="1:11" ht="42" customHeight="1">
      <c r="A3912" s="2" t="s">
        <v>8000</v>
      </c>
      <c r="B3912" s="2" t="s">
        <v>8001</v>
      </c>
      <c r="C3912" s="2" t="s">
        <v>17</v>
      </c>
      <c r="D3912" s="2" t="s">
        <v>18</v>
      </c>
      <c r="E3912" s="5">
        <v>-28804</v>
      </c>
      <c r="F3912" s="3" t="s">
        <v>1580</v>
      </c>
      <c r="G3912" s="3" t="s">
        <v>20</v>
      </c>
      <c r="H3912" s="2" t="s">
        <v>21</v>
      </c>
      <c r="I3912" s="2" t="s">
        <v>8003</v>
      </c>
      <c r="J3912" s="3" t="str">
        <f>HYPERLINK("https://www.boe.es/gazeta/dias/1821/02/18/pdfs/GGB-1821-49.pdf#page=3","Abrir facsímil")</f>
        <v>Abrir facsímil</v>
      </c>
      <c r="K3912" s="3" t="s">
        <v>23</v>
      </c>
    </row>
    <row r="3913" spans="1:11" ht="42" customHeight="1">
      <c r="A3913" s="2" t="s">
        <v>8000</v>
      </c>
      <c r="B3913" s="2" t="s">
        <v>8001</v>
      </c>
      <c r="C3913" s="2" t="s">
        <v>17</v>
      </c>
      <c r="D3913" s="2" t="s">
        <v>18</v>
      </c>
      <c r="E3913" s="5">
        <v>-28784</v>
      </c>
      <c r="F3913" s="3" t="s">
        <v>451</v>
      </c>
      <c r="G3913" s="3" t="s">
        <v>52</v>
      </c>
      <c r="H3913" s="2" t="s">
        <v>21</v>
      </c>
      <c r="I3913" s="2" t="s">
        <v>8004</v>
      </c>
      <c r="J3913" s="3" t="str">
        <f>HYPERLINK("https://www.boe.es/gazeta/dias/1821/03/10/pdfs/GGB-1821-69.pdf#page=2","Abrir facsímil")</f>
        <v>Abrir facsímil</v>
      </c>
      <c r="K3913" s="3" t="s">
        <v>23</v>
      </c>
    </row>
    <row r="3914" spans="1:11" ht="42" customHeight="1">
      <c r="A3914" s="2" t="s">
        <v>8005</v>
      </c>
      <c r="B3914" s="2" t="s">
        <v>8005</v>
      </c>
      <c r="C3914" s="2" t="s">
        <v>26</v>
      </c>
      <c r="D3914" s="2" t="s">
        <v>27</v>
      </c>
      <c r="E3914" s="5">
        <v>-28531</v>
      </c>
      <c r="F3914" s="3" t="s">
        <v>365</v>
      </c>
      <c r="G3914" s="3" t="s">
        <v>52</v>
      </c>
      <c r="H3914" s="2" t="s">
        <v>21</v>
      </c>
      <c r="I3914" s="2" t="s">
        <v>8006</v>
      </c>
      <c r="J3914" s="3" t="str">
        <f>HYPERLINK("https://www.boe.es/gazeta/dias/1821/11/18/pdfs/GMD-1821-329.pdf#page=2","Abrir facsímil")</f>
        <v>Abrir facsímil</v>
      </c>
      <c r="K3914" s="3" t="s">
        <v>23</v>
      </c>
    </row>
    <row r="3915" spans="1:11" ht="42" customHeight="1">
      <c r="A3915" s="2" t="s">
        <v>8007</v>
      </c>
      <c r="B3915" s="2" t="s">
        <v>8008</v>
      </c>
      <c r="C3915" s="2" t="s">
        <v>40</v>
      </c>
      <c r="D3915" s="2" t="s">
        <v>41</v>
      </c>
      <c r="E3915" s="5">
        <v>-28722</v>
      </c>
      <c r="F3915" s="3" t="s">
        <v>623</v>
      </c>
      <c r="G3915" s="3" t="s">
        <v>43</v>
      </c>
      <c r="H3915" s="2" t="s">
        <v>21</v>
      </c>
      <c r="I3915" s="2" t="s">
        <v>8009</v>
      </c>
      <c r="J3915" s="3" t="str">
        <f>HYPERLINK("https://www.boe.es/gazeta/dias/1821/05/11/pdfs/GMD-1821-133.pdf#page=1","Abrir facsímil")</f>
        <v>Abrir facsímil</v>
      </c>
      <c r="K3915" s="3" t="s">
        <v>23</v>
      </c>
    </row>
    <row r="3916" spans="1:11" ht="42" customHeight="1">
      <c r="A3916" s="2" t="s">
        <v>8010</v>
      </c>
      <c r="B3916" s="2" t="s">
        <v>8010</v>
      </c>
      <c r="C3916" s="2" t="s">
        <v>17</v>
      </c>
      <c r="D3916" s="2" t="s">
        <v>18</v>
      </c>
      <c r="E3916" s="5">
        <v>-28710</v>
      </c>
      <c r="F3916" s="3" t="s">
        <v>375</v>
      </c>
      <c r="G3916" s="3" t="s">
        <v>88</v>
      </c>
      <c r="H3916" s="2" t="s">
        <v>21</v>
      </c>
      <c r="I3916" s="2" t="s">
        <v>8011</v>
      </c>
      <c r="J3916" s="3" t="str">
        <f>HYPERLINK("https://www.boe.es/gazeta/dias/1821/05/23/pdfs/GMD-1821-145.pdf#page=4","Abrir facsímil")</f>
        <v>Abrir facsímil</v>
      </c>
      <c r="K3916" s="3" t="s">
        <v>23</v>
      </c>
    </row>
    <row r="3917" spans="1:11" ht="42" customHeight="1">
      <c r="A3917" s="2" t="s">
        <v>8012</v>
      </c>
      <c r="B3917" s="2" t="s">
        <v>8013</v>
      </c>
      <c r="C3917" s="2" t="s">
        <v>70</v>
      </c>
      <c r="D3917" s="2" t="s">
        <v>27</v>
      </c>
      <c r="E3917" s="5">
        <v>-28598</v>
      </c>
      <c r="F3917" s="3" t="s">
        <v>1206</v>
      </c>
      <c r="G3917" s="3" t="s">
        <v>52</v>
      </c>
      <c r="H3917" s="2" t="s">
        <v>21</v>
      </c>
      <c r="I3917" s="2" t="s">
        <v>8014</v>
      </c>
      <c r="J3917" s="3" t="str">
        <f>HYPERLINK("https://www.boe.es/gazeta/dias/1821/09/12/pdfs/GMD-1821-260.pdf#page=2","Abrir facsímil")</f>
        <v>Abrir facsímil</v>
      </c>
      <c r="K3917" s="3" t="s">
        <v>23</v>
      </c>
    </row>
    <row r="3918" spans="1:11" ht="42" customHeight="1">
      <c r="A3918" s="2" t="s">
        <v>8015</v>
      </c>
      <c r="B3918" s="2" t="s">
        <v>8015</v>
      </c>
      <c r="C3918" s="2" t="s">
        <v>26</v>
      </c>
      <c r="D3918" s="2" t="s">
        <v>27</v>
      </c>
      <c r="E3918" s="5">
        <v>-28595</v>
      </c>
      <c r="F3918" s="3" t="s">
        <v>1621</v>
      </c>
      <c r="G3918" s="3" t="s">
        <v>52</v>
      </c>
      <c r="H3918" s="2" t="s">
        <v>21</v>
      </c>
      <c r="I3918" s="2" t="s">
        <v>8016</v>
      </c>
      <c r="J3918" s="3" t="str">
        <f>HYPERLINK("https://www.boe.es/gazeta/dias/1821/09/15/pdfs/GMD-1821-263.pdf#page=2","Abrir facsímil")</f>
        <v>Abrir facsímil</v>
      </c>
      <c r="K3918" s="3" t="s">
        <v>23</v>
      </c>
    </row>
    <row r="3919" spans="1:11" ht="42" customHeight="1">
      <c r="A3919" s="2" t="s">
        <v>8015</v>
      </c>
      <c r="B3919" s="2" t="s">
        <v>8015</v>
      </c>
      <c r="C3919" s="2" t="s">
        <v>35</v>
      </c>
      <c r="D3919" s="2" t="s">
        <v>27</v>
      </c>
      <c r="E3919" s="5">
        <v>-28565</v>
      </c>
      <c r="F3919" s="3" t="s">
        <v>326</v>
      </c>
      <c r="G3919" s="3" t="s">
        <v>52</v>
      </c>
      <c r="H3919" s="2" t="s">
        <v>21</v>
      </c>
      <c r="I3919" s="2" t="s">
        <v>8017</v>
      </c>
      <c r="J3919" s="3" t="str">
        <f>HYPERLINK("https://www.boe.es/gazeta/dias/1821/10/15/pdfs/GMD-1821-294.pdf#page=2","Abrir facsímil")</f>
        <v>Abrir facsímil</v>
      </c>
      <c r="K3919" s="3" t="s">
        <v>23</v>
      </c>
    </row>
    <row r="3920" spans="1:11" ht="42" customHeight="1">
      <c r="A3920" s="2" t="s">
        <v>8018</v>
      </c>
      <c r="B3920" s="2" t="s">
        <v>8019</v>
      </c>
      <c r="C3920" s="2" t="s">
        <v>17</v>
      </c>
      <c r="D3920" s="2" t="s">
        <v>18</v>
      </c>
      <c r="E3920" s="5">
        <v>-28636</v>
      </c>
      <c r="F3920" s="3" t="s">
        <v>122</v>
      </c>
      <c r="G3920" s="3" t="s">
        <v>88</v>
      </c>
      <c r="H3920" s="2" t="s">
        <v>21</v>
      </c>
      <c r="I3920" s="2" t="s">
        <v>8020</v>
      </c>
      <c r="J3920" s="3" t="str">
        <f>HYPERLINK("https://www.boe.es/gazeta/dias/1821/08/05/pdfs/GMD-1821-221.pdf#page=4","Abrir facsímil")</f>
        <v>Abrir facsímil</v>
      </c>
      <c r="K3920" s="3" t="s">
        <v>23</v>
      </c>
    </row>
    <row r="3921" spans="1:11" ht="42" customHeight="1">
      <c r="A3921" s="2" t="s">
        <v>8021</v>
      </c>
      <c r="B3921" s="2" t="s">
        <v>8021</v>
      </c>
      <c r="C3921" s="2" t="s">
        <v>40</v>
      </c>
      <c r="D3921" s="2" t="s">
        <v>41</v>
      </c>
      <c r="E3921" s="5">
        <v>-28674</v>
      </c>
      <c r="F3921" s="3" t="s">
        <v>536</v>
      </c>
      <c r="G3921" s="3" t="s">
        <v>537</v>
      </c>
      <c r="H3921" s="2" t="s">
        <v>21</v>
      </c>
      <c r="I3921" s="2" t="s">
        <v>8022</v>
      </c>
      <c r="J3921" s="3" t="str">
        <f>HYPERLINK("https://www.boe.es/gazeta/dias/1821/06/28/pdfs/GMD-1821-181.pdf#page=2","Abrir facsímil")</f>
        <v>Abrir facsímil</v>
      </c>
      <c r="K3921" s="3" t="s">
        <v>23</v>
      </c>
    </row>
    <row r="3922" spans="1:11" ht="42" customHeight="1">
      <c r="A3922" s="2" t="s">
        <v>8021</v>
      </c>
      <c r="B3922" s="2" t="s">
        <v>8021</v>
      </c>
      <c r="C3922" s="2" t="s">
        <v>35</v>
      </c>
      <c r="D3922" s="2" t="s">
        <v>27</v>
      </c>
      <c r="E3922" s="5">
        <v>-28671</v>
      </c>
      <c r="F3922" s="3" t="s">
        <v>5059</v>
      </c>
      <c r="G3922" s="3" t="s">
        <v>52</v>
      </c>
      <c r="H3922" s="2" t="s">
        <v>21</v>
      </c>
      <c r="I3922" s="2" t="s">
        <v>8023</v>
      </c>
      <c r="J3922" s="3" t="str">
        <f>HYPERLINK("https://www.boe.es/gazeta/dias/1821/07/01/pdfs/GMD-1821-185.pdf#page=2","Abrir facsímil")</f>
        <v>Abrir facsímil</v>
      </c>
      <c r="K3922" s="3" t="s">
        <v>23</v>
      </c>
    </row>
    <row r="3923" spans="1:11" ht="42" customHeight="1">
      <c r="A3923" s="2" t="s">
        <v>8021</v>
      </c>
      <c r="B3923" s="2" t="s">
        <v>8021</v>
      </c>
      <c r="C3923" s="2" t="s">
        <v>40</v>
      </c>
      <c r="D3923" s="2" t="s">
        <v>41</v>
      </c>
      <c r="E3923" s="5">
        <v>-28655</v>
      </c>
      <c r="F3923" s="3" t="s">
        <v>2530</v>
      </c>
      <c r="G3923" s="3" t="s">
        <v>52</v>
      </c>
      <c r="H3923" s="2" t="s">
        <v>21</v>
      </c>
      <c r="I3923" s="2" t="s">
        <v>8024</v>
      </c>
      <c r="J3923" s="3" t="str">
        <f>HYPERLINK("https://www.boe.es/gazeta/dias/1821/07/17/pdfs/GMD-1821-202.pdf#page=2","Abrir facsímil")</f>
        <v>Abrir facsímil</v>
      </c>
      <c r="K3923" s="3" t="s">
        <v>23</v>
      </c>
    </row>
    <row r="3924" spans="1:11" ht="42" customHeight="1">
      <c r="A3924" s="2" t="s">
        <v>8021</v>
      </c>
      <c r="B3924" s="2" t="s">
        <v>8021</v>
      </c>
      <c r="C3924" s="2" t="s">
        <v>70</v>
      </c>
      <c r="D3924" s="2" t="s">
        <v>27</v>
      </c>
      <c r="E3924" s="5">
        <v>-28626</v>
      </c>
      <c r="F3924" s="3" t="s">
        <v>468</v>
      </c>
      <c r="G3924" s="3" t="s">
        <v>20</v>
      </c>
      <c r="H3924" s="2" t="s">
        <v>21</v>
      </c>
      <c r="I3924" s="2" t="s">
        <v>8025</v>
      </c>
      <c r="J3924" s="3" t="str">
        <f>HYPERLINK("https://www.boe.es/gazeta/dias/1821/08/15/pdfs/GMD-1821-232.pdf#page=3","Abrir facsímil")</f>
        <v>Abrir facsímil</v>
      </c>
      <c r="K3924" s="3" t="s">
        <v>23</v>
      </c>
    </row>
    <row r="3925" spans="1:11" ht="42" customHeight="1">
      <c r="A3925" s="2" t="s">
        <v>8026</v>
      </c>
      <c r="B3925" s="2" t="s">
        <v>8026</v>
      </c>
      <c r="C3925" s="2" t="s">
        <v>17</v>
      </c>
      <c r="D3925" s="2" t="s">
        <v>18</v>
      </c>
      <c r="E3925" s="5">
        <v>-28565</v>
      </c>
      <c r="F3925" s="3" t="s">
        <v>326</v>
      </c>
      <c r="G3925" s="3" t="s">
        <v>162</v>
      </c>
      <c r="H3925" s="2" t="s">
        <v>21</v>
      </c>
      <c r="I3925" s="2" t="s">
        <v>8027</v>
      </c>
      <c r="J3925" s="3" t="str">
        <f>HYPERLINK("https://www.boe.es/gazeta/dias/1821/10/15/pdfs/GMD-1821-294.pdf#page=5","Abrir facsímil")</f>
        <v>Abrir facsímil</v>
      </c>
      <c r="K3925" s="3" t="s">
        <v>23</v>
      </c>
    </row>
    <row r="3926" spans="1:11" ht="42" customHeight="1">
      <c r="A3926" s="2" t="s">
        <v>8028</v>
      </c>
      <c r="B3926" s="2" t="s">
        <v>8028</v>
      </c>
      <c r="C3926" s="2" t="s">
        <v>174</v>
      </c>
      <c r="D3926" s="2" t="s">
        <v>27</v>
      </c>
      <c r="E3926" s="5">
        <v>-28767</v>
      </c>
      <c r="F3926" s="3" t="s">
        <v>1439</v>
      </c>
      <c r="G3926" s="3" t="s">
        <v>52</v>
      </c>
      <c r="H3926" s="2" t="s">
        <v>21</v>
      </c>
      <c r="I3926" s="2" t="s">
        <v>8029</v>
      </c>
      <c r="J3926" s="3" t="str">
        <f>HYPERLINK("https://www.boe.es/gazeta/dias/1821/03/27/pdfs/GMD-1821-87.pdf#page=2","Abrir facsímil")</f>
        <v>Abrir facsímil</v>
      </c>
      <c r="K3926" s="3" t="s">
        <v>23</v>
      </c>
    </row>
    <row r="3927" spans="1:11" ht="42" customHeight="1">
      <c r="A3927" s="2" t="s">
        <v>8030</v>
      </c>
      <c r="B3927" s="2" t="s">
        <v>8030</v>
      </c>
      <c r="C3927" s="2" t="s">
        <v>26</v>
      </c>
      <c r="D3927" s="2" t="s">
        <v>27</v>
      </c>
      <c r="E3927" s="5">
        <v>-28789</v>
      </c>
      <c r="F3927" s="3" t="s">
        <v>36</v>
      </c>
      <c r="G3927" s="3" t="s">
        <v>52</v>
      </c>
      <c r="H3927" s="2" t="s">
        <v>21</v>
      </c>
      <c r="I3927" s="2" t="s">
        <v>8031</v>
      </c>
      <c r="J3927" s="3" t="str">
        <f>HYPERLINK("https://www.boe.es/gazeta/dias/1821/03/05/pdfs/GGB-1821-64.pdf#page=2","Abrir facsímil")</f>
        <v>Abrir facsímil</v>
      </c>
      <c r="K3927" s="3" t="s">
        <v>23</v>
      </c>
    </row>
    <row r="3928" spans="1:11" ht="42" customHeight="1">
      <c r="A3928" s="2" t="s">
        <v>8032</v>
      </c>
      <c r="B3928" s="2" t="s">
        <v>8033</v>
      </c>
      <c r="C3928" s="2" t="s">
        <v>114</v>
      </c>
      <c r="D3928" s="2" t="s">
        <v>27</v>
      </c>
      <c r="E3928" s="5">
        <v>-28793</v>
      </c>
      <c r="F3928" s="3" t="s">
        <v>157</v>
      </c>
      <c r="G3928" s="3" t="s">
        <v>29</v>
      </c>
      <c r="H3928" s="2" t="s">
        <v>21</v>
      </c>
      <c r="I3928" s="2" t="s">
        <v>8034</v>
      </c>
      <c r="J3928" s="3" t="str">
        <f>HYPERLINK("https://www.boe.es/gazeta/dias/1821/03/01/pdfs/GGB-1821-60.pdf#page=6","Abrir facsímil")</f>
        <v>Abrir facsímil</v>
      </c>
      <c r="K3928" s="3" t="s">
        <v>23</v>
      </c>
    </row>
    <row r="3929" spans="1:11" ht="42" customHeight="1">
      <c r="A3929" s="2" t="s">
        <v>8035</v>
      </c>
      <c r="B3929" s="2" t="s">
        <v>8035</v>
      </c>
      <c r="C3929" s="2" t="s">
        <v>70</v>
      </c>
      <c r="D3929" s="2" t="s">
        <v>27</v>
      </c>
      <c r="E3929" s="5">
        <v>-28728</v>
      </c>
      <c r="F3929" s="3" t="s">
        <v>1038</v>
      </c>
      <c r="G3929" s="3" t="s">
        <v>88</v>
      </c>
      <c r="H3929" s="2" t="s">
        <v>21</v>
      </c>
      <c r="I3929" s="2" t="s">
        <v>8036</v>
      </c>
      <c r="J3929" s="3" t="str">
        <f>HYPERLINK("https://www.boe.es/gazeta/dias/1821/05/05/pdfs/GMD-1821-127.pdf#page=4","Abrir facsímil")</f>
        <v>Abrir facsímil</v>
      </c>
      <c r="K3929" s="3" t="s">
        <v>23</v>
      </c>
    </row>
    <row r="3930" spans="1:11" ht="42" customHeight="1">
      <c r="A3930" s="2" t="s">
        <v>8037</v>
      </c>
      <c r="B3930" s="2" t="s">
        <v>8037</v>
      </c>
      <c r="C3930" s="2" t="s">
        <v>26</v>
      </c>
      <c r="D3930" s="2" t="s">
        <v>27</v>
      </c>
      <c r="E3930" s="5">
        <v>-28796</v>
      </c>
      <c r="F3930" s="3" t="s">
        <v>1421</v>
      </c>
      <c r="G3930" s="3" t="s">
        <v>1422</v>
      </c>
      <c r="H3930" s="2" t="s">
        <v>21</v>
      </c>
      <c r="I3930" s="2" t="s">
        <v>8038</v>
      </c>
      <c r="J3930" s="3" t="str">
        <f>HYPERLINK("https://www.boe.es/gazeta/dias/1821/02/26/pdfs/GGB-1821-57.pdf#page=3","Abrir facsímil")</f>
        <v>Abrir facsímil</v>
      </c>
      <c r="K3930" s="3" t="s">
        <v>23</v>
      </c>
    </row>
    <row r="3931" spans="1:11" ht="42" customHeight="1">
      <c r="A3931" s="2" t="s">
        <v>8037</v>
      </c>
      <c r="B3931" s="2" t="s">
        <v>8037</v>
      </c>
      <c r="C3931" s="2" t="s">
        <v>26</v>
      </c>
      <c r="D3931" s="2" t="s">
        <v>27</v>
      </c>
      <c r="E3931" s="5">
        <v>-28784</v>
      </c>
      <c r="F3931" s="3" t="s">
        <v>451</v>
      </c>
      <c r="G3931" s="3" t="s">
        <v>43</v>
      </c>
      <c r="H3931" s="2" t="s">
        <v>21</v>
      </c>
      <c r="I3931" s="2" t="s">
        <v>8039</v>
      </c>
      <c r="J3931" s="3" t="str">
        <f>HYPERLINK("https://www.boe.es/gazeta/dias/1821/03/10/pdfs/GGB-1821-69.pdf#page=1","Abrir facsímil")</f>
        <v>Abrir facsímil</v>
      </c>
      <c r="K3931" s="3" t="s">
        <v>23</v>
      </c>
    </row>
    <row r="3932" spans="1:11" ht="42" customHeight="1">
      <c r="A3932" s="2" t="s">
        <v>8037</v>
      </c>
      <c r="B3932" s="2" t="s">
        <v>8037</v>
      </c>
      <c r="C3932" s="2" t="s">
        <v>40</v>
      </c>
      <c r="D3932" s="2" t="s">
        <v>41</v>
      </c>
      <c r="E3932" s="5">
        <v>-28781</v>
      </c>
      <c r="F3932" s="3" t="s">
        <v>149</v>
      </c>
      <c r="G3932" s="3" t="s">
        <v>52</v>
      </c>
      <c r="H3932" s="2" t="s">
        <v>21</v>
      </c>
      <c r="I3932" s="2" t="s">
        <v>8040</v>
      </c>
      <c r="J3932" s="3" t="str">
        <f>HYPERLINK("https://www.boe.es/gazeta/dias/1821/03/13/pdfs/GMD-1821-72.pdf#page=2","Abrir facsímil")</f>
        <v>Abrir facsímil</v>
      </c>
      <c r="K3932" s="3" t="s">
        <v>23</v>
      </c>
    </row>
    <row r="3933" spans="1:11" ht="42" customHeight="1">
      <c r="A3933" s="2" t="s">
        <v>8037</v>
      </c>
      <c r="B3933" s="2" t="s">
        <v>8037</v>
      </c>
      <c r="C3933" s="2" t="s">
        <v>70</v>
      </c>
      <c r="D3933" s="2" t="s">
        <v>27</v>
      </c>
      <c r="E3933" s="5">
        <v>-28774</v>
      </c>
      <c r="F3933" s="3" t="s">
        <v>1221</v>
      </c>
      <c r="G3933" s="3" t="s">
        <v>52</v>
      </c>
      <c r="H3933" s="2" t="s">
        <v>21</v>
      </c>
      <c r="I3933" s="2" t="s">
        <v>8041</v>
      </c>
      <c r="J3933" s="3" t="str">
        <f>HYPERLINK("https://www.boe.es/gazeta/dias/1821/03/20/pdfs/GMD-1821-79.pdf#page=2","Abrir facsímil")</f>
        <v>Abrir facsímil</v>
      </c>
      <c r="K3933" s="3" t="s">
        <v>23</v>
      </c>
    </row>
    <row r="3934" spans="1:11" ht="42" customHeight="1">
      <c r="A3934" s="2" t="s">
        <v>8037</v>
      </c>
      <c r="B3934" s="2" t="s">
        <v>8037</v>
      </c>
      <c r="C3934" s="2" t="s">
        <v>17</v>
      </c>
      <c r="D3934" s="2" t="s">
        <v>18</v>
      </c>
      <c r="E3934" s="5">
        <v>-28767</v>
      </c>
      <c r="F3934" s="3" t="s">
        <v>1439</v>
      </c>
      <c r="G3934" s="3" t="s">
        <v>3737</v>
      </c>
      <c r="H3934" s="2" t="s">
        <v>21</v>
      </c>
      <c r="I3934" s="2" t="s">
        <v>8042</v>
      </c>
      <c r="J3934" s="3" t="str">
        <f>HYPERLINK("https://www.boe.es/gazeta/dias/1821/03/27/pdfs/GMD-1821-87.pdf#page=4","Abrir facsímil")</f>
        <v>Abrir facsímil</v>
      </c>
      <c r="K3934" s="3" t="s">
        <v>23</v>
      </c>
    </row>
    <row r="3935" spans="1:11" ht="42" customHeight="1">
      <c r="A3935" s="2" t="s">
        <v>8037</v>
      </c>
      <c r="B3935" s="2" t="s">
        <v>8037</v>
      </c>
      <c r="C3935" s="2" t="s">
        <v>70</v>
      </c>
      <c r="D3935" s="2" t="s">
        <v>27</v>
      </c>
      <c r="E3935" s="5">
        <v>-28752</v>
      </c>
      <c r="F3935" s="3" t="s">
        <v>1012</v>
      </c>
      <c r="G3935" s="3" t="s">
        <v>1013</v>
      </c>
      <c r="H3935" s="2" t="s">
        <v>21</v>
      </c>
      <c r="I3935" s="2" t="s">
        <v>8043</v>
      </c>
      <c r="J3935" s="3" t="str">
        <f>HYPERLINK("https://www.boe.es/gazeta/dias/1821/04/11/pdfs/GMD-1821-103.pdf#page=3","Abrir facsímil")</f>
        <v>Abrir facsímil</v>
      </c>
      <c r="K3935" s="3" t="s">
        <v>23</v>
      </c>
    </row>
    <row r="3936" spans="1:11" ht="42" customHeight="1">
      <c r="A3936" s="2" t="s">
        <v>8044</v>
      </c>
      <c r="B3936" s="2" t="s">
        <v>8044</v>
      </c>
      <c r="C3936" s="2" t="s">
        <v>70</v>
      </c>
      <c r="D3936" s="2" t="s">
        <v>27</v>
      </c>
      <c r="E3936" s="5">
        <v>-28746</v>
      </c>
      <c r="F3936" s="3" t="s">
        <v>687</v>
      </c>
      <c r="G3936" s="3" t="s">
        <v>52</v>
      </c>
      <c r="H3936" s="2" t="s">
        <v>21</v>
      </c>
      <c r="I3936" s="2" t="s">
        <v>8045</v>
      </c>
      <c r="J3936" s="3" t="str">
        <f>HYPERLINK("https://www.boe.es/gazeta/dias/1821/04/17/pdfs/GMD-1821-109.pdf#page=2","Abrir facsímil")</f>
        <v>Abrir facsímil</v>
      </c>
      <c r="K3936" s="3" t="s">
        <v>23</v>
      </c>
    </row>
    <row r="3937" spans="1:11" ht="42" customHeight="1">
      <c r="A3937" s="2" t="s">
        <v>8037</v>
      </c>
      <c r="B3937" s="2" t="s">
        <v>8037</v>
      </c>
      <c r="C3937" s="2" t="s">
        <v>40</v>
      </c>
      <c r="D3937" s="2" t="s">
        <v>41</v>
      </c>
      <c r="E3937" s="5">
        <v>-28743</v>
      </c>
      <c r="F3937" s="3" t="s">
        <v>51</v>
      </c>
      <c r="G3937" s="3" t="s">
        <v>52</v>
      </c>
      <c r="H3937" s="2" t="s">
        <v>21</v>
      </c>
      <c r="I3937" s="2" t="s">
        <v>8046</v>
      </c>
      <c r="J3937" s="3" t="str">
        <f>HYPERLINK("https://www.boe.es/gazeta/dias/1821/04/20/pdfs/GMD-1821-112.pdf#page=2","Abrir facsímil")</f>
        <v>Abrir facsímil</v>
      </c>
      <c r="K3937" s="3" t="s">
        <v>23</v>
      </c>
    </row>
    <row r="3938" spans="1:11" ht="42" customHeight="1">
      <c r="A3938" s="2" t="s">
        <v>8037</v>
      </c>
      <c r="B3938" s="2" t="s">
        <v>8037</v>
      </c>
      <c r="C3938" s="2" t="s">
        <v>40</v>
      </c>
      <c r="D3938" s="2" t="s">
        <v>41</v>
      </c>
      <c r="E3938" s="5">
        <v>-28738</v>
      </c>
      <c r="F3938" s="3" t="s">
        <v>359</v>
      </c>
      <c r="G3938" s="3" t="s">
        <v>52</v>
      </c>
      <c r="H3938" s="2" t="s">
        <v>21</v>
      </c>
      <c r="I3938" s="2" t="s">
        <v>8047</v>
      </c>
      <c r="J3938" s="3" t="str">
        <f>HYPERLINK("https://www.boe.es/gazeta/dias/1821/04/25/pdfs/GMD-1821-117.pdf#page=2","Abrir facsímil")</f>
        <v>Abrir facsímil</v>
      </c>
      <c r="K3938" s="3" t="s">
        <v>23</v>
      </c>
    </row>
    <row r="3939" spans="1:11" ht="42" customHeight="1">
      <c r="A3939" s="2" t="s">
        <v>8037</v>
      </c>
      <c r="B3939" s="2" t="s">
        <v>8037</v>
      </c>
      <c r="C3939" s="2" t="s">
        <v>40</v>
      </c>
      <c r="D3939" s="2" t="s">
        <v>41</v>
      </c>
      <c r="E3939" s="5">
        <v>-28679</v>
      </c>
      <c r="F3939" s="3" t="s">
        <v>213</v>
      </c>
      <c r="G3939" s="3" t="s">
        <v>52</v>
      </c>
      <c r="H3939" s="2" t="s">
        <v>21</v>
      </c>
      <c r="I3939" s="2" t="s">
        <v>8048</v>
      </c>
      <c r="J3939" s="3" t="str">
        <f>HYPERLINK("https://www.boe.es/gazeta/dias/1821/06/23/pdfs/GMD-1821-176.pdf#page=2","Abrir facsímil")</f>
        <v>Abrir facsímil</v>
      </c>
      <c r="K3939" s="3" t="s">
        <v>23</v>
      </c>
    </row>
    <row r="3940" spans="1:11" ht="42" customHeight="1">
      <c r="A3940" s="2" t="s">
        <v>8037</v>
      </c>
      <c r="B3940" s="2" t="s">
        <v>8037</v>
      </c>
      <c r="C3940" s="2" t="s">
        <v>40</v>
      </c>
      <c r="D3940" s="2" t="s">
        <v>41</v>
      </c>
      <c r="E3940" s="5">
        <v>-28670</v>
      </c>
      <c r="F3940" s="3" t="s">
        <v>243</v>
      </c>
      <c r="G3940" s="3" t="s">
        <v>8049</v>
      </c>
      <c r="H3940" s="2" t="s">
        <v>21</v>
      </c>
      <c r="I3940" s="2" t="s">
        <v>8050</v>
      </c>
      <c r="J3940" s="3" t="str">
        <f>HYPERLINK("https://www.boe.es/gazeta/dias/1821/07/02/pdfs/GMD-1821-186.pdf#page=3","Abrir facsímil")</f>
        <v>Abrir facsímil</v>
      </c>
      <c r="K3940" s="3" t="s">
        <v>23</v>
      </c>
    </row>
    <row r="3941" spans="1:11" ht="42" customHeight="1">
      <c r="A3941" s="2" t="s">
        <v>8051</v>
      </c>
      <c r="B3941" s="2" t="s">
        <v>8051</v>
      </c>
      <c r="C3941" s="2" t="s">
        <v>17</v>
      </c>
      <c r="D3941" s="2" t="s">
        <v>18</v>
      </c>
      <c r="E3941" s="5">
        <v>-28663</v>
      </c>
      <c r="F3941" s="3" t="s">
        <v>3032</v>
      </c>
      <c r="G3941" s="3" t="s">
        <v>20</v>
      </c>
      <c r="H3941" s="2" t="s">
        <v>21</v>
      </c>
      <c r="I3941" s="2" t="s">
        <v>8052</v>
      </c>
      <c r="J3941" s="3" t="str">
        <f>HYPERLINK("https://www.boe.es/gazeta/dias/1821/07/09/pdfs/GMD-1821-194.pdf#page=3","Abrir facsímil")</f>
        <v>Abrir facsímil</v>
      </c>
      <c r="K3941" s="3" t="s">
        <v>23</v>
      </c>
    </row>
    <row r="3942" spans="1:11" ht="42" customHeight="1">
      <c r="A3942" s="2" t="s">
        <v>8051</v>
      </c>
      <c r="B3942" s="2" t="s">
        <v>8051</v>
      </c>
      <c r="C3942" s="2" t="s">
        <v>17</v>
      </c>
      <c r="D3942" s="2" t="s">
        <v>18</v>
      </c>
      <c r="E3942" s="5">
        <v>-28656</v>
      </c>
      <c r="F3942" s="3" t="s">
        <v>2399</v>
      </c>
      <c r="G3942" s="3" t="s">
        <v>3208</v>
      </c>
      <c r="H3942" s="2" t="s">
        <v>21</v>
      </c>
      <c r="I3942" s="2" t="s">
        <v>8053</v>
      </c>
      <c r="J3942" s="3" t="str">
        <f>HYPERLINK("https://www.boe.es/gazeta/dias/1821/07/16/pdfs/GMD-1821-201.pdf#page=3","Abrir facsímil")</f>
        <v>Abrir facsímil</v>
      </c>
      <c r="K3942" s="3" t="s">
        <v>23</v>
      </c>
    </row>
    <row r="3943" spans="1:11" ht="42" customHeight="1">
      <c r="A3943" s="2" t="s">
        <v>8037</v>
      </c>
      <c r="B3943" s="2" t="s">
        <v>8037</v>
      </c>
      <c r="C3943" s="2" t="s">
        <v>35</v>
      </c>
      <c r="D3943" s="2" t="s">
        <v>27</v>
      </c>
      <c r="E3943" s="5">
        <v>-28655</v>
      </c>
      <c r="F3943" s="3" t="s">
        <v>2530</v>
      </c>
      <c r="G3943" s="3" t="s">
        <v>52</v>
      </c>
      <c r="H3943" s="2" t="s">
        <v>21</v>
      </c>
      <c r="I3943" s="2" t="s">
        <v>8054</v>
      </c>
      <c r="J3943" s="3" t="str">
        <f>HYPERLINK("https://www.boe.es/gazeta/dias/1821/07/17/pdfs/GMD-1821-202.pdf#page=2","Abrir facsímil")</f>
        <v>Abrir facsímil</v>
      </c>
      <c r="K3943" s="3" t="s">
        <v>23</v>
      </c>
    </row>
    <row r="3944" spans="1:11" ht="42" customHeight="1">
      <c r="A3944" s="2" t="s">
        <v>8037</v>
      </c>
      <c r="B3944" s="2" t="s">
        <v>8037</v>
      </c>
      <c r="C3944" s="2" t="s">
        <v>17</v>
      </c>
      <c r="D3944" s="2" t="s">
        <v>18</v>
      </c>
      <c r="E3944" s="5">
        <v>-28647</v>
      </c>
      <c r="F3944" s="3" t="s">
        <v>1295</v>
      </c>
      <c r="G3944" s="3" t="s">
        <v>20</v>
      </c>
      <c r="H3944" s="2" t="s">
        <v>21</v>
      </c>
      <c r="I3944" s="2" t="s">
        <v>8055</v>
      </c>
      <c r="J3944" s="3" t="str">
        <f>HYPERLINK("https://www.boe.es/gazeta/dias/1821/07/25/pdfs/GMD-1821-210.pdf#page=3","Abrir facsímil")</f>
        <v>Abrir facsímil</v>
      </c>
      <c r="K3944" s="3" t="s">
        <v>23</v>
      </c>
    </row>
    <row r="3945" spans="1:11" ht="42" customHeight="1">
      <c r="A3945" s="2" t="s">
        <v>8037</v>
      </c>
      <c r="B3945" s="2" t="s">
        <v>8037</v>
      </c>
      <c r="C3945" s="2" t="s">
        <v>40</v>
      </c>
      <c r="D3945" s="2" t="s">
        <v>41</v>
      </c>
      <c r="E3945" s="5">
        <v>-28645</v>
      </c>
      <c r="F3945" s="3" t="s">
        <v>2579</v>
      </c>
      <c r="G3945" s="3" t="s">
        <v>52</v>
      </c>
      <c r="H3945" s="2" t="s">
        <v>21</v>
      </c>
      <c r="I3945" s="2" t="s">
        <v>8056</v>
      </c>
      <c r="J3945" s="3" t="str">
        <f>HYPERLINK("https://www.boe.es/gazeta/dias/1821/07/27/pdfs/GMD-1821-212.pdf#page=2","Abrir facsímil")</f>
        <v>Abrir facsímil</v>
      </c>
      <c r="K3945" s="3" t="s">
        <v>23</v>
      </c>
    </row>
    <row r="3946" spans="1:11" ht="42" customHeight="1">
      <c r="A3946" s="2" t="s">
        <v>8037</v>
      </c>
      <c r="B3946" s="2" t="s">
        <v>8037</v>
      </c>
      <c r="C3946" s="2" t="s">
        <v>35</v>
      </c>
      <c r="D3946" s="2" t="s">
        <v>27</v>
      </c>
      <c r="E3946" s="5">
        <v>-28623</v>
      </c>
      <c r="F3946" s="3" t="s">
        <v>2767</v>
      </c>
      <c r="G3946" s="3" t="s">
        <v>52</v>
      </c>
      <c r="H3946" s="2" t="s">
        <v>21</v>
      </c>
      <c r="I3946" s="2" t="s">
        <v>8057</v>
      </c>
      <c r="J3946" s="3" t="str">
        <f>HYPERLINK("https://www.boe.es/gazeta/dias/1821/08/18/pdfs/GMD-1821-235.pdf#page=2","Abrir facsímil")</f>
        <v>Abrir facsímil</v>
      </c>
      <c r="K3946" s="3" t="s">
        <v>23</v>
      </c>
    </row>
    <row r="3947" spans="1:11" ht="42" customHeight="1">
      <c r="A3947" s="2" t="s">
        <v>8037</v>
      </c>
      <c r="B3947" s="2" t="s">
        <v>8037</v>
      </c>
      <c r="C3947" s="2" t="s">
        <v>17</v>
      </c>
      <c r="D3947" s="2" t="s">
        <v>18</v>
      </c>
      <c r="E3947" s="5">
        <v>-28613</v>
      </c>
      <c r="F3947" s="3" t="s">
        <v>178</v>
      </c>
      <c r="G3947" s="3" t="s">
        <v>20</v>
      </c>
      <c r="H3947" s="2" t="s">
        <v>21</v>
      </c>
      <c r="I3947" s="2" t="s">
        <v>8058</v>
      </c>
      <c r="J3947" s="3" t="str">
        <f>HYPERLINK("https://www.boe.es/gazeta/dias/1821/08/28/pdfs/GMD-1821-245.pdf#page=3","Abrir facsímil")</f>
        <v>Abrir facsímil</v>
      </c>
      <c r="K3947" s="3" t="s">
        <v>23</v>
      </c>
    </row>
    <row r="3948" spans="1:11" ht="42" customHeight="1">
      <c r="A3948" s="2" t="s">
        <v>8037</v>
      </c>
      <c r="B3948" s="2" t="s">
        <v>8037</v>
      </c>
      <c r="C3948" s="2" t="s">
        <v>35</v>
      </c>
      <c r="D3948" s="2" t="s">
        <v>27</v>
      </c>
      <c r="E3948" s="5">
        <v>-28608</v>
      </c>
      <c r="F3948" s="3" t="s">
        <v>805</v>
      </c>
      <c r="G3948" s="3" t="s">
        <v>806</v>
      </c>
      <c r="H3948" s="2" t="s">
        <v>21</v>
      </c>
      <c r="I3948" s="2" t="s">
        <v>8059</v>
      </c>
      <c r="J3948" s="3" t="str">
        <f>HYPERLINK("https://www.boe.es/gazeta/dias/1821/09/02/pdfs/GMD-1821-250.pdf#page=2","Abrir facsímil")</f>
        <v>Abrir facsímil</v>
      </c>
      <c r="K3948" s="3" t="s">
        <v>23</v>
      </c>
    </row>
    <row r="3949" spans="1:11" ht="42" customHeight="1">
      <c r="A3949" s="2" t="s">
        <v>8051</v>
      </c>
      <c r="B3949" s="2" t="s">
        <v>8051</v>
      </c>
      <c r="C3949" s="2" t="s">
        <v>40</v>
      </c>
      <c r="D3949" s="2" t="s">
        <v>41</v>
      </c>
      <c r="E3949" s="5">
        <v>-28605</v>
      </c>
      <c r="F3949" s="3" t="s">
        <v>3173</v>
      </c>
      <c r="G3949" s="3" t="s">
        <v>20</v>
      </c>
      <c r="H3949" s="2" t="s">
        <v>21</v>
      </c>
      <c r="I3949" s="2" t="s">
        <v>8060</v>
      </c>
      <c r="J3949" s="3" t="str">
        <f>HYPERLINK("https://www.boe.es/gazeta/dias/1821/09/05/pdfs/GMD-1821-253.pdf#page=3","Abrir facsímil")</f>
        <v>Abrir facsímil</v>
      </c>
      <c r="K3949" s="3" t="s">
        <v>23</v>
      </c>
    </row>
    <row r="3950" spans="1:11" ht="42" customHeight="1">
      <c r="A3950" s="2" t="s">
        <v>8037</v>
      </c>
      <c r="B3950" s="2" t="s">
        <v>8037</v>
      </c>
      <c r="C3950" s="2" t="s">
        <v>40</v>
      </c>
      <c r="D3950" s="2" t="s">
        <v>41</v>
      </c>
      <c r="E3950" s="5">
        <v>-28595</v>
      </c>
      <c r="F3950" s="3" t="s">
        <v>1621</v>
      </c>
      <c r="G3950" s="3" t="s">
        <v>52</v>
      </c>
      <c r="H3950" s="2" t="s">
        <v>21</v>
      </c>
      <c r="I3950" s="2" t="s">
        <v>8061</v>
      </c>
      <c r="J3950" s="3" t="str">
        <f>HYPERLINK("https://www.boe.es/gazeta/dias/1821/09/15/pdfs/GMD-1821-263.pdf#page=2","Abrir facsímil")</f>
        <v>Abrir facsímil</v>
      </c>
      <c r="K3950" s="3" t="s">
        <v>23</v>
      </c>
    </row>
    <row r="3951" spans="1:11" ht="42" customHeight="1">
      <c r="A3951" s="2" t="s">
        <v>8037</v>
      </c>
      <c r="B3951" s="2" t="s">
        <v>8037</v>
      </c>
      <c r="C3951" s="2" t="s">
        <v>17</v>
      </c>
      <c r="D3951" s="2" t="s">
        <v>18</v>
      </c>
      <c r="E3951" s="5">
        <v>-28569</v>
      </c>
      <c r="F3951" s="3" t="s">
        <v>512</v>
      </c>
      <c r="G3951" s="3" t="s">
        <v>52</v>
      </c>
      <c r="H3951" s="2" t="s">
        <v>21</v>
      </c>
      <c r="I3951" s="2" t="s">
        <v>8062</v>
      </c>
      <c r="J3951" s="3" t="str">
        <f>HYPERLINK("https://www.boe.es/gazeta/dias/1821/10/11/pdfs/GMD-1821-290.pdf#page=2","Abrir facsímil")</f>
        <v>Abrir facsímil</v>
      </c>
      <c r="K3951" s="3" t="s">
        <v>23</v>
      </c>
    </row>
    <row r="3952" spans="1:11" ht="42" customHeight="1">
      <c r="A3952" s="2" t="s">
        <v>8051</v>
      </c>
      <c r="B3952" s="2" t="s">
        <v>8051</v>
      </c>
      <c r="C3952" s="2" t="s">
        <v>17</v>
      </c>
      <c r="D3952" s="2" t="s">
        <v>18</v>
      </c>
      <c r="E3952" s="5">
        <v>-28565</v>
      </c>
      <c r="F3952" s="3" t="s">
        <v>326</v>
      </c>
      <c r="G3952" s="3" t="s">
        <v>52</v>
      </c>
      <c r="H3952" s="2" t="s">
        <v>21</v>
      </c>
      <c r="I3952" s="2" t="s">
        <v>8063</v>
      </c>
      <c r="J3952" s="3" t="str">
        <f>HYPERLINK("https://www.boe.es/gazeta/dias/1821/10/15/pdfs/GMD-1821-294.pdf#page=2","Abrir facsímil")</f>
        <v>Abrir facsímil</v>
      </c>
      <c r="K3952" s="3" t="s">
        <v>23</v>
      </c>
    </row>
    <row r="3953" spans="1:11" ht="42" customHeight="1">
      <c r="A3953" s="2" t="s">
        <v>8051</v>
      </c>
      <c r="B3953" s="2" t="s">
        <v>8051</v>
      </c>
      <c r="C3953" s="2" t="s">
        <v>17</v>
      </c>
      <c r="D3953" s="2" t="s">
        <v>18</v>
      </c>
      <c r="E3953" s="5">
        <v>-28564</v>
      </c>
      <c r="F3953" s="3" t="s">
        <v>861</v>
      </c>
      <c r="G3953" s="3" t="s">
        <v>52</v>
      </c>
      <c r="H3953" s="2" t="s">
        <v>21</v>
      </c>
      <c r="I3953" s="2" t="s">
        <v>8064</v>
      </c>
      <c r="J3953" s="3" t="str">
        <f>HYPERLINK("https://www.boe.es/gazeta/dias/1821/10/16/pdfs/GMD-1821-295.pdf#page=2","Abrir facsímil")</f>
        <v>Abrir facsímil</v>
      </c>
      <c r="K3953" s="3" t="s">
        <v>23</v>
      </c>
    </row>
    <row r="3954" spans="1:11" ht="42" customHeight="1">
      <c r="A3954" s="2" t="s">
        <v>8051</v>
      </c>
      <c r="B3954" s="2" t="s">
        <v>8051</v>
      </c>
      <c r="C3954" s="2" t="s">
        <v>35</v>
      </c>
      <c r="D3954" s="2" t="s">
        <v>27</v>
      </c>
      <c r="E3954" s="5">
        <v>-28558</v>
      </c>
      <c r="F3954" s="3" t="s">
        <v>758</v>
      </c>
      <c r="G3954" s="3" t="s">
        <v>52</v>
      </c>
      <c r="H3954" s="2" t="s">
        <v>21</v>
      </c>
      <c r="I3954" s="2" t="s">
        <v>8065</v>
      </c>
      <c r="J3954" s="3" t="str">
        <f>HYPERLINK("https://www.boe.es/gazeta/dias/1821/10/22/pdfs/GMD-1821-301.pdf#page=2","Abrir facsímil")</f>
        <v>Abrir facsímil</v>
      </c>
      <c r="K3954" s="3" t="s">
        <v>23</v>
      </c>
    </row>
    <row r="3955" spans="1:11" ht="42" customHeight="1">
      <c r="A3955" s="2" t="s">
        <v>8051</v>
      </c>
      <c r="B3955" s="2" t="s">
        <v>8051</v>
      </c>
      <c r="C3955" s="2" t="s">
        <v>40</v>
      </c>
      <c r="D3955" s="2" t="s">
        <v>41</v>
      </c>
      <c r="E3955" s="5">
        <v>-28533</v>
      </c>
      <c r="F3955" s="3" t="s">
        <v>559</v>
      </c>
      <c r="G3955" s="3" t="s">
        <v>52</v>
      </c>
      <c r="H3955" s="2" t="s">
        <v>21</v>
      </c>
      <c r="I3955" s="2" t="s">
        <v>8066</v>
      </c>
      <c r="J3955" s="3" t="str">
        <f>HYPERLINK("https://www.boe.es/gazeta/dias/1821/11/16/pdfs/GMD-1821-327.pdf#page=2","Abrir facsímil")</f>
        <v>Abrir facsímil</v>
      </c>
      <c r="K3955" s="3" t="s">
        <v>23</v>
      </c>
    </row>
    <row r="3956" spans="1:11" ht="42" customHeight="1">
      <c r="A3956" s="2" t="s">
        <v>8067</v>
      </c>
      <c r="B3956" s="2" t="s">
        <v>8068</v>
      </c>
      <c r="C3956" s="2" t="s">
        <v>17</v>
      </c>
      <c r="D3956" s="2" t="s">
        <v>18</v>
      </c>
      <c r="E3956" s="5">
        <v>-28809</v>
      </c>
      <c r="F3956" s="3" t="s">
        <v>1173</v>
      </c>
      <c r="G3956" s="3" t="s">
        <v>88</v>
      </c>
      <c r="H3956" s="2" t="s">
        <v>21</v>
      </c>
      <c r="I3956" s="2" t="s">
        <v>8069</v>
      </c>
      <c r="J3956" s="3" t="str">
        <f>HYPERLINK("https://www.boe.es/gazeta/dias/1821/02/13/pdfs/GGB-1821-44.pdf#page=4","Abrir facsímil")</f>
        <v>Abrir facsímil</v>
      </c>
      <c r="K3956" s="3" t="s">
        <v>23</v>
      </c>
    </row>
    <row r="3957" spans="1:11" ht="42" customHeight="1">
      <c r="A3957" s="2" t="s">
        <v>8070</v>
      </c>
      <c r="B3957" s="2" t="s">
        <v>8071</v>
      </c>
      <c r="C3957" s="2" t="s">
        <v>26</v>
      </c>
      <c r="D3957" s="2" t="s">
        <v>27</v>
      </c>
      <c r="E3957" s="5">
        <v>-28651</v>
      </c>
      <c r="F3957" s="3" t="s">
        <v>1518</v>
      </c>
      <c r="G3957" s="3" t="s">
        <v>88</v>
      </c>
      <c r="H3957" s="2" t="s">
        <v>21</v>
      </c>
      <c r="I3957" s="2" t="s">
        <v>8072</v>
      </c>
      <c r="J3957" s="3" t="str">
        <f>HYPERLINK("https://www.boe.es/gazeta/dias/1821/07/21/pdfs/GMD-1821-206.pdf#page=4","Abrir facsímil")</f>
        <v>Abrir facsímil</v>
      </c>
      <c r="K3957" s="3" t="s">
        <v>23</v>
      </c>
    </row>
    <row r="3958" spans="1:11" ht="42" customHeight="1">
      <c r="A3958" s="2" t="s">
        <v>8073</v>
      </c>
      <c r="B3958" s="2" t="s">
        <v>8074</v>
      </c>
      <c r="C3958" s="2" t="s">
        <v>40</v>
      </c>
      <c r="D3958" s="2" t="s">
        <v>41</v>
      </c>
      <c r="E3958" s="5">
        <v>-28786</v>
      </c>
      <c r="F3958" s="3" t="s">
        <v>1933</v>
      </c>
      <c r="G3958" s="3" t="s">
        <v>20</v>
      </c>
      <c r="H3958" s="2" t="s">
        <v>21</v>
      </c>
      <c r="I3958" s="2" t="s">
        <v>8075</v>
      </c>
      <c r="J3958" s="3" t="str">
        <f>HYPERLINK("https://www.boe.es/gazeta/dias/1821/03/08/pdfs/GGB-1821-67.pdf#page=3","Abrir facsímil")</f>
        <v>Abrir facsímil</v>
      </c>
      <c r="K3958" s="3" t="s">
        <v>23</v>
      </c>
    </row>
    <row r="3959" spans="1:11" ht="42" customHeight="1">
      <c r="A3959" s="2" t="s">
        <v>8076</v>
      </c>
      <c r="B3959" s="2" t="s">
        <v>8076</v>
      </c>
      <c r="C3959" s="2" t="s">
        <v>17</v>
      </c>
      <c r="D3959" s="2" t="s">
        <v>18</v>
      </c>
      <c r="E3959" s="5">
        <v>-28763</v>
      </c>
      <c r="F3959" s="3" t="s">
        <v>1145</v>
      </c>
      <c r="G3959" s="3" t="s">
        <v>52</v>
      </c>
      <c r="H3959" s="2" t="s">
        <v>21</v>
      </c>
      <c r="I3959" s="2" t="s">
        <v>8077</v>
      </c>
      <c r="J3959" s="3" t="str">
        <f>HYPERLINK("https://www.boe.es/gazeta/dias/1821/03/31/pdfs/GMD-1821-92.pdf#page=2","Abrir facsímil")</f>
        <v>Abrir facsímil</v>
      </c>
      <c r="K3959" s="3" t="s">
        <v>23</v>
      </c>
    </row>
    <row r="3960" spans="1:11" ht="42" customHeight="1">
      <c r="A3960" s="2" t="s">
        <v>8078</v>
      </c>
      <c r="B3960" s="2" t="s">
        <v>8078</v>
      </c>
      <c r="C3960" s="2" t="s">
        <v>40</v>
      </c>
      <c r="D3960" s="2" t="s">
        <v>41</v>
      </c>
      <c r="E3960" s="5">
        <v>-28755</v>
      </c>
      <c r="F3960" s="3" t="s">
        <v>906</v>
      </c>
      <c r="G3960" s="3" t="s">
        <v>907</v>
      </c>
      <c r="H3960" s="2" t="s">
        <v>21</v>
      </c>
      <c r="I3960" s="2" t="s">
        <v>8079</v>
      </c>
      <c r="J3960" s="3" t="str">
        <f>HYPERLINK("https://www.boe.es/gazeta/dias/1821/04/08/pdfs/GMD-1821-100.pdf#page=4","Abrir facsímil")</f>
        <v>Abrir facsímil</v>
      </c>
      <c r="K3960" s="3" t="s">
        <v>23</v>
      </c>
    </row>
    <row r="3961" spans="1:11" ht="42" customHeight="1">
      <c r="A3961" s="2" t="s">
        <v>8080</v>
      </c>
      <c r="B3961" s="2" t="s">
        <v>8081</v>
      </c>
      <c r="C3961" s="2" t="s">
        <v>35</v>
      </c>
      <c r="D3961" s="2" t="s">
        <v>27</v>
      </c>
      <c r="E3961" s="5">
        <v>-28847</v>
      </c>
      <c r="F3961" s="3" t="s">
        <v>288</v>
      </c>
      <c r="G3961" s="3" t="s">
        <v>289</v>
      </c>
      <c r="H3961" s="2" t="s">
        <v>30</v>
      </c>
      <c r="I3961" s="2" t="s">
        <v>8082</v>
      </c>
      <c r="J3961" s="3" t="str">
        <f>HYPERLINK("https://www.boe.es/gazeta/dias/1821/01/06/pdfs/GGB-1821-6.pdf#page=4","Abrir facsímil")</f>
        <v>Abrir facsímil</v>
      </c>
      <c r="K3961" s="3" t="s">
        <v>32</v>
      </c>
    </row>
    <row r="3962" spans="1:11" ht="42" customHeight="1">
      <c r="A3962" s="2" t="s">
        <v>8083</v>
      </c>
      <c r="B3962" s="2" t="s">
        <v>8083</v>
      </c>
      <c r="C3962" s="2" t="s">
        <v>26</v>
      </c>
      <c r="D3962" s="2" t="s">
        <v>27</v>
      </c>
      <c r="E3962" s="5">
        <v>-28728</v>
      </c>
      <c r="F3962" s="3" t="s">
        <v>1038</v>
      </c>
      <c r="G3962" s="3" t="s">
        <v>52</v>
      </c>
      <c r="H3962" s="2" t="s">
        <v>21</v>
      </c>
      <c r="I3962" s="2" t="s">
        <v>8084</v>
      </c>
      <c r="J3962" s="3" t="str">
        <f>HYPERLINK("https://www.boe.es/gazeta/dias/1821/05/05/pdfs/GMD-1821-127.pdf#page=2","Abrir facsímil")</f>
        <v>Abrir facsímil</v>
      </c>
      <c r="K3962" s="3" t="s">
        <v>23</v>
      </c>
    </row>
    <row r="3963" spans="1:11" ht="42" customHeight="1">
      <c r="A3963" s="2" t="s">
        <v>8083</v>
      </c>
      <c r="B3963" s="2" t="s">
        <v>8083</v>
      </c>
      <c r="C3963" s="2" t="s">
        <v>17</v>
      </c>
      <c r="D3963" s="2" t="s">
        <v>18</v>
      </c>
      <c r="E3963" s="5">
        <v>-28599</v>
      </c>
      <c r="F3963" s="3" t="s">
        <v>902</v>
      </c>
      <c r="G3963" s="3" t="s">
        <v>20</v>
      </c>
      <c r="H3963" s="2" t="s">
        <v>21</v>
      </c>
      <c r="I3963" s="2" t="s">
        <v>8085</v>
      </c>
      <c r="J3963" s="3" t="str">
        <f>HYPERLINK("https://www.boe.es/gazeta/dias/1821/09/11/pdfs/GMD-1821-259.pdf#page=3","Abrir facsímil")</f>
        <v>Abrir facsímil</v>
      </c>
      <c r="K3963" s="3" t="s">
        <v>23</v>
      </c>
    </row>
    <row r="3964" spans="1:11" ht="42" customHeight="1">
      <c r="A3964" s="2" t="s">
        <v>8083</v>
      </c>
      <c r="B3964" s="2" t="s">
        <v>8083</v>
      </c>
      <c r="C3964" s="2" t="s">
        <v>114</v>
      </c>
      <c r="D3964" s="2" t="s">
        <v>27</v>
      </c>
      <c r="E3964" s="5">
        <v>-28545</v>
      </c>
      <c r="F3964" s="3" t="s">
        <v>284</v>
      </c>
      <c r="G3964" s="3" t="s">
        <v>52</v>
      </c>
      <c r="H3964" s="2" t="s">
        <v>21</v>
      </c>
      <c r="I3964" s="2" t="s">
        <v>8086</v>
      </c>
      <c r="J3964" s="3" t="str">
        <f>HYPERLINK("https://www.boe.es/gazeta/dias/1821/11/04/pdfs/GMD-1821-315.pdf#page=2","Abrir facsímil")</f>
        <v>Abrir facsímil</v>
      </c>
      <c r="K3964" s="3" t="s">
        <v>23</v>
      </c>
    </row>
    <row r="3965" spans="1:11" ht="42" customHeight="1">
      <c r="A3965" s="2" t="s">
        <v>8087</v>
      </c>
      <c r="B3965" s="2" t="s">
        <v>8087</v>
      </c>
      <c r="C3965" s="2" t="s">
        <v>35</v>
      </c>
      <c r="D3965" s="2" t="s">
        <v>27</v>
      </c>
      <c r="E3965" s="5">
        <v>-28789</v>
      </c>
      <c r="F3965" s="3" t="s">
        <v>36</v>
      </c>
      <c r="G3965" s="3" t="s">
        <v>52</v>
      </c>
      <c r="H3965" s="2" t="s">
        <v>21</v>
      </c>
      <c r="I3965" s="2" t="s">
        <v>8088</v>
      </c>
      <c r="J3965" s="3" t="str">
        <f>HYPERLINK("https://www.boe.es/gazeta/dias/1821/03/05/pdfs/GGB-1821-64.pdf#page=2","Abrir facsímil")</f>
        <v>Abrir facsímil</v>
      </c>
      <c r="K3965" s="3" t="s">
        <v>23</v>
      </c>
    </row>
    <row r="3966" spans="1:11" ht="42" customHeight="1">
      <c r="A3966" s="2" t="s">
        <v>8089</v>
      </c>
      <c r="B3966" s="2" t="s">
        <v>8089</v>
      </c>
      <c r="C3966" s="2" t="s">
        <v>40</v>
      </c>
      <c r="D3966" s="2" t="s">
        <v>41</v>
      </c>
      <c r="E3966" s="5">
        <v>-28690</v>
      </c>
      <c r="F3966" s="3" t="s">
        <v>846</v>
      </c>
      <c r="G3966" s="3" t="s">
        <v>43</v>
      </c>
      <c r="H3966" s="2" t="s">
        <v>21</v>
      </c>
      <c r="I3966" s="2" t="s">
        <v>8090</v>
      </c>
      <c r="J3966" s="3" t="str">
        <f>HYPERLINK("https://www.boe.es/gazeta/dias/1821/06/12/pdfs/GMD-1821-165.pdf#page=1","Abrir facsímil")</f>
        <v>Abrir facsímil</v>
      </c>
      <c r="K3966" s="3" t="s">
        <v>23</v>
      </c>
    </row>
    <row r="3967" spans="1:11" ht="42" customHeight="1">
      <c r="A3967" s="2" t="s">
        <v>8091</v>
      </c>
      <c r="B3967" s="2" t="s">
        <v>8091</v>
      </c>
      <c r="C3967" s="2" t="s">
        <v>40</v>
      </c>
      <c r="D3967" s="2" t="s">
        <v>41</v>
      </c>
      <c r="E3967" s="5">
        <v>-28767</v>
      </c>
      <c r="F3967" s="3" t="s">
        <v>1439</v>
      </c>
      <c r="G3967" s="3" t="s">
        <v>3737</v>
      </c>
      <c r="H3967" s="2" t="s">
        <v>21</v>
      </c>
      <c r="I3967" s="2" t="s">
        <v>8092</v>
      </c>
      <c r="J3967" s="3" t="str">
        <f>HYPERLINK("https://www.boe.es/gazeta/dias/1821/03/27/pdfs/GMD-1821-87.pdf#page=4","Abrir facsímil")</f>
        <v>Abrir facsímil</v>
      </c>
      <c r="K3967" s="3" t="s">
        <v>23</v>
      </c>
    </row>
    <row r="3968" spans="1:11" ht="42" customHeight="1">
      <c r="A3968" s="2" t="s">
        <v>8093</v>
      </c>
      <c r="B3968" s="2" t="s">
        <v>8093</v>
      </c>
      <c r="C3968" s="2" t="s">
        <v>40</v>
      </c>
      <c r="D3968" s="2" t="s">
        <v>41</v>
      </c>
      <c r="E3968" s="5">
        <v>-28781</v>
      </c>
      <c r="F3968" s="3" t="s">
        <v>149</v>
      </c>
      <c r="G3968" s="3" t="s">
        <v>162</v>
      </c>
      <c r="H3968" s="2" t="s">
        <v>21</v>
      </c>
      <c r="I3968" s="2" t="s">
        <v>8094</v>
      </c>
      <c r="J3968" s="3" t="str">
        <f>HYPERLINK("https://www.boe.es/gazeta/dias/1821/03/13/pdfs/GMD-1821-72.pdf#page=5","Abrir facsímil")</f>
        <v>Abrir facsímil</v>
      </c>
      <c r="K3968" s="3" t="s">
        <v>23</v>
      </c>
    </row>
    <row r="3969" spans="1:11" ht="42" customHeight="1">
      <c r="A3969" s="2" t="s">
        <v>8095</v>
      </c>
      <c r="B3969" s="2" t="s">
        <v>8095</v>
      </c>
      <c r="C3969" s="2" t="s">
        <v>40</v>
      </c>
      <c r="D3969" s="2" t="s">
        <v>41</v>
      </c>
      <c r="E3969" s="5">
        <v>-28801</v>
      </c>
      <c r="F3969" s="3" t="s">
        <v>378</v>
      </c>
      <c r="G3969" s="3" t="s">
        <v>43</v>
      </c>
      <c r="H3969" s="2" t="s">
        <v>21</v>
      </c>
      <c r="I3969" s="2" t="s">
        <v>8096</v>
      </c>
      <c r="J3969" s="3" t="str">
        <f>HYPERLINK("https://www.boe.es/gazeta/dias/1821/02/21/pdfs/GGB-1821-52.pdf#page=1","Abrir facsímil")</f>
        <v>Abrir facsímil</v>
      </c>
      <c r="K3969" s="3" t="s">
        <v>23</v>
      </c>
    </row>
    <row r="3970" spans="1:11" ht="42" customHeight="1">
      <c r="A3970" s="2" t="s">
        <v>8095</v>
      </c>
      <c r="B3970" s="2" t="s">
        <v>8095</v>
      </c>
      <c r="C3970" s="2" t="s">
        <v>40</v>
      </c>
      <c r="D3970" s="2" t="s">
        <v>41</v>
      </c>
      <c r="E3970" s="5">
        <v>-28780</v>
      </c>
      <c r="F3970" s="3" t="s">
        <v>143</v>
      </c>
      <c r="G3970" s="3" t="s">
        <v>43</v>
      </c>
      <c r="H3970" s="2" t="s">
        <v>21</v>
      </c>
      <c r="I3970" s="2" t="s">
        <v>8097</v>
      </c>
      <c r="J3970" s="3" t="str">
        <f>HYPERLINK("https://www.boe.es/gazeta/dias/1821/03/14/pdfs/GMD-1821-73.pdf#page=1","Abrir facsímil")</f>
        <v>Abrir facsímil</v>
      </c>
      <c r="K3970" s="3" t="s">
        <v>23</v>
      </c>
    </row>
    <row r="3971" spans="1:11" ht="42" customHeight="1">
      <c r="A3971" s="2" t="s">
        <v>8095</v>
      </c>
      <c r="B3971" s="2" t="s">
        <v>8095</v>
      </c>
      <c r="C3971" s="2" t="s">
        <v>40</v>
      </c>
      <c r="D3971" s="2" t="s">
        <v>41</v>
      </c>
      <c r="E3971" s="5">
        <v>-28770</v>
      </c>
      <c r="F3971" s="3" t="s">
        <v>1009</v>
      </c>
      <c r="G3971" s="3" t="s">
        <v>43</v>
      </c>
      <c r="H3971" s="2" t="s">
        <v>21</v>
      </c>
      <c r="I3971" s="2" t="s">
        <v>8098</v>
      </c>
      <c r="J3971" s="3" t="str">
        <f>HYPERLINK("https://www.boe.es/gazeta/dias/1821/03/24/pdfs/GMD-1821-84.pdf#page=1","Abrir facsímil")</f>
        <v>Abrir facsímil</v>
      </c>
      <c r="K3971" s="3" t="s">
        <v>23</v>
      </c>
    </row>
    <row r="3972" spans="1:11" ht="42" customHeight="1">
      <c r="A3972" s="2" t="s">
        <v>8095</v>
      </c>
      <c r="B3972" s="2" t="s">
        <v>8095</v>
      </c>
      <c r="C3972" s="2" t="s">
        <v>40</v>
      </c>
      <c r="D3972" s="2" t="s">
        <v>41</v>
      </c>
      <c r="E3972" s="5">
        <v>-28770</v>
      </c>
      <c r="F3972" s="3" t="s">
        <v>1009</v>
      </c>
      <c r="G3972" s="3" t="s">
        <v>162</v>
      </c>
      <c r="H3972" s="2" t="s">
        <v>21</v>
      </c>
      <c r="I3972" s="2" t="s">
        <v>8099</v>
      </c>
      <c r="J3972" s="3" t="str">
        <f>HYPERLINK("https://www.boe.es/gazeta/dias/1821/03/24/pdfs/GMD-1821-84.pdf#page=5","Abrir facsímil")</f>
        <v>Abrir facsímil</v>
      </c>
      <c r="K3972" s="3" t="s">
        <v>23</v>
      </c>
    </row>
    <row r="3973" spans="1:11" ht="42" customHeight="1">
      <c r="A3973" s="2" t="s">
        <v>8095</v>
      </c>
      <c r="B3973" s="2" t="s">
        <v>8095</v>
      </c>
      <c r="C3973" s="2" t="s">
        <v>40</v>
      </c>
      <c r="D3973" s="2" t="s">
        <v>41</v>
      </c>
      <c r="E3973" s="5">
        <v>-28766</v>
      </c>
      <c r="F3973" s="3" t="s">
        <v>1481</v>
      </c>
      <c r="G3973" s="3" t="s">
        <v>88</v>
      </c>
      <c r="H3973" s="2" t="s">
        <v>21</v>
      </c>
      <c r="I3973" s="2" t="s">
        <v>8100</v>
      </c>
      <c r="J3973" s="3" t="str">
        <f>HYPERLINK("https://www.boe.es/gazeta/dias/1821/03/28/pdfs/GMD-1821-88.pdf#page=4","Abrir facsímil")</f>
        <v>Abrir facsímil</v>
      </c>
      <c r="K3973" s="3" t="s">
        <v>23</v>
      </c>
    </row>
    <row r="3974" spans="1:11" ht="42" customHeight="1">
      <c r="A3974" s="2" t="s">
        <v>8101</v>
      </c>
      <c r="B3974" s="2" t="s">
        <v>8101</v>
      </c>
      <c r="C3974" s="2" t="s">
        <v>40</v>
      </c>
      <c r="D3974" s="2" t="s">
        <v>41</v>
      </c>
      <c r="E3974" s="5">
        <v>-28759</v>
      </c>
      <c r="F3974" s="3" t="s">
        <v>71</v>
      </c>
      <c r="G3974" s="3" t="s">
        <v>20</v>
      </c>
      <c r="H3974" s="2" t="s">
        <v>21</v>
      </c>
      <c r="I3974" s="2" t="s">
        <v>8102</v>
      </c>
      <c r="J3974" s="3" t="str">
        <f>HYPERLINK("https://www.boe.es/gazeta/dias/1821/04/04/pdfs/GMD-1821-96.pdf#page=3","Abrir facsímil")</f>
        <v>Abrir facsímil</v>
      </c>
      <c r="K3974" s="3" t="s">
        <v>23</v>
      </c>
    </row>
    <row r="3975" spans="1:11" ht="42" customHeight="1">
      <c r="A3975" s="2" t="s">
        <v>8095</v>
      </c>
      <c r="B3975" s="2" t="s">
        <v>8095</v>
      </c>
      <c r="C3975" s="2" t="s">
        <v>40</v>
      </c>
      <c r="D3975" s="2" t="s">
        <v>41</v>
      </c>
      <c r="E3975" s="5">
        <v>-28759</v>
      </c>
      <c r="F3975" s="3" t="s">
        <v>71</v>
      </c>
      <c r="G3975" s="3" t="s">
        <v>88</v>
      </c>
      <c r="H3975" s="2" t="s">
        <v>21</v>
      </c>
      <c r="I3975" s="2" t="s">
        <v>8103</v>
      </c>
      <c r="J3975" s="3" t="str">
        <f>HYPERLINK("https://www.boe.es/gazeta/dias/1821/04/04/pdfs/GMD-1821-96.pdf#page=4","Abrir facsímil")</f>
        <v>Abrir facsímil</v>
      </c>
      <c r="K3975" s="3" t="s">
        <v>23</v>
      </c>
    </row>
    <row r="3976" spans="1:11" ht="42" customHeight="1">
      <c r="A3976" s="2" t="s">
        <v>8095</v>
      </c>
      <c r="B3976" s="2" t="s">
        <v>8095</v>
      </c>
      <c r="C3976" s="2" t="s">
        <v>40</v>
      </c>
      <c r="D3976" s="2" t="s">
        <v>41</v>
      </c>
      <c r="E3976" s="5">
        <v>-28758</v>
      </c>
      <c r="F3976" s="3" t="s">
        <v>4115</v>
      </c>
      <c r="G3976" s="3" t="s">
        <v>20</v>
      </c>
      <c r="H3976" s="2" t="s">
        <v>21</v>
      </c>
      <c r="I3976" s="2" t="s">
        <v>8104</v>
      </c>
      <c r="J3976" s="3" t="str">
        <f>HYPERLINK("https://www.boe.es/gazeta/dias/1821/04/05/pdfs/GMD-1821-97.pdf#page=3","Abrir facsímil")</f>
        <v>Abrir facsímil</v>
      </c>
      <c r="K3976" s="3" t="s">
        <v>23</v>
      </c>
    </row>
    <row r="3977" spans="1:11" ht="42" customHeight="1">
      <c r="A3977" s="2" t="s">
        <v>8095</v>
      </c>
      <c r="B3977" s="2" t="s">
        <v>8095</v>
      </c>
      <c r="C3977" s="2" t="s">
        <v>26</v>
      </c>
      <c r="D3977" s="2" t="s">
        <v>27</v>
      </c>
      <c r="E3977" s="5">
        <v>-28757</v>
      </c>
      <c r="F3977" s="3" t="s">
        <v>472</v>
      </c>
      <c r="G3977" s="3" t="s">
        <v>88</v>
      </c>
      <c r="H3977" s="2" t="s">
        <v>21</v>
      </c>
      <c r="I3977" s="2" t="s">
        <v>8105</v>
      </c>
      <c r="J3977" s="3" t="str">
        <f>HYPERLINK("https://www.boe.es/gazeta/dias/1821/04/06/pdfs/GMD-1821-98.pdf#page=4","Abrir facsímil")</f>
        <v>Abrir facsímil</v>
      </c>
      <c r="K3977" s="3" t="s">
        <v>23</v>
      </c>
    </row>
    <row r="3978" spans="1:11" ht="42" customHeight="1">
      <c r="A3978" s="2" t="s">
        <v>8095</v>
      </c>
      <c r="B3978" s="2" t="s">
        <v>8095</v>
      </c>
      <c r="C3978" s="2" t="s">
        <v>40</v>
      </c>
      <c r="D3978" s="2" t="s">
        <v>41</v>
      </c>
      <c r="E3978" s="5">
        <v>-28756</v>
      </c>
      <c r="F3978" s="3" t="s">
        <v>3145</v>
      </c>
      <c r="G3978" s="3" t="s">
        <v>7553</v>
      </c>
      <c r="H3978" s="2" t="s">
        <v>21</v>
      </c>
      <c r="I3978" s="2" t="s">
        <v>8106</v>
      </c>
      <c r="J3978" s="3" t="str">
        <f>HYPERLINK("https://www.boe.es/gazeta/dias/1821/04/07/pdfs/GMD-1821-99.pdf#page=4","Abrir facsímil")</f>
        <v>Abrir facsímil</v>
      </c>
      <c r="K3978" s="3" t="s">
        <v>23</v>
      </c>
    </row>
    <row r="3979" spans="1:11" ht="42" customHeight="1">
      <c r="A3979" s="2" t="s">
        <v>8095</v>
      </c>
      <c r="B3979" s="2" t="s">
        <v>8095</v>
      </c>
      <c r="C3979" s="2" t="s">
        <v>40</v>
      </c>
      <c r="D3979" s="2" t="s">
        <v>41</v>
      </c>
      <c r="E3979" s="5">
        <v>-28740</v>
      </c>
      <c r="F3979" s="3" t="s">
        <v>2800</v>
      </c>
      <c r="G3979" s="3" t="s">
        <v>43</v>
      </c>
      <c r="H3979" s="2" t="s">
        <v>21</v>
      </c>
      <c r="I3979" s="2" t="s">
        <v>8107</v>
      </c>
      <c r="J3979" s="3" t="str">
        <f>HYPERLINK("https://www.boe.es/gazeta/dias/1821/04/23/pdfs/GMD-1821-115.pdf#page=1","Abrir facsímil")</f>
        <v>Abrir facsímil</v>
      </c>
      <c r="K3979" s="3" t="s">
        <v>23</v>
      </c>
    </row>
    <row r="3980" spans="1:11" ht="42" customHeight="1">
      <c r="A3980" s="2" t="s">
        <v>8095</v>
      </c>
      <c r="B3980" s="2" t="s">
        <v>8095</v>
      </c>
      <c r="C3980" s="2" t="s">
        <v>40</v>
      </c>
      <c r="D3980" s="2" t="s">
        <v>41</v>
      </c>
      <c r="E3980" s="5">
        <v>-28739</v>
      </c>
      <c r="F3980" s="3" t="s">
        <v>1024</v>
      </c>
      <c r="G3980" s="3" t="s">
        <v>43</v>
      </c>
      <c r="H3980" s="2" t="s">
        <v>21</v>
      </c>
      <c r="I3980" s="2" t="s">
        <v>8108</v>
      </c>
      <c r="J3980" s="3" t="str">
        <f>HYPERLINK("https://www.boe.es/gazeta/dias/1821/04/24/pdfs/GMD-1821-116.pdf#page=1","Abrir facsímil")</f>
        <v>Abrir facsímil</v>
      </c>
      <c r="K3980" s="3" t="s">
        <v>23</v>
      </c>
    </row>
    <row r="3981" spans="1:11" ht="42" customHeight="1">
      <c r="A3981" s="2" t="s">
        <v>8095</v>
      </c>
      <c r="B3981" s="2" t="s">
        <v>8095</v>
      </c>
      <c r="C3981" s="2" t="s">
        <v>40</v>
      </c>
      <c r="D3981" s="2" t="s">
        <v>41</v>
      </c>
      <c r="E3981" s="5">
        <v>-28739</v>
      </c>
      <c r="F3981" s="3" t="s">
        <v>1024</v>
      </c>
      <c r="G3981" s="3" t="s">
        <v>88</v>
      </c>
      <c r="H3981" s="2" t="s">
        <v>21</v>
      </c>
      <c r="I3981" s="2" t="s">
        <v>8109</v>
      </c>
      <c r="J3981" s="3" t="str">
        <f>HYPERLINK("https://www.boe.es/gazeta/dias/1821/04/24/pdfs/GMD-1821-116.pdf#page=4","Abrir facsímil")</f>
        <v>Abrir facsímil</v>
      </c>
      <c r="K3981" s="3" t="s">
        <v>23</v>
      </c>
    </row>
    <row r="3982" spans="1:11" ht="42" customHeight="1">
      <c r="A3982" s="2" t="s">
        <v>8095</v>
      </c>
      <c r="B3982" s="2" t="s">
        <v>8095</v>
      </c>
      <c r="C3982" s="2" t="s">
        <v>40</v>
      </c>
      <c r="D3982" s="2" t="s">
        <v>41</v>
      </c>
      <c r="E3982" s="5">
        <v>-28736</v>
      </c>
      <c r="F3982" s="3" t="s">
        <v>464</v>
      </c>
      <c r="G3982" s="3" t="s">
        <v>88</v>
      </c>
      <c r="H3982" s="2" t="s">
        <v>21</v>
      </c>
      <c r="I3982" s="2" t="s">
        <v>8110</v>
      </c>
      <c r="J3982" s="3" t="str">
        <f>HYPERLINK("https://www.boe.es/gazeta/dias/1821/04/27/pdfs/GMD-1821-119.pdf#page=4","Abrir facsímil")</f>
        <v>Abrir facsímil</v>
      </c>
      <c r="K3982" s="3" t="s">
        <v>23</v>
      </c>
    </row>
    <row r="3983" spans="1:11" ht="42" customHeight="1">
      <c r="A3983" s="2" t="s">
        <v>8095</v>
      </c>
      <c r="B3983" s="2" t="s">
        <v>8095</v>
      </c>
      <c r="C3983" s="2" t="s">
        <v>35</v>
      </c>
      <c r="D3983" s="2" t="s">
        <v>27</v>
      </c>
      <c r="E3983" s="5">
        <v>-28735</v>
      </c>
      <c r="F3983" s="3" t="s">
        <v>836</v>
      </c>
      <c r="G3983" s="3" t="s">
        <v>88</v>
      </c>
      <c r="H3983" s="2" t="s">
        <v>21</v>
      </c>
      <c r="I3983" s="2" t="s">
        <v>8111</v>
      </c>
      <c r="J3983" s="3" t="str">
        <f>HYPERLINK("https://www.boe.es/gazeta/dias/1821/04/28/pdfs/GMD-1821-120.pdf#page=4","Abrir facsímil")</f>
        <v>Abrir facsímil</v>
      </c>
      <c r="K3983" s="3" t="s">
        <v>23</v>
      </c>
    </row>
    <row r="3984" spans="1:11" ht="42" customHeight="1">
      <c r="A3984" s="2" t="s">
        <v>8095</v>
      </c>
      <c r="B3984" s="2" t="s">
        <v>8095</v>
      </c>
      <c r="C3984" s="2" t="s">
        <v>40</v>
      </c>
      <c r="D3984" s="2" t="s">
        <v>41</v>
      </c>
      <c r="E3984" s="5">
        <v>-28733</v>
      </c>
      <c r="F3984" s="3" t="s">
        <v>1033</v>
      </c>
      <c r="G3984" s="3" t="s">
        <v>7434</v>
      </c>
      <c r="H3984" s="2" t="s">
        <v>21</v>
      </c>
      <c r="I3984" s="2" t="s">
        <v>8112</v>
      </c>
      <c r="J3984" s="3" t="str">
        <f>HYPERLINK("https://www.boe.es/gazeta/dias/1821/04/30/pdfs/GMD-1821-122.pdf#page=4","Abrir facsímil")</f>
        <v>Abrir facsímil</v>
      </c>
      <c r="K3984" s="3" t="s">
        <v>23</v>
      </c>
    </row>
    <row r="3985" spans="1:11" ht="42" customHeight="1">
      <c r="A3985" s="2" t="s">
        <v>8095</v>
      </c>
      <c r="B3985" s="2" t="s">
        <v>8095</v>
      </c>
      <c r="C3985" s="2" t="s">
        <v>40</v>
      </c>
      <c r="D3985" s="2" t="s">
        <v>41</v>
      </c>
      <c r="E3985" s="5">
        <v>-28714</v>
      </c>
      <c r="F3985" s="3" t="s">
        <v>522</v>
      </c>
      <c r="G3985" s="3" t="s">
        <v>43</v>
      </c>
      <c r="H3985" s="2" t="s">
        <v>21</v>
      </c>
      <c r="I3985" s="2" t="s">
        <v>8113</v>
      </c>
      <c r="J3985" s="3" t="str">
        <f>HYPERLINK("https://www.boe.es/gazeta/dias/1821/05/19/pdfs/GMD-1821-141.pdf#page=1","Abrir facsímil")</f>
        <v>Abrir facsímil</v>
      </c>
      <c r="K3985" s="3" t="s">
        <v>23</v>
      </c>
    </row>
    <row r="3986" spans="1:11" ht="42" customHeight="1">
      <c r="A3986" s="2" t="s">
        <v>8095</v>
      </c>
      <c r="B3986" s="2" t="s">
        <v>8095</v>
      </c>
      <c r="C3986" s="2" t="s">
        <v>40</v>
      </c>
      <c r="D3986" s="2" t="s">
        <v>41</v>
      </c>
      <c r="E3986" s="5">
        <v>-28628</v>
      </c>
      <c r="F3986" s="3" t="s">
        <v>4257</v>
      </c>
      <c r="G3986" s="3" t="s">
        <v>52</v>
      </c>
      <c r="H3986" s="2" t="s">
        <v>21</v>
      </c>
      <c r="I3986" s="2" t="s">
        <v>8114</v>
      </c>
      <c r="J3986" s="3" t="str">
        <f>HYPERLINK("https://www.boe.es/gazeta/dias/1821/08/13/pdfs/GMD-1821-230.pdf#page=2","Abrir facsímil")</f>
        <v>Abrir facsímil</v>
      </c>
      <c r="K3986" s="3" t="s">
        <v>23</v>
      </c>
    </row>
    <row r="3987" spans="1:11" ht="42" customHeight="1">
      <c r="A3987" s="2" t="s">
        <v>8095</v>
      </c>
      <c r="B3987" s="2" t="s">
        <v>8095</v>
      </c>
      <c r="C3987" s="2" t="s">
        <v>40</v>
      </c>
      <c r="D3987" s="2" t="s">
        <v>41</v>
      </c>
      <c r="E3987" s="5">
        <v>-28613</v>
      </c>
      <c r="F3987" s="3" t="s">
        <v>178</v>
      </c>
      <c r="G3987" s="3" t="s">
        <v>20</v>
      </c>
      <c r="H3987" s="2" t="s">
        <v>21</v>
      </c>
      <c r="I3987" s="2" t="s">
        <v>8115</v>
      </c>
      <c r="J3987" s="3" t="str">
        <f>HYPERLINK("https://www.boe.es/gazeta/dias/1821/08/28/pdfs/GMD-1821-245.pdf#page=3","Abrir facsímil")</f>
        <v>Abrir facsímil</v>
      </c>
      <c r="K3987" s="3" t="s">
        <v>23</v>
      </c>
    </row>
    <row r="3988" spans="1:11" ht="42" customHeight="1">
      <c r="A3988" s="2" t="s">
        <v>8095</v>
      </c>
      <c r="B3988" s="2" t="s">
        <v>8095</v>
      </c>
      <c r="C3988" s="2" t="s">
        <v>40</v>
      </c>
      <c r="D3988" s="2" t="s">
        <v>41</v>
      </c>
      <c r="E3988" s="5">
        <v>-28526</v>
      </c>
      <c r="F3988" s="3" t="s">
        <v>223</v>
      </c>
      <c r="G3988" s="3" t="s">
        <v>1251</v>
      </c>
      <c r="H3988" s="2" t="s">
        <v>21</v>
      </c>
      <c r="I3988" s="2" t="s">
        <v>8116</v>
      </c>
      <c r="J3988" s="3" t="str">
        <f>HYPERLINK("https://www.boe.es/gazeta/dias/1821/11/23/pdfs/GMD-1821-334.pdf#page=3","Abrir facsímil")</f>
        <v>Abrir facsímil</v>
      </c>
      <c r="K3988" s="3" t="s">
        <v>23</v>
      </c>
    </row>
    <row r="3989" spans="1:11" ht="42" customHeight="1">
      <c r="A3989" s="2" t="s">
        <v>8095</v>
      </c>
      <c r="B3989" s="2" t="s">
        <v>8095</v>
      </c>
      <c r="C3989" s="2" t="s">
        <v>40</v>
      </c>
      <c r="D3989" s="2" t="s">
        <v>41</v>
      </c>
      <c r="E3989" s="5">
        <v>-28526</v>
      </c>
      <c r="F3989" s="3" t="s">
        <v>223</v>
      </c>
      <c r="G3989" s="3" t="s">
        <v>52</v>
      </c>
      <c r="H3989" s="2" t="s">
        <v>21</v>
      </c>
      <c r="I3989" s="2" t="s">
        <v>8117</v>
      </c>
      <c r="J3989" s="3" t="str">
        <f>HYPERLINK("https://www.boe.es/gazeta/dias/1821/11/23/pdfs/GMD-1821-334.pdf#page=2","Abrir facsímil")</f>
        <v>Abrir facsímil</v>
      </c>
      <c r="K3989" s="3" t="s">
        <v>23</v>
      </c>
    </row>
    <row r="3990" spans="1:11" ht="42" customHeight="1">
      <c r="A3990" s="2" t="s">
        <v>8095</v>
      </c>
      <c r="B3990" s="2" t="s">
        <v>8095</v>
      </c>
      <c r="C3990" s="2" t="s">
        <v>40</v>
      </c>
      <c r="D3990" s="2" t="s">
        <v>41</v>
      </c>
      <c r="E3990" s="5">
        <v>-28494</v>
      </c>
      <c r="F3990" s="3" t="s">
        <v>1665</v>
      </c>
      <c r="G3990" s="3" t="s">
        <v>43</v>
      </c>
      <c r="H3990" s="2" t="s">
        <v>21</v>
      </c>
      <c r="I3990" s="2" t="s">
        <v>8118</v>
      </c>
      <c r="J3990" s="3" t="str">
        <f>HYPERLINK("https://www.boe.es/gazeta/dias/1821/12/25/pdfs/GMD-1821-368.pdf#page=1","Abrir facsímil")</f>
        <v>Abrir facsímil</v>
      </c>
      <c r="K3990" s="3" t="s">
        <v>23</v>
      </c>
    </row>
    <row r="3991" spans="1:11" ht="42" customHeight="1">
      <c r="A3991" s="2" t="s">
        <v>8119</v>
      </c>
      <c r="B3991" s="2" t="s">
        <v>8119</v>
      </c>
      <c r="C3991" s="2" t="s">
        <v>70</v>
      </c>
      <c r="D3991" s="2" t="s">
        <v>27</v>
      </c>
      <c r="E3991" s="5">
        <v>-28793</v>
      </c>
      <c r="F3991" s="3" t="s">
        <v>157</v>
      </c>
      <c r="G3991" s="3" t="s">
        <v>29</v>
      </c>
      <c r="H3991" s="2" t="s">
        <v>21</v>
      </c>
      <c r="I3991" s="2" t="s">
        <v>8120</v>
      </c>
      <c r="J3991" s="3" t="str">
        <f>HYPERLINK("https://www.boe.es/gazeta/dias/1821/03/01/pdfs/GGB-1821-60.pdf#page=6","Abrir facsímil")</f>
        <v>Abrir facsímil</v>
      </c>
      <c r="K3991" s="3" t="s">
        <v>23</v>
      </c>
    </row>
    <row r="3992" spans="1:11" ht="42" customHeight="1">
      <c r="A3992" s="2" t="s">
        <v>8121</v>
      </c>
      <c r="B3992" s="2" t="s">
        <v>8122</v>
      </c>
      <c r="C3992" s="2" t="s">
        <v>174</v>
      </c>
      <c r="D3992" s="2" t="s">
        <v>27</v>
      </c>
      <c r="E3992" s="5">
        <v>-28810</v>
      </c>
      <c r="F3992" s="3" t="s">
        <v>308</v>
      </c>
      <c r="G3992" s="3" t="s">
        <v>88</v>
      </c>
      <c r="H3992" s="2" t="s">
        <v>21</v>
      </c>
      <c r="I3992" s="2" t="s">
        <v>8123</v>
      </c>
      <c r="J3992" s="3" t="str">
        <f>HYPERLINK("https://www.boe.es/gazeta/dias/1821/02/12/pdfs/GGB-1821-43.pdf#page=4","Abrir facsímil")</f>
        <v>Abrir facsímil</v>
      </c>
      <c r="K3992" s="3" t="s">
        <v>23</v>
      </c>
    </row>
    <row r="3993" spans="1:11" ht="42" customHeight="1">
      <c r="A3993" s="2" t="s">
        <v>8124</v>
      </c>
      <c r="B3993" s="2" t="s">
        <v>8125</v>
      </c>
      <c r="C3993" s="2" t="s">
        <v>70</v>
      </c>
      <c r="D3993" s="2" t="s">
        <v>27</v>
      </c>
      <c r="E3993" s="5">
        <v>-28689</v>
      </c>
      <c r="F3993" s="3" t="s">
        <v>194</v>
      </c>
      <c r="G3993" s="3" t="s">
        <v>205</v>
      </c>
      <c r="H3993" s="2" t="s">
        <v>21</v>
      </c>
      <c r="I3993" s="2" t="s">
        <v>8126</v>
      </c>
      <c r="J3993" s="3" t="str">
        <f>HYPERLINK("https://www.boe.es/gazeta/dias/1821/06/13/pdfs/GMD-1821-166.pdf#page=6","Abrir facsímil")</f>
        <v>Abrir facsímil</v>
      </c>
      <c r="K3993" s="3" t="s">
        <v>23</v>
      </c>
    </row>
    <row r="3994" spans="1:11" ht="42" customHeight="1">
      <c r="A3994" s="2" t="s">
        <v>8127</v>
      </c>
      <c r="B3994" s="2" t="s">
        <v>8128</v>
      </c>
      <c r="C3994" s="2" t="s">
        <v>26</v>
      </c>
      <c r="D3994" s="2" t="s">
        <v>27</v>
      </c>
      <c r="E3994" s="5">
        <v>-28845</v>
      </c>
      <c r="F3994" s="3" t="s">
        <v>5185</v>
      </c>
      <c r="G3994" s="3" t="s">
        <v>88</v>
      </c>
      <c r="H3994" s="2" t="s">
        <v>21</v>
      </c>
      <c r="I3994" s="2" t="s">
        <v>8129</v>
      </c>
      <c r="J3994" s="3" t="str">
        <f>HYPERLINK("https://www.boe.es/gazeta/dias/1821/01/08/pdfs/GGB-1821-8.pdf#page=4","Abrir facsímil")</f>
        <v>Abrir facsímil</v>
      </c>
      <c r="K3994" s="3" t="s">
        <v>23</v>
      </c>
    </row>
    <row r="3995" spans="1:11" ht="42" customHeight="1">
      <c r="A3995" s="2" t="s">
        <v>8127</v>
      </c>
      <c r="B3995" s="2" t="s">
        <v>8128</v>
      </c>
      <c r="C3995" s="2" t="s">
        <v>26</v>
      </c>
      <c r="D3995" s="2" t="s">
        <v>27</v>
      </c>
      <c r="E3995" s="5">
        <v>-28627</v>
      </c>
      <c r="F3995" s="3" t="s">
        <v>3216</v>
      </c>
      <c r="G3995" s="3" t="s">
        <v>88</v>
      </c>
      <c r="H3995" s="2" t="s">
        <v>21</v>
      </c>
      <c r="I3995" s="2" t="s">
        <v>8130</v>
      </c>
      <c r="J3995" s="3" t="str">
        <f>HYPERLINK("https://www.boe.es/gazeta/dias/1821/08/14/pdfs/GMD-1821-231.pdf#page=4","Abrir facsímil")</f>
        <v>Abrir facsímil</v>
      </c>
      <c r="K3995" s="3" t="s">
        <v>23</v>
      </c>
    </row>
    <row r="3996" spans="1:11" ht="42" customHeight="1">
      <c r="A3996" s="2" t="s">
        <v>8131</v>
      </c>
      <c r="B3996" s="2" t="s">
        <v>8132</v>
      </c>
      <c r="C3996" s="2" t="s">
        <v>17</v>
      </c>
      <c r="D3996" s="2" t="s">
        <v>18</v>
      </c>
      <c r="E3996" s="5">
        <v>-28789</v>
      </c>
      <c r="F3996" s="3" t="s">
        <v>36</v>
      </c>
      <c r="G3996" s="3" t="s">
        <v>993</v>
      </c>
      <c r="H3996" s="2" t="s">
        <v>21</v>
      </c>
      <c r="I3996" s="2" t="s">
        <v>8133</v>
      </c>
      <c r="J3996" s="3" t="str">
        <f>HYPERLINK("https://www.boe.es/gazeta/dias/1821/03/05/pdfs/GGB-1821-64.pdf#page=4","Abrir facsímil")</f>
        <v>Abrir facsímil</v>
      </c>
      <c r="K3996" s="3" t="s">
        <v>23</v>
      </c>
    </row>
    <row r="3997" spans="1:11" ht="42" customHeight="1">
      <c r="A3997" s="2" t="s">
        <v>8134</v>
      </c>
      <c r="B3997" s="2" t="s">
        <v>8135</v>
      </c>
      <c r="C3997" s="2" t="s">
        <v>174</v>
      </c>
      <c r="D3997" s="2" t="s">
        <v>27</v>
      </c>
      <c r="E3997" s="5">
        <v>-28683</v>
      </c>
      <c r="F3997" s="3" t="s">
        <v>332</v>
      </c>
      <c r="G3997" s="3" t="s">
        <v>333</v>
      </c>
      <c r="H3997" s="2" t="s">
        <v>21</v>
      </c>
      <c r="I3997" s="2" t="s">
        <v>8136</v>
      </c>
      <c r="J3997" s="3" t="str">
        <f>HYPERLINK("https://www.boe.es/gazeta/dias/1821/06/19/pdfs/GMD-1821-172.pdf#page=8","Abrir facsímil")</f>
        <v>Abrir facsímil</v>
      </c>
      <c r="K3997" s="3" t="s">
        <v>23</v>
      </c>
    </row>
    <row r="3998" spans="1:11" ht="42" customHeight="1">
      <c r="A3998" s="2" t="s">
        <v>8137</v>
      </c>
      <c r="B3998" s="2" t="s">
        <v>8137</v>
      </c>
      <c r="C3998" s="2" t="s">
        <v>26</v>
      </c>
      <c r="D3998" s="2" t="s">
        <v>27</v>
      </c>
      <c r="E3998" s="5">
        <v>-28601</v>
      </c>
      <c r="F3998" s="3" t="s">
        <v>2924</v>
      </c>
      <c r="G3998" s="3" t="s">
        <v>20</v>
      </c>
      <c r="H3998" s="2" t="s">
        <v>21</v>
      </c>
      <c r="I3998" s="2" t="s">
        <v>8138</v>
      </c>
      <c r="J3998" s="3" t="str">
        <f>HYPERLINK("https://www.boe.es/gazeta/dias/1821/09/09/pdfs/GMD-1821-257.pdf#page=3","Abrir facsímil")</f>
        <v>Abrir facsímil</v>
      </c>
      <c r="K3998" s="3" t="s">
        <v>23</v>
      </c>
    </row>
    <row r="3999" spans="1:11" ht="42" customHeight="1">
      <c r="A3999" s="2" t="s">
        <v>8139</v>
      </c>
      <c r="B3999" s="2" t="s">
        <v>8140</v>
      </c>
      <c r="C3999" s="2" t="s">
        <v>26</v>
      </c>
      <c r="D3999" s="2" t="s">
        <v>27</v>
      </c>
      <c r="E3999" s="5">
        <v>-28489</v>
      </c>
      <c r="F3999" s="3" t="s">
        <v>3894</v>
      </c>
      <c r="G3999" s="3" t="s">
        <v>52</v>
      </c>
      <c r="H3999" s="2" t="s">
        <v>21</v>
      </c>
      <c r="I3999" s="2" t="s">
        <v>8141</v>
      </c>
      <c r="J3999" s="3" t="str">
        <f>HYPERLINK("https://www.boe.es/gazeta/dias/1821/12/30/pdfs/GMD-1821-373.pdf#page=2","Abrir facsímil")</f>
        <v>Abrir facsímil</v>
      </c>
      <c r="K3999" s="3" t="s">
        <v>23</v>
      </c>
    </row>
    <row r="4000" spans="1:11" ht="42" customHeight="1">
      <c r="A4000" s="2" t="s">
        <v>8142</v>
      </c>
      <c r="B4000" s="2" t="s">
        <v>8143</v>
      </c>
      <c r="C4000" s="2" t="s">
        <v>17</v>
      </c>
      <c r="D4000" s="2" t="s">
        <v>18</v>
      </c>
      <c r="E4000" s="5">
        <v>-28535</v>
      </c>
      <c r="F4000" s="3" t="s">
        <v>96</v>
      </c>
      <c r="G4000" s="3" t="s">
        <v>52</v>
      </c>
      <c r="H4000" s="2" t="s">
        <v>21</v>
      </c>
      <c r="I4000" s="2" t="s">
        <v>8144</v>
      </c>
      <c r="J4000" s="3" t="str">
        <f>HYPERLINK("https://www.boe.es/gazeta/dias/1821/11/14/pdfs/GMD-1821-325.pdf#page=2","Abrir facsímil")</f>
        <v>Abrir facsímil</v>
      </c>
      <c r="K4000" s="3" t="s">
        <v>23</v>
      </c>
    </row>
    <row r="4001" spans="1:11" ht="42" customHeight="1">
      <c r="A4001" s="2" t="s">
        <v>8145</v>
      </c>
      <c r="B4001" s="2" t="s">
        <v>8146</v>
      </c>
      <c r="C4001" s="2" t="s">
        <v>174</v>
      </c>
      <c r="D4001" s="2" t="s">
        <v>27</v>
      </c>
      <c r="E4001" s="5">
        <v>-28535</v>
      </c>
      <c r="F4001" s="3" t="s">
        <v>96</v>
      </c>
      <c r="G4001" s="3" t="s">
        <v>52</v>
      </c>
      <c r="H4001" s="2" t="s">
        <v>21</v>
      </c>
      <c r="I4001" s="2" t="s">
        <v>8147</v>
      </c>
      <c r="J4001" s="3" t="str">
        <f>HYPERLINK("https://www.boe.es/gazeta/dias/1821/11/14/pdfs/GMD-1821-325.pdf#page=2","Abrir facsímil")</f>
        <v>Abrir facsímil</v>
      </c>
      <c r="K4001" s="3" t="s">
        <v>23</v>
      </c>
    </row>
    <row r="4002" spans="1:11" ht="42" customHeight="1">
      <c r="A4002" s="2" t="s">
        <v>8148</v>
      </c>
      <c r="B4002" s="2" t="s">
        <v>8149</v>
      </c>
      <c r="C4002" s="2" t="s">
        <v>40</v>
      </c>
      <c r="D4002" s="2" t="s">
        <v>41</v>
      </c>
      <c r="E4002" s="5">
        <v>-28733</v>
      </c>
      <c r="F4002" s="3" t="s">
        <v>1033</v>
      </c>
      <c r="G4002" s="3" t="s">
        <v>52</v>
      </c>
      <c r="H4002" s="2" t="s">
        <v>21</v>
      </c>
      <c r="I4002" s="2" t="s">
        <v>8150</v>
      </c>
      <c r="J4002" s="3" t="str">
        <f>HYPERLINK("https://www.boe.es/gazeta/dias/1821/04/30/pdfs/GMD-1821-122.pdf#page=2","Abrir facsímil")</f>
        <v>Abrir facsímil</v>
      </c>
      <c r="K4002" s="3" t="s">
        <v>23</v>
      </c>
    </row>
    <row r="4003" spans="1:11" ht="42" customHeight="1">
      <c r="A4003" s="2" t="s">
        <v>8151</v>
      </c>
      <c r="B4003" s="2" t="s">
        <v>8152</v>
      </c>
      <c r="C4003" s="2" t="s">
        <v>26</v>
      </c>
      <c r="D4003" s="2" t="s">
        <v>27</v>
      </c>
      <c r="E4003" s="5">
        <v>-28776</v>
      </c>
      <c r="F4003" s="3" t="s">
        <v>312</v>
      </c>
      <c r="G4003" s="3" t="s">
        <v>29</v>
      </c>
      <c r="H4003" s="2" t="s">
        <v>21</v>
      </c>
      <c r="I4003" s="2" t="s">
        <v>8153</v>
      </c>
      <c r="J4003" s="3" t="str">
        <f>HYPERLINK("https://www.boe.es/gazeta/dias/1821/03/18/pdfs/GMD-1821-77.pdf#page=6","Abrir facsímil")</f>
        <v>Abrir facsímil</v>
      </c>
      <c r="K4003" s="3" t="s">
        <v>23</v>
      </c>
    </row>
    <row r="4004" spans="1:11" ht="42" customHeight="1">
      <c r="A4004" s="2" t="s">
        <v>8154</v>
      </c>
      <c r="B4004" s="2" t="s">
        <v>8155</v>
      </c>
      <c r="C4004" s="2" t="s">
        <v>17</v>
      </c>
      <c r="D4004" s="2" t="s">
        <v>18</v>
      </c>
      <c r="E4004" s="5">
        <v>-28770</v>
      </c>
      <c r="F4004" s="3" t="s">
        <v>1009</v>
      </c>
      <c r="G4004" s="3" t="s">
        <v>20</v>
      </c>
      <c r="H4004" s="2" t="s">
        <v>30</v>
      </c>
      <c r="I4004" s="2" t="s">
        <v>8156</v>
      </c>
      <c r="J4004" s="3" t="str">
        <f>HYPERLINK("https://www.boe.es/gazeta/dias/1821/03/24/pdfs/GMD-1821-84.pdf#page=3","Abrir facsímil")</f>
        <v>Abrir facsímil</v>
      </c>
      <c r="K4004" s="3" t="s">
        <v>32</v>
      </c>
    </row>
    <row r="4005" spans="1:11" ht="42" customHeight="1">
      <c r="A4005" s="2" t="s">
        <v>8157</v>
      </c>
      <c r="B4005" s="2" t="s">
        <v>8158</v>
      </c>
      <c r="C4005" s="2" t="s">
        <v>174</v>
      </c>
      <c r="D4005" s="2" t="s">
        <v>27</v>
      </c>
      <c r="E4005" s="5">
        <v>-28562</v>
      </c>
      <c r="F4005" s="3" t="s">
        <v>3093</v>
      </c>
      <c r="G4005" s="3" t="s">
        <v>29</v>
      </c>
      <c r="H4005" s="2" t="s">
        <v>30</v>
      </c>
      <c r="I4005" s="2" t="s">
        <v>8159</v>
      </c>
      <c r="J4005" s="3" t="str">
        <f>HYPERLINK("https://www.boe.es/gazeta/dias/1821/10/18/pdfs/GMD-1821-297.pdf#page=6","Abrir facsímil")</f>
        <v>Abrir facsímil</v>
      </c>
      <c r="K4005" s="3" t="s">
        <v>32</v>
      </c>
    </row>
    <row r="4006" spans="1:11" ht="42" customHeight="1">
      <c r="A4006" s="2" t="s">
        <v>8160</v>
      </c>
      <c r="B4006" s="2" t="s">
        <v>8161</v>
      </c>
      <c r="C4006" s="2" t="s">
        <v>40</v>
      </c>
      <c r="D4006" s="2" t="s">
        <v>41</v>
      </c>
      <c r="E4006" s="5">
        <v>-28748</v>
      </c>
      <c r="F4006" s="3" t="s">
        <v>634</v>
      </c>
      <c r="G4006" s="3" t="s">
        <v>88</v>
      </c>
      <c r="H4006" s="2" t="s">
        <v>30</v>
      </c>
      <c r="I4006" s="2" t="s">
        <v>8162</v>
      </c>
      <c r="J4006" s="3" t="str">
        <f>HYPERLINK("https://www.boe.es/gazeta/dias/1821/04/15/pdfs/GMD-1821-107.pdf#page=4","Abrir facsímil")</f>
        <v>Abrir facsímil</v>
      </c>
      <c r="K4006" s="3" t="s">
        <v>32</v>
      </c>
    </row>
    <row r="4007" spans="1:11" ht="42" customHeight="1">
      <c r="A4007" s="2" t="s">
        <v>8163</v>
      </c>
      <c r="B4007" s="2" t="s">
        <v>8164</v>
      </c>
      <c r="C4007" s="2" t="s">
        <v>40</v>
      </c>
      <c r="D4007" s="2" t="s">
        <v>41</v>
      </c>
      <c r="E4007" s="5">
        <v>-28689</v>
      </c>
      <c r="F4007" s="3" t="s">
        <v>194</v>
      </c>
      <c r="G4007" s="3" t="s">
        <v>205</v>
      </c>
      <c r="H4007" s="2" t="s">
        <v>30</v>
      </c>
      <c r="I4007" s="2" t="s">
        <v>8165</v>
      </c>
      <c r="J4007" s="3" t="str">
        <f>HYPERLINK("https://www.boe.es/gazeta/dias/1821/06/13/pdfs/GMD-1821-166.pdf#page=6","Abrir facsímil")</f>
        <v>Abrir facsímil</v>
      </c>
      <c r="K4007" s="3" t="s">
        <v>32</v>
      </c>
    </row>
    <row r="4008" spans="1:11" ht="42" customHeight="1">
      <c r="A4008" s="2" t="s">
        <v>8166</v>
      </c>
      <c r="B4008" s="2" t="s">
        <v>8166</v>
      </c>
      <c r="C4008" s="2" t="s">
        <v>26</v>
      </c>
      <c r="D4008" s="2" t="s">
        <v>27</v>
      </c>
      <c r="E4008" s="5">
        <v>-28523</v>
      </c>
      <c r="F4008" s="3" t="s">
        <v>257</v>
      </c>
      <c r="G4008" s="3" t="s">
        <v>52</v>
      </c>
      <c r="H4008" s="2" t="s">
        <v>21</v>
      </c>
      <c r="I4008" s="2" t="s">
        <v>8167</v>
      </c>
      <c r="J4008" s="3" t="str">
        <f>HYPERLINK("https://www.boe.es/gazeta/dias/1821/11/26/pdfs/GMD-1821-337.pdf#page=2","Abrir facsímil")</f>
        <v>Abrir facsímil</v>
      </c>
      <c r="K4008" s="3" t="s">
        <v>23</v>
      </c>
    </row>
    <row r="4009" spans="1:11" ht="42" customHeight="1">
      <c r="A4009" s="2" t="s">
        <v>8168</v>
      </c>
      <c r="B4009" s="2" t="s">
        <v>8169</v>
      </c>
      <c r="C4009" s="2" t="s">
        <v>17</v>
      </c>
      <c r="D4009" s="2" t="s">
        <v>18</v>
      </c>
      <c r="E4009" s="5">
        <v>-28595</v>
      </c>
      <c r="F4009" s="3" t="s">
        <v>1621</v>
      </c>
      <c r="G4009" s="3" t="s">
        <v>88</v>
      </c>
      <c r="H4009" s="2" t="s">
        <v>30</v>
      </c>
      <c r="I4009" s="2" t="s">
        <v>8170</v>
      </c>
      <c r="J4009" s="3" t="str">
        <f>HYPERLINK("https://www.boe.es/gazeta/dias/1821/09/15/pdfs/GMD-1821-263.pdf#page=4","Abrir facsímil")</f>
        <v>Abrir facsímil</v>
      </c>
      <c r="K4009" s="3" t="s">
        <v>32</v>
      </c>
    </row>
    <row r="4010" spans="1:11" ht="42" customHeight="1">
      <c r="A4010" s="2" t="s">
        <v>8171</v>
      </c>
      <c r="B4010" s="2" t="s">
        <v>8171</v>
      </c>
      <c r="C4010" s="2" t="s">
        <v>35</v>
      </c>
      <c r="D4010" s="2" t="s">
        <v>27</v>
      </c>
      <c r="E4010" s="5">
        <v>-28750</v>
      </c>
      <c r="F4010" s="3" t="s">
        <v>917</v>
      </c>
      <c r="G4010" s="3" t="s">
        <v>20</v>
      </c>
      <c r="H4010" s="2" t="s">
        <v>21</v>
      </c>
      <c r="I4010" s="2" t="s">
        <v>8172</v>
      </c>
      <c r="J4010" s="3" t="str">
        <f>HYPERLINK("https://www.boe.es/gazeta/dias/1821/04/13/pdfs/GMD-1821-105.pdf#page=3","Abrir facsímil")</f>
        <v>Abrir facsímil</v>
      </c>
      <c r="K4010" s="3" t="s">
        <v>23</v>
      </c>
    </row>
    <row r="4011" spans="1:11" ht="42" customHeight="1">
      <c r="A4011" s="2" t="s">
        <v>8171</v>
      </c>
      <c r="B4011" s="2" t="s">
        <v>8171</v>
      </c>
      <c r="C4011" s="2" t="s">
        <v>26</v>
      </c>
      <c r="D4011" s="2" t="s">
        <v>27</v>
      </c>
      <c r="E4011" s="5">
        <v>-28543</v>
      </c>
      <c r="F4011" s="3" t="s">
        <v>136</v>
      </c>
      <c r="G4011" s="3" t="s">
        <v>333</v>
      </c>
      <c r="H4011" s="2" t="s">
        <v>21</v>
      </c>
      <c r="I4011" s="2" t="s">
        <v>8173</v>
      </c>
      <c r="J4011" s="3" t="str">
        <f>HYPERLINK("https://www.boe.es/gazeta/dias/1821/11/06/pdfs/GMD-1821-317.pdf#page=8","Abrir facsímil")</f>
        <v>Abrir facsímil</v>
      </c>
      <c r="K4011" s="3" t="s">
        <v>23</v>
      </c>
    </row>
    <row r="4012" spans="1:11" ht="42" customHeight="1">
      <c r="A4012" s="2" t="s">
        <v>8174</v>
      </c>
      <c r="B4012" s="2" t="s">
        <v>8175</v>
      </c>
      <c r="C4012" s="2" t="s">
        <v>174</v>
      </c>
      <c r="D4012" s="2" t="s">
        <v>27</v>
      </c>
      <c r="E4012" s="5">
        <v>-28528</v>
      </c>
      <c r="F4012" s="3" t="s">
        <v>1872</v>
      </c>
      <c r="G4012" s="3" t="s">
        <v>52</v>
      </c>
      <c r="H4012" s="2" t="s">
        <v>21</v>
      </c>
      <c r="I4012" s="2" t="s">
        <v>8176</v>
      </c>
      <c r="J4012" s="3" t="str">
        <f>HYPERLINK("https://www.boe.es/gazeta/dias/1821/11/21/pdfs/GMD-1821-332.pdf#page=2","Abrir facsímil")</f>
        <v>Abrir facsímil</v>
      </c>
      <c r="K4012" s="3" t="s">
        <v>23</v>
      </c>
    </row>
    <row r="4013" spans="1:11" ht="42" customHeight="1">
      <c r="A4013" s="2" t="s">
        <v>8177</v>
      </c>
      <c r="B4013" s="2" t="s">
        <v>8177</v>
      </c>
      <c r="C4013" s="2" t="s">
        <v>40</v>
      </c>
      <c r="D4013" s="2" t="s">
        <v>41</v>
      </c>
      <c r="E4013" s="5">
        <v>-28660</v>
      </c>
      <c r="F4013" s="3" t="s">
        <v>7202</v>
      </c>
      <c r="G4013" s="3" t="s">
        <v>52</v>
      </c>
      <c r="H4013" s="2" t="s">
        <v>21</v>
      </c>
      <c r="I4013" s="2" t="s">
        <v>8178</v>
      </c>
      <c r="J4013" s="3" t="str">
        <f>HYPERLINK("https://www.boe.es/gazeta/dias/1821/07/12/pdfs/GMD-1821-197.pdf#page=2","Abrir facsímil")</f>
        <v>Abrir facsímil</v>
      </c>
      <c r="K4013" s="3" t="s">
        <v>23</v>
      </c>
    </row>
    <row r="4014" spans="1:11" ht="42" customHeight="1">
      <c r="A4014" s="2" t="s">
        <v>8179</v>
      </c>
      <c r="B4014" s="2" t="s">
        <v>8180</v>
      </c>
      <c r="C4014" s="2" t="s">
        <v>26</v>
      </c>
      <c r="D4014" s="2" t="s">
        <v>27</v>
      </c>
      <c r="E4014" s="5">
        <v>-28691</v>
      </c>
      <c r="F4014" s="3" t="s">
        <v>716</v>
      </c>
      <c r="G4014" s="3" t="s">
        <v>43</v>
      </c>
      <c r="H4014" s="2" t="s">
        <v>21</v>
      </c>
      <c r="I4014" s="2" t="s">
        <v>8181</v>
      </c>
      <c r="J4014" s="3" t="str">
        <f>HYPERLINK("https://www.boe.es/gazeta/dias/1821/06/11/pdfs/GMD-1821-164.pdf#page=1","Abrir facsímil")</f>
        <v>Abrir facsímil</v>
      </c>
      <c r="K4014" s="3" t="s">
        <v>23</v>
      </c>
    </row>
    <row r="4015" spans="1:11" ht="42" customHeight="1">
      <c r="A4015" s="2" t="s">
        <v>8182</v>
      </c>
      <c r="B4015" s="2" t="s">
        <v>8182</v>
      </c>
      <c r="C4015" s="2" t="s">
        <v>40</v>
      </c>
      <c r="D4015" s="2" t="s">
        <v>41</v>
      </c>
      <c r="E4015" s="5">
        <v>-28791</v>
      </c>
      <c r="F4015" s="3" t="s">
        <v>47</v>
      </c>
      <c r="G4015" s="3" t="s">
        <v>20</v>
      </c>
      <c r="H4015" s="2" t="s">
        <v>21</v>
      </c>
      <c r="I4015" s="2" t="s">
        <v>8183</v>
      </c>
      <c r="J4015" s="3" t="str">
        <f>HYPERLINK("https://www.boe.es/gazeta/dias/1821/03/03/pdfs/GGB-1821-62.pdf#page=3","Abrir facsímil")</f>
        <v>Abrir facsímil</v>
      </c>
      <c r="K4015" s="3" t="s">
        <v>23</v>
      </c>
    </row>
    <row r="4016" spans="1:11" ht="42" customHeight="1">
      <c r="A4016" s="2" t="s">
        <v>8182</v>
      </c>
      <c r="B4016" s="2" t="s">
        <v>8182</v>
      </c>
      <c r="C4016" s="2" t="s">
        <v>26</v>
      </c>
      <c r="D4016" s="2" t="s">
        <v>27</v>
      </c>
      <c r="E4016" s="5">
        <v>-28774</v>
      </c>
      <c r="F4016" s="3" t="s">
        <v>1221</v>
      </c>
      <c r="G4016" s="3" t="s">
        <v>88</v>
      </c>
      <c r="H4016" s="2" t="s">
        <v>21</v>
      </c>
      <c r="I4016" s="2" t="s">
        <v>8184</v>
      </c>
      <c r="J4016" s="3" t="str">
        <f>HYPERLINK("https://www.boe.es/gazeta/dias/1821/03/20/pdfs/GMD-1821-79.pdf#page=4","Abrir facsímil")</f>
        <v>Abrir facsímil</v>
      </c>
      <c r="K4016" s="3" t="s">
        <v>23</v>
      </c>
    </row>
    <row r="4017" spans="1:11" ht="42" customHeight="1">
      <c r="A4017" s="2" t="s">
        <v>8182</v>
      </c>
      <c r="B4017" s="2" t="s">
        <v>8182</v>
      </c>
      <c r="C4017" s="2" t="s">
        <v>114</v>
      </c>
      <c r="D4017" s="2" t="s">
        <v>27</v>
      </c>
      <c r="E4017" s="5">
        <v>-28709</v>
      </c>
      <c r="F4017" s="3" t="s">
        <v>1434</v>
      </c>
      <c r="G4017" s="3" t="s">
        <v>1435</v>
      </c>
      <c r="H4017" s="2" t="s">
        <v>21</v>
      </c>
      <c r="I4017" s="2" t="s">
        <v>8185</v>
      </c>
      <c r="J4017" s="3" t="str">
        <f>HYPERLINK("https://www.boe.es/gazeta/dias/1821/05/24/pdfs/GMD-1821-146.pdf#page=2","Abrir facsímil")</f>
        <v>Abrir facsímil</v>
      </c>
      <c r="K4017" s="3" t="s">
        <v>23</v>
      </c>
    </row>
    <row r="4018" spans="1:11" ht="42" customHeight="1">
      <c r="A4018" s="2" t="s">
        <v>8182</v>
      </c>
      <c r="B4018" s="2" t="s">
        <v>8182</v>
      </c>
      <c r="C4018" s="2" t="s">
        <v>17</v>
      </c>
      <c r="D4018" s="2" t="s">
        <v>18</v>
      </c>
      <c r="E4018" s="5">
        <v>-28696</v>
      </c>
      <c r="F4018" s="3" t="s">
        <v>497</v>
      </c>
      <c r="G4018" s="3" t="s">
        <v>88</v>
      </c>
      <c r="H4018" s="2" t="s">
        <v>21</v>
      </c>
      <c r="I4018" s="2" t="s">
        <v>8186</v>
      </c>
      <c r="J4018" s="3" t="str">
        <f>HYPERLINK("https://www.boe.es/gazeta/dias/1821/06/06/pdfs/GMD-1821-159.pdf#page=4","Abrir facsímil")</f>
        <v>Abrir facsímil</v>
      </c>
      <c r="K4018" s="3" t="s">
        <v>23</v>
      </c>
    </row>
    <row r="4019" spans="1:11" ht="42" customHeight="1">
      <c r="A4019" s="2" t="s">
        <v>8182</v>
      </c>
      <c r="B4019" s="2" t="s">
        <v>8182</v>
      </c>
      <c r="C4019" s="2" t="s">
        <v>17</v>
      </c>
      <c r="D4019" s="2" t="s">
        <v>18</v>
      </c>
      <c r="E4019" s="5">
        <v>-28579</v>
      </c>
      <c r="F4019" s="3" t="s">
        <v>743</v>
      </c>
      <c r="G4019" s="3" t="s">
        <v>88</v>
      </c>
      <c r="H4019" s="2" t="s">
        <v>21</v>
      </c>
      <c r="I4019" s="2" t="s">
        <v>8187</v>
      </c>
      <c r="J4019" s="3" t="str">
        <f>HYPERLINK("https://www.boe.es/gazeta/dias/1821/10/01/pdfs/GMD-1821-280.pdf#page=4","Abrir facsímil")</f>
        <v>Abrir facsímil</v>
      </c>
      <c r="K4019" s="3" t="s">
        <v>23</v>
      </c>
    </row>
    <row r="4020" spans="1:11" ht="42" customHeight="1">
      <c r="A4020" s="2" t="s">
        <v>8182</v>
      </c>
      <c r="B4020" s="2" t="s">
        <v>8182</v>
      </c>
      <c r="C4020" s="2" t="s">
        <v>26</v>
      </c>
      <c r="D4020" s="2" t="s">
        <v>27</v>
      </c>
      <c r="E4020" s="5">
        <v>-28578</v>
      </c>
      <c r="F4020" s="3" t="s">
        <v>899</v>
      </c>
      <c r="G4020" s="3" t="s">
        <v>52</v>
      </c>
      <c r="H4020" s="2" t="s">
        <v>21</v>
      </c>
      <c r="I4020" s="2" t="s">
        <v>8188</v>
      </c>
      <c r="J4020" s="3" t="str">
        <f>HYPERLINK("https://www.boe.es/gazeta/dias/1821/10/02/pdfs/GMD-1821-281.pdf#page=2","Abrir facsímil")</f>
        <v>Abrir facsímil</v>
      </c>
      <c r="K4020" s="3" t="s">
        <v>23</v>
      </c>
    </row>
    <row r="4021" spans="1:11" ht="42" customHeight="1">
      <c r="A4021" s="2" t="s">
        <v>8189</v>
      </c>
      <c r="B4021" s="2" t="s">
        <v>8190</v>
      </c>
      <c r="C4021" s="2" t="s">
        <v>26</v>
      </c>
      <c r="D4021" s="2" t="s">
        <v>27</v>
      </c>
      <c r="E4021" s="5">
        <v>-28753</v>
      </c>
      <c r="F4021" s="3" t="s">
        <v>720</v>
      </c>
      <c r="G4021" s="3" t="s">
        <v>88</v>
      </c>
      <c r="H4021" s="2" t="s">
        <v>21</v>
      </c>
      <c r="I4021" s="2" t="s">
        <v>8191</v>
      </c>
      <c r="J4021" s="3" t="str">
        <f>HYPERLINK("https://www.boe.es/gazeta/dias/1821/04/10/pdfs/GMD-1821-102.pdf#page=4","Abrir facsímil")</f>
        <v>Abrir facsímil</v>
      </c>
      <c r="K4021" s="3" t="s">
        <v>23</v>
      </c>
    </row>
    <row r="4022" spans="1:11" ht="42" customHeight="1">
      <c r="A4022" s="2" t="s">
        <v>8192</v>
      </c>
      <c r="B4022" s="2" t="s">
        <v>8193</v>
      </c>
      <c r="C4022" s="2" t="s">
        <v>40</v>
      </c>
      <c r="D4022" s="2" t="s">
        <v>41</v>
      </c>
      <c r="E4022" s="5">
        <v>-28797</v>
      </c>
      <c r="F4022" s="3" t="s">
        <v>2281</v>
      </c>
      <c r="G4022" s="3" t="s">
        <v>20</v>
      </c>
      <c r="H4022" s="2" t="s">
        <v>21</v>
      </c>
      <c r="I4022" s="2" t="s">
        <v>8194</v>
      </c>
      <c r="J4022" s="3" t="str">
        <f>HYPERLINK("https://www.boe.es/gazeta/dias/1821/02/25/pdfs/GGB-1821-56.pdf#page=3","Abrir facsímil")</f>
        <v>Abrir facsímil</v>
      </c>
      <c r="K4022" s="3" t="s">
        <v>23</v>
      </c>
    </row>
    <row r="4023" spans="1:11" ht="42" customHeight="1">
      <c r="A4023" s="2" t="s">
        <v>8195</v>
      </c>
      <c r="B4023" s="2" t="s">
        <v>8196</v>
      </c>
      <c r="C4023" s="2" t="s">
        <v>40</v>
      </c>
      <c r="D4023" s="2" t="s">
        <v>41</v>
      </c>
      <c r="E4023" s="5">
        <v>-28786</v>
      </c>
      <c r="F4023" s="3" t="s">
        <v>1933</v>
      </c>
      <c r="G4023" s="3" t="s">
        <v>20</v>
      </c>
      <c r="H4023" s="2" t="s">
        <v>21</v>
      </c>
      <c r="I4023" s="2" t="s">
        <v>8197</v>
      </c>
      <c r="J4023" s="3" t="str">
        <f>HYPERLINK("https://www.boe.es/gazeta/dias/1821/03/08/pdfs/GGB-1821-67.pdf#page=3","Abrir facsímil")</f>
        <v>Abrir facsímil</v>
      </c>
      <c r="K4023" s="3" t="s">
        <v>23</v>
      </c>
    </row>
    <row r="4024" spans="1:11" ht="42" customHeight="1">
      <c r="A4024" s="2" t="s">
        <v>8198</v>
      </c>
      <c r="B4024" s="2" t="s">
        <v>8199</v>
      </c>
      <c r="C4024" s="2" t="s">
        <v>26</v>
      </c>
      <c r="D4024" s="2" t="s">
        <v>27</v>
      </c>
      <c r="E4024" s="5">
        <v>-28554</v>
      </c>
      <c r="F4024" s="3" t="s">
        <v>433</v>
      </c>
      <c r="G4024" s="3" t="s">
        <v>52</v>
      </c>
      <c r="H4024" s="2" t="s">
        <v>21</v>
      </c>
      <c r="I4024" s="2" t="s">
        <v>8200</v>
      </c>
      <c r="J4024" s="3" t="str">
        <f>HYPERLINK("https://www.boe.es/gazeta/dias/1821/10/26/pdfs/GMD-1821-305.pdf#page=2","Abrir facsímil")</f>
        <v>Abrir facsímil</v>
      </c>
      <c r="K4024" s="3" t="s">
        <v>23</v>
      </c>
    </row>
    <row r="4025" spans="1:11" ht="42" customHeight="1">
      <c r="A4025" s="2" t="s">
        <v>8201</v>
      </c>
      <c r="B4025" s="2" t="s">
        <v>8202</v>
      </c>
      <c r="C4025" s="2" t="s">
        <v>70</v>
      </c>
      <c r="D4025" s="2" t="s">
        <v>27</v>
      </c>
      <c r="E4025" s="5">
        <v>-28723</v>
      </c>
      <c r="F4025" s="3" t="s">
        <v>840</v>
      </c>
      <c r="G4025" s="3" t="s">
        <v>43</v>
      </c>
      <c r="H4025" s="2" t="s">
        <v>30</v>
      </c>
      <c r="I4025" s="2" t="s">
        <v>8203</v>
      </c>
      <c r="J4025" s="3" t="str">
        <f>HYPERLINK("https://www.boe.es/gazeta/dias/1821/05/10/pdfs/GMD-1821-132.pdf#page=1","Abrir facsímil")</f>
        <v>Abrir facsímil</v>
      </c>
      <c r="K4025" s="3" t="s">
        <v>32</v>
      </c>
    </row>
    <row r="4026" spans="1:11" ht="42" customHeight="1">
      <c r="A4026" s="2" t="s">
        <v>8204</v>
      </c>
      <c r="B4026" s="2" t="s">
        <v>8205</v>
      </c>
      <c r="C4026" s="2" t="s">
        <v>26</v>
      </c>
      <c r="D4026" s="2" t="s">
        <v>27</v>
      </c>
      <c r="E4026" s="5">
        <v>-28572</v>
      </c>
      <c r="F4026" s="3" t="s">
        <v>1072</v>
      </c>
      <c r="G4026" s="3" t="s">
        <v>88</v>
      </c>
      <c r="H4026" s="2" t="s">
        <v>21</v>
      </c>
      <c r="I4026" s="2" t="s">
        <v>8206</v>
      </c>
      <c r="J4026" s="3" t="str">
        <f>HYPERLINK("https://www.boe.es/gazeta/dias/1821/10/08/pdfs/GMD-1821-287.pdf#page=4","Abrir facsímil")</f>
        <v>Abrir facsímil</v>
      </c>
      <c r="K4026" s="3" t="s">
        <v>23</v>
      </c>
    </row>
    <row r="4027" spans="1:11" ht="42" customHeight="1">
      <c r="A4027" s="2" t="s">
        <v>8207</v>
      </c>
      <c r="B4027" s="2" t="s">
        <v>8207</v>
      </c>
      <c r="C4027" s="2" t="s">
        <v>40</v>
      </c>
      <c r="D4027" s="2" t="s">
        <v>41</v>
      </c>
      <c r="E4027" s="5">
        <v>-28705</v>
      </c>
      <c r="F4027" s="3" t="s">
        <v>1844</v>
      </c>
      <c r="G4027" s="3" t="s">
        <v>52</v>
      </c>
      <c r="H4027" s="2" t="s">
        <v>21</v>
      </c>
      <c r="I4027" s="2" t="s">
        <v>8208</v>
      </c>
      <c r="J4027" s="3" t="str">
        <f>HYPERLINK("https://www.boe.es/gazeta/dias/1821/05/28/pdfs/GMD-1821-150.pdf#page=2","Abrir facsímil")</f>
        <v>Abrir facsímil</v>
      </c>
      <c r="K4027" s="3" t="s">
        <v>23</v>
      </c>
    </row>
    <row r="4028" spans="1:11" ht="42" customHeight="1">
      <c r="A4028" s="2" t="s">
        <v>8209</v>
      </c>
      <c r="B4028" s="2" t="s">
        <v>8210</v>
      </c>
      <c r="C4028" s="2" t="s">
        <v>26</v>
      </c>
      <c r="D4028" s="2" t="s">
        <v>27</v>
      </c>
      <c r="E4028" s="5">
        <v>-28620</v>
      </c>
      <c r="F4028" s="3" t="s">
        <v>87</v>
      </c>
      <c r="G4028" s="3" t="s">
        <v>88</v>
      </c>
      <c r="H4028" s="2" t="s">
        <v>21</v>
      </c>
      <c r="I4028" s="2" t="s">
        <v>8211</v>
      </c>
      <c r="J4028" s="3" t="str">
        <f>HYPERLINK("https://www.boe.es/gazeta/dias/1821/08/21/pdfs/GMD-1821-238.pdf#page=4","Abrir facsímil")</f>
        <v>Abrir facsímil</v>
      </c>
      <c r="K4028" s="3" t="s">
        <v>23</v>
      </c>
    </row>
    <row r="4029" spans="1:11" ht="42" customHeight="1">
      <c r="A4029" s="2" t="s">
        <v>8212</v>
      </c>
      <c r="B4029" s="2" t="s">
        <v>8212</v>
      </c>
      <c r="C4029" s="2" t="s">
        <v>26</v>
      </c>
      <c r="D4029" s="2" t="s">
        <v>27</v>
      </c>
      <c r="E4029" s="5">
        <v>-28851</v>
      </c>
      <c r="F4029" s="3" t="s">
        <v>3227</v>
      </c>
      <c r="G4029" s="3" t="s">
        <v>52</v>
      </c>
      <c r="H4029" s="2" t="s">
        <v>21</v>
      </c>
      <c r="I4029" s="2" t="s">
        <v>8213</v>
      </c>
      <c r="J4029" s="3" t="str">
        <f>HYPERLINK("https://www.boe.es/gazeta/dias/1821/01/02/pdfs/GGB-1821-2.pdf#page=2","Abrir facsímil")</f>
        <v>Abrir facsímil</v>
      </c>
      <c r="K4029" s="3" t="s">
        <v>23</v>
      </c>
    </row>
    <row r="4030" spans="1:11" ht="42" customHeight="1">
      <c r="A4030" s="2" t="s">
        <v>8212</v>
      </c>
      <c r="B4030" s="2" t="s">
        <v>8212</v>
      </c>
      <c r="C4030" s="2" t="s">
        <v>40</v>
      </c>
      <c r="D4030" s="2" t="s">
        <v>41</v>
      </c>
      <c r="E4030" s="5">
        <v>-28826</v>
      </c>
      <c r="F4030" s="3" t="s">
        <v>2706</v>
      </c>
      <c r="G4030" s="3" t="s">
        <v>2707</v>
      </c>
      <c r="H4030" s="2" t="s">
        <v>21</v>
      </c>
      <c r="I4030" s="2" t="s">
        <v>8214</v>
      </c>
      <c r="J4030" s="3" t="str">
        <f>HYPERLINK("https://www.boe.es/gazeta/dias/1821/01/27/pdfs/GGB-1821-27.pdf#page=3","Abrir facsímil")</f>
        <v>Abrir facsímil</v>
      </c>
      <c r="K4030" s="3" t="s">
        <v>23</v>
      </c>
    </row>
    <row r="4031" spans="1:11" ht="42" customHeight="1">
      <c r="A4031" s="2" t="s">
        <v>8212</v>
      </c>
      <c r="B4031" s="2" t="s">
        <v>8212</v>
      </c>
      <c r="C4031" s="2" t="s">
        <v>17</v>
      </c>
      <c r="D4031" s="2" t="s">
        <v>18</v>
      </c>
      <c r="E4031" s="5">
        <v>-28741</v>
      </c>
      <c r="F4031" s="3" t="s">
        <v>1841</v>
      </c>
      <c r="G4031" s="3" t="s">
        <v>20</v>
      </c>
      <c r="H4031" s="2" t="s">
        <v>21</v>
      </c>
      <c r="I4031" s="2" t="s">
        <v>8215</v>
      </c>
      <c r="J4031" s="3" t="str">
        <f>HYPERLINK("https://www.boe.es/gazeta/dias/1821/04/22/pdfs/GMD-1821-114.pdf#page=3","Abrir facsímil")</f>
        <v>Abrir facsímil</v>
      </c>
      <c r="K4031" s="3" t="s">
        <v>23</v>
      </c>
    </row>
    <row r="4032" spans="1:11" ht="42" customHeight="1">
      <c r="A4032" s="2" t="s">
        <v>8216</v>
      </c>
      <c r="B4032" s="2" t="s">
        <v>8217</v>
      </c>
      <c r="C4032" s="2" t="s">
        <v>26</v>
      </c>
      <c r="D4032" s="2" t="s">
        <v>27</v>
      </c>
      <c r="E4032" s="5">
        <v>-28585</v>
      </c>
      <c r="F4032" s="3" t="s">
        <v>627</v>
      </c>
      <c r="G4032" s="3" t="s">
        <v>43</v>
      </c>
      <c r="H4032" s="2" t="s">
        <v>30</v>
      </c>
      <c r="I4032" s="2" t="s">
        <v>8218</v>
      </c>
      <c r="J4032" s="3" t="str">
        <f>HYPERLINK("https://www.boe.es/gazeta/dias/1821/09/25/pdfs/GMD-1821-273.pdf#page=1","Abrir facsímil")</f>
        <v>Abrir facsímil</v>
      </c>
      <c r="K4032" s="3" t="s">
        <v>32</v>
      </c>
    </row>
    <row r="4033" spans="1:11" ht="42" customHeight="1">
      <c r="A4033" s="2" t="s">
        <v>8219</v>
      </c>
      <c r="B4033" s="2" t="s">
        <v>8220</v>
      </c>
      <c r="C4033" s="2" t="s">
        <v>40</v>
      </c>
      <c r="D4033" s="2" t="s">
        <v>41</v>
      </c>
      <c r="E4033" s="5">
        <v>-28616</v>
      </c>
      <c r="F4033" s="3" t="s">
        <v>1912</v>
      </c>
      <c r="G4033" s="3" t="s">
        <v>1913</v>
      </c>
      <c r="H4033" s="2" t="s">
        <v>21</v>
      </c>
      <c r="I4033" s="2" t="s">
        <v>8221</v>
      </c>
      <c r="J4033" s="3" t="str">
        <f>HYPERLINK("https://www.boe.es/gazeta/dias/1821/08/25/pdfs/GMD-1821-242.pdf#page=3","Abrir facsímil")</f>
        <v>Abrir facsímil</v>
      </c>
      <c r="K4033" s="3" t="s">
        <v>23</v>
      </c>
    </row>
    <row r="4034" spans="1:11" ht="42" customHeight="1">
      <c r="A4034" s="2" t="s">
        <v>8222</v>
      </c>
      <c r="B4034" s="2" t="s">
        <v>8223</v>
      </c>
      <c r="C4034" s="2" t="s">
        <v>26</v>
      </c>
      <c r="D4034" s="2" t="s">
        <v>27</v>
      </c>
      <c r="E4034" s="5">
        <v>-28707</v>
      </c>
      <c r="F4034" s="3" t="s">
        <v>495</v>
      </c>
      <c r="G4034" s="3" t="s">
        <v>52</v>
      </c>
      <c r="H4034" s="2" t="s">
        <v>21</v>
      </c>
      <c r="I4034" s="2" t="s">
        <v>8224</v>
      </c>
      <c r="J4034" s="3" t="str">
        <f>HYPERLINK("https://www.boe.es/gazeta/dias/1821/05/26/pdfs/GMD-1821-148.pdf#page=2","Abrir facsímil")</f>
        <v>Abrir facsímil</v>
      </c>
      <c r="K4034" s="3" t="s">
        <v>23</v>
      </c>
    </row>
    <row r="4035" spans="1:11" ht="42" customHeight="1">
      <c r="A4035" s="2" t="s">
        <v>8225</v>
      </c>
      <c r="B4035" s="2" t="s">
        <v>8226</v>
      </c>
      <c r="C4035" s="2" t="s">
        <v>17</v>
      </c>
      <c r="D4035" s="2" t="s">
        <v>18</v>
      </c>
      <c r="E4035" s="5">
        <v>-28758</v>
      </c>
      <c r="F4035" s="3" t="s">
        <v>4115</v>
      </c>
      <c r="G4035" s="3" t="s">
        <v>52</v>
      </c>
      <c r="H4035" s="2" t="s">
        <v>21</v>
      </c>
      <c r="I4035" s="2" t="s">
        <v>8227</v>
      </c>
      <c r="J4035" s="3" t="str">
        <f>HYPERLINK("https://www.boe.es/gazeta/dias/1821/04/05/pdfs/GMD-1821-97.pdf#page=2","Abrir facsímil")</f>
        <v>Abrir facsímil</v>
      </c>
      <c r="K4035" s="3" t="s">
        <v>23</v>
      </c>
    </row>
    <row r="4036" spans="1:11" ht="42" customHeight="1">
      <c r="A4036" s="2" t="s">
        <v>8228</v>
      </c>
      <c r="B4036" s="2" t="s">
        <v>8229</v>
      </c>
      <c r="C4036" s="2" t="s">
        <v>26</v>
      </c>
      <c r="D4036" s="2" t="s">
        <v>27</v>
      </c>
      <c r="E4036" s="5">
        <v>-28847</v>
      </c>
      <c r="F4036" s="3" t="s">
        <v>288</v>
      </c>
      <c r="G4036" s="3" t="s">
        <v>289</v>
      </c>
      <c r="H4036" s="2" t="s">
        <v>21</v>
      </c>
      <c r="I4036" s="2" t="s">
        <v>8230</v>
      </c>
      <c r="J4036" s="3" t="str">
        <f>HYPERLINK("https://www.boe.es/gazeta/dias/1821/01/06/pdfs/GGB-1821-6.pdf#page=4","Abrir facsímil")</f>
        <v>Abrir facsímil</v>
      </c>
      <c r="K4036" s="3" t="s">
        <v>23</v>
      </c>
    </row>
    <row r="4037" spans="1:11" ht="42" customHeight="1">
      <c r="A4037" s="2" t="s">
        <v>8231</v>
      </c>
      <c r="B4037" s="2" t="s">
        <v>8232</v>
      </c>
      <c r="C4037" s="2" t="s">
        <v>40</v>
      </c>
      <c r="D4037" s="2" t="s">
        <v>41</v>
      </c>
      <c r="E4037" s="5">
        <v>-28508</v>
      </c>
      <c r="F4037" s="3" t="s">
        <v>42</v>
      </c>
      <c r="G4037" s="3" t="s">
        <v>43</v>
      </c>
      <c r="H4037" s="2" t="s">
        <v>21</v>
      </c>
      <c r="I4037" s="2" t="s">
        <v>8233</v>
      </c>
      <c r="J4037" s="3" t="str">
        <f>HYPERLINK("https://www.boe.es/gazeta/dias/1821/12/11/pdfs/GMD-1821-353.pdf#page=1","Abrir facsímil")</f>
        <v>Abrir facsímil</v>
      </c>
      <c r="K4037" s="3" t="s">
        <v>23</v>
      </c>
    </row>
    <row r="4038" spans="1:11" ht="42" customHeight="1">
      <c r="A4038" s="2" t="s">
        <v>8234</v>
      </c>
      <c r="B4038" s="2" t="s">
        <v>8234</v>
      </c>
      <c r="C4038" s="2" t="s">
        <v>17</v>
      </c>
      <c r="D4038" s="2" t="s">
        <v>18</v>
      </c>
      <c r="E4038" s="5">
        <v>-28789</v>
      </c>
      <c r="F4038" s="3" t="s">
        <v>36</v>
      </c>
      <c r="G4038" s="3" t="s">
        <v>43</v>
      </c>
      <c r="H4038" s="2" t="s">
        <v>21</v>
      </c>
      <c r="I4038" s="2" t="s">
        <v>8235</v>
      </c>
      <c r="J4038" s="3" t="str">
        <f>HYPERLINK("https://www.boe.es/gazeta/dias/1821/03/05/pdfs/GGB-1821-64.pdf#page=1","Abrir facsímil")</f>
        <v>Abrir facsímil</v>
      </c>
      <c r="K4038" s="3" t="s">
        <v>23</v>
      </c>
    </row>
    <row r="4039" spans="1:11" ht="42" customHeight="1">
      <c r="A4039" s="2" t="s">
        <v>8236</v>
      </c>
      <c r="B4039" s="2" t="s">
        <v>8236</v>
      </c>
      <c r="C4039" s="2" t="s">
        <v>17</v>
      </c>
      <c r="D4039" s="2" t="s">
        <v>18</v>
      </c>
      <c r="E4039" s="5">
        <v>-28668</v>
      </c>
      <c r="F4039" s="3" t="s">
        <v>2130</v>
      </c>
      <c r="G4039" s="3" t="s">
        <v>88</v>
      </c>
      <c r="H4039" s="2" t="s">
        <v>21</v>
      </c>
      <c r="I4039" s="2" t="s">
        <v>8237</v>
      </c>
      <c r="J4039" s="3" t="str">
        <f>HYPERLINK("https://www.boe.es/gazeta/dias/1821/07/04/pdfs/GMD-1821-188.pdf#page=4","Abrir facsímil")</f>
        <v>Abrir facsímil</v>
      </c>
      <c r="K4039" s="3" t="s">
        <v>23</v>
      </c>
    </row>
    <row r="4040" spans="1:11" ht="42" customHeight="1">
      <c r="A4040" s="2" t="s">
        <v>8238</v>
      </c>
      <c r="B4040" s="2" t="s">
        <v>8239</v>
      </c>
      <c r="C4040" s="2" t="s">
        <v>40</v>
      </c>
      <c r="D4040" s="2" t="s">
        <v>41</v>
      </c>
      <c r="E4040" s="5">
        <v>-28850</v>
      </c>
      <c r="F4040" s="3" t="s">
        <v>664</v>
      </c>
      <c r="G4040" s="3" t="s">
        <v>20</v>
      </c>
      <c r="H4040" s="2" t="s">
        <v>21</v>
      </c>
      <c r="I4040" s="2" t="s">
        <v>8240</v>
      </c>
      <c r="J4040" s="3" t="str">
        <f>HYPERLINK("https://www.boe.es/gazeta/dias/1821/01/03/pdfs/GGB-1821-3.pdf#page=3","Abrir facsímil")</f>
        <v>Abrir facsímil</v>
      </c>
      <c r="K4040" s="3" t="s">
        <v>23</v>
      </c>
    </row>
    <row r="4041" spans="1:11" ht="42" customHeight="1">
      <c r="A4041" s="2" t="s">
        <v>8241</v>
      </c>
      <c r="B4041" s="2" t="s">
        <v>8242</v>
      </c>
      <c r="C4041" s="2" t="s">
        <v>40</v>
      </c>
      <c r="D4041" s="2" t="s">
        <v>41</v>
      </c>
      <c r="E4041" s="5">
        <v>-28561</v>
      </c>
      <c r="F4041" s="3" t="s">
        <v>240</v>
      </c>
      <c r="G4041" s="3" t="s">
        <v>29</v>
      </c>
      <c r="H4041" s="2" t="s">
        <v>21</v>
      </c>
      <c r="I4041" s="2" t="s">
        <v>8243</v>
      </c>
      <c r="J4041" s="3" t="str">
        <f>HYPERLINK("https://www.boe.es/gazeta/dias/1821/10/19/pdfs/GMD-1821-298.pdf#page=6","Abrir facsímil")</f>
        <v>Abrir facsímil</v>
      </c>
      <c r="K4041" s="3" t="s">
        <v>23</v>
      </c>
    </row>
    <row r="4042" spans="1:11" ht="42" customHeight="1">
      <c r="A4042" s="2" t="s">
        <v>8244</v>
      </c>
      <c r="B4042" s="2" t="s">
        <v>8245</v>
      </c>
      <c r="C4042" s="2" t="s">
        <v>40</v>
      </c>
      <c r="D4042" s="2" t="s">
        <v>41</v>
      </c>
      <c r="E4042" s="5">
        <v>-28793</v>
      </c>
      <c r="F4042" s="3" t="s">
        <v>157</v>
      </c>
      <c r="G4042" s="3" t="s">
        <v>162</v>
      </c>
      <c r="H4042" s="2" t="s">
        <v>21</v>
      </c>
      <c r="I4042" s="2" t="s">
        <v>8246</v>
      </c>
      <c r="J4042" s="3" t="str">
        <f>HYPERLINK("https://www.boe.es/gazeta/dias/1821/03/01/pdfs/GGB-1821-60.pdf#page=5","Abrir facsímil")</f>
        <v>Abrir facsímil</v>
      </c>
      <c r="K4042" s="3" t="s">
        <v>23</v>
      </c>
    </row>
    <row r="4043" spans="1:11" ht="42" customHeight="1">
      <c r="A4043" s="2" t="s">
        <v>8247</v>
      </c>
      <c r="B4043" s="2" t="s">
        <v>8248</v>
      </c>
      <c r="C4043" s="2" t="s">
        <v>17</v>
      </c>
      <c r="D4043" s="2" t="s">
        <v>18</v>
      </c>
      <c r="E4043" s="5">
        <v>-28586</v>
      </c>
      <c r="F4043" s="3" t="s">
        <v>587</v>
      </c>
      <c r="G4043" s="3" t="s">
        <v>588</v>
      </c>
      <c r="H4043" s="2" t="s">
        <v>21</v>
      </c>
      <c r="I4043" s="2" t="s">
        <v>8249</v>
      </c>
      <c r="J4043" s="3" t="str">
        <f>HYPERLINK("https://www.boe.es/gazeta/dias/1821/09/24/pdfs/GMD-1821-272.pdf#page=3","Abrir facsímil")</f>
        <v>Abrir facsímil</v>
      </c>
      <c r="K4043" s="3" t="s">
        <v>23</v>
      </c>
    </row>
    <row r="4044" spans="1:11" ht="42" customHeight="1">
      <c r="A4044" s="2" t="s">
        <v>8250</v>
      </c>
      <c r="B4044" s="2" t="s">
        <v>8251</v>
      </c>
      <c r="C4044" s="2" t="s">
        <v>17</v>
      </c>
      <c r="D4044" s="2" t="s">
        <v>18</v>
      </c>
      <c r="E4044" s="5">
        <v>-28587</v>
      </c>
      <c r="F4044" s="3" t="s">
        <v>392</v>
      </c>
      <c r="G4044" s="3" t="s">
        <v>88</v>
      </c>
      <c r="H4044" s="2" t="s">
        <v>21</v>
      </c>
      <c r="I4044" s="2" t="s">
        <v>8252</v>
      </c>
      <c r="J4044" s="3" t="str">
        <f>HYPERLINK("https://www.boe.es/gazeta/dias/1821/09/23/pdfs/GMD-1821-271.pdf#page=4","Abrir facsímil")</f>
        <v>Abrir facsímil</v>
      </c>
      <c r="K4044" s="3" t="s">
        <v>23</v>
      </c>
    </row>
    <row r="4045" spans="1:11" ht="42" customHeight="1">
      <c r="A4045" s="2" t="s">
        <v>8253</v>
      </c>
      <c r="B4045" s="2" t="s">
        <v>8254</v>
      </c>
      <c r="C4045" s="2" t="s">
        <v>17</v>
      </c>
      <c r="D4045" s="2" t="s">
        <v>18</v>
      </c>
      <c r="E4045" s="5">
        <v>-28511</v>
      </c>
      <c r="F4045" s="3" t="s">
        <v>340</v>
      </c>
      <c r="G4045" s="3" t="s">
        <v>52</v>
      </c>
      <c r="H4045" s="2" t="s">
        <v>21</v>
      </c>
      <c r="I4045" s="2" t="s">
        <v>8255</v>
      </c>
      <c r="J4045" s="3" t="str">
        <f>HYPERLINK("https://www.boe.es/gazeta/dias/1821/12/08/pdfs/GMD-1821-350.pdf#page=2","Abrir facsímil")</f>
        <v>Abrir facsímil</v>
      </c>
      <c r="K4045" s="3" t="s">
        <v>23</v>
      </c>
    </row>
    <row r="4046" spans="1:11" ht="42" customHeight="1">
      <c r="A4046" s="2" t="s">
        <v>8256</v>
      </c>
      <c r="B4046" s="2" t="s">
        <v>8257</v>
      </c>
      <c r="C4046" s="2" t="s">
        <v>70</v>
      </c>
      <c r="D4046" s="2" t="s">
        <v>27</v>
      </c>
      <c r="E4046" s="5">
        <v>-28732</v>
      </c>
      <c r="F4046" s="3" t="s">
        <v>2628</v>
      </c>
      <c r="G4046" s="3" t="s">
        <v>52</v>
      </c>
      <c r="H4046" s="2" t="s">
        <v>21</v>
      </c>
      <c r="I4046" s="2" t="s">
        <v>8258</v>
      </c>
      <c r="J4046" s="3" t="str">
        <f>HYPERLINK("https://www.boe.es/gazeta/dias/1821/05/01/pdfs/GMD-1821-123.pdf#page=2","Abrir facsímil")</f>
        <v>Abrir facsímil</v>
      </c>
      <c r="K4046" s="3" t="s">
        <v>23</v>
      </c>
    </row>
    <row r="4047" spans="1:11" ht="42" customHeight="1">
      <c r="A4047" s="2" t="s">
        <v>8259</v>
      </c>
      <c r="B4047" s="2" t="s">
        <v>8259</v>
      </c>
      <c r="C4047" s="2" t="s">
        <v>35</v>
      </c>
      <c r="D4047" s="2" t="s">
        <v>27</v>
      </c>
      <c r="E4047" s="5">
        <v>-28560</v>
      </c>
      <c r="F4047" s="3" t="s">
        <v>363</v>
      </c>
      <c r="G4047" s="3" t="s">
        <v>88</v>
      </c>
      <c r="H4047" s="2" t="s">
        <v>21</v>
      </c>
      <c r="I4047" s="2" t="s">
        <v>8260</v>
      </c>
      <c r="J4047" s="3" t="str">
        <f>HYPERLINK("https://www.boe.es/gazeta/dias/1821/10/20/pdfs/GMD-1821-299.pdf#page=4","Abrir facsímil")</f>
        <v>Abrir facsímil</v>
      </c>
      <c r="K4047" s="3" t="s">
        <v>23</v>
      </c>
    </row>
    <row r="4048" spans="1:11" ht="42" customHeight="1">
      <c r="A4048" s="2" t="s">
        <v>8259</v>
      </c>
      <c r="B4048" s="2" t="s">
        <v>8259</v>
      </c>
      <c r="C4048" s="2" t="s">
        <v>40</v>
      </c>
      <c r="D4048" s="2" t="s">
        <v>41</v>
      </c>
      <c r="E4048" s="5">
        <v>-28551</v>
      </c>
      <c r="F4048" s="3" t="s">
        <v>542</v>
      </c>
      <c r="G4048" s="3" t="s">
        <v>88</v>
      </c>
      <c r="H4048" s="2" t="s">
        <v>21</v>
      </c>
      <c r="I4048" s="2" t="s">
        <v>8261</v>
      </c>
      <c r="J4048" s="3" t="str">
        <f>HYPERLINK("https://www.boe.es/gazeta/dias/1821/10/29/pdfs/GMD-1821-308.pdf#page=4","Abrir facsímil")</f>
        <v>Abrir facsímil</v>
      </c>
      <c r="K4048" s="3" t="s">
        <v>23</v>
      </c>
    </row>
    <row r="4049" spans="1:11" ht="42" customHeight="1">
      <c r="A4049" s="2" t="s">
        <v>8259</v>
      </c>
      <c r="B4049" s="2" t="s">
        <v>8259</v>
      </c>
      <c r="C4049" s="2" t="s">
        <v>35</v>
      </c>
      <c r="D4049" s="2" t="s">
        <v>27</v>
      </c>
      <c r="E4049" s="5">
        <v>-28548</v>
      </c>
      <c r="F4049" s="3" t="s">
        <v>782</v>
      </c>
      <c r="G4049" s="3" t="s">
        <v>20</v>
      </c>
      <c r="H4049" s="2" t="s">
        <v>21</v>
      </c>
      <c r="I4049" s="2" t="s">
        <v>8262</v>
      </c>
      <c r="J4049" s="3" t="str">
        <f>HYPERLINK("https://www.boe.es/gazeta/dias/1821/11/01/pdfs/GMD-1821-311.pdf#page=3","Abrir facsímil")</f>
        <v>Abrir facsímil</v>
      </c>
      <c r="K4049" s="3" t="s">
        <v>23</v>
      </c>
    </row>
    <row r="4050" spans="1:11" ht="42" customHeight="1">
      <c r="A4050" s="2" t="s">
        <v>8263</v>
      </c>
      <c r="B4050" s="2" t="s">
        <v>8263</v>
      </c>
      <c r="C4050" s="2" t="s">
        <v>40</v>
      </c>
      <c r="D4050" s="2" t="s">
        <v>41</v>
      </c>
      <c r="E4050" s="5">
        <v>-28784</v>
      </c>
      <c r="F4050" s="3" t="s">
        <v>451</v>
      </c>
      <c r="G4050" s="3" t="s">
        <v>43</v>
      </c>
      <c r="H4050" s="2" t="s">
        <v>21</v>
      </c>
      <c r="I4050" s="2" t="s">
        <v>8264</v>
      </c>
      <c r="J4050" s="3" t="str">
        <f>HYPERLINK("https://www.boe.es/gazeta/dias/1821/03/10/pdfs/GGB-1821-69.pdf#page=1","Abrir facsímil")</f>
        <v>Abrir facsímil</v>
      </c>
      <c r="K4050" s="3" t="s">
        <v>23</v>
      </c>
    </row>
    <row r="4051" spans="1:11" ht="42" customHeight="1">
      <c r="A4051" s="2" t="s">
        <v>8265</v>
      </c>
      <c r="B4051" s="2" t="s">
        <v>8265</v>
      </c>
      <c r="C4051" s="2" t="s">
        <v>26</v>
      </c>
      <c r="D4051" s="2" t="s">
        <v>27</v>
      </c>
      <c r="E4051" s="5">
        <v>-28796</v>
      </c>
      <c r="F4051" s="3" t="s">
        <v>1421</v>
      </c>
      <c r="G4051" s="3" t="s">
        <v>8266</v>
      </c>
      <c r="H4051" s="2" t="s">
        <v>21</v>
      </c>
      <c r="I4051" s="2" t="s">
        <v>8267</v>
      </c>
      <c r="J4051" s="3" t="str">
        <f>HYPERLINK("https://www.boe.es/gazeta/dias/1821/02/26/pdfs/GGB-1821-57.pdf#page=4","Abrir facsímil")</f>
        <v>Abrir facsímil</v>
      </c>
      <c r="K4051" s="3" t="s">
        <v>23</v>
      </c>
    </row>
    <row r="4052" spans="1:11" ht="42" customHeight="1">
      <c r="A4052" s="2" t="s">
        <v>8268</v>
      </c>
      <c r="B4052" s="2" t="s">
        <v>8269</v>
      </c>
      <c r="C4052" s="2" t="s">
        <v>17</v>
      </c>
      <c r="D4052" s="2" t="s">
        <v>18</v>
      </c>
      <c r="E4052" s="5">
        <v>-28737</v>
      </c>
      <c r="F4052" s="3" t="s">
        <v>732</v>
      </c>
      <c r="G4052" s="3" t="s">
        <v>52</v>
      </c>
      <c r="H4052" s="2" t="s">
        <v>21</v>
      </c>
      <c r="I4052" s="2" t="s">
        <v>8270</v>
      </c>
      <c r="J4052" s="3" t="str">
        <f>HYPERLINK("https://www.boe.es/gazeta/dias/1821/04/26/pdfs/GMD-1821-118.pdf#page=2","Abrir facsímil")</f>
        <v>Abrir facsímil</v>
      </c>
      <c r="K4052" s="3" t="s">
        <v>23</v>
      </c>
    </row>
    <row r="4053" spans="1:11" ht="42" customHeight="1">
      <c r="A4053" s="2" t="s">
        <v>8271</v>
      </c>
      <c r="B4053" s="2" t="s">
        <v>8272</v>
      </c>
      <c r="C4053" s="2" t="s">
        <v>17</v>
      </c>
      <c r="D4053" s="2" t="s">
        <v>18</v>
      </c>
      <c r="E4053" s="5">
        <v>-28678</v>
      </c>
      <c r="F4053" s="3" t="s">
        <v>215</v>
      </c>
      <c r="G4053" s="3" t="s">
        <v>88</v>
      </c>
      <c r="H4053" s="2" t="s">
        <v>21</v>
      </c>
      <c r="I4053" s="2" t="s">
        <v>8273</v>
      </c>
      <c r="J4053" s="3" t="str">
        <f>HYPERLINK("https://www.boe.es/gazeta/dias/1821/06/24/pdfs/GMD-1821-177.pdf#page=4","Abrir facsímil")</f>
        <v>Abrir facsímil</v>
      </c>
      <c r="K4053" s="3" t="s">
        <v>23</v>
      </c>
    </row>
    <row r="4054" spans="1:11" ht="42" customHeight="1">
      <c r="A4054" s="2" t="s">
        <v>8274</v>
      </c>
      <c r="B4054" s="2" t="s">
        <v>8275</v>
      </c>
      <c r="C4054" s="2" t="s">
        <v>40</v>
      </c>
      <c r="D4054" s="2" t="s">
        <v>41</v>
      </c>
      <c r="E4054" s="5">
        <v>-28538</v>
      </c>
      <c r="F4054" s="3" t="s">
        <v>395</v>
      </c>
      <c r="G4054" s="3" t="s">
        <v>52</v>
      </c>
      <c r="H4054" s="2" t="s">
        <v>21</v>
      </c>
      <c r="I4054" s="2" t="s">
        <v>8276</v>
      </c>
      <c r="J4054" s="3" t="str">
        <f>HYPERLINK("https://www.boe.es/gazeta/dias/1821/11/11/pdfs/GMD-1821-322.pdf#page=2","Abrir facsímil")</f>
        <v>Abrir facsímil</v>
      </c>
      <c r="K4054" s="3" t="s">
        <v>23</v>
      </c>
    </row>
    <row r="4055" spans="1:11" ht="42" customHeight="1">
      <c r="A4055" s="2" t="s">
        <v>8277</v>
      </c>
      <c r="B4055" s="2" t="s">
        <v>8278</v>
      </c>
      <c r="C4055" s="2" t="s">
        <v>114</v>
      </c>
      <c r="D4055" s="2" t="s">
        <v>27</v>
      </c>
      <c r="E4055" s="5">
        <v>-28629</v>
      </c>
      <c r="F4055" s="3" t="s">
        <v>235</v>
      </c>
      <c r="G4055" s="3" t="s">
        <v>88</v>
      </c>
      <c r="H4055" s="2" t="s">
        <v>21</v>
      </c>
      <c r="I4055" s="2" t="s">
        <v>8279</v>
      </c>
      <c r="J4055" s="3" t="str">
        <f>HYPERLINK("https://www.boe.es/gazeta/dias/1821/08/12/pdfs/GMD-1821-229.pdf#page=4","Abrir facsímil")</f>
        <v>Abrir facsímil</v>
      </c>
      <c r="K4055" s="3" t="s">
        <v>23</v>
      </c>
    </row>
    <row r="4056" spans="1:11" ht="42" customHeight="1">
      <c r="A4056" s="2" t="s">
        <v>8280</v>
      </c>
      <c r="B4056" s="2" t="s">
        <v>8281</v>
      </c>
      <c r="C4056" s="2" t="s">
        <v>26</v>
      </c>
      <c r="D4056" s="2" t="s">
        <v>27</v>
      </c>
      <c r="E4056" s="5">
        <v>-28718</v>
      </c>
      <c r="F4056" s="3" t="s">
        <v>583</v>
      </c>
      <c r="G4056" s="3" t="s">
        <v>88</v>
      </c>
      <c r="H4056" s="2" t="s">
        <v>21</v>
      </c>
      <c r="I4056" s="2" t="s">
        <v>8282</v>
      </c>
      <c r="J4056" s="3" t="str">
        <f>HYPERLINK("https://www.boe.es/gazeta/dias/1821/05/15/pdfs/GMD-1821-137.pdf#page=4","Abrir facsímil")</f>
        <v>Abrir facsímil</v>
      </c>
      <c r="K4056" s="3" t="s">
        <v>23</v>
      </c>
    </row>
    <row r="4057" spans="1:11" ht="42" customHeight="1">
      <c r="A4057" s="2" t="s">
        <v>8283</v>
      </c>
      <c r="B4057" s="2" t="s">
        <v>8284</v>
      </c>
      <c r="C4057" s="2" t="s">
        <v>40</v>
      </c>
      <c r="D4057" s="2" t="s">
        <v>41</v>
      </c>
      <c r="E4057" s="5">
        <v>-28665</v>
      </c>
      <c r="F4057" s="3" t="s">
        <v>789</v>
      </c>
      <c r="G4057" s="3" t="s">
        <v>790</v>
      </c>
      <c r="H4057" s="2" t="s">
        <v>21</v>
      </c>
      <c r="I4057" s="2" t="s">
        <v>8285</v>
      </c>
      <c r="J4057" s="3" t="str">
        <f>HYPERLINK("https://www.boe.es/gazeta/dias/1821/07/07/pdfs/GMD-1821-191.pdf#page=4","Abrir facsímil")</f>
        <v>Abrir facsímil</v>
      </c>
      <c r="K4057" s="3" t="s">
        <v>23</v>
      </c>
    </row>
    <row r="4058" spans="1:11" ht="42" customHeight="1">
      <c r="A4058" s="2" t="s">
        <v>8286</v>
      </c>
      <c r="B4058" s="2" t="s">
        <v>8287</v>
      </c>
      <c r="C4058" s="2" t="s">
        <v>17</v>
      </c>
      <c r="D4058" s="2" t="s">
        <v>18</v>
      </c>
      <c r="E4058" s="5">
        <v>-28696</v>
      </c>
      <c r="F4058" s="3" t="s">
        <v>497</v>
      </c>
      <c r="G4058" s="3" t="s">
        <v>88</v>
      </c>
      <c r="H4058" s="2" t="s">
        <v>30</v>
      </c>
      <c r="I4058" s="2" t="s">
        <v>8288</v>
      </c>
      <c r="J4058" s="3" t="str">
        <f>HYPERLINK("https://www.boe.es/gazeta/dias/1821/06/06/pdfs/GMD-1821-159.pdf#page=4","Abrir facsímil")</f>
        <v>Abrir facsímil</v>
      </c>
      <c r="K4058" s="3" t="s">
        <v>32</v>
      </c>
    </row>
    <row r="4059" spans="1:11" ht="42" customHeight="1">
      <c r="A4059" s="2" t="s">
        <v>8289</v>
      </c>
      <c r="B4059" s="2" t="s">
        <v>8290</v>
      </c>
      <c r="C4059" s="2" t="s">
        <v>17</v>
      </c>
      <c r="D4059" s="2" t="s">
        <v>18</v>
      </c>
      <c r="E4059" s="5">
        <v>-28677</v>
      </c>
      <c r="F4059" s="3" t="s">
        <v>361</v>
      </c>
      <c r="G4059" s="3" t="s">
        <v>29</v>
      </c>
      <c r="H4059" s="2" t="s">
        <v>21</v>
      </c>
      <c r="I4059" s="2" t="s">
        <v>8291</v>
      </c>
      <c r="J4059" s="3" t="str">
        <f>HYPERLINK("https://www.boe.es/gazeta/dias/1821/06/25/pdfs/GMD-1821-178.pdf#page=6","Abrir facsímil")</f>
        <v>Abrir facsímil</v>
      </c>
      <c r="K4059" s="3" t="s">
        <v>23</v>
      </c>
    </row>
    <row r="4060" spans="1:11" ht="42" customHeight="1">
      <c r="A4060" s="2" t="s">
        <v>8292</v>
      </c>
      <c r="B4060" s="2" t="s">
        <v>8293</v>
      </c>
      <c r="C4060" s="2" t="s">
        <v>40</v>
      </c>
      <c r="D4060" s="2" t="s">
        <v>41</v>
      </c>
      <c r="E4060" s="5">
        <v>-28818</v>
      </c>
      <c r="F4060" s="3" t="s">
        <v>2337</v>
      </c>
      <c r="G4060" s="3" t="s">
        <v>4055</v>
      </c>
      <c r="H4060" s="2" t="s">
        <v>21</v>
      </c>
      <c r="I4060" s="2" t="s">
        <v>8294</v>
      </c>
      <c r="J4060" s="3" t="str">
        <f>HYPERLINK("https://www.boe.es/gazeta/dias/1821/02/04/pdfs/GGB-1821-35.pdf#page=6","Abrir facsímil")</f>
        <v>Abrir facsímil</v>
      </c>
      <c r="K4060" s="3" t="s">
        <v>23</v>
      </c>
    </row>
    <row r="4061" spans="1:11" ht="42" customHeight="1">
      <c r="A4061" s="2" t="s">
        <v>8295</v>
      </c>
      <c r="B4061" s="2" t="s">
        <v>8295</v>
      </c>
      <c r="C4061" s="2" t="s">
        <v>26</v>
      </c>
      <c r="D4061" s="2" t="s">
        <v>27</v>
      </c>
      <c r="E4061" s="5">
        <v>-28561</v>
      </c>
      <c r="F4061" s="3" t="s">
        <v>240</v>
      </c>
      <c r="G4061" s="3" t="s">
        <v>162</v>
      </c>
      <c r="H4061" s="2" t="s">
        <v>21</v>
      </c>
      <c r="I4061" s="2" t="s">
        <v>8296</v>
      </c>
      <c r="J4061" s="3" t="str">
        <f>HYPERLINK("https://www.boe.es/gazeta/dias/1821/10/19/pdfs/GMD-1821-298.pdf#page=5","Abrir facsímil")</f>
        <v>Abrir facsímil</v>
      </c>
      <c r="K4061" s="3" t="s">
        <v>23</v>
      </c>
    </row>
    <row r="4062" spans="1:11" ht="42" customHeight="1">
      <c r="A4062" s="2" t="s">
        <v>8295</v>
      </c>
      <c r="B4062" s="2" t="s">
        <v>8295</v>
      </c>
      <c r="C4062" s="2" t="s">
        <v>17</v>
      </c>
      <c r="D4062" s="2" t="s">
        <v>18</v>
      </c>
      <c r="E4062" s="5">
        <v>-28520</v>
      </c>
      <c r="F4062" s="3" t="s">
        <v>878</v>
      </c>
      <c r="G4062" s="3" t="s">
        <v>43</v>
      </c>
      <c r="H4062" s="2" t="s">
        <v>21</v>
      </c>
      <c r="I4062" s="2" t="s">
        <v>8297</v>
      </c>
      <c r="J4062" s="3" t="str">
        <f>HYPERLINK("https://www.boe.es/gazeta/dias/1821/11/29/pdfs/GMD-1821-341.pdf#page=1","Abrir facsímil")</f>
        <v>Abrir facsímil</v>
      </c>
      <c r="K4062" s="3" t="s">
        <v>23</v>
      </c>
    </row>
    <row r="4063" spans="1:11" ht="42" customHeight="1">
      <c r="A4063" s="2" t="s">
        <v>8295</v>
      </c>
      <c r="B4063" s="2" t="s">
        <v>8295</v>
      </c>
      <c r="C4063" s="2" t="s">
        <v>26</v>
      </c>
      <c r="D4063" s="2" t="s">
        <v>27</v>
      </c>
      <c r="E4063" s="5">
        <v>-28498</v>
      </c>
      <c r="F4063" s="3" t="s">
        <v>447</v>
      </c>
      <c r="G4063" s="3" t="s">
        <v>1547</v>
      </c>
      <c r="H4063" s="2" t="s">
        <v>21</v>
      </c>
      <c r="I4063" s="2" t="s">
        <v>8298</v>
      </c>
      <c r="J4063" s="3" t="str">
        <f>HYPERLINK("https://www.boe.es/gazeta/dias/1821/12/21/pdfs/GMD-1821-364.pdf#page=2","Abrir facsímil")</f>
        <v>Abrir facsímil</v>
      </c>
      <c r="K4063" s="3" t="s">
        <v>23</v>
      </c>
    </row>
    <row r="4064" spans="1:11" ht="42" customHeight="1">
      <c r="A4064" s="2" t="s">
        <v>8295</v>
      </c>
      <c r="B4064" s="2" t="s">
        <v>8295</v>
      </c>
      <c r="C4064" s="2" t="s">
        <v>17</v>
      </c>
      <c r="D4064" s="2" t="s">
        <v>18</v>
      </c>
      <c r="E4064" s="5">
        <v>-28494</v>
      </c>
      <c r="F4064" s="3" t="s">
        <v>1665</v>
      </c>
      <c r="G4064" s="3" t="s">
        <v>2803</v>
      </c>
      <c r="H4064" s="2" t="s">
        <v>21</v>
      </c>
      <c r="I4064" s="2" t="s">
        <v>8299</v>
      </c>
      <c r="J4064" s="3" t="str">
        <f>HYPERLINK("https://www.boe.es/gazeta/dias/1821/12/25/pdfs/GMD-1821-368.pdf#page=2","Abrir facsímil")</f>
        <v>Abrir facsímil</v>
      </c>
      <c r="K4064" s="3" t="s">
        <v>23</v>
      </c>
    </row>
    <row r="4065" spans="1:11" ht="42" customHeight="1">
      <c r="A4065" s="2" t="s">
        <v>8300</v>
      </c>
      <c r="B4065" s="2" t="s">
        <v>8301</v>
      </c>
      <c r="C4065" s="2" t="s">
        <v>40</v>
      </c>
      <c r="D4065" s="2" t="s">
        <v>41</v>
      </c>
      <c r="E4065" s="5">
        <v>-28599</v>
      </c>
      <c r="F4065" s="3" t="s">
        <v>902</v>
      </c>
      <c r="G4065" s="3" t="s">
        <v>88</v>
      </c>
      <c r="H4065" s="2" t="s">
        <v>21</v>
      </c>
      <c r="I4065" s="2" t="s">
        <v>8302</v>
      </c>
      <c r="J4065" s="3" t="str">
        <f>HYPERLINK("https://www.boe.es/gazeta/dias/1821/09/11/pdfs/GMD-1821-259.pdf#page=4","Abrir facsímil")</f>
        <v>Abrir facsímil</v>
      </c>
      <c r="K4065" s="3" t="s">
        <v>23</v>
      </c>
    </row>
    <row r="4066" spans="1:11" ht="42" customHeight="1">
      <c r="A4066" s="2" t="s">
        <v>8303</v>
      </c>
      <c r="B4066" s="2" t="s">
        <v>8304</v>
      </c>
      <c r="C4066" s="2" t="s">
        <v>26</v>
      </c>
      <c r="D4066" s="2" t="s">
        <v>27</v>
      </c>
      <c r="E4066" s="5">
        <v>-28755</v>
      </c>
      <c r="F4066" s="3" t="s">
        <v>906</v>
      </c>
      <c r="G4066" s="3" t="s">
        <v>907</v>
      </c>
      <c r="H4066" s="2" t="s">
        <v>21</v>
      </c>
      <c r="I4066" s="2" t="s">
        <v>8305</v>
      </c>
      <c r="J4066" s="3" t="str">
        <f>HYPERLINK("https://www.boe.es/gazeta/dias/1821/04/08/pdfs/GMD-1821-100.pdf#page=4","Abrir facsímil")</f>
        <v>Abrir facsímil</v>
      </c>
      <c r="K4066" s="3" t="s">
        <v>23</v>
      </c>
    </row>
    <row r="4067" spans="1:11" ht="42" customHeight="1">
      <c r="A4067" s="2" t="s">
        <v>8306</v>
      </c>
      <c r="B4067" s="2" t="s">
        <v>8307</v>
      </c>
      <c r="C4067" s="2" t="s">
        <v>17</v>
      </c>
      <c r="D4067" s="2" t="s">
        <v>18</v>
      </c>
      <c r="E4067" s="5">
        <v>-28663</v>
      </c>
      <c r="F4067" s="3" t="s">
        <v>3032</v>
      </c>
      <c r="G4067" s="3" t="s">
        <v>88</v>
      </c>
      <c r="H4067" s="2" t="s">
        <v>21</v>
      </c>
      <c r="I4067" s="2" t="s">
        <v>8308</v>
      </c>
      <c r="J4067" s="3" t="str">
        <f>HYPERLINK("https://www.boe.es/gazeta/dias/1821/07/09/pdfs/GMD-1821-194.pdf#page=4","Abrir facsímil")</f>
        <v>Abrir facsímil</v>
      </c>
      <c r="K4067" s="3" t="s">
        <v>23</v>
      </c>
    </row>
    <row r="4068" spans="1:11" ht="42" customHeight="1">
      <c r="A4068" s="2" t="s">
        <v>8309</v>
      </c>
      <c r="B4068" s="2" t="s">
        <v>8310</v>
      </c>
      <c r="C4068" s="2" t="s">
        <v>40</v>
      </c>
      <c r="D4068" s="2" t="s">
        <v>41</v>
      </c>
      <c r="E4068" s="5">
        <v>-28541</v>
      </c>
      <c r="F4068" s="3" t="s">
        <v>275</v>
      </c>
      <c r="G4068" s="3" t="s">
        <v>29</v>
      </c>
      <c r="H4068" s="2" t="s">
        <v>21</v>
      </c>
      <c r="I4068" s="2" t="s">
        <v>8311</v>
      </c>
      <c r="J4068" s="3" t="str">
        <f>HYPERLINK("https://www.boe.es/gazeta/dias/1821/11/08/pdfs/GMD-1821-319.pdf#page=6","Abrir facsímil")</f>
        <v>Abrir facsímil</v>
      </c>
      <c r="K4068" s="3" t="s">
        <v>23</v>
      </c>
    </row>
    <row r="4069" spans="1:11" ht="42" customHeight="1">
      <c r="A4069" s="2" t="s">
        <v>8312</v>
      </c>
      <c r="B4069" s="2" t="s">
        <v>8313</v>
      </c>
      <c r="C4069" s="2" t="s">
        <v>26</v>
      </c>
      <c r="D4069" s="2" t="s">
        <v>27</v>
      </c>
      <c r="E4069" s="5">
        <v>-28729</v>
      </c>
      <c r="F4069" s="3" t="s">
        <v>838</v>
      </c>
      <c r="G4069" s="3" t="s">
        <v>52</v>
      </c>
      <c r="H4069" s="2" t="s">
        <v>21</v>
      </c>
      <c r="I4069" s="2" t="s">
        <v>8314</v>
      </c>
      <c r="J4069" s="3" t="str">
        <f>HYPERLINK("https://www.boe.es/gazeta/dias/1821/05/04/pdfs/GMD-1821-126.pdf#page=2","Abrir facsímil")</f>
        <v>Abrir facsímil</v>
      </c>
      <c r="K4069" s="3" t="s">
        <v>23</v>
      </c>
    </row>
    <row r="4070" spans="1:11" ht="42" customHeight="1">
      <c r="A4070" s="2" t="s">
        <v>8315</v>
      </c>
      <c r="B4070" s="2" t="s">
        <v>8316</v>
      </c>
      <c r="C4070" s="2" t="s">
        <v>279</v>
      </c>
      <c r="D4070" s="2" t="s">
        <v>27</v>
      </c>
      <c r="E4070" s="5">
        <v>-28796</v>
      </c>
      <c r="F4070" s="3" t="s">
        <v>1421</v>
      </c>
      <c r="G4070" s="3" t="s">
        <v>8266</v>
      </c>
      <c r="H4070" s="2" t="s">
        <v>21</v>
      </c>
      <c r="I4070" s="2" t="s">
        <v>8317</v>
      </c>
      <c r="J4070" s="3" t="str">
        <f>HYPERLINK("https://www.boe.es/gazeta/dias/1821/02/26/pdfs/GGB-1821-57.pdf#page=4","Abrir facsímil")</f>
        <v>Abrir facsímil</v>
      </c>
      <c r="K4070" s="3" t="s">
        <v>23</v>
      </c>
    </row>
    <row r="4071" spans="1:11" ht="42" customHeight="1">
      <c r="A4071" s="2" t="s">
        <v>8318</v>
      </c>
      <c r="B4071" s="2" t="s">
        <v>8319</v>
      </c>
      <c r="C4071" s="2" t="s">
        <v>17</v>
      </c>
      <c r="D4071" s="2" t="s">
        <v>18</v>
      </c>
      <c r="E4071" s="5">
        <v>-28727</v>
      </c>
      <c r="F4071" s="3" t="s">
        <v>200</v>
      </c>
      <c r="G4071" s="3" t="s">
        <v>20</v>
      </c>
      <c r="H4071" s="2" t="s">
        <v>21</v>
      </c>
      <c r="I4071" s="2" t="s">
        <v>8320</v>
      </c>
      <c r="J4071" s="3" t="str">
        <f>HYPERLINK("https://www.boe.es/gazeta/dias/1821/05/06/pdfs/GMD-1821-128.pdf#page=3","Abrir facsímil")</f>
        <v>Abrir facsímil</v>
      </c>
      <c r="K4071" s="3" t="s">
        <v>23</v>
      </c>
    </row>
    <row r="4072" spans="1:11" ht="42" customHeight="1">
      <c r="A4072" s="2" t="s">
        <v>8321</v>
      </c>
      <c r="B4072" s="2" t="s">
        <v>8322</v>
      </c>
      <c r="C4072" s="2" t="s">
        <v>40</v>
      </c>
      <c r="D4072" s="2" t="s">
        <v>41</v>
      </c>
      <c r="E4072" s="5">
        <v>-28743</v>
      </c>
      <c r="F4072" s="3" t="s">
        <v>51</v>
      </c>
      <c r="G4072" s="3" t="s">
        <v>88</v>
      </c>
      <c r="H4072" s="2" t="s">
        <v>21</v>
      </c>
      <c r="I4072" s="2" t="s">
        <v>8323</v>
      </c>
      <c r="J4072" s="3" t="str">
        <f>HYPERLINK("https://www.boe.es/gazeta/dias/1821/04/20/pdfs/GMD-1821-112.pdf#page=4","Abrir facsímil")</f>
        <v>Abrir facsímil</v>
      </c>
      <c r="K4072" s="3" t="s">
        <v>23</v>
      </c>
    </row>
    <row r="4073" spans="1:11" ht="42" customHeight="1">
      <c r="A4073" s="2" t="s">
        <v>8324</v>
      </c>
      <c r="B4073" s="2" t="s">
        <v>8324</v>
      </c>
      <c r="C4073" s="2" t="s">
        <v>40</v>
      </c>
      <c r="D4073" s="2" t="s">
        <v>41</v>
      </c>
      <c r="E4073" s="5">
        <v>-28711</v>
      </c>
      <c r="F4073" s="3" t="s">
        <v>1048</v>
      </c>
      <c r="G4073" s="3" t="s">
        <v>52</v>
      </c>
      <c r="H4073" s="2" t="s">
        <v>21</v>
      </c>
      <c r="I4073" s="2" t="s">
        <v>8325</v>
      </c>
      <c r="J4073" s="3" t="str">
        <f>HYPERLINK("https://www.boe.es/gazeta/dias/1821/05/22/pdfs/GMD-1821-144.pdf#page=2","Abrir facsímil")</f>
        <v>Abrir facsímil</v>
      </c>
      <c r="K4073" s="3" t="s">
        <v>23</v>
      </c>
    </row>
    <row r="4074" spans="1:11" ht="42" customHeight="1">
      <c r="A4074" s="2" t="s">
        <v>8324</v>
      </c>
      <c r="B4074" s="2" t="s">
        <v>8324</v>
      </c>
      <c r="C4074" s="2" t="s">
        <v>40</v>
      </c>
      <c r="D4074" s="2" t="s">
        <v>41</v>
      </c>
      <c r="E4074" s="5">
        <v>-28704</v>
      </c>
      <c r="F4074" s="3" t="s">
        <v>1050</v>
      </c>
      <c r="G4074" s="3" t="s">
        <v>20</v>
      </c>
      <c r="H4074" s="2" t="s">
        <v>21</v>
      </c>
      <c r="I4074" s="2" t="s">
        <v>8326</v>
      </c>
      <c r="J4074" s="3" t="str">
        <f>HYPERLINK("https://www.boe.es/gazeta/dias/1821/05/29/pdfs/GMD-1821-151.pdf#page=3","Abrir facsímil")</f>
        <v>Abrir facsímil</v>
      </c>
      <c r="K4074" s="3" t="s">
        <v>23</v>
      </c>
    </row>
    <row r="4075" spans="1:11" ht="42" customHeight="1">
      <c r="A4075" s="2" t="s">
        <v>8327</v>
      </c>
      <c r="B4075" s="2" t="s">
        <v>8328</v>
      </c>
      <c r="C4075" s="2" t="s">
        <v>17</v>
      </c>
      <c r="D4075" s="2" t="s">
        <v>18</v>
      </c>
      <c r="E4075" s="5">
        <v>-28694</v>
      </c>
      <c r="F4075" s="3" t="s">
        <v>1057</v>
      </c>
      <c r="G4075" s="3" t="s">
        <v>29</v>
      </c>
      <c r="H4075" s="2" t="s">
        <v>21</v>
      </c>
      <c r="I4075" s="2" t="s">
        <v>8329</v>
      </c>
      <c r="J4075" s="3" t="str">
        <f>HYPERLINK("https://www.boe.es/gazeta/dias/1821/06/08/pdfs/GMD-1821-161.pdf#page=6","Abrir facsímil")</f>
        <v>Abrir facsímil</v>
      </c>
      <c r="K4075" s="3" t="s">
        <v>23</v>
      </c>
    </row>
    <row r="4076" spans="1:11" ht="42" customHeight="1">
      <c r="A4076" s="2" t="s">
        <v>8327</v>
      </c>
      <c r="B4076" s="2" t="s">
        <v>8328</v>
      </c>
      <c r="C4076" s="2" t="s">
        <v>17</v>
      </c>
      <c r="D4076" s="2" t="s">
        <v>18</v>
      </c>
      <c r="E4076" s="5">
        <v>-28636</v>
      </c>
      <c r="F4076" s="3" t="s">
        <v>122</v>
      </c>
      <c r="G4076" s="3" t="s">
        <v>20</v>
      </c>
      <c r="H4076" s="2" t="s">
        <v>21</v>
      </c>
      <c r="I4076" s="2" t="s">
        <v>8330</v>
      </c>
      <c r="J4076" s="3" t="str">
        <f>HYPERLINK("https://www.boe.es/gazeta/dias/1821/08/05/pdfs/GMD-1821-221.pdf#page=3","Abrir facsímil")</f>
        <v>Abrir facsímil</v>
      </c>
      <c r="K4076" s="3" t="s">
        <v>23</v>
      </c>
    </row>
    <row r="4077" spans="1:11" ht="42" customHeight="1">
      <c r="A4077" s="2" t="s">
        <v>8331</v>
      </c>
      <c r="B4077" s="2" t="s">
        <v>8332</v>
      </c>
      <c r="C4077" s="2" t="s">
        <v>26</v>
      </c>
      <c r="D4077" s="2" t="s">
        <v>27</v>
      </c>
      <c r="E4077" s="5">
        <v>-28840</v>
      </c>
      <c r="F4077" s="3" t="s">
        <v>161</v>
      </c>
      <c r="G4077" s="3" t="s">
        <v>88</v>
      </c>
      <c r="H4077" s="2" t="s">
        <v>30</v>
      </c>
      <c r="I4077" s="2" t="s">
        <v>8333</v>
      </c>
      <c r="J4077" s="3" t="str">
        <f>HYPERLINK("https://www.boe.es/gazeta/dias/1821/01/13/pdfs/GGB-1821-13.pdf#page=4","Abrir facsímil")</f>
        <v>Abrir facsímil</v>
      </c>
      <c r="K4077" s="3" t="s">
        <v>32</v>
      </c>
    </row>
    <row r="4078" spans="1:11" ht="42" customHeight="1">
      <c r="A4078" s="2" t="s">
        <v>8334</v>
      </c>
      <c r="B4078" s="2" t="s">
        <v>8335</v>
      </c>
      <c r="C4078" s="2" t="s">
        <v>17</v>
      </c>
      <c r="D4078" s="2" t="s">
        <v>18</v>
      </c>
      <c r="E4078" s="5">
        <v>-28547</v>
      </c>
      <c r="F4078" s="3" t="s">
        <v>247</v>
      </c>
      <c r="G4078" s="3" t="s">
        <v>248</v>
      </c>
      <c r="H4078" s="2" t="s">
        <v>21</v>
      </c>
      <c r="I4078" s="2" t="s">
        <v>8336</v>
      </c>
      <c r="J4078" s="3" t="str">
        <f>HYPERLINK("https://www.boe.es/gazeta/dias/1821/11/02/pdfs/GMD-1821-312.pdf#page=2","Abrir facsímil")</f>
        <v>Abrir facsímil</v>
      </c>
      <c r="K4078" s="3" t="s">
        <v>23</v>
      </c>
    </row>
    <row r="4079" spans="1:11" ht="42" customHeight="1">
      <c r="A4079" s="2" t="s">
        <v>8337</v>
      </c>
      <c r="B4079" s="2" t="s">
        <v>8338</v>
      </c>
      <c r="C4079" s="2" t="s">
        <v>26</v>
      </c>
      <c r="D4079" s="2" t="s">
        <v>27</v>
      </c>
      <c r="E4079" s="5">
        <v>-28620</v>
      </c>
      <c r="F4079" s="3" t="s">
        <v>87</v>
      </c>
      <c r="G4079" s="3" t="s">
        <v>88</v>
      </c>
      <c r="H4079" s="2" t="s">
        <v>21</v>
      </c>
      <c r="I4079" s="2" t="s">
        <v>8339</v>
      </c>
      <c r="J4079" s="3" t="str">
        <f>HYPERLINK("https://www.boe.es/gazeta/dias/1821/08/21/pdfs/GMD-1821-238.pdf#page=4","Abrir facsímil")</f>
        <v>Abrir facsímil</v>
      </c>
      <c r="K4079" s="3" t="s">
        <v>23</v>
      </c>
    </row>
    <row r="4080" spans="1:11" ht="42" customHeight="1">
      <c r="A4080" s="2" t="s">
        <v>8340</v>
      </c>
      <c r="B4080" s="2" t="s">
        <v>8341</v>
      </c>
      <c r="C4080" s="2" t="s">
        <v>40</v>
      </c>
      <c r="D4080" s="2" t="s">
        <v>41</v>
      </c>
      <c r="E4080" s="5">
        <v>-28541</v>
      </c>
      <c r="F4080" s="3" t="s">
        <v>275</v>
      </c>
      <c r="G4080" s="3" t="s">
        <v>52</v>
      </c>
      <c r="H4080" s="2" t="s">
        <v>21</v>
      </c>
      <c r="I4080" s="2" t="s">
        <v>8342</v>
      </c>
      <c r="J4080" s="3" t="str">
        <f>HYPERLINK("https://www.boe.es/gazeta/dias/1821/11/08/pdfs/GMD-1821-319.pdf#page=2","Abrir facsímil")</f>
        <v>Abrir facsímil</v>
      </c>
      <c r="K4080" s="3" t="s">
        <v>23</v>
      </c>
    </row>
    <row r="4081" spans="1:11" ht="42" customHeight="1">
      <c r="A4081" s="2" t="s">
        <v>8343</v>
      </c>
      <c r="B4081" s="2" t="s">
        <v>8344</v>
      </c>
      <c r="C4081" s="2" t="s">
        <v>26</v>
      </c>
      <c r="D4081" s="2" t="s">
        <v>27</v>
      </c>
      <c r="E4081" s="5">
        <v>-28541</v>
      </c>
      <c r="F4081" s="3" t="s">
        <v>275</v>
      </c>
      <c r="G4081" s="3" t="s">
        <v>52</v>
      </c>
      <c r="H4081" s="2" t="s">
        <v>21</v>
      </c>
      <c r="I4081" s="2" t="s">
        <v>8345</v>
      </c>
      <c r="J4081" s="3" t="str">
        <f>HYPERLINK("https://www.boe.es/gazeta/dias/1821/11/08/pdfs/GMD-1821-319.pdf#page=2","Abrir facsímil")</f>
        <v>Abrir facsímil</v>
      </c>
      <c r="K4081" s="3" t="s">
        <v>23</v>
      </c>
    </row>
    <row r="4082" spans="1:11" ht="42" customHeight="1">
      <c r="A4082" s="2" t="s">
        <v>8346</v>
      </c>
      <c r="B4082" s="2" t="s">
        <v>8346</v>
      </c>
      <c r="C4082" s="2" t="s">
        <v>174</v>
      </c>
      <c r="D4082" s="2" t="s">
        <v>27</v>
      </c>
      <c r="E4082" s="5">
        <v>-28780</v>
      </c>
      <c r="F4082" s="3" t="s">
        <v>143</v>
      </c>
      <c r="G4082" s="3" t="s">
        <v>20</v>
      </c>
      <c r="H4082" s="2" t="s">
        <v>21</v>
      </c>
      <c r="I4082" s="2" t="s">
        <v>8347</v>
      </c>
      <c r="J4082" s="3" t="str">
        <f>HYPERLINK("https://www.boe.es/gazeta/dias/1821/03/14/pdfs/GMD-1821-73.pdf#page=3","Abrir facsímil")</f>
        <v>Abrir facsímil</v>
      </c>
      <c r="K4082" s="3" t="s">
        <v>23</v>
      </c>
    </row>
    <row r="4083" spans="1:11" ht="42" customHeight="1">
      <c r="A4083" s="2" t="s">
        <v>8346</v>
      </c>
      <c r="B4083" s="2" t="s">
        <v>8346</v>
      </c>
      <c r="C4083" s="2" t="s">
        <v>114</v>
      </c>
      <c r="D4083" s="2" t="s">
        <v>27</v>
      </c>
      <c r="E4083" s="5">
        <v>-28775</v>
      </c>
      <c r="F4083" s="3" t="s">
        <v>132</v>
      </c>
      <c r="G4083" s="3" t="s">
        <v>20</v>
      </c>
      <c r="H4083" s="2" t="s">
        <v>21</v>
      </c>
      <c r="I4083" s="2" t="s">
        <v>8348</v>
      </c>
      <c r="J4083" s="3" t="str">
        <f>HYPERLINK("https://www.boe.es/gazeta/dias/1821/03/19/pdfs/GMD-1821-78.pdf#page=3","Abrir facsímil")</f>
        <v>Abrir facsímil</v>
      </c>
      <c r="K4083" s="3" t="s">
        <v>23</v>
      </c>
    </row>
    <row r="4084" spans="1:11" ht="42" customHeight="1">
      <c r="A4084" s="2" t="s">
        <v>8346</v>
      </c>
      <c r="B4084" s="2" t="s">
        <v>8346</v>
      </c>
      <c r="C4084" s="2" t="s">
        <v>26</v>
      </c>
      <c r="D4084" s="2" t="s">
        <v>27</v>
      </c>
      <c r="E4084" s="5">
        <v>-28774</v>
      </c>
      <c r="F4084" s="3" t="s">
        <v>1221</v>
      </c>
      <c r="G4084" s="3" t="s">
        <v>20</v>
      </c>
      <c r="H4084" s="2" t="s">
        <v>21</v>
      </c>
      <c r="I4084" s="2" t="s">
        <v>8349</v>
      </c>
      <c r="J4084" s="3" t="str">
        <f>HYPERLINK("https://www.boe.es/gazeta/dias/1821/03/20/pdfs/GMD-1821-79.pdf#page=3","Abrir facsímil")</f>
        <v>Abrir facsímil</v>
      </c>
      <c r="K4084" s="3" t="s">
        <v>23</v>
      </c>
    </row>
    <row r="4085" spans="1:11" ht="42" customHeight="1">
      <c r="A4085" s="2" t="s">
        <v>8346</v>
      </c>
      <c r="B4085" s="2" t="s">
        <v>8346</v>
      </c>
      <c r="C4085" s="2" t="s">
        <v>70</v>
      </c>
      <c r="D4085" s="2" t="s">
        <v>27</v>
      </c>
      <c r="E4085" s="5">
        <v>-28774</v>
      </c>
      <c r="F4085" s="3" t="s">
        <v>1221</v>
      </c>
      <c r="G4085" s="3" t="s">
        <v>88</v>
      </c>
      <c r="H4085" s="2" t="s">
        <v>21</v>
      </c>
      <c r="I4085" s="2" t="s">
        <v>8350</v>
      </c>
      <c r="J4085" s="3" t="str">
        <f>HYPERLINK("https://www.boe.es/gazeta/dias/1821/03/20/pdfs/GMD-1821-79.pdf#page=4","Abrir facsímil")</f>
        <v>Abrir facsímil</v>
      </c>
      <c r="K4085" s="3" t="s">
        <v>23</v>
      </c>
    </row>
    <row r="4086" spans="1:11" ht="42" customHeight="1">
      <c r="A4086" s="2" t="s">
        <v>8346</v>
      </c>
      <c r="B4086" s="2" t="s">
        <v>8346</v>
      </c>
      <c r="C4086" s="2" t="s">
        <v>40</v>
      </c>
      <c r="D4086" s="2" t="s">
        <v>41</v>
      </c>
      <c r="E4086" s="5">
        <v>-28760</v>
      </c>
      <c r="F4086" s="3" t="s">
        <v>170</v>
      </c>
      <c r="G4086" s="3" t="s">
        <v>52</v>
      </c>
      <c r="H4086" s="2" t="s">
        <v>21</v>
      </c>
      <c r="I4086" s="2" t="s">
        <v>8351</v>
      </c>
      <c r="J4086" s="3" t="str">
        <f>HYPERLINK("https://www.boe.es/gazeta/dias/1821/04/03/pdfs/GMD-1821-95.pdf#page=2","Abrir facsímil")</f>
        <v>Abrir facsímil</v>
      </c>
      <c r="K4086" s="3" t="s">
        <v>23</v>
      </c>
    </row>
    <row r="4087" spans="1:11" ht="42" customHeight="1">
      <c r="A4087" s="2" t="s">
        <v>8346</v>
      </c>
      <c r="B4087" s="2" t="s">
        <v>8346</v>
      </c>
      <c r="C4087" s="2" t="s">
        <v>40</v>
      </c>
      <c r="D4087" s="2" t="s">
        <v>41</v>
      </c>
      <c r="E4087" s="5">
        <v>-28739</v>
      </c>
      <c r="F4087" s="3" t="s">
        <v>1024</v>
      </c>
      <c r="G4087" s="3" t="s">
        <v>52</v>
      </c>
      <c r="H4087" s="2" t="s">
        <v>21</v>
      </c>
      <c r="I4087" s="2" t="s">
        <v>8352</v>
      </c>
      <c r="J4087" s="3" t="str">
        <f>HYPERLINK("https://www.boe.es/gazeta/dias/1821/04/24/pdfs/GMD-1821-116.pdf#page=2","Abrir facsímil")</f>
        <v>Abrir facsímil</v>
      </c>
      <c r="K4087" s="3" t="s">
        <v>23</v>
      </c>
    </row>
    <row r="4088" spans="1:11" ht="42" customHeight="1">
      <c r="A4088" s="2" t="s">
        <v>8346</v>
      </c>
      <c r="B4088" s="2" t="s">
        <v>8346</v>
      </c>
      <c r="C4088" s="2" t="s">
        <v>70</v>
      </c>
      <c r="D4088" s="2" t="s">
        <v>27</v>
      </c>
      <c r="E4088" s="5">
        <v>-28702</v>
      </c>
      <c r="F4088" s="3" t="s">
        <v>1176</v>
      </c>
      <c r="G4088" s="3" t="s">
        <v>20</v>
      </c>
      <c r="H4088" s="2" t="s">
        <v>21</v>
      </c>
      <c r="I4088" s="2" t="s">
        <v>8353</v>
      </c>
      <c r="J4088" s="3" t="str">
        <f>HYPERLINK("https://www.boe.es/gazeta/dias/1821/05/31/pdfs/GMD-1821-153.pdf#page=3","Abrir facsímil")</f>
        <v>Abrir facsímil</v>
      </c>
      <c r="K4088" s="3" t="s">
        <v>23</v>
      </c>
    </row>
    <row r="4089" spans="1:11" ht="42" customHeight="1">
      <c r="A4089" s="2" t="s">
        <v>8346</v>
      </c>
      <c r="B4089" s="2" t="s">
        <v>8346</v>
      </c>
      <c r="C4089" s="2" t="s">
        <v>35</v>
      </c>
      <c r="D4089" s="2" t="s">
        <v>27</v>
      </c>
      <c r="E4089" s="5">
        <v>-28701</v>
      </c>
      <c r="F4089" s="3" t="s">
        <v>202</v>
      </c>
      <c r="G4089" s="3" t="s">
        <v>43</v>
      </c>
      <c r="H4089" s="2" t="s">
        <v>21</v>
      </c>
      <c r="I4089" s="2" t="s">
        <v>8354</v>
      </c>
      <c r="J4089" s="3" t="str">
        <f>HYPERLINK("https://www.boe.es/gazeta/dias/1821/06/01/pdfs/GMD-1821-154.pdf#page=1","Abrir facsímil")</f>
        <v>Abrir facsímil</v>
      </c>
      <c r="K4089" s="3" t="s">
        <v>23</v>
      </c>
    </row>
    <row r="4090" spans="1:11" ht="42" customHeight="1">
      <c r="A4090" s="2" t="s">
        <v>8346</v>
      </c>
      <c r="B4090" s="2" t="s">
        <v>8346</v>
      </c>
      <c r="C4090" s="2" t="s">
        <v>35</v>
      </c>
      <c r="D4090" s="2" t="s">
        <v>27</v>
      </c>
      <c r="E4090" s="5">
        <v>-28685</v>
      </c>
      <c r="F4090" s="3" t="s">
        <v>303</v>
      </c>
      <c r="G4090" s="3" t="s">
        <v>1507</v>
      </c>
      <c r="H4090" s="2" t="s">
        <v>21</v>
      </c>
      <c r="I4090" s="2" t="s">
        <v>8355</v>
      </c>
      <c r="J4090" s="3" t="str">
        <f>HYPERLINK("https://www.boe.es/gazeta/dias/1821/06/17/pdfs/GMD-1821-170.pdf#page=6","Abrir facsímil")</f>
        <v>Abrir facsímil</v>
      </c>
      <c r="K4090" s="3" t="s">
        <v>23</v>
      </c>
    </row>
    <row r="4091" spans="1:11" ht="42" customHeight="1">
      <c r="A4091" s="2" t="s">
        <v>8346</v>
      </c>
      <c r="B4091" s="2" t="s">
        <v>8346</v>
      </c>
      <c r="C4091" s="2" t="s">
        <v>70</v>
      </c>
      <c r="D4091" s="2" t="s">
        <v>27</v>
      </c>
      <c r="E4091" s="5">
        <v>-28678</v>
      </c>
      <c r="F4091" s="3" t="s">
        <v>215</v>
      </c>
      <c r="G4091" s="3" t="s">
        <v>1445</v>
      </c>
      <c r="H4091" s="2" t="s">
        <v>21</v>
      </c>
      <c r="I4091" s="2" t="s">
        <v>8356</v>
      </c>
      <c r="J4091" s="3" t="str">
        <f>HYPERLINK("https://www.boe.es/gazeta/dias/1821/06/24/pdfs/GMD-1821-177.pdf#page=3","Abrir facsímil")</f>
        <v>Abrir facsímil</v>
      </c>
      <c r="K4091" s="3" t="s">
        <v>23</v>
      </c>
    </row>
    <row r="4092" spans="1:11" ht="42" customHeight="1">
      <c r="A4092" s="2" t="s">
        <v>8346</v>
      </c>
      <c r="B4092" s="2" t="s">
        <v>8346</v>
      </c>
      <c r="C4092" s="2" t="s">
        <v>26</v>
      </c>
      <c r="D4092" s="2" t="s">
        <v>27</v>
      </c>
      <c r="E4092" s="5">
        <v>-28677</v>
      </c>
      <c r="F4092" s="3" t="s">
        <v>361</v>
      </c>
      <c r="G4092" s="3" t="s">
        <v>20</v>
      </c>
      <c r="H4092" s="2" t="s">
        <v>21</v>
      </c>
      <c r="I4092" s="2" t="s">
        <v>8357</v>
      </c>
      <c r="J4092" s="3" t="str">
        <f>HYPERLINK("https://www.boe.es/gazeta/dias/1821/06/25/pdfs/GMD-1821-178.pdf#page=3","Abrir facsímil")</f>
        <v>Abrir facsímil</v>
      </c>
      <c r="K4092" s="3" t="s">
        <v>23</v>
      </c>
    </row>
    <row r="4093" spans="1:11" ht="42" customHeight="1">
      <c r="A4093" s="2" t="s">
        <v>8346</v>
      </c>
      <c r="B4093" s="2" t="s">
        <v>8346</v>
      </c>
      <c r="C4093" s="2" t="s">
        <v>35</v>
      </c>
      <c r="D4093" s="2" t="s">
        <v>27</v>
      </c>
      <c r="E4093" s="5">
        <v>-28671</v>
      </c>
      <c r="F4093" s="3" t="s">
        <v>5059</v>
      </c>
      <c r="G4093" s="3" t="s">
        <v>52</v>
      </c>
      <c r="H4093" s="2" t="s">
        <v>21</v>
      </c>
      <c r="I4093" s="2" t="s">
        <v>8358</v>
      </c>
      <c r="J4093" s="3" t="str">
        <f>HYPERLINK("https://www.boe.es/gazeta/dias/1821/07/01/pdfs/GMD-1821-185.pdf#page=2","Abrir facsímil")</f>
        <v>Abrir facsímil</v>
      </c>
      <c r="K4093" s="3" t="s">
        <v>23</v>
      </c>
    </row>
    <row r="4094" spans="1:11" ht="42" customHeight="1">
      <c r="A4094" s="2" t="s">
        <v>8346</v>
      </c>
      <c r="B4094" s="2" t="s">
        <v>8346</v>
      </c>
      <c r="C4094" s="2" t="s">
        <v>35</v>
      </c>
      <c r="D4094" s="2" t="s">
        <v>27</v>
      </c>
      <c r="E4094" s="5">
        <v>-28570</v>
      </c>
      <c r="F4094" s="3" t="s">
        <v>2300</v>
      </c>
      <c r="G4094" s="3" t="s">
        <v>20</v>
      </c>
      <c r="H4094" s="2" t="s">
        <v>21</v>
      </c>
      <c r="I4094" s="2" t="s">
        <v>8359</v>
      </c>
      <c r="J4094" s="3" t="str">
        <f>HYPERLINK("https://www.boe.es/gazeta/dias/1821/10/10/pdfs/GMD-1821-289.pdf#page=3","Abrir facsímil")</f>
        <v>Abrir facsímil</v>
      </c>
      <c r="K4094" s="3" t="s">
        <v>23</v>
      </c>
    </row>
    <row r="4095" spans="1:11" ht="42" customHeight="1">
      <c r="A4095" s="2" t="s">
        <v>8346</v>
      </c>
      <c r="B4095" s="2" t="s">
        <v>8346</v>
      </c>
      <c r="C4095" s="2" t="s">
        <v>17</v>
      </c>
      <c r="D4095" s="2" t="s">
        <v>18</v>
      </c>
      <c r="E4095" s="5">
        <v>-28568</v>
      </c>
      <c r="F4095" s="3" t="s">
        <v>539</v>
      </c>
      <c r="G4095" s="3" t="s">
        <v>29</v>
      </c>
      <c r="H4095" s="2" t="s">
        <v>21</v>
      </c>
      <c r="I4095" s="2" t="s">
        <v>8360</v>
      </c>
      <c r="J4095" s="3" t="str">
        <f>HYPERLINK("https://www.boe.es/gazeta/dias/1821/10/12/pdfs/GMD-1821-291.pdf#page=6","Abrir facsímil")</f>
        <v>Abrir facsímil</v>
      </c>
      <c r="K4095" s="3" t="s">
        <v>23</v>
      </c>
    </row>
    <row r="4096" spans="1:11" ht="42" customHeight="1">
      <c r="A4096" s="2" t="s">
        <v>8346</v>
      </c>
      <c r="B4096" s="2" t="s">
        <v>8346</v>
      </c>
      <c r="C4096" s="2" t="s">
        <v>17</v>
      </c>
      <c r="D4096" s="2" t="s">
        <v>18</v>
      </c>
      <c r="E4096" s="5">
        <v>-28532</v>
      </c>
      <c r="F4096" s="3" t="s">
        <v>1415</v>
      </c>
      <c r="G4096" s="3" t="s">
        <v>162</v>
      </c>
      <c r="H4096" s="2" t="s">
        <v>21</v>
      </c>
      <c r="I4096" s="2" t="s">
        <v>8361</v>
      </c>
      <c r="J4096" s="3" t="str">
        <f>HYPERLINK("https://www.boe.es/gazeta/dias/1821/11/17/pdfs/GMD-1821-328.pdf#page=5","Abrir facsímil")</f>
        <v>Abrir facsímil</v>
      </c>
      <c r="K4096" s="3" t="s">
        <v>23</v>
      </c>
    </row>
    <row r="4097" spans="1:11" ht="42" customHeight="1">
      <c r="A4097" s="2" t="s">
        <v>8346</v>
      </c>
      <c r="B4097" s="2" t="s">
        <v>8346</v>
      </c>
      <c r="C4097" s="2" t="s">
        <v>17</v>
      </c>
      <c r="D4097" s="2" t="s">
        <v>18</v>
      </c>
      <c r="E4097" s="5">
        <v>-28520</v>
      </c>
      <c r="F4097" s="3" t="s">
        <v>878</v>
      </c>
      <c r="G4097" s="3" t="s">
        <v>52</v>
      </c>
      <c r="H4097" s="2" t="s">
        <v>21</v>
      </c>
      <c r="I4097" s="2" t="s">
        <v>8362</v>
      </c>
      <c r="J4097" s="3" t="str">
        <f>HYPERLINK("https://www.boe.es/gazeta/dias/1821/11/29/pdfs/GMD-1821-341.pdf#page=2","Abrir facsímil")</f>
        <v>Abrir facsímil</v>
      </c>
      <c r="K4097" s="3" t="s">
        <v>23</v>
      </c>
    </row>
    <row r="4098" spans="1:11" ht="42" customHeight="1">
      <c r="A4098" s="2" t="s">
        <v>8346</v>
      </c>
      <c r="B4098" s="2" t="s">
        <v>8346</v>
      </c>
      <c r="C4098" s="2" t="s">
        <v>17</v>
      </c>
      <c r="D4098" s="2" t="s">
        <v>18</v>
      </c>
      <c r="E4098" s="5">
        <v>-28519</v>
      </c>
      <c r="F4098" s="3" t="s">
        <v>880</v>
      </c>
      <c r="G4098" s="3" t="s">
        <v>88</v>
      </c>
      <c r="H4098" s="2" t="s">
        <v>21</v>
      </c>
      <c r="I4098" s="2" t="s">
        <v>8363</v>
      </c>
      <c r="J4098" s="3" t="str">
        <f>HYPERLINK("https://www.boe.es/gazeta/dias/1821/11/30/pdfs/GMD-1821-342.pdf#page=4","Abrir facsímil")</f>
        <v>Abrir facsímil</v>
      </c>
      <c r="K4098" s="3" t="s">
        <v>23</v>
      </c>
    </row>
    <row r="4099" spans="1:11" ht="42" customHeight="1">
      <c r="A4099" s="2" t="s">
        <v>8346</v>
      </c>
      <c r="B4099" s="2" t="s">
        <v>8346</v>
      </c>
      <c r="C4099" s="2" t="s">
        <v>174</v>
      </c>
      <c r="D4099" s="2" t="s">
        <v>27</v>
      </c>
      <c r="E4099" s="5">
        <v>-28515</v>
      </c>
      <c r="F4099" s="3" t="s">
        <v>260</v>
      </c>
      <c r="G4099" s="3" t="s">
        <v>88</v>
      </c>
      <c r="H4099" s="2" t="s">
        <v>21</v>
      </c>
      <c r="I4099" s="2" t="s">
        <v>8364</v>
      </c>
      <c r="J4099" s="3" t="str">
        <f>HYPERLINK("https://www.boe.es/gazeta/dias/1821/12/04/pdfs/GMD-1821-346.pdf#page=4","Abrir facsímil")</f>
        <v>Abrir facsímil</v>
      </c>
      <c r="K4099" s="3" t="s">
        <v>23</v>
      </c>
    </row>
    <row r="4100" spans="1:11" ht="42" customHeight="1">
      <c r="A4100" s="2" t="s">
        <v>8346</v>
      </c>
      <c r="B4100" s="2" t="s">
        <v>8346</v>
      </c>
      <c r="C4100" s="2" t="s">
        <v>17</v>
      </c>
      <c r="D4100" s="2" t="s">
        <v>18</v>
      </c>
      <c r="E4100" s="5">
        <v>-28515</v>
      </c>
      <c r="F4100" s="3" t="s">
        <v>260</v>
      </c>
      <c r="G4100" s="3" t="s">
        <v>162</v>
      </c>
      <c r="H4100" s="2" t="s">
        <v>21</v>
      </c>
      <c r="I4100" s="2" t="s">
        <v>8365</v>
      </c>
      <c r="J4100" s="3" t="str">
        <f>HYPERLINK("https://www.boe.es/gazeta/dias/1821/12/04/pdfs/GMD-1821-346.pdf#page=5","Abrir facsímil")</f>
        <v>Abrir facsímil</v>
      </c>
      <c r="K4100" s="3" t="s">
        <v>23</v>
      </c>
    </row>
    <row r="4101" spans="1:11" ht="42" customHeight="1">
      <c r="A4101" s="2" t="s">
        <v>8346</v>
      </c>
      <c r="B4101" s="2" t="s">
        <v>8346</v>
      </c>
      <c r="C4101" s="2" t="s">
        <v>17</v>
      </c>
      <c r="D4101" s="2" t="s">
        <v>18</v>
      </c>
      <c r="E4101" s="5">
        <v>-28510</v>
      </c>
      <c r="F4101" s="3" t="s">
        <v>83</v>
      </c>
      <c r="G4101" s="3" t="s">
        <v>20</v>
      </c>
      <c r="H4101" s="2" t="s">
        <v>21</v>
      </c>
      <c r="I4101" s="2" t="s">
        <v>8366</v>
      </c>
      <c r="J4101" s="3" t="str">
        <f>HYPERLINK("https://www.boe.es/gazeta/dias/1821/12/09/pdfs/GMD-1821-351.pdf#page=3","Abrir facsímil")</f>
        <v>Abrir facsímil</v>
      </c>
      <c r="K4101" s="3" t="s">
        <v>23</v>
      </c>
    </row>
    <row r="4102" spans="1:11" ht="42" customHeight="1">
      <c r="A4102" s="2" t="s">
        <v>8346</v>
      </c>
      <c r="B4102" s="2" t="s">
        <v>8346</v>
      </c>
      <c r="C4102" s="2" t="s">
        <v>17</v>
      </c>
      <c r="D4102" s="2" t="s">
        <v>18</v>
      </c>
      <c r="E4102" s="5">
        <v>-28508</v>
      </c>
      <c r="F4102" s="3" t="s">
        <v>42</v>
      </c>
      <c r="G4102" s="3" t="s">
        <v>52</v>
      </c>
      <c r="H4102" s="2" t="s">
        <v>21</v>
      </c>
      <c r="I4102" s="2" t="s">
        <v>8367</v>
      </c>
      <c r="J4102" s="3" t="str">
        <f>HYPERLINK("https://www.boe.es/gazeta/dias/1821/12/11/pdfs/GMD-1821-353.pdf#page=2","Abrir facsímil")</f>
        <v>Abrir facsímil</v>
      </c>
      <c r="K4102" s="3" t="s">
        <v>23</v>
      </c>
    </row>
    <row r="4103" spans="1:11" ht="42" customHeight="1">
      <c r="A4103" s="2" t="s">
        <v>8346</v>
      </c>
      <c r="B4103" s="2" t="s">
        <v>8346</v>
      </c>
      <c r="C4103" s="2" t="s">
        <v>26</v>
      </c>
      <c r="D4103" s="2" t="s">
        <v>27</v>
      </c>
      <c r="E4103" s="5">
        <v>-28506</v>
      </c>
      <c r="F4103" s="3" t="s">
        <v>1095</v>
      </c>
      <c r="G4103" s="3" t="s">
        <v>20</v>
      </c>
      <c r="H4103" s="2" t="s">
        <v>21</v>
      </c>
      <c r="I4103" s="2" t="s">
        <v>8368</v>
      </c>
      <c r="J4103" s="3" t="str">
        <f>HYPERLINK("https://www.boe.es/gazeta/dias/1821/12/13/pdfs/GMD-1821-356.pdf#page=3","Abrir facsímil")</f>
        <v>Abrir facsímil</v>
      </c>
      <c r="K4103" s="3" t="s">
        <v>23</v>
      </c>
    </row>
    <row r="4104" spans="1:11" ht="42" customHeight="1">
      <c r="A4104" s="2" t="s">
        <v>8346</v>
      </c>
      <c r="B4104" s="2" t="s">
        <v>8346</v>
      </c>
      <c r="C4104" s="2" t="s">
        <v>35</v>
      </c>
      <c r="D4104" s="2" t="s">
        <v>27</v>
      </c>
      <c r="E4104" s="5">
        <v>-28498</v>
      </c>
      <c r="F4104" s="3" t="s">
        <v>447</v>
      </c>
      <c r="G4104" s="3" t="s">
        <v>1547</v>
      </c>
      <c r="H4104" s="2" t="s">
        <v>21</v>
      </c>
      <c r="I4104" s="2" t="s">
        <v>8369</v>
      </c>
      <c r="J4104" s="3" t="str">
        <f>HYPERLINK("https://www.boe.es/gazeta/dias/1821/12/21/pdfs/GMD-1821-364.pdf#page=2","Abrir facsímil")</f>
        <v>Abrir facsímil</v>
      </c>
      <c r="K4104" s="3" t="s">
        <v>23</v>
      </c>
    </row>
    <row r="4105" spans="1:11" ht="42" customHeight="1">
      <c r="A4105" s="2" t="s">
        <v>8370</v>
      </c>
      <c r="B4105" s="2" t="s">
        <v>8371</v>
      </c>
      <c r="C4105" s="2" t="s">
        <v>26</v>
      </c>
      <c r="D4105" s="2" t="s">
        <v>27</v>
      </c>
      <c r="E4105" s="5">
        <v>-28718</v>
      </c>
      <c r="F4105" s="3" t="s">
        <v>583</v>
      </c>
      <c r="G4105" s="3" t="s">
        <v>88</v>
      </c>
      <c r="H4105" s="2" t="s">
        <v>21</v>
      </c>
      <c r="I4105" s="2" t="s">
        <v>8372</v>
      </c>
      <c r="J4105" s="3" t="str">
        <f>HYPERLINK("https://www.boe.es/gazeta/dias/1821/05/15/pdfs/GMD-1821-137.pdf#page=4","Abrir facsímil")</f>
        <v>Abrir facsímil</v>
      </c>
      <c r="K4105" s="3" t="s">
        <v>23</v>
      </c>
    </row>
    <row r="4106" spans="1:11" ht="42" customHeight="1">
      <c r="A4106" s="2" t="s">
        <v>8373</v>
      </c>
      <c r="B4106" s="2" t="s">
        <v>8374</v>
      </c>
      <c r="C4106" s="2" t="s">
        <v>26</v>
      </c>
      <c r="D4106" s="2" t="s">
        <v>27</v>
      </c>
      <c r="E4106" s="5">
        <v>-28746</v>
      </c>
      <c r="F4106" s="3" t="s">
        <v>687</v>
      </c>
      <c r="G4106" s="3" t="s">
        <v>88</v>
      </c>
      <c r="H4106" s="2" t="s">
        <v>21</v>
      </c>
      <c r="I4106" s="2" t="s">
        <v>8375</v>
      </c>
      <c r="J4106" s="3" t="str">
        <f>HYPERLINK("https://www.boe.es/gazeta/dias/1821/04/17/pdfs/GMD-1821-109.pdf#page=4","Abrir facsímil")</f>
        <v>Abrir facsímil</v>
      </c>
      <c r="K4106" s="3" t="s">
        <v>23</v>
      </c>
    </row>
    <row r="4107" spans="1:11" ht="42" customHeight="1">
      <c r="A4107" s="2" t="s">
        <v>8376</v>
      </c>
      <c r="B4107" s="2" t="s">
        <v>8377</v>
      </c>
      <c r="C4107" s="2" t="s">
        <v>40</v>
      </c>
      <c r="D4107" s="2" t="s">
        <v>41</v>
      </c>
      <c r="E4107" s="5">
        <v>-28706</v>
      </c>
      <c r="F4107" s="3" t="s">
        <v>4791</v>
      </c>
      <c r="G4107" s="3" t="s">
        <v>52</v>
      </c>
      <c r="H4107" s="2" t="s">
        <v>21</v>
      </c>
      <c r="I4107" s="2" t="s">
        <v>8378</v>
      </c>
      <c r="J4107" s="3" t="str">
        <f>HYPERLINK("https://www.boe.es/gazeta/dias/1821/05/27/pdfs/GMD-1821-149.pdf#page=2","Abrir facsímil")</f>
        <v>Abrir facsímil</v>
      </c>
      <c r="K4107" s="3" t="s">
        <v>23</v>
      </c>
    </row>
    <row r="4108" spans="1:11" ht="42" customHeight="1">
      <c r="A4108" s="2" t="s">
        <v>8376</v>
      </c>
      <c r="B4108" s="2" t="s">
        <v>8377</v>
      </c>
      <c r="C4108" s="2" t="s">
        <v>17</v>
      </c>
      <c r="D4108" s="2" t="s">
        <v>18</v>
      </c>
      <c r="E4108" s="5">
        <v>-28579</v>
      </c>
      <c r="F4108" s="3" t="s">
        <v>743</v>
      </c>
      <c r="G4108" s="3" t="s">
        <v>52</v>
      </c>
      <c r="H4108" s="2" t="s">
        <v>21</v>
      </c>
      <c r="I4108" s="2" t="s">
        <v>8379</v>
      </c>
      <c r="J4108" s="3" t="str">
        <f>HYPERLINK("https://www.boe.es/gazeta/dias/1821/10/01/pdfs/GMD-1821-280.pdf#page=2","Abrir facsímil")</f>
        <v>Abrir facsímil</v>
      </c>
      <c r="K4108" s="3" t="s">
        <v>23</v>
      </c>
    </row>
    <row r="4109" spans="1:11" ht="42" customHeight="1">
      <c r="A4109" s="2" t="s">
        <v>8376</v>
      </c>
      <c r="B4109" s="2" t="s">
        <v>8377</v>
      </c>
      <c r="C4109" s="2" t="s">
        <v>26</v>
      </c>
      <c r="D4109" s="2" t="s">
        <v>27</v>
      </c>
      <c r="E4109" s="5">
        <v>-28498</v>
      </c>
      <c r="F4109" s="3" t="s">
        <v>447</v>
      </c>
      <c r="G4109" s="3" t="s">
        <v>88</v>
      </c>
      <c r="H4109" s="2" t="s">
        <v>21</v>
      </c>
      <c r="I4109" s="2" t="s">
        <v>8380</v>
      </c>
      <c r="J4109" s="3" t="str">
        <f>HYPERLINK("https://www.boe.es/gazeta/dias/1821/12/21/pdfs/GMD-1821-364.pdf#page=4","Abrir facsímil")</f>
        <v>Abrir facsímil</v>
      </c>
      <c r="K4109" s="3" t="s">
        <v>23</v>
      </c>
    </row>
    <row r="4110" spans="1:11" ht="42" customHeight="1">
      <c r="A4110" s="2" t="s">
        <v>8381</v>
      </c>
      <c r="B4110" s="2" t="s">
        <v>8382</v>
      </c>
      <c r="C4110" s="2" t="s">
        <v>114</v>
      </c>
      <c r="D4110" s="2" t="s">
        <v>27</v>
      </c>
      <c r="E4110" s="5">
        <v>-28779</v>
      </c>
      <c r="F4110" s="3" t="s">
        <v>1002</v>
      </c>
      <c r="G4110" s="3" t="s">
        <v>52</v>
      </c>
      <c r="H4110" s="2" t="s">
        <v>21</v>
      </c>
      <c r="I4110" s="2" t="s">
        <v>8383</v>
      </c>
      <c r="J4110" s="3" t="str">
        <f>HYPERLINK("https://www.boe.es/gazeta/dias/1821/03/15/pdfs/GMD-1821-74.pdf#page=2","Abrir facsímil")</f>
        <v>Abrir facsímil</v>
      </c>
      <c r="K4110" s="3" t="s">
        <v>23</v>
      </c>
    </row>
    <row r="4111" spans="1:11" ht="42" customHeight="1">
      <c r="A4111" s="2" t="s">
        <v>8384</v>
      </c>
      <c r="B4111" s="2" t="s">
        <v>8385</v>
      </c>
      <c r="C4111" s="2" t="s">
        <v>279</v>
      </c>
      <c r="D4111" s="2" t="s">
        <v>27</v>
      </c>
      <c r="E4111" s="5">
        <v>-28649</v>
      </c>
      <c r="F4111" s="3" t="s">
        <v>4688</v>
      </c>
      <c r="G4111" s="3" t="s">
        <v>20</v>
      </c>
      <c r="H4111" s="2" t="s">
        <v>21</v>
      </c>
      <c r="I4111" s="2" t="s">
        <v>8386</v>
      </c>
      <c r="J4111" s="3" t="str">
        <f>HYPERLINK("https://www.boe.es/gazeta/dias/1821/07/23/pdfs/GMD-1821-208.pdf#page=3","Abrir facsímil")</f>
        <v>Abrir facsímil</v>
      </c>
      <c r="K4111" s="3" t="s">
        <v>23</v>
      </c>
    </row>
    <row r="4112" spans="1:11" ht="42" customHeight="1">
      <c r="A4112" s="2" t="s">
        <v>8387</v>
      </c>
      <c r="B4112" s="2" t="s">
        <v>8388</v>
      </c>
      <c r="C4112" s="2" t="s">
        <v>17</v>
      </c>
      <c r="D4112" s="2" t="s">
        <v>18</v>
      </c>
      <c r="E4112" s="5">
        <v>-28673</v>
      </c>
      <c r="F4112" s="3" t="s">
        <v>1069</v>
      </c>
      <c r="G4112" s="3" t="s">
        <v>20</v>
      </c>
      <c r="H4112" s="2" t="s">
        <v>21</v>
      </c>
      <c r="I4112" s="2" t="s">
        <v>8389</v>
      </c>
      <c r="J4112" s="3" t="str">
        <f>HYPERLINK("https://www.boe.es/gazeta/dias/1821/06/29/pdfs/GMD-1821-182.pdf#page=3","Abrir facsímil")</f>
        <v>Abrir facsímil</v>
      </c>
      <c r="K4112" s="3" t="s">
        <v>23</v>
      </c>
    </row>
    <row r="4113" spans="1:11" ht="42" customHeight="1">
      <c r="A4113" s="2" t="s">
        <v>8390</v>
      </c>
      <c r="B4113" s="2" t="s">
        <v>8391</v>
      </c>
      <c r="C4113" s="2" t="s">
        <v>26</v>
      </c>
      <c r="D4113" s="2" t="s">
        <v>27</v>
      </c>
      <c r="E4113" s="5">
        <v>-28547</v>
      </c>
      <c r="F4113" s="3" t="s">
        <v>247</v>
      </c>
      <c r="G4113" s="3" t="s">
        <v>248</v>
      </c>
      <c r="H4113" s="2" t="s">
        <v>21</v>
      </c>
      <c r="I4113" s="2" t="s">
        <v>8392</v>
      </c>
      <c r="J4113" s="3" t="str">
        <f>HYPERLINK("https://www.boe.es/gazeta/dias/1821/11/02/pdfs/GMD-1821-312.pdf#page=2","Abrir facsímil")</f>
        <v>Abrir facsímil</v>
      </c>
      <c r="K4113" s="3" t="s">
        <v>23</v>
      </c>
    </row>
    <row r="4114" spans="1:11" ht="42" customHeight="1">
      <c r="A4114" s="2" t="s">
        <v>8393</v>
      </c>
      <c r="B4114" s="2" t="s">
        <v>8394</v>
      </c>
      <c r="C4114" s="2" t="s">
        <v>17</v>
      </c>
      <c r="D4114" s="2" t="s">
        <v>18</v>
      </c>
      <c r="E4114" s="5">
        <v>-28710</v>
      </c>
      <c r="F4114" s="3" t="s">
        <v>375</v>
      </c>
      <c r="G4114" s="3" t="s">
        <v>52</v>
      </c>
      <c r="H4114" s="2" t="s">
        <v>21</v>
      </c>
      <c r="I4114" s="2" t="s">
        <v>8395</v>
      </c>
      <c r="J4114" s="3" t="str">
        <f>HYPERLINK("https://www.boe.es/gazeta/dias/1821/05/23/pdfs/GMD-1821-145.pdf#page=2","Abrir facsímil")</f>
        <v>Abrir facsímil</v>
      </c>
      <c r="K4114" s="3" t="s">
        <v>23</v>
      </c>
    </row>
    <row r="4115" spans="1:11" ht="42" customHeight="1">
      <c r="A4115" s="2" t="s">
        <v>8393</v>
      </c>
      <c r="B4115" s="2" t="s">
        <v>8394</v>
      </c>
      <c r="C4115" s="2" t="s">
        <v>35</v>
      </c>
      <c r="D4115" s="2" t="s">
        <v>27</v>
      </c>
      <c r="E4115" s="5">
        <v>-28530</v>
      </c>
      <c r="F4115" s="3" t="s">
        <v>237</v>
      </c>
      <c r="G4115" s="3" t="s">
        <v>52</v>
      </c>
      <c r="H4115" s="2" t="s">
        <v>21</v>
      </c>
      <c r="I4115" s="2" t="s">
        <v>8396</v>
      </c>
      <c r="J4115" s="3" t="str">
        <f>HYPERLINK("https://www.boe.es/gazeta/dias/1821/11/19/pdfs/GMD-1821-330.pdf#page=2","Abrir facsímil")</f>
        <v>Abrir facsímil</v>
      </c>
      <c r="K4115" s="3" t="s">
        <v>23</v>
      </c>
    </row>
    <row r="4116" spans="1:11" ht="42" customHeight="1">
      <c r="A4116" s="2" t="s">
        <v>8397</v>
      </c>
      <c r="B4116" s="2" t="s">
        <v>8398</v>
      </c>
      <c r="C4116" s="2" t="s">
        <v>17</v>
      </c>
      <c r="D4116" s="2" t="s">
        <v>18</v>
      </c>
      <c r="E4116" s="5">
        <v>-28577</v>
      </c>
      <c r="F4116" s="3" t="s">
        <v>858</v>
      </c>
      <c r="G4116" s="3" t="s">
        <v>88</v>
      </c>
      <c r="H4116" s="2" t="s">
        <v>21</v>
      </c>
      <c r="I4116" s="2" t="s">
        <v>8399</v>
      </c>
      <c r="J4116" s="3" t="str">
        <f>HYPERLINK("https://www.boe.es/gazeta/dias/1821/10/03/pdfs/GMD-1821-282.pdf#page=4","Abrir facsímil")</f>
        <v>Abrir facsímil</v>
      </c>
      <c r="K4116" s="3" t="s">
        <v>23</v>
      </c>
    </row>
    <row r="4117" spans="1:11" ht="42" customHeight="1">
      <c r="A4117" s="2" t="s">
        <v>8400</v>
      </c>
      <c r="B4117" s="2" t="s">
        <v>8401</v>
      </c>
      <c r="C4117" s="2" t="s">
        <v>26</v>
      </c>
      <c r="D4117" s="2" t="s">
        <v>27</v>
      </c>
      <c r="E4117" s="5">
        <v>-28547</v>
      </c>
      <c r="F4117" s="3" t="s">
        <v>247</v>
      </c>
      <c r="G4117" s="3" t="s">
        <v>248</v>
      </c>
      <c r="H4117" s="2" t="s">
        <v>21</v>
      </c>
      <c r="I4117" s="2" t="s">
        <v>8402</v>
      </c>
      <c r="J4117" s="3" t="str">
        <f>HYPERLINK("https://www.boe.es/gazeta/dias/1821/11/02/pdfs/GMD-1821-312.pdf#page=2","Abrir facsímil")</f>
        <v>Abrir facsímil</v>
      </c>
      <c r="K4117" s="3" t="s">
        <v>23</v>
      </c>
    </row>
    <row r="4118" spans="1:11" ht="42" customHeight="1">
      <c r="A4118" s="2" t="s">
        <v>8403</v>
      </c>
      <c r="B4118" s="2" t="s">
        <v>8404</v>
      </c>
      <c r="C4118" s="2" t="s">
        <v>17</v>
      </c>
      <c r="D4118" s="2" t="s">
        <v>18</v>
      </c>
      <c r="E4118" s="5">
        <v>-28514</v>
      </c>
      <c r="F4118" s="3" t="s">
        <v>103</v>
      </c>
      <c r="G4118" s="3" t="s">
        <v>88</v>
      </c>
      <c r="H4118" s="2" t="s">
        <v>21</v>
      </c>
      <c r="I4118" s="2" t="s">
        <v>8405</v>
      </c>
      <c r="J4118" s="3" t="str">
        <f>HYPERLINK("https://www.boe.es/gazeta/dias/1821/12/05/pdfs/GMD-1821-347.pdf#page=4","Abrir facsímil")</f>
        <v>Abrir facsímil</v>
      </c>
      <c r="K4118" s="3" t="s">
        <v>23</v>
      </c>
    </row>
    <row r="4119" spans="1:11" ht="42" customHeight="1">
      <c r="A4119" s="2" t="s">
        <v>8406</v>
      </c>
      <c r="B4119" s="2" t="s">
        <v>8407</v>
      </c>
      <c r="C4119" s="2" t="s">
        <v>35</v>
      </c>
      <c r="D4119" s="2" t="s">
        <v>27</v>
      </c>
      <c r="E4119" s="5">
        <v>-28548</v>
      </c>
      <c r="F4119" s="3" t="s">
        <v>782</v>
      </c>
      <c r="G4119" s="3" t="s">
        <v>162</v>
      </c>
      <c r="H4119" s="2" t="s">
        <v>21</v>
      </c>
      <c r="I4119" s="2" t="s">
        <v>8408</v>
      </c>
      <c r="J4119" s="3" t="str">
        <f>HYPERLINK("https://www.boe.es/gazeta/dias/1821/11/01/pdfs/GMD-1821-311.pdf#page=5","Abrir facsímil")</f>
        <v>Abrir facsímil</v>
      </c>
      <c r="K4119" s="3" t="s">
        <v>23</v>
      </c>
    </row>
    <row r="4120" spans="1:11" ht="42" customHeight="1">
      <c r="A4120" s="2" t="s">
        <v>8409</v>
      </c>
      <c r="B4120" s="2" t="s">
        <v>8410</v>
      </c>
      <c r="C4120" s="2" t="s">
        <v>40</v>
      </c>
      <c r="D4120" s="2" t="s">
        <v>41</v>
      </c>
      <c r="E4120" s="5">
        <v>-28693</v>
      </c>
      <c r="F4120" s="3" t="s">
        <v>74</v>
      </c>
      <c r="G4120" s="3" t="s">
        <v>52</v>
      </c>
      <c r="H4120" s="2" t="s">
        <v>21</v>
      </c>
      <c r="I4120" s="2" t="s">
        <v>8411</v>
      </c>
      <c r="J4120" s="3" t="str">
        <f>HYPERLINK("https://www.boe.es/gazeta/dias/1821/06/09/pdfs/GMD-1821-162.pdf#page=2","Abrir facsímil")</f>
        <v>Abrir facsímil</v>
      </c>
      <c r="K4120" s="3" t="s">
        <v>23</v>
      </c>
    </row>
    <row r="4121" spans="1:11" ht="42" customHeight="1">
      <c r="A4121" s="2" t="s">
        <v>8412</v>
      </c>
      <c r="B4121" s="2" t="s">
        <v>8413</v>
      </c>
      <c r="C4121" s="2" t="s">
        <v>174</v>
      </c>
      <c r="D4121" s="2" t="s">
        <v>27</v>
      </c>
      <c r="E4121" s="5">
        <v>-28620</v>
      </c>
      <c r="F4121" s="3" t="s">
        <v>87</v>
      </c>
      <c r="G4121" s="3" t="s">
        <v>88</v>
      </c>
      <c r="H4121" s="2" t="s">
        <v>21</v>
      </c>
      <c r="I4121" s="2" t="s">
        <v>8414</v>
      </c>
      <c r="J4121" s="3" t="str">
        <f>HYPERLINK("https://www.boe.es/gazeta/dias/1821/08/21/pdfs/GMD-1821-238.pdf#page=4","Abrir facsímil")</f>
        <v>Abrir facsímil</v>
      </c>
      <c r="K4121" s="3" t="s">
        <v>23</v>
      </c>
    </row>
    <row r="4122" spans="1:11" ht="42" customHeight="1">
      <c r="A4122" s="2" t="s">
        <v>8412</v>
      </c>
      <c r="B4122" s="2" t="s">
        <v>8413</v>
      </c>
      <c r="C4122" s="2" t="s">
        <v>17</v>
      </c>
      <c r="D4122" s="2" t="s">
        <v>18</v>
      </c>
      <c r="E4122" s="5">
        <v>-28531</v>
      </c>
      <c r="F4122" s="3" t="s">
        <v>365</v>
      </c>
      <c r="G4122" s="3" t="s">
        <v>20</v>
      </c>
      <c r="H4122" s="2" t="s">
        <v>21</v>
      </c>
      <c r="I4122" s="2" t="s">
        <v>8415</v>
      </c>
      <c r="J4122" s="3" t="str">
        <f>HYPERLINK("https://www.boe.es/gazeta/dias/1821/11/18/pdfs/GMD-1821-329.pdf#page=3","Abrir facsímil")</f>
        <v>Abrir facsímil</v>
      </c>
      <c r="K4122" s="3" t="s">
        <v>23</v>
      </c>
    </row>
    <row r="4123" spans="1:11" ht="42" customHeight="1">
      <c r="A4123" s="2" t="s">
        <v>8416</v>
      </c>
      <c r="B4123" s="2" t="s">
        <v>8417</v>
      </c>
      <c r="C4123" s="2" t="s">
        <v>40</v>
      </c>
      <c r="D4123" s="2" t="s">
        <v>41</v>
      </c>
      <c r="E4123" s="5">
        <v>-28743</v>
      </c>
      <c r="F4123" s="3" t="s">
        <v>51</v>
      </c>
      <c r="G4123" s="3" t="s">
        <v>88</v>
      </c>
      <c r="H4123" s="2" t="s">
        <v>21</v>
      </c>
      <c r="I4123" s="2" t="s">
        <v>8418</v>
      </c>
      <c r="J4123" s="3" t="str">
        <f>HYPERLINK("https://www.boe.es/gazeta/dias/1821/04/20/pdfs/GMD-1821-112.pdf#page=4","Abrir facsímil")</f>
        <v>Abrir facsímil</v>
      </c>
      <c r="K4123" s="3" t="s">
        <v>23</v>
      </c>
    </row>
    <row r="4124" spans="1:11" ht="42" customHeight="1">
      <c r="A4124" s="2" t="s">
        <v>8419</v>
      </c>
      <c r="B4124" s="2" t="s">
        <v>8420</v>
      </c>
      <c r="C4124" s="2" t="s">
        <v>17</v>
      </c>
      <c r="D4124" s="2" t="s">
        <v>18</v>
      </c>
      <c r="E4124" s="5">
        <v>-28798</v>
      </c>
      <c r="F4124" s="3" t="s">
        <v>60</v>
      </c>
      <c r="G4124" s="3" t="s">
        <v>88</v>
      </c>
      <c r="H4124" s="2" t="s">
        <v>21</v>
      </c>
      <c r="I4124" s="2" t="s">
        <v>8421</v>
      </c>
      <c r="J4124" s="3" t="str">
        <f>HYPERLINK("https://www.boe.es/gazeta/dias/1821/02/24/pdfs/GGB-1821-55.pdf#page=4","Abrir facsímil")</f>
        <v>Abrir facsímil</v>
      </c>
      <c r="K4124" s="3" t="s">
        <v>23</v>
      </c>
    </row>
    <row r="4125" spans="1:11" ht="42" customHeight="1">
      <c r="A4125" s="2" t="s">
        <v>8422</v>
      </c>
      <c r="B4125" s="2" t="s">
        <v>8423</v>
      </c>
      <c r="C4125" s="2" t="s">
        <v>26</v>
      </c>
      <c r="D4125" s="2" t="s">
        <v>27</v>
      </c>
      <c r="E4125" s="5">
        <v>-28717</v>
      </c>
      <c r="F4125" s="3" t="s">
        <v>1044</v>
      </c>
      <c r="G4125" s="3" t="s">
        <v>52</v>
      </c>
      <c r="H4125" s="2" t="s">
        <v>30</v>
      </c>
      <c r="I4125" s="2" t="s">
        <v>8424</v>
      </c>
      <c r="J4125" s="3" t="str">
        <f>HYPERLINK("https://www.boe.es/gazeta/dias/1821/05/16/pdfs/GMD-1821-138.pdf#page=2","Abrir facsímil")</f>
        <v>Abrir facsímil</v>
      </c>
      <c r="K4125" s="3" t="s">
        <v>32</v>
      </c>
    </row>
    <row r="4126" spans="1:11" ht="42" customHeight="1">
      <c r="A4126" s="2" t="s">
        <v>8425</v>
      </c>
      <c r="B4126" s="2" t="s">
        <v>8426</v>
      </c>
      <c r="C4126" s="2" t="s">
        <v>35</v>
      </c>
      <c r="D4126" s="2" t="s">
        <v>27</v>
      </c>
      <c r="E4126" s="5">
        <v>-28681</v>
      </c>
      <c r="F4126" s="3" t="s">
        <v>210</v>
      </c>
      <c r="G4126" s="3" t="s">
        <v>52</v>
      </c>
      <c r="H4126" s="2" t="s">
        <v>21</v>
      </c>
      <c r="I4126" s="2" t="s">
        <v>8427</v>
      </c>
      <c r="J4126" s="3" t="str">
        <f>HYPERLINK("https://www.boe.es/gazeta/dias/1821/06/21/pdfs/GMD-1821-174.pdf#page=2","Abrir facsímil")</f>
        <v>Abrir facsímil</v>
      </c>
      <c r="K4126" s="3" t="s">
        <v>23</v>
      </c>
    </row>
    <row r="4127" spans="1:11" ht="42" customHeight="1">
      <c r="A4127" s="2" t="s">
        <v>8425</v>
      </c>
      <c r="B4127" s="2" t="s">
        <v>8426</v>
      </c>
      <c r="C4127" s="2" t="s">
        <v>17</v>
      </c>
      <c r="D4127" s="2" t="s">
        <v>18</v>
      </c>
      <c r="E4127" s="5">
        <v>-28674</v>
      </c>
      <c r="F4127" s="3" t="s">
        <v>536</v>
      </c>
      <c r="G4127" s="3" t="s">
        <v>20</v>
      </c>
      <c r="H4127" s="2" t="s">
        <v>21</v>
      </c>
      <c r="I4127" s="2" t="s">
        <v>8428</v>
      </c>
      <c r="J4127" s="3" t="str">
        <f>HYPERLINK("https://www.boe.es/gazeta/dias/1821/06/28/pdfs/GMD-1821-181.pdf#page=3","Abrir facsímil")</f>
        <v>Abrir facsímil</v>
      </c>
      <c r="K4127" s="3" t="s">
        <v>23</v>
      </c>
    </row>
    <row r="4128" spans="1:11" ht="42" customHeight="1">
      <c r="A4128" s="2" t="s">
        <v>8429</v>
      </c>
      <c r="B4128" s="2" t="s">
        <v>8430</v>
      </c>
      <c r="C4128" s="2" t="s">
        <v>40</v>
      </c>
      <c r="D4128" s="2" t="s">
        <v>41</v>
      </c>
      <c r="E4128" s="5">
        <v>-28508</v>
      </c>
      <c r="F4128" s="3" t="s">
        <v>42</v>
      </c>
      <c r="G4128" s="3" t="s">
        <v>43</v>
      </c>
      <c r="H4128" s="2" t="s">
        <v>30</v>
      </c>
      <c r="I4128" s="2" t="s">
        <v>8431</v>
      </c>
      <c r="J4128" s="3" t="str">
        <f>HYPERLINK("https://www.boe.es/gazeta/dias/1821/12/11/pdfs/GMD-1821-353.pdf#page=1","Abrir facsímil")</f>
        <v>Abrir facsímil</v>
      </c>
      <c r="K4128" s="3" t="s">
        <v>32</v>
      </c>
    </row>
    <row r="4129" spans="1:11" ht="42" customHeight="1">
      <c r="A4129" s="2" t="s">
        <v>8432</v>
      </c>
      <c r="B4129" s="2" t="s">
        <v>8433</v>
      </c>
      <c r="C4129" s="2" t="s">
        <v>17</v>
      </c>
      <c r="D4129" s="2" t="s">
        <v>18</v>
      </c>
      <c r="E4129" s="5">
        <v>-28513</v>
      </c>
      <c r="F4129" s="3" t="s">
        <v>502</v>
      </c>
      <c r="G4129" s="3" t="s">
        <v>88</v>
      </c>
      <c r="H4129" s="2" t="s">
        <v>21</v>
      </c>
      <c r="I4129" s="2" t="s">
        <v>8434</v>
      </c>
      <c r="J4129" s="3" t="str">
        <f>HYPERLINK("https://www.boe.es/gazeta/dias/1821/12/06/pdfs/GMD-1821-348.pdf#page=4","Abrir facsímil")</f>
        <v>Abrir facsímil</v>
      </c>
      <c r="K4129" s="3" t="s">
        <v>23</v>
      </c>
    </row>
    <row r="4130" spans="1:11" ht="42" customHeight="1">
      <c r="A4130" s="2" t="s">
        <v>8435</v>
      </c>
      <c r="B4130" s="2" t="s">
        <v>8436</v>
      </c>
      <c r="C4130" s="2" t="s">
        <v>114</v>
      </c>
      <c r="D4130" s="2" t="s">
        <v>27</v>
      </c>
      <c r="E4130" s="5">
        <v>-28760</v>
      </c>
      <c r="F4130" s="3" t="s">
        <v>170</v>
      </c>
      <c r="G4130" s="3" t="s">
        <v>52</v>
      </c>
      <c r="H4130" s="2" t="s">
        <v>21</v>
      </c>
      <c r="I4130" s="2" t="s">
        <v>8437</v>
      </c>
      <c r="J4130" s="3" t="str">
        <f>HYPERLINK("https://www.boe.es/gazeta/dias/1821/04/03/pdfs/GMD-1821-95.pdf#page=2","Abrir facsímil")</f>
        <v>Abrir facsímil</v>
      </c>
      <c r="K4130" s="3" t="s">
        <v>23</v>
      </c>
    </row>
    <row r="4131" spans="1:11" ht="42" customHeight="1">
      <c r="A4131" s="2" t="s">
        <v>8435</v>
      </c>
      <c r="B4131" s="2" t="s">
        <v>8436</v>
      </c>
      <c r="C4131" s="2" t="s">
        <v>35</v>
      </c>
      <c r="D4131" s="2" t="s">
        <v>27</v>
      </c>
      <c r="E4131" s="5">
        <v>-28737</v>
      </c>
      <c r="F4131" s="3" t="s">
        <v>732</v>
      </c>
      <c r="G4131" s="3" t="s">
        <v>52</v>
      </c>
      <c r="H4131" s="2" t="s">
        <v>21</v>
      </c>
      <c r="I4131" s="2" t="s">
        <v>8438</v>
      </c>
      <c r="J4131" s="3" t="str">
        <f>HYPERLINK("https://www.boe.es/gazeta/dias/1821/04/26/pdfs/GMD-1821-118.pdf#page=2","Abrir facsímil")</f>
        <v>Abrir facsímil</v>
      </c>
      <c r="K4131" s="3" t="s">
        <v>23</v>
      </c>
    </row>
    <row r="4132" spans="1:11" ht="42" customHeight="1">
      <c r="A4132" s="2" t="s">
        <v>8435</v>
      </c>
      <c r="B4132" s="2" t="s">
        <v>8436</v>
      </c>
      <c r="C4132" s="2" t="s">
        <v>26</v>
      </c>
      <c r="D4132" s="2" t="s">
        <v>27</v>
      </c>
      <c r="E4132" s="5">
        <v>-28547</v>
      </c>
      <c r="F4132" s="3" t="s">
        <v>247</v>
      </c>
      <c r="G4132" s="3" t="s">
        <v>248</v>
      </c>
      <c r="H4132" s="2" t="s">
        <v>21</v>
      </c>
      <c r="I4132" s="2" t="s">
        <v>8439</v>
      </c>
      <c r="J4132" s="3" t="str">
        <f>HYPERLINK("https://www.boe.es/gazeta/dias/1821/11/02/pdfs/GMD-1821-312.pdf#page=2","Abrir facsímil")</f>
        <v>Abrir facsímil</v>
      </c>
      <c r="K4132" s="3" t="s">
        <v>23</v>
      </c>
    </row>
    <row r="4133" spans="1:11" ht="42" customHeight="1">
      <c r="A4133" s="2" t="s">
        <v>8440</v>
      </c>
      <c r="B4133" s="2" t="s">
        <v>8441</v>
      </c>
      <c r="C4133" s="2" t="s">
        <v>17</v>
      </c>
      <c r="D4133" s="2" t="s">
        <v>18</v>
      </c>
      <c r="E4133" s="5">
        <v>-28781</v>
      </c>
      <c r="F4133" s="3" t="s">
        <v>149</v>
      </c>
      <c r="G4133" s="3" t="s">
        <v>20</v>
      </c>
      <c r="H4133" s="2" t="s">
        <v>21</v>
      </c>
      <c r="I4133" s="2" t="s">
        <v>8442</v>
      </c>
      <c r="J4133" s="3" t="str">
        <f>HYPERLINK("https://www.boe.es/gazeta/dias/1821/03/13/pdfs/GMD-1821-72.pdf#page=3","Abrir facsímil")</f>
        <v>Abrir facsímil</v>
      </c>
      <c r="K4133" s="3" t="s">
        <v>23</v>
      </c>
    </row>
    <row r="4134" spans="1:11" ht="42" customHeight="1">
      <c r="A4134" s="2" t="s">
        <v>8443</v>
      </c>
      <c r="B4134" s="2" t="s">
        <v>8444</v>
      </c>
      <c r="C4134" s="2" t="s">
        <v>40</v>
      </c>
      <c r="D4134" s="2" t="s">
        <v>41</v>
      </c>
      <c r="E4134" s="5">
        <v>-28737</v>
      </c>
      <c r="F4134" s="3" t="s">
        <v>732</v>
      </c>
      <c r="G4134" s="3" t="s">
        <v>20</v>
      </c>
      <c r="H4134" s="2" t="s">
        <v>21</v>
      </c>
      <c r="I4134" s="2" t="s">
        <v>8445</v>
      </c>
      <c r="J4134" s="3" t="str">
        <f>HYPERLINK("https://www.boe.es/gazeta/dias/1821/04/26/pdfs/GMD-1821-118.pdf#page=3","Abrir facsímil")</f>
        <v>Abrir facsímil</v>
      </c>
      <c r="K4134" s="3" t="s">
        <v>23</v>
      </c>
    </row>
    <row r="4135" spans="1:11" ht="42" customHeight="1">
      <c r="A4135" s="2" t="s">
        <v>8446</v>
      </c>
      <c r="B4135" s="2" t="s">
        <v>8447</v>
      </c>
      <c r="C4135" s="2" t="s">
        <v>40</v>
      </c>
      <c r="D4135" s="2" t="s">
        <v>41</v>
      </c>
      <c r="E4135" s="5">
        <v>-28833</v>
      </c>
      <c r="F4135" s="3" t="s">
        <v>1868</v>
      </c>
      <c r="G4135" s="3" t="s">
        <v>88</v>
      </c>
      <c r="H4135" s="2" t="s">
        <v>21</v>
      </c>
      <c r="I4135" s="2" t="s">
        <v>8448</v>
      </c>
      <c r="J4135" s="3" t="str">
        <f>HYPERLINK("https://www.boe.es/gazeta/dias/1821/01/20/pdfs/GGB-1821-20.pdf#page=4","Abrir facsímil")</f>
        <v>Abrir facsímil</v>
      </c>
      <c r="K4135" s="3" t="s">
        <v>23</v>
      </c>
    </row>
    <row r="4136" spans="1:11" ht="42" customHeight="1">
      <c r="A4136" s="2" t="s">
        <v>8446</v>
      </c>
      <c r="B4136" s="2" t="s">
        <v>8447</v>
      </c>
      <c r="C4136" s="2" t="s">
        <v>35</v>
      </c>
      <c r="D4136" s="2" t="s">
        <v>27</v>
      </c>
      <c r="E4136" s="5">
        <v>-28707</v>
      </c>
      <c r="F4136" s="3" t="s">
        <v>495</v>
      </c>
      <c r="G4136" s="3" t="s">
        <v>52</v>
      </c>
      <c r="H4136" s="2" t="s">
        <v>21</v>
      </c>
      <c r="I4136" s="2" t="s">
        <v>8449</v>
      </c>
      <c r="J4136" s="3" t="str">
        <f>HYPERLINK("https://www.boe.es/gazeta/dias/1821/05/26/pdfs/GMD-1821-148.pdf#page=2","Abrir facsímil")</f>
        <v>Abrir facsímil</v>
      </c>
      <c r="K4136" s="3" t="s">
        <v>23</v>
      </c>
    </row>
    <row r="4137" spans="1:11" ht="42" customHeight="1">
      <c r="A4137" s="2" t="s">
        <v>8446</v>
      </c>
      <c r="B4137" s="2" t="s">
        <v>8447</v>
      </c>
      <c r="C4137" s="2" t="s">
        <v>35</v>
      </c>
      <c r="D4137" s="2" t="s">
        <v>27</v>
      </c>
      <c r="E4137" s="5">
        <v>-28689</v>
      </c>
      <c r="F4137" s="3" t="s">
        <v>194</v>
      </c>
      <c r="G4137" s="3" t="s">
        <v>88</v>
      </c>
      <c r="H4137" s="2" t="s">
        <v>21</v>
      </c>
      <c r="I4137" s="2" t="s">
        <v>8450</v>
      </c>
      <c r="J4137" s="3" t="str">
        <f>HYPERLINK("https://www.boe.es/gazeta/dias/1821/06/13/pdfs/GMD-1821-166.pdf#page=4","Abrir facsímil")</f>
        <v>Abrir facsímil</v>
      </c>
      <c r="K4137" s="3" t="s">
        <v>23</v>
      </c>
    </row>
    <row r="4138" spans="1:11" ht="42" customHeight="1">
      <c r="A4138" s="2" t="s">
        <v>8446</v>
      </c>
      <c r="B4138" s="2" t="s">
        <v>8447</v>
      </c>
      <c r="C4138" s="2" t="s">
        <v>174</v>
      </c>
      <c r="D4138" s="2" t="s">
        <v>27</v>
      </c>
      <c r="E4138" s="5">
        <v>-28683</v>
      </c>
      <c r="F4138" s="3" t="s">
        <v>332</v>
      </c>
      <c r="G4138" s="3" t="s">
        <v>333</v>
      </c>
      <c r="H4138" s="2" t="s">
        <v>21</v>
      </c>
      <c r="I4138" s="2" t="s">
        <v>8451</v>
      </c>
      <c r="J4138" s="3" t="str">
        <f>HYPERLINK("https://www.boe.es/gazeta/dias/1821/06/19/pdfs/GMD-1821-172.pdf#page=8","Abrir facsímil")</f>
        <v>Abrir facsímil</v>
      </c>
      <c r="K4138" s="3" t="s">
        <v>23</v>
      </c>
    </row>
    <row r="4139" spans="1:11" ht="42" customHeight="1">
      <c r="A4139" s="2" t="s">
        <v>8452</v>
      </c>
      <c r="B4139" s="2" t="s">
        <v>8453</v>
      </c>
      <c r="C4139" s="2" t="s">
        <v>17</v>
      </c>
      <c r="D4139" s="2" t="s">
        <v>18</v>
      </c>
      <c r="E4139" s="5">
        <v>-28517</v>
      </c>
      <c r="F4139" s="3" t="s">
        <v>563</v>
      </c>
      <c r="G4139" s="3" t="s">
        <v>88</v>
      </c>
      <c r="H4139" s="2" t="s">
        <v>21</v>
      </c>
      <c r="I4139" s="2" t="s">
        <v>8454</v>
      </c>
      <c r="J4139" s="3" t="str">
        <f>HYPERLINK("https://www.boe.es/gazeta/dias/1821/12/02/pdfs/GMD-1821-344.pdf#page=4","Abrir facsímil")</f>
        <v>Abrir facsímil</v>
      </c>
      <c r="K4139" s="3" t="s">
        <v>23</v>
      </c>
    </row>
    <row r="4140" spans="1:11" ht="42" customHeight="1">
      <c r="A4140" s="2" t="s">
        <v>8455</v>
      </c>
      <c r="B4140" s="2" t="s">
        <v>8456</v>
      </c>
      <c r="C4140" s="2" t="s">
        <v>26</v>
      </c>
      <c r="D4140" s="2" t="s">
        <v>27</v>
      </c>
      <c r="E4140" s="5">
        <v>-28744</v>
      </c>
      <c r="F4140" s="3" t="s">
        <v>834</v>
      </c>
      <c r="G4140" s="3" t="s">
        <v>52</v>
      </c>
      <c r="H4140" s="2" t="s">
        <v>30</v>
      </c>
      <c r="I4140" s="2" t="s">
        <v>8457</v>
      </c>
      <c r="J4140" s="3" t="str">
        <f>HYPERLINK("https://www.boe.es/gazeta/dias/1821/04/19/pdfs/GMD-1821-111.pdf#page=2","Abrir facsímil")</f>
        <v>Abrir facsímil</v>
      </c>
      <c r="K4140" s="3" t="s">
        <v>32</v>
      </c>
    </row>
    <row r="4141" spans="1:11" ht="42" customHeight="1">
      <c r="A4141" s="2" t="s">
        <v>8458</v>
      </c>
      <c r="B4141" s="2" t="s">
        <v>8459</v>
      </c>
      <c r="C4141" s="2" t="s">
        <v>40</v>
      </c>
      <c r="D4141" s="2" t="s">
        <v>41</v>
      </c>
      <c r="E4141" s="5">
        <v>-28702</v>
      </c>
      <c r="F4141" s="3" t="s">
        <v>1176</v>
      </c>
      <c r="G4141" s="3" t="s">
        <v>1177</v>
      </c>
      <c r="H4141" s="2" t="s">
        <v>21</v>
      </c>
      <c r="I4141" s="2" t="s">
        <v>8460</v>
      </c>
      <c r="J4141" s="3" t="str">
        <f>HYPERLINK("https://www.boe.es/gazeta/dias/1821/05/31/pdfs/GMD-1821-153.pdf#page=2","Abrir facsímil")</f>
        <v>Abrir facsímil</v>
      </c>
      <c r="K4141" s="3" t="s">
        <v>23</v>
      </c>
    </row>
    <row r="4142" spans="1:11" ht="42" customHeight="1">
      <c r="A4142" s="2" t="s">
        <v>8461</v>
      </c>
      <c r="B4142" s="2" t="s">
        <v>8462</v>
      </c>
      <c r="C4142" s="2" t="s">
        <v>40</v>
      </c>
      <c r="D4142" s="2" t="s">
        <v>41</v>
      </c>
      <c r="E4142" s="5">
        <v>-28538</v>
      </c>
      <c r="F4142" s="3" t="s">
        <v>395</v>
      </c>
      <c r="G4142" s="3" t="s">
        <v>162</v>
      </c>
      <c r="H4142" s="2" t="s">
        <v>21</v>
      </c>
      <c r="I4142" s="2" t="s">
        <v>8463</v>
      </c>
      <c r="J4142" s="3" t="str">
        <f>HYPERLINK("https://www.boe.es/gazeta/dias/1821/11/11/pdfs/GMD-1821-322.pdf#page=5","Abrir facsímil")</f>
        <v>Abrir facsímil</v>
      </c>
      <c r="K4142" s="3" t="s">
        <v>23</v>
      </c>
    </row>
    <row r="4143" spans="1:11" ht="42" customHeight="1">
      <c r="A4143" s="2" t="s">
        <v>8464</v>
      </c>
      <c r="B4143" s="2" t="s">
        <v>8464</v>
      </c>
      <c r="C4143" s="2" t="s">
        <v>494</v>
      </c>
      <c r="D4143" s="2" t="s">
        <v>18</v>
      </c>
      <c r="E4143" s="5">
        <v>-28708</v>
      </c>
      <c r="F4143" s="3" t="s">
        <v>528</v>
      </c>
      <c r="G4143" s="3" t="s">
        <v>20</v>
      </c>
      <c r="H4143" s="2" t="s">
        <v>21</v>
      </c>
      <c r="I4143" s="2" t="s">
        <v>8465</v>
      </c>
      <c r="J4143" s="3" t="str">
        <f>HYPERLINK("https://www.boe.es/gazeta/dias/1821/05/25/pdfs/GMD-1821-147.pdf#page=3","Abrir facsímil")</f>
        <v>Abrir facsímil</v>
      </c>
      <c r="K4143" s="3" t="s">
        <v>23</v>
      </c>
    </row>
    <row r="4144" spans="1:11" ht="42" customHeight="1">
      <c r="A4144" s="2" t="s">
        <v>8466</v>
      </c>
      <c r="B4144" s="2" t="s">
        <v>8466</v>
      </c>
      <c r="C4144" s="2" t="s">
        <v>70</v>
      </c>
      <c r="D4144" s="2" t="s">
        <v>27</v>
      </c>
      <c r="E4144" s="5">
        <v>-28489</v>
      </c>
      <c r="F4144" s="3" t="s">
        <v>3894</v>
      </c>
      <c r="G4144" s="3" t="s">
        <v>20</v>
      </c>
      <c r="H4144" s="2" t="s">
        <v>21</v>
      </c>
      <c r="I4144" s="2" t="s">
        <v>8467</v>
      </c>
      <c r="J4144" s="3" t="str">
        <f>HYPERLINK("https://www.boe.es/gazeta/dias/1821/12/30/pdfs/GMD-1821-373.pdf#page=3","Abrir facsímil")</f>
        <v>Abrir facsímil</v>
      </c>
      <c r="K4144" s="3" t="s">
        <v>23</v>
      </c>
    </row>
    <row r="4145" spans="1:11" ht="42" customHeight="1">
      <c r="A4145" s="2" t="s">
        <v>8468</v>
      </c>
      <c r="B4145" s="2" t="s">
        <v>8469</v>
      </c>
      <c r="C4145" s="2" t="s">
        <v>17</v>
      </c>
      <c r="D4145" s="2" t="s">
        <v>18</v>
      </c>
      <c r="E4145" s="5">
        <v>-28667</v>
      </c>
      <c r="F4145" s="3" t="s">
        <v>107</v>
      </c>
      <c r="G4145" s="3" t="s">
        <v>3069</v>
      </c>
      <c r="H4145" s="2" t="s">
        <v>21</v>
      </c>
      <c r="I4145" s="2" t="s">
        <v>8470</v>
      </c>
      <c r="J4145" s="3" t="str">
        <f>HYPERLINK("https://www.boe.es/gazeta/dias/1821/07/05/pdfs/GMD-1821-189.pdf#page=4","Abrir facsímil")</f>
        <v>Abrir facsímil</v>
      </c>
      <c r="K4145" s="3" t="s">
        <v>23</v>
      </c>
    </row>
    <row r="4146" spans="1:11" ht="42" customHeight="1">
      <c r="A4146" s="2" t="s">
        <v>8468</v>
      </c>
      <c r="B4146" s="2" t="s">
        <v>8469</v>
      </c>
      <c r="C4146" s="2" t="s">
        <v>17</v>
      </c>
      <c r="D4146" s="2" t="s">
        <v>18</v>
      </c>
      <c r="E4146" s="5">
        <v>-28667</v>
      </c>
      <c r="F4146" s="3" t="s">
        <v>107</v>
      </c>
      <c r="G4146" s="3" t="s">
        <v>20</v>
      </c>
      <c r="H4146" s="2" t="s">
        <v>21</v>
      </c>
      <c r="I4146" s="2" t="s">
        <v>8471</v>
      </c>
      <c r="J4146" s="3" t="str">
        <f>HYPERLINK("https://www.boe.es/gazeta/dias/1821/07/05/pdfs/GMD-1821-189.pdf#page=3","Abrir facsímil")</f>
        <v>Abrir facsímil</v>
      </c>
      <c r="K4146" s="3" t="s">
        <v>23</v>
      </c>
    </row>
    <row r="4147" spans="1:11" ht="42" customHeight="1">
      <c r="A4147" s="2" t="s">
        <v>8472</v>
      </c>
      <c r="B4147" s="2" t="s">
        <v>8473</v>
      </c>
      <c r="C4147" s="2" t="s">
        <v>17</v>
      </c>
      <c r="D4147" s="2" t="s">
        <v>18</v>
      </c>
      <c r="E4147" s="5">
        <v>-28665</v>
      </c>
      <c r="F4147" s="3" t="s">
        <v>789</v>
      </c>
      <c r="G4147" s="3" t="s">
        <v>790</v>
      </c>
      <c r="H4147" s="2" t="s">
        <v>21</v>
      </c>
      <c r="I4147" s="2" t="s">
        <v>8474</v>
      </c>
      <c r="J4147" s="3" t="str">
        <f>HYPERLINK("https://www.boe.es/gazeta/dias/1821/07/07/pdfs/GMD-1821-191.pdf#page=4","Abrir facsímil")</f>
        <v>Abrir facsímil</v>
      </c>
      <c r="K4147" s="3" t="s">
        <v>23</v>
      </c>
    </row>
    <row r="4148" spans="1:11" ht="42" customHeight="1">
      <c r="A4148" s="2" t="s">
        <v>8475</v>
      </c>
      <c r="B4148" s="2" t="s">
        <v>8475</v>
      </c>
      <c r="C4148" s="2" t="s">
        <v>26</v>
      </c>
      <c r="D4148" s="2" t="s">
        <v>27</v>
      </c>
      <c r="E4148" s="5">
        <v>-28747</v>
      </c>
      <c r="F4148" s="3" t="s">
        <v>1016</v>
      </c>
      <c r="G4148" s="3" t="s">
        <v>20</v>
      </c>
      <c r="H4148" s="2" t="s">
        <v>21</v>
      </c>
      <c r="I4148" s="2" t="s">
        <v>8476</v>
      </c>
      <c r="J4148" s="3" t="str">
        <f>HYPERLINK("https://www.boe.es/gazeta/dias/1821/04/16/pdfs/GMD-1821-108.pdf#page=3","Abrir facsímil")</f>
        <v>Abrir facsímil</v>
      </c>
      <c r="K4148" s="3" t="s">
        <v>23</v>
      </c>
    </row>
    <row r="4149" spans="1:11" ht="42" customHeight="1">
      <c r="A4149" s="2" t="s">
        <v>8477</v>
      </c>
      <c r="B4149" s="2" t="s">
        <v>8478</v>
      </c>
      <c r="C4149" s="2" t="s">
        <v>26</v>
      </c>
      <c r="D4149" s="2" t="s">
        <v>27</v>
      </c>
      <c r="E4149" s="5">
        <v>-28524</v>
      </c>
      <c r="F4149" s="3" t="s">
        <v>874</v>
      </c>
      <c r="G4149" s="3" t="s">
        <v>52</v>
      </c>
      <c r="H4149" s="2" t="s">
        <v>21</v>
      </c>
      <c r="I4149" s="2" t="s">
        <v>8479</v>
      </c>
      <c r="J4149" s="3" t="str">
        <f>HYPERLINK("https://www.boe.es/gazeta/dias/1821/11/25/pdfs/GMD-1821-336.pdf#page=2","Abrir facsímil")</f>
        <v>Abrir facsímil</v>
      </c>
      <c r="K4149" s="3" t="s">
        <v>23</v>
      </c>
    </row>
    <row r="4150" spans="1:11" ht="42" customHeight="1">
      <c r="A4150" s="2" t="s">
        <v>8480</v>
      </c>
      <c r="B4150" s="2" t="s">
        <v>8480</v>
      </c>
      <c r="C4150" s="2" t="s">
        <v>40</v>
      </c>
      <c r="D4150" s="2" t="s">
        <v>41</v>
      </c>
      <c r="E4150" s="5">
        <v>-28838</v>
      </c>
      <c r="F4150" s="3" t="s">
        <v>7260</v>
      </c>
      <c r="G4150" s="3" t="s">
        <v>20</v>
      </c>
      <c r="H4150" s="2" t="s">
        <v>21</v>
      </c>
      <c r="I4150" s="2" t="s">
        <v>8481</v>
      </c>
      <c r="J4150" s="3" t="str">
        <f>HYPERLINK("https://www.boe.es/gazeta/dias/1821/01/15/pdfs/GGB-1821-15.pdf#page=3","Abrir facsímil")</f>
        <v>Abrir facsímil</v>
      </c>
      <c r="K4150" s="3" t="s">
        <v>23</v>
      </c>
    </row>
    <row r="4151" spans="1:11" ht="42" customHeight="1">
      <c r="A4151" s="2" t="s">
        <v>8482</v>
      </c>
      <c r="B4151" s="2" t="s">
        <v>8483</v>
      </c>
      <c r="C4151" s="2" t="s">
        <v>17</v>
      </c>
      <c r="D4151" s="2" t="s">
        <v>18</v>
      </c>
      <c r="E4151" s="5">
        <v>-28809</v>
      </c>
      <c r="F4151" s="3" t="s">
        <v>1173</v>
      </c>
      <c r="G4151" s="3" t="s">
        <v>88</v>
      </c>
      <c r="H4151" s="2" t="s">
        <v>21</v>
      </c>
      <c r="I4151" s="2" t="s">
        <v>8484</v>
      </c>
      <c r="J4151" s="3" t="str">
        <f>HYPERLINK("https://www.boe.es/gazeta/dias/1821/02/13/pdfs/GGB-1821-44.pdf#page=4","Abrir facsímil")</f>
        <v>Abrir facsímil</v>
      </c>
      <c r="K4151" s="3" t="s">
        <v>23</v>
      </c>
    </row>
    <row r="4152" spans="1:11" ht="42" customHeight="1">
      <c r="A4152" s="2" t="s">
        <v>8485</v>
      </c>
      <c r="B4152" s="2" t="s">
        <v>8485</v>
      </c>
      <c r="C4152" s="2" t="s">
        <v>35</v>
      </c>
      <c r="D4152" s="2" t="s">
        <v>27</v>
      </c>
      <c r="E4152" s="5">
        <v>-28756</v>
      </c>
      <c r="F4152" s="3" t="s">
        <v>3145</v>
      </c>
      <c r="G4152" s="3" t="s">
        <v>20</v>
      </c>
      <c r="H4152" s="2" t="s">
        <v>21</v>
      </c>
      <c r="I4152" s="2" t="s">
        <v>8486</v>
      </c>
      <c r="J4152" s="3" t="str">
        <f>HYPERLINK("https://www.boe.es/gazeta/dias/1821/04/07/pdfs/GMD-1821-99.pdf#page=3","Abrir facsímil")</f>
        <v>Abrir facsímil</v>
      </c>
      <c r="K4152" s="3" t="s">
        <v>23</v>
      </c>
    </row>
    <row r="4153" spans="1:11" ht="42" customHeight="1">
      <c r="A4153" s="2" t="s">
        <v>8487</v>
      </c>
      <c r="B4153" s="2" t="s">
        <v>8487</v>
      </c>
      <c r="C4153" s="2" t="s">
        <v>17</v>
      </c>
      <c r="D4153" s="2" t="s">
        <v>18</v>
      </c>
      <c r="E4153" s="5">
        <v>-28789</v>
      </c>
      <c r="F4153" s="3" t="s">
        <v>36</v>
      </c>
      <c r="G4153" s="3" t="s">
        <v>20</v>
      </c>
      <c r="H4153" s="2" t="s">
        <v>21</v>
      </c>
      <c r="I4153" s="2" t="s">
        <v>8488</v>
      </c>
      <c r="J4153" s="3" t="str">
        <f>HYPERLINK("https://www.boe.es/gazeta/dias/1821/03/05/pdfs/GGB-1821-64.pdf#page=3","Abrir facsímil")</f>
        <v>Abrir facsímil</v>
      </c>
      <c r="K4153" s="3" t="s">
        <v>23</v>
      </c>
    </row>
    <row r="4154" spans="1:11" ht="42" customHeight="1">
      <c r="A4154" s="2" t="s">
        <v>8487</v>
      </c>
      <c r="B4154" s="2" t="s">
        <v>8487</v>
      </c>
      <c r="C4154" s="2" t="s">
        <v>26</v>
      </c>
      <c r="D4154" s="2" t="s">
        <v>27</v>
      </c>
      <c r="E4154" s="5">
        <v>-28779</v>
      </c>
      <c r="F4154" s="3" t="s">
        <v>1002</v>
      </c>
      <c r="G4154" s="3" t="s">
        <v>20</v>
      </c>
      <c r="H4154" s="2" t="s">
        <v>21</v>
      </c>
      <c r="I4154" s="2" t="s">
        <v>8489</v>
      </c>
      <c r="J4154" s="3" t="str">
        <f>HYPERLINK("https://www.boe.es/gazeta/dias/1821/03/15/pdfs/GMD-1821-74.pdf#page=3","Abrir facsímil")</f>
        <v>Abrir facsímil</v>
      </c>
      <c r="K4154" s="3" t="s">
        <v>23</v>
      </c>
    </row>
    <row r="4155" spans="1:11" ht="42" customHeight="1">
      <c r="A4155" s="2" t="s">
        <v>8487</v>
      </c>
      <c r="B4155" s="2" t="s">
        <v>8487</v>
      </c>
      <c r="C4155" s="2" t="s">
        <v>40</v>
      </c>
      <c r="D4155" s="2" t="s">
        <v>41</v>
      </c>
      <c r="E4155" s="5">
        <v>-28774</v>
      </c>
      <c r="F4155" s="3" t="s">
        <v>1221</v>
      </c>
      <c r="G4155" s="3" t="s">
        <v>88</v>
      </c>
      <c r="H4155" s="2" t="s">
        <v>21</v>
      </c>
      <c r="I4155" s="2" t="s">
        <v>8490</v>
      </c>
      <c r="J4155" s="3" t="str">
        <f>HYPERLINK("https://www.boe.es/gazeta/dias/1821/03/20/pdfs/GMD-1821-79.pdf#page=4","Abrir facsímil")</f>
        <v>Abrir facsímil</v>
      </c>
      <c r="K4155" s="3" t="s">
        <v>23</v>
      </c>
    </row>
    <row r="4156" spans="1:11" ht="42" customHeight="1">
      <c r="A4156" s="2" t="s">
        <v>8487</v>
      </c>
      <c r="B4156" s="2" t="s">
        <v>8487</v>
      </c>
      <c r="C4156" s="2" t="s">
        <v>26</v>
      </c>
      <c r="D4156" s="2" t="s">
        <v>27</v>
      </c>
      <c r="E4156" s="5">
        <v>-28765</v>
      </c>
      <c r="F4156" s="3" t="s">
        <v>974</v>
      </c>
      <c r="G4156" s="3" t="s">
        <v>20</v>
      </c>
      <c r="H4156" s="2" t="s">
        <v>21</v>
      </c>
      <c r="I4156" s="2" t="s">
        <v>8491</v>
      </c>
      <c r="J4156" s="3" t="str">
        <f>HYPERLINK("https://www.boe.es/gazeta/dias/1821/03/29/pdfs/GMD-1821-90.pdf#page=3","Abrir facsímil")</f>
        <v>Abrir facsímil</v>
      </c>
      <c r="K4156" s="3" t="s">
        <v>23</v>
      </c>
    </row>
    <row r="4157" spans="1:11" ht="42" customHeight="1">
      <c r="A4157" s="2" t="s">
        <v>8487</v>
      </c>
      <c r="B4157" s="2" t="s">
        <v>8487</v>
      </c>
      <c r="C4157" s="2" t="s">
        <v>35</v>
      </c>
      <c r="D4157" s="2" t="s">
        <v>27</v>
      </c>
      <c r="E4157" s="5">
        <v>-28764</v>
      </c>
      <c r="F4157" s="3" t="s">
        <v>924</v>
      </c>
      <c r="G4157" s="3" t="s">
        <v>88</v>
      </c>
      <c r="H4157" s="2" t="s">
        <v>21</v>
      </c>
      <c r="I4157" s="2" t="s">
        <v>8492</v>
      </c>
      <c r="J4157" s="3" t="str">
        <f>HYPERLINK("https://www.boe.es/gazeta/dias/1821/03/30/pdfs/GMD-1821-91.pdf#page=4","Abrir facsímil")</f>
        <v>Abrir facsímil</v>
      </c>
      <c r="K4157" s="3" t="s">
        <v>23</v>
      </c>
    </row>
    <row r="4158" spans="1:11" ht="42" customHeight="1">
      <c r="A4158" s="2" t="s">
        <v>8487</v>
      </c>
      <c r="B4158" s="2" t="s">
        <v>8487</v>
      </c>
      <c r="C4158" s="2" t="s">
        <v>26</v>
      </c>
      <c r="D4158" s="2" t="s">
        <v>27</v>
      </c>
      <c r="E4158" s="5">
        <v>-28759</v>
      </c>
      <c r="F4158" s="3" t="s">
        <v>71</v>
      </c>
      <c r="G4158" s="3" t="s">
        <v>20</v>
      </c>
      <c r="H4158" s="2" t="s">
        <v>21</v>
      </c>
      <c r="I4158" s="2" t="s">
        <v>8493</v>
      </c>
      <c r="J4158" s="3" t="str">
        <f>HYPERLINK("https://www.boe.es/gazeta/dias/1821/04/04/pdfs/GMD-1821-96.pdf#page=3","Abrir facsímil")</f>
        <v>Abrir facsímil</v>
      </c>
      <c r="K4158" s="3" t="s">
        <v>23</v>
      </c>
    </row>
    <row r="4159" spans="1:11" ht="42" customHeight="1">
      <c r="A4159" s="2" t="s">
        <v>8487</v>
      </c>
      <c r="B4159" s="2" t="s">
        <v>8487</v>
      </c>
      <c r="C4159" s="2" t="s">
        <v>40</v>
      </c>
      <c r="D4159" s="2" t="s">
        <v>41</v>
      </c>
      <c r="E4159" s="5">
        <v>-28757</v>
      </c>
      <c r="F4159" s="3" t="s">
        <v>472</v>
      </c>
      <c r="G4159" s="3" t="s">
        <v>52</v>
      </c>
      <c r="H4159" s="2" t="s">
        <v>21</v>
      </c>
      <c r="I4159" s="2" t="s">
        <v>8494</v>
      </c>
      <c r="J4159" s="3" t="str">
        <f>HYPERLINK("https://www.boe.es/gazeta/dias/1821/04/06/pdfs/GMD-1821-98.pdf#page=2","Abrir facsímil")</f>
        <v>Abrir facsímil</v>
      </c>
      <c r="K4159" s="3" t="s">
        <v>23</v>
      </c>
    </row>
    <row r="4160" spans="1:11" ht="42" customHeight="1">
      <c r="A4160" s="2" t="s">
        <v>8487</v>
      </c>
      <c r="B4160" s="2" t="s">
        <v>8487</v>
      </c>
      <c r="C4160" s="2" t="s">
        <v>26</v>
      </c>
      <c r="D4160" s="2" t="s">
        <v>27</v>
      </c>
      <c r="E4160" s="5">
        <v>-28750</v>
      </c>
      <c r="F4160" s="3" t="s">
        <v>917</v>
      </c>
      <c r="G4160" s="3" t="s">
        <v>52</v>
      </c>
      <c r="H4160" s="2" t="s">
        <v>21</v>
      </c>
      <c r="I4160" s="2" t="s">
        <v>8495</v>
      </c>
      <c r="J4160" s="3" t="str">
        <f>HYPERLINK("https://www.boe.es/gazeta/dias/1821/04/13/pdfs/GMD-1821-105.pdf#page=2","Abrir facsímil")</f>
        <v>Abrir facsímil</v>
      </c>
      <c r="K4160" s="3" t="s">
        <v>23</v>
      </c>
    </row>
    <row r="4161" spans="1:11" ht="42" customHeight="1">
      <c r="A4161" s="2" t="s">
        <v>8487</v>
      </c>
      <c r="B4161" s="2" t="s">
        <v>8487</v>
      </c>
      <c r="C4161" s="2" t="s">
        <v>17</v>
      </c>
      <c r="D4161" s="2" t="s">
        <v>18</v>
      </c>
      <c r="E4161" s="5">
        <v>-28750</v>
      </c>
      <c r="F4161" s="3" t="s">
        <v>917</v>
      </c>
      <c r="G4161" s="3" t="s">
        <v>20</v>
      </c>
      <c r="H4161" s="2" t="s">
        <v>21</v>
      </c>
      <c r="I4161" s="2" t="s">
        <v>8496</v>
      </c>
      <c r="J4161" s="3" t="str">
        <f>HYPERLINK("https://www.boe.es/gazeta/dias/1821/04/13/pdfs/GMD-1821-105.pdf#page=3","Abrir facsímil")</f>
        <v>Abrir facsímil</v>
      </c>
      <c r="K4161" s="3" t="s">
        <v>23</v>
      </c>
    </row>
    <row r="4162" spans="1:11" ht="42" customHeight="1">
      <c r="A4162" s="2" t="s">
        <v>8487</v>
      </c>
      <c r="B4162" s="2" t="s">
        <v>8487</v>
      </c>
      <c r="C4162" s="2" t="s">
        <v>17</v>
      </c>
      <c r="D4162" s="2" t="s">
        <v>18</v>
      </c>
      <c r="E4162" s="5">
        <v>-28747</v>
      </c>
      <c r="F4162" s="3" t="s">
        <v>1016</v>
      </c>
      <c r="G4162" s="3" t="s">
        <v>20</v>
      </c>
      <c r="H4162" s="2" t="s">
        <v>21</v>
      </c>
      <c r="I4162" s="2" t="s">
        <v>8497</v>
      </c>
      <c r="J4162" s="3" t="str">
        <f>HYPERLINK("https://www.boe.es/gazeta/dias/1821/04/16/pdfs/GMD-1821-108.pdf#page=3","Abrir facsímil")</f>
        <v>Abrir facsímil</v>
      </c>
      <c r="K4162" s="3" t="s">
        <v>23</v>
      </c>
    </row>
    <row r="4163" spans="1:11" ht="42" customHeight="1">
      <c r="A4163" s="2" t="s">
        <v>8487</v>
      </c>
      <c r="B4163" s="2" t="s">
        <v>8487</v>
      </c>
      <c r="C4163" s="2" t="s">
        <v>26</v>
      </c>
      <c r="D4163" s="2" t="s">
        <v>27</v>
      </c>
      <c r="E4163" s="5">
        <v>-28746</v>
      </c>
      <c r="F4163" s="3" t="s">
        <v>687</v>
      </c>
      <c r="G4163" s="3" t="s">
        <v>88</v>
      </c>
      <c r="H4163" s="2" t="s">
        <v>21</v>
      </c>
      <c r="I4163" s="2" t="s">
        <v>8498</v>
      </c>
      <c r="J4163" s="3" t="str">
        <f>HYPERLINK("https://www.boe.es/gazeta/dias/1821/04/17/pdfs/GMD-1821-109.pdf#page=4","Abrir facsímil")</f>
        <v>Abrir facsímil</v>
      </c>
      <c r="K4163" s="3" t="s">
        <v>23</v>
      </c>
    </row>
    <row r="4164" spans="1:11" ht="42" customHeight="1">
      <c r="A4164" s="2" t="s">
        <v>8487</v>
      </c>
      <c r="B4164" s="2" t="s">
        <v>8487</v>
      </c>
      <c r="C4164" s="2" t="s">
        <v>40</v>
      </c>
      <c r="D4164" s="2" t="s">
        <v>41</v>
      </c>
      <c r="E4164" s="5">
        <v>-28746</v>
      </c>
      <c r="F4164" s="3" t="s">
        <v>687</v>
      </c>
      <c r="G4164" s="3" t="s">
        <v>162</v>
      </c>
      <c r="H4164" s="2" t="s">
        <v>21</v>
      </c>
      <c r="I4164" s="2" t="s">
        <v>8499</v>
      </c>
      <c r="J4164" s="3" t="str">
        <f>HYPERLINK("https://www.boe.es/gazeta/dias/1821/04/17/pdfs/GMD-1821-109.pdf#page=5","Abrir facsímil")</f>
        <v>Abrir facsímil</v>
      </c>
      <c r="K4164" s="3" t="s">
        <v>23</v>
      </c>
    </row>
    <row r="4165" spans="1:11" ht="42" customHeight="1">
      <c r="A4165" s="2" t="s">
        <v>8487</v>
      </c>
      <c r="B4165" s="2" t="s">
        <v>8487</v>
      </c>
      <c r="C4165" s="2" t="s">
        <v>70</v>
      </c>
      <c r="D4165" s="2" t="s">
        <v>27</v>
      </c>
      <c r="E4165" s="5">
        <v>-28722</v>
      </c>
      <c r="F4165" s="3" t="s">
        <v>623</v>
      </c>
      <c r="G4165" s="3" t="s">
        <v>20</v>
      </c>
      <c r="H4165" s="2" t="s">
        <v>21</v>
      </c>
      <c r="I4165" s="2" t="s">
        <v>8500</v>
      </c>
      <c r="J4165" s="3" t="str">
        <f>HYPERLINK("https://www.boe.es/gazeta/dias/1821/05/11/pdfs/GMD-1821-133.pdf#page=3","Abrir facsímil")</f>
        <v>Abrir facsímil</v>
      </c>
      <c r="K4165" s="3" t="s">
        <v>23</v>
      </c>
    </row>
    <row r="4166" spans="1:11" ht="42" customHeight="1">
      <c r="A4166" s="2" t="s">
        <v>8487</v>
      </c>
      <c r="B4166" s="2" t="s">
        <v>8487</v>
      </c>
      <c r="C4166" s="2" t="s">
        <v>40</v>
      </c>
      <c r="D4166" s="2" t="s">
        <v>41</v>
      </c>
      <c r="E4166" s="5">
        <v>-28721</v>
      </c>
      <c r="F4166" s="3" t="s">
        <v>92</v>
      </c>
      <c r="G4166" s="3" t="s">
        <v>52</v>
      </c>
      <c r="H4166" s="2" t="s">
        <v>21</v>
      </c>
      <c r="I4166" s="2" t="s">
        <v>8501</v>
      </c>
      <c r="J4166" s="3" t="str">
        <f>HYPERLINK("https://www.boe.es/gazeta/dias/1821/05/12/pdfs/GMD-1821-134.pdf#page=2","Abrir facsímil")</f>
        <v>Abrir facsímil</v>
      </c>
      <c r="K4166" s="3" t="s">
        <v>23</v>
      </c>
    </row>
    <row r="4167" spans="1:11" ht="42" customHeight="1">
      <c r="A4167" s="2" t="s">
        <v>8487</v>
      </c>
      <c r="B4167" s="2" t="s">
        <v>8487</v>
      </c>
      <c r="C4167" s="2" t="s">
        <v>17</v>
      </c>
      <c r="D4167" s="2" t="s">
        <v>18</v>
      </c>
      <c r="E4167" s="5">
        <v>-28719</v>
      </c>
      <c r="F4167" s="3" t="s">
        <v>647</v>
      </c>
      <c r="G4167" s="3" t="s">
        <v>20</v>
      </c>
      <c r="H4167" s="2" t="s">
        <v>21</v>
      </c>
      <c r="I4167" s="2" t="s">
        <v>8502</v>
      </c>
      <c r="J4167" s="3" t="str">
        <f>HYPERLINK("https://www.boe.es/gazeta/dias/1821/05/14/pdfs/GMD-1821-136.pdf#page=3","Abrir facsímil")</f>
        <v>Abrir facsímil</v>
      </c>
      <c r="K4167" s="3" t="s">
        <v>23</v>
      </c>
    </row>
    <row r="4168" spans="1:11" ht="42" customHeight="1">
      <c r="A4168" s="2" t="s">
        <v>8487</v>
      </c>
      <c r="B4168" s="2" t="s">
        <v>8487</v>
      </c>
      <c r="C4168" s="2" t="s">
        <v>26</v>
      </c>
      <c r="D4168" s="2" t="s">
        <v>27</v>
      </c>
      <c r="E4168" s="5">
        <v>-28711</v>
      </c>
      <c r="F4168" s="3" t="s">
        <v>1048</v>
      </c>
      <c r="G4168" s="3" t="s">
        <v>43</v>
      </c>
      <c r="H4168" s="2" t="s">
        <v>21</v>
      </c>
      <c r="I4168" s="2" t="s">
        <v>8503</v>
      </c>
      <c r="J4168" s="3" t="str">
        <f>HYPERLINK("https://www.boe.es/gazeta/dias/1821/05/22/pdfs/GMD-1821-144.pdf#page=1","Abrir facsímil")</f>
        <v>Abrir facsímil</v>
      </c>
      <c r="K4168" s="3" t="s">
        <v>23</v>
      </c>
    </row>
    <row r="4169" spans="1:11" ht="42" customHeight="1">
      <c r="A4169" s="2" t="s">
        <v>8487</v>
      </c>
      <c r="B4169" s="2" t="s">
        <v>8487</v>
      </c>
      <c r="C4169" s="2" t="s">
        <v>35</v>
      </c>
      <c r="D4169" s="2" t="s">
        <v>27</v>
      </c>
      <c r="E4169" s="5">
        <v>-28700</v>
      </c>
      <c r="F4169" s="3" t="s">
        <v>701</v>
      </c>
      <c r="G4169" s="3" t="s">
        <v>88</v>
      </c>
      <c r="H4169" s="2" t="s">
        <v>21</v>
      </c>
      <c r="I4169" s="2" t="s">
        <v>8504</v>
      </c>
      <c r="J4169" s="3" t="str">
        <f>HYPERLINK("https://www.boe.es/gazeta/dias/1821/06/02/pdfs/GMD-1821-155.pdf#page=4","Abrir facsímil")</f>
        <v>Abrir facsímil</v>
      </c>
      <c r="K4169" s="3" t="s">
        <v>23</v>
      </c>
    </row>
    <row r="4170" spans="1:11" ht="42" customHeight="1">
      <c r="A4170" s="2" t="s">
        <v>8487</v>
      </c>
      <c r="B4170" s="2" t="s">
        <v>8487</v>
      </c>
      <c r="C4170" s="2" t="s">
        <v>26</v>
      </c>
      <c r="D4170" s="2" t="s">
        <v>27</v>
      </c>
      <c r="E4170" s="5">
        <v>-28691</v>
      </c>
      <c r="F4170" s="3" t="s">
        <v>716</v>
      </c>
      <c r="G4170" s="3" t="s">
        <v>52</v>
      </c>
      <c r="H4170" s="2" t="s">
        <v>21</v>
      </c>
      <c r="I4170" s="2" t="s">
        <v>8505</v>
      </c>
      <c r="J4170" s="3" t="str">
        <f>HYPERLINK("https://www.boe.es/gazeta/dias/1821/06/11/pdfs/GMD-1821-164.pdf#page=2","Abrir facsímil")</f>
        <v>Abrir facsímil</v>
      </c>
      <c r="K4170" s="3" t="s">
        <v>23</v>
      </c>
    </row>
    <row r="4171" spans="1:11" ht="42" customHeight="1">
      <c r="A4171" s="2" t="s">
        <v>8487</v>
      </c>
      <c r="B4171" s="2" t="s">
        <v>8487</v>
      </c>
      <c r="C4171" s="2" t="s">
        <v>17</v>
      </c>
      <c r="D4171" s="2" t="s">
        <v>18</v>
      </c>
      <c r="E4171" s="5">
        <v>-28689</v>
      </c>
      <c r="F4171" s="3" t="s">
        <v>194</v>
      </c>
      <c r="G4171" s="3" t="s">
        <v>20</v>
      </c>
      <c r="H4171" s="2" t="s">
        <v>21</v>
      </c>
      <c r="I4171" s="2" t="s">
        <v>8506</v>
      </c>
      <c r="J4171" s="3" t="str">
        <f>HYPERLINK("https://www.boe.es/gazeta/dias/1821/06/13/pdfs/GMD-1821-166.pdf#page=3","Abrir facsímil")</f>
        <v>Abrir facsímil</v>
      </c>
      <c r="K4171" s="3" t="s">
        <v>23</v>
      </c>
    </row>
    <row r="4172" spans="1:11" ht="42" customHeight="1">
      <c r="A4172" s="2" t="s">
        <v>8507</v>
      </c>
      <c r="B4172" s="2" t="s">
        <v>8507</v>
      </c>
      <c r="C4172" s="2" t="s">
        <v>17</v>
      </c>
      <c r="D4172" s="2" t="s">
        <v>18</v>
      </c>
      <c r="E4172" s="5">
        <v>-28685</v>
      </c>
      <c r="F4172" s="3" t="s">
        <v>303</v>
      </c>
      <c r="G4172" s="3" t="s">
        <v>52</v>
      </c>
      <c r="H4172" s="2" t="s">
        <v>21</v>
      </c>
      <c r="I4172" s="2" t="s">
        <v>8508</v>
      </c>
      <c r="J4172" s="3" t="str">
        <f>HYPERLINK("https://www.boe.es/gazeta/dias/1821/06/17/pdfs/GMD-1821-170.pdf#page=2","Abrir facsímil")</f>
        <v>Abrir facsímil</v>
      </c>
      <c r="K4172" s="3" t="s">
        <v>23</v>
      </c>
    </row>
    <row r="4173" spans="1:11" ht="42" customHeight="1">
      <c r="A4173" s="2" t="s">
        <v>8487</v>
      </c>
      <c r="B4173" s="2" t="s">
        <v>8487</v>
      </c>
      <c r="C4173" s="2" t="s">
        <v>17</v>
      </c>
      <c r="D4173" s="2" t="s">
        <v>18</v>
      </c>
      <c r="E4173" s="5">
        <v>-28681</v>
      </c>
      <c r="F4173" s="3" t="s">
        <v>210</v>
      </c>
      <c r="G4173" s="3" t="s">
        <v>88</v>
      </c>
      <c r="H4173" s="2" t="s">
        <v>21</v>
      </c>
      <c r="I4173" s="2" t="s">
        <v>8509</v>
      </c>
      <c r="J4173" s="3" t="str">
        <f>HYPERLINK("https://www.boe.es/gazeta/dias/1821/06/21/pdfs/GMD-1821-174.pdf#page=4","Abrir facsímil")</f>
        <v>Abrir facsímil</v>
      </c>
      <c r="K4173" s="3" t="s">
        <v>23</v>
      </c>
    </row>
    <row r="4174" spans="1:11" ht="42" customHeight="1">
      <c r="A4174" s="2" t="s">
        <v>8487</v>
      </c>
      <c r="B4174" s="2" t="s">
        <v>8487</v>
      </c>
      <c r="C4174" s="2" t="s">
        <v>114</v>
      </c>
      <c r="D4174" s="2" t="s">
        <v>27</v>
      </c>
      <c r="E4174" s="5">
        <v>-28571</v>
      </c>
      <c r="F4174" s="3" t="s">
        <v>482</v>
      </c>
      <c r="G4174" s="3" t="s">
        <v>29</v>
      </c>
      <c r="H4174" s="2" t="s">
        <v>21</v>
      </c>
      <c r="I4174" s="2" t="s">
        <v>8510</v>
      </c>
      <c r="J4174" s="3" t="str">
        <f>HYPERLINK("https://www.boe.es/gazeta/dias/1821/10/09/pdfs/GMD-1821-288.pdf#page=6","Abrir facsímil")</f>
        <v>Abrir facsímil</v>
      </c>
      <c r="K4174" s="3" t="s">
        <v>23</v>
      </c>
    </row>
    <row r="4175" spans="1:11" ht="42" customHeight="1">
      <c r="A4175" s="2" t="s">
        <v>8487</v>
      </c>
      <c r="B4175" s="2" t="s">
        <v>8487</v>
      </c>
      <c r="C4175" s="2" t="s">
        <v>35</v>
      </c>
      <c r="D4175" s="2" t="s">
        <v>27</v>
      </c>
      <c r="E4175" s="5">
        <v>-28544</v>
      </c>
      <c r="F4175" s="3" t="s">
        <v>139</v>
      </c>
      <c r="G4175" s="3" t="s">
        <v>20</v>
      </c>
      <c r="H4175" s="2" t="s">
        <v>21</v>
      </c>
      <c r="I4175" s="2" t="s">
        <v>8511</v>
      </c>
      <c r="J4175" s="3" t="str">
        <f>HYPERLINK("https://www.boe.es/gazeta/dias/1821/11/05/pdfs/GMD-1821-316.pdf#page=3","Abrir facsímil")</f>
        <v>Abrir facsímil</v>
      </c>
      <c r="K4175" s="3" t="s">
        <v>23</v>
      </c>
    </row>
    <row r="4176" spans="1:11" ht="42" customHeight="1">
      <c r="A4176" s="2" t="s">
        <v>8487</v>
      </c>
      <c r="B4176" s="2" t="s">
        <v>8487</v>
      </c>
      <c r="C4176" s="2" t="s">
        <v>26</v>
      </c>
      <c r="D4176" s="2" t="s">
        <v>27</v>
      </c>
      <c r="E4176" s="5">
        <v>-28524</v>
      </c>
      <c r="F4176" s="3" t="s">
        <v>874</v>
      </c>
      <c r="G4176" s="3" t="s">
        <v>162</v>
      </c>
      <c r="H4176" s="2" t="s">
        <v>21</v>
      </c>
      <c r="I4176" s="2" t="s">
        <v>8512</v>
      </c>
      <c r="J4176" s="3" t="str">
        <f>HYPERLINK("https://www.boe.es/gazeta/dias/1821/11/25/pdfs/GMD-1821-336.pdf#page=5","Abrir facsímil")</f>
        <v>Abrir facsímil</v>
      </c>
      <c r="K4176" s="3" t="s">
        <v>23</v>
      </c>
    </row>
    <row r="4177" spans="1:11" ht="42" customHeight="1">
      <c r="A4177" s="2" t="s">
        <v>8487</v>
      </c>
      <c r="B4177" s="2" t="s">
        <v>8487</v>
      </c>
      <c r="C4177" s="2" t="s">
        <v>40</v>
      </c>
      <c r="D4177" s="2" t="s">
        <v>41</v>
      </c>
      <c r="E4177" s="5">
        <v>-28517</v>
      </c>
      <c r="F4177" s="3" t="s">
        <v>563</v>
      </c>
      <c r="G4177" s="3" t="s">
        <v>88</v>
      </c>
      <c r="H4177" s="2" t="s">
        <v>21</v>
      </c>
      <c r="I4177" s="2" t="s">
        <v>8513</v>
      </c>
      <c r="J4177" s="3" t="str">
        <f>HYPERLINK("https://www.boe.es/gazeta/dias/1821/12/02/pdfs/GMD-1821-344.pdf#page=4","Abrir facsímil")</f>
        <v>Abrir facsímil</v>
      </c>
      <c r="K4177" s="3" t="s">
        <v>23</v>
      </c>
    </row>
    <row r="4178" spans="1:11" ht="42" customHeight="1">
      <c r="A4178" s="2" t="s">
        <v>8487</v>
      </c>
      <c r="B4178" s="2" t="s">
        <v>8487</v>
      </c>
      <c r="C4178" s="2" t="s">
        <v>26</v>
      </c>
      <c r="D4178" s="2" t="s">
        <v>27</v>
      </c>
      <c r="E4178" s="5">
        <v>-28513</v>
      </c>
      <c r="F4178" s="3" t="s">
        <v>502</v>
      </c>
      <c r="G4178" s="3" t="s">
        <v>88</v>
      </c>
      <c r="H4178" s="2" t="s">
        <v>21</v>
      </c>
      <c r="I4178" s="2" t="s">
        <v>8514</v>
      </c>
      <c r="J4178" s="3" t="str">
        <f>HYPERLINK("https://www.boe.es/gazeta/dias/1821/12/06/pdfs/GMD-1821-348.pdf#page=4","Abrir facsímil")</f>
        <v>Abrir facsímil</v>
      </c>
      <c r="K4178" s="3" t="s">
        <v>23</v>
      </c>
    </row>
    <row r="4179" spans="1:11" ht="42" customHeight="1">
      <c r="A4179" s="2" t="s">
        <v>8487</v>
      </c>
      <c r="B4179" s="2" t="s">
        <v>8487</v>
      </c>
      <c r="C4179" s="2" t="s">
        <v>17</v>
      </c>
      <c r="D4179" s="2" t="s">
        <v>18</v>
      </c>
      <c r="E4179" s="5">
        <v>-28501</v>
      </c>
      <c r="F4179" s="3" t="s">
        <v>456</v>
      </c>
      <c r="G4179" s="3" t="s">
        <v>88</v>
      </c>
      <c r="H4179" s="2" t="s">
        <v>21</v>
      </c>
      <c r="I4179" s="2" t="s">
        <v>8515</v>
      </c>
      <c r="J4179" s="3" t="str">
        <f>HYPERLINK("https://www.boe.es/gazeta/dias/1821/12/18/pdfs/GMD-1821-361.pdf#page=4","Abrir facsímil")</f>
        <v>Abrir facsímil</v>
      </c>
      <c r="K4179" s="3" t="s">
        <v>23</v>
      </c>
    </row>
    <row r="4180" spans="1:11" ht="42" customHeight="1">
      <c r="A4180" s="2" t="s">
        <v>8507</v>
      </c>
      <c r="B4180" s="2" t="s">
        <v>8507</v>
      </c>
      <c r="C4180" s="2" t="s">
        <v>26</v>
      </c>
      <c r="D4180" s="2" t="s">
        <v>27</v>
      </c>
      <c r="E4180" s="5">
        <v>-28498</v>
      </c>
      <c r="F4180" s="3" t="s">
        <v>447</v>
      </c>
      <c r="G4180" s="3" t="s">
        <v>88</v>
      </c>
      <c r="H4180" s="2" t="s">
        <v>21</v>
      </c>
      <c r="I4180" s="2" t="s">
        <v>8516</v>
      </c>
      <c r="J4180" s="3" t="str">
        <f>HYPERLINK("https://www.boe.es/gazeta/dias/1821/12/21/pdfs/GMD-1821-364.pdf#page=4","Abrir facsímil")</f>
        <v>Abrir facsímil</v>
      </c>
      <c r="K4180" s="3" t="s">
        <v>23</v>
      </c>
    </row>
    <row r="4181" spans="1:11" ht="42" customHeight="1">
      <c r="A4181" s="2" t="s">
        <v>8517</v>
      </c>
      <c r="B4181" s="2" t="s">
        <v>8517</v>
      </c>
      <c r="C4181" s="2" t="s">
        <v>35</v>
      </c>
      <c r="D4181" s="2" t="s">
        <v>27</v>
      </c>
      <c r="E4181" s="5">
        <v>-28716</v>
      </c>
      <c r="F4181" s="3" t="s">
        <v>842</v>
      </c>
      <c r="G4181" s="3" t="s">
        <v>20</v>
      </c>
      <c r="H4181" s="2" t="s">
        <v>21</v>
      </c>
      <c r="I4181" s="2" t="s">
        <v>8518</v>
      </c>
      <c r="J4181" s="3" t="str">
        <f>HYPERLINK("https://www.boe.es/gazeta/dias/1821/05/17/pdfs/GMD-1821-139.pdf#page=3","Abrir facsímil")</f>
        <v>Abrir facsímil</v>
      </c>
      <c r="K4181" s="3" t="s">
        <v>23</v>
      </c>
    </row>
    <row r="4182" spans="1:11" ht="42" customHeight="1">
      <c r="A4182" s="2" t="s">
        <v>8519</v>
      </c>
      <c r="B4182" s="2" t="s">
        <v>8519</v>
      </c>
      <c r="C4182" s="2" t="s">
        <v>174</v>
      </c>
      <c r="D4182" s="2" t="s">
        <v>27</v>
      </c>
      <c r="E4182" s="5">
        <v>-28689</v>
      </c>
      <c r="F4182" s="3" t="s">
        <v>194</v>
      </c>
      <c r="G4182" s="3" t="s">
        <v>20</v>
      </c>
      <c r="H4182" s="2" t="s">
        <v>21</v>
      </c>
      <c r="I4182" s="2" t="s">
        <v>8520</v>
      </c>
      <c r="J4182" s="3" t="str">
        <f>HYPERLINK("https://www.boe.es/gazeta/dias/1821/06/13/pdfs/GMD-1821-166.pdf#page=3","Abrir facsímil")</f>
        <v>Abrir facsímil</v>
      </c>
      <c r="K4182" s="3" t="s">
        <v>23</v>
      </c>
    </row>
    <row r="4183" spans="1:11" ht="42" customHeight="1">
      <c r="A4183" s="2" t="s">
        <v>8521</v>
      </c>
      <c r="B4183" s="2" t="s">
        <v>8521</v>
      </c>
      <c r="C4183" s="2" t="s">
        <v>174</v>
      </c>
      <c r="D4183" s="2" t="s">
        <v>27</v>
      </c>
      <c r="E4183" s="5">
        <v>-28521</v>
      </c>
      <c r="F4183" s="3" t="s">
        <v>499</v>
      </c>
      <c r="G4183" s="3" t="s">
        <v>20</v>
      </c>
      <c r="H4183" s="2" t="s">
        <v>21</v>
      </c>
      <c r="I4183" s="2" t="s">
        <v>8522</v>
      </c>
      <c r="J4183" s="3" t="str">
        <f>HYPERLINK("https://www.boe.es/gazeta/dias/1821/11/28/pdfs/GMD-1821-340.pdf#page=3","Abrir facsímil")</f>
        <v>Abrir facsímil</v>
      </c>
      <c r="K4183" s="3" t="s">
        <v>23</v>
      </c>
    </row>
    <row r="4184" spans="1:11" ht="42" customHeight="1">
      <c r="A4184" s="2" t="s">
        <v>8523</v>
      </c>
      <c r="B4184" s="2" t="s">
        <v>8524</v>
      </c>
      <c r="C4184" s="2" t="s">
        <v>40</v>
      </c>
      <c r="D4184" s="2" t="s">
        <v>41</v>
      </c>
      <c r="E4184" s="5">
        <v>-28667</v>
      </c>
      <c r="F4184" s="3" t="s">
        <v>107</v>
      </c>
      <c r="G4184" s="3" t="s">
        <v>52</v>
      </c>
      <c r="H4184" s="2" t="s">
        <v>21</v>
      </c>
      <c r="I4184" s="2" t="s">
        <v>8525</v>
      </c>
      <c r="J4184" s="3" t="str">
        <f>HYPERLINK("https://www.boe.es/gazeta/dias/1821/07/05/pdfs/GMD-1821-189.pdf#page=2","Abrir facsímil")</f>
        <v>Abrir facsímil</v>
      </c>
      <c r="K4184" s="3" t="s">
        <v>23</v>
      </c>
    </row>
    <row r="4185" spans="1:11" ht="42" customHeight="1">
      <c r="A4185" s="2" t="s">
        <v>8526</v>
      </c>
      <c r="B4185" s="2" t="s">
        <v>8527</v>
      </c>
      <c r="C4185" s="2" t="s">
        <v>114</v>
      </c>
      <c r="D4185" s="2" t="s">
        <v>27</v>
      </c>
      <c r="E4185" s="5">
        <v>-28610</v>
      </c>
      <c r="F4185" s="3" t="s">
        <v>190</v>
      </c>
      <c r="G4185" s="3" t="s">
        <v>20</v>
      </c>
      <c r="H4185" s="2" t="s">
        <v>21</v>
      </c>
      <c r="I4185" s="2" t="s">
        <v>8528</v>
      </c>
      <c r="J4185" s="3" t="str">
        <f>HYPERLINK("https://www.boe.es/gazeta/dias/1821/08/31/pdfs/GMD-1821-248.pdf#page=3","Abrir facsímil")</f>
        <v>Abrir facsímil</v>
      </c>
      <c r="K4185" s="3" t="s">
        <v>23</v>
      </c>
    </row>
    <row r="4186" spans="1:11" ht="42" customHeight="1">
      <c r="A4186" s="2" t="s">
        <v>8529</v>
      </c>
      <c r="B4186" s="2" t="s">
        <v>8530</v>
      </c>
      <c r="C4186" s="2" t="s">
        <v>17</v>
      </c>
      <c r="D4186" s="2" t="s">
        <v>18</v>
      </c>
      <c r="E4186" s="5">
        <v>-28511</v>
      </c>
      <c r="F4186" s="3" t="s">
        <v>340</v>
      </c>
      <c r="G4186" s="3" t="s">
        <v>52</v>
      </c>
      <c r="H4186" s="2" t="s">
        <v>21</v>
      </c>
      <c r="I4186" s="2" t="s">
        <v>8531</v>
      </c>
      <c r="J4186" s="3" t="str">
        <f>HYPERLINK("https://www.boe.es/gazeta/dias/1821/12/08/pdfs/GMD-1821-350.pdf#page=2","Abrir facsímil")</f>
        <v>Abrir facsímil</v>
      </c>
      <c r="K4186" s="3" t="s">
        <v>23</v>
      </c>
    </row>
    <row r="4187" spans="1:11" ht="42" customHeight="1">
      <c r="A4187" s="2" t="s">
        <v>8532</v>
      </c>
      <c r="B4187" s="2" t="s">
        <v>8533</v>
      </c>
      <c r="C4187" s="2" t="s">
        <v>40</v>
      </c>
      <c r="D4187" s="2" t="s">
        <v>41</v>
      </c>
      <c r="E4187" s="5">
        <v>-28784</v>
      </c>
      <c r="F4187" s="3" t="s">
        <v>451</v>
      </c>
      <c r="G4187" s="3" t="s">
        <v>43</v>
      </c>
      <c r="H4187" s="2" t="s">
        <v>21</v>
      </c>
      <c r="I4187" s="2" t="s">
        <v>8534</v>
      </c>
      <c r="J4187" s="3" t="str">
        <f>HYPERLINK("https://www.boe.es/gazeta/dias/1821/03/10/pdfs/GGB-1821-69.pdf#page=1","Abrir facsímil")</f>
        <v>Abrir facsímil</v>
      </c>
      <c r="K4187" s="3" t="s">
        <v>23</v>
      </c>
    </row>
    <row r="4188" spans="1:11" ht="42" customHeight="1">
      <c r="A4188" s="2" t="s">
        <v>8532</v>
      </c>
      <c r="B4188" s="2" t="s">
        <v>8533</v>
      </c>
      <c r="C4188" s="2" t="s">
        <v>17</v>
      </c>
      <c r="D4188" s="2" t="s">
        <v>18</v>
      </c>
      <c r="E4188" s="5">
        <v>-28763</v>
      </c>
      <c r="F4188" s="3" t="s">
        <v>1145</v>
      </c>
      <c r="G4188" s="3" t="s">
        <v>52</v>
      </c>
      <c r="H4188" s="2" t="s">
        <v>21</v>
      </c>
      <c r="I4188" s="2" t="s">
        <v>8535</v>
      </c>
      <c r="J4188" s="3" t="str">
        <f>HYPERLINK("https://www.boe.es/gazeta/dias/1821/03/31/pdfs/GMD-1821-92.pdf#page=2","Abrir facsímil")</f>
        <v>Abrir facsímil</v>
      </c>
      <c r="K4188" s="3" t="s">
        <v>23</v>
      </c>
    </row>
    <row r="4189" spans="1:11" ht="42" customHeight="1">
      <c r="A4189" s="2" t="s">
        <v>8532</v>
      </c>
      <c r="B4189" s="2" t="s">
        <v>8533</v>
      </c>
      <c r="C4189" s="2" t="s">
        <v>40</v>
      </c>
      <c r="D4189" s="2" t="s">
        <v>41</v>
      </c>
      <c r="E4189" s="5">
        <v>-28762</v>
      </c>
      <c r="F4189" s="3" t="s">
        <v>608</v>
      </c>
      <c r="G4189" s="3" t="s">
        <v>88</v>
      </c>
      <c r="H4189" s="2" t="s">
        <v>21</v>
      </c>
      <c r="I4189" s="2" t="s">
        <v>8536</v>
      </c>
      <c r="J4189" s="3" t="str">
        <f>HYPERLINK("https://www.boe.es/gazeta/dias/1821/04/01/pdfs/GMD-1821-93.pdf#page=4","Abrir facsímil")</f>
        <v>Abrir facsímil</v>
      </c>
      <c r="K4189" s="3" t="s">
        <v>23</v>
      </c>
    </row>
    <row r="4190" spans="1:11" ht="42" customHeight="1">
      <c r="A4190" s="2" t="s">
        <v>8537</v>
      </c>
      <c r="B4190" s="2" t="s">
        <v>8538</v>
      </c>
      <c r="C4190" s="2" t="s">
        <v>26</v>
      </c>
      <c r="D4190" s="2" t="s">
        <v>27</v>
      </c>
      <c r="E4190" s="5">
        <v>-28717</v>
      </c>
      <c r="F4190" s="3" t="s">
        <v>1044</v>
      </c>
      <c r="G4190" s="3" t="s">
        <v>52</v>
      </c>
      <c r="H4190" s="2" t="s">
        <v>21</v>
      </c>
      <c r="I4190" s="2" t="s">
        <v>8539</v>
      </c>
      <c r="J4190" s="3" t="str">
        <f>HYPERLINK("https://www.boe.es/gazeta/dias/1821/05/16/pdfs/GMD-1821-138.pdf#page=2","Abrir facsímil")</f>
        <v>Abrir facsímil</v>
      </c>
      <c r="K4190" s="3" t="s">
        <v>23</v>
      </c>
    </row>
    <row r="4191" spans="1:11" ht="42" customHeight="1">
      <c r="A4191" s="2" t="s">
        <v>8540</v>
      </c>
      <c r="B4191" s="2" t="s">
        <v>8541</v>
      </c>
      <c r="C4191" s="2" t="s">
        <v>35</v>
      </c>
      <c r="D4191" s="2" t="s">
        <v>27</v>
      </c>
      <c r="E4191" s="5">
        <v>-28781</v>
      </c>
      <c r="F4191" s="3" t="s">
        <v>149</v>
      </c>
      <c r="G4191" s="3" t="s">
        <v>88</v>
      </c>
      <c r="H4191" s="2" t="s">
        <v>21</v>
      </c>
      <c r="I4191" s="2" t="s">
        <v>8542</v>
      </c>
      <c r="J4191" s="3" t="str">
        <f>HYPERLINK("https://www.boe.es/gazeta/dias/1821/03/13/pdfs/GMD-1821-72.pdf#page=4","Abrir facsímil")</f>
        <v>Abrir facsímil</v>
      </c>
      <c r="K4191" s="3" t="s">
        <v>23</v>
      </c>
    </row>
    <row r="4192" spans="1:11" ht="42" customHeight="1">
      <c r="A4192" s="2" t="s">
        <v>8543</v>
      </c>
      <c r="B4192" s="2" t="s">
        <v>8544</v>
      </c>
      <c r="C4192" s="2" t="s">
        <v>35</v>
      </c>
      <c r="D4192" s="2" t="s">
        <v>27</v>
      </c>
      <c r="E4192" s="5">
        <v>-28703</v>
      </c>
      <c r="F4192" s="3" t="s">
        <v>231</v>
      </c>
      <c r="G4192" s="3" t="s">
        <v>43</v>
      </c>
      <c r="H4192" s="2" t="s">
        <v>21</v>
      </c>
      <c r="I4192" s="2" t="s">
        <v>8545</v>
      </c>
      <c r="J4192" s="3" t="str">
        <f>HYPERLINK("https://www.boe.es/gazeta/dias/1821/05/30/pdfs/GMD-1821-152.pdf#page=1","Abrir facsímil")</f>
        <v>Abrir facsímil</v>
      </c>
      <c r="K4192" s="3" t="s">
        <v>23</v>
      </c>
    </row>
    <row r="4193" spans="1:11" ht="42" customHeight="1">
      <c r="A4193" s="2" t="s">
        <v>8543</v>
      </c>
      <c r="B4193" s="2" t="s">
        <v>8544</v>
      </c>
      <c r="C4193" s="2" t="s">
        <v>35</v>
      </c>
      <c r="D4193" s="2" t="s">
        <v>27</v>
      </c>
      <c r="E4193" s="5">
        <v>-28641</v>
      </c>
      <c r="F4193" s="3" t="s">
        <v>398</v>
      </c>
      <c r="G4193" s="3" t="s">
        <v>88</v>
      </c>
      <c r="H4193" s="2" t="s">
        <v>21</v>
      </c>
      <c r="I4193" s="2" t="s">
        <v>8546</v>
      </c>
      <c r="J4193" s="3" t="str">
        <f>HYPERLINK("https://www.boe.es/gazeta/dias/1821/07/31/pdfs/GMD-1821-216.pdf#page=4","Abrir facsímil")</f>
        <v>Abrir facsímil</v>
      </c>
      <c r="K4193" s="3" t="s">
        <v>23</v>
      </c>
    </row>
    <row r="4194" spans="1:11" ht="42" customHeight="1">
      <c r="A4194" s="2" t="s">
        <v>8547</v>
      </c>
      <c r="B4194" s="2" t="s">
        <v>8548</v>
      </c>
      <c r="C4194" s="2" t="s">
        <v>17</v>
      </c>
      <c r="D4194" s="2" t="s">
        <v>18</v>
      </c>
      <c r="E4194" s="5">
        <v>-28603</v>
      </c>
      <c r="F4194" s="3" t="s">
        <v>2928</v>
      </c>
      <c r="G4194" s="3" t="s">
        <v>29</v>
      </c>
      <c r="H4194" s="2" t="s">
        <v>21</v>
      </c>
      <c r="I4194" s="2" t="s">
        <v>8549</v>
      </c>
      <c r="J4194" s="3" t="str">
        <f>HYPERLINK("https://www.boe.es/gazeta/dias/1821/09/07/pdfs/GMD-1821-255.pdf#page=6","Abrir facsímil")</f>
        <v>Abrir facsímil</v>
      </c>
      <c r="K4194" s="3" t="s">
        <v>23</v>
      </c>
    </row>
    <row r="4195" spans="1:11" ht="42" customHeight="1">
      <c r="A4195" s="2" t="s">
        <v>8550</v>
      </c>
      <c r="B4195" s="2" t="s">
        <v>8551</v>
      </c>
      <c r="C4195" s="2" t="s">
        <v>17</v>
      </c>
      <c r="D4195" s="2" t="s">
        <v>18</v>
      </c>
      <c r="E4195" s="5">
        <v>-28840</v>
      </c>
      <c r="F4195" s="3" t="s">
        <v>161</v>
      </c>
      <c r="G4195" s="3" t="s">
        <v>88</v>
      </c>
      <c r="H4195" s="2" t="s">
        <v>21</v>
      </c>
      <c r="I4195" s="2" t="s">
        <v>8552</v>
      </c>
      <c r="J4195" s="3" t="str">
        <f>HYPERLINK("https://www.boe.es/gazeta/dias/1821/01/13/pdfs/GGB-1821-13.pdf#page=4","Abrir facsímil")</f>
        <v>Abrir facsímil</v>
      </c>
      <c r="K4195" s="3" t="s">
        <v>23</v>
      </c>
    </row>
    <row r="4196" spans="1:11" ht="42" customHeight="1">
      <c r="A4196" s="2" t="s">
        <v>8553</v>
      </c>
      <c r="B4196" s="2" t="s">
        <v>8554</v>
      </c>
      <c r="C4196" s="2" t="s">
        <v>17</v>
      </c>
      <c r="D4196" s="2" t="s">
        <v>18</v>
      </c>
      <c r="E4196" s="5">
        <v>-28535</v>
      </c>
      <c r="F4196" s="3" t="s">
        <v>96</v>
      </c>
      <c r="G4196" s="3" t="s">
        <v>52</v>
      </c>
      <c r="H4196" s="2" t="s">
        <v>30</v>
      </c>
      <c r="I4196" s="2" t="s">
        <v>8555</v>
      </c>
      <c r="J4196" s="3" t="str">
        <f>HYPERLINK("https://www.boe.es/gazeta/dias/1821/11/14/pdfs/GMD-1821-325.pdf#page=2","Abrir facsímil")</f>
        <v>Abrir facsímil</v>
      </c>
      <c r="K4196" s="3" t="s">
        <v>32</v>
      </c>
    </row>
    <row r="4197" spans="1:11" ht="42" customHeight="1">
      <c r="A4197" s="2" t="s">
        <v>8556</v>
      </c>
      <c r="B4197" s="2" t="s">
        <v>8557</v>
      </c>
      <c r="C4197" s="2" t="s">
        <v>70</v>
      </c>
      <c r="D4197" s="2" t="s">
        <v>27</v>
      </c>
      <c r="E4197" s="5">
        <v>-28610</v>
      </c>
      <c r="F4197" s="3" t="s">
        <v>190</v>
      </c>
      <c r="G4197" s="3" t="s">
        <v>20</v>
      </c>
      <c r="H4197" s="2" t="s">
        <v>21</v>
      </c>
      <c r="I4197" s="2" t="s">
        <v>8558</v>
      </c>
      <c r="J4197" s="3" t="str">
        <f>HYPERLINK("https://www.boe.es/gazeta/dias/1821/08/31/pdfs/GMD-1821-248.pdf#page=3","Abrir facsímil")</f>
        <v>Abrir facsímil</v>
      </c>
      <c r="K4197" s="3" t="s">
        <v>23</v>
      </c>
    </row>
    <row r="4198" spans="1:11" ht="42" customHeight="1">
      <c r="A4198" s="2" t="s">
        <v>8559</v>
      </c>
      <c r="B4198" s="2" t="s">
        <v>8560</v>
      </c>
      <c r="C4198" s="2" t="s">
        <v>174</v>
      </c>
      <c r="D4198" s="2" t="s">
        <v>27</v>
      </c>
      <c r="E4198" s="5">
        <v>-28528</v>
      </c>
      <c r="F4198" s="3" t="s">
        <v>1872</v>
      </c>
      <c r="G4198" s="3" t="s">
        <v>52</v>
      </c>
      <c r="H4198" s="2" t="s">
        <v>21</v>
      </c>
      <c r="I4198" s="2" t="s">
        <v>8561</v>
      </c>
      <c r="J4198" s="3" t="str">
        <f>HYPERLINK("https://www.boe.es/gazeta/dias/1821/11/21/pdfs/GMD-1821-332.pdf#page=2","Abrir facsímil")</f>
        <v>Abrir facsímil</v>
      </c>
      <c r="K4198" s="3" t="s">
        <v>23</v>
      </c>
    </row>
    <row r="4199" spans="1:11" ht="42" customHeight="1">
      <c r="A4199" s="2" t="s">
        <v>8562</v>
      </c>
      <c r="B4199" s="2" t="s">
        <v>8562</v>
      </c>
      <c r="C4199" s="2" t="s">
        <v>40</v>
      </c>
      <c r="D4199" s="2" t="s">
        <v>41</v>
      </c>
      <c r="E4199" s="5">
        <v>-28734</v>
      </c>
      <c r="F4199" s="3" t="s">
        <v>1553</v>
      </c>
      <c r="G4199" s="3" t="s">
        <v>20</v>
      </c>
      <c r="H4199" s="2" t="s">
        <v>21</v>
      </c>
      <c r="I4199" s="2" t="s">
        <v>8563</v>
      </c>
      <c r="J4199" s="3" t="str">
        <f>HYPERLINK("https://www.boe.es/gazeta/dias/1821/04/29/pdfs/GMD-1821-121.pdf#page=3","Abrir facsímil")</f>
        <v>Abrir facsímil</v>
      </c>
      <c r="K4199" s="3" t="s">
        <v>23</v>
      </c>
    </row>
    <row r="4200" spans="1:11" ht="42" customHeight="1">
      <c r="A4200" s="2" t="s">
        <v>8562</v>
      </c>
      <c r="B4200" s="2" t="s">
        <v>8562</v>
      </c>
      <c r="C4200" s="2" t="s">
        <v>17</v>
      </c>
      <c r="D4200" s="2" t="s">
        <v>18</v>
      </c>
      <c r="E4200" s="5">
        <v>-28730</v>
      </c>
      <c r="F4200" s="3" t="s">
        <v>747</v>
      </c>
      <c r="G4200" s="3" t="s">
        <v>20</v>
      </c>
      <c r="H4200" s="2" t="s">
        <v>21</v>
      </c>
      <c r="I4200" s="2" t="s">
        <v>8564</v>
      </c>
      <c r="J4200" s="3" t="str">
        <f>HYPERLINK("https://www.boe.es/gazeta/dias/1821/05/03/pdfs/GMD-1821-125.pdf#page=3","Abrir facsímil")</f>
        <v>Abrir facsímil</v>
      </c>
      <c r="K4200" s="3" t="s">
        <v>23</v>
      </c>
    </row>
    <row r="4201" spans="1:11" ht="42" customHeight="1">
      <c r="A4201" s="2" t="s">
        <v>8562</v>
      </c>
      <c r="B4201" s="2" t="s">
        <v>8562</v>
      </c>
      <c r="C4201" s="2" t="s">
        <v>17</v>
      </c>
      <c r="D4201" s="2" t="s">
        <v>18</v>
      </c>
      <c r="E4201" s="5">
        <v>-28681</v>
      </c>
      <c r="F4201" s="3" t="s">
        <v>210</v>
      </c>
      <c r="G4201" s="3" t="s">
        <v>88</v>
      </c>
      <c r="H4201" s="2" t="s">
        <v>21</v>
      </c>
      <c r="I4201" s="2" t="s">
        <v>8565</v>
      </c>
      <c r="J4201" s="3" t="str">
        <f>HYPERLINK("https://www.boe.es/gazeta/dias/1821/06/21/pdfs/GMD-1821-174.pdf#page=4","Abrir facsímil")</f>
        <v>Abrir facsímil</v>
      </c>
      <c r="K4201" s="3" t="s">
        <v>23</v>
      </c>
    </row>
    <row r="4202" spans="1:11" ht="42" customHeight="1">
      <c r="A4202" s="2" t="s">
        <v>8566</v>
      </c>
      <c r="B4202" s="2" t="s">
        <v>8567</v>
      </c>
      <c r="C4202" s="2" t="s">
        <v>114</v>
      </c>
      <c r="D4202" s="2" t="s">
        <v>27</v>
      </c>
      <c r="E4202" s="5">
        <v>-28640</v>
      </c>
      <c r="F4202" s="3" t="s">
        <v>1590</v>
      </c>
      <c r="G4202" s="3" t="s">
        <v>29</v>
      </c>
      <c r="H4202" s="2" t="s">
        <v>21</v>
      </c>
      <c r="I4202" s="2" t="s">
        <v>8568</v>
      </c>
      <c r="J4202" s="3" t="str">
        <f>HYPERLINK("https://www.boe.es/gazeta/dias/1821/08/01/pdfs/GMD-1821-217.pdf#page=6","Abrir facsímil")</f>
        <v>Abrir facsímil</v>
      </c>
      <c r="K4202" s="3" t="s">
        <v>23</v>
      </c>
    </row>
    <row r="4203" spans="1:11" ht="42" customHeight="1">
      <c r="A4203" s="2" t="s">
        <v>8569</v>
      </c>
      <c r="B4203" s="2" t="s">
        <v>8569</v>
      </c>
      <c r="C4203" s="2" t="s">
        <v>35</v>
      </c>
      <c r="D4203" s="2" t="s">
        <v>27</v>
      </c>
      <c r="E4203" s="5">
        <v>-28716</v>
      </c>
      <c r="F4203" s="3" t="s">
        <v>842</v>
      </c>
      <c r="G4203" s="3" t="s">
        <v>20</v>
      </c>
      <c r="H4203" s="2" t="s">
        <v>21</v>
      </c>
      <c r="I4203" s="2" t="s">
        <v>8570</v>
      </c>
      <c r="J4203" s="3" t="str">
        <f>HYPERLINK("https://www.boe.es/gazeta/dias/1821/05/17/pdfs/GMD-1821-139.pdf#page=3","Abrir facsímil")</f>
        <v>Abrir facsímil</v>
      </c>
      <c r="K4203" s="3" t="s">
        <v>23</v>
      </c>
    </row>
    <row r="4204" spans="1:11" ht="42" customHeight="1">
      <c r="A4204" s="2" t="s">
        <v>8571</v>
      </c>
      <c r="B4204" s="2" t="s">
        <v>8572</v>
      </c>
      <c r="C4204" s="2" t="s">
        <v>40</v>
      </c>
      <c r="D4204" s="2" t="s">
        <v>41</v>
      </c>
      <c r="E4204" s="5">
        <v>-28780</v>
      </c>
      <c r="F4204" s="3" t="s">
        <v>143</v>
      </c>
      <c r="G4204" s="3" t="s">
        <v>20</v>
      </c>
      <c r="H4204" s="2" t="s">
        <v>21</v>
      </c>
      <c r="I4204" s="2" t="s">
        <v>8573</v>
      </c>
      <c r="J4204" s="3" t="str">
        <f>HYPERLINK("https://www.boe.es/gazeta/dias/1821/03/14/pdfs/GMD-1821-73.pdf#page=3","Abrir facsímil")</f>
        <v>Abrir facsímil</v>
      </c>
      <c r="K4204" s="3" t="s">
        <v>23</v>
      </c>
    </row>
    <row r="4205" spans="1:11" ht="42" customHeight="1">
      <c r="A4205" s="2" t="s">
        <v>8574</v>
      </c>
      <c r="B4205" s="2" t="s">
        <v>8574</v>
      </c>
      <c r="C4205" s="2" t="s">
        <v>17</v>
      </c>
      <c r="D4205" s="2" t="s">
        <v>18</v>
      </c>
      <c r="E4205" s="5">
        <v>-28796</v>
      </c>
      <c r="F4205" s="3" t="s">
        <v>1421</v>
      </c>
      <c r="G4205" s="3" t="s">
        <v>1422</v>
      </c>
      <c r="H4205" s="2" t="s">
        <v>21</v>
      </c>
      <c r="I4205" s="2" t="s">
        <v>8575</v>
      </c>
      <c r="J4205" s="3" t="str">
        <f>HYPERLINK("https://www.boe.es/gazeta/dias/1821/02/26/pdfs/GGB-1821-57.pdf#page=3","Abrir facsímil")</f>
        <v>Abrir facsímil</v>
      </c>
      <c r="K4205" s="3" t="s">
        <v>23</v>
      </c>
    </row>
    <row r="4206" spans="1:11" ht="42" customHeight="1">
      <c r="A4206" s="2" t="s">
        <v>8574</v>
      </c>
      <c r="B4206" s="2" t="s">
        <v>8574</v>
      </c>
      <c r="C4206" s="2" t="s">
        <v>17</v>
      </c>
      <c r="D4206" s="2" t="s">
        <v>18</v>
      </c>
      <c r="E4206" s="5">
        <v>-28789</v>
      </c>
      <c r="F4206" s="3" t="s">
        <v>36</v>
      </c>
      <c r="G4206" s="3" t="s">
        <v>993</v>
      </c>
      <c r="H4206" s="2" t="s">
        <v>21</v>
      </c>
      <c r="I4206" s="2" t="s">
        <v>8576</v>
      </c>
      <c r="J4206" s="3" t="str">
        <f>HYPERLINK("https://www.boe.es/gazeta/dias/1821/03/05/pdfs/GGB-1821-64.pdf#page=4","Abrir facsímil")</f>
        <v>Abrir facsímil</v>
      </c>
      <c r="K4206" s="3" t="s">
        <v>23</v>
      </c>
    </row>
    <row r="4207" spans="1:11" ht="42" customHeight="1">
      <c r="A4207" s="2" t="s">
        <v>8574</v>
      </c>
      <c r="B4207" s="2" t="s">
        <v>8574</v>
      </c>
      <c r="C4207" s="2" t="s">
        <v>35</v>
      </c>
      <c r="D4207" s="2" t="s">
        <v>27</v>
      </c>
      <c r="E4207" s="5">
        <v>-28789</v>
      </c>
      <c r="F4207" s="3" t="s">
        <v>36</v>
      </c>
      <c r="G4207" s="3" t="s">
        <v>20</v>
      </c>
      <c r="H4207" s="2" t="s">
        <v>21</v>
      </c>
      <c r="I4207" s="2" t="s">
        <v>8577</v>
      </c>
      <c r="J4207" s="3" t="str">
        <f>HYPERLINK("https://www.boe.es/gazeta/dias/1821/03/05/pdfs/GGB-1821-64.pdf#page=3","Abrir facsímil")</f>
        <v>Abrir facsímil</v>
      </c>
      <c r="K4207" s="3" t="s">
        <v>23</v>
      </c>
    </row>
    <row r="4208" spans="1:11" ht="42" customHeight="1">
      <c r="A4208" s="2" t="s">
        <v>8574</v>
      </c>
      <c r="B4208" s="2" t="s">
        <v>8574</v>
      </c>
      <c r="C4208" s="2" t="s">
        <v>17</v>
      </c>
      <c r="D4208" s="2" t="s">
        <v>18</v>
      </c>
      <c r="E4208" s="5">
        <v>-28785</v>
      </c>
      <c r="F4208" s="3" t="s">
        <v>1935</v>
      </c>
      <c r="G4208" s="3" t="s">
        <v>20</v>
      </c>
      <c r="H4208" s="2" t="s">
        <v>21</v>
      </c>
      <c r="I4208" s="2" t="s">
        <v>8578</v>
      </c>
      <c r="J4208" s="3" t="str">
        <f>HYPERLINK("https://www.boe.es/gazeta/dias/1821/03/09/pdfs/GGB-1821-68.pdf#page=3","Abrir facsímil")</f>
        <v>Abrir facsímil</v>
      </c>
      <c r="K4208" s="3" t="s">
        <v>23</v>
      </c>
    </row>
    <row r="4209" spans="1:11" ht="42" customHeight="1">
      <c r="A4209" s="2" t="s">
        <v>8574</v>
      </c>
      <c r="B4209" s="2" t="s">
        <v>8574</v>
      </c>
      <c r="C4209" s="2" t="s">
        <v>40</v>
      </c>
      <c r="D4209" s="2" t="s">
        <v>41</v>
      </c>
      <c r="E4209" s="5">
        <v>-28785</v>
      </c>
      <c r="F4209" s="3" t="s">
        <v>1935</v>
      </c>
      <c r="G4209" s="3" t="s">
        <v>88</v>
      </c>
      <c r="H4209" s="2" t="s">
        <v>21</v>
      </c>
      <c r="I4209" s="2" t="s">
        <v>8579</v>
      </c>
      <c r="J4209" s="3" t="str">
        <f>HYPERLINK("https://www.boe.es/gazeta/dias/1821/03/09/pdfs/GGB-1821-68.pdf#page=4","Abrir facsímil")</f>
        <v>Abrir facsímil</v>
      </c>
      <c r="K4209" s="3" t="s">
        <v>23</v>
      </c>
    </row>
    <row r="4210" spans="1:11" ht="42" customHeight="1">
      <c r="A4210" s="2" t="s">
        <v>8574</v>
      </c>
      <c r="B4210" s="2" t="s">
        <v>8574</v>
      </c>
      <c r="C4210" s="2" t="s">
        <v>174</v>
      </c>
      <c r="D4210" s="2" t="s">
        <v>27</v>
      </c>
      <c r="E4210" s="5">
        <v>-28778</v>
      </c>
      <c r="F4210" s="3" t="s">
        <v>1301</v>
      </c>
      <c r="G4210" s="3" t="s">
        <v>88</v>
      </c>
      <c r="H4210" s="2" t="s">
        <v>21</v>
      </c>
      <c r="I4210" s="2" t="s">
        <v>8580</v>
      </c>
      <c r="J4210" s="3" t="str">
        <f>HYPERLINK("https://www.boe.es/gazeta/dias/1821/03/16/pdfs/GMD-1821-75.pdf#page=4","Abrir facsímil")</f>
        <v>Abrir facsímil</v>
      </c>
      <c r="K4210" s="3" t="s">
        <v>23</v>
      </c>
    </row>
    <row r="4211" spans="1:11" ht="42" customHeight="1">
      <c r="A4211" s="2" t="s">
        <v>8574</v>
      </c>
      <c r="B4211" s="2" t="s">
        <v>8574</v>
      </c>
      <c r="C4211" s="2" t="s">
        <v>40</v>
      </c>
      <c r="D4211" s="2" t="s">
        <v>41</v>
      </c>
      <c r="E4211" s="5">
        <v>-28774</v>
      </c>
      <c r="F4211" s="3" t="s">
        <v>1221</v>
      </c>
      <c r="G4211" s="3" t="s">
        <v>20</v>
      </c>
      <c r="H4211" s="2" t="s">
        <v>21</v>
      </c>
      <c r="I4211" s="2" t="s">
        <v>8581</v>
      </c>
      <c r="J4211" s="3" t="str">
        <f>HYPERLINK("https://www.boe.es/gazeta/dias/1821/03/20/pdfs/GMD-1821-79.pdf#page=3","Abrir facsímil")</f>
        <v>Abrir facsímil</v>
      </c>
      <c r="K4211" s="3" t="s">
        <v>23</v>
      </c>
    </row>
    <row r="4212" spans="1:11" ht="42" customHeight="1">
      <c r="A4212" s="2" t="s">
        <v>8574</v>
      </c>
      <c r="B4212" s="2" t="s">
        <v>8574</v>
      </c>
      <c r="C4212" s="2" t="s">
        <v>17</v>
      </c>
      <c r="D4212" s="2" t="s">
        <v>18</v>
      </c>
      <c r="E4212" s="5">
        <v>-28770</v>
      </c>
      <c r="F4212" s="3" t="s">
        <v>1009</v>
      </c>
      <c r="G4212" s="3" t="s">
        <v>88</v>
      </c>
      <c r="H4212" s="2" t="s">
        <v>21</v>
      </c>
      <c r="I4212" s="2" t="s">
        <v>8582</v>
      </c>
      <c r="J4212" s="3" t="str">
        <f>HYPERLINK("https://www.boe.es/gazeta/dias/1821/03/24/pdfs/GMD-1821-84.pdf#page=4","Abrir facsímil")</f>
        <v>Abrir facsímil</v>
      </c>
      <c r="K4212" s="3" t="s">
        <v>23</v>
      </c>
    </row>
    <row r="4213" spans="1:11" ht="42" customHeight="1">
      <c r="A4213" s="2" t="s">
        <v>8574</v>
      </c>
      <c r="B4213" s="2" t="s">
        <v>8574</v>
      </c>
      <c r="C4213" s="2" t="s">
        <v>35</v>
      </c>
      <c r="D4213" s="2" t="s">
        <v>27</v>
      </c>
      <c r="E4213" s="5">
        <v>-28766</v>
      </c>
      <c r="F4213" s="3" t="s">
        <v>1481</v>
      </c>
      <c r="G4213" s="3" t="s">
        <v>52</v>
      </c>
      <c r="H4213" s="2" t="s">
        <v>21</v>
      </c>
      <c r="I4213" s="2" t="s">
        <v>8583</v>
      </c>
      <c r="J4213" s="3" t="str">
        <f>HYPERLINK("https://www.boe.es/gazeta/dias/1821/03/28/pdfs/GMD-1821-88.pdf#page=2","Abrir facsímil")</f>
        <v>Abrir facsímil</v>
      </c>
      <c r="K4213" s="3" t="s">
        <v>23</v>
      </c>
    </row>
    <row r="4214" spans="1:11" ht="42" customHeight="1">
      <c r="A4214" s="2" t="s">
        <v>8574</v>
      </c>
      <c r="B4214" s="2" t="s">
        <v>8574</v>
      </c>
      <c r="C4214" s="2" t="s">
        <v>35</v>
      </c>
      <c r="D4214" s="2" t="s">
        <v>27</v>
      </c>
      <c r="E4214" s="5">
        <v>-28766</v>
      </c>
      <c r="F4214" s="3" t="s">
        <v>1481</v>
      </c>
      <c r="G4214" s="3" t="s">
        <v>20</v>
      </c>
      <c r="H4214" s="2" t="s">
        <v>21</v>
      </c>
      <c r="I4214" s="2" t="s">
        <v>8584</v>
      </c>
      <c r="J4214" s="3" t="str">
        <f>HYPERLINK("https://www.boe.es/gazeta/dias/1821/03/28/pdfs/GMD-1821-88.pdf#page=3","Abrir facsímil")</f>
        <v>Abrir facsímil</v>
      </c>
      <c r="K4214" s="3" t="s">
        <v>23</v>
      </c>
    </row>
    <row r="4215" spans="1:11" ht="42" customHeight="1">
      <c r="A4215" s="2" t="s">
        <v>8574</v>
      </c>
      <c r="B4215" s="2" t="s">
        <v>8574</v>
      </c>
      <c r="C4215" s="2" t="s">
        <v>40</v>
      </c>
      <c r="D4215" s="2" t="s">
        <v>41</v>
      </c>
      <c r="E4215" s="5">
        <v>-28757</v>
      </c>
      <c r="F4215" s="3" t="s">
        <v>472</v>
      </c>
      <c r="G4215" s="3" t="s">
        <v>52</v>
      </c>
      <c r="H4215" s="2" t="s">
        <v>21</v>
      </c>
      <c r="I4215" s="2" t="s">
        <v>8585</v>
      </c>
      <c r="J4215" s="3" t="str">
        <f>HYPERLINK("https://www.boe.es/gazeta/dias/1821/04/06/pdfs/GMD-1821-98.pdf#page=2","Abrir facsímil")</f>
        <v>Abrir facsímil</v>
      </c>
      <c r="K4215" s="3" t="s">
        <v>23</v>
      </c>
    </row>
    <row r="4216" spans="1:11" ht="42" customHeight="1">
      <c r="A4216" s="2" t="s">
        <v>8574</v>
      </c>
      <c r="B4216" s="2" t="s">
        <v>8574</v>
      </c>
      <c r="C4216" s="2" t="s">
        <v>26</v>
      </c>
      <c r="D4216" s="2" t="s">
        <v>27</v>
      </c>
      <c r="E4216" s="5">
        <v>-28757</v>
      </c>
      <c r="F4216" s="3" t="s">
        <v>472</v>
      </c>
      <c r="G4216" s="3" t="s">
        <v>20</v>
      </c>
      <c r="H4216" s="2" t="s">
        <v>21</v>
      </c>
      <c r="I4216" s="2" t="s">
        <v>8586</v>
      </c>
      <c r="J4216" s="3" t="str">
        <f>HYPERLINK("https://www.boe.es/gazeta/dias/1821/04/06/pdfs/GMD-1821-98.pdf#page=3","Abrir facsímil")</f>
        <v>Abrir facsímil</v>
      </c>
      <c r="K4216" s="3" t="s">
        <v>23</v>
      </c>
    </row>
    <row r="4217" spans="1:11" ht="42" customHeight="1">
      <c r="A4217" s="2" t="s">
        <v>8574</v>
      </c>
      <c r="B4217" s="2" t="s">
        <v>8574</v>
      </c>
      <c r="C4217" s="2" t="s">
        <v>40</v>
      </c>
      <c r="D4217" s="2" t="s">
        <v>41</v>
      </c>
      <c r="E4217" s="5">
        <v>-28756</v>
      </c>
      <c r="F4217" s="3" t="s">
        <v>3145</v>
      </c>
      <c r="G4217" s="3" t="s">
        <v>20</v>
      </c>
      <c r="H4217" s="2" t="s">
        <v>21</v>
      </c>
      <c r="I4217" s="2" t="s">
        <v>8587</v>
      </c>
      <c r="J4217" s="3" t="str">
        <f>HYPERLINK("https://www.boe.es/gazeta/dias/1821/04/07/pdfs/GMD-1821-99.pdf#page=3","Abrir facsímil")</f>
        <v>Abrir facsímil</v>
      </c>
      <c r="K4217" s="3" t="s">
        <v>23</v>
      </c>
    </row>
    <row r="4218" spans="1:11" ht="42" customHeight="1">
      <c r="A4218" s="2" t="s">
        <v>8574</v>
      </c>
      <c r="B4218" s="2" t="s">
        <v>8574</v>
      </c>
      <c r="C4218" s="2" t="s">
        <v>40</v>
      </c>
      <c r="D4218" s="2" t="s">
        <v>41</v>
      </c>
      <c r="E4218" s="5">
        <v>-28748</v>
      </c>
      <c r="F4218" s="3" t="s">
        <v>634</v>
      </c>
      <c r="G4218" s="3" t="s">
        <v>52</v>
      </c>
      <c r="H4218" s="2" t="s">
        <v>21</v>
      </c>
      <c r="I4218" s="2" t="s">
        <v>8588</v>
      </c>
      <c r="J4218" s="3" t="str">
        <f>HYPERLINK("https://www.boe.es/gazeta/dias/1821/04/15/pdfs/GMD-1821-107.pdf#page=2","Abrir facsímil")</f>
        <v>Abrir facsímil</v>
      </c>
      <c r="K4218" s="3" t="s">
        <v>23</v>
      </c>
    </row>
    <row r="4219" spans="1:11" ht="42" customHeight="1">
      <c r="A4219" s="2" t="s">
        <v>8574</v>
      </c>
      <c r="B4219" s="2" t="s">
        <v>8574</v>
      </c>
      <c r="C4219" s="2" t="s">
        <v>35</v>
      </c>
      <c r="D4219" s="2" t="s">
        <v>27</v>
      </c>
      <c r="E4219" s="5">
        <v>-28745</v>
      </c>
      <c r="F4219" s="3" t="s">
        <v>1020</v>
      </c>
      <c r="G4219" s="3" t="s">
        <v>52</v>
      </c>
      <c r="H4219" s="2" t="s">
        <v>21</v>
      </c>
      <c r="I4219" s="2" t="s">
        <v>8589</v>
      </c>
      <c r="J4219" s="3" t="str">
        <f>HYPERLINK("https://www.boe.es/gazeta/dias/1821/04/18/pdfs/GMD-1821-110.pdf#page=2","Abrir facsímil")</f>
        <v>Abrir facsímil</v>
      </c>
      <c r="K4219" s="3" t="s">
        <v>23</v>
      </c>
    </row>
    <row r="4220" spans="1:11" ht="42" customHeight="1">
      <c r="A4220" s="2" t="s">
        <v>8574</v>
      </c>
      <c r="B4220" s="2" t="s">
        <v>8574</v>
      </c>
      <c r="C4220" s="2" t="s">
        <v>279</v>
      </c>
      <c r="D4220" s="2" t="s">
        <v>27</v>
      </c>
      <c r="E4220" s="5">
        <v>-28745</v>
      </c>
      <c r="F4220" s="3" t="s">
        <v>1020</v>
      </c>
      <c r="G4220" s="3" t="s">
        <v>20</v>
      </c>
      <c r="H4220" s="2" t="s">
        <v>21</v>
      </c>
      <c r="I4220" s="2" t="s">
        <v>8590</v>
      </c>
      <c r="J4220" s="3" t="str">
        <f>HYPERLINK("https://www.boe.es/gazeta/dias/1821/04/18/pdfs/GMD-1821-110.pdf#page=3","Abrir facsímil")</f>
        <v>Abrir facsímil</v>
      </c>
      <c r="K4220" s="3" t="s">
        <v>23</v>
      </c>
    </row>
    <row r="4221" spans="1:11" ht="42" customHeight="1">
      <c r="A4221" s="2" t="s">
        <v>8574</v>
      </c>
      <c r="B4221" s="2" t="s">
        <v>8574</v>
      </c>
      <c r="C4221" s="2" t="s">
        <v>17</v>
      </c>
      <c r="D4221" s="2" t="s">
        <v>18</v>
      </c>
      <c r="E4221" s="5">
        <v>-28733</v>
      </c>
      <c r="F4221" s="3" t="s">
        <v>1033</v>
      </c>
      <c r="G4221" s="3" t="s">
        <v>52</v>
      </c>
      <c r="H4221" s="2" t="s">
        <v>21</v>
      </c>
      <c r="I4221" s="2" t="s">
        <v>8591</v>
      </c>
      <c r="J4221" s="3" t="str">
        <f>HYPERLINK("https://www.boe.es/gazeta/dias/1821/04/30/pdfs/GMD-1821-122.pdf#page=2","Abrir facsímil")</f>
        <v>Abrir facsímil</v>
      </c>
      <c r="K4221" s="3" t="s">
        <v>23</v>
      </c>
    </row>
    <row r="4222" spans="1:11" ht="42" customHeight="1">
      <c r="A4222" s="2" t="s">
        <v>8574</v>
      </c>
      <c r="B4222" s="2" t="s">
        <v>8574</v>
      </c>
      <c r="C4222" s="2" t="s">
        <v>40</v>
      </c>
      <c r="D4222" s="2" t="s">
        <v>41</v>
      </c>
      <c r="E4222" s="5">
        <v>-28729</v>
      </c>
      <c r="F4222" s="3" t="s">
        <v>838</v>
      </c>
      <c r="G4222" s="3" t="s">
        <v>20</v>
      </c>
      <c r="H4222" s="2" t="s">
        <v>21</v>
      </c>
      <c r="I4222" s="2" t="s">
        <v>8592</v>
      </c>
      <c r="J4222" s="3" t="str">
        <f>HYPERLINK("https://www.boe.es/gazeta/dias/1821/05/04/pdfs/GMD-1821-126.pdf#page=3","Abrir facsímil")</f>
        <v>Abrir facsímil</v>
      </c>
      <c r="K4222" s="3" t="s">
        <v>23</v>
      </c>
    </row>
    <row r="4223" spans="1:11" ht="42" customHeight="1">
      <c r="A4223" s="2" t="s">
        <v>8574</v>
      </c>
      <c r="B4223" s="2" t="s">
        <v>8574</v>
      </c>
      <c r="C4223" s="2" t="s">
        <v>17</v>
      </c>
      <c r="D4223" s="2" t="s">
        <v>18</v>
      </c>
      <c r="E4223" s="5">
        <v>-28728</v>
      </c>
      <c r="F4223" s="3" t="s">
        <v>1038</v>
      </c>
      <c r="G4223" s="3" t="s">
        <v>20</v>
      </c>
      <c r="H4223" s="2" t="s">
        <v>21</v>
      </c>
      <c r="I4223" s="2" t="s">
        <v>8593</v>
      </c>
      <c r="J4223" s="3" t="str">
        <f>HYPERLINK("https://www.boe.es/gazeta/dias/1821/05/05/pdfs/GMD-1821-127.pdf#page=3","Abrir facsímil")</f>
        <v>Abrir facsímil</v>
      </c>
      <c r="K4223" s="3" t="s">
        <v>23</v>
      </c>
    </row>
    <row r="4224" spans="1:11" ht="42" customHeight="1">
      <c r="A4224" s="2" t="s">
        <v>8574</v>
      </c>
      <c r="B4224" s="2" t="s">
        <v>8574</v>
      </c>
      <c r="C4224" s="2" t="s">
        <v>40</v>
      </c>
      <c r="D4224" s="2" t="s">
        <v>41</v>
      </c>
      <c r="E4224" s="5">
        <v>-28723</v>
      </c>
      <c r="F4224" s="3" t="s">
        <v>840</v>
      </c>
      <c r="G4224" s="3" t="s">
        <v>20</v>
      </c>
      <c r="H4224" s="2" t="s">
        <v>21</v>
      </c>
      <c r="I4224" s="2" t="s">
        <v>8594</v>
      </c>
      <c r="J4224" s="3" t="str">
        <f>HYPERLINK("https://www.boe.es/gazeta/dias/1821/05/10/pdfs/GMD-1821-132.pdf#page=3","Abrir facsímil")</f>
        <v>Abrir facsímil</v>
      </c>
      <c r="K4224" s="3" t="s">
        <v>23</v>
      </c>
    </row>
    <row r="4225" spans="1:11" ht="42" customHeight="1">
      <c r="A4225" s="2" t="s">
        <v>8574</v>
      </c>
      <c r="B4225" s="2" t="s">
        <v>8574</v>
      </c>
      <c r="C4225" s="2" t="s">
        <v>174</v>
      </c>
      <c r="D4225" s="2" t="s">
        <v>27</v>
      </c>
      <c r="E4225" s="5">
        <v>-28721</v>
      </c>
      <c r="F4225" s="3" t="s">
        <v>92</v>
      </c>
      <c r="G4225" s="3" t="s">
        <v>3795</v>
      </c>
      <c r="H4225" s="2" t="s">
        <v>21</v>
      </c>
      <c r="I4225" s="2" t="s">
        <v>8595</v>
      </c>
      <c r="J4225" s="3" t="str">
        <f>HYPERLINK("https://www.boe.es/gazeta/dias/1821/05/12/pdfs/GMD-1821-134.pdf#page=3","Abrir facsímil")</f>
        <v>Abrir facsímil</v>
      </c>
      <c r="K4225" s="3" t="s">
        <v>23</v>
      </c>
    </row>
    <row r="4226" spans="1:11" ht="42" customHeight="1">
      <c r="A4226" s="2" t="s">
        <v>8574</v>
      </c>
      <c r="B4226" s="2" t="s">
        <v>8574</v>
      </c>
      <c r="C4226" s="2" t="s">
        <v>40</v>
      </c>
      <c r="D4226" s="2" t="s">
        <v>41</v>
      </c>
      <c r="E4226" s="5">
        <v>-28717</v>
      </c>
      <c r="F4226" s="3" t="s">
        <v>1044</v>
      </c>
      <c r="G4226" s="3" t="s">
        <v>52</v>
      </c>
      <c r="H4226" s="2" t="s">
        <v>21</v>
      </c>
      <c r="I4226" s="2" t="s">
        <v>8596</v>
      </c>
      <c r="J4226" s="3" t="str">
        <f>HYPERLINK("https://www.boe.es/gazeta/dias/1821/05/16/pdfs/GMD-1821-138.pdf#page=2","Abrir facsímil")</f>
        <v>Abrir facsímil</v>
      </c>
      <c r="K4226" s="3" t="s">
        <v>23</v>
      </c>
    </row>
    <row r="4227" spans="1:11" ht="42" customHeight="1">
      <c r="A4227" s="2" t="s">
        <v>8574</v>
      </c>
      <c r="B4227" s="2" t="s">
        <v>8574</v>
      </c>
      <c r="C4227" s="2" t="s">
        <v>40</v>
      </c>
      <c r="D4227" s="2" t="s">
        <v>41</v>
      </c>
      <c r="E4227" s="5">
        <v>-28716</v>
      </c>
      <c r="F4227" s="3" t="s">
        <v>842</v>
      </c>
      <c r="G4227" s="3" t="s">
        <v>52</v>
      </c>
      <c r="H4227" s="2" t="s">
        <v>21</v>
      </c>
      <c r="I4227" s="2" t="s">
        <v>8597</v>
      </c>
      <c r="J4227" s="3" t="str">
        <f>HYPERLINK("https://www.boe.es/gazeta/dias/1821/05/17/pdfs/GMD-1821-139.pdf#page=2","Abrir facsímil")</f>
        <v>Abrir facsímil</v>
      </c>
      <c r="K4227" s="3" t="s">
        <v>23</v>
      </c>
    </row>
    <row r="4228" spans="1:11" ht="42" customHeight="1">
      <c r="A4228" s="2" t="s">
        <v>8574</v>
      </c>
      <c r="B4228" s="2" t="s">
        <v>8574</v>
      </c>
      <c r="C4228" s="2" t="s">
        <v>17</v>
      </c>
      <c r="D4228" s="2" t="s">
        <v>18</v>
      </c>
      <c r="E4228" s="5">
        <v>-28714</v>
      </c>
      <c r="F4228" s="3" t="s">
        <v>522</v>
      </c>
      <c r="G4228" s="3" t="s">
        <v>20</v>
      </c>
      <c r="H4228" s="2" t="s">
        <v>21</v>
      </c>
      <c r="I4228" s="2" t="s">
        <v>8598</v>
      </c>
      <c r="J4228" s="3" t="str">
        <f>HYPERLINK("https://www.boe.es/gazeta/dias/1821/05/19/pdfs/GMD-1821-141.pdf#page=3","Abrir facsímil")</f>
        <v>Abrir facsímil</v>
      </c>
      <c r="K4228" s="3" t="s">
        <v>23</v>
      </c>
    </row>
    <row r="4229" spans="1:11" ht="42" customHeight="1">
      <c r="A4229" s="2" t="s">
        <v>8574</v>
      </c>
      <c r="B4229" s="2" t="s">
        <v>8574</v>
      </c>
      <c r="C4229" s="2" t="s">
        <v>40</v>
      </c>
      <c r="D4229" s="2" t="s">
        <v>41</v>
      </c>
      <c r="E4229" s="5">
        <v>-28713</v>
      </c>
      <c r="F4229" s="3" t="s">
        <v>1976</v>
      </c>
      <c r="G4229" s="3" t="s">
        <v>52</v>
      </c>
      <c r="H4229" s="2" t="s">
        <v>21</v>
      </c>
      <c r="I4229" s="2" t="s">
        <v>8599</v>
      </c>
      <c r="J4229" s="3" t="str">
        <f>HYPERLINK("https://www.boe.es/gazeta/dias/1821/05/20/pdfs/GMD-1821-142.pdf#page=2","Abrir facsímil")</f>
        <v>Abrir facsímil</v>
      </c>
      <c r="K4229" s="3" t="s">
        <v>23</v>
      </c>
    </row>
    <row r="4230" spans="1:11" ht="42" customHeight="1">
      <c r="A4230" s="2" t="s">
        <v>8574</v>
      </c>
      <c r="B4230" s="2" t="s">
        <v>8574</v>
      </c>
      <c r="C4230" s="2" t="s">
        <v>35</v>
      </c>
      <c r="D4230" s="2" t="s">
        <v>27</v>
      </c>
      <c r="E4230" s="5">
        <v>-28708</v>
      </c>
      <c r="F4230" s="3" t="s">
        <v>528</v>
      </c>
      <c r="G4230" s="3" t="s">
        <v>88</v>
      </c>
      <c r="H4230" s="2" t="s">
        <v>21</v>
      </c>
      <c r="I4230" s="2" t="s">
        <v>8600</v>
      </c>
      <c r="J4230" s="3" t="str">
        <f>HYPERLINK("https://www.boe.es/gazeta/dias/1821/05/25/pdfs/GMD-1821-147.pdf#page=4","Abrir facsímil")</f>
        <v>Abrir facsímil</v>
      </c>
      <c r="K4230" s="3" t="s">
        <v>23</v>
      </c>
    </row>
    <row r="4231" spans="1:11" ht="42" customHeight="1">
      <c r="A4231" s="2" t="s">
        <v>8574</v>
      </c>
      <c r="B4231" s="2" t="s">
        <v>8574</v>
      </c>
      <c r="C4231" s="2" t="s">
        <v>174</v>
      </c>
      <c r="D4231" s="2" t="s">
        <v>27</v>
      </c>
      <c r="E4231" s="5">
        <v>-28707</v>
      </c>
      <c r="F4231" s="3" t="s">
        <v>495</v>
      </c>
      <c r="G4231" s="3" t="s">
        <v>52</v>
      </c>
      <c r="H4231" s="2" t="s">
        <v>21</v>
      </c>
      <c r="I4231" s="2" t="s">
        <v>8601</v>
      </c>
      <c r="J4231" s="3" t="str">
        <f>HYPERLINK("https://www.boe.es/gazeta/dias/1821/05/26/pdfs/GMD-1821-148.pdf#page=2","Abrir facsímil")</f>
        <v>Abrir facsímil</v>
      </c>
      <c r="K4231" s="3" t="s">
        <v>23</v>
      </c>
    </row>
    <row r="4232" spans="1:11" ht="42" customHeight="1">
      <c r="A4232" s="2" t="s">
        <v>8574</v>
      </c>
      <c r="B4232" s="2" t="s">
        <v>8574</v>
      </c>
      <c r="C4232" s="2" t="s">
        <v>40</v>
      </c>
      <c r="D4232" s="2" t="s">
        <v>41</v>
      </c>
      <c r="E4232" s="5">
        <v>-28685</v>
      </c>
      <c r="F4232" s="3" t="s">
        <v>303</v>
      </c>
      <c r="G4232" s="3" t="s">
        <v>162</v>
      </c>
      <c r="H4232" s="2" t="s">
        <v>21</v>
      </c>
      <c r="I4232" s="2" t="s">
        <v>8602</v>
      </c>
      <c r="J4232" s="3" t="str">
        <f>HYPERLINK("https://www.boe.es/gazeta/dias/1821/06/17/pdfs/GMD-1821-170.pdf#page=5","Abrir facsímil")</f>
        <v>Abrir facsímil</v>
      </c>
      <c r="K4232" s="3" t="s">
        <v>23</v>
      </c>
    </row>
    <row r="4233" spans="1:11" ht="42" customHeight="1">
      <c r="A4233" s="2" t="s">
        <v>8574</v>
      </c>
      <c r="B4233" s="2" t="s">
        <v>8574</v>
      </c>
      <c r="C4233" s="2" t="s">
        <v>35</v>
      </c>
      <c r="D4233" s="2" t="s">
        <v>27</v>
      </c>
      <c r="E4233" s="5">
        <v>-28684</v>
      </c>
      <c r="F4233" s="3" t="s">
        <v>208</v>
      </c>
      <c r="G4233" s="3" t="s">
        <v>88</v>
      </c>
      <c r="H4233" s="2" t="s">
        <v>21</v>
      </c>
      <c r="I4233" s="2" t="s">
        <v>8603</v>
      </c>
      <c r="J4233" s="3" t="str">
        <f>HYPERLINK("https://www.boe.es/gazeta/dias/1821/06/18/pdfs/GMD-1821-171.pdf#page=4","Abrir facsímil")</f>
        <v>Abrir facsímil</v>
      </c>
      <c r="K4233" s="3" t="s">
        <v>23</v>
      </c>
    </row>
    <row r="4234" spans="1:11" ht="42" customHeight="1">
      <c r="A4234" s="2" t="s">
        <v>8574</v>
      </c>
      <c r="B4234" s="2" t="s">
        <v>8574</v>
      </c>
      <c r="C4234" s="2" t="s">
        <v>17</v>
      </c>
      <c r="D4234" s="2" t="s">
        <v>18</v>
      </c>
      <c r="E4234" s="5">
        <v>-28672</v>
      </c>
      <c r="F4234" s="3" t="s">
        <v>964</v>
      </c>
      <c r="G4234" s="3" t="s">
        <v>20</v>
      </c>
      <c r="H4234" s="2" t="s">
        <v>21</v>
      </c>
      <c r="I4234" s="2" t="s">
        <v>8604</v>
      </c>
      <c r="J4234" s="3" t="str">
        <f>HYPERLINK("https://www.boe.es/gazeta/dias/1821/06/30/pdfs/GMD-1821-183.pdf#page=3","Abrir facsímil")</f>
        <v>Abrir facsímil</v>
      </c>
      <c r="K4234" s="3" t="s">
        <v>23</v>
      </c>
    </row>
    <row r="4235" spans="1:11" ht="42" customHeight="1">
      <c r="A4235" s="2" t="s">
        <v>8574</v>
      </c>
      <c r="B4235" s="2" t="s">
        <v>8574</v>
      </c>
      <c r="C4235" s="2" t="s">
        <v>17</v>
      </c>
      <c r="D4235" s="2" t="s">
        <v>18</v>
      </c>
      <c r="E4235" s="5">
        <v>-28671</v>
      </c>
      <c r="F4235" s="3" t="s">
        <v>5059</v>
      </c>
      <c r="G4235" s="3" t="s">
        <v>52</v>
      </c>
      <c r="H4235" s="2" t="s">
        <v>21</v>
      </c>
      <c r="I4235" s="2" t="s">
        <v>8605</v>
      </c>
      <c r="J4235" s="3" t="str">
        <f>HYPERLINK("https://www.boe.es/gazeta/dias/1821/07/01/pdfs/GMD-1821-185.pdf#page=2","Abrir facsímil")</f>
        <v>Abrir facsímil</v>
      </c>
      <c r="K4235" s="3" t="s">
        <v>23</v>
      </c>
    </row>
    <row r="4236" spans="1:11" ht="42" customHeight="1">
      <c r="A4236" s="2" t="s">
        <v>8574</v>
      </c>
      <c r="B4236" s="2" t="s">
        <v>8574</v>
      </c>
      <c r="C4236" s="2" t="s">
        <v>17</v>
      </c>
      <c r="D4236" s="2" t="s">
        <v>18</v>
      </c>
      <c r="E4236" s="5">
        <v>-28671</v>
      </c>
      <c r="F4236" s="3" t="s">
        <v>5059</v>
      </c>
      <c r="G4236" s="3" t="s">
        <v>20</v>
      </c>
      <c r="H4236" s="2" t="s">
        <v>21</v>
      </c>
      <c r="I4236" s="2" t="s">
        <v>8606</v>
      </c>
      <c r="J4236" s="3" t="str">
        <f>HYPERLINK("https://www.boe.es/gazeta/dias/1821/07/01/pdfs/GMD-1821-185.pdf#page=3","Abrir facsímil")</f>
        <v>Abrir facsímil</v>
      </c>
      <c r="K4236" s="3" t="s">
        <v>23</v>
      </c>
    </row>
    <row r="4237" spans="1:11" ht="42" customHeight="1">
      <c r="A4237" s="2" t="s">
        <v>8574</v>
      </c>
      <c r="B4237" s="2" t="s">
        <v>8574</v>
      </c>
      <c r="C4237" s="2" t="s">
        <v>17</v>
      </c>
      <c r="D4237" s="2" t="s">
        <v>18</v>
      </c>
      <c r="E4237" s="5">
        <v>-28580</v>
      </c>
      <c r="F4237" s="3" t="s">
        <v>175</v>
      </c>
      <c r="G4237" s="3" t="s">
        <v>88</v>
      </c>
      <c r="H4237" s="2" t="s">
        <v>21</v>
      </c>
      <c r="I4237" s="2" t="s">
        <v>8607</v>
      </c>
      <c r="J4237" s="3" t="str">
        <f>HYPERLINK("https://www.boe.es/gazeta/dias/1821/09/30/pdfs/GMD-1821-279.pdf#page=4","Abrir facsímil")</f>
        <v>Abrir facsímil</v>
      </c>
      <c r="K4237" s="3" t="s">
        <v>23</v>
      </c>
    </row>
    <row r="4238" spans="1:11" ht="42" customHeight="1">
      <c r="A4238" s="2" t="s">
        <v>8574</v>
      </c>
      <c r="B4238" s="2" t="s">
        <v>8574</v>
      </c>
      <c r="C4238" s="2" t="s">
        <v>17</v>
      </c>
      <c r="D4238" s="2" t="s">
        <v>18</v>
      </c>
      <c r="E4238" s="5">
        <v>-28579</v>
      </c>
      <c r="F4238" s="3" t="s">
        <v>743</v>
      </c>
      <c r="G4238" s="3" t="s">
        <v>7128</v>
      </c>
      <c r="H4238" s="2" t="s">
        <v>21</v>
      </c>
      <c r="I4238" s="2" t="s">
        <v>8608</v>
      </c>
      <c r="J4238" s="3" t="str">
        <f>HYPERLINK("https://www.boe.es/gazeta/dias/1821/10/01/pdfs/GMD-1821-280.pdf#page=3","Abrir facsímil")</f>
        <v>Abrir facsímil</v>
      </c>
      <c r="K4238" s="3" t="s">
        <v>23</v>
      </c>
    </row>
    <row r="4239" spans="1:11" ht="42" customHeight="1">
      <c r="A4239" s="2" t="s">
        <v>8574</v>
      </c>
      <c r="B4239" s="2" t="s">
        <v>8574</v>
      </c>
      <c r="C4239" s="2" t="s">
        <v>35</v>
      </c>
      <c r="D4239" s="2" t="s">
        <v>27</v>
      </c>
      <c r="E4239" s="5">
        <v>-28578</v>
      </c>
      <c r="F4239" s="3" t="s">
        <v>899</v>
      </c>
      <c r="G4239" s="3" t="s">
        <v>88</v>
      </c>
      <c r="H4239" s="2" t="s">
        <v>21</v>
      </c>
      <c r="I4239" s="2" t="s">
        <v>8609</v>
      </c>
      <c r="J4239" s="3" t="str">
        <f>HYPERLINK("https://www.boe.es/gazeta/dias/1821/10/02/pdfs/GMD-1821-281.pdf#page=4","Abrir facsímil")</f>
        <v>Abrir facsímil</v>
      </c>
      <c r="K4239" s="3" t="s">
        <v>23</v>
      </c>
    </row>
    <row r="4240" spans="1:11" ht="42" customHeight="1">
      <c r="A4240" s="2" t="s">
        <v>8574</v>
      </c>
      <c r="B4240" s="2" t="s">
        <v>8574</v>
      </c>
      <c r="C4240" s="2" t="s">
        <v>114</v>
      </c>
      <c r="D4240" s="2" t="s">
        <v>27</v>
      </c>
      <c r="E4240" s="5">
        <v>-28569</v>
      </c>
      <c r="F4240" s="3" t="s">
        <v>512</v>
      </c>
      <c r="G4240" s="3" t="s">
        <v>162</v>
      </c>
      <c r="H4240" s="2" t="s">
        <v>21</v>
      </c>
      <c r="I4240" s="2" t="s">
        <v>8610</v>
      </c>
      <c r="J4240" s="3" t="str">
        <f>HYPERLINK("https://www.boe.es/gazeta/dias/1821/10/11/pdfs/GMD-1821-290.pdf#page=5","Abrir facsímil")</f>
        <v>Abrir facsímil</v>
      </c>
      <c r="K4240" s="3" t="s">
        <v>23</v>
      </c>
    </row>
    <row r="4241" spans="1:11" ht="42" customHeight="1">
      <c r="A4241" s="2" t="s">
        <v>8574</v>
      </c>
      <c r="B4241" s="2" t="s">
        <v>8574</v>
      </c>
      <c r="C4241" s="2" t="s">
        <v>35</v>
      </c>
      <c r="D4241" s="2" t="s">
        <v>27</v>
      </c>
      <c r="E4241" s="5">
        <v>-28567</v>
      </c>
      <c r="F4241" s="3" t="s">
        <v>217</v>
      </c>
      <c r="G4241" s="3" t="s">
        <v>162</v>
      </c>
      <c r="H4241" s="2" t="s">
        <v>21</v>
      </c>
      <c r="I4241" s="2" t="s">
        <v>8611</v>
      </c>
      <c r="J4241" s="3" t="str">
        <f>HYPERLINK("https://www.boe.es/gazeta/dias/1821/10/13/pdfs/GMD-1821-292.pdf#page=5","Abrir facsímil")</f>
        <v>Abrir facsímil</v>
      </c>
      <c r="K4241" s="3" t="s">
        <v>23</v>
      </c>
    </row>
    <row r="4242" spans="1:11" ht="42" customHeight="1">
      <c r="A4242" s="2" t="s">
        <v>8574</v>
      </c>
      <c r="B4242" s="2" t="s">
        <v>8574</v>
      </c>
      <c r="C4242" s="2" t="s">
        <v>17</v>
      </c>
      <c r="D4242" s="2" t="s">
        <v>18</v>
      </c>
      <c r="E4242" s="5">
        <v>-28559</v>
      </c>
      <c r="F4242" s="3" t="s">
        <v>1078</v>
      </c>
      <c r="G4242" s="3" t="s">
        <v>20</v>
      </c>
      <c r="H4242" s="2" t="s">
        <v>21</v>
      </c>
      <c r="I4242" s="2" t="s">
        <v>8612</v>
      </c>
      <c r="J4242" s="3" t="str">
        <f>HYPERLINK("https://www.boe.es/gazeta/dias/1821/10/21/pdfs/GMD-1821-300.pdf#page=3","Abrir facsímil")</f>
        <v>Abrir facsímil</v>
      </c>
      <c r="K4242" s="3" t="s">
        <v>23</v>
      </c>
    </row>
    <row r="4243" spans="1:11" ht="42" customHeight="1">
      <c r="A4243" s="2" t="s">
        <v>8574</v>
      </c>
      <c r="B4243" s="2" t="s">
        <v>8574</v>
      </c>
      <c r="C4243" s="2" t="s">
        <v>26</v>
      </c>
      <c r="D4243" s="2" t="s">
        <v>27</v>
      </c>
      <c r="E4243" s="5">
        <v>-28559</v>
      </c>
      <c r="F4243" s="3" t="s">
        <v>1078</v>
      </c>
      <c r="G4243" s="3" t="s">
        <v>162</v>
      </c>
      <c r="H4243" s="2" t="s">
        <v>21</v>
      </c>
      <c r="I4243" s="2" t="s">
        <v>8613</v>
      </c>
      <c r="J4243" s="3" t="str">
        <f>HYPERLINK("https://www.boe.es/gazeta/dias/1821/10/21/pdfs/GMD-1821-300.pdf#page=5","Abrir facsímil")</f>
        <v>Abrir facsímil</v>
      </c>
      <c r="K4243" s="3" t="s">
        <v>23</v>
      </c>
    </row>
    <row r="4244" spans="1:11" ht="42" customHeight="1">
      <c r="A4244" s="2" t="s">
        <v>8574</v>
      </c>
      <c r="B4244" s="2" t="s">
        <v>8574</v>
      </c>
      <c r="C4244" s="2" t="s">
        <v>17</v>
      </c>
      <c r="D4244" s="2" t="s">
        <v>18</v>
      </c>
      <c r="E4244" s="5">
        <v>-28556</v>
      </c>
      <c r="F4244" s="3" t="s">
        <v>264</v>
      </c>
      <c r="G4244" s="3" t="s">
        <v>20</v>
      </c>
      <c r="H4244" s="2" t="s">
        <v>21</v>
      </c>
      <c r="I4244" s="2" t="s">
        <v>8614</v>
      </c>
      <c r="J4244" s="3" t="str">
        <f>HYPERLINK("https://www.boe.es/gazeta/dias/1821/10/24/pdfs/GMD-1821-303.pdf#page=3","Abrir facsímil")</f>
        <v>Abrir facsímil</v>
      </c>
      <c r="K4244" s="3" t="s">
        <v>23</v>
      </c>
    </row>
    <row r="4245" spans="1:11" ht="42" customHeight="1">
      <c r="A4245" s="2" t="s">
        <v>8574</v>
      </c>
      <c r="B4245" s="2" t="s">
        <v>8574</v>
      </c>
      <c r="C4245" s="2" t="s">
        <v>17</v>
      </c>
      <c r="D4245" s="2" t="s">
        <v>18</v>
      </c>
      <c r="E4245" s="5">
        <v>-28556</v>
      </c>
      <c r="F4245" s="3" t="s">
        <v>264</v>
      </c>
      <c r="G4245" s="3" t="s">
        <v>88</v>
      </c>
      <c r="H4245" s="2" t="s">
        <v>21</v>
      </c>
      <c r="I4245" s="2" t="s">
        <v>8615</v>
      </c>
      <c r="J4245" s="3" t="str">
        <f>HYPERLINK("https://www.boe.es/gazeta/dias/1821/10/24/pdfs/GMD-1821-303.pdf#page=4","Abrir facsímil")</f>
        <v>Abrir facsímil</v>
      </c>
      <c r="K4245" s="3" t="s">
        <v>23</v>
      </c>
    </row>
    <row r="4246" spans="1:11" ht="42" customHeight="1">
      <c r="A4246" s="2" t="s">
        <v>8574</v>
      </c>
      <c r="B4246" s="2" t="s">
        <v>8574</v>
      </c>
      <c r="C4246" s="2" t="s">
        <v>35</v>
      </c>
      <c r="D4246" s="2" t="s">
        <v>27</v>
      </c>
      <c r="E4246" s="5">
        <v>-28550</v>
      </c>
      <c r="F4246" s="3" t="s">
        <v>546</v>
      </c>
      <c r="G4246" s="3" t="s">
        <v>162</v>
      </c>
      <c r="H4246" s="2" t="s">
        <v>21</v>
      </c>
      <c r="I4246" s="2" t="s">
        <v>8616</v>
      </c>
      <c r="J4246" s="3" t="str">
        <f>HYPERLINK("https://www.boe.es/gazeta/dias/1821/10/30/pdfs/GMD-1821-309.pdf#page=5","Abrir facsímil")</f>
        <v>Abrir facsímil</v>
      </c>
      <c r="K4246" s="3" t="s">
        <v>23</v>
      </c>
    </row>
    <row r="4247" spans="1:11" ht="42" customHeight="1">
      <c r="A4247" s="2" t="s">
        <v>8574</v>
      </c>
      <c r="B4247" s="2" t="s">
        <v>8574</v>
      </c>
      <c r="C4247" s="2" t="s">
        <v>174</v>
      </c>
      <c r="D4247" s="2" t="s">
        <v>27</v>
      </c>
      <c r="E4247" s="5">
        <v>-28548</v>
      </c>
      <c r="F4247" s="3" t="s">
        <v>782</v>
      </c>
      <c r="G4247" s="3" t="s">
        <v>88</v>
      </c>
      <c r="H4247" s="2" t="s">
        <v>21</v>
      </c>
      <c r="I4247" s="2" t="s">
        <v>8617</v>
      </c>
      <c r="J4247" s="3" t="str">
        <f>HYPERLINK("https://www.boe.es/gazeta/dias/1821/11/01/pdfs/GMD-1821-311.pdf#page=4","Abrir facsímil")</f>
        <v>Abrir facsímil</v>
      </c>
      <c r="K4247" s="3" t="s">
        <v>23</v>
      </c>
    </row>
    <row r="4248" spans="1:11" ht="42" customHeight="1">
      <c r="A4248" s="2" t="s">
        <v>8574</v>
      </c>
      <c r="B4248" s="2" t="s">
        <v>8574</v>
      </c>
      <c r="C4248" s="2" t="s">
        <v>35</v>
      </c>
      <c r="D4248" s="2" t="s">
        <v>27</v>
      </c>
      <c r="E4248" s="5">
        <v>-28544</v>
      </c>
      <c r="F4248" s="3" t="s">
        <v>139</v>
      </c>
      <c r="G4248" s="3" t="s">
        <v>52</v>
      </c>
      <c r="H4248" s="2" t="s">
        <v>21</v>
      </c>
      <c r="I4248" s="2" t="s">
        <v>8618</v>
      </c>
      <c r="J4248" s="3" t="str">
        <f>HYPERLINK("https://www.boe.es/gazeta/dias/1821/11/05/pdfs/GMD-1821-316.pdf#page=2","Abrir facsímil")</f>
        <v>Abrir facsímil</v>
      </c>
      <c r="K4248" s="3" t="s">
        <v>23</v>
      </c>
    </row>
    <row r="4249" spans="1:11" ht="42" customHeight="1">
      <c r="A4249" s="2" t="s">
        <v>8574</v>
      </c>
      <c r="B4249" s="2" t="s">
        <v>8574</v>
      </c>
      <c r="C4249" s="2" t="s">
        <v>17</v>
      </c>
      <c r="D4249" s="2" t="s">
        <v>18</v>
      </c>
      <c r="E4249" s="5">
        <v>-28544</v>
      </c>
      <c r="F4249" s="3" t="s">
        <v>139</v>
      </c>
      <c r="G4249" s="3" t="s">
        <v>20</v>
      </c>
      <c r="H4249" s="2" t="s">
        <v>21</v>
      </c>
      <c r="I4249" s="2" t="s">
        <v>8619</v>
      </c>
      <c r="J4249" s="3" t="str">
        <f>HYPERLINK("https://www.boe.es/gazeta/dias/1821/11/05/pdfs/GMD-1821-316.pdf#page=3","Abrir facsímil")</f>
        <v>Abrir facsímil</v>
      </c>
      <c r="K4249" s="3" t="s">
        <v>23</v>
      </c>
    </row>
    <row r="4250" spans="1:11" ht="42" customHeight="1">
      <c r="A4250" s="2" t="s">
        <v>8574</v>
      </c>
      <c r="B4250" s="2" t="s">
        <v>8574</v>
      </c>
      <c r="C4250" s="2" t="s">
        <v>114</v>
      </c>
      <c r="D4250" s="2" t="s">
        <v>27</v>
      </c>
      <c r="E4250" s="5">
        <v>-28540</v>
      </c>
      <c r="F4250" s="3" t="s">
        <v>2672</v>
      </c>
      <c r="G4250" s="3" t="s">
        <v>162</v>
      </c>
      <c r="H4250" s="2" t="s">
        <v>21</v>
      </c>
      <c r="I4250" s="2" t="s">
        <v>8620</v>
      </c>
      <c r="J4250" s="3" t="str">
        <f>HYPERLINK("https://www.boe.es/gazeta/dias/1821/11/09/pdfs/GMD-1821-320.pdf#page=5","Abrir facsímil")</f>
        <v>Abrir facsímil</v>
      </c>
      <c r="K4250" s="3" t="s">
        <v>23</v>
      </c>
    </row>
    <row r="4251" spans="1:11" ht="42" customHeight="1">
      <c r="A4251" s="2" t="s">
        <v>8574</v>
      </c>
      <c r="B4251" s="2" t="s">
        <v>8574</v>
      </c>
      <c r="C4251" s="2" t="s">
        <v>26</v>
      </c>
      <c r="D4251" s="2" t="s">
        <v>27</v>
      </c>
      <c r="E4251" s="5">
        <v>-28532</v>
      </c>
      <c r="F4251" s="3" t="s">
        <v>1415</v>
      </c>
      <c r="G4251" s="3" t="s">
        <v>88</v>
      </c>
      <c r="H4251" s="2" t="s">
        <v>21</v>
      </c>
      <c r="I4251" s="2" t="s">
        <v>8621</v>
      </c>
      <c r="J4251" s="3" t="str">
        <f>HYPERLINK("https://www.boe.es/gazeta/dias/1821/11/17/pdfs/GMD-1821-328.pdf#page=4","Abrir facsímil")</f>
        <v>Abrir facsímil</v>
      </c>
      <c r="K4251" s="3" t="s">
        <v>23</v>
      </c>
    </row>
    <row r="4252" spans="1:11" ht="42" customHeight="1">
      <c r="A4252" s="2" t="s">
        <v>8574</v>
      </c>
      <c r="B4252" s="2" t="s">
        <v>8574</v>
      </c>
      <c r="C4252" s="2" t="s">
        <v>17</v>
      </c>
      <c r="D4252" s="2" t="s">
        <v>18</v>
      </c>
      <c r="E4252" s="5">
        <v>-28513</v>
      </c>
      <c r="F4252" s="3" t="s">
        <v>502</v>
      </c>
      <c r="G4252" s="3" t="s">
        <v>88</v>
      </c>
      <c r="H4252" s="2" t="s">
        <v>21</v>
      </c>
      <c r="I4252" s="2" t="s">
        <v>8622</v>
      </c>
      <c r="J4252" s="3" t="str">
        <f>HYPERLINK("https://www.boe.es/gazeta/dias/1821/12/06/pdfs/GMD-1821-348.pdf#page=4","Abrir facsímil")</f>
        <v>Abrir facsímil</v>
      </c>
      <c r="K4252" s="3" t="s">
        <v>23</v>
      </c>
    </row>
    <row r="4253" spans="1:11" ht="42" customHeight="1">
      <c r="A4253" s="2" t="s">
        <v>8574</v>
      </c>
      <c r="B4253" s="2" t="s">
        <v>8574</v>
      </c>
      <c r="C4253" s="2" t="s">
        <v>26</v>
      </c>
      <c r="D4253" s="2" t="s">
        <v>27</v>
      </c>
      <c r="E4253" s="5">
        <v>-28509</v>
      </c>
      <c r="F4253" s="3" t="s">
        <v>388</v>
      </c>
      <c r="G4253" s="3" t="s">
        <v>609</v>
      </c>
      <c r="H4253" s="2" t="s">
        <v>21</v>
      </c>
      <c r="I4253" s="2" t="s">
        <v>8623</v>
      </c>
      <c r="J4253" s="3" t="str">
        <f>HYPERLINK("https://www.boe.es/gazeta/dias/1821/12/10/pdfs/GMD-1821-352.pdf#page=7","Abrir facsímil")</f>
        <v>Abrir facsímil</v>
      </c>
      <c r="K4253" s="3" t="s">
        <v>23</v>
      </c>
    </row>
    <row r="4254" spans="1:11" ht="42" customHeight="1">
      <c r="A4254" s="2" t="s">
        <v>8574</v>
      </c>
      <c r="B4254" s="2" t="s">
        <v>8574</v>
      </c>
      <c r="C4254" s="2" t="s">
        <v>35</v>
      </c>
      <c r="D4254" s="2" t="s">
        <v>27</v>
      </c>
      <c r="E4254" s="5">
        <v>-28509</v>
      </c>
      <c r="F4254" s="3" t="s">
        <v>388</v>
      </c>
      <c r="G4254" s="3" t="s">
        <v>333</v>
      </c>
      <c r="H4254" s="2" t="s">
        <v>21</v>
      </c>
      <c r="I4254" s="2" t="s">
        <v>8624</v>
      </c>
      <c r="J4254" s="3" t="str">
        <f>HYPERLINK("https://www.boe.es/gazeta/dias/1821/12/10/pdfs/GMD-1821-352.pdf#page=8","Abrir facsímil")</f>
        <v>Abrir facsímil</v>
      </c>
      <c r="K4254" s="3" t="s">
        <v>23</v>
      </c>
    </row>
    <row r="4255" spans="1:11" ht="42" customHeight="1">
      <c r="A4255" s="2" t="s">
        <v>8574</v>
      </c>
      <c r="B4255" s="2" t="s">
        <v>8574</v>
      </c>
      <c r="C4255" s="2" t="s">
        <v>17</v>
      </c>
      <c r="D4255" s="2" t="s">
        <v>18</v>
      </c>
      <c r="E4255" s="5">
        <v>-28503</v>
      </c>
      <c r="F4255" s="3" t="s">
        <v>947</v>
      </c>
      <c r="G4255" s="3" t="s">
        <v>88</v>
      </c>
      <c r="H4255" s="2" t="s">
        <v>21</v>
      </c>
      <c r="I4255" s="2" t="s">
        <v>8625</v>
      </c>
      <c r="J4255" s="3" t="str">
        <f>HYPERLINK("https://www.boe.es/gazeta/dias/1821/12/16/pdfs/GMD-1821-359.pdf#page=4","Abrir facsímil")</f>
        <v>Abrir facsímil</v>
      </c>
      <c r="K4255" s="3" t="s">
        <v>23</v>
      </c>
    </row>
    <row r="4256" spans="1:11" ht="42" customHeight="1">
      <c r="A4256" s="2" t="s">
        <v>8574</v>
      </c>
      <c r="B4256" s="2" t="s">
        <v>8574</v>
      </c>
      <c r="C4256" s="2" t="s">
        <v>17</v>
      </c>
      <c r="D4256" s="2" t="s">
        <v>18</v>
      </c>
      <c r="E4256" s="5">
        <v>-28501</v>
      </c>
      <c r="F4256" s="3" t="s">
        <v>456</v>
      </c>
      <c r="G4256" s="3" t="s">
        <v>457</v>
      </c>
      <c r="H4256" s="2" t="s">
        <v>21</v>
      </c>
      <c r="I4256" s="2" t="s">
        <v>8626</v>
      </c>
      <c r="J4256" s="3" t="str">
        <f>HYPERLINK("https://www.boe.es/gazeta/dias/1821/12/18/pdfs/GMD-1821-361.pdf#page=5","Abrir facsímil")</f>
        <v>Abrir facsímil</v>
      </c>
      <c r="K4256" s="3" t="s">
        <v>23</v>
      </c>
    </row>
    <row r="4257" spans="1:11" ht="42" customHeight="1">
      <c r="A4257" s="2" t="s">
        <v>8574</v>
      </c>
      <c r="B4257" s="2" t="s">
        <v>8574</v>
      </c>
      <c r="C4257" s="2" t="s">
        <v>40</v>
      </c>
      <c r="D4257" s="2" t="s">
        <v>41</v>
      </c>
      <c r="E4257" s="5">
        <v>-28499</v>
      </c>
      <c r="F4257" s="3" t="s">
        <v>954</v>
      </c>
      <c r="G4257" s="3" t="s">
        <v>20</v>
      </c>
      <c r="H4257" s="2" t="s">
        <v>21</v>
      </c>
      <c r="I4257" s="2" t="s">
        <v>8627</v>
      </c>
      <c r="J4257" s="3" t="str">
        <f>HYPERLINK("https://www.boe.es/gazeta/dias/1821/12/20/pdfs/GMD-1821-363.pdf#page=3","Abrir facsímil")</f>
        <v>Abrir facsímil</v>
      </c>
      <c r="K4257" s="3" t="s">
        <v>23</v>
      </c>
    </row>
    <row r="4258" spans="1:11" ht="42" customHeight="1">
      <c r="A4258" s="2" t="s">
        <v>8574</v>
      </c>
      <c r="B4258" s="2" t="s">
        <v>8574</v>
      </c>
      <c r="C4258" s="2" t="s">
        <v>70</v>
      </c>
      <c r="D4258" s="2" t="s">
        <v>27</v>
      </c>
      <c r="E4258" s="5">
        <v>-28496</v>
      </c>
      <c r="F4258" s="3" t="s">
        <v>785</v>
      </c>
      <c r="G4258" s="3" t="s">
        <v>886</v>
      </c>
      <c r="H4258" s="2" t="s">
        <v>21</v>
      </c>
      <c r="I4258" s="2" t="s">
        <v>8628</v>
      </c>
      <c r="J4258" s="3" t="str">
        <f>HYPERLINK("https://www.boe.es/gazeta/dias/1821/12/23/pdfs/GMD-1821-366.pdf#page=5","Abrir facsímil")</f>
        <v>Abrir facsímil</v>
      </c>
      <c r="K4258" s="3" t="s">
        <v>23</v>
      </c>
    </row>
    <row r="4259" spans="1:11" ht="42" customHeight="1">
      <c r="A4259" s="2" t="s">
        <v>8574</v>
      </c>
      <c r="B4259" s="2" t="s">
        <v>8574</v>
      </c>
      <c r="C4259" s="2" t="s">
        <v>35</v>
      </c>
      <c r="D4259" s="2" t="s">
        <v>27</v>
      </c>
      <c r="E4259" s="5">
        <v>-28496</v>
      </c>
      <c r="F4259" s="3" t="s">
        <v>785</v>
      </c>
      <c r="G4259" s="3" t="s">
        <v>88</v>
      </c>
      <c r="H4259" s="2" t="s">
        <v>21</v>
      </c>
      <c r="I4259" s="2" t="s">
        <v>8629</v>
      </c>
      <c r="J4259" s="3" t="str">
        <f>HYPERLINK("https://www.boe.es/gazeta/dias/1821/12/23/pdfs/GMD-1821-366.pdf#page=4","Abrir facsímil")</f>
        <v>Abrir facsímil</v>
      </c>
      <c r="K4259" s="3" t="s">
        <v>23</v>
      </c>
    </row>
    <row r="4260" spans="1:11" ht="42" customHeight="1">
      <c r="A4260" s="2" t="s">
        <v>8574</v>
      </c>
      <c r="B4260" s="2" t="s">
        <v>8574</v>
      </c>
      <c r="C4260" s="2" t="s">
        <v>40</v>
      </c>
      <c r="D4260" s="2" t="s">
        <v>41</v>
      </c>
      <c r="E4260" s="5">
        <v>-28492</v>
      </c>
      <c r="F4260" s="3" t="s">
        <v>1550</v>
      </c>
      <c r="G4260" s="3" t="s">
        <v>52</v>
      </c>
      <c r="H4260" s="2" t="s">
        <v>21</v>
      </c>
      <c r="I4260" s="2" t="s">
        <v>8630</v>
      </c>
      <c r="J4260" s="3" t="str">
        <f>HYPERLINK("https://www.boe.es/gazeta/dias/1821/12/27/pdfs/GMD-1821-370.pdf#page=2","Abrir facsímil")</f>
        <v>Abrir facsímil</v>
      </c>
      <c r="K4260" s="3" t="s">
        <v>23</v>
      </c>
    </row>
    <row r="4261" spans="1:11" ht="42" customHeight="1">
      <c r="A4261" s="2" t="s">
        <v>8574</v>
      </c>
      <c r="B4261" s="2" t="s">
        <v>8574</v>
      </c>
      <c r="C4261" s="2" t="s">
        <v>40</v>
      </c>
      <c r="D4261" s="2" t="s">
        <v>41</v>
      </c>
      <c r="E4261" s="5">
        <v>-28490</v>
      </c>
      <c r="F4261" s="3" t="s">
        <v>801</v>
      </c>
      <c r="G4261" s="3" t="s">
        <v>802</v>
      </c>
      <c r="H4261" s="2" t="s">
        <v>21</v>
      </c>
      <c r="I4261" s="2" t="s">
        <v>8631</v>
      </c>
      <c r="J4261" s="3" t="str">
        <f>HYPERLINK("https://www.boe.es/gazeta/dias/1821/12/29/pdfs/GMD-1821-372.pdf#page=3","Abrir facsímil")</f>
        <v>Abrir facsímil</v>
      </c>
      <c r="K4261" s="3" t="s">
        <v>23</v>
      </c>
    </row>
    <row r="4262" spans="1:11" ht="42" customHeight="1">
      <c r="A4262" s="2" t="s">
        <v>8574</v>
      </c>
      <c r="B4262" s="2" t="s">
        <v>8574</v>
      </c>
      <c r="C4262" s="2" t="s">
        <v>40</v>
      </c>
      <c r="D4262" s="2" t="s">
        <v>41</v>
      </c>
      <c r="E4262" s="5">
        <v>-28489</v>
      </c>
      <c r="F4262" s="3" t="s">
        <v>3894</v>
      </c>
      <c r="G4262" s="3" t="s">
        <v>88</v>
      </c>
      <c r="H4262" s="2" t="s">
        <v>21</v>
      </c>
      <c r="I4262" s="2" t="s">
        <v>8632</v>
      </c>
      <c r="J4262" s="3" t="str">
        <f>HYPERLINK("https://www.boe.es/gazeta/dias/1821/12/30/pdfs/GMD-1821-373.pdf#page=4","Abrir facsímil")</f>
        <v>Abrir facsímil</v>
      </c>
      <c r="K4262" s="3" t="s">
        <v>23</v>
      </c>
    </row>
    <row r="4263" spans="1:11" ht="42" customHeight="1">
      <c r="A4263" s="2" t="s">
        <v>8633</v>
      </c>
      <c r="B4263" s="2" t="s">
        <v>8634</v>
      </c>
      <c r="C4263" s="2" t="s">
        <v>40</v>
      </c>
      <c r="D4263" s="2" t="s">
        <v>41</v>
      </c>
      <c r="E4263" s="5">
        <v>-28531</v>
      </c>
      <c r="F4263" s="3" t="s">
        <v>365</v>
      </c>
      <c r="G4263" s="3" t="s">
        <v>20</v>
      </c>
      <c r="H4263" s="2" t="s">
        <v>21</v>
      </c>
      <c r="I4263" s="2" t="s">
        <v>8635</v>
      </c>
      <c r="J4263" s="3" t="str">
        <f>HYPERLINK("https://www.boe.es/gazeta/dias/1821/11/18/pdfs/GMD-1821-329.pdf#page=3","Abrir facsímil")</f>
        <v>Abrir facsímil</v>
      </c>
      <c r="K4263" s="3" t="s">
        <v>23</v>
      </c>
    </row>
    <row r="4264" spans="1:11" ht="42" customHeight="1">
      <c r="A4264" s="2" t="s">
        <v>8636</v>
      </c>
      <c r="B4264" s="2" t="s">
        <v>8637</v>
      </c>
      <c r="C4264" s="2" t="s">
        <v>40</v>
      </c>
      <c r="D4264" s="2" t="s">
        <v>41</v>
      </c>
      <c r="E4264" s="5">
        <v>-28662</v>
      </c>
      <c r="F4264" s="3" t="s">
        <v>3289</v>
      </c>
      <c r="G4264" s="3" t="s">
        <v>88</v>
      </c>
      <c r="H4264" s="2" t="s">
        <v>21</v>
      </c>
      <c r="I4264" s="2" t="s">
        <v>8638</v>
      </c>
      <c r="J4264" s="3" t="str">
        <f>HYPERLINK("https://www.boe.es/gazeta/dias/1821/07/10/pdfs/GMD-1821-195.pdf#page=4","Abrir facsímil")</f>
        <v>Abrir facsímil</v>
      </c>
      <c r="K4264" s="3" t="s">
        <v>23</v>
      </c>
    </row>
    <row r="4265" spans="1:11" ht="42" customHeight="1">
      <c r="A4265" s="2" t="s">
        <v>8639</v>
      </c>
      <c r="B4265" s="2" t="s">
        <v>8640</v>
      </c>
      <c r="C4265" s="2" t="s">
        <v>40</v>
      </c>
      <c r="D4265" s="2" t="s">
        <v>41</v>
      </c>
      <c r="E4265" s="5">
        <v>-28616</v>
      </c>
      <c r="F4265" s="3" t="s">
        <v>1912</v>
      </c>
      <c r="G4265" s="3" t="s">
        <v>1913</v>
      </c>
      <c r="H4265" s="2" t="s">
        <v>21</v>
      </c>
      <c r="I4265" s="2" t="s">
        <v>8641</v>
      </c>
      <c r="J4265" s="3" t="str">
        <f>HYPERLINK("https://www.boe.es/gazeta/dias/1821/08/25/pdfs/GMD-1821-242.pdf#page=3","Abrir facsímil")</f>
        <v>Abrir facsímil</v>
      </c>
      <c r="K4265" s="3" t="s">
        <v>23</v>
      </c>
    </row>
    <row r="4266" spans="1:11" ht="42" customHeight="1">
      <c r="A4266" s="2" t="s">
        <v>8642</v>
      </c>
      <c r="B4266" s="2" t="s">
        <v>8642</v>
      </c>
      <c r="C4266" s="2" t="s">
        <v>279</v>
      </c>
      <c r="D4266" s="2" t="s">
        <v>27</v>
      </c>
      <c r="E4266" s="5">
        <v>-28775</v>
      </c>
      <c r="F4266" s="3" t="s">
        <v>132</v>
      </c>
      <c r="G4266" s="3" t="s">
        <v>43</v>
      </c>
      <c r="H4266" s="2" t="s">
        <v>21</v>
      </c>
      <c r="I4266" s="2" t="s">
        <v>8643</v>
      </c>
      <c r="J4266" s="3" t="str">
        <f>HYPERLINK("https://www.boe.es/gazeta/dias/1821/03/19/pdfs/GMD-1821-78.pdf#page=1","Abrir facsímil")</f>
        <v>Abrir facsímil</v>
      </c>
      <c r="K4266" s="3" t="s">
        <v>23</v>
      </c>
    </row>
    <row r="4267" spans="1:11" ht="42" customHeight="1">
      <c r="A4267" s="2" t="s">
        <v>8644</v>
      </c>
      <c r="B4267" s="2" t="s">
        <v>8644</v>
      </c>
      <c r="C4267" s="2" t="s">
        <v>26</v>
      </c>
      <c r="D4267" s="2" t="s">
        <v>27</v>
      </c>
      <c r="E4267" s="5">
        <v>-28527</v>
      </c>
      <c r="F4267" s="3" t="s">
        <v>328</v>
      </c>
      <c r="G4267" s="3" t="s">
        <v>88</v>
      </c>
      <c r="H4267" s="2" t="s">
        <v>21</v>
      </c>
      <c r="I4267" s="2" t="s">
        <v>8645</v>
      </c>
      <c r="J4267" s="3" t="str">
        <f>HYPERLINK("https://www.boe.es/gazeta/dias/1821/11/22/pdfs/GMD-1821-333.pdf#page=4","Abrir facsímil")</f>
        <v>Abrir facsímil</v>
      </c>
      <c r="K4267" s="3" t="s">
        <v>23</v>
      </c>
    </row>
    <row r="4268" spans="1:11" ht="42" customHeight="1">
      <c r="A4268" s="2" t="s">
        <v>8646</v>
      </c>
      <c r="B4268" s="2" t="s">
        <v>8647</v>
      </c>
      <c r="C4268" s="2" t="s">
        <v>70</v>
      </c>
      <c r="D4268" s="2" t="s">
        <v>27</v>
      </c>
      <c r="E4268" s="5">
        <v>-28530</v>
      </c>
      <c r="F4268" s="3" t="s">
        <v>237</v>
      </c>
      <c r="G4268" s="3" t="s">
        <v>52</v>
      </c>
      <c r="H4268" s="2" t="s">
        <v>21</v>
      </c>
      <c r="I4268" s="2" t="s">
        <v>8648</v>
      </c>
      <c r="J4268" s="3" t="str">
        <f>HYPERLINK("https://www.boe.es/gazeta/dias/1821/11/19/pdfs/GMD-1821-330.pdf#page=2","Abrir facsímil")</f>
        <v>Abrir facsímil</v>
      </c>
      <c r="K4268" s="3" t="s">
        <v>23</v>
      </c>
    </row>
    <row r="4269" spans="1:11" ht="42" customHeight="1">
      <c r="A4269" s="2" t="s">
        <v>8649</v>
      </c>
      <c r="B4269" s="2" t="s">
        <v>8650</v>
      </c>
      <c r="C4269" s="2" t="s">
        <v>40</v>
      </c>
      <c r="D4269" s="2" t="s">
        <v>41</v>
      </c>
      <c r="E4269" s="5">
        <v>-28734</v>
      </c>
      <c r="F4269" s="3" t="s">
        <v>1553</v>
      </c>
      <c r="G4269" s="3" t="s">
        <v>2625</v>
      </c>
      <c r="H4269" s="2" t="s">
        <v>21</v>
      </c>
      <c r="I4269" s="2" t="s">
        <v>8651</v>
      </c>
      <c r="J4269" s="3" t="str">
        <f>HYPERLINK("https://www.boe.es/gazeta/dias/1821/04/29/pdfs/GMD-1821-121.pdf#page=2","Abrir facsímil")</f>
        <v>Abrir facsímil</v>
      </c>
      <c r="K4269" s="3" t="s">
        <v>23</v>
      </c>
    </row>
    <row r="4270" spans="1:11" ht="42" customHeight="1">
      <c r="A4270" s="2" t="s">
        <v>8652</v>
      </c>
      <c r="B4270" s="2" t="s">
        <v>8653</v>
      </c>
      <c r="C4270" s="2" t="s">
        <v>40</v>
      </c>
      <c r="D4270" s="2" t="s">
        <v>41</v>
      </c>
      <c r="E4270" s="5">
        <v>-28734</v>
      </c>
      <c r="F4270" s="3" t="s">
        <v>1553</v>
      </c>
      <c r="G4270" s="3" t="s">
        <v>2625</v>
      </c>
      <c r="H4270" s="2" t="s">
        <v>21</v>
      </c>
      <c r="I4270" s="2" t="s">
        <v>8654</v>
      </c>
      <c r="J4270" s="3" t="str">
        <f>HYPERLINK("https://www.boe.es/gazeta/dias/1821/04/29/pdfs/GMD-1821-121.pdf#page=2","Abrir facsímil")</f>
        <v>Abrir facsímil</v>
      </c>
      <c r="K4270" s="3" t="s">
        <v>23</v>
      </c>
    </row>
    <row r="4271" spans="1:11" ht="42" customHeight="1">
      <c r="A4271" s="2" t="s">
        <v>8655</v>
      </c>
      <c r="B4271" s="2" t="s">
        <v>8656</v>
      </c>
      <c r="C4271" s="2" t="s">
        <v>40</v>
      </c>
      <c r="D4271" s="2" t="s">
        <v>41</v>
      </c>
      <c r="E4271" s="5">
        <v>-28760</v>
      </c>
      <c r="F4271" s="3" t="s">
        <v>170</v>
      </c>
      <c r="G4271" s="3" t="s">
        <v>88</v>
      </c>
      <c r="H4271" s="2" t="s">
        <v>21</v>
      </c>
      <c r="I4271" s="2" t="s">
        <v>8657</v>
      </c>
      <c r="J4271" s="3" t="str">
        <f>HYPERLINK("https://www.boe.es/gazeta/dias/1821/04/03/pdfs/GMD-1821-95.pdf#page=4","Abrir facsímil")</f>
        <v>Abrir facsímil</v>
      </c>
      <c r="K4271" s="3" t="s">
        <v>23</v>
      </c>
    </row>
    <row r="4272" spans="1:11" ht="42" customHeight="1">
      <c r="A4272" s="2" t="s">
        <v>8658</v>
      </c>
      <c r="B4272" s="2" t="s">
        <v>8659</v>
      </c>
      <c r="C4272" s="2" t="s">
        <v>26</v>
      </c>
      <c r="D4272" s="2" t="s">
        <v>27</v>
      </c>
      <c r="E4272" s="5">
        <v>-28565</v>
      </c>
      <c r="F4272" s="3" t="s">
        <v>326</v>
      </c>
      <c r="G4272" s="3" t="s">
        <v>162</v>
      </c>
      <c r="H4272" s="2" t="s">
        <v>21</v>
      </c>
      <c r="I4272" s="2" t="s">
        <v>8660</v>
      </c>
      <c r="J4272" s="3" t="str">
        <f>HYPERLINK("https://www.boe.es/gazeta/dias/1821/10/15/pdfs/GMD-1821-294.pdf#page=5","Abrir facsímil")</f>
        <v>Abrir facsímil</v>
      </c>
      <c r="K4272" s="3" t="s">
        <v>23</v>
      </c>
    </row>
    <row r="4273" spans="1:11" ht="42" customHeight="1">
      <c r="A4273" s="2" t="s">
        <v>8661</v>
      </c>
      <c r="B4273" s="2" t="s">
        <v>8662</v>
      </c>
      <c r="C4273" s="2" t="s">
        <v>35</v>
      </c>
      <c r="D4273" s="2" t="s">
        <v>27</v>
      </c>
      <c r="E4273" s="5">
        <v>-28536</v>
      </c>
      <c r="F4273" s="3" t="s">
        <v>553</v>
      </c>
      <c r="G4273" s="3" t="s">
        <v>52</v>
      </c>
      <c r="H4273" s="2" t="s">
        <v>21</v>
      </c>
      <c r="I4273" s="2" t="s">
        <v>8663</v>
      </c>
      <c r="J4273" s="3" t="str">
        <f>HYPERLINK("https://www.boe.es/gazeta/dias/1821/11/13/pdfs/GMD-1821-324.pdf#page=2","Abrir facsímil")</f>
        <v>Abrir facsímil</v>
      </c>
      <c r="K4273" s="3" t="s">
        <v>23</v>
      </c>
    </row>
    <row r="4274" spans="1:11" ht="42" customHeight="1">
      <c r="A4274" s="2" t="s">
        <v>8664</v>
      </c>
      <c r="B4274" s="2" t="s">
        <v>8664</v>
      </c>
      <c r="C4274" s="2" t="s">
        <v>26</v>
      </c>
      <c r="D4274" s="2" t="s">
        <v>27</v>
      </c>
      <c r="E4274" s="5">
        <v>-28773</v>
      </c>
      <c r="F4274" s="3" t="s">
        <v>1755</v>
      </c>
      <c r="G4274" s="3" t="s">
        <v>20</v>
      </c>
      <c r="H4274" s="2" t="s">
        <v>21</v>
      </c>
      <c r="I4274" s="2" t="s">
        <v>8665</v>
      </c>
      <c r="J4274" s="3" t="str">
        <f>HYPERLINK("https://www.boe.es/gazeta/dias/1821/03/21/pdfs/GMD-1821-80.pdf#page=3","Abrir facsímil")</f>
        <v>Abrir facsímil</v>
      </c>
      <c r="K4274" s="3" t="s">
        <v>23</v>
      </c>
    </row>
    <row r="4275" spans="1:11" ht="42" customHeight="1">
      <c r="A4275" s="2" t="s">
        <v>8666</v>
      </c>
      <c r="B4275" s="2" t="s">
        <v>8666</v>
      </c>
      <c r="C4275" s="2" t="s">
        <v>494</v>
      </c>
      <c r="D4275" s="2" t="s">
        <v>18</v>
      </c>
      <c r="E4275" s="5">
        <v>-28569</v>
      </c>
      <c r="F4275" s="3" t="s">
        <v>512</v>
      </c>
      <c r="G4275" s="3" t="s">
        <v>29</v>
      </c>
      <c r="H4275" s="2" t="s">
        <v>21</v>
      </c>
      <c r="I4275" s="2" t="s">
        <v>8667</v>
      </c>
      <c r="J4275" s="3" t="str">
        <f>HYPERLINK("https://www.boe.es/gazeta/dias/1821/10/11/pdfs/GMD-1821-290.pdf#page=6","Abrir facsímil")</f>
        <v>Abrir facsímil</v>
      </c>
      <c r="K4275" s="3" t="s">
        <v>23</v>
      </c>
    </row>
    <row r="4276" spans="1:11" ht="42" customHeight="1">
      <c r="A4276" s="2" t="s">
        <v>8668</v>
      </c>
      <c r="B4276" s="2" t="s">
        <v>8669</v>
      </c>
      <c r="C4276" s="2" t="s">
        <v>174</v>
      </c>
      <c r="D4276" s="2" t="s">
        <v>27</v>
      </c>
      <c r="E4276" s="5">
        <v>-28693</v>
      </c>
      <c r="F4276" s="3" t="s">
        <v>74</v>
      </c>
      <c r="G4276" s="3" t="s">
        <v>52</v>
      </c>
      <c r="H4276" s="2" t="s">
        <v>21</v>
      </c>
      <c r="I4276" s="2" t="s">
        <v>8670</v>
      </c>
      <c r="J4276" s="3" t="str">
        <f>HYPERLINK("https://www.boe.es/gazeta/dias/1821/06/09/pdfs/GMD-1821-162.pdf#page=2","Abrir facsímil")</f>
        <v>Abrir facsímil</v>
      </c>
      <c r="K4276" s="3" t="s">
        <v>23</v>
      </c>
    </row>
    <row r="4277" spans="1:11" ht="42" customHeight="1">
      <c r="A4277" s="2" t="s">
        <v>8671</v>
      </c>
      <c r="B4277" s="2" t="s">
        <v>8672</v>
      </c>
      <c r="C4277" s="2" t="s">
        <v>26</v>
      </c>
      <c r="D4277" s="2" t="s">
        <v>27</v>
      </c>
      <c r="E4277" s="5">
        <v>-28541</v>
      </c>
      <c r="F4277" s="3" t="s">
        <v>275</v>
      </c>
      <c r="G4277" s="3" t="s">
        <v>52</v>
      </c>
      <c r="H4277" s="2" t="s">
        <v>21</v>
      </c>
      <c r="I4277" s="2" t="s">
        <v>8673</v>
      </c>
      <c r="J4277" s="3" t="str">
        <f>HYPERLINK("https://www.boe.es/gazeta/dias/1821/11/08/pdfs/GMD-1821-319.pdf#page=2","Abrir facsímil")</f>
        <v>Abrir facsímil</v>
      </c>
      <c r="K4277" s="3" t="s">
        <v>23</v>
      </c>
    </row>
    <row r="4278" spans="1:11" ht="42" customHeight="1">
      <c r="A4278" s="2" t="s">
        <v>8674</v>
      </c>
      <c r="B4278" s="2" t="s">
        <v>8674</v>
      </c>
      <c r="C4278" s="2" t="s">
        <v>26</v>
      </c>
      <c r="D4278" s="2" t="s">
        <v>27</v>
      </c>
      <c r="E4278" s="5">
        <v>-28820</v>
      </c>
      <c r="F4278" s="3" t="s">
        <v>1430</v>
      </c>
      <c r="G4278" s="3" t="s">
        <v>88</v>
      </c>
      <c r="H4278" s="2" t="s">
        <v>21</v>
      </c>
      <c r="I4278" s="2" t="s">
        <v>8675</v>
      </c>
      <c r="J4278" s="3" t="str">
        <f>HYPERLINK("https://www.boe.es/gazeta/dias/1821/02/02/pdfs/GGB-1821-33.pdf#page=4","Abrir facsímil")</f>
        <v>Abrir facsímil</v>
      </c>
      <c r="K4278" s="3" t="s">
        <v>23</v>
      </c>
    </row>
    <row r="4279" spans="1:11" ht="42" customHeight="1">
      <c r="A4279" s="2" t="s">
        <v>8674</v>
      </c>
      <c r="B4279" s="2" t="s">
        <v>8674</v>
      </c>
      <c r="C4279" s="2" t="s">
        <v>40</v>
      </c>
      <c r="D4279" s="2" t="s">
        <v>41</v>
      </c>
      <c r="E4279" s="5">
        <v>-28817</v>
      </c>
      <c r="F4279" s="3" t="s">
        <v>2703</v>
      </c>
      <c r="G4279" s="3" t="s">
        <v>52</v>
      </c>
      <c r="H4279" s="2" t="s">
        <v>21</v>
      </c>
      <c r="I4279" s="2" t="s">
        <v>8676</v>
      </c>
      <c r="J4279" s="3" t="str">
        <f>HYPERLINK("https://www.boe.es/gazeta/dias/1821/02/05/pdfs/GGB-1821-36.pdf#page=2","Abrir facsímil")</f>
        <v>Abrir facsímil</v>
      </c>
      <c r="K4279" s="3" t="s">
        <v>23</v>
      </c>
    </row>
    <row r="4280" spans="1:11" ht="42" customHeight="1">
      <c r="A4280" s="2" t="s">
        <v>8674</v>
      </c>
      <c r="B4280" s="2" t="s">
        <v>8674</v>
      </c>
      <c r="C4280" s="2" t="s">
        <v>17</v>
      </c>
      <c r="D4280" s="2" t="s">
        <v>18</v>
      </c>
      <c r="E4280" s="5">
        <v>-28811</v>
      </c>
      <c r="F4280" s="3" t="s">
        <v>5734</v>
      </c>
      <c r="G4280" s="3" t="s">
        <v>20</v>
      </c>
      <c r="H4280" s="2" t="s">
        <v>21</v>
      </c>
      <c r="I4280" s="2" t="s">
        <v>8677</v>
      </c>
      <c r="J4280" s="3" t="str">
        <f>HYPERLINK("https://www.boe.es/gazeta/dias/1821/02/11/pdfs/GGB-1821-42.pdf#page=3","Abrir facsímil")</f>
        <v>Abrir facsímil</v>
      </c>
      <c r="K4280" s="3" t="s">
        <v>23</v>
      </c>
    </row>
    <row r="4281" spans="1:11" ht="42" customHeight="1">
      <c r="A4281" s="2" t="s">
        <v>8674</v>
      </c>
      <c r="B4281" s="2" t="s">
        <v>8674</v>
      </c>
      <c r="C4281" s="2" t="s">
        <v>17</v>
      </c>
      <c r="D4281" s="2" t="s">
        <v>18</v>
      </c>
      <c r="E4281" s="5">
        <v>-28792</v>
      </c>
      <c r="F4281" s="3" t="s">
        <v>2289</v>
      </c>
      <c r="G4281" s="3" t="s">
        <v>2290</v>
      </c>
      <c r="H4281" s="2" t="s">
        <v>21</v>
      </c>
      <c r="I4281" s="2" t="s">
        <v>8678</v>
      </c>
      <c r="J4281" s="3" t="str">
        <f>HYPERLINK("https://www.boe.es/gazeta/dias/1821/03/02/pdfs/GGB-1821-61.pdf#page=2","Abrir facsímil")</f>
        <v>Abrir facsímil</v>
      </c>
      <c r="K4281" s="3" t="s">
        <v>23</v>
      </c>
    </row>
    <row r="4282" spans="1:11" ht="42" customHeight="1">
      <c r="A4282" s="2" t="s">
        <v>8674</v>
      </c>
      <c r="B4282" s="2" t="s">
        <v>8674</v>
      </c>
      <c r="C4282" s="2" t="s">
        <v>17</v>
      </c>
      <c r="D4282" s="2" t="s">
        <v>18</v>
      </c>
      <c r="E4282" s="5">
        <v>-28784</v>
      </c>
      <c r="F4282" s="3" t="s">
        <v>451</v>
      </c>
      <c r="G4282" s="3" t="s">
        <v>52</v>
      </c>
      <c r="H4282" s="2" t="s">
        <v>21</v>
      </c>
      <c r="I4282" s="2" t="s">
        <v>8679</v>
      </c>
      <c r="J4282" s="3" t="str">
        <f>HYPERLINK("https://www.boe.es/gazeta/dias/1821/03/10/pdfs/GGB-1821-69.pdf#page=2","Abrir facsímil")</f>
        <v>Abrir facsímil</v>
      </c>
      <c r="K4282" s="3" t="s">
        <v>23</v>
      </c>
    </row>
    <row r="4283" spans="1:11" ht="42" customHeight="1">
      <c r="A4283" s="2" t="s">
        <v>8674</v>
      </c>
      <c r="B4283" s="2" t="s">
        <v>8674</v>
      </c>
      <c r="C4283" s="2" t="s">
        <v>35</v>
      </c>
      <c r="D4283" s="2" t="s">
        <v>27</v>
      </c>
      <c r="E4283" s="5">
        <v>-28748</v>
      </c>
      <c r="F4283" s="3" t="s">
        <v>634</v>
      </c>
      <c r="G4283" s="3" t="s">
        <v>52</v>
      </c>
      <c r="H4283" s="2" t="s">
        <v>21</v>
      </c>
      <c r="I4283" s="2" t="s">
        <v>8680</v>
      </c>
      <c r="J4283" s="3" t="str">
        <f>HYPERLINK("https://www.boe.es/gazeta/dias/1821/04/15/pdfs/GMD-1821-107.pdf#page=2","Abrir facsímil")</f>
        <v>Abrir facsímil</v>
      </c>
      <c r="K4283" s="3" t="s">
        <v>23</v>
      </c>
    </row>
    <row r="4284" spans="1:11" ht="42" customHeight="1">
      <c r="A4284" s="2" t="s">
        <v>8674</v>
      </c>
      <c r="B4284" s="2" t="s">
        <v>8674</v>
      </c>
      <c r="C4284" s="2" t="s">
        <v>70</v>
      </c>
      <c r="D4284" s="2" t="s">
        <v>27</v>
      </c>
      <c r="E4284" s="5">
        <v>-28743</v>
      </c>
      <c r="F4284" s="3" t="s">
        <v>51</v>
      </c>
      <c r="G4284" s="3" t="s">
        <v>88</v>
      </c>
      <c r="H4284" s="2" t="s">
        <v>21</v>
      </c>
      <c r="I4284" s="2" t="s">
        <v>8681</v>
      </c>
      <c r="J4284" s="3" t="str">
        <f>HYPERLINK("https://www.boe.es/gazeta/dias/1821/04/20/pdfs/GMD-1821-112.pdf#page=4","Abrir facsímil")</f>
        <v>Abrir facsímil</v>
      </c>
      <c r="K4284" s="3" t="s">
        <v>23</v>
      </c>
    </row>
    <row r="4285" spans="1:11" ht="42" customHeight="1">
      <c r="A4285" s="2" t="s">
        <v>8682</v>
      </c>
      <c r="B4285" s="2" t="s">
        <v>8682</v>
      </c>
      <c r="C4285" s="2" t="s">
        <v>40</v>
      </c>
      <c r="D4285" s="2" t="s">
        <v>41</v>
      </c>
      <c r="E4285" s="5">
        <v>-28624</v>
      </c>
      <c r="F4285" s="3" t="s">
        <v>78</v>
      </c>
      <c r="G4285" s="3" t="s">
        <v>43</v>
      </c>
      <c r="H4285" s="2" t="s">
        <v>21</v>
      </c>
      <c r="I4285" s="2" t="s">
        <v>8683</v>
      </c>
      <c r="J4285" s="3" t="str">
        <f>HYPERLINK("https://www.boe.es/gazeta/dias/1821/08/17/pdfs/GMD-1821-234.pdf#page=1","Abrir facsímil")</f>
        <v>Abrir facsímil</v>
      </c>
      <c r="K4285" s="3" t="s">
        <v>23</v>
      </c>
    </row>
    <row r="4286" spans="1:11" ht="42" customHeight="1">
      <c r="A4286" s="2" t="s">
        <v>8684</v>
      </c>
      <c r="B4286" s="2" t="s">
        <v>8684</v>
      </c>
      <c r="C4286" s="2" t="s">
        <v>35</v>
      </c>
      <c r="D4286" s="2" t="s">
        <v>27</v>
      </c>
      <c r="E4286" s="5">
        <v>-28648</v>
      </c>
      <c r="F4286" s="3" t="s">
        <v>1520</v>
      </c>
      <c r="G4286" s="3" t="s">
        <v>43</v>
      </c>
      <c r="H4286" s="2" t="s">
        <v>21</v>
      </c>
      <c r="I4286" s="2" t="s">
        <v>8685</v>
      </c>
      <c r="J4286" s="3" t="str">
        <f>HYPERLINK("https://www.boe.es/gazeta/dias/1821/07/24/pdfs/GMD-1821-209.pdf#page=1","Abrir facsímil")</f>
        <v>Abrir facsímil</v>
      </c>
      <c r="K4286" s="3" t="s">
        <v>23</v>
      </c>
    </row>
    <row r="4287" spans="1:11" ht="42" customHeight="1">
      <c r="A4287" s="2" t="s">
        <v>8686</v>
      </c>
      <c r="B4287" s="2" t="s">
        <v>8686</v>
      </c>
      <c r="C4287" s="2" t="s">
        <v>40</v>
      </c>
      <c r="D4287" s="2" t="s">
        <v>41</v>
      </c>
      <c r="E4287" s="5">
        <v>-28765</v>
      </c>
      <c r="F4287" s="3" t="s">
        <v>974</v>
      </c>
      <c r="G4287" s="3" t="s">
        <v>1483</v>
      </c>
      <c r="H4287" s="2" t="s">
        <v>21</v>
      </c>
      <c r="I4287" s="2" t="s">
        <v>8687</v>
      </c>
      <c r="J4287" s="3" t="str">
        <f>HYPERLINK("https://www.boe.es/gazeta/dias/1821/03/29/pdfs/GMD-1821-90.pdf#page=4","Abrir facsímil")</f>
        <v>Abrir facsímil</v>
      </c>
      <c r="K4287" s="3" t="s">
        <v>23</v>
      </c>
    </row>
    <row r="4288" spans="1:11" ht="42" customHeight="1">
      <c r="A4288" s="2" t="s">
        <v>8688</v>
      </c>
      <c r="B4288" s="2" t="s">
        <v>8689</v>
      </c>
      <c r="C4288" s="2" t="s">
        <v>17</v>
      </c>
      <c r="D4288" s="2" t="s">
        <v>18</v>
      </c>
      <c r="E4288" s="5">
        <v>-28820</v>
      </c>
      <c r="F4288" s="3" t="s">
        <v>1430</v>
      </c>
      <c r="G4288" s="3" t="s">
        <v>88</v>
      </c>
      <c r="H4288" s="2" t="s">
        <v>21</v>
      </c>
      <c r="I4288" s="2" t="s">
        <v>8690</v>
      </c>
      <c r="J4288" s="3" t="str">
        <f>HYPERLINK("https://www.boe.es/gazeta/dias/1821/02/02/pdfs/GGB-1821-33.pdf#page=4","Abrir facsímil")</f>
        <v>Abrir facsímil</v>
      </c>
      <c r="K4288" s="3" t="s">
        <v>23</v>
      </c>
    </row>
    <row r="4289" spans="1:11" ht="42" customHeight="1">
      <c r="A4289" s="2" t="s">
        <v>8691</v>
      </c>
      <c r="B4289" s="2" t="s">
        <v>8691</v>
      </c>
      <c r="C4289" s="2" t="s">
        <v>35</v>
      </c>
      <c r="D4289" s="2" t="s">
        <v>27</v>
      </c>
      <c r="E4289" s="5">
        <v>-28763</v>
      </c>
      <c r="F4289" s="3" t="s">
        <v>1145</v>
      </c>
      <c r="G4289" s="3" t="s">
        <v>20</v>
      </c>
      <c r="H4289" s="2" t="s">
        <v>21</v>
      </c>
      <c r="I4289" s="2" t="s">
        <v>8692</v>
      </c>
      <c r="J4289" s="3" t="str">
        <f>HYPERLINK("https://www.boe.es/gazeta/dias/1821/03/31/pdfs/GMD-1821-92.pdf#page=3","Abrir facsímil")</f>
        <v>Abrir facsímil</v>
      </c>
      <c r="K4289" s="3" t="s">
        <v>23</v>
      </c>
    </row>
    <row r="4290" spans="1:11" ht="42" customHeight="1">
      <c r="A4290" s="2" t="s">
        <v>8693</v>
      </c>
      <c r="B4290" s="2" t="s">
        <v>8693</v>
      </c>
      <c r="C4290" s="2" t="s">
        <v>35</v>
      </c>
      <c r="D4290" s="2" t="s">
        <v>27</v>
      </c>
      <c r="E4290" s="5">
        <v>-28682</v>
      </c>
      <c r="F4290" s="3" t="s">
        <v>1064</v>
      </c>
      <c r="G4290" s="3" t="s">
        <v>52</v>
      </c>
      <c r="H4290" s="2" t="s">
        <v>21</v>
      </c>
      <c r="I4290" s="2" t="s">
        <v>8694</v>
      </c>
      <c r="J4290" s="3" t="str">
        <f>HYPERLINK("https://www.boe.es/gazeta/dias/1821/06/20/pdfs/GMD-1821-173.pdf#page=2","Abrir facsímil")</f>
        <v>Abrir facsímil</v>
      </c>
      <c r="K4290" s="3" t="s">
        <v>23</v>
      </c>
    </row>
    <row r="4291" spans="1:11" ht="42" customHeight="1">
      <c r="A4291" s="2" t="s">
        <v>8693</v>
      </c>
      <c r="B4291" s="2" t="s">
        <v>8693</v>
      </c>
      <c r="C4291" s="2" t="s">
        <v>26</v>
      </c>
      <c r="D4291" s="2" t="s">
        <v>27</v>
      </c>
      <c r="E4291" s="5">
        <v>-28673</v>
      </c>
      <c r="F4291" s="3" t="s">
        <v>1069</v>
      </c>
      <c r="G4291" s="3" t="s">
        <v>52</v>
      </c>
      <c r="H4291" s="2" t="s">
        <v>21</v>
      </c>
      <c r="I4291" s="2" t="s">
        <v>8695</v>
      </c>
      <c r="J4291" s="3" t="str">
        <f>HYPERLINK("https://www.boe.es/gazeta/dias/1821/06/29/pdfs/GMD-1821-182.pdf#page=2","Abrir facsímil")</f>
        <v>Abrir facsímil</v>
      </c>
      <c r="K4291" s="3" t="s">
        <v>23</v>
      </c>
    </row>
    <row r="4292" spans="1:11" ht="42" customHeight="1">
      <c r="A4292" s="2" t="s">
        <v>8693</v>
      </c>
      <c r="B4292" s="2" t="s">
        <v>8693</v>
      </c>
      <c r="C4292" s="2" t="s">
        <v>40</v>
      </c>
      <c r="D4292" s="2" t="s">
        <v>41</v>
      </c>
      <c r="E4292" s="5">
        <v>-28515</v>
      </c>
      <c r="F4292" s="3" t="s">
        <v>260</v>
      </c>
      <c r="G4292" s="3" t="s">
        <v>162</v>
      </c>
      <c r="H4292" s="2" t="s">
        <v>21</v>
      </c>
      <c r="I4292" s="2" t="s">
        <v>8696</v>
      </c>
      <c r="J4292" s="3" t="str">
        <f>HYPERLINK("https://www.boe.es/gazeta/dias/1821/12/04/pdfs/GMD-1821-346.pdf#page=5","Abrir facsímil")</f>
        <v>Abrir facsímil</v>
      </c>
      <c r="K4292" s="3" t="s">
        <v>23</v>
      </c>
    </row>
    <row r="4293" spans="1:11" ht="42" customHeight="1">
      <c r="A4293" s="2" t="s">
        <v>8697</v>
      </c>
      <c r="B4293" s="2" t="s">
        <v>8697</v>
      </c>
      <c r="C4293" s="2" t="s">
        <v>40</v>
      </c>
      <c r="D4293" s="2" t="s">
        <v>41</v>
      </c>
      <c r="E4293" s="5">
        <v>-28759</v>
      </c>
      <c r="F4293" s="3" t="s">
        <v>71</v>
      </c>
      <c r="G4293" s="3" t="s">
        <v>20</v>
      </c>
      <c r="H4293" s="2" t="s">
        <v>21</v>
      </c>
      <c r="I4293" s="2" t="s">
        <v>8698</v>
      </c>
      <c r="J4293" s="3" t="str">
        <f>HYPERLINK("https://www.boe.es/gazeta/dias/1821/04/04/pdfs/GMD-1821-96.pdf#page=3","Abrir facsímil")</f>
        <v>Abrir facsímil</v>
      </c>
      <c r="K4293" s="3" t="s">
        <v>23</v>
      </c>
    </row>
    <row r="4294" spans="1:11" ht="42" customHeight="1">
      <c r="A4294" s="2" t="s">
        <v>8699</v>
      </c>
      <c r="B4294" s="2" t="s">
        <v>8699</v>
      </c>
      <c r="C4294" s="2" t="s">
        <v>40</v>
      </c>
      <c r="D4294" s="2" t="s">
        <v>41</v>
      </c>
      <c r="E4294" s="5">
        <v>-28770</v>
      </c>
      <c r="F4294" s="3" t="s">
        <v>1009</v>
      </c>
      <c r="G4294" s="3" t="s">
        <v>43</v>
      </c>
      <c r="H4294" s="2" t="s">
        <v>21</v>
      </c>
      <c r="I4294" s="2" t="s">
        <v>8700</v>
      </c>
      <c r="J4294" s="3" t="str">
        <f>HYPERLINK("https://www.boe.es/gazeta/dias/1821/03/24/pdfs/GMD-1821-84.pdf#page=1","Abrir facsímil")</f>
        <v>Abrir facsímil</v>
      </c>
      <c r="K4294" s="3" t="s">
        <v>23</v>
      </c>
    </row>
    <row r="4295" spans="1:11" ht="42" customHeight="1">
      <c r="A4295" s="2" t="s">
        <v>8699</v>
      </c>
      <c r="B4295" s="2" t="s">
        <v>8699</v>
      </c>
      <c r="C4295" s="2" t="s">
        <v>40</v>
      </c>
      <c r="D4295" s="2" t="s">
        <v>41</v>
      </c>
      <c r="E4295" s="5">
        <v>-28760</v>
      </c>
      <c r="F4295" s="3" t="s">
        <v>170</v>
      </c>
      <c r="G4295" s="3" t="s">
        <v>20</v>
      </c>
      <c r="H4295" s="2" t="s">
        <v>21</v>
      </c>
      <c r="I4295" s="2" t="s">
        <v>8701</v>
      </c>
      <c r="J4295" s="3" t="str">
        <f>HYPERLINK("https://www.boe.es/gazeta/dias/1821/04/03/pdfs/GMD-1821-95.pdf#page=3","Abrir facsímil")</f>
        <v>Abrir facsímil</v>
      </c>
      <c r="K4295" s="3" t="s">
        <v>23</v>
      </c>
    </row>
    <row r="4296" spans="1:11" ht="42" customHeight="1">
      <c r="A4296" s="2" t="s">
        <v>8699</v>
      </c>
      <c r="B4296" s="2" t="s">
        <v>8699</v>
      </c>
      <c r="C4296" s="2" t="s">
        <v>40</v>
      </c>
      <c r="D4296" s="2" t="s">
        <v>41</v>
      </c>
      <c r="E4296" s="5">
        <v>-28759</v>
      </c>
      <c r="F4296" s="3" t="s">
        <v>71</v>
      </c>
      <c r="G4296" s="3" t="s">
        <v>20</v>
      </c>
      <c r="H4296" s="2" t="s">
        <v>21</v>
      </c>
      <c r="I4296" s="2" t="s">
        <v>8702</v>
      </c>
      <c r="J4296" s="3" t="str">
        <f>HYPERLINK("https://www.boe.es/gazeta/dias/1821/04/04/pdfs/GMD-1821-96.pdf#page=3","Abrir facsímil")</f>
        <v>Abrir facsímil</v>
      </c>
      <c r="K4296" s="3" t="s">
        <v>23</v>
      </c>
    </row>
    <row r="4297" spans="1:11" ht="42" customHeight="1">
      <c r="A4297" s="2" t="s">
        <v>8703</v>
      </c>
      <c r="B4297" s="2" t="s">
        <v>8703</v>
      </c>
      <c r="C4297" s="2" t="s">
        <v>35</v>
      </c>
      <c r="D4297" s="2" t="s">
        <v>27</v>
      </c>
      <c r="E4297" s="5">
        <v>-28559</v>
      </c>
      <c r="F4297" s="3" t="s">
        <v>1078</v>
      </c>
      <c r="G4297" s="3" t="s">
        <v>52</v>
      </c>
      <c r="H4297" s="2" t="s">
        <v>21</v>
      </c>
      <c r="I4297" s="2" t="s">
        <v>8704</v>
      </c>
      <c r="J4297" s="3" t="str">
        <f>HYPERLINK("https://www.boe.es/gazeta/dias/1821/10/21/pdfs/GMD-1821-300.pdf#page=2","Abrir facsímil")</f>
        <v>Abrir facsímil</v>
      </c>
      <c r="K4297" s="3" t="s">
        <v>23</v>
      </c>
    </row>
    <row r="4298" spans="1:11" ht="42" customHeight="1">
      <c r="A4298" s="2" t="s">
        <v>8705</v>
      </c>
      <c r="B4298" s="2" t="s">
        <v>8705</v>
      </c>
      <c r="C4298" s="2" t="s">
        <v>26</v>
      </c>
      <c r="D4298" s="2" t="s">
        <v>27</v>
      </c>
      <c r="E4298" s="5">
        <v>-28692</v>
      </c>
      <c r="F4298" s="3" t="s">
        <v>3807</v>
      </c>
      <c r="G4298" s="3" t="s">
        <v>43</v>
      </c>
      <c r="H4298" s="2" t="s">
        <v>21</v>
      </c>
      <c r="I4298" s="2" t="s">
        <v>8706</v>
      </c>
      <c r="J4298" s="3" t="str">
        <f>HYPERLINK("https://www.boe.es/gazeta/dias/1821/06/10/pdfs/GMD-1821-163.pdf#page=1","Abrir facsímil")</f>
        <v>Abrir facsímil</v>
      </c>
      <c r="K4298" s="3" t="s">
        <v>23</v>
      </c>
    </row>
    <row r="4299" spans="1:11" ht="42" customHeight="1">
      <c r="A4299" s="2" t="s">
        <v>8705</v>
      </c>
      <c r="B4299" s="2" t="s">
        <v>8705</v>
      </c>
      <c r="C4299" s="2" t="s">
        <v>26</v>
      </c>
      <c r="D4299" s="2" t="s">
        <v>27</v>
      </c>
      <c r="E4299" s="5">
        <v>-28605</v>
      </c>
      <c r="F4299" s="3" t="s">
        <v>3173</v>
      </c>
      <c r="G4299" s="3" t="s">
        <v>43</v>
      </c>
      <c r="H4299" s="2" t="s">
        <v>21</v>
      </c>
      <c r="I4299" s="2" t="s">
        <v>8707</v>
      </c>
      <c r="J4299" s="3" t="str">
        <f>HYPERLINK("https://www.boe.es/gazeta/dias/1821/09/05/pdfs/GMD-1821-253.pdf#page=1","Abrir facsímil")</f>
        <v>Abrir facsímil</v>
      </c>
      <c r="K4299" s="3" t="s">
        <v>23</v>
      </c>
    </row>
    <row r="4300" spans="1:11" ht="42" customHeight="1">
      <c r="A4300" s="2" t="s">
        <v>8705</v>
      </c>
      <c r="B4300" s="2" t="s">
        <v>8705</v>
      </c>
      <c r="C4300" s="2" t="s">
        <v>40</v>
      </c>
      <c r="D4300" s="2" t="s">
        <v>41</v>
      </c>
      <c r="E4300" s="5">
        <v>-28591</v>
      </c>
      <c r="F4300" s="3" t="s">
        <v>3638</v>
      </c>
      <c r="G4300" s="3" t="s">
        <v>43</v>
      </c>
      <c r="H4300" s="2" t="s">
        <v>21</v>
      </c>
      <c r="I4300" s="2" t="s">
        <v>8708</v>
      </c>
      <c r="J4300" s="3" t="str">
        <f>HYPERLINK("https://www.boe.es/gazeta/dias/1821/09/19/pdfs/GMD-1821-267.pdf#page=1","Abrir facsímil")</f>
        <v>Abrir facsímil</v>
      </c>
      <c r="K4300" s="3" t="s">
        <v>23</v>
      </c>
    </row>
    <row r="4301" spans="1:11" ht="42" customHeight="1">
      <c r="A4301" s="2" t="s">
        <v>8705</v>
      </c>
      <c r="B4301" s="2" t="s">
        <v>8705</v>
      </c>
      <c r="C4301" s="2" t="s">
        <v>174</v>
      </c>
      <c r="D4301" s="2" t="s">
        <v>27</v>
      </c>
      <c r="E4301" s="5">
        <v>-28569</v>
      </c>
      <c r="F4301" s="3" t="s">
        <v>512</v>
      </c>
      <c r="G4301" s="3" t="s">
        <v>43</v>
      </c>
      <c r="H4301" s="2" t="s">
        <v>21</v>
      </c>
      <c r="I4301" s="2" t="s">
        <v>8709</v>
      </c>
      <c r="J4301" s="3" t="str">
        <f>HYPERLINK("https://www.boe.es/gazeta/dias/1821/10/11/pdfs/GMD-1821-290.pdf#page=1","Abrir facsímil")</f>
        <v>Abrir facsímil</v>
      </c>
      <c r="K4301" s="3" t="s">
        <v>23</v>
      </c>
    </row>
    <row r="4302" spans="1:11" ht="42" customHeight="1">
      <c r="A4302" s="2" t="s">
        <v>8705</v>
      </c>
      <c r="B4302" s="2" t="s">
        <v>8705</v>
      </c>
      <c r="C4302" s="2" t="s">
        <v>70</v>
      </c>
      <c r="D4302" s="2" t="s">
        <v>27</v>
      </c>
      <c r="E4302" s="5">
        <v>-28524</v>
      </c>
      <c r="F4302" s="3" t="s">
        <v>874</v>
      </c>
      <c r="G4302" s="3" t="s">
        <v>43</v>
      </c>
      <c r="H4302" s="2" t="s">
        <v>21</v>
      </c>
      <c r="I4302" s="2" t="s">
        <v>8710</v>
      </c>
      <c r="J4302" s="3" t="str">
        <f>HYPERLINK("https://www.boe.es/gazeta/dias/1821/11/25/pdfs/GMD-1821-336.pdf#page=1","Abrir facsímil")</f>
        <v>Abrir facsímil</v>
      </c>
      <c r="K4302" s="3" t="s">
        <v>23</v>
      </c>
    </row>
    <row r="4303" spans="1:11" ht="42" customHeight="1">
      <c r="A4303" s="2" t="s">
        <v>8711</v>
      </c>
      <c r="B4303" s="2" t="s">
        <v>8711</v>
      </c>
      <c r="C4303" s="2" t="s">
        <v>17</v>
      </c>
      <c r="D4303" s="2" t="s">
        <v>18</v>
      </c>
      <c r="E4303" s="5">
        <v>-28776</v>
      </c>
      <c r="F4303" s="3" t="s">
        <v>312</v>
      </c>
      <c r="G4303" s="3" t="s">
        <v>88</v>
      </c>
      <c r="H4303" s="2" t="s">
        <v>21</v>
      </c>
      <c r="I4303" s="2" t="s">
        <v>8712</v>
      </c>
      <c r="J4303" s="3" t="str">
        <f>HYPERLINK("https://www.boe.es/gazeta/dias/1821/03/18/pdfs/GMD-1821-77.pdf#page=4","Abrir facsímil")</f>
        <v>Abrir facsímil</v>
      </c>
      <c r="K4303" s="3" t="s">
        <v>23</v>
      </c>
    </row>
    <row r="4304" spans="1:11" ht="42" customHeight="1">
      <c r="A4304" s="2" t="s">
        <v>8713</v>
      </c>
      <c r="B4304" s="2" t="s">
        <v>8713</v>
      </c>
      <c r="C4304" s="2" t="s">
        <v>35</v>
      </c>
      <c r="D4304" s="2" t="s">
        <v>27</v>
      </c>
      <c r="E4304" s="5">
        <v>-28765</v>
      </c>
      <c r="F4304" s="3" t="s">
        <v>974</v>
      </c>
      <c r="G4304" s="3" t="s">
        <v>1483</v>
      </c>
      <c r="H4304" s="2" t="s">
        <v>21</v>
      </c>
      <c r="I4304" s="2" t="s">
        <v>8714</v>
      </c>
      <c r="J4304" s="3" t="str">
        <f>HYPERLINK("https://www.boe.es/gazeta/dias/1821/03/29/pdfs/GMD-1821-90.pdf#page=4","Abrir facsímil")</f>
        <v>Abrir facsímil</v>
      </c>
      <c r="K4304" s="3" t="s">
        <v>23</v>
      </c>
    </row>
    <row r="4305" spans="1:11" ht="42" customHeight="1">
      <c r="A4305" s="2" t="s">
        <v>8715</v>
      </c>
      <c r="B4305" s="2" t="s">
        <v>8715</v>
      </c>
      <c r="C4305" s="2" t="s">
        <v>40</v>
      </c>
      <c r="D4305" s="2" t="s">
        <v>41</v>
      </c>
      <c r="E4305" s="5">
        <v>-28598</v>
      </c>
      <c r="F4305" s="3" t="s">
        <v>1206</v>
      </c>
      <c r="G4305" s="3" t="s">
        <v>43</v>
      </c>
      <c r="H4305" s="2" t="s">
        <v>21</v>
      </c>
      <c r="I4305" s="2" t="s">
        <v>8716</v>
      </c>
      <c r="J4305" s="3" t="str">
        <f>HYPERLINK("https://www.boe.es/gazeta/dias/1821/09/12/pdfs/GMD-1821-260.pdf#page=1","Abrir facsímil")</f>
        <v>Abrir facsímil</v>
      </c>
      <c r="K4305" s="3" t="s">
        <v>23</v>
      </c>
    </row>
    <row r="4306" spans="1:11" ht="42" customHeight="1">
      <c r="A4306" s="2" t="s">
        <v>8717</v>
      </c>
      <c r="B4306" s="2" t="s">
        <v>8717</v>
      </c>
      <c r="C4306" s="2" t="s">
        <v>17</v>
      </c>
      <c r="D4306" s="2" t="s">
        <v>18</v>
      </c>
      <c r="E4306" s="5">
        <v>-28760</v>
      </c>
      <c r="F4306" s="3" t="s">
        <v>170</v>
      </c>
      <c r="G4306" s="3" t="s">
        <v>52</v>
      </c>
      <c r="H4306" s="2" t="s">
        <v>21</v>
      </c>
      <c r="I4306" s="2" t="s">
        <v>8718</v>
      </c>
      <c r="J4306" s="3" t="str">
        <f>HYPERLINK("https://www.boe.es/gazeta/dias/1821/04/03/pdfs/GMD-1821-95.pdf#page=2","Abrir facsímil")</f>
        <v>Abrir facsímil</v>
      </c>
      <c r="K4306" s="3" t="s">
        <v>23</v>
      </c>
    </row>
    <row r="4307" spans="1:11" ht="42" customHeight="1">
      <c r="A4307" s="2" t="s">
        <v>8719</v>
      </c>
      <c r="B4307" s="2" t="s">
        <v>8719</v>
      </c>
      <c r="C4307" s="2" t="s">
        <v>40</v>
      </c>
      <c r="D4307" s="2" t="s">
        <v>41</v>
      </c>
      <c r="E4307" s="5">
        <v>-28694</v>
      </c>
      <c r="F4307" s="3" t="s">
        <v>1057</v>
      </c>
      <c r="G4307" s="3" t="s">
        <v>43</v>
      </c>
      <c r="H4307" s="2" t="s">
        <v>21</v>
      </c>
      <c r="I4307" s="2" t="s">
        <v>8720</v>
      </c>
      <c r="J4307" s="3" t="str">
        <f>HYPERLINK("https://www.boe.es/gazeta/dias/1821/06/08/pdfs/GMD-1821-161.pdf#page=1","Abrir facsímil")</f>
        <v>Abrir facsímil</v>
      </c>
      <c r="K4307" s="3" t="s">
        <v>23</v>
      </c>
    </row>
    <row r="4308" spans="1:11" ht="42" customHeight="1">
      <c r="A4308" s="2" t="s">
        <v>8721</v>
      </c>
      <c r="B4308" s="2" t="s">
        <v>8722</v>
      </c>
      <c r="C4308" s="2" t="s">
        <v>40</v>
      </c>
      <c r="D4308" s="2" t="s">
        <v>41</v>
      </c>
      <c r="E4308" s="5">
        <v>-28557</v>
      </c>
      <c r="F4308" s="3" t="s">
        <v>316</v>
      </c>
      <c r="G4308" s="3" t="s">
        <v>52</v>
      </c>
      <c r="H4308" s="2" t="s">
        <v>21</v>
      </c>
      <c r="I4308" s="2" t="s">
        <v>8723</v>
      </c>
      <c r="J4308" s="3" t="str">
        <f>HYPERLINK("https://www.boe.es/gazeta/dias/1821/10/23/pdfs/GMD-1821-302.pdf#page=2","Abrir facsímil")</f>
        <v>Abrir facsímil</v>
      </c>
      <c r="K4308" s="3" t="s">
        <v>23</v>
      </c>
    </row>
    <row r="4309" spans="1:11" ht="42" customHeight="1">
      <c r="A4309" s="2" t="s">
        <v>8724</v>
      </c>
      <c r="B4309" s="2" t="s">
        <v>8724</v>
      </c>
      <c r="C4309" s="2" t="s">
        <v>40</v>
      </c>
      <c r="D4309" s="2" t="s">
        <v>41</v>
      </c>
      <c r="E4309" s="5">
        <v>-28593</v>
      </c>
      <c r="F4309" s="3" t="s">
        <v>1635</v>
      </c>
      <c r="G4309" s="3" t="s">
        <v>43</v>
      </c>
      <c r="H4309" s="2" t="s">
        <v>21</v>
      </c>
      <c r="I4309" s="2" t="s">
        <v>8725</v>
      </c>
      <c r="J4309" s="3" t="str">
        <f>HYPERLINK("https://www.boe.es/gazeta/dias/1821/09/17/pdfs/GMD-1821-265.pdf#page=1","Abrir facsímil")</f>
        <v>Abrir facsímil</v>
      </c>
      <c r="K4309" s="3" t="s">
        <v>23</v>
      </c>
    </row>
    <row r="4310" spans="1:11" ht="42" customHeight="1">
      <c r="A4310" s="2" t="s">
        <v>8726</v>
      </c>
      <c r="B4310" s="2" t="s">
        <v>8727</v>
      </c>
      <c r="C4310" s="2" t="s">
        <v>17</v>
      </c>
      <c r="D4310" s="2" t="s">
        <v>18</v>
      </c>
      <c r="E4310" s="5">
        <v>-28543</v>
      </c>
      <c r="F4310" s="3" t="s">
        <v>136</v>
      </c>
      <c r="G4310" s="3" t="s">
        <v>88</v>
      </c>
      <c r="H4310" s="2" t="s">
        <v>21</v>
      </c>
      <c r="I4310" s="2" t="s">
        <v>8728</v>
      </c>
      <c r="J4310" s="3" t="str">
        <f>HYPERLINK("https://www.boe.es/gazeta/dias/1821/11/06/pdfs/GMD-1821-317.pdf#page=4","Abrir facsímil")</f>
        <v>Abrir facsímil</v>
      </c>
      <c r="K4310" s="3" t="s">
        <v>23</v>
      </c>
    </row>
    <row r="4311" spans="1:11" ht="42" customHeight="1">
      <c r="A4311" s="2" t="s">
        <v>8729</v>
      </c>
      <c r="B4311" s="2" t="s">
        <v>8729</v>
      </c>
      <c r="C4311" s="2" t="s">
        <v>174</v>
      </c>
      <c r="D4311" s="2" t="s">
        <v>27</v>
      </c>
      <c r="E4311" s="5">
        <v>-28568</v>
      </c>
      <c r="F4311" s="3" t="s">
        <v>539</v>
      </c>
      <c r="G4311" s="3" t="s">
        <v>43</v>
      </c>
      <c r="H4311" s="2" t="s">
        <v>21</v>
      </c>
      <c r="I4311" s="2" t="s">
        <v>8730</v>
      </c>
      <c r="J4311" s="3" t="str">
        <f>HYPERLINK("https://www.boe.es/gazeta/dias/1821/10/12/pdfs/GMD-1821-291.pdf#page=1","Abrir facsímil")</f>
        <v>Abrir facsímil</v>
      </c>
      <c r="K4311" s="3" t="s">
        <v>23</v>
      </c>
    </row>
    <row r="4312" spans="1:11" ht="42" customHeight="1">
      <c r="A4312" s="2" t="s">
        <v>8731</v>
      </c>
      <c r="B4312" s="2" t="s">
        <v>8731</v>
      </c>
      <c r="C4312" s="2" t="s">
        <v>40</v>
      </c>
      <c r="D4312" s="2" t="s">
        <v>41</v>
      </c>
      <c r="E4312" s="5">
        <v>-28701</v>
      </c>
      <c r="F4312" s="3" t="s">
        <v>202</v>
      </c>
      <c r="G4312" s="3" t="s">
        <v>88</v>
      </c>
      <c r="H4312" s="2" t="s">
        <v>21</v>
      </c>
      <c r="I4312" s="2" t="s">
        <v>8732</v>
      </c>
      <c r="J4312" s="3" t="str">
        <f>HYPERLINK("https://www.boe.es/gazeta/dias/1821/06/01/pdfs/GMD-1821-154.pdf#page=4","Abrir facsímil")</f>
        <v>Abrir facsímil</v>
      </c>
      <c r="K4312" s="3" t="s">
        <v>23</v>
      </c>
    </row>
    <row r="4313" spans="1:11" ht="42" customHeight="1">
      <c r="A4313" s="2" t="s">
        <v>8733</v>
      </c>
      <c r="B4313" s="2" t="s">
        <v>8733</v>
      </c>
      <c r="C4313" s="2" t="s">
        <v>40</v>
      </c>
      <c r="D4313" s="2" t="s">
        <v>41</v>
      </c>
      <c r="E4313" s="5">
        <v>-28561</v>
      </c>
      <c r="F4313" s="3" t="s">
        <v>240</v>
      </c>
      <c r="G4313" s="3" t="s">
        <v>162</v>
      </c>
      <c r="H4313" s="2" t="s">
        <v>21</v>
      </c>
      <c r="I4313" s="2" t="s">
        <v>8734</v>
      </c>
      <c r="J4313" s="3" t="str">
        <f>HYPERLINK("https://www.boe.es/gazeta/dias/1821/10/19/pdfs/GMD-1821-298.pdf#page=5","Abrir facsímil")</f>
        <v>Abrir facsímil</v>
      </c>
      <c r="K4313" s="3" t="s">
        <v>23</v>
      </c>
    </row>
    <row r="4314" spans="1:11" ht="42" customHeight="1">
      <c r="A4314" s="2" t="s">
        <v>8735</v>
      </c>
      <c r="B4314" s="2" t="s">
        <v>8735</v>
      </c>
      <c r="C4314" s="2" t="s">
        <v>70</v>
      </c>
      <c r="D4314" s="2" t="s">
        <v>27</v>
      </c>
      <c r="E4314" s="5">
        <v>-28599</v>
      </c>
      <c r="F4314" s="3" t="s">
        <v>902</v>
      </c>
      <c r="G4314" s="3" t="s">
        <v>20</v>
      </c>
      <c r="H4314" s="2" t="s">
        <v>21</v>
      </c>
      <c r="I4314" s="2" t="s">
        <v>8736</v>
      </c>
      <c r="J4314" s="3" t="str">
        <f>HYPERLINK("https://www.boe.es/gazeta/dias/1821/09/11/pdfs/GMD-1821-259.pdf#page=3","Abrir facsímil")</f>
        <v>Abrir facsímil</v>
      </c>
      <c r="K4314" s="3" t="s">
        <v>23</v>
      </c>
    </row>
    <row r="4315" spans="1:11" ht="42" customHeight="1">
      <c r="A4315" s="2" t="s">
        <v>8737</v>
      </c>
      <c r="B4315" s="2" t="s">
        <v>8737</v>
      </c>
      <c r="C4315" s="2" t="s">
        <v>26</v>
      </c>
      <c r="D4315" s="2" t="s">
        <v>27</v>
      </c>
      <c r="E4315" s="5">
        <v>-28516</v>
      </c>
      <c r="F4315" s="3" t="s">
        <v>514</v>
      </c>
      <c r="G4315" s="3" t="s">
        <v>162</v>
      </c>
      <c r="H4315" s="2" t="s">
        <v>21</v>
      </c>
      <c r="I4315" s="2" t="s">
        <v>8738</v>
      </c>
      <c r="J4315" s="3" t="str">
        <f>HYPERLINK("https://www.boe.es/gazeta/dias/1821/12/03/pdfs/GMD-1821-345.pdf#page=5","Abrir facsímil")</f>
        <v>Abrir facsímil</v>
      </c>
      <c r="K4315" s="3" t="s">
        <v>23</v>
      </c>
    </row>
    <row r="4316" spans="1:11" ht="42" customHeight="1">
      <c r="A4316" s="2" t="s">
        <v>8737</v>
      </c>
      <c r="B4316" s="2" t="s">
        <v>8737</v>
      </c>
      <c r="C4316" s="2" t="s">
        <v>17</v>
      </c>
      <c r="D4316" s="2" t="s">
        <v>18</v>
      </c>
      <c r="E4316" s="5">
        <v>-28501</v>
      </c>
      <c r="F4316" s="3" t="s">
        <v>456</v>
      </c>
      <c r="G4316" s="3" t="s">
        <v>88</v>
      </c>
      <c r="H4316" s="2" t="s">
        <v>21</v>
      </c>
      <c r="I4316" s="2" t="s">
        <v>8739</v>
      </c>
      <c r="J4316" s="3" t="str">
        <f>HYPERLINK("https://www.boe.es/gazeta/dias/1821/12/18/pdfs/GMD-1821-361.pdf#page=4","Abrir facsímil")</f>
        <v>Abrir facsímil</v>
      </c>
      <c r="K4316" s="3" t="s">
        <v>23</v>
      </c>
    </row>
    <row r="4317" spans="1:11" ht="42" customHeight="1">
      <c r="A4317" s="2" t="s">
        <v>8740</v>
      </c>
      <c r="B4317" s="2" t="s">
        <v>8741</v>
      </c>
      <c r="C4317" s="2" t="s">
        <v>279</v>
      </c>
      <c r="D4317" s="2" t="s">
        <v>27</v>
      </c>
      <c r="E4317" s="5">
        <v>-28604</v>
      </c>
      <c r="F4317" s="3" t="s">
        <v>729</v>
      </c>
      <c r="G4317" s="3" t="s">
        <v>29</v>
      </c>
      <c r="H4317" s="2" t="s">
        <v>21</v>
      </c>
      <c r="I4317" s="2" t="s">
        <v>8742</v>
      </c>
      <c r="J4317" s="3" t="str">
        <f>HYPERLINK("https://www.boe.es/gazeta/dias/1821/09/06/pdfs/GMD-1821-254.pdf#page=6","Abrir facsímil")</f>
        <v>Abrir facsímil</v>
      </c>
      <c r="K4317" s="3" t="s">
        <v>23</v>
      </c>
    </row>
    <row r="4318" spans="1:11" ht="42" customHeight="1">
      <c r="A4318" s="2" t="s">
        <v>8743</v>
      </c>
      <c r="B4318" s="2" t="s">
        <v>8744</v>
      </c>
      <c r="C4318" s="2" t="s">
        <v>174</v>
      </c>
      <c r="D4318" s="2" t="s">
        <v>27</v>
      </c>
      <c r="E4318" s="5">
        <v>-28737</v>
      </c>
      <c r="F4318" s="3" t="s">
        <v>732</v>
      </c>
      <c r="G4318" s="3" t="s">
        <v>20</v>
      </c>
      <c r="H4318" s="2" t="s">
        <v>21</v>
      </c>
      <c r="I4318" s="2" t="s">
        <v>8745</v>
      </c>
      <c r="J4318" s="3" t="str">
        <f>HYPERLINK("https://www.boe.es/gazeta/dias/1821/04/26/pdfs/GMD-1821-118.pdf#page=3","Abrir facsímil")</f>
        <v>Abrir facsímil</v>
      </c>
      <c r="K4318" s="3" t="s">
        <v>23</v>
      </c>
    </row>
    <row r="4319" spans="1:11" ht="42" customHeight="1">
      <c r="A4319" s="2" t="s">
        <v>8746</v>
      </c>
      <c r="B4319" s="2" t="s">
        <v>8747</v>
      </c>
      <c r="C4319" s="2" t="s">
        <v>40</v>
      </c>
      <c r="D4319" s="2" t="s">
        <v>41</v>
      </c>
      <c r="E4319" s="5">
        <v>-28512</v>
      </c>
      <c r="F4319" s="3" t="s">
        <v>66</v>
      </c>
      <c r="G4319" s="3" t="s">
        <v>43</v>
      </c>
      <c r="H4319" s="2" t="s">
        <v>21</v>
      </c>
      <c r="I4319" s="2" t="s">
        <v>8748</v>
      </c>
      <c r="J4319" s="3" t="str">
        <f>HYPERLINK("https://www.boe.es/gazeta/dias/1821/12/07/pdfs/GMD-1821-349.pdf#page=1","Abrir facsímil")</f>
        <v>Abrir facsímil</v>
      </c>
      <c r="K4319" s="3" t="s">
        <v>23</v>
      </c>
    </row>
    <row r="4320" spans="1:11" ht="42" customHeight="1">
      <c r="A4320" s="2" t="s">
        <v>8749</v>
      </c>
      <c r="B4320" s="2" t="s">
        <v>8750</v>
      </c>
      <c r="C4320" s="2" t="s">
        <v>70</v>
      </c>
      <c r="D4320" s="2" t="s">
        <v>27</v>
      </c>
      <c r="E4320" s="5">
        <v>-28837</v>
      </c>
      <c r="F4320" s="3" t="s">
        <v>1234</v>
      </c>
      <c r="G4320" s="3" t="s">
        <v>88</v>
      </c>
      <c r="H4320" s="2" t="s">
        <v>21</v>
      </c>
      <c r="I4320" s="2" t="s">
        <v>8751</v>
      </c>
      <c r="J4320" s="3" t="str">
        <f>HYPERLINK("https://www.boe.es/gazeta/dias/1821/01/16/pdfs/GGB-1821-16.pdf#page=4","Abrir facsímil")</f>
        <v>Abrir facsímil</v>
      </c>
      <c r="K4320" s="3" t="s">
        <v>23</v>
      </c>
    </row>
    <row r="4321" spans="1:11" ht="42" customHeight="1">
      <c r="A4321" s="2" t="s">
        <v>8752</v>
      </c>
      <c r="B4321" s="2" t="s">
        <v>8753</v>
      </c>
      <c r="C4321" s="2" t="s">
        <v>17</v>
      </c>
      <c r="D4321" s="2" t="s">
        <v>18</v>
      </c>
      <c r="E4321" s="5">
        <v>-28762</v>
      </c>
      <c r="F4321" s="3" t="s">
        <v>608</v>
      </c>
      <c r="G4321" s="3" t="s">
        <v>609</v>
      </c>
      <c r="H4321" s="2" t="s">
        <v>21</v>
      </c>
      <c r="I4321" s="2" t="s">
        <v>8754</v>
      </c>
      <c r="J4321" s="3" t="str">
        <f>HYPERLINK("https://www.boe.es/gazeta/dias/1821/04/01/pdfs/GMD-1821-93.pdf#page=7","Abrir facsímil")</f>
        <v>Abrir facsímil</v>
      </c>
      <c r="K4321" s="3" t="s">
        <v>23</v>
      </c>
    </row>
    <row r="4322" spans="1:11" ht="42" customHeight="1">
      <c r="A4322" s="2" t="s">
        <v>8755</v>
      </c>
      <c r="B4322" s="2" t="s">
        <v>8756</v>
      </c>
      <c r="C4322" s="2" t="s">
        <v>40</v>
      </c>
      <c r="D4322" s="2" t="s">
        <v>41</v>
      </c>
      <c r="E4322" s="5">
        <v>-28547</v>
      </c>
      <c r="F4322" s="3" t="s">
        <v>247</v>
      </c>
      <c r="G4322" s="3" t="s">
        <v>248</v>
      </c>
      <c r="H4322" s="2" t="s">
        <v>21</v>
      </c>
      <c r="I4322" s="2" t="s">
        <v>8757</v>
      </c>
      <c r="J4322" s="3" t="str">
        <f>HYPERLINK("https://www.boe.es/gazeta/dias/1821/11/02/pdfs/GMD-1821-312.pdf#page=2","Abrir facsímil")</f>
        <v>Abrir facsímil</v>
      </c>
      <c r="K4322" s="3" t="s">
        <v>23</v>
      </c>
    </row>
    <row r="4323" spans="1:11" ht="42" customHeight="1">
      <c r="A4323" s="2" t="s">
        <v>8758</v>
      </c>
      <c r="B4323" s="2" t="s">
        <v>8759</v>
      </c>
      <c r="C4323" s="2" t="s">
        <v>26</v>
      </c>
      <c r="D4323" s="2" t="s">
        <v>27</v>
      </c>
      <c r="E4323" s="5">
        <v>-28677</v>
      </c>
      <c r="F4323" s="3" t="s">
        <v>361</v>
      </c>
      <c r="G4323" s="3" t="s">
        <v>29</v>
      </c>
      <c r="H4323" s="2" t="s">
        <v>21</v>
      </c>
      <c r="I4323" s="2" t="s">
        <v>8760</v>
      </c>
      <c r="J4323" s="3" t="str">
        <f>HYPERLINK("https://www.boe.es/gazeta/dias/1821/06/25/pdfs/GMD-1821-178.pdf#page=6","Abrir facsímil")</f>
        <v>Abrir facsímil</v>
      </c>
      <c r="K4323" s="3" t="s">
        <v>23</v>
      </c>
    </row>
    <row r="4324" spans="1:11" ht="42" customHeight="1">
      <c r="A4324" s="2" t="s">
        <v>8761</v>
      </c>
      <c r="B4324" s="2" t="s">
        <v>8762</v>
      </c>
      <c r="C4324" s="2" t="s">
        <v>26</v>
      </c>
      <c r="D4324" s="2" t="s">
        <v>27</v>
      </c>
      <c r="E4324" s="5">
        <v>-28729</v>
      </c>
      <c r="F4324" s="3" t="s">
        <v>838</v>
      </c>
      <c r="G4324" s="3" t="s">
        <v>52</v>
      </c>
      <c r="H4324" s="2" t="s">
        <v>21</v>
      </c>
      <c r="I4324" s="2" t="s">
        <v>8763</v>
      </c>
      <c r="J4324" s="3" t="str">
        <f>HYPERLINK("https://www.boe.es/gazeta/dias/1821/05/04/pdfs/GMD-1821-126.pdf#page=2","Abrir facsímil")</f>
        <v>Abrir facsímil</v>
      </c>
      <c r="K4324" s="3" t="s">
        <v>23</v>
      </c>
    </row>
    <row r="4325" spans="1:11" ht="42" customHeight="1">
      <c r="A4325" s="2" t="s">
        <v>8761</v>
      </c>
      <c r="B4325" s="2" t="s">
        <v>8762</v>
      </c>
      <c r="C4325" s="2" t="s">
        <v>174</v>
      </c>
      <c r="D4325" s="2" t="s">
        <v>27</v>
      </c>
      <c r="E4325" s="5">
        <v>-28515</v>
      </c>
      <c r="F4325" s="3" t="s">
        <v>260</v>
      </c>
      <c r="G4325" s="3" t="s">
        <v>52</v>
      </c>
      <c r="H4325" s="2" t="s">
        <v>21</v>
      </c>
      <c r="I4325" s="2" t="s">
        <v>8764</v>
      </c>
      <c r="J4325" s="3" t="str">
        <f>HYPERLINK("https://www.boe.es/gazeta/dias/1821/12/04/pdfs/GMD-1821-346.pdf#page=2","Abrir facsímil")</f>
        <v>Abrir facsímil</v>
      </c>
      <c r="K4325" s="3" t="s">
        <v>23</v>
      </c>
    </row>
    <row r="4326" spans="1:11" ht="42" customHeight="1">
      <c r="A4326" s="2" t="s">
        <v>8765</v>
      </c>
      <c r="B4326" s="2" t="s">
        <v>8766</v>
      </c>
      <c r="C4326" s="2" t="s">
        <v>17</v>
      </c>
      <c r="D4326" s="2" t="s">
        <v>18</v>
      </c>
      <c r="E4326" s="5">
        <v>-28801</v>
      </c>
      <c r="F4326" s="3" t="s">
        <v>378</v>
      </c>
      <c r="G4326" s="3" t="s">
        <v>20</v>
      </c>
      <c r="H4326" s="2" t="s">
        <v>30</v>
      </c>
      <c r="I4326" s="2" t="s">
        <v>8767</v>
      </c>
      <c r="J4326" s="3" t="str">
        <f>HYPERLINK("https://www.boe.es/gazeta/dias/1821/02/21/pdfs/GGB-1821-52.pdf#page=3","Abrir facsímil")</f>
        <v>Abrir facsímil</v>
      </c>
      <c r="K4326" s="3" t="s">
        <v>32</v>
      </c>
    </row>
    <row r="4327" spans="1:11" ht="42" customHeight="1">
      <c r="A4327" s="2" t="s">
        <v>8768</v>
      </c>
      <c r="B4327" s="2" t="s">
        <v>8769</v>
      </c>
      <c r="C4327" s="2" t="s">
        <v>174</v>
      </c>
      <c r="D4327" s="2" t="s">
        <v>27</v>
      </c>
      <c r="E4327" s="5">
        <v>-28595</v>
      </c>
      <c r="F4327" s="3" t="s">
        <v>1621</v>
      </c>
      <c r="G4327" s="3" t="s">
        <v>20</v>
      </c>
      <c r="H4327" s="2" t="s">
        <v>21</v>
      </c>
      <c r="I4327" s="2" t="s">
        <v>8770</v>
      </c>
      <c r="J4327" s="3" t="str">
        <f>HYPERLINK("https://www.boe.es/gazeta/dias/1821/09/15/pdfs/GMD-1821-263.pdf#page=3","Abrir facsímil")</f>
        <v>Abrir facsímil</v>
      </c>
      <c r="K4327" s="3" t="s">
        <v>23</v>
      </c>
    </row>
    <row r="4328" spans="1:11" ht="42" customHeight="1">
      <c r="A4328" s="2" t="s">
        <v>8771</v>
      </c>
      <c r="B4328" s="2" t="s">
        <v>8772</v>
      </c>
      <c r="C4328" s="2" t="s">
        <v>40</v>
      </c>
      <c r="D4328" s="2" t="s">
        <v>41</v>
      </c>
      <c r="E4328" s="5">
        <v>-28637</v>
      </c>
      <c r="F4328" s="3" t="s">
        <v>3049</v>
      </c>
      <c r="G4328" s="3" t="s">
        <v>88</v>
      </c>
      <c r="H4328" s="2" t="s">
        <v>21</v>
      </c>
      <c r="I4328" s="2" t="s">
        <v>8773</v>
      </c>
      <c r="J4328" s="3" t="str">
        <f>HYPERLINK("https://www.boe.es/gazeta/dias/1821/08/04/pdfs/GMD-1821-220.pdf#page=4","Abrir facsímil")</f>
        <v>Abrir facsímil</v>
      </c>
      <c r="K4328" s="3" t="s">
        <v>23</v>
      </c>
    </row>
    <row r="4329" spans="1:11" ht="42" customHeight="1">
      <c r="A4329" s="2" t="s">
        <v>8774</v>
      </c>
      <c r="B4329" s="2" t="s">
        <v>8775</v>
      </c>
      <c r="C4329" s="2" t="s">
        <v>35</v>
      </c>
      <c r="D4329" s="2" t="s">
        <v>27</v>
      </c>
      <c r="E4329" s="5">
        <v>-28765</v>
      </c>
      <c r="F4329" s="3" t="s">
        <v>974</v>
      </c>
      <c r="G4329" s="3" t="s">
        <v>52</v>
      </c>
      <c r="H4329" s="2" t="s">
        <v>21</v>
      </c>
      <c r="I4329" s="2" t="s">
        <v>8776</v>
      </c>
      <c r="J4329" s="3" t="str">
        <f>HYPERLINK("https://www.boe.es/gazeta/dias/1821/03/29/pdfs/GMD-1821-90.pdf#page=2","Abrir facsímil")</f>
        <v>Abrir facsímil</v>
      </c>
      <c r="K4329" s="3" t="s">
        <v>23</v>
      </c>
    </row>
    <row r="4330" spans="1:11" ht="42" customHeight="1">
      <c r="A4330" s="2" t="s">
        <v>8777</v>
      </c>
      <c r="B4330" s="2" t="s">
        <v>8777</v>
      </c>
      <c r="C4330" s="2" t="s">
        <v>40</v>
      </c>
      <c r="D4330" s="2" t="s">
        <v>41</v>
      </c>
      <c r="E4330" s="5">
        <v>-28673</v>
      </c>
      <c r="F4330" s="3" t="s">
        <v>1069</v>
      </c>
      <c r="G4330" s="3" t="s">
        <v>88</v>
      </c>
      <c r="H4330" s="2" t="s">
        <v>21</v>
      </c>
      <c r="I4330" s="2" t="s">
        <v>8778</v>
      </c>
      <c r="J4330" s="3" t="str">
        <f>HYPERLINK("https://www.boe.es/gazeta/dias/1821/06/29/pdfs/GMD-1821-182.pdf#page=4","Abrir facsímil")</f>
        <v>Abrir facsímil</v>
      </c>
      <c r="K4330" s="3" t="s">
        <v>23</v>
      </c>
    </row>
    <row r="4331" spans="1:11" ht="42" customHeight="1">
      <c r="A4331" s="2" t="s">
        <v>8779</v>
      </c>
      <c r="B4331" s="2" t="s">
        <v>8779</v>
      </c>
      <c r="C4331" s="2" t="s">
        <v>40</v>
      </c>
      <c r="D4331" s="2" t="s">
        <v>41</v>
      </c>
      <c r="E4331" s="5">
        <v>-28750</v>
      </c>
      <c r="F4331" s="3" t="s">
        <v>917</v>
      </c>
      <c r="G4331" s="3" t="s">
        <v>20</v>
      </c>
      <c r="H4331" s="2" t="s">
        <v>21</v>
      </c>
      <c r="I4331" s="2" t="s">
        <v>8780</v>
      </c>
      <c r="J4331" s="3" t="str">
        <f>HYPERLINK("https://www.boe.es/gazeta/dias/1821/04/13/pdfs/GMD-1821-105.pdf#page=3","Abrir facsímil")</f>
        <v>Abrir facsímil</v>
      </c>
      <c r="K4331" s="3" t="s">
        <v>23</v>
      </c>
    </row>
    <row r="4332" spans="1:11" ht="42" customHeight="1">
      <c r="A4332" s="2" t="s">
        <v>8781</v>
      </c>
      <c r="B4332" s="2" t="s">
        <v>8782</v>
      </c>
      <c r="C4332" s="2" t="s">
        <v>114</v>
      </c>
      <c r="D4332" s="2" t="s">
        <v>27</v>
      </c>
      <c r="E4332" s="5">
        <v>-28847</v>
      </c>
      <c r="F4332" s="3" t="s">
        <v>288</v>
      </c>
      <c r="G4332" s="3" t="s">
        <v>289</v>
      </c>
      <c r="H4332" s="2" t="s">
        <v>21</v>
      </c>
      <c r="I4332" s="2" t="s">
        <v>8783</v>
      </c>
      <c r="J4332" s="3" t="str">
        <f>HYPERLINK("https://www.boe.es/gazeta/dias/1821/01/06/pdfs/GGB-1821-6.pdf#page=4","Abrir facsímil")</f>
        <v>Abrir facsímil</v>
      </c>
      <c r="K4332" s="3" t="s">
        <v>23</v>
      </c>
    </row>
    <row r="4333" spans="1:11" ht="42" customHeight="1">
      <c r="A4333" s="2" t="s">
        <v>8784</v>
      </c>
      <c r="B4333" s="2" t="s">
        <v>8784</v>
      </c>
      <c r="C4333" s="2" t="s">
        <v>35</v>
      </c>
      <c r="D4333" s="2" t="s">
        <v>27</v>
      </c>
      <c r="E4333" s="5">
        <v>-28779</v>
      </c>
      <c r="F4333" s="3" t="s">
        <v>1002</v>
      </c>
      <c r="G4333" s="3" t="s">
        <v>20</v>
      </c>
      <c r="H4333" s="2" t="s">
        <v>21</v>
      </c>
      <c r="I4333" s="2" t="s">
        <v>8785</v>
      </c>
      <c r="J4333" s="3" t="str">
        <f>HYPERLINK("https://www.boe.es/gazeta/dias/1821/03/15/pdfs/GMD-1821-74.pdf#page=3","Abrir facsímil")</f>
        <v>Abrir facsímil</v>
      </c>
      <c r="K4333" s="3" t="s">
        <v>23</v>
      </c>
    </row>
    <row r="4334" spans="1:11" ht="42" customHeight="1">
      <c r="A4334" s="2" t="s">
        <v>8784</v>
      </c>
      <c r="B4334" s="2" t="s">
        <v>8784</v>
      </c>
      <c r="C4334" s="2" t="s">
        <v>40</v>
      </c>
      <c r="D4334" s="2" t="s">
        <v>41</v>
      </c>
      <c r="E4334" s="5">
        <v>-28561</v>
      </c>
      <c r="F4334" s="3" t="s">
        <v>240</v>
      </c>
      <c r="G4334" s="3" t="s">
        <v>162</v>
      </c>
      <c r="H4334" s="2" t="s">
        <v>21</v>
      </c>
      <c r="I4334" s="2" t="s">
        <v>8786</v>
      </c>
      <c r="J4334" s="3" t="str">
        <f>HYPERLINK("https://www.boe.es/gazeta/dias/1821/10/19/pdfs/GMD-1821-298.pdf#page=5","Abrir facsímil")</f>
        <v>Abrir facsímil</v>
      </c>
      <c r="K4334" s="3" t="s">
        <v>23</v>
      </c>
    </row>
    <row r="4335" spans="1:11" ht="42" customHeight="1">
      <c r="A4335" s="2" t="s">
        <v>8787</v>
      </c>
      <c r="B4335" s="2" t="s">
        <v>8787</v>
      </c>
      <c r="C4335" s="2" t="s">
        <v>17</v>
      </c>
      <c r="D4335" s="2" t="s">
        <v>18</v>
      </c>
      <c r="E4335" s="5">
        <v>-28790</v>
      </c>
      <c r="F4335" s="3" t="s">
        <v>991</v>
      </c>
      <c r="G4335" s="3" t="s">
        <v>88</v>
      </c>
      <c r="H4335" s="2" t="s">
        <v>21</v>
      </c>
      <c r="I4335" s="2" t="s">
        <v>8788</v>
      </c>
      <c r="J4335" s="3" t="str">
        <f>HYPERLINK("https://www.boe.es/gazeta/dias/1821/03/04/pdfs/GGB-1821-63.pdf#page=4","Abrir facsímil")</f>
        <v>Abrir facsímil</v>
      </c>
      <c r="K4335" s="3" t="s">
        <v>23</v>
      </c>
    </row>
    <row r="4336" spans="1:11" ht="42" customHeight="1">
      <c r="A4336" s="2" t="s">
        <v>8787</v>
      </c>
      <c r="B4336" s="2" t="s">
        <v>8787</v>
      </c>
      <c r="C4336" s="2" t="s">
        <v>26</v>
      </c>
      <c r="D4336" s="2" t="s">
        <v>27</v>
      </c>
      <c r="E4336" s="5">
        <v>-28788</v>
      </c>
      <c r="F4336" s="3" t="s">
        <v>996</v>
      </c>
      <c r="G4336" s="3" t="s">
        <v>20</v>
      </c>
      <c r="H4336" s="2" t="s">
        <v>21</v>
      </c>
      <c r="I4336" s="2" t="s">
        <v>8789</v>
      </c>
      <c r="J4336" s="3" t="str">
        <f>HYPERLINK("https://www.boe.es/gazeta/dias/1821/03/06/pdfs/GGB-1821-65.pdf#page=3","Abrir facsímil")</f>
        <v>Abrir facsímil</v>
      </c>
      <c r="K4336" s="3" t="s">
        <v>23</v>
      </c>
    </row>
    <row r="4337" spans="1:11" ht="42" customHeight="1">
      <c r="A4337" s="2" t="s">
        <v>8787</v>
      </c>
      <c r="B4337" s="2" t="s">
        <v>8787</v>
      </c>
      <c r="C4337" s="2" t="s">
        <v>17</v>
      </c>
      <c r="D4337" s="2" t="s">
        <v>18</v>
      </c>
      <c r="E4337" s="5">
        <v>-28785</v>
      </c>
      <c r="F4337" s="3" t="s">
        <v>1935</v>
      </c>
      <c r="G4337" s="3" t="s">
        <v>20</v>
      </c>
      <c r="H4337" s="2" t="s">
        <v>21</v>
      </c>
      <c r="I4337" s="2" t="s">
        <v>8790</v>
      </c>
      <c r="J4337" s="3" t="str">
        <f>HYPERLINK("https://www.boe.es/gazeta/dias/1821/03/09/pdfs/GGB-1821-68.pdf#page=3","Abrir facsímil")</f>
        <v>Abrir facsímil</v>
      </c>
      <c r="K4337" s="3" t="s">
        <v>23</v>
      </c>
    </row>
    <row r="4338" spans="1:11" ht="42" customHeight="1">
      <c r="A4338" s="2" t="s">
        <v>8787</v>
      </c>
      <c r="B4338" s="2" t="s">
        <v>8787</v>
      </c>
      <c r="C4338" s="2" t="s">
        <v>70</v>
      </c>
      <c r="D4338" s="2" t="s">
        <v>27</v>
      </c>
      <c r="E4338" s="5">
        <v>-28779</v>
      </c>
      <c r="F4338" s="3" t="s">
        <v>1002</v>
      </c>
      <c r="G4338" s="3" t="s">
        <v>20</v>
      </c>
      <c r="H4338" s="2" t="s">
        <v>21</v>
      </c>
      <c r="I4338" s="2" t="s">
        <v>8791</v>
      </c>
      <c r="J4338" s="3" t="str">
        <f>HYPERLINK("https://www.boe.es/gazeta/dias/1821/03/15/pdfs/GMD-1821-74.pdf#page=3","Abrir facsímil")</f>
        <v>Abrir facsímil</v>
      </c>
      <c r="K4338" s="3" t="s">
        <v>23</v>
      </c>
    </row>
    <row r="4339" spans="1:11" ht="42" customHeight="1">
      <c r="A4339" s="2" t="s">
        <v>8787</v>
      </c>
      <c r="B4339" s="2" t="s">
        <v>8787</v>
      </c>
      <c r="C4339" s="2" t="s">
        <v>17</v>
      </c>
      <c r="D4339" s="2" t="s">
        <v>18</v>
      </c>
      <c r="E4339" s="5">
        <v>-28778</v>
      </c>
      <c r="F4339" s="3" t="s">
        <v>1301</v>
      </c>
      <c r="G4339" s="3" t="s">
        <v>162</v>
      </c>
      <c r="H4339" s="2" t="s">
        <v>21</v>
      </c>
      <c r="I4339" s="2" t="s">
        <v>8792</v>
      </c>
      <c r="J4339" s="3" t="str">
        <f>HYPERLINK("https://www.boe.es/gazeta/dias/1821/03/16/pdfs/GMD-1821-75.pdf#page=5","Abrir facsímil")</f>
        <v>Abrir facsímil</v>
      </c>
      <c r="K4339" s="3" t="s">
        <v>23</v>
      </c>
    </row>
    <row r="4340" spans="1:11" ht="42" customHeight="1">
      <c r="A4340" s="2" t="s">
        <v>8787</v>
      </c>
      <c r="B4340" s="2" t="s">
        <v>8787</v>
      </c>
      <c r="C4340" s="2" t="s">
        <v>17</v>
      </c>
      <c r="D4340" s="2" t="s">
        <v>18</v>
      </c>
      <c r="E4340" s="5">
        <v>-28775</v>
      </c>
      <c r="F4340" s="3" t="s">
        <v>132</v>
      </c>
      <c r="G4340" s="3" t="s">
        <v>52</v>
      </c>
      <c r="H4340" s="2" t="s">
        <v>21</v>
      </c>
      <c r="I4340" s="2" t="s">
        <v>8793</v>
      </c>
      <c r="J4340" s="3" t="str">
        <f>HYPERLINK("https://www.boe.es/gazeta/dias/1821/03/19/pdfs/GMD-1821-78.pdf#page=2","Abrir facsímil")</f>
        <v>Abrir facsímil</v>
      </c>
      <c r="K4340" s="3" t="s">
        <v>23</v>
      </c>
    </row>
    <row r="4341" spans="1:11" ht="42" customHeight="1">
      <c r="A4341" s="2" t="s">
        <v>8787</v>
      </c>
      <c r="B4341" s="2" t="s">
        <v>8787</v>
      </c>
      <c r="C4341" s="2" t="s">
        <v>17</v>
      </c>
      <c r="D4341" s="2" t="s">
        <v>18</v>
      </c>
      <c r="E4341" s="5">
        <v>-28757</v>
      </c>
      <c r="F4341" s="3" t="s">
        <v>472</v>
      </c>
      <c r="G4341" s="3" t="s">
        <v>20</v>
      </c>
      <c r="H4341" s="2" t="s">
        <v>21</v>
      </c>
      <c r="I4341" s="2" t="s">
        <v>8794</v>
      </c>
      <c r="J4341" s="3" t="str">
        <f>HYPERLINK("https://www.boe.es/gazeta/dias/1821/04/06/pdfs/GMD-1821-98.pdf#page=3","Abrir facsímil")</f>
        <v>Abrir facsímil</v>
      </c>
      <c r="K4341" s="3" t="s">
        <v>23</v>
      </c>
    </row>
    <row r="4342" spans="1:11" ht="42" customHeight="1">
      <c r="A4342" s="2" t="s">
        <v>8787</v>
      </c>
      <c r="B4342" s="2" t="s">
        <v>8787</v>
      </c>
      <c r="C4342" s="2" t="s">
        <v>174</v>
      </c>
      <c r="D4342" s="2" t="s">
        <v>27</v>
      </c>
      <c r="E4342" s="5">
        <v>-28751</v>
      </c>
      <c r="F4342" s="3" t="s">
        <v>356</v>
      </c>
      <c r="G4342" s="3" t="s">
        <v>52</v>
      </c>
      <c r="H4342" s="2" t="s">
        <v>21</v>
      </c>
      <c r="I4342" s="2" t="s">
        <v>8795</v>
      </c>
      <c r="J4342" s="3" t="str">
        <f>HYPERLINK("https://www.boe.es/gazeta/dias/1821/04/12/pdfs/GMD-1821-104.pdf#page=2","Abrir facsímil")</f>
        <v>Abrir facsímil</v>
      </c>
      <c r="K4342" s="3" t="s">
        <v>23</v>
      </c>
    </row>
    <row r="4343" spans="1:11" ht="42" customHeight="1">
      <c r="A4343" s="2" t="s">
        <v>8787</v>
      </c>
      <c r="B4343" s="2" t="s">
        <v>8787</v>
      </c>
      <c r="C4343" s="2" t="s">
        <v>26</v>
      </c>
      <c r="D4343" s="2" t="s">
        <v>27</v>
      </c>
      <c r="E4343" s="5">
        <v>-28751</v>
      </c>
      <c r="F4343" s="3" t="s">
        <v>356</v>
      </c>
      <c r="G4343" s="3" t="s">
        <v>20</v>
      </c>
      <c r="H4343" s="2" t="s">
        <v>21</v>
      </c>
      <c r="I4343" s="2" t="s">
        <v>8796</v>
      </c>
      <c r="J4343" s="3" t="str">
        <f>HYPERLINK("https://www.boe.es/gazeta/dias/1821/04/12/pdfs/GMD-1821-104.pdf#page=3","Abrir facsímil")</f>
        <v>Abrir facsímil</v>
      </c>
      <c r="K4343" s="3" t="s">
        <v>23</v>
      </c>
    </row>
    <row r="4344" spans="1:11" ht="42" customHeight="1">
      <c r="A4344" s="2" t="s">
        <v>8787</v>
      </c>
      <c r="B4344" s="2" t="s">
        <v>8787</v>
      </c>
      <c r="C4344" s="2" t="s">
        <v>26</v>
      </c>
      <c r="D4344" s="2" t="s">
        <v>27</v>
      </c>
      <c r="E4344" s="5">
        <v>-28747</v>
      </c>
      <c r="F4344" s="3" t="s">
        <v>1016</v>
      </c>
      <c r="G4344" s="3" t="s">
        <v>20</v>
      </c>
      <c r="H4344" s="2" t="s">
        <v>21</v>
      </c>
      <c r="I4344" s="2" t="s">
        <v>8797</v>
      </c>
      <c r="J4344" s="3" t="str">
        <f>HYPERLINK("https://www.boe.es/gazeta/dias/1821/04/16/pdfs/GMD-1821-108.pdf#page=3","Abrir facsímil")</f>
        <v>Abrir facsímil</v>
      </c>
      <c r="K4344" s="3" t="s">
        <v>23</v>
      </c>
    </row>
    <row r="4345" spans="1:11" ht="42" customHeight="1">
      <c r="A4345" s="2" t="s">
        <v>8787</v>
      </c>
      <c r="B4345" s="2" t="s">
        <v>8787</v>
      </c>
      <c r="C4345" s="2" t="s">
        <v>17</v>
      </c>
      <c r="D4345" s="2" t="s">
        <v>18</v>
      </c>
      <c r="E4345" s="5">
        <v>-28746</v>
      </c>
      <c r="F4345" s="3" t="s">
        <v>687</v>
      </c>
      <c r="G4345" s="3" t="s">
        <v>88</v>
      </c>
      <c r="H4345" s="2" t="s">
        <v>21</v>
      </c>
      <c r="I4345" s="2" t="s">
        <v>8798</v>
      </c>
      <c r="J4345" s="3" t="str">
        <f>HYPERLINK("https://www.boe.es/gazeta/dias/1821/04/17/pdfs/GMD-1821-109.pdf#page=4","Abrir facsímil")</f>
        <v>Abrir facsímil</v>
      </c>
      <c r="K4345" s="3" t="s">
        <v>23</v>
      </c>
    </row>
    <row r="4346" spans="1:11" ht="42" customHeight="1">
      <c r="A4346" s="2" t="s">
        <v>8787</v>
      </c>
      <c r="B4346" s="2" t="s">
        <v>8787</v>
      </c>
      <c r="C4346" s="2" t="s">
        <v>70</v>
      </c>
      <c r="D4346" s="2" t="s">
        <v>27</v>
      </c>
      <c r="E4346" s="5">
        <v>-28746</v>
      </c>
      <c r="F4346" s="3" t="s">
        <v>687</v>
      </c>
      <c r="G4346" s="3" t="s">
        <v>162</v>
      </c>
      <c r="H4346" s="2" t="s">
        <v>21</v>
      </c>
      <c r="I4346" s="2" t="s">
        <v>8799</v>
      </c>
      <c r="J4346" s="3" t="str">
        <f>HYPERLINK("https://www.boe.es/gazeta/dias/1821/04/17/pdfs/GMD-1821-109.pdf#page=5","Abrir facsímil")</f>
        <v>Abrir facsímil</v>
      </c>
      <c r="K4346" s="3" t="s">
        <v>23</v>
      </c>
    </row>
    <row r="4347" spans="1:11" ht="42" customHeight="1">
      <c r="A4347" s="2" t="s">
        <v>8787</v>
      </c>
      <c r="B4347" s="2" t="s">
        <v>8787</v>
      </c>
      <c r="C4347" s="2" t="s">
        <v>26</v>
      </c>
      <c r="D4347" s="2" t="s">
        <v>27</v>
      </c>
      <c r="E4347" s="5">
        <v>-28746</v>
      </c>
      <c r="F4347" s="3" t="s">
        <v>687</v>
      </c>
      <c r="G4347" s="3" t="s">
        <v>29</v>
      </c>
      <c r="H4347" s="2" t="s">
        <v>21</v>
      </c>
      <c r="I4347" s="2" t="s">
        <v>8800</v>
      </c>
      <c r="J4347" s="3" t="str">
        <f>HYPERLINK("https://www.boe.es/gazeta/dias/1821/04/17/pdfs/GMD-1821-109.pdf#page=6","Abrir facsímil")</f>
        <v>Abrir facsímil</v>
      </c>
      <c r="K4347" s="3" t="s">
        <v>23</v>
      </c>
    </row>
    <row r="4348" spans="1:11" ht="42" customHeight="1">
      <c r="A4348" s="2" t="s">
        <v>8787</v>
      </c>
      <c r="B4348" s="2" t="s">
        <v>8787</v>
      </c>
      <c r="C4348" s="2" t="s">
        <v>40</v>
      </c>
      <c r="D4348" s="2" t="s">
        <v>41</v>
      </c>
      <c r="E4348" s="5">
        <v>-28735</v>
      </c>
      <c r="F4348" s="3" t="s">
        <v>836</v>
      </c>
      <c r="G4348" s="3" t="s">
        <v>52</v>
      </c>
      <c r="H4348" s="2" t="s">
        <v>21</v>
      </c>
      <c r="I4348" s="2" t="s">
        <v>8801</v>
      </c>
      <c r="J4348" s="3" t="str">
        <f>HYPERLINK("https://www.boe.es/gazeta/dias/1821/04/28/pdfs/GMD-1821-120.pdf#page=2","Abrir facsímil")</f>
        <v>Abrir facsímil</v>
      </c>
      <c r="K4348" s="3" t="s">
        <v>23</v>
      </c>
    </row>
    <row r="4349" spans="1:11" ht="42" customHeight="1">
      <c r="A4349" s="2" t="s">
        <v>8787</v>
      </c>
      <c r="B4349" s="2" t="s">
        <v>8787</v>
      </c>
      <c r="C4349" s="2" t="s">
        <v>17</v>
      </c>
      <c r="D4349" s="2" t="s">
        <v>18</v>
      </c>
      <c r="E4349" s="5">
        <v>-28732</v>
      </c>
      <c r="F4349" s="3" t="s">
        <v>2628</v>
      </c>
      <c r="G4349" s="3" t="s">
        <v>52</v>
      </c>
      <c r="H4349" s="2" t="s">
        <v>21</v>
      </c>
      <c r="I4349" s="2" t="s">
        <v>8802</v>
      </c>
      <c r="J4349" s="3" t="str">
        <f>HYPERLINK("https://www.boe.es/gazeta/dias/1821/05/01/pdfs/GMD-1821-123.pdf#page=2","Abrir facsímil")</f>
        <v>Abrir facsímil</v>
      </c>
      <c r="K4349" s="3" t="s">
        <v>23</v>
      </c>
    </row>
    <row r="4350" spans="1:11" ht="42" customHeight="1">
      <c r="A4350" s="2" t="s">
        <v>8787</v>
      </c>
      <c r="B4350" s="2" t="s">
        <v>8787</v>
      </c>
      <c r="C4350" s="2" t="s">
        <v>26</v>
      </c>
      <c r="D4350" s="2" t="s">
        <v>27</v>
      </c>
      <c r="E4350" s="5">
        <v>-28706</v>
      </c>
      <c r="F4350" s="3" t="s">
        <v>4791</v>
      </c>
      <c r="G4350" s="3" t="s">
        <v>43</v>
      </c>
      <c r="H4350" s="2" t="s">
        <v>21</v>
      </c>
      <c r="I4350" s="2" t="s">
        <v>8803</v>
      </c>
      <c r="J4350" s="3" t="str">
        <f>HYPERLINK("https://www.boe.es/gazeta/dias/1821/05/27/pdfs/GMD-1821-149.pdf#page=1","Abrir facsímil")</f>
        <v>Abrir facsímil</v>
      </c>
      <c r="K4350" s="3" t="s">
        <v>23</v>
      </c>
    </row>
    <row r="4351" spans="1:11" ht="42" customHeight="1">
      <c r="A4351" s="2" t="s">
        <v>8787</v>
      </c>
      <c r="B4351" s="2" t="s">
        <v>8787</v>
      </c>
      <c r="C4351" s="2" t="s">
        <v>40</v>
      </c>
      <c r="D4351" s="2" t="s">
        <v>41</v>
      </c>
      <c r="E4351" s="5">
        <v>-28700</v>
      </c>
      <c r="F4351" s="3" t="s">
        <v>701</v>
      </c>
      <c r="G4351" s="3" t="s">
        <v>52</v>
      </c>
      <c r="H4351" s="2" t="s">
        <v>21</v>
      </c>
      <c r="I4351" s="2" t="s">
        <v>8804</v>
      </c>
      <c r="J4351" s="3" t="str">
        <f>HYPERLINK("https://www.boe.es/gazeta/dias/1821/06/02/pdfs/GMD-1821-155.pdf#page=2","Abrir facsímil")</f>
        <v>Abrir facsímil</v>
      </c>
      <c r="K4351" s="3" t="s">
        <v>23</v>
      </c>
    </row>
    <row r="4352" spans="1:11" ht="42" customHeight="1">
      <c r="A4352" s="2" t="s">
        <v>8787</v>
      </c>
      <c r="B4352" s="2" t="s">
        <v>8787</v>
      </c>
      <c r="C4352" s="2" t="s">
        <v>35</v>
      </c>
      <c r="D4352" s="2" t="s">
        <v>27</v>
      </c>
      <c r="E4352" s="5">
        <v>-28700</v>
      </c>
      <c r="F4352" s="3" t="s">
        <v>701</v>
      </c>
      <c r="G4352" s="3" t="s">
        <v>88</v>
      </c>
      <c r="H4352" s="2" t="s">
        <v>21</v>
      </c>
      <c r="I4352" s="2" t="s">
        <v>8805</v>
      </c>
      <c r="J4352" s="3" t="str">
        <f>HYPERLINK("https://www.boe.es/gazeta/dias/1821/06/02/pdfs/GMD-1821-155.pdf#page=4","Abrir facsímil")</f>
        <v>Abrir facsímil</v>
      </c>
      <c r="K4352" s="3" t="s">
        <v>23</v>
      </c>
    </row>
    <row r="4353" spans="1:11" ht="42" customHeight="1">
      <c r="A4353" s="2" t="s">
        <v>8787</v>
      </c>
      <c r="B4353" s="2" t="s">
        <v>8787</v>
      </c>
      <c r="C4353" s="2" t="s">
        <v>70</v>
      </c>
      <c r="D4353" s="2" t="s">
        <v>27</v>
      </c>
      <c r="E4353" s="5">
        <v>-28696</v>
      </c>
      <c r="F4353" s="3" t="s">
        <v>497</v>
      </c>
      <c r="G4353" s="3" t="s">
        <v>52</v>
      </c>
      <c r="H4353" s="2" t="s">
        <v>21</v>
      </c>
      <c r="I4353" s="2" t="s">
        <v>8806</v>
      </c>
      <c r="J4353" s="3" t="str">
        <f>HYPERLINK("https://www.boe.es/gazeta/dias/1821/06/06/pdfs/GMD-1821-159.pdf#page=2","Abrir facsímil")</f>
        <v>Abrir facsímil</v>
      </c>
      <c r="K4353" s="3" t="s">
        <v>23</v>
      </c>
    </row>
    <row r="4354" spans="1:11" ht="42" customHeight="1">
      <c r="A4354" s="2" t="s">
        <v>8787</v>
      </c>
      <c r="B4354" s="2" t="s">
        <v>8787</v>
      </c>
      <c r="C4354" s="2" t="s">
        <v>114</v>
      </c>
      <c r="D4354" s="2" t="s">
        <v>27</v>
      </c>
      <c r="E4354" s="5">
        <v>-28693</v>
      </c>
      <c r="F4354" s="3" t="s">
        <v>74</v>
      </c>
      <c r="G4354" s="3" t="s">
        <v>52</v>
      </c>
      <c r="H4354" s="2" t="s">
        <v>21</v>
      </c>
      <c r="I4354" s="2" t="s">
        <v>8807</v>
      </c>
      <c r="J4354" s="3" t="str">
        <f>HYPERLINK("https://www.boe.es/gazeta/dias/1821/06/09/pdfs/GMD-1821-162.pdf#page=2","Abrir facsímil")</f>
        <v>Abrir facsímil</v>
      </c>
      <c r="K4354" s="3" t="s">
        <v>23</v>
      </c>
    </row>
    <row r="4355" spans="1:11" ht="42" customHeight="1">
      <c r="A4355" s="2" t="s">
        <v>8787</v>
      </c>
      <c r="B4355" s="2" t="s">
        <v>8787</v>
      </c>
      <c r="C4355" s="2" t="s">
        <v>40</v>
      </c>
      <c r="D4355" s="2" t="s">
        <v>41</v>
      </c>
      <c r="E4355" s="5">
        <v>-28692</v>
      </c>
      <c r="F4355" s="3" t="s">
        <v>3807</v>
      </c>
      <c r="G4355" s="3" t="s">
        <v>3808</v>
      </c>
      <c r="H4355" s="2" t="s">
        <v>21</v>
      </c>
      <c r="I4355" s="2" t="s">
        <v>8808</v>
      </c>
      <c r="J4355" s="3" t="str">
        <f>HYPERLINK("https://www.boe.es/gazeta/dias/1821/06/10/pdfs/GMD-1821-163.pdf#page=3","Abrir facsímil")</f>
        <v>Abrir facsímil</v>
      </c>
      <c r="K4355" s="3" t="s">
        <v>23</v>
      </c>
    </row>
    <row r="4356" spans="1:11" ht="42" customHeight="1">
      <c r="A4356" s="2" t="s">
        <v>8787</v>
      </c>
      <c r="B4356" s="2" t="s">
        <v>8787</v>
      </c>
      <c r="C4356" s="2" t="s">
        <v>17</v>
      </c>
      <c r="D4356" s="2" t="s">
        <v>18</v>
      </c>
      <c r="E4356" s="5">
        <v>-28686</v>
      </c>
      <c r="F4356" s="3" t="s">
        <v>115</v>
      </c>
      <c r="G4356" s="3" t="s">
        <v>20</v>
      </c>
      <c r="H4356" s="2" t="s">
        <v>21</v>
      </c>
      <c r="I4356" s="2" t="s">
        <v>8809</v>
      </c>
      <c r="J4356" s="3" t="str">
        <f>HYPERLINK("https://www.boe.es/gazeta/dias/1821/06/16/pdfs/GMD-1821-169.pdf#page=3","Abrir facsímil")</f>
        <v>Abrir facsímil</v>
      </c>
      <c r="K4356" s="3" t="s">
        <v>23</v>
      </c>
    </row>
    <row r="4357" spans="1:11" ht="42" customHeight="1">
      <c r="A4357" s="2" t="s">
        <v>8787</v>
      </c>
      <c r="B4357" s="2" t="s">
        <v>8787</v>
      </c>
      <c r="C4357" s="2" t="s">
        <v>70</v>
      </c>
      <c r="D4357" s="2" t="s">
        <v>27</v>
      </c>
      <c r="E4357" s="5">
        <v>-28685</v>
      </c>
      <c r="F4357" s="3" t="s">
        <v>303</v>
      </c>
      <c r="G4357" s="3" t="s">
        <v>52</v>
      </c>
      <c r="H4357" s="2" t="s">
        <v>21</v>
      </c>
      <c r="I4357" s="2" t="s">
        <v>8810</v>
      </c>
      <c r="J4357" s="3" t="str">
        <f>HYPERLINK("https://www.boe.es/gazeta/dias/1821/06/17/pdfs/GMD-1821-170.pdf#page=2","Abrir facsímil")</f>
        <v>Abrir facsímil</v>
      </c>
      <c r="K4357" s="3" t="s">
        <v>23</v>
      </c>
    </row>
    <row r="4358" spans="1:11" ht="42" customHeight="1">
      <c r="A4358" s="2" t="s">
        <v>8787</v>
      </c>
      <c r="B4358" s="2" t="s">
        <v>8787</v>
      </c>
      <c r="C4358" s="2" t="s">
        <v>40</v>
      </c>
      <c r="D4358" s="2" t="s">
        <v>41</v>
      </c>
      <c r="E4358" s="5">
        <v>-28683</v>
      </c>
      <c r="F4358" s="3" t="s">
        <v>332</v>
      </c>
      <c r="G4358" s="3" t="s">
        <v>88</v>
      </c>
      <c r="H4358" s="2" t="s">
        <v>21</v>
      </c>
      <c r="I4358" s="2" t="s">
        <v>8811</v>
      </c>
      <c r="J4358" s="3" t="str">
        <f>HYPERLINK("https://www.boe.es/gazeta/dias/1821/06/19/pdfs/GMD-1821-172.pdf#page=4","Abrir facsímil")</f>
        <v>Abrir facsímil</v>
      </c>
      <c r="K4358" s="3" t="s">
        <v>23</v>
      </c>
    </row>
    <row r="4359" spans="1:11" ht="42" customHeight="1">
      <c r="A4359" s="2" t="s">
        <v>8787</v>
      </c>
      <c r="B4359" s="2" t="s">
        <v>8787</v>
      </c>
      <c r="C4359" s="2" t="s">
        <v>35</v>
      </c>
      <c r="D4359" s="2" t="s">
        <v>27</v>
      </c>
      <c r="E4359" s="5">
        <v>-28682</v>
      </c>
      <c r="F4359" s="3" t="s">
        <v>1064</v>
      </c>
      <c r="G4359" s="3" t="s">
        <v>52</v>
      </c>
      <c r="H4359" s="2" t="s">
        <v>21</v>
      </c>
      <c r="I4359" s="2" t="s">
        <v>8812</v>
      </c>
      <c r="J4359" s="3" t="str">
        <f>HYPERLINK("https://www.boe.es/gazeta/dias/1821/06/20/pdfs/GMD-1821-173.pdf#page=2","Abrir facsímil")</f>
        <v>Abrir facsímil</v>
      </c>
      <c r="K4359" s="3" t="s">
        <v>23</v>
      </c>
    </row>
    <row r="4360" spans="1:11" ht="42" customHeight="1">
      <c r="A4360" s="2" t="s">
        <v>8787</v>
      </c>
      <c r="B4360" s="2" t="s">
        <v>8787</v>
      </c>
      <c r="C4360" s="2" t="s">
        <v>114</v>
      </c>
      <c r="D4360" s="2" t="s">
        <v>27</v>
      </c>
      <c r="E4360" s="5">
        <v>-28678</v>
      </c>
      <c r="F4360" s="3" t="s">
        <v>215</v>
      </c>
      <c r="G4360" s="3" t="s">
        <v>88</v>
      </c>
      <c r="H4360" s="2" t="s">
        <v>21</v>
      </c>
      <c r="I4360" s="2" t="s">
        <v>8813</v>
      </c>
      <c r="J4360" s="3" t="str">
        <f>HYPERLINK("https://www.boe.es/gazeta/dias/1821/06/24/pdfs/GMD-1821-177.pdf#page=4","Abrir facsímil")</f>
        <v>Abrir facsímil</v>
      </c>
      <c r="K4360" s="3" t="s">
        <v>23</v>
      </c>
    </row>
    <row r="4361" spans="1:11" ht="42" customHeight="1">
      <c r="A4361" s="2" t="s">
        <v>8787</v>
      </c>
      <c r="B4361" s="2" t="s">
        <v>8787</v>
      </c>
      <c r="C4361" s="2" t="s">
        <v>26</v>
      </c>
      <c r="D4361" s="2" t="s">
        <v>27</v>
      </c>
      <c r="E4361" s="5">
        <v>-28677</v>
      </c>
      <c r="F4361" s="3" t="s">
        <v>361</v>
      </c>
      <c r="G4361" s="3" t="s">
        <v>162</v>
      </c>
      <c r="H4361" s="2" t="s">
        <v>21</v>
      </c>
      <c r="I4361" s="2" t="s">
        <v>8814</v>
      </c>
      <c r="J4361" s="3" t="str">
        <f>HYPERLINK("https://www.boe.es/gazeta/dias/1821/06/25/pdfs/GMD-1821-178.pdf#page=5","Abrir facsímil")</f>
        <v>Abrir facsímil</v>
      </c>
      <c r="K4361" s="3" t="s">
        <v>23</v>
      </c>
    </row>
    <row r="4362" spans="1:11" ht="42" customHeight="1">
      <c r="A4362" s="2" t="s">
        <v>8787</v>
      </c>
      <c r="B4362" s="2" t="s">
        <v>8787</v>
      </c>
      <c r="C4362" s="2" t="s">
        <v>35</v>
      </c>
      <c r="D4362" s="2" t="s">
        <v>27</v>
      </c>
      <c r="E4362" s="5">
        <v>-28579</v>
      </c>
      <c r="F4362" s="3" t="s">
        <v>743</v>
      </c>
      <c r="G4362" s="3" t="s">
        <v>7128</v>
      </c>
      <c r="H4362" s="2" t="s">
        <v>21</v>
      </c>
      <c r="I4362" s="2" t="s">
        <v>8815</v>
      </c>
      <c r="J4362" s="3" t="str">
        <f>HYPERLINK("https://www.boe.es/gazeta/dias/1821/10/01/pdfs/GMD-1821-280.pdf#page=3","Abrir facsímil")</f>
        <v>Abrir facsímil</v>
      </c>
      <c r="K4362" s="3" t="s">
        <v>23</v>
      </c>
    </row>
    <row r="4363" spans="1:11" ht="42" customHeight="1">
      <c r="A4363" s="2" t="s">
        <v>8787</v>
      </c>
      <c r="B4363" s="2" t="s">
        <v>8787</v>
      </c>
      <c r="C4363" s="2" t="s">
        <v>40</v>
      </c>
      <c r="D4363" s="2" t="s">
        <v>41</v>
      </c>
      <c r="E4363" s="5">
        <v>-28574</v>
      </c>
      <c r="F4363" s="3" t="s">
        <v>779</v>
      </c>
      <c r="G4363" s="3" t="s">
        <v>29</v>
      </c>
      <c r="H4363" s="2" t="s">
        <v>21</v>
      </c>
      <c r="I4363" s="2" t="s">
        <v>8816</v>
      </c>
      <c r="J4363" s="3" t="str">
        <f>HYPERLINK("https://www.boe.es/gazeta/dias/1821/10/06/pdfs/GMD-1821-285.pdf#page=6","Abrir facsímil")</f>
        <v>Abrir facsímil</v>
      </c>
      <c r="K4363" s="3" t="s">
        <v>23</v>
      </c>
    </row>
    <row r="4364" spans="1:11" ht="42" customHeight="1">
      <c r="A4364" s="2" t="s">
        <v>8787</v>
      </c>
      <c r="B4364" s="2" t="s">
        <v>8787</v>
      </c>
      <c r="C4364" s="2" t="s">
        <v>17</v>
      </c>
      <c r="D4364" s="2" t="s">
        <v>18</v>
      </c>
      <c r="E4364" s="5">
        <v>-28574</v>
      </c>
      <c r="F4364" s="3" t="s">
        <v>779</v>
      </c>
      <c r="G4364" s="3" t="s">
        <v>609</v>
      </c>
      <c r="H4364" s="2" t="s">
        <v>21</v>
      </c>
      <c r="I4364" s="2" t="s">
        <v>8817</v>
      </c>
      <c r="J4364" s="3" t="str">
        <f>HYPERLINK("https://www.boe.es/gazeta/dias/1821/10/06/pdfs/GMD-1821-285.pdf#page=7","Abrir facsímil")</f>
        <v>Abrir facsímil</v>
      </c>
      <c r="K4364" s="3" t="s">
        <v>23</v>
      </c>
    </row>
    <row r="4365" spans="1:11" ht="42" customHeight="1">
      <c r="A4365" s="2" t="s">
        <v>8787</v>
      </c>
      <c r="B4365" s="2" t="s">
        <v>8787</v>
      </c>
      <c r="C4365" s="2" t="s">
        <v>114</v>
      </c>
      <c r="D4365" s="2" t="s">
        <v>27</v>
      </c>
      <c r="E4365" s="5">
        <v>-28562</v>
      </c>
      <c r="F4365" s="3" t="s">
        <v>3093</v>
      </c>
      <c r="G4365" s="3" t="s">
        <v>162</v>
      </c>
      <c r="H4365" s="2" t="s">
        <v>21</v>
      </c>
      <c r="I4365" s="2" t="s">
        <v>8818</v>
      </c>
      <c r="J4365" s="3" t="str">
        <f>HYPERLINK("https://www.boe.es/gazeta/dias/1821/10/18/pdfs/GMD-1821-297.pdf#page=5","Abrir facsímil")</f>
        <v>Abrir facsímil</v>
      </c>
      <c r="K4365" s="3" t="s">
        <v>23</v>
      </c>
    </row>
    <row r="4366" spans="1:11" ht="42" customHeight="1">
      <c r="A4366" s="2" t="s">
        <v>8787</v>
      </c>
      <c r="B4366" s="2" t="s">
        <v>8787</v>
      </c>
      <c r="C4366" s="2" t="s">
        <v>40</v>
      </c>
      <c r="D4366" s="2" t="s">
        <v>41</v>
      </c>
      <c r="E4366" s="5">
        <v>-28562</v>
      </c>
      <c r="F4366" s="3" t="s">
        <v>3093</v>
      </c>
      <c r="G4366" s="3" t="s">
        <v>29</v>
      </c>
      <c r="H4366" s="2" t="s">
        <v>21</v>
      </c>
      <c r="I4366" s="2" t="s">
        <v>8819</v>
      </c>
      <c r="J4366" s="3" t="str">
        <f>HYPERLINK("https://www.boe.es/gazeta/dias/1821/10/18/pdfs/GMD-1821-297.pdf#page=6","Abrir facsímil")</f>
        <v>Abrir facsímil</v>
      </c>
      <c r="K4366" s="3" t="s">
        <v>23</v>
      </c>
    </row>
    <row r="4367" spans="1:11" ht="42" customHeight="1">
      <c r="A4367" s="2" t="s">
        <v>8787</v>
      </c>
      <c r="B4367" s="2" t="s">
        <v>8787</v>
      </c>
      <c r="C4367" s="2" t="s">
        <v>17</v>
      </c>
      <c r="D4367" s="2" t="s">
        <v>18</v>
      </c>
      <c r="E4367" s="5">
        <v>-28545</v>
      </c>
      <c r="F4367" s="3" t="s">
        <v>284</v>
      </c>
      <c r="G4367" s="3" t="s">
        <v>162</v>
      </c>
      <c r="H4367" s="2" t="s">
        <v>21</v>
      </c>
      <c r="I4367" s="2" t="s">
        <v>8820</v>
      </c>
      <c r="J4367" s="3" t="str">
        <f>HYPERLINK("https://www.boe.es/gazeta/dias/1821/11/04/pdfs/GMD-1821-315.pdf#page=5","Abrir facsímil")</f>
        <v>Abrir facsímil</v>
      </c>
      <c r="K4367" s="3" t="s">
        <v>23</v>
      </c>
    </row>
    <row r="4368" spans="1:11" ht="42" customHeight="1">
      <c r="A4368" s="2" t="s">
        <v>8787</v>
      </c>
      <c r="B4368" s="2" t="s">
        <v>8787</v>
      </c>
      <c r="C4368" s="2" t="s">
        <v>40</v>
      </c>
      <c r="D4368" s="2" t="s">
        <v>41</v>
      </c>
      <c r="E4368" s="5">
        <v>-28527</v>
      </c>
      <c r="F4368" s="3" t="s">
        <v>328</v>
      </c>
      <c r="G4368" s="3" t="s">
        <v>6605</v>
      </c>
      <c r="H4368" s="2" t="s">
        <v>21</v>
      </c>
      <c r="I4368" s="2" t="s">
        <v>8821</v>
      </c>
      <c r="J4368" s="3" t="str">
        <f>HYPERLINK("https://www.boe.es/gazeta/dias/1821/11/22/pdfs/GMD-1821-333.pdf#page=2","Abrir facsímil")</f>
        <v>Abrir facsímil</v>
      </c>
      <c r="K4368" s="3" t="s">
        <v>23</v>
      </c>
    </row>
    <row r="4369" spans="1:11" ht="42" customHeight="1">
      <c r="A4369" s="2" t="s">
        <v>8822</v>
      </c>
      <c r="B4369" s="2" t="s">
        <v>8822</v>
      </c>
      <c r="C4369" s="2" t="s">
        <v>17</v>
      </c>
      <c r="D4369" s="2" t="s">
        <v>18</v>
      </c>
      <c r="E4369" s="5">
        <v>-28513</v>
      </c>
      <c r="F4369" s="3" t="s">
        <v>502</v>
      </c>
      <c r="G4369" s="3" t="s">
        <v>20</v>
      </c>
      <c r="H4369" s="2" t="s">
        <v>21</v>
      </c>
      <c r="I4369" s="2" t="s">
        <v>8823</v>
      </c>
      <c r="J4369" s="3" t="str">
        <f>HYPERLINK("https://www.boe.es/gazeta/dias/1821/12/06/pdfs/GMD-1821-348.pdf#page=3","Abrir facsímil")</f>
        <v>Abrir facsímil</v>
      </c>
      <c r="K4369" s="3" t="s">
        <v>23</v>
      </c>
    </row>
    <row r="4370" spans="1:11" ht="42" customHeight="1">
      <c r="A4370" s="2" t="s">
        <v>8787</v>
      </c>
      <c r="B4370" s="2" t="s">
        <v>8787</v>
      </c>
      <c r="C4370" s="2" t="s">
        <v>26</v>
      </c>
      <c r="D4370" s="2" t="s">
        <v>27</v>
      </c>
      <c r="E4370" s="5">
        <v>-28513</v>
      </c>
      <c r="F4370" s="3" t="s">
        <v>502</v>
      </c>
      <c r="G4370" s="3" t="s">
        <v>88</v>
      </c>
      <c r="H4370" s="2" t="s">
        <v>21</v>
      </c>
      <c r="I4370" s="2" t="s">
        <v>8824</v>
      </c>
      <c r="J4370" s="3" t="str">
        <f>HYPERLINK("https://www.boe.es/gazeta/dias/1821/12/06/pdfs/GMD-1821-348.pdf#page=4","Abrir facsímil")</f>
        <v>Abrir facsímil</v>
      </c>
      <c r="K4370" s="3" t="s">
        <v>23</v>
      </c>
    </row>
    <row r="4371" spans="1:11" ht="42" customHeight="1">
      <c r="A4371" s="2" t="s">
        <v>8787</v>
      </c>
      <c r="B4371" s="2" t="s">
        <v>8787</v>
      </c>
      <c r="C4371" s="2" t="s">
        <v>40</v>
      </c>
      <c r="D4371" s="2" t="s">
        <v>41</v>
      </c>
      <c r="E4371" s="5">
        <v>-28506</v>
      </c>
      <c r="F4371" s="3" t="s">
        <v>1095</v>
      </c>
      <c r="G4371" s="3" t="s">
        <v>88</v>
      </c>
      <c r="H4371" s="2" t="s">
        <v>21</v>
      </c>
      <c r="I4371" s="2" t="s">
        <v>8825</v>
      </c>
      <c r="J4371" s="3" t="str">
        <f>HYPERLINK("https://www.boe.es/gazeta/dias/1821/12/13/pdfs/GMD-1821-356.pdf#page=4","Abrir facsímil")</f>
        <v>Abrir facsímil</v>
      </c>
      <c r="K4371" s="3" t="s">
        <v>23</v>
      </c>
    </row>
    <row r="4372" spans="1:11" ht="42" customHeight="1">
      <c r="A4372" s="2" t="s">
        <v>8787</v>
      </c>
      <c r="B4372" s="2" t="s">
        <v>8787</v>
      </c>
      <c r="C4372" s="2" t="s">
        <v>17</v>
      </c>
      <c r="D4372" s="2" t="s">
        <v>18</v>
      </c>
      <c r="E4372" s="5">
        <v>-28503</v>
      </c>
      <c r="F4372" s="3" t="s">
        <v>947</v>
      </c>
      <c r="G4372" s="3" t="s">
        <v>43</v>
      </c>
      <c r="H4372" s="2" t="s">
        <v>21</v>
      </c>
      <c r="I4372" s="2" t="s">
        <v>8826</v>
      </c>
      <c r="J4372" s="3" t="str">
        <f>HYPERLINK("https://www.boe.es/gazeta/dias/1821/12/16/pdfs/GMD-1821-359.pdf#page=1","Abrir facsímil")</f>
        <v>Abrir facsímil</v>
      </c>
      <c r="K4372" s="3" t="s">
        <v>23</v>
      </c>
    </row>
    <row r="4373" spans="1:11" ht="42" customHeight="1">
      <c r="A4373" s="2" t="s">
        <v>8787</v>
      </c>
      <c r="B4373" s="2" t="s">
        <v>8787</v>
      </c>
      <c r="C4373" s="2" t="s">
        <v>26</v>
      </c>
      <c r="D4373" s="2" t="s">
        <v>27</v>
      </c>
      <c r="E4373" s="5">
        <v>-28500</v>
      </c>
      <c r="F4373" s="3" t="s">
        <v>298</v>
      </c>
      <c r="G4373" s="3" t="s">
        <v>299</v>
      </c>
      <c r="H4373" s="2" t="s">
        <v>21</v>
      </c>
      <c r="I4373" s="2" t="s">
        <v>8827</v>
      </c>
      <c r="J4373" s="3" t="str">
        <f>HYPERLINK("https://www.boe.es/gazeta/dias/1821/12/19/pdfs/GMD-1821-362.pdf#page=4","Abrir facsímil")</f>
        <v>Abrir facsímil</v>
      </c>
      <c r="K4373" s="3" t="s">
        <v>23</v>
      </c>
    </row>
    <row r="4374" spans="1:11" ht="42" customHeight="1">
      <c r="A4374" s="2" t="s">
        <v>8787</v>
      </c>
      <c r="B4374" s="2" t="s">
        <v>8787</v>
      </c>
      <c r="C4374" s="2" t="s">
        <v>26</v>
      </c>
      <c r="D4374" s="2" t="s">
        <v>27</v>
      </c>
      <c r="E4374" s="5">
        <v>-28499</v>
      </c>
      <c r="F4374" s="3" t="s">
        <v>954</v>
      </c>
      <c r="G4374" s="3" t="s">
        <v>20</v>
      </c>
      <c r="H4374" s="2" t="s">
        <v>21</v>
      </c>
      <c r="I4374" s="2" t="s">
        <v>8828</v>
      </c>
      <c r="J4374" s="3" t="str">
        <f>HYPERLINK("https://www.boe.es/gazeta/dias/1821/12/20/pdfs/GMD-1821-363.pdf#page=3","Abrir facsímil")</f>
        <v>Abrir facsímil</v>
      </c>
      <c r="K4374" s="3" t="s">
        <v>23</v>
      </c>
    </row>
    <row r="4375" spans="1:11" ht="42" customHeight="1">
      <c r="A4375" s="2" t="s">
        <v>8829</v>
      </c>
      <c r="B4375" s="2" t="s">
        <v>8829</v>
      </c>
      <c r="C4375" s="2" t="s">
        <v>70</v>
      </c>
      <c r="D4375" s="2" t="s">
        <v>27</v>
      </c>
      <c r="E4375" s="5">
        <v>-28746</v>
      </c>
      <c r="F4375" s="3" t="s">
        <v>687</v>
      </c>
      <c r="G4375" s="3" t="s">
        <v>29</v>
      </c>
      <c r="H4375" s="2" t="s">
        <v>21</v>
      </c>
      <c r="I4375" s="2" t="s">
        <v>8830</v>
      </c>
      <c r="J4375" s="3" t="str">
        <f>HYPERLINK("https://www.boe.es/gazeta/dias/1821/04/17/pdfs/GMD-1821-109.pdf#page=6","Abrir facsímil")</f>
        <v>Abrir facsímil</v>
      </c>
      <c r="K4375" s="3" t="s">
        <v>23</v>
      </c>
    </row>
    <row r="4376" spans="1:11" ht="42" customHeight="1">
      <c r="A4376" s="2" t="s">
        <v>8831</v>
      </c>
      <c r="B4376" s="2" t="s">
        <v>8831</v>
      </c>
      <c r="C4376" s="2" t="s">
        <v>26</v>
      </c>
      <c r="D4376" s="2" t="s">
        <v>27</v>
      </c>
      <c r="E4376" s="5">
        <v>-28789</v>
      </c>
      <c r="F4376" s="3" t="s">
        <v>36</v>
      </c>
      <c r="G4376" s="3" t="s">
        <v>52</v>
      </c>
      <c r="H4376" s="2" t="s">
        <v>21</v>
      </c>
      <c r="I4376" s="2" t="s">
        <v>8832</v>
      </c>
      <c r="J4376" s="3" t="str">
        <f>HYPERLINK("https://www.boe.es/gazeta/dias/1821/03/05/pdfs/GGB-1821-64.pdf#page=2","Abrir facsímil")</f>
        <v>Abrir facsímil</v>
      </c>
      <c r="K4376" s="3" t="s">
        <v>23</v>
      </c>
    </row>
    <row r="4377" spans="1:11" ht="42" customHeight="1">
      <c r="A4377" s="2" t="s">
        <v>8831</v>
      </c>
      <c r="B4377" s="2" t="s">
        <v>8831</v>
      </c>
      <c r="C4377" s="2" t="s">
        <v>17</v>
      </c>
      <c r="D4377" s="2" t="s">
        <v>18</v>
      </c>
      <c r="E4377" s="5">
        <v>-28788</v>
      </c>
      <c r="F4377" s="3" t="s">
        <v>996</v>
      </c>
      <c r="G4377" s="3" t="s">
        <v>52</v>
      </c>
      <c r="H4377" s="2" t="s">
        <v>21</v>
      </c>
      <c r="I4377" s="2" t="s">
        <v>8833</v>
      </c>
      <c r="J4377" s="3" t="str">
        <f>HYPERLINK("https://www.boe.es/gazeta/dias/1821/03/06/pdfs/GGB-1821-65.pdf#page=2","Abrir facsímil")</f>
        <v>Abrir facsímil</v>
      </c>
      <c r="K4377" s="3" t="s">
        <v>23</v>
      </c>
    </row>
    <row r="4378" spans="1:11" ht="42" customHeight="1">
      <c r="A4378" s="2" t="s">
        <v>8831</v>
      </c>
      <c r="B4378" s="2" t="s">
        <v>8831</v>
      </c>
      <c r="C4378" s="2" t="s">
        <v>40</v>
      </c>
      <c r="D4378" s="2" t="s">
        <v>41</v>
      </c>
      <c r="E4378" s="5">
        <v>-28784</v>
      </c>
      <c r="F4378" s="3" t="s">
        <v>451</v>
      </c>
      <c r="G4378" s="3" t="s">
        <v>43</v>
      </c>
      <c r="H4378" s="2" t="s">
        <v>21</v>
      </c>
      <c r="I4378" s="2" t="s">
        <v>8834</v>
      </c>
      <c r="J4378" s="3" t="str">
        <f>HYPERLINK("https://www.boe.es/gazeta/dias/1821/03/10/pdfs/GGB-1821-69.pdf#page=1","Abrir facsímil")</f>
        <v>Abrir facsímil</v>
      </c>
      <c r="K4378" s="3" t="s">
        <v>23</v>
      </c>
    </row>
    <row r="4379" spans="1:11" ht="42" customHeight="1">
      <c r="A4379" s="2" t="s">
        <v>8831</v>
      </c>
      <c r="B4379" s="2" t="s">
        <v>8831</v>
      </c>
      <c r="C4379" s="2" t="s">
        <v>174</v>
      </c>
      <c r="D4379" s="2" t="s">
        <v>27</v>
      </c>
      <c r="E4379" s="5">
        <v>-28779</v>
      </c>
      <c r="F4379" s="3" t="s">
        <v>1002</v>
      </c>
      <c r="G4379" s="3" t="s">
        <v>43</v>
      </c>
      <c r="H4379" s="2" t="s">
        <v>21</v>
      </c>
      <c r="I4379" s="2" t="s">
        <v>8835</v>
      </c>
      <c r="J4379" s="3" t="str">
        <f>HYPERLINK("https://www.boe.es/gazeta/dias/1821/03/15/pdfs/GMD-1821-74.pdf#page=1","Abrir facsímil")</f>
        <v>Abrir facsímil</v>
      </c>
      <c r="K4379" s="3" t="s">
        <v>23</v>
      </c>
    </row>
    <row r="4380" spans="1:11" ht="42" customHeight="1">
      <c r="A4380" s="2" t="s">
        <v>8831</v>
      </c>
      <c r="B4380" s="2" t="s">
        <v>8831</v>
      </c>
      <c r="C4380" s="2" t="s">
        <v>70</v>
      </c>
      <c r="D4380" s="2" t="s">
        <v>27</v>
      </c>
      <c r="E4380" s="5">
        <v>-28761</v>
      </c>
      <c r="F4380" s="3" t="s">
        <v>771</v>
      </c>
      <c r="G4380" s="3" t="s">
        <v>43</v>
      </c>
      <c r="H4380" s="2" t="s">
        <v>21</v>
      </c>
      <c r="I4380" s="2" t="s">
        <v>8836</v>
      </c>
      <c r="J4380" s="3" t="str">
        <f>HYPERLINK("https://www.boe.es/gazeta/dias/1821/04/02/pdfs/GMD-1821-94.pdf#page=1","Abrir facsímil")</f>
        <v>Abrir facsímil</v>
      </c>
      <c r="K4380" s="3" t="s">
        <v>23</v>
      </c>
    </row>
    <row r="4381" spans="1:11" ht="42" customHeight="1">
      <c r="A4381" s="2" t="s">
        <v>8831</v>
      </c>
      <c r="B4381" s="2" t="s">
        <v>8831</v>
      </c>
      <c r="C4381" s="2" t="s">
        <v>26</v>
      </c>
      <c r="D4381" s="2" t="s">
        <v>27</v>
      </c>
      <c r="E4381" s="5">
        <v>-28758</v>
      </c>
      <c r="F4381" s="3" t="s">
        <v>4115</v>
      </c>
      <c r="G4381" s="3" t="s">
        <v>43</v>
      </c>
      <c r="H4381" s="2" t="s">
        <v>21</v>
      </c>
      <c r="I4381" s="2" t="s">
        <v>8837</v>
      </c>
      <c r="J4381" s="3" t="str">
        <f>HYPERLINK("https://www.boe.es/gazeta/dias/1821/04/05/pdfs/GMD-1821-97.pdf#page=1","Abrir facsímil")</f>
        <v>Abrir facsímil</v>
      </c>
      <c r="K4381" s="3" t="s">
        <v>23</v>
      </c>
    </row>
    <row r="4382" spans="1:11" ht="42" customHeight="1">
      <c r="A4382" s="2" t="s">
        <v>8831</v>
      </c>
      <c r="B4382" s="2" t="s">
        <v>8831</v>
      </c>
      <c r="C4382" s="2" t="s">
        <v>70</v>
      </c>
      <c r="D4382" s="2" t="s">
        <v>27</v>
      </c>
      <c r="E4382" s="5">
        <v>-28753</v>
      </c>
      <c r="F4382" s="3" t="s">
        <v>720</v>
      </c>
      <c r="G4382" s="3" t="s">
        <v>43</v>
      </c>
      <c r="H4382" s="2" t="s">
        <v>21</v>
      </c>
      <c r="I4382" s="2" t="s">
        <v>8838</v>
      </c>
      <c r="J4382" s="3" t="str">
        <f>HYPERLINK("https://www.boe.es/gazeta/dias/1821/04/10/pdfs/GMD-1821-102.pdf#page=1","Abrir facsímil")</f>
        <v>Abrir facsímil</v>
      </c>
      <c r="K4382" s="3" t="s">
        <v>23</v>
      </c>
    </row>
    <row r="4383" spans="1:11" ht="42" customHeight="1">
      <c r="A4383" s="2" t="s">
        <v>8831</v>
      </c>
      <c r="B4383" s="2" t="s">
        <v>8831</v>
      </c>
      <c r="C4383" s="2" t="s">
        <v>26</v>
      </c>
      <c r="D4383" s="2" t="s">
        <v>27</v>
      </c>
      <c r="E4383" s="5">
        <v>-28742</v>
      </c>
      <c r="F4383" s="3" t="s">
        <v>324</v>
      </c>
      <c r="G4383" s="3" t="s">
        <v>52</v>
      </c>
      <c r="H4383" s="2" t="s">
        <v>21</v>
      </c>
      <c r="I4383" s="2" t="s">
        <v>8839</v>
      </c>
      <c r="J4383" s="3" t="str">
        <f>HYPERLINK("https://www.boe.es/gazeta/dias/1821/04/21/pdfs/GMD-1821-113.pdf#page=2","Abrir facsímil")</f>
        <v>Abrir facsímil</v>
      </c>
      <c r="K4383" s="3" t="s">
        <v>23</v>
      </c>
    </row>
    <row r="4384" spans="1:11" ht="42" customHeight="1">
      <c r="A4384" s="2" t="s">
        <v>8831</v>
      </c>
      <c r="B4384" s="2" t="s">
        <v>8831</v>
      </c>
      <c r="C4384" s="2" t="s">
        <v>35</v>
      </c>
      <c r="D4384" s="2" t="s">
        <v>27</v>
      </c>
      <c r="E4384" s="5">
        <v>-28710</v>
      </c>
      <c r="F4384" s="3" t="s">
        <v>375</v>
      </c>
      <c r="G4384" s="3" t="s">
        <v>43</v>
      </c>
      <c r="H4384" s="2" t="s">
        <v>21</v>
      </c>
      <c r="I4384" s="2" t="s">
        <v>8840</v>
      </c>
      <c r="J4384" s="3" t="str">
        <f>HYPERLINK("https://www.boe.es/gazeta/dias/1821/05/23/pdfs/GMD-1821-145.pdf#page=1","Abrir facsímil")</f>
        <v>Abrir facsímil</v>
      </c>
      <c r="K4384" s="3" t="s">
        <v>23</v>
      </c>
    </row>
    <row r="4385" spans="1:11" ht="42" customHeight="1">
      <c r="A4385" s="2" t="s">
        <v>8831</v>
      </c>
      <c r="B4385" s="2" t="s">
        <v>8831</v>
      </c>
      <c r="C4385" s="2" t="s">
        <v>17</v>
      </c>
      <c r="D4385" s="2" t="s">
        <v>18</v>
      </c>
      <c r="E4385" s="5">
        <v>-28666</v>
      </c>
      <c r="F4385" s="3" t="s">
        <v>1263</v>
      </c>
      <c r="G4385" s="3" t="s">
        <v>20</v>
      </c>
      <c r="H4385" s="2" t="s">
        <v>21</v>
      </c>
      <c r="I4385" s="2" t="s">
        <v>8841</v>
      </c>
      <c r="J4385" s="3" t="str">
        <f>HYPERLINK("https://www.boe.es/gazeta/dias/1821/07/06/pdfs/GMD-1821-190.pdf#page=3","Abrir facsímil")</f>
        <v>Abrir facsímil</v>
      </c>
      <c r="K4385" s="3" t="s">
        <v>23</v>
      </c>
    </row>
    <row r="4386" spans="1:11" ht="42" customHeight="1">
      <c r="A4386" s="2" t="s">
        <v>8831</v>
      </c>
      <c r="B4386" s="2" t="s">
        <v>8831</v>
      </c>
      <c r="C4386" s="2" t="s">
        <v>17</v>
      </c>
      <c r="D4386" s="2" t="s">
        <v>18</v>
      </c>
      <c r="E4386" s="5">
        <v>-28665</v>
      </c>
      <c r="F4386" s="3" t="s">
        <v>789</v>
      </c>
      <c r="G4386" s="3" t="s">
        <v>20</v>
      </c>
      <c r="H4386" s="2" t="s">
        <v>21</v>
      </c>
      <c r="I4386" s="2" t="s">
        <v>8842</v>
      </c>
      <c r="J4386" s="3" t="str">
        <f>HYPERLINK("https://www.boe.es/gazeta/dias/1821/07/07/pdfs/GMD-1821-191.pdf#page=3","Abrir facsímil")</f>
        <v>Abrir facsímil</v>
      </c>
      <c r="K4386" s="3" t="s">
        <v>23</v>
      </c>
    </row>
    <row r="4387" spans="1:11" ht="42" customHeight="1">
      <c r="A4387" s="2" t="s">
        <v>8831</v>
      </c>
      <c r="B4387" s="2" t="s">
        <v>8831</v>
      </c>
      <c r="C4387" s="2" t="s">
        <v>17</v>
      </c>
      <c r="D4387" s="2" t="s">
        <v>18</v>
      </c>
      <c r="E4387" s="5">
        <v>-28664</v>
      </c>
      <c r="F4387" s="3" t="s">
        <v>1365</v>
      </c>
      <c r="G4387" s="3" t="s">
        <v>20</v>
      </c>
      <c r="H4387" s="2" t="s">
        <v>21</v>
      </c>
      <c r="I4387" s="2" t="s">
        <v>8843</v>
      </c>
      <c r="J4387" s="3" t="str">
        <f>HYPERLINK("https://www.boe.es/gazeta/dias/1821/07/08/pdfs/GMD-1821-193.pdf#page=3","Abrir facsímil")</f>
        <v>Abrir facsímil</v>
      </c>
      <c r="K4387" s="3" t="s">
        <v>23</v>
      </c>
    </row>
    <row r="4388" spans="1:11" ht="42" customHeight="1">
      <c r="A4388" s="2" t="s">
        <v>8831</v>
      </c>
      <c r="B4388" s="2" t="s">
        <v>8831</v>
      </c>
      <c r="C4388" s="2" t="s">
        <v>40</v>
      </c>
      <c r="D4388" s="2" t="s">
        <v>41</v>
      </c>
      <c r="E4388" s="5">
        <v>-28662</v>
      </c>
      <c r="F4388" s="3" t="s">
        <v>3289</v>
      </c>
      <c r="G4388" s="3" t="s">
        <v>52</v>
      </c>
      <c r="H4388" s="2" t="s">
        <v>21</v>
      </c>
      <c r="I4388" s="2" t="s">
        <v>8844</v>
      </c>
      <c r="J4388" s="3" t="str">
        <f>HYPERLINK("https://www.boe.es/gazeta/dias/1821/07/10/pdfs/GMD-1821-195.pdf#page=2","Abrir facsímil")</f>
        <v>Abrir facsímil</v>
      </c>
      <c r="K4388" s="3" t="s">
        <v>23</v>
      </c>
    </row>
    <row r="4389" spans="1:11" ht="42" customHeight="1">
      <c r="A4389" s="2" t="s">
        <v>8831</v>
      </c>
      <c r="B4389" s="2" t="s">
        <v>8831</v>
      </c>
      <c r="C4389" s="2" t="s">
        <v>40</v>
      </c>
      <c r="D4389" s="2" t="s">
        <v>41</v>
      </c>
      <c r="E4389" s="5">
        <v>-28621</v>
      </c>
      <c r="F4389" s="3" t="s">
        <v>1317</v>
      </c>
      <c r="G4389" s="3" t="s">
        <v>20</v>
      </c>
      <c r="H4389" s="2" t="s">
        <v>21</v>
      </c>
      <c r="I4389" s="2" t="s">
        <v>8845</v>
      </c>
      <c r="J4389" s="3" t="str">
        <f>HYPERLINK("https://www.boe.es/gazeta/dias/1821/08/20/pdfs/GMD-1821-237.pdf#page=3","Abrir facsímil")</f>
        <v>Abrir facsímil</v>
      </c>
      <c r="K4389" s="3" t="s">
        <v>23</v>
      </c>
    </row>
    <row r="4390" spans="1:11" ht="42" customHeight="1">
      <c r="A4390" s="2" t="s">
        <v>8846</v>
      </c>
      <c r="B4390" s="2" t="s">
        <v>8846</v>
      </c>
      <c r="C4390" s="2" t="s">
        <v>17</v>
      </c>
      <c r="D4390" s="2" t="s">
        <v>18</v>
      </c>
      <c r="E4390" s="5">
        <v>-28718</v>
      </c>
      <c r="F4390" s="3" t="s">
        <v>583</v>
      </c>
      <c r="G4390" s="3" t="s">
        <v>52</v>
      </c>
      <c r="H4390" s="2" t="s">
        <v>21</v>
      </c>
      <c r="I4390" s="2" t="s">
        <v>8847</v>
      </c>
      <c r="J4390" s="3" t="str">
        <f>HYPERLINK("https://www.boe.es/gazeta/dias/1821/05/15/pdfs/GMD-1821-137.pdf#page=2","Abrir facsímil")</f>
        <v>Abrir facsímil</v>
      </c>
      <c r="K4390" s="3" t="s">
        <v>23</v>
      </c>
    </row>
    <row r="4391" spans="1:11" ht="42" customHeight="1">
      <c r="A4391" s="2" t="s">
        <v>8848</v>
      </c>
      <c r="B4391" s="2" t="s">
        <v>8848</v>
      </c>
      <c r="C4391" s="2" t="s">
        <v>17</v>
      </c>
      <c r="D4391" s="2" t="s">
        <v>18</v>
      </c>
      <c r="E4391" s="5">
        <v>-28519</v>
      </c>
      <c r="F4391" s="3" t="s">
        <v>880</v>
      </c>
      <c r="G4391" s="3" t="s">
        <v>88</v>
      </c>
      <c r="H4391" s="2" t="s">
        <v>21</v>
      </c>
      <c r="I4391" s="2" t="s">
        <v>8849</v>
      </c>
      <c r="J4391" s="3" t="str">
        <f>HYPERLINK("https://www.boe.es/gazeta/dias/1821/11/30/pdfs/GMD-1821-342.pdf#page=4","Abrir facsímil")</f>
        <v>Abrir facsímil</v>
      </c>
      <c r="K4391" s="3" t="s">
        <v>23</v>
      </c>
    </row>
    <row r="4392" spans="1:11" ht="42" customHeight="1">
      <c r="A4392" s="2" t="s">
        <v>8850</v>
      </c>
      <c r="B4392" s="2" t="s">
        <v>8851</v>
      </c>
      <c r="C4392" s="2" t="s">
        <v>40</v>
      </c>
      <c r="D4392" s="2" t="s">
        <v>41</v>
      </c>
      <c r="E4392" s="5">
        <v>-28525</v>
      </c>
      <c r="F4392" s="3" t="s">
        <v>186</v>
      </c>
      <c r="G4392" s="3" t="s">
        <v>88</v>
      </c>
      <c r="H4392" s="2" t="s">
        <v>30</v>
      </c>
      <c r="I4392" s="2" t="s">
        <v>8852</v>
      </c>
      <c r="J4392" s="3" t="str">
        <f>HYPERLINK("https://www.boe.es/gazeta/dias/1821/11/24/pdfs/GMD-1821-335.pdf#page=4","Abrir facsímil")</f>
        <v>Abrir facsímil</v>
      </c>
      <c r="K4392" s="3" t="s">
        <v>32</v>
      </c>
    </row>
    <row r="4393" spans="1:11" ht="42" customHeight="1">
      <c r="A4393" s="2" t="s">
        <v>8853</v>
      </c>
      <c r="B4393" s="2" t="s">
        <v>8854</v>
      </c>
      <c r="C4393" s="2" t="s">
        <v>35</v>
      </c>
      <c r="D4393" s="2" t="s">
        <v>27</v>
      </c>
      <c r="E4393" s="5">
        <v>-28633</v>
      </c>
      <c r="F4393" s="3" t="s">
        <v>2601</v>
      </c>
      <c r="G4393" s="3" t="s">
        <v>88</v>
      </c>
      <c r="H4393" s="2" t="s">
        <v>21</v>
      </c>
      <c r="I4393" s="2" t="s">
        <v>8855</v>
      </c>
      <c r="J4393" s="3" t="str">
        <f>HYPERLINK("https://www.boe.es/gazeta/dias/1821/08/08/pdfs/GMD-1821-224.pdf#page=4","Abrir facsímil")</f>
        <v>Abrir facsímil</v>
      </c>
      <c r="K4393" s="3" t="s">
        <v>23</v>
      </c>
    </row>
    <row r="4394" spans="1:11" ht="42" customHeight="1">
      <c r="A4394" s="2" t="s">
        <v>8856</v>
      </c>
      <c r="B4394" s="2" t="s">
        <v>8856</v>
      </c>
      <c r="C4394" s="2" t="s">
        <v>17</v>
      </c>
      <c r="D4394" s="2" t="s">
        <v>18</v>
      </c>
      <c r="E4394" s="5">
        <v>-28563</v>
      </c>
      <c r="F4394" s="3" t="s">
        <v>118</v>
      </c>
      <c r="G4394" s="3" t="s">
        <v>162</v>
      </c>
      <c r="H4394" s="2" t="s">
        <v>21</v>
      </c>
      <c r="I4394" s="2" t="s">
        <v>8857</v>
      </c>
      <c r="J4394" s="3" t="str">
        <f>HYPERLINK("https://www.boe.es/gazeta/dias/1821/10/17/pdfs/GMD-1821-296.pdf#page=5","Abrir facsímil")</f>
        <v>Abrir facsímil</v>
      </c>
      <c r="K4394" s="3" t="s">
        <v>23</v>
      </c>
    </row>
    <row r="4395" spans="1:11" ht="42" customHeight="1">
      <c r="A4395" s="2" t="s">
        <v>8858</v>
      </c>
      <c r="B4395" s="2" t="s">
        <v>8858</v>
      </c>
      <c r="C4395" s="2" t="s">
        <v>26</v>
      </c>
      <c r="D4395" s="2" t="s">
        <v>27</v>
      </c>
      <c r="E4395" s="5">
        <v>-28784</v>
      </c>
      <c r="F4395" s="3" t="s">
        <v>451</v>
      </c>
      <c r="G4395" s="3" t="s">
        <v>20</v>
      </c>
      <c r="H4395" s="2" t="s">
        <v>21</v>
      </c>
      <c r="I4395" s="2" t="s">
        <v>8859</v>
      </c>
      <c r="J4395" s="3" t="str">
        <f>HYPERLINK("https://www.boe.es/gazeta/dias/1821/03/10/pdfs/GGB-1821-69.pdf#page=3","Abrir facsímil")</f>
        <v>Abrir facsímil</v>
      </c>
      <c r="K4395" s="3" t="s">
        <v>23</v>
      </c>
    </row>
    <row r="4396" spans="1:11" ht="42" customHeight="1">
      <c r="A4396" s="2" t="s">
        <v>8858</v>
      </c>
      <c r="B4396" s="2" t="s">
        <v>8858</v>
      </c>
      <c r="C4396" s="2" t="s">
        <v>26</v>
      </c>
      <c r="D4396" s="2" t="s">
        <v>27</v>
      </c>
      <c r="E4396" s="5">
        <v>-28776</v>
      </c>
      <c r="F4396" s="3" t="s">
        <v>312</v>
      </c>
      <c r="G4396" s="3" t="s">
        <v>20</v>
      </c>
      <c r="H4396" s="2" t="s">
        <v>21</v>
      </c>
      <c r="I4396" s="2" t="s">
        <v>8860</v>
      </c>
      <c r="J4396" s="3" t="str">
        <f>HYPERLINK("https://www.boe.es/gazeta/dias/1821/03/18/pdfs/GMD-1821-77.pdf#page=3","Abrir facsímil")</f>
        <v>Abrir facsímil</v>
      </c>
      <c r="K4396" s="3" t="s">
        <v>23</v>
      </c>
    </row>
    <row r="4397" spans="1:11" ht="42" customHeight="1">
      <c r="A4397" s="2" t="s">
        <v>8858</v>
      </c>
      <c r="B4397" s="2" t="s">
        <v>8858</v>
      </c>
      <c r="C4397" s="2" t="s">
        <v>26</v>
      </c>
      <c r="D4397" s="2" t="s">
        <v>27</v>
      </c>
      <c r="E4397" s="5">
        <v>-28774</v>
      </c>
      <c r="F4397" s="3" t="s">
        <v>1221</v>
      </c>
      <c r="G4397" s="3" t="s">
        <v>88</v>
      </c>
      <c r="H4397" s="2" t="s">
        <v>21</v>
      </c>
      <c r="I4397" s="2" t="s">
        <v>8861</v>
      </c>
      <c r="J4397" s="3" t="str">
        <f>HYPERLINK("https://www.boe.es/gazeta/dias/1821/03/20/pdfs/GMD-1821-79.pdf#page=4","Abrir facsímil")</f>
        <v>Abrir facsímil</v>
      </c>
      <c r="K4397" s="3" t="s">
        <v>23</v>
      </c>
    </row>
    <row r="4398" spans="1:11" ht="42" customHeight="1">
      <c r="A4398" s="2" t="s">
        <v>8858</v>
      </c>
      <c r="B4398" s="2" t="s">
        <v>8858</v>
      </c>
      <c r="C4398" s="2" t="s">
        <v>35</v>
      </c>
      <c r="D4398" s="2" t="s">
        <v>27</v>
      </c>
      <c r="E4398" s="5">
        <v>-28749</v>
      </c>
      <c r="F4398" s="3" t="s">
        <v>832</v>
      </c>
      <c r="G4398" s="3" t="s">
        <v>20</v>
      </c>
      <c r="H4398" s="2" t="s">
        <v>21</v>
      </c>
      <c r="I4398" s="2" t="s">
        <v>8862</v>
      </c>
      <c r="J4398" s="3" t="str">
        <f>HYPERLINK("https://www.boe.es/gazeta/dias/1821/04/14/pdfs/GMD-1821-106.pdf#page=3","Abrir facsímil")</f>
        <v>Abrir facsímil</v>
      </c>
      <c r="K4398" s="3" t="s">
        <v>23</v>
      </c>
    </row>
    <row r="4399" spans="1:11" ht="42" customHeight="1">
      <c r="A4399" s="2" t="s">
        <v>8858</v>
      </c>
      <c r="B4399" s="2" t="s">
        <v>8858</v>
      </c>
      <c r="C4399" s="2" t="s">
        <v>35</v>
      </c>
      <c r="D4399" s="2" t="s">
        <v>27</v>
      </c>
      <c r="E4399" s="5">
        <v>-28728</v>
      </c>
      <c r="F4399" s="3" t="s">
        <v>1038</v>
      </c>
      <c r="G4399" s="3" t="s">
        <v>20</v>
      </c>
      <c r="H4399" s="2" t="s">
        <v>21</v>
      </c>
      <c r="I4399" s="2" t="s">
        <v>8863</v>
      </c>
      <c r="J4399" s="3" t="str">
        <f>HYPERLINK("https://www.boe.es/gazeta/dias/1821/05/05/pdfs/GMD-1821-127.pdf#page=3","Abrir facsímil")</f>
        <v>Abrir facsímil</v>
      </c>
      <c r="K4399" s="3" t="s">
        <v>23</v>
      </c>
    </row>
    <row r="4400" spans="1:11" ht="42" customHeight="1">
      <c r="A4400" s="2" t="s">
        <v>8858</v>
      </c>
      <c r="B4400" s="2" t="s">
        <v>8858</v>
      </c>
      <c r="C4400" s="2" t="s">
        <v>70</v>
      </c>
      <c r="D4400" s="2" t="s">
        <v>27</v>
      </c>
      <c r="E4400" s="5">
        <v>-28726</v>
      </c>
      <c r="F4400" s="3" t="s">
        <v>347</v>
      </c>
      <c r="G4400" s="3" t="s">
        <v>20</v>
      </c>
      <c r="H4400" s="2" t="s">
        <v>21</v>
      </c>
      <c r="I4400" s="2" t="s">
        <v>8864</v>
      </c>
      <c r="J4400" s="3" t="str">
        <f>HYPERLINK("https://www.boe.es/gazeta/dias/1821/05/07/pdfs/GMD-1821-129.pdf#page=3","Abrir facsímil")</f>
        <v>Abrir facsímil</v>
      </c>
      <c r="K4400" s="3" t="s">
        <v>23</v>
      </c>
    </row>
    <row r="4401" spans="1:11" ht="42" customHeight="1">
      <c r="A4401" s="2" t="s">
        <v>8858</v>
      </c>
      <c r="B4401" s="2" t="s">
        <v>8858</v>
      </c>
      <c r="C4401" s="2" t="s">
        <v>17</v>
      </c>
      <c r="D4401" s="2" t="s">
        <v>18</v>
      </c>
      <c r="E4401" s="5">
        <v>-28710</v>
      </c>
      <c r="F4401" s="3" t="s">
        <v>375</v>
      </c>
      <c r="G4401" s="3" t="s">
        <v>7560</v>
      </c>
      <c r="H4401" s="2" t="s">
        <v>21</v>
      </c>
      <c r="I4401" s="2" t="s">
        <v>8865</v>
      </c>
      <c r="J4401" s="3" t="str">
        <f>HYPERLINK("https://www.boe.es/gazeta/dias/1821/05/23/pdfs/GMD-1821-145.pdf#page=3","Abrir facsímil")</f>
        <v>Abrir facsímil</v>
      </c>
      <c r="K4401" s="3" t="s">
        <v>23</v>
      </c>
    </row>
    <row r="4402" spans="1:11" ht="42" customHeight="1">
      <c r="A4402" s="2" t="s">
        <v>8858</v>
      </c>
      <c r="B4402" s="2" t="s">
        <v>8858</v>
      </c>
      <c r="C4402" s="2" t="s">
        <v>494</v>
      </c>
      <c r="D4402" s="2" t="s">
        <v>18</v>
      </c>
      <c r="E4402" s="5">
        <v>-28709</v>
      </c>
      <c r="F4402" s="3" t="s">
        <v>1434</v>
      </c>
      <c r="G4402" s="3" t="s">
        <v>20</v>
      </c>
      <c r="H4402" s="2" t="s">
        <v>21</v>
      </c>
      <c r="I4402" s="2" t="s">
        <v>8866</v>
      </c>
      <c r="J4402" s="3" t="str">
        <f>HYPERLINK("https://www.boe.es/gazeta/dias/1821/05/24/pdfs/GMD-1821-146.pdf#page=3","Abrir facsímil")</f>
        <v>Abrir facsímil</v>
      </c>
      <c r="K4402" s="3" t="s">
        <v>23</v>
      </c>
    </row>
    <row r="4403" spans="1:11" ht="42" customHeight="1">
      <c r="A4403" s="2" t="s">
        <v>8858</v>
      </c>
      <c r="B4403" s="2" t="s">
        <v>8858</v>
      </c>
      <c r="C4403" s="2" t="s">
        <v>26</v>
      </c>
      <c r="D4403" s="2" t="s">
        <v>27</v>
      </c>
      <c r="E4403" s="5">
        <v>-28706</v>
      </c>
      <c r="F4403" s="3" t="s">
        <v>4791</v>
      </c>
      <c r="G4403" s="3" t="s">
        <v>8867</v>
      </c>
      <c r="H4403" s="2" t="s">
        <v>21</v>
      </c>
      <c r="I4403" s="2" t="s">
        <v>8868</v>
      </c>
      <c r="J4403" s="3" t="str">
        <f>HYPERLINK("https://www.boe.es/gazeta/dias/1821/05/27/pdfs/GMD-1821-149.pdf#page=3","Abrir facsímil")</f>
        <v>Abrir facsímil</v>
      </c>
      <c r="K4403" s="3" t="s">
        <v>23</v>
      </c>
    </row>
    <row r="4404" spans="1:11" ht="42" customHeight="1">
      <c r="A4404" s="2" t="s">
        <v>8858</v>
      </c>
      <c r="B4404" s="2" t="s">
        <v>8858</v>
      </c>
      <c r="C4404" s="2" t="s">
        <v>35</v>
      </c>
      <c r="D4404" s="2" t="s">
        <v>27</v>
      </c>
      <c r="E4404" s="5">
        <v>-28699</v>
      </c>
      <c r="F4404" s="3" t="s">
        <v>280</v>
      </c>
      <c r="G4404" s="3" t="s">
        <v>20</v>
      </c>
      <c r="H4404" s="2" t="s">
        <v>21</v>
      </c>
      <c r="I4404" s="2" t="s">
        <v>8869</v>
      </c>
      <c r="J4404" s="3" t="str">
        <f>HYPERLINK("https://www.boe.es/gazeta/dias/1821/06/03/pdfs/GMD-1821-156.pdf#page=3","Abrir facsímil")</f>
        <v>Abrir facsímil</v>
      </c>
      <c r="K4404" s="3" t="s">
        <v>23</v>
      </c>
    </row>
    <row r="4405" spans="1:11" ht="42" customHeight="1">
      <c r="A4405" s="2" t="s">
        <v>8858</v>
      </c>
      <c r="B4405" s="2" t="s">
        <v>8858</v>
      </c>
      <c r="C4405" s="2" t="s">
        <v>174</v>
      </c>
      <c r="D4405" s="2" t="s">
        <v>27</v>
      </c>
      <c r="E4405" s="5">
        <v>-28693</v>
      </c>
      <c r="F4405" s="3" t="s">
        <v>74</v>
      </c>
      <c r="G4405" s="3" t="s">
        <v>52</v>
      </c>
      <c r="H4405" s="2" t="s">
        <v>21</v>
      </c>
      <c r="I4405" s="2" t="s">
        <v>8870</v>
      </c>
      <c r="J4405" s="3" t="str">
        <f>HYPERLINK("https://www.boe.es/gazeta/dias/1821/06/09/pdfs/GMD-1821-162.pdf#page=2","Abrir facsímil")</f>
        <v>Abrir facsímil</v>
      </c>
      <c r="K4405" s="3" t="s">
        <v>23</v>
      </c>
    </row>
    <row r="4406" spans="1:11" ht="42" customHeight="1">
      <c r="A4406" s="2" t="s">
        <v>8858</v>
      </c>
      <c r="B4406" s="2" t="s">
        <v>8858</v>
      </c>
      <c r="C4406" s="2" t="s">
        <v>35</v>
      </c>
      <c r="D4406" s="2" t="s">
        <v>27</v>
      </c>
      <c r="E4406" s="5">
        <v>-28677</v>
      </c>
      <c r="F4406" s="3" t="s">
        <v>361</v>
      </c>
      <c r="G4406" s="3" t="s">
        <v>20</v>
      </c>
      <c r="H4406" s="2" t="s">
        <v>21</v>
      </c>
      <c r="I4406" s="2" t="s">
        <v>8871</v>
      </c>
      <c r="J4406" s="3" t="str">
        <f>HYPERLINK("https://www.boe.es/gazeta/dias/1821/06/25/pdfs/GMD-1821-178.pdf#page=3","Abrir facsímil")</f>
        <v>Abrir facsímil</v>
      </c>
      <c r="K4406" s="3" t="s">
        <v>23</v>
      </c>
    </row>
    <row r="4407" spans="1:11" ht="42" customHeight="1">
      <c r="A4407" s="2" t="s">
        <v>8858</v>
      </c>
      <c r="B4407" s="2" t="s">
        <v>8858</v>
      </c>
      <c r="C4407" s="2" t="s">
        <v>35</v>
      </c>
      <c r="D4407" s="2" t="s">
        <v>27</v>
      </c>
      <c r="E4407" s="5">
        <v>-28674</v>
      </c>
      <c r="F4407" s="3" t="s">
        <v>536</v>
      </c>
      <c r="G4407" s="3" t="s">
        <v>20</v>
      </c>
      <c r="H4407" s="2" t="s">
        <v>21</v>
      </c>
      <c r="I4407" s="2" t="s">
        <v>8872</v>
      </c>
      <c r="J4407" s="3" t="str">
        <f>HYPERLINK("https://www.boe.es/gazeta/dias/1821/06/28/pdfs/GMD-1821-181.pdf#page=3","Abrir facsímil")</f>
        <v>Abrir facsímil</v>
      </c>
      <c r="K4407" s="3" t="s">
        <v>23</v>
      </c>
    </row>
    <row r="4408" spans="1:11" ht="42" customHeight="1">
      <c r="A4408" s="2" t="s">
        <v>8858</v>
      </c>
      <c r="B4408" s="2" t="s">
        <v>8858</v>
      </c>
      <c r="C4408" s="2" t="s">
        <v>26</v>
      </c>
      <c r="D4408" s="2" t="s">
        <v>27</v>
      </c>
      <c r="E4408" s="5">
        <v>-28548</v>
      </c>
      <c r="F4408" s="3" t="s">
        <v>782</v>
      </c>
      <c r="G4408" s="3" t="s">
        <v>20</v>
      </c>
      <c r="H4408" s="2" t="s">
        <v>21</v>
      </c>
      <c r="I4408" s="2" t="s">
        <v>8873</v>
      </c>
      <c r="J4408" s="3" t="str">
        <f>HYPERLINK("https://www.boe.es/gazeta/dias/1821/11/01/pdfs/GMD-1821-311.pdf#page=3","Abrir facsímil")</f>
        <v>Abrir facsímil</v>
      </c>
      <c r="K4408" s="3" t="s">
        <v>23</v>
      </c>
    </row>
    <row r="4409" spans="1:11" ht="42" customHeight="1">
      <c r="A4409" s="2" t="s">
        <v>8858</v>
      </c>
      <c r="B4409" s="2" t="s">
        <v>8858</v>
      </c>
      <c r="C4409" s="2" t="s">
        <v>17</v>
      </c>
      <c r="D4409" s="2" t="s">
        <v>18</v>
      </c>
      <c r="E4409" s="5">
        <v>-28539</v>
      </c>
      <c r="F4409" s="3" t="s">
        <v>153</v>
      </c>
      <c r="G4409" s="3" t="s">
        <v>88</v>
      </c>
      <c r="H4409" s="2" t="s">
        <v>21</v>
      </c>
      <c r="I4409" s="2" t="s">
        <v>8874</v>
      </c>
      <c r="J4409" s="3" t="str">
        <f>HYPERLINK("https://www.boe.es/gazeta/dias/1821/11/10/pdfs/GMD-1821-321.pdf#page=4","Abrir facsímil")</f>
        <v>Abrir facsímil</v>
      </c>
      <c r="K4409" s="3" t="s">
        <v>23</v>
      </c>
    </row>
    <row r="4410" spans="1:11" ht="42" customHeight="1">
      <c r="A4410" s="2" t="s">
        <v>8858</v>
      </c>
      <c r="B4410" s="2" t="s">
        <v>8858</v>
      </c>
      <c r="C4410" s="2" t="s">
        <v>26</v>
      </c>
      <c r="D4410" s="2" t="s">
        <v>27</v>
      </c>
      <c r="E4410" s="5">
        <v>-28530</v>
      </c>
      <c r="F4410" s="3" t="s">
        <v>237</v>
      </c>
      <c r="G4410" s="3" t="s">
        <v>52</v>
      </c>
      <c r="H4410" s="2" t="s">
        <v>21</v>
      </c>
      <c r="I4410" s="2" t="s">
        <v>8875</v>
      </c>
      <c r="J4410" s="3" t="str">
        <f>HYPERLINK("https://www.boe.es/gazeta/dias/1821/11/19/pdfs/GMD-1821-330.pdf#page=2","Abrir facsímil")</f>
        <v>Abrir facsímil</v>
      </c>
      <c r="K4410" s="3" t="s">
        <v>23</v>
      </c>
    </row>
    <row r="4411" spans="1:11" ht="42" customHeight="1">
      <c r="A4411" s="2" t="s">
        <v>8858</v>
      </c>
      <c r="B4411" s="2" t="s">
        <v>8858</v>
      </c>
      <c r="C4411" s="2" t="s">
        <v>26</v>
      </c>
      <c r="D4411" s="2" t="s">
        <v>27</v>
      </c>
      <c r="E4411" s="5">
        <v>-28521</v>
      </c>
      <c r="F4411" s="3" t="s">
        <v>499</v>
      </c>
      <c r="G4411" s="3" t="s">
        <v>20</v>
      </c>
      <c r="H4411" s="2" t="s">
        <v>21</v>
      </c>
      <c r="I4411" s="2" t="s">
        <v>8876</v>
      </c>
      <c r="J4411" s="3" t="str">
        <f>HYPERLINK("https://www.boe.es/gazeta/dias/1821/11/28/pdfs/GMD-1821-340.pdf#page=3","Abrir facsímil")</f>
        <v>Abrir facsímil</v>
      </c>
      <c r="K4411" s="3" t="s">
        <v>23</v>
      </c>
    </row>
    <row r="4412" spans="1:11" ht="42" customHeight="1">
      <c r="A4412" s="2" t="s">
        <v>8858</v>
      </c>
      <c r="B4412" s="2" t="s">
        <v>8858</v>
      </c>
      <c r="C4412" s="2" t="s">
        <v>26</v>
      </c>
      <c r="D4412" s="2" t="s">
        <v>27</v>
      </c>
      <c r="E4412" s="5">
        <v>-28518</v>
      </c>
      <c r="F4412" s="3" t="s">
        <v>410</v>
      </c>
      <c r="G4412" s="3" t="s">
        <v>20</v>
      </c>
      <c r="H4412" s="2" t="s">
        <v>21</v>
      </c>
      <c r="I4412" s="2" t="s">
        <v>8877</v>
      </c>
      <c r="J4412" s="3" t="str">
        <f>HYPERLINK("https://www.boe.es/gazeta/dias/1821/12/01/pdfs/GMD-1821-343.pdf#page=3","Abrir facsímil")</f>
        <v>Abrir facsímil</v>
      </c>
      <c r="K4412" s="3" t="s">
        <v>23</v>
      </c>
    </row>
    <row r="4413" spans="1:11" ht="42" customHeight="1">
      <c r="A4413" s="2" t="s">
        <v>8858</v>
      </c>
      <c r="B4413" s="2" t="s">
        <v>8858</v>
      </c>
      <c r="C4413" s="2" t="s">
        <v>26</v>
      </c>
      <c r="D4413" s="2" t="s">
        <v>27</v>
      </c>
      <c r="E4413" s="5">
        <v>-28512</v>
      </c>
      <c r="F4413" s="3" t="s">
        <v>66</v>
      </c>
      <c r="G4413" s="3" t="s">
        <v>52</v>
      </c>
      <c r="H4413" s="2" t="s">
        <v>21</v>
      </c>
      <c r="I4413" s="2" t="s">
        <v>8878</v>
      </c>
      <c r="J4413" s="3" t="str">
        <f>HYPERLINK("https://www.boe.es/gazeta/dias/1821/12/07/pdfs/GMD-1821-349.pdf#page=2","Abrir facsímil")</f>
        <v>Abrir facsímil</v>
      </c>
      <c r="K4413" s="3" t="s">
        <v>23</v>
      </c>
    </row>
    <row r="4414" spans="1:11" ht="42" customHeight="1">
      <c r="A4414" s="2" t="s">
        <v>8858</v>
      </c>
      <c r="B4414" s="2" t="s">
        <v>8858</v>
      </c>
      <c r="C4414" s="2" t="s">
        <v>17</v>
      </c>
      <c r="D4414" s="2" t="s">
        <v>18</v>
      </c>
      <c r="E4414" s="5">
        <v>-28499</v>
      </c>
      <c r="F4414" s="3" t="s">
        <v>954</v>
      </c>
      <c r="G4414" s="3" t="s">
        <v>20</v>
      </c>
      <c r="H4414" s="2" t="s">
        <v>21</v>
      </c>
      <c r="I4414" s="2" t="s">
        <v>8879</v>
      </c>
      <c r="J4414" s="3" t="str">
        <f>HYPERLINK("https://www.boe.es/gazeta/dias/1821/12/20/pdfs/GMD-1821-363.pdf#page=3","Abrir facsímil")</f>
        <v>Abrir facsímil</v>
      </c>
      <c r="K4414" s="3" t="s">
        <v>23</v>
      </c>
    </row>
    <row r="4415" spans="1:11" ht="42" customHeight="1">
      <c r="A4415" s="2" t="s">
        <v>8880</v>
      </c>
      <c r="B4415" s="2" t="s">
        <v>8881</v>
      </c>
      <c r="C4415" s="2" t="s">
        <v>40</v>
      </c>
      <c r="D4415" s="2" t="s">
        <v>41</v>
      </c>
      <c r="E4415" s="5">
        <v>-28530</v>
      </c>
      <c r="F4415" s="3" t="s">
        <v>237</v>
      </c>
      <c r="G4415" s="3" t="s">
        <v>52</v>
      </c>
      <c r="H4415" s="2" t="s">
        <v>30</v>
      </c>
      <c r="I4415" s="2" t="s">
        <v>8882</v>
      </c>
      <c r="J4415" s="3" t="str">
        <f>HYPERLINK("https://www.boe.es/gazeta/dias/1821/11/19/pdfs/GMD-1821-330.pdf#page=2","Abrir facsímil")</f>
        <v>Abrir facsímil</v>
      </c>
      <c r="K4415" s="3" t="s">
        <v>32</v>
      </c>
    </row>
    <row r="4416" spans="1:11" ht="42" customHeight="1">
      <c r="A4416" s="2" t="s">
        <v>8883</v>
      </c>
      <c r="B4416" s="2" t="s">
        <v>8884</v>
      </c>
      <c r="C4416" s="2" t="s">
        <v>26</v>
      </c>
      <c r="D4416" s="2" t="s">
        <v>27</v>
      </c>
      <c r="E4416" s="5">
        <v>-28587</v>
      </c>
      <c r="F4416" s="3" t="s">
        <v>392</v>
      </c>
      <c r="G4416" s="3" t="s">
        <v>88</v>
      </c>
      <c r="H4416" s="2" t="s">
        <v>21</v>
      </c>
      <c r="I4416" s="2" t="s">
        <v>8885</v>
      </c>
      <c r="J4416" s="3" t="str">
        <f>HYPERLINK("https://www.boe.es/gazeta/dias/1821/09/23/pdfs/GMD-1821-271.pdf#page=4","Abrir facsímil")</f>
        <v>Abrir facsímil</v>
      </c>
      <c r="K4416" s="3" t="s">
        <v>23</v>
      </c>
    </row>
    <row r="4417" spans="1:11" ht="42" customHeight="1">
      <c r="A4417" s="2" t="s">
        <v>8886</v>
      </c>
      <c r="B4417" s="2" t="s">
        <v>8887</v>
      </c>
      <c r="C4417" s="2" t="s">
        <v>174</v>
      </c>
      <c r="D4417" s="2" t="s">
        <v>27</v>
      </c>
      <c r="E4417" s="5">
        <v>-28599</v>
      </c>
      <c r="F4417" s="3" t="s">
        <v>902</v>
      </c>
      <c r="G4417" s="3" t="s">
        <v>88</v>
      </c>
      <c r="H4417" s="2" t="s">
        <v>21</v>
      </c>
      <c r="I4417" s="2" t="s">
        <v>8888</v>
      </c>
      <c r="J4417" s="3" t="str">
        <f>HYPERLINK("https://www.boe.es/gazeta/dias/1821/09/11/pdfs/GMD-1821-259.pdf#page=4","Abrir facsímil")</f>
        <v>Abrir facsímil</v>
      </c>
      <c r="K4417" s="3" t="s">
        <v>23</v>
      </c>
    </row>
    <row r="4418" spans="1:11" ht="42" customHeight="1">
      <c r="A4418" s="2" t="s">
        <v>8889</v>
      </c>
      <c r="B4418" s="2" t="s">
        <v>8890</v>
      </c>
      <c r="C4418" s="2" t="s">
        <v>17</v>
      </c>
      <c r="D4418" s="2" t="s">
        <v>18</v>
      </c>
      <c r="E4418" s="5">
        <v>-28683</v>
      </c>
      <c r="F4418" s="3" t="s">
        <v>332</v>
      </c>
      <c r="G4418" s="3" t="s">
        <v>333</v>
      </c>
      <c r="H4418" s="2" t="s">
        <v>21</v>
      </c>
      <c r="I4418" s="2" t="s">
        <v>8891</v>
      </c>
      <c r="J4418" s="3" t="str">
        <f>HYPERLINK("https://www.boe.es/gazeta/dias/1821/06/19/pdfs/GMD-1821-172.pdf#page=8","Abrir facsímil")</f>
        <v>Abrir facsímil</v>
      </c>
      <c r="K4418" s="3" t="s">
        <v>23</v>
      </c>
    </row>
    <row r="4419" spans="1:11" ht="42" customHeight="1">
      <c r="A4419" s="2" t="s">
        <v>8892</v>
      </c>
      <c r="B4419" s="2" t="s">
        <v>8893</v>
      </c>
      <c r="C4419" s="2" t="s">
        <v>174</v>
      </c>
      <c r="D4419" s="2" t="s">
        <v>27</v>
      </c>
      <c r="E4419" s="5">
        <v>-28810</v>
      </c>
      <c r="F4419" s="3" t="s">
        <v>308</v>
      </c>
      <c r="G4419" s="3" t="s">
        <v>88</v>
      </c>
      <c r="H4419" s="2" t="s">
        <v>21</v>
      </c>
      <c r="I4419" s="2" t="s">
        <v>8894</v>
      </c>
      <c r="J4419" s="3" t="str">
        <f>HYPERLINK("https://www.boe.es/gazeta/dias/1821/02/12/pdfs/GGB-1821-43.pdf#page=4","Abrir facsímil")</f>
        <v>Abrir facsímil</v>
      </c>
      <c r="K4419" s="3" t="s">
        <v>23</v>
      </c>
    </row>
    <row r="4420" spans="1:11" ht="42" customHeight="1">
      <c r="A4420" s="2" t="s">
        <v>8895</v>
      </c>
      <c r="B4420" s="2" t="s">
        <v>8895</v>
      </c>
      <c r="C4420" s="2" t="s">
        <v>17</v>
      </c>
      <c r="D4420" s="2" t="s">
        <v>18</v>
      </c>
      <c r="E4420" s="5">
        <v>-28519</v>
      </c>
      <c r="F4420" s="3" t="s">
        <v>880</v>
      </c>
      <c r="G4420" s="3" t="s">
        <v>43</v>
      </c>
      <c r="H4420" s="2" t="s">
        <v>21</v>
      </c>
      <c r="I4420" s="2" t="s">
        <v>8896</v>
      </c>
      <c r="J4420" s="3" t="str">
        <f>HYPERLINK("https://www.boe.es/gazeta/dias/1821/11/30/pdfs/GMD-1821-342.pdf#page=1","Abrir facsímil")</f>
        <v>Abrir facsímil</v>
      </c>
      <c r="K4420" s="3" t="s">
        <v>23</v>
      </c>
    </row>
    <row r="4421" spans="1:11" ht="42" customHeight="1">
      <c r="A4421" s="2" t="s">
        <v>8897</v>
      </c>
      <c r="B4421" s="2" t="s">
        <v>8897</v>
      </c>
      <c r="C4421" s="2" t="s">
        <v>26</v>
      </c>
      <c r="D4421" s="2" t="s">
        <v>27</v>
      </c>
      <c r="E4421" s="5">
        <v>-28629</v>
      </c>
      <c r="F4421" s="3" t="s">
        <v>235</v>
      </c>
      <c r="G4421" s="3" t="s">
        <v>8898</v>
      </c>
      <c r="H4421" s="2" t="s">
        <v>21</v>
      </c>
      <c r="I4421" s="2" t="s">
        <v>8899</v>
      </c>
      <c r="J4421" s="3" t="str">
        <f>HYPERLINK("https://www.boe.es/gazeta/dias/1821/08/12/pdfs/GMD-1821-229.pdf#page=2","Abrir facsímil")</f>
        <v>Abrir facsímil</v>
      </c>
      <c r="K4421" s="3" t="s">
        <v>23</v>
      </c>
    </row>
    <row r="4422" spans="1:11" ht="42" customHeight="1">
      <c r="A4422" s="2" t="s">
        <v>8900</v>
      </c>
      <c r="B4422" s="2" t="s">
        <v>8900</v>
      </c>
      <c r="C4422" s="2" t="s">
        <v>70</v>
      </c>
      <c r="D4422" s="2" t="s">
        <v>27</v>
      </c>
      <c r="E4422" s="5">
        <v>-28787</v>
      </c>
      <c r="F4422" s="3" t="s">
        <v>486</v>
      </c>
      <c r="G4422" s="3" t="s">
        <v>43</v>
      </c>
      <c r="H4422" s="2" t="s">
        <v>21</v>
      </c>
      <c r="I4422" s="2" t="s">
        <v>8901</v>
      </c>
      <c r="J4422" s="3" t="str">
        <f>HYPERLINK("https://www.boe.es/gazeta/dias/1821/03/07/pdfs/GGB-1821-66.pdf#page=1","Abrir facsímil")</f>
        <v>Abrir facsímil</v>
      </c>
      <c r="K4422" s="3" t="s">
        <v>23</v>
      </c>
    </row>
    <row r="4423" spans="1:11" ht="42" customHeight="1">
      <c r="A4423" s="2" t="s">
        <v>8902</v>
      </c>
      <c r="B4423" s="2" t="s">
        <v>8902</v>
      </c>
      <c r="C4423" s="2" t="s">
        <v>17</v>
      </c>
      <c r="D4423" s="2" t="s">
        <v>18</v>
      </c>
      <c r="E4423" s="5">
        <v>-28536</v>
      </c>
      <c r="F4423" s="3" t="s">
        <v>553</v>
      </c>
      <c r="G4423" s="3" t="s">
        <v>88</v>
      </c>
      <c r="H4423" s="2" t="s">
        <v>21</v>
      </c>
      <c r="I4423" s="2" t="s">
        <v>8903</v>
      </c>
      <c r="J4423" s="3" t="str">
        <f>HYPERLINK("https://www.boe.es/gazeta/dias/1821/11/13/pdfs/GMD-1821-324.pdf#page=4","Abrir facsímil")</f>
        <v>Abrir facsímil</v>
      </c>
      <c r="K4423" s="3" t="s">
        <v>23</v>
      </c>
    </row>
    <row r="4424" spans="1:11" ht="42" customHeight="1">
      <c r="A4424" s="2" t="s">
        <v>8904</v>
      </c>
      <c r="B4424" s="2" t="s">
        <v>8905</v>
      </c>
      <c r="C4424" s="2" t="s">
        <v>35</v>
      </c>
      <c r="D4424" s="2" t="s">
        <v>27</v>
      </c>
      <c r="E4424" s="5">
        <v>-28514</v>
      </c>
      <c r="F4424" s="3" t="s">
        <v>103</v>
      </c>
      <c r="G4424" s="3" t="s">
        <v>88</v>
      </c>
      <c r="H4424" s="2" t="s">
        <v>21</v>
      </c>
      <c r="I4424" s="2" t="s">
        <v>8906</v>
      </c>
      <c r="J4424" s="3" t="str">
        <f>HYPERLINK("https://www.boe.es/gazeta/dias/1821/12/05/pdfs/GMD-1821-347.pdf#page=4","Abrir facsímil")</f>
        <v>Abrir facsímil</v>
      </c>
      <c r="K4424" s="3" t="s">
        <v>23</v>
      </c>
    </row>
    <row r="4425" spans="1:11" ht="42" customHeight="1">
      <c r="A4425" s="2" t="s">
        <v>8907</v>
      </c>
      <c r="B4425" s="2" t="s">
        <v>8907</v>
      </c>
      <c r="C4425" s="2" t="s">
        <v>40</v>
      </c>
      <c r="D4425" s="2" t="s">
        <v>41</v>
      </c>
      <c r="E4425" s="5">
        <v>-28810</v>
      </c>
      <c r="F4425" s="3" t="s">
        <v>308</v>
      </c>
      <c r="G4425" s="3" t="s">
        <v>20</v>
      </c>
      <c r="H4425" s="2" t="s">
        <v>21</v>
      </c>
      <c r="I4425" s="2" t="s">
        <v>8908</v>
      </c>
      <c r="J4425" s="3" t="str">
        <f>HYPERLINK("https://www.boe.es/gazeta/dias/1821/02/12/pdfs/GGB-1821-43.pdf#page=3","Abrir facsímil")</f>
        <v>Abrir facsímil</v>
      </c>
      <c r="K4425" s="3" t="s">
        <v>23</v>
      </c>
    </row>
    <row r="4426" spans="1:11" ht="42" customHeight="1">
      <c r="A4426" s="2" t="s">
        <v>8909</v>
      </c>
      <c r="B4426" s="2" t="s">
        <v>8909</v>
      </c>
      <c r="C4426" s="2" t="s">
        <v>17</v>
      </c>
      <c r="D4426" s="2" t="s">
        <v>18</v>
      </c>
      <c r="E4426" s="5">
        <v>-28712</v>
      </c>
      <c r="F4426" s="3" t="s">
        <v>695</v>
      </c>
      <c r="G4426" s="3" t="s">
        <v>20</v>
      </c>
      <c r="H4426" s="2" t="s">
        <v>21</v>
      </c>
      <c r="I4426" s="2" t="s">
        <v>8910</v>
      </c>
      <c r="J4426" s="3" t="str">
        <f>HYPERLINK("https://www.boe.es/gazeta/dias/1821/05/21/pdfs/GMD-1821-143.pdf#page=3","Abrir facsímil")</f>
        <v>Abrir facsímil</v>
      </c>
      <c r="K4426" s="3" t="s">
        <v>23</v>
      </c>
    </row>
    <row r="4427" spans="1:11" ht="42" customHeight="1">
      <c r="A4427" s="2" t="s">
        <v>8911</v>
      </c>
      <c r="B4427" s="2" t="s">
        <v>8912</v>
      </c>
      <c r="C4427" s="2" t="s">
        <v>26</v>
      </c>
      <c r="D4427" s="2" t="s">
        <v>27</v>
      </c>
      <c r="E4427" s="5">
        <v>-28620</v>
      </c>
      <c r="F4427" s="3" t="s">
        <v>87</v>
      </c>
      <c r="G4427" s="3" t="s">
        <v>88</v>
      </c>
      <c r="H4427" s="2" t="s">
        <v>21</v>
      </c>
      <c r="I4427" s="2" t="s">
        <v>8913</v>
      </c>
      <c r="J4427" s="3" t="str">
        <f>HYPERLINK("https://www.boe.es/gazeta/dias/1821/08/21/pdfs/GMD-1821-238.pdf#page=4","Abrir facsímil")</f>
        <v>Abrir facsímil</v>
      </c>
      <c r="K4427" s="3" t="s">
        <v>23</v>
      </c>
    </row>
    <row r="4428" spans="1:11" ht="42" customHeight="1">
      <c r="A4428" s="2" t="s">
        <v>8914</v>
      </c>
      <c r="B4428" s="2" t="s">
        <v>8915</v>
      </c>
      <c r="C4428" s="2" t="s">
        <v>174</v>
      </c>
      <c r="D4428" s="2" t="s">
        <v>27</v>
      </c>
      <c r="E4428" s="5">
        <v>-28753</v>
      </c>
      <c r="F4428" s="3" t="s">
        <v>720</v>
      </c>
      <c r="G4428" s="3" t="s">
        <v>88</v>
      </c>
      <c r="H4428" s="2" t="s">
        <v>21</v>
      </c>
      <c r="I4428" s="2" t="s">
        <v>8916</v>
      </c>
      <c r="J4428" s="3" t="str">
        <f>HYPERLINK("https://www.boe.es/gazeta/dias/1821/04/10/pdfs/GMD-1821-102.pdf#page=4","Abrir facsímil")</f>
        <v>Abrir facsímil</v>
      </c>
      <c r="K4428" s="3" t="s">
        <v>23</v>
      </c>
    </row>
    <row r="4429" spans="1:11" ht="42" customHeight="1">
      <c r="A4429" s="2" t="s">
        <v>8917</v>
      </c>
      <c r="B4429" s="2" t="s">
        <v>8918</v>
      </c>
      <c r="C4429" s="2" t="s">
        <v>17</v>
      </c>
      <c r="D4429" s="2" t="s">
        <v>18</v>
      </c>
      <c r="E4429" s="5">
        <v>-28553</v>
      </c>
      <c r="F4429" s="3" t="s">
        <v>182</v>
      </c>
      <c r="G4429" s="3" t="s">
        <v>29</v>
      </c>
      <c r="H4429" s="2" t="s">
        <v>21</v>
      </c>
      <c r="I4429" s="2" t="s">
        <v>8919</v>
      </c>
      <c r="J4429" s="3" t="str">
        <f>HYPERLINK("https://www.boe.es/gazeta/dias/1821/10/27/pdfs/GMD-1821-306.pdf#page=6","Abrir facsímil")</f>
        <v>Abrir facsímil</v>
      </c>
      <c r="K4429" s="3" t="s">
        <v>23</v>
      </c>
    </row>
    <row r="4430" spans="1:11" ht="42" customHeight="1">
      <c r="A4430" s="2" t="s">
        <v>8920</v>
      </c>
      <c r="B4430" s="2" t="s">
        <v>8921</v>
      </c>
      <c r="C4430" s="2" t="s">
        <v>17</v>
      </c>
      <c r="D4430" s="2" t="s">
        <v>18</v>
      </c>
      <c r="E4430" s="5">
        <v>-28652</v>
      </c>
      <c r="F4430" s="3" t="s">
        <v>1314</v>
      </c>
      <c r="G4430" s="3" t="s">
        <v>20</v>
      </c>
      <c r="H4430" s="2" t="s">
        <v>21</v>
      </c>
      <c r="I4430" s="2" t="s">
        <v>8922</v>
      </c>
      <c r="J4430" s="3" t="str">
        <f>HYPERLINK("https://www.boe.es/gazeta/dias/1821/07/20/pdfs/GMD-1821-205.pdf#page=3","Abrir facsímil")</f>
        <v>Abrir facsímil</v>
      </c>
      <c r="K4430" s="3" t="s">
        <v>23</v>
      </c>
    </row>
    <row r="4431" spans="1:11" ht="42" customHeight="1">
      <c r="A4431" s="2" t="s">
        <v>8923</v>
      </c>
      <c r="B4431" s="2" t="s">
        <v>8924</v>
      </c>
      <c r="C4431" s="2" t="s">
        <v>17</v>
      </c>
      <c r="D4431" s="2" t="s">
        <v>18</v>
      </c>
      <c r="E4431" s="5">
        <v>-28567</v>
      </c>
      <c r="F4431" s="3" t="s">
        <v>217</v>
      </c>
      <c r="G4431" s="3" t="s">
        <v>52</v>
      </c>
      <c r="H4431" s="2" t="s">
        <v>21</v>
      </c>
      <c r="I4431" s="2" t="s">
        <v>8925</v>
      </c>
      <c r="J4431" s="3" t="str">
        <f>HYPERLINK("https://www.boe.es/gazeta/dias/1821/10/13/pdfs/GMD-1821-292.pdf#page=2","Abrir facsímil")</f>
        <v>Abrir facsímil</v>
      </c>
      <c r="K4431" s="3" t="s">
        <v>23</v>
      </c>
    </row>
    <row r="4432" spans="1:11" ht="42" customHeight="1">
      <c r="A4432" s="2" t="s">
        <v>8926</v>
      </c>
      <c r="B4432" s="2" t="s">
        <v>8926</v>
      </c>
      <c r="C4432" s="2" t="s">
        <v>35</v>
      </c>
      <c r="D4432" s="2" t="s">
        <v>27</v>
      </c>
      <c r="E4432" s="5">
        <v>-28657</v>
      </c>
      <c r="F4432" s="3" t="s">
        <v>5977</v>
      </c>
      <c r="G4432" s="3" t="s">
        <v>88</v>
      </c>
      <c r="H4432" s="2" t="s">
        <v>21</v>
      </c>
      <c r="I4432" s="2" t="s">
        <v>8927</v>
      </c>
      <c r="J4432" s="3" t="str">
        <f>HYPERLINK("https://www.boe.es/gazeta/dias/1821/07/15/pdfs/GMD-1821-200.pdf#page=4","Abrir facsímil")</f>
        <v>Abrir facsímil</v>
      </c>
      <c r="K4432" s="3" t="s">
        <v>23</v>
      </c>
    </row>
    <row r="4433" spans="1:11" ht="42" customHeight="1">
      <c r="A4433" s="2" t="s">
        <v>8928</v>
      </c>
      <c r="B4433" s="2" t="s">
        <v>8928</v>
      </c>
      <c r="C4433" s="2" t="s">
        <v>40</v>
      </c>
      <c r="D4433" s="2" t="s">
        <v>41</v>
      </c>
      <c r="E4433" s="5">
        <v>-28590</v>
      </c>
      <c r="F4433" s="3" t="s">
        <v>2787</v>
      </c>
      <c r="G4433" s="3" t="s">
        <v>52</v>
      </c>
      <c r="H4433" s="2" t="s">
        <v>21</v>
      </c>
      <c r="I4433" s="2" t="s">
        <v>8929</v>
      </c>
      <c r="J4433" s="3" t="str">
        <f>HYPERLINK("https://www.boe.es/gazeta/dias/1821/09/20/pdfs/GMD-1821-268.pdf#page=2","Abrir facsímil")</f>
        <v>Abrir facsímil</v>
      </c>
      <c r="K4433" s="3" t="s">
        <v>23</v>
      </c>
    </row>
    <row r="4434" spans="1:11" ht="42" customHeight="1">
      <c r="A4434" s="2" t="s">
        <v>8930</v>
      </c>
      <c r="B4434" s="2" t="s">
        <v>8931</v>
      </c>
      <c r="C4434" s="2" t="s">
        <v>40</v>
      </c>
      <c r="D4434" s="2" t="s">
        <v>41</v>
      </c>
      <c r="E4434" s="5">
        <v>-28844</v>
      </c>
      <c r="F4434" s="3" t="s">
        <v>1743</v>
      </c>
      <c r="G4434" s="3" t="s">
        <v>162</v>
      </c>
      <c r="H4434" s="2" t="s">
        <v>21</v>
      </c>
      <c r="I4434" s="2" t="s">
        <v>8932</v>
      </c>
      <c r="J4434" s="3" t="str">
        <f>HYPERLINK("https://www.boe.es/gazeta/dias/1821/01/09/pdfs/GGB-1821-9.pdf#page=5","Abrir facsímil")</f>
        <v>Abrir facsímil</v>
      </c>
      <c r="K4434" s="3" t="s">
        <v>23</v>
      </c>
    </row>
    <row r="4435" spans="1:11" ht="42" customHeight="1">
      <c r="A4435" s="2" t="s">
        <v>8933</v>
      </c>
      <c r="B4435" s="2" t="s">
        <v>8934</v>
      </c>
      <c r="C4435" s="2" t="s">
        <v>70</v>
      </c>
      <c r="D4435" s="2" t="s">
        <v>27</v>
      </c>
      <c r="E4435" s="5">
        <v>-28705</v>
      </c>
      <c r="F4435" s="3" t="s">
        <v>1844</v>
      </c>
      <c r="G4435" s="3" t="s">
        <v>162</v>
      </c>
      <c r="H4435" s="2" t="s">
        <v>21</v>
      </c>
      <c r="I4435" s="2" t="s">
        <v>8935</v>
      </c>
      <c r="J4435" s="3" t="str">
        <f>HYPERLINK("https://www.boe.es/gazeta/dias/1821/05/28/pdfs/GMD-1821-150.pdf#page=5","Abrir facsímil")</f>
        <v>Abrir facsímil</v>
      </c>
      <c r="K4435" s="3" t="s">
        <v>23</v>
      </c>
    </row>
    <row r="4436" spans="1:11" ht="42" customHeight="1">
      <c r="A4436" s="2" t="s">
        <v>8936</v>
      </c>
      <c r="B4436" s="2" t="s">
        <v>8936</v>
      </c>
      <c r="C4436" s="2" t="s">
        <v>40</v>
      </c>
      <c r="D4436" s="2" t="s">
        <v>41</v>
      </c>
      <c r="E4436" s="5">
        <v>-28514</v>
      </c>
      <c r="F4436" s="3" t="s">
        <v>103</v>
      </c>
      <c r="G4436" s="3" t="s">
        <v>43</v>
      </c>
      <c r="H4436" s="2" t="s">
        <v>21</v>
      </c>
      <c r="I4436" s="2" t="s">
        <v>8937</v>
      </c>
      <c r="J4436" s="3" t="str">
        <f>HYPERLINK("https://www.boe.es/gazeta/dias/1821/12/05/pdfs/GMD-1821-347.pdf#page=1","Abrir facsímil")</f>
        <v>Abrir facsímil</v>
      </c>
      <c r="K4436" s="3" t="s">
        <v>23</v>
      </c>
    </row>
    <row r="4437" spans="1:11" ht="42" customHeight="1">
      <c r="A4437" s="2" t="s">
        <v>8938</v>
      </c>
      <c r="B4437" s="2" t="s">
        <v>8939</v>
      </c>
      <c r="C4437" s="2" t="s">
        <v>17</v>
      </c>
      <c r="D4437" s="2" t="s">
        <v>18</v>
      </c>
      <c r="E4437" s="5">
        <v>-28718</v>
      </c>
      <c r="F4437" s="3" t="s">
        <v>583</v>
      </c>
      <c r="G4437" s="3" t="s">
        <v>88</v>
      </c>
      <c r="H4437" s="2" t="s">
        <v>21</v>
      </c>
      <c r="I4437" s="2" t="s">
        <v>8940</v>
      </c>
      <c r="J4437" s="3" t="str">
        <f>HYPERLINK("https://www.boe.es/gazeta/dias/1821/05/15/pdfs/GMD-1821-137.pdf#page=4","Abrir facsímil")</f>
        <v>Abrir facsímil</v>
      </c>
      <c r="K4437" s="3" t="s">
        <v>23</v>
      </c>
    </row>
    <row r="4438" spans="1:11" ht="42" customHeight="1">
      <c r="A4438" s="2" t="s">
        <v>8941</v>
      </c>
      <c r="B4438" s="2" t="s">
        <v>8942</v>
      </c>
      <c r="C4438" s="2" t="s">
        <v>17</v>
      </c>
      <c r="D4438" s="2" t="s">
        <v>18</v>
      </c>
      <c r="E4438" s="5">
        <v>-28718</v>
      </c>
      <c r="F4438" s="3" t="s">
        <v>583</v>
      </c>
      <c r="G4438" s="3" t="s">
        <v>88</v>
      </c>
      <c r="H4438" s="2" t="s">
        <v>21</v>
      </c>
      <c r="I4438" s="2" t="s">
        <v>8943</v>
      </c>
      <c r="J4438" s="3" t="str">
        <f>HYPERLINK("https://www.boe.es/gazeta/dias/1821/05/15/pdfs/GMD-1821-137.pdf#page=4","Abrir facsímil")</f>
        <v>Abrir facsímil</v>
      </c>
      <c r="K4438" s="3" t="s">
        <v>23</v>
      </c>
    </row>
    <row r="4439" spans="1:11" ht="42" customHeight="1">
      <c r="A4439" s="2" t="s">
        <v>8944</v>
      </c>
      <c r="B4439" s="2" t="s">
        <v>8945</v>
      </c>
      <c r="C4439" s="2" t="s">
        <v>26</v>
      </c>
      <c r="D4439" s="2" t="s">
        <v>27</v>
      </c>
      <c r="E4439" s="5">
        <v>-28547</v>
      </c>
      <c r="F4439" s="3" t="s">
        <v>247</v>
      </c>
      <c r="G4439" s="3" t="s">
        <v>248</v>
      </c>
      <c r="H4439" s="2" t="s">
        <v>21</v>
      </c>
      <c r="I4439" s="2" t="s">
        <v>8946</v>
      </c>
      <c r="J4439" s="3" t="str">
        <f>HYPERLINK("https://www.boe.es/gazeta/dias/1821/11/02/pdfs/GMD-1821-312.pdf#page=2","Abrir facsímil")</f>
        <v>Abrir facsímil</v>
      </c>
      <c r="K4439" s="3" t="s">
        <v>23</v>
      </c>
    </row>
    <row r="4440" spans="1:11" ht="42" customHeight="1">
      <c r="A4440" s="2" t="s">
        <v>8947</v>
      </c>
      <c r="B4440" s="2" t="s">
        <v>8948</v>
      </c>
      <c r="C4440" s="2" t="s">
        <v>40</v>
      </c>
      <c r="D4440" s="2" t="s">
        <v>41</v>
      </c>
      <c r="E4440" s="5">
        <v>-28786</v>
      </c>
      <c r="F4440" s="3" t="s">
        <v>1933</v>
      </c>
      <c r="G4440" s="3" t="s">
        <v>20</v>
      </c>
      <c r="H4440" s="2" t="s">
        <v>21</v>
      </c>
      <c r="I4440" s="2" t="s">
        <v>8949</v>
      </c>
      <c r="J4440" s="3" t="str">
        <f>HYPERLINK("https://www.boe.es/gazeta/dias/1821/03/08/pdfs/GGB-1821-67.pdf#page=3","Abrir facsímil")</f>
        <v>Abrir facsímil</v>
      </c>
      <c r="K4440" s="3" t="s">
        <v>23</v>
      </c>
    </row>
    <row r="4441" spans="1:11" ht="42" customHeight="1">
      <c r="A4441" s="2" t="s">
        <v>8950</v>
      </c>
      <c r="B4441" s="2" t="s">
        <v>8950</v>
      </c>
      <c r="C4441" s="2" t="s">
        <v>17</v>
      </c>
      <c r="D4441" s="2" t="s">
        <v>18</v>
      </c>
      <c r="E4441" s="5">
        <v>-28627</v>
      </c>
      <c r="F4441" s="3" t="s">
        <v>3216</v>
      </c>
      <c r="G4441" s="3" t="s">
        <v>43</v>
      </c>
      <c r="H4441" s="2" t="s">
        <v>21</v>
      </c>
      <c r="I4441" s="2" t="s">
        <v>8951</v>
      </c>
      <c r="J4441" s="3" t="str">
        <f>HYPERLINK("https://www.boe.es/gazeta/dias/1821/08/14/pdfs/GMD-1821-231.pdf#page=1","Abrir facsímil")</f>
        <v>Abrir facsímil</v>
      </c>
      <c r="K4441" s="3" t="s">
        <v>23</v>
      </c>
    </row>
    <row r="4442" spans="1:11" ht="42" customHeight="1">
      <c r="A4442" s="2" t="s">
        <v>8952</v>
      </c>
      <c r="B4442" s="2" t="s">
        <v>8953</v>
      </c>
      <c r="C4442" s="2" t="s">
        <v>17</v>
      </c>
      <c r="D4442" s="2" t="s">
        <v>18</v>
      </c>
      <c r="E4442" s="5">
        <v>-28654</v>
      </c>
      <c r="F4442" s="3" t="s">
        <v>674</v>
      </c>
      <c r="G4442" s="3" t="s">
        <v>20</v>
      </c>
      <c r="H4442" s="2" t="s">
        <v>21</v>
      </c>
      <c r="I4442" s="2" t="s">
        <v>8954</v>
      </c>
      <c r="J4442" s="3" t="str">
        <f>HYPERLINK("https://www.boe.es/gazeta/dias/1821/07/18/pdfs/GMD-1821-203.pdf#page=3","Abrir facsímil")</f>
        <v>Abrir facsímil</v>
      </c>
      <c r="K4442" s="3" t="s">
        <v>23</v>
      </c>
    </row>
    <row r="4443" spans="1:11" ht="42" customHeight="1">
      <c r="A4443" s="2" t="s">
        <v>8955</v>
      </c>
      <c r="B4443" s="2" t="s">
        <v>8955</v>
      </c>
      <c r="C4443" s="2" t="s">
        <v>17</v>
      </c>
      <c r="D4443" s="2" t="s">
        <v>18</v>
      </c>
      <c r="E4443" s="5">
        <v>-28575</v>
      </c>
      <c r="F4443" s="3" t="s">
        <v>2453</v>
      </c>
      <c r="G4443" s="3" t="s">
        <v>52</v>
      </c>
      <c r="H4443" s="2" t="s">
        <v>21</v>
      </c>
      <c r="I4443" s="2" t="s">
        <v>8956</v>
      </c>
      <c r="J4443" s="3" t="str">
        <f>HYPERLINK("https://www.boe.es/gazeta/dias/1821/10/05/pdfs/GMD-1821-284.pdf#page=2","Abrir facsímil")</f>
        <v>Abrir facsímil</v>
      </c>
      <c r="K4443" s="3" t="s">
        <v>23</v>
      </c>
    </row>
    <row r="4444" spans="1:11" ht="42" customHeight="1">
      <c r="A4444" s="2" t="s">
        <v>8957</v>
      </c>
      <c r="B4444" s="2" t="s">
        <v>8957</v>
      </c>
      <c r="C4444" s="2" t="s">
        <v>40</v>
      </c>
      <c r="D4444" s="2" t="s">
        <v>41</v>
      </c>
      <c r="E4444" s="5">
        <v>-28509</v>
      </c>
      <c r="F4444" s="3" t="s">
        <v>388</v>
      </c>
      <c r="G4444" s="3" t="s">
        <v>609</v>
      </c>
      <c r="H4444" s="2" t="s">
        <v>21</v>
      </c>
      <c r="I4444" s="2" t="s">
        <v>8958</v>
      </c>
      <c r="J4444" s="3" t="str">
        <f>HYPERLINK("https://www.boe.es/gazeta/dias/1821/12/10/pdfs/GMD-1821-352.pdf#page=7","Abrir facsímil")</f>
        <v>Abrir facsímil</v>
      </c>
      <c r="K4444" s="3" t="s">
        <v>23</v>
      </c>
    </row>
    <row r="4445" spans="1:11" ht="42" customHeight="1">
      <c r="A4445" s="2" t="s">
        <v>8959</v>
      </c>
      <c r="B4445" s="2" t="s">
        <v>8959</v>
      </c>
      <c r="C4445" s="2" t="s">
        <v>26</v>
      </c>
      <c r="D4445" s="2" t="s">
        <v>27</v>
      </c>
      <c r="E4445" s="5">
        <v>-28714</v>
      </c>
      <c r="F4445" s="3" t="s">
        <v>522</v>
      </c>
      <c r="G4445" s="3" t="s">
        <v>8960</v>
      </c>
      <c r="H4445" s="2" t="s">
        <v>21</v>
      </c>
      <c r="I4445" s="2" t="s">
        <v>8961</v>
      </c>
      <c r="J4445" s="3" t="str">
        <f>HYPERLINK("https://www.boe.es/gazeta/dias/1821/05/19/pdfs/GMD-1821-141.pdf#page=4","Abrir facsímil")</f>
        <v>Abrir facsímil</v>
      </c>
      <c r="K4445" s="3" t="s">
        <v>23</v>
      </c>
    </row>
    <row r="4446" spans="1:11" ht="42" customHeight="1">
      <c r="A4446" s="2" t="s">
        <v>8962</v>
      </c>
      <c r="B4446" s="2" t="s">
        <v>8963</v>
      </c>
      <c r="C4446" s="2" t="s">
        <v>40</v>
      </c>
      <c r="D4446" s="2" t="s">
        <v>41</v>
      </c>
      <c r="E4446" s="5">
        <v>-28847</v>
      </c>
      <c r="F4446" s="3" t="s">
        <v>288</v>
      </c>
      <c r="G4446" s="3" t="s">
        <v>289</v>
      </c>
      <c r="H4446" s="2" t="s">
        <v>30</v>
      </c>
      <c r="I4446" s="2" t="s">
        <v>8964</v>
      </c>
      <c r="J4446" s="3" t="str">
        <f>HYPERLINK("https://www.boe.es/gazeta/dias/1821/01/06/pdfs/GGB-1821-6.pdf#page=4","Abrir facsímil")</f>
        <v>Abrir facsímil</v>
      </c>
      <c r="K4446" s="3" t="s">
        <v>32</v>
      </c>
    </row>
    <row r="4447" spans="1:11" ht="42" customHeight="1">
      <c r="A4447" s="2" t="s">
        <v>8965</v>
      </c>
      <c r="B4447" s="2" t="s">
        <v>8965</v>
      </c>
      <c r="C4447" s="2" t="s">
        <v>17</v>
      </c>
      <c r="D4447" s="2" t="s">
        <v>18</v>
      </c>
      <c r="E4447" s="5">
        <v>-28783</v>
      </c>
      <c r="F4447" s="3" t="s">
        <v>198</v>
      </c>
      <c r="G4447" s="3" t="s">
        <v>88</v>
      </c>
      <c r="H4447" s="2" t="s">
        <v>21</v>
      </c>
      <c r="I4447" s="2" t="s">
        <v>8966</v>
      </c>
      <c r="J4447" s="3" t="str">
        <f>HYPERLINK("https://www.boe.es/gazeta/dias/1821/03/11/pdfs/GGB-1821-70.pdf#page=4","Abrir facsímil")</f>
        <v>Abrir facsímil</v>
      </c>
      <c r="K4447" s="3" t="s">
        <v>23</v>
      </c>
    </row>
    <row r="4448" spans="1:11" ht="42" customHeight="1">
      <c r="A4448" s="2" t="s">
        <v>8965</v>
      </c>
      <c r="B4448" s="2" t="s">
        <v>8965</v>
      </c>
      <c r="C4448" s="2" t="s">
        <v>17</v>
      </c>
      <c r="D4448" s="2" t="s">
        <v>18</v>
      </c>
      <c r="E4448" s="5">
        <v>-28778</v>
      </c>
      <c r="F4448" s="3" t="s">
        <v>1301</v>
      </c>
      <c r="G4448" s="3" t="s">
        <v>162</v>
      </c>
      <c r="H4448" s="2" t="s">
        <v>21</v>
      </c>
      <c r="I4448" s="2" t="s">
        <v>8967</v>
      </c>
      <c r="J4448" s="3" t="str">
        <f>HYPERLINK("https://www.boe.es/gazeta/dias/1821/03/16/pdfs/GMD-1821-75.pdf#page=5","Abrir facsímil")</f>
        <v>Abrir facsímil</v>
      </c>
      <c r="K4448" s="3" t="s">
        <v>23</v>
      </c>
    </row>
    <row r="4449" spans="1:11" ht="42" customHeight="1">
      <c r="A4449" s="2" t="s">
        <v>8968</v>
      </c>
      <c r="B4449" s="2" t="s">
        <v>8968</v>
      </c>
      <c r="C4449" s="2" t="s">
        <v>40</v>
      </c>
      <c r="D4449" s="2" t="s">
        <v>41</v>
      </c>
      <c r="E4449" s="5">
        <v>-28773</v>
      </c>
      <c r="F4449" s="3" t="s">
        <v>1755</v>
      </c>
      <c r="G4449" s="3" t="s">
        <v>20</v>
      </c>
      <c r="H4449" s="2" t="s">
        <v>21</v>
      </c>
      <c r="I4449" s="2" t="s">
        <v>8969</v>
      </c>
      <c r="J4449" s="3" t="str">
        <f>HYPERLINK("https://www.boe.es/gazeta/dias/1821/03/21/pdfs/GMD-1821-80.pdf#page=3","Abrir facsímil")</f>
        <v>Abrir facsímil</v>
      </c>
      <c r="K4449" s="3" t="s">
        <v>23</v>
      </c>
    </row>
    <row r="4450" spans="1:11" ht="42" customHeight="1">
      <c r="A4450" s="2" t="s">
        <v>8965</v>
      </c>
      <c r="B4450" s="2" t="s">
        <v>8965</v>
      </c>
      <c r="C4450" s="2" t="s">
        <v>40</v>
      </c>
      <c r="D4450" s="2" t="s">
        <v>41</v>
      </c>
      <c r="E4450" s="5">
        <v>-28754</v>
      </c>
      <c r="F4450" s="3" t="s">
        <v>1942</v>
      </c>
      <c r="G4450" s="3" t="s">
        <v>52</v>
      </c>
      <c r="H4450" s="2" t="s">
        <v>21</v>
      </c>
      <c r="I4450" s="2" t="s">
        <v>8970</v>
      </c>
      <c r="J4450" s="3" t="str">
        <f>HYPERLINK("https://www.boe.es/gazeta/dias/1821/04/09/pdfs/GMD-1821-101.pdf#page=2","Abrir facsímil")</f>
        <v>Abrir facsímil</v>
      </c>
      <c r="K4450" s="3" t="s">
        <v>23</v>
      </c>
    </row>
    <row r="4451" spans="1:11" ht="42" customHeight="1">
      <c r="A4451" s="2" t="s">
        <v>8968</v>
      </c>
      <c r="B4451" s="2" t="s">
        <v>8968</v>
      </c>
      <c r="C4451" s="2" t="s">
        <v>17</v>
      </c>
      <c r="D4451" s="2" t="s">
        <v>18</v>
      </c>
      <c r="E4451" s="5">
        <v>-28753</v>
      </c>
      <c r="F4451" s="3" t="s">
        <v>720</v>
      </c>
      <c r="G4451" s="3" t="s">
        <v>776</v>
      </c>
      <c r="H4451" s="2" t="s">
        <v>21</v>
      </c>
      <c r="I4451" s="2" t="s">
        <v>8971</v>
      </c>
      <c r="J4451" s="3" t="str">
        <f>HYPERLINK("https://www.boe.es/gazeta/dias/1821/04/10/pdfs/GMD-1821-102.pdf#page=2","Abrir facsímil")</f>
        <v>Abrir facsímil</v>
      </c>
      <c r="K4451" s="3" t="s">
        <v>23</v>
      </c>
    </row>
    <row r="4452" spans="1:11" ht="42" customHeight="1">
      <c r="A4452" s="2" t="s">
        <v>8965</v>
      </c>
      <c r="B4452" s="2" t="s">
        <v>8965</v>
      </c>
      <c r="C4452" s="2" t="s">
        <v>26</v>
      </c>
      <c r="D4452" s="2" t="s">
        <v>27</v>
      </c>
      <c r="E4452" s="5">
        <v>-28752</v>
      </c>
      <c r="F4452" s="3" t="s">
        <v>1012</v>
      </c>
      <c r="G4452" s="3" t="s">
        <v>1013</v>
      </c>
      <c r="H4452" s="2" t="s">
        <v>21</v>
      </c>
      <c r="I4452" s="2" t="s">
        <v>8972</v>
      </c>
      <c r="J4452" s="3" t="str">
        <f>HYPERLINK("https://www.boe.es/gazeta/dias/1821/04/11/pdfs/GMD-1821-103.pdf#page=3","Abrir facsímil")</f>
        <v>Abrir facsímil</v>
      </c>
      <c r="K4452" s="3" t="s">
        <v>23</v>
      </c>
    </row>
    <row r="4453" spans="1:11" ht="42" customHeight="1">
      <c r="A4453" s="2" t="s">
        <v>8965</v>
      </c>
      <c r="B4453" s="2" t="s">
        <v>8965</v>
      </c>
      <c r="C4453" s="2" t="s">
        <v>17</v>
      </c>
      <c r="D4453" s="2" t="s">
        <v>18</v>
      </c>
      <c r="E4453" s="5">
        <v>-28749</v>
      </c>
      <c r="F4453" s="3" t="s">
        <v>832</v>
      </c>
      <c r="G4453" s="3" t="s">
        <v>52</v>
      </c>
      <c r="H4453" s="2" t="s">
        <v>21</v>
      </c>
      <c r="I4453" s="2" t="s">
        <v>8973</v>
      </c>
      <c r="J4453" s="3" t="str">
        <f>HYPERLINK("https://www.boe.es/gazeta/dias/1821/04/14/pdfs/GMD-1821-106.pdf#page=2","Abrir facsímil")</f>
        <v>Abrir facsímil</v>
      </c>
      <c r="K4453" s="3" t="s">
        <v>23</v>
      </c>
    </row>
    <row r="4454" spans="1:11" ht="42" customHeight="1">
      <c r="A4454" s="2" t="s">
        <v>8968</v>
      </c>
      <c r="B4454" s="2" t="s">
        <v>8968</v>
      </c>
      <c r="C4454" s="2" t="s">
        <v>17</v>
      </c>
      <c r="D4454" s="2" t="s">
        <v>18</v>
      </c>
      <c r="E4454" s="5">
        <v>-28747</v>
      </c>
      <c r="F4454" s="3" t="s">
        <v>1016</v>
      </c>
      <c r="G4454" s="3" t="s">
        <v>52</v>
      </c>
      <c r="H4454" s="2" t="s">
        <v>21</v>
      </c>
      <c r="I4454" s="2" t="s">
        <v>8974</v>
      </c>
      <c r="J4454" s="3" t="str">
        <f>HYPERLINK("https://www.boe.es/gazeta/dias/1821/04/16/pdfs/GMD-1821-108.pdf#page=2","Abrir facsímil")</f>
        <v>Abrir facsímil</v>
      </c>
      <c r="K4454" s="3" t="s">
        <v>23</v>
      </c>
    </row>
    <row r="4455" spans="1:11" ht="42" customHeight="1">
      <c r="A4455" s="2" t="s">
        <v>8965</v>
      </c>
      <c r="B4455" s="2" t="s">
        <v>8965</v>
      </c>
      <c r="C4455" s="2" t="s">
        <v>35</v>
      </c>
      <c r="D4455" s="2" t="s">
        <v>27</v>
      </c>
      <c r="E4455" s="5">
        <v>-28744</v>
      </c>
      <c r="F4455" s="3" t="s">
        <v>834</v>
      </c>
      <c r="G4455" s="3" t="s">
        <v>52</v>
      </c>
      <c r="H4455" s="2" t="s">
        <v>21</v>
      </c>
      <c r="I4455" s="2" t="s">
        <v>8975</v>
      </c>
      <c r="J4455" s="3" t="str">
        <f>HYPERLINK("https://www.boe.es/gazeta/dias/1821/04/19/pdfs/GMD-1821-111.pdf#page=2","Abrir facsímil")</f>
        <v>Abrir facsímil</v>
      </c>
      <c r="K4455" s="3" t="s">
        <v>23</v>
      </c>
    </row>
    <row r="4456" spans="1:11" ht="42" customHeight="1">
      <c r="A4456" s="2" t="s">
        <v>8965</v>
      </c>
      <c r="B4456" s="2" t="s">
        <v>8965</v>
      </c>
      <c r="C4456" s="2" t="s">
        <v>35</v>
      </c>
      <c r="D4456" s="2" t="s">
        <v>27</v>
      </c>
      <c r="E4456" s="5">
        <v>-28740</v>
      </c>
      <c r="F4456" s="3" t="s">
        <v>2800</v>
      </c>
      <c r="G4456" s="3" t="s">
        <v>52</v>
      </c>
      <c r="H4456" s="2" t="s">
        <v>21</v>
      </c>
      <c r="I4456" s="2" t="s">
        <v>8976</v>
      </c>
      <c r="J4456" s="3" t="str">
        <f>HYPERLINK("https://www.boe.es/gazeta/dias/1821/04/23/pdfs/GMD-1821-115.pdf#page=2","Abrir facsímil")</f>
        <v>Abrir facsímil</v>
      </c>
      <c r="K4456" s="3" t="s">
        <v>23</v>
      </c>
    </row>
    <row r="4457" spans="1:11" ht="42" customHeight="1">
      <c r="A4457" s="2" t="s">
        <v>8965</v>
      </c>
      <c r="B4457" s="2" t="s">
        <v>8965</v>
      </c>
      <c r="C4457" s="2" t="s">
        <v>17</v>
      </c>
      <c r="D4457" s="2" t="s">
        <v>18</v>
      </c>
      <c r="E4457" s="5">
        <v>-28726</v>
      </c>
      <c r="F4457" s="3" t="s">
        <v>347</v>
      </c>
      <c r="G4457" s="3" t="s">
        <v>20</v>
      </c>
      <c r="H4457" s="2" t="s">
        <v>21</v>
      </c>
      <c r="I4457" s="2" t="s">
        <v>8977</v>
      </c>
      <c r="J4457" s="3" t="str">
        <f>HYPERLINK("https://www.boe.es/gazeta/dias/1821/05/07/pdfs/GMD-1821-129.pdf#page=3","Abrir facsímil")</f>
        <v>Abrir facsímil</v>
      </c>
      <c r="K4457" s="3" t="s">
        <v>23</v>
      </c>
    </row>
    <row r="4458" spans="1:11" ht="42" customHeight="1">
      <c r="A4458" s="2" t="s">
        <v>8965</v>
      </c>
      <c r="B4458" s="2" t="s">
        <v>8965</v>
      </c>
      <c r="C4458" s="2" t="s">
        <v>40</v>
      </c>
      <c r="D4458" s="2" t="s">
        <v>41</v>
      </c>
      <c r="E4458" s="5">
        <v>-28723</v>
      </c>
      <c r="F4458" s="3" t="s">
        <v>840</v>
      </c>
      <c r="G4458" s="3" t="s">
        <v>52</v>
      </c>
      <c r="H4458" s="2" t="s">
        <v>21</v>
      </c>
      <c r="I4458" s="2" t="s">
        <v>8978</v>
      </c>
      <c r="J4458" s="3" t="str">
        <f>HYPERLINK("https://www.boe.es/gazeta/dias/1821/05/10/pdfs/GMD-1821-132.pdf#page=2","Abrir facsímil")</f>
        <v>Abrir facsímil</v>
      </c>
      <c r="K4458" s="3" t="s">
        <v>23</v>
      </c>
    </row>
    <row r="4459" spans="1:11" ht="42" customHeight="1">
      <c r="A4459" s="2" t="s">
        <v>8965</v>
      </c>
      <c r="B4459" s="2" t="s">
        <v>8965</v>
      </c>
      <c r="C4459" s="2" t="s">
        <v>40</v>
      </c>
      <c r="D4459" s="2" t="s">
        <v>41</v>
      </c>
      <c r="E4459" s="5">
        <v>-28722</v>
      </c>
      <c r="F4459" s="3" t="s">
        <v>623</v>
      </c>
      <c r="G4459" s="3" t="s">
        <v>88</v>
      </c>
      <c r="H4459" s="2" t="s">
        <v>21</v>
      </c>
      <c r="I4459" s="2" t="s">
        <v>8979</v>
      </c>
      <c r="J4459" s="3" t="str">
        <f>HYPERLINK("https://www.boe.es/gazeta/dias/1821/05/11/pdfs/GMD-1821-133.pdf#page=4","Abrir facsímil")</f>
        <v>Abrir facsímil</v>
      </c>
      <c r="K4459" s="3" t="s">
        <v>23</v>
      </c>
    </row>
    <row r="4460" spans="1:11" ht="42" customHeight="1">
      <c r="A4460" s="2" t="s">
        <v>8965</v>
      </c>
      <c r="B4460" s="2" t="s">
        <v>8965</v>
      </c>
      <c r="C4460" s="2" t="s">
        <v>17</v>
      </c>
      <c r="D4460" s="2" t="s">
        <v>18</v>
      </c>
      <c r="E4460" s="5">
        <v>-28718</v>
      </c>
      <c r="F4460" s="3" t="s">
        <v>583</v>
      </c>
      <c r="G4460" s="3" t="s">
        <v>20</v>
      </c>
      <c r="H4460" s="2" t="s">
        <v>21</v>
      </c>
      <c r="I4460" s="2" t="s">
        <v>8980</v>
      </c>
      <c r="J4460" s="3" t="str">
        <f>HYPERLINK("https://www.boe.es/gazeta/dias/1821/05/15/pdfs/GMD-1821-137.pdf#page=3","Abrir facsímil")</f>
        <v>Abrir facsímil</v>
      </c>
      <c r="K4460" s="3" t="s">
        <v>23</v>
      </c>
    </row>
    <row r="4461" spans="1:11" ht="42" customHeight="1">
      <c r="A4461" s="2" t="s">
        <v>8968</v>
      </c>
      <c r="B4461" s="2" t="s">
        <v>8968</v>
      </c>
      <c r="C4461" s="2" t="s">
        <v>114</v>
      </c>
      <c r="D4461" s="2" t="s">
        <v>27</v>
      </c>
      <c r="E4461" s="5">
        <v>-28706</v>
      </c>
      <c r="F4461" s="3" t="s">
        <v>4791</v>
      </c>
      <c r="G4461" s="3" t="s">
        <v>52</v>
      </c>
      <c r="H4461" s="2" t="s">
        <v>21</v>
      </c>
      <c r="I4461" s="2" t="s">
        <v>8981</v>
      </c>
      <c r="J4461" s="3" t="str">
        <f>HYPERLINK("https://www.boe.es/gazeta/dias/1821/05/27/pdfs/GMD-1821-149.pdf#page=2","Abrir facsímil")</f>
        <v>Abrir facsímil</v>
      </c>
      <c r="K4461" s="3" t="s">
        <v>23</v>
      </c>
    </row>
    <row r="4462" spans="1:11" ht="42" customHeight="1">
      <c r="A4462" s="2" t="s">
        <v>8965</v>
      </c>
      <c r="B4462" s="2" t="s">
        <v>8965</v>
      </c>
      <c r="C4462" s="2" t="s">
        <v>26</v>
      </c>
      <c r="D4462" s="2" t="s">
        <v>27</v>
      </c>
      <c r="E4462" s="5">
        <v>-28703</v>
      </c>
      <c r="F4462" s="3" t="s">
        <v>231</v>
      </c>
      <c r="G4462" s="3" t="s">
        <v>20</v>
      </c>
      <c r="H4462" s="2" t="s">
        <v>21</v>
      </c>
      <c r="I4462" s="2" t="s">
        <v>8982</v>
      </c>
      <c r="J4462" s="3" t="str">
        <f>HYPERLINK("https://www.boe.es/gazeta/dias/1821/05/30/pdfs/GMD-1821-152.pdf#page=3","Abrir facsímil")</f>
        <v>Abrir facsímil</v>
      </c>
      <c r="K4462" s="3" t="s">
        <v>23</v>
      </c>
    </row>
    <row r="4463" spans="1:11" ht="42" customHeight="1">
      <c r="A4463" s="2" t="s">
        <v>8965</v>
      </c>
      <c r="B4463" s="2" t="s">
        <v>8965</v>
      </c>
      <c r="C4463" s="2" t="s">
        <v>17</v>
      </c>
      <c r="D4463" s="2" t="s">
        <v>18</v>
      </c>
      <c r="E4463" s="5">
        <v>-28700</v>
      </c>
      <c r="F4463" s="3" t="s">
        <v>701</v>
      </c>
      <c r="G4463" s="3" t="s">
        <v>20</v>
      </c>
      <c r="H4463" s="2" t="s">
        <v>21</v>
      </c>
      <c r="I4463" s="2" t="s">
        <v>8983</v>
      </c>
      <c r="J4463" s="3" t="str">
        <f>HYPERLINK("https://www.boe.es/gazeta/dias/1821/06/02/pdfs/GMD-1821-155.pdf#page=3","Abrir facsímil")</f>
        <v>Abrir facsímil</v>
      </c>
      <c r="K4463" s="3" t="s">
        <v>23</v>
      </c>
    </row>
    <row r="4464" spans="1:11" ht="42" customHeight="1">
      <c r="A4464" s="2" t="s">
        <v>8965</v>
      </c>
      <c r="B4464" s="2" t="s">
        <v>8965</v>
      </c>
      <c r="C4464" s="2" t="s">
        <v>40</v>
      </c>
      <c r="D4464" s="2" t="s">
        <v>41</v>
      </c>
      <c r="E4464" s="5">
        <v>-28695</v>
      </c>
      <c r="F4464" s="3" t="s">
        <v>1309</v>
      </c>
      <c r="G4464" s="3" t="s">
        <v>52</v>
      </c>
      <c r="H4464" s="2" t="s">
        <v>21</v>
      </c>
      <c r="I4464" s="2" t="s">
        <v>8984</v>
      </c>
      <c r="J4464" s="3" t="str">
        <f>HYPERLINK("https://www.boe.es/gazeta/dias/1821/06/07/pdfs/GMD-1821-160.pdf#page=2","Abrir facsímil")</f>
        <v>Abrir facsímil</v>
      </c>
      <c r="K4464" s="3" t="s">
        <v>23</v>
      </c>
    </row>
    <row r="4465" spans="1:11" ht="42" customHeight="1">
      <c r="A4465" s="2" t="s">
        <v>8965</v>
      </c>
      <c r="B4465" s="2" t="s">
        <v>8965</v>
      </c>
      <c r="C4465" s="2" t="s">
        <v>40</v>
      </c>
      <c r="D4465" s="2" t="s">
        <v>41</v>
      </c>
      <c r="E4465" s="5">
        <v>-28691</v>
      </c>
      <c r="F4465" s="3" t="s">
        <v>716</v>
      </c>
      <c r="G4465" s="3" t="s">
        <v>20</v>
      </c>
      <c r="H4465" s="2" t="s">
        <v>21</v>
      </c>
      <c r="I4465" s="2" t="s">
        <v>8985</v>
      </c>
      <c r="J4465" s="3" t="str">
        <f>HYPERLINK("https://www.boe.es/gazeta/dias/1821/06/11/pdfs/GMD-1821-164.pdf#page=3","Abrir facsímil")</f>
        <v>Abrir facsímil</v>
      </c>
      <c r="K4465" s="3" t="s">
        <v>23</v>
      </c>
    </row>
    <row r="4466" spans="1:11" ht="42" customHeight="1">
      <c r="A4466" s="2" t="s">
        <v>8965</v>
      </c>
      <c r="B4466" s="2" t="s">
        <v>8965</v>
      </c>
      <c r="C4466" s="2" t="s">
        <v>35</v>
      </c>
      <c r="D4466" s="2" t="s">
        <v>27</v>
      </c>
      <c r="E4466" s="5">
        <v>-28685</v>
      </c>
      <c r="F4466" s="3" t="s">
        <v>303</v>
      </c>
      <c r="G4466" s="3" t="s">
        <v>162</v>
      </c>
      <c r="H4466" s="2" t="s">
        <v>21</v>
      </c>
      <c r="I4466" s="2" t="s">
        <v>8986</v>
      </c>
      <c r="J4466" s="3" t="str">
        <f>HYPERLINK("https://www.boe.es/gazeta/dias/1821/06/17/pdfs/GMD-1821-170.pdf#page=5","Abrir facsímil")</f>
        <v>Abrir facsímil</v>
      </c>
      <c r="K4466" s="3" t="s">
        <v>23</v>
      </c>
    </row>
    <row r="4467" spans="1:11" ht="42" customHeight="1">
      <c r="A4467" s="2" t="s">
        <v>8965</v>
      </c>
      <c r="B4467" s="2" t="s">
        <v>8965</v>
      </c>
      <c r="C4467" s="2" t="s">
        <v>17</v>
      </c>
      <c r="D4467" s="2" t="s">
        <v>18</v>
      </c>
      <c r="E4467" s="5">
        <v>-28675</v>
      </c>
      <c r="F4467" s="3" t="s">
        <v>943</v>
      </c>
      <c r="G4467" s="3" t="s">
        <v>162</v>
      </c>
      <c r="H4467" s="2" t="s">
        <v>21</v>
      </c>
      <c r="I4467" s="2" t="s">
        <v>8987</v>
      </c>
      <c r="J4467" s="3" t="str">
        <f>HYPERLINK("https://www.boe.es/gazeta/dias/1821/06/27/pdfs/GMD-1821-180.pdf#page=5","Abrir facsímil")</f>
        <v>Abrir facsímil</v>
      </c>
      <c r="K4467" s="3" t="s">
        <v>23</v>
      </c>
    </row>
    <row r="4468" spans="1:11" ht="42" customHeight="1">
      <c r="A4468" s="2" t="s">
        <v>8965</v>
      </c>
      <c r="B4468" s="2" t="s">
        <v>8965</v>
      </c>
      <c r="C4468" s="2" t="s">
        <v>40</v>
      </c>
      <c r="D4468" s="2" t="s">
        <v>41</v>
      </c>
      <c r="E4468" s="5">
        <v>-28574</v>
      </c>
      <c r="F4468" s="3" t="s">
        <v>779</v>
      </c>
      <c r="G4468" s="3" t="s">
        <v>29</v>
      </c>
      <c r="H4468" s="2" t="s">
        <v>21</v>
      </c>
      <c r="I4468" s="2" t="s">
        <v>8988</v>
      </c>
      <c r="J4468" s="3" t="str">
        <f>HYPERLINK("https://www.boe.es/gazeta/dias/1821/10/06/pdfs/GMD-1821-285.pdf#page=6","Abrir facsímil")</f>
        <v>Abrir facsímil</v>
      </c>
      <c r="K4468" s="3" t="s">
        <v>23</v>
      </c>
    </row>
    <row r="4469" spans="1:11" ht="42" customHeight="1">
      <c r="A4469" s="2" t="s">
        <v>8965</v>
      </c>
      <c r="B4469" s="2" t="s">
        <v>8965</v>
      </c>
      <c r="C4469" s="2" t="s">
        <v>17</v>
      </c>
      <c r="D4469" s="2" t="s">
        <v>18</v>
      </c>
      <c r="E4469" s="5">
        <v>-28549</v>
      </c>
      <c r="F4469" s="3" t="s">
        <v>930</v>
      </c>
      <c r="G4469" s="3" t="s">
        <v>162</v>
      </c>
      <c r="H4469" s="2" t="s">
        <v>21</v>
      </c>
      <c r="I4469" s="2" t="s">
        <v>8989</v>
      </c>
      <c r="J4469" s="3" t="str">
        <f>HYPERLINK("https://www.boe.es/gazeta/dias/1821/10/31/pdfs/GMD-1821-310.pdf#page=5","Abrir facsímil")</f>
        <v>Abrir facsímil</v>
      </c>
      <c r="K4469" s="3" t="s">
        <v>23</v>
      </c>
    </row>
    <row r="4470" spans="1:11" ht="42" customHeight="1">
      <c r="A4470" s="2" t="s">
        <v>8968</v>
      </c>
      <c r="B4470" s="2" t="s">
        <v>8968</v>
      </c>
      <c r="C4470" s="2" t="s">
        <v>26</v>
      </c>
      <c r="D4470" s="2" t="s">
        <v>27</v>
      </c>
      <c r="E4470" s="5">
        <v>-28548</v>
      </c>
      <c r="F4470" s="3" t="s">
        <v>782</v>
      </c>
      <c r="G4470" s="3" t="s">
        <v>88</v>
      </c>
      <c r="H4470" s="2" t="s">
        <v>21</v>
      </c>
      <c r="I4470" s="2" t="s">
        <v>8990</v>
      </c>
      <c r="J4470" s="3" t="str">
        <f>HYPERLINK("https://www.boe.es/gazeta/dias/1821/11/01/pdfs/GMD-1821-311.pdf#page=4","Abrir facsímil")</f>
        <v>Abrir facsímil</v>
      </c>
      <c r="K4470" s="3" t="s">
        <v>23</v>
      </c>
    </row>
    <row r="4471" spans="1:11" ht="42" customHeight="1">
      <c r="A4471" s="2" t="s">
        <v>8965</v>
      </c>
      <c r="B4471" s="2" t="s">
        <v>8965</v>
      </c>
      <c r="C4471" s="2" t="s">
        <v>17</v>
      </c>
      <c r="D4471" s="2" t="s">
        <v>18</v>
      </c>
      <c r="E4471" s="5">
        <v>-28547</v>
      </c>
      <c r="F4471" s="3" t="s">
        <v>247</v>
      </c>
      <c r="G4471" s="3" t="s">
        <v>88</v>
      </c>
      <c r="H4471" s="2" t="s">
        <v>21</v>
      </c>
      <c r="I4471" s="2" t="s">
        <v>8991</v>
      </c>
      <c r="J4471" s="3" t="str">
        <f>HYPERLINK("https://www.boe.es/gazeta/dias/1821/11/02/pdfs/GMD-1821-312.pdf#page=4","Abrir facsímil")</f>
        <v>Abrir facsímil</v>
      </c>
      <c r="K4471" s="3" t="s">
        <v>23</v>
      </c>
    </row>
    <row r="4472" spans="1:11" ht="42" customHeight="1">
      <c r="A4472" s="2" t="s">
        <v>8965</v>
      </c>
      <c r="B4472" s="2" t="s">
        <v>8965</v>
      </c>
      <c r="C4472" s="2" t="s">
        <v>35</v>
      </c>
      <c r="D4472" s="2" t="s">
        <v>27</v>
      </c>
      <c r="E4472" s="5">
        <v>-28542</v>
      </c>
      <c r="F4472" s="3" t="s">
        <v>221</v>
      </c>
      <c r="G4472" s="3" t="s">
        <v>162</v>
      </c>
      <c r="H4472" s="2" t="s">
        <v>21</v>
      </c>
      <c r="I4472" s="2" t="s">
        <v>8992</v>
      </c>
      <c r="J4472" s="3" t="str">
        <f>HYPERLINK("https://www.boe.es/gazeta/dias/1821/11/07/pdfs/GMD-1821-318.pdf#page=5","Abrir facsímil")</f>
        <v>Abrir facsímil</v>
      </c>
      <c r="K4472" s="3" t="s">
        <v>23</v>
      </c>
    </row>
    <row r="4473" spans="1:11" ht="42" customHeight="1">
      <c r="A4473" s="2" t="s">
        <v>8965</v>
      </c>
      <c r="B4473" s="2" t="s">
        <v>8965</v>
      </c>
      <c r="C4473" s="2" t="s">
        <v>35</v>
      </c>
      <c r="D4473" s="2" t="s">
        <v>27</v>
      </c>
      <c r="E4473" s="5">
        <v>-28537</v>
      </c>
      <c r="F4473" s="3" t="s">
        <v>56</v>
      </c>
      <c r="G4473" s="3" t="s">
        <v>88</v>
      </c>
      <c r="H4473" s="2" t="s">
        <v>21</v>
      </c>
      <c r="I4473" s="2" t="s">
        <v>8993</v>
      </c>
      <c r="J4473" s="3" t="str">
        <f>HYPERLINK("https://www.boe.es/gazeta/dias/1821/11/12/pdfs/GMD-1821-323.pdf#page=4","Abrir facsímil")</f>
        <v>Abrir facsímil</v>
      </c>
      <c r="K4473" s="3" t="s">
        <v>23</v>
      </c>
    </row>
    <row r="4474" spans="1:11" ht="42" customHeight="1">
      <c r="A4474" s="2" t="s">
        <v>8968</v>
      </c>
      <c r="B4474" s="2" t="s">
        <v>8968</v>
      </c>
      <c r="C4474" s="2" t="s">
        <v>114</v>
      </c>
      <c r="D4474" s="2" t="s">
        <v>27</v>
      </c>
      <c r="E4474" s="5">
        <v>-28529</v>
      </c>
      <c r="F4474" s="3" t="s">
        <v>525</v>
      </c>
      <c r="G4474" s="3" t="s">
        <v>88</v>
      </c>
      <c r="H4474" s="2" t="s">
        <v>21</v>
      </c>
      <c r="I4474" s="2" t="s">
        <v>8994</v>
      </c>
      <c r="J4474" s="3" t="str">
        <f>HYPERLINK("https://www.boe.es/gazeta/dias/1821/11/20/pdfs/GMD-1821-331.pdf#page=4","Abrir facsímil")</f>
        <v>Abrir facsímil</v>
      </c>
      <c r="K4474" s="3" t="s">
        <v>23</v>
      </c>
    </row>
    <row r="4475" spans="1:11" ht="42" customHeight="1">
      <c r="A4475" s="2" t="s">
        <v>8965</v>
      </c>
      <c r="B4475" s="2" t="s">
        <v>8965</v>
      </c>
      <c r="C4475" s="2" t="s">
        <v>35</v>
      </c>
      <c r="D4475" s="2" t="s">
        <v>27</v>
      </c>
      <c r="E4475" s="5">
        <v>-28527</v>
      </c>
      <c r="F4475" s="3" t="s">
        <v>328</v>
      </c>
      <c r="G4475" s="3" t="s">
        <v>20</v>
      </c>
      <c r="H4475" s="2" t="s">
        <v>21</v>
      </c>
      <c r="I4475" s="2" t="s">
        <v>8995</v>
      </c>
      <c r="J4475" s="3" t="str">
        <f>HYPERLINK("https://www.boe.es/gazeta/dias/1821/11/22/pdfs/GMD-1821-333.pdf#page=3","Abrir facsímil")</f>
        <v>Abrir facsímil</v>
      </c>
      <c r="K4475" s="3" t="s">
        <v>23</v>
      </c>
    </row>
    <row r="4476" spans="1:11" ht="42" customHeight="1">
      <c r="A4476" s="2" t="s">
        <v>8965</v>
      </c>
      <c r="B4476" s="2" t="s">
        <v>8965</v>
      </c>
      <c r="C4476" s="2" t="s">
        <v>35</v>
      </c>
      <c r="D4476" s="2" t="s">
        <v>27</v>
      </c>
      <c r="E4476" s="5">
        <v>-28526</v>
      </c>
      <c r="F4476" s="3" t="s">
        <v>223</v>
      </c>
      <c r="G4476" s="3" t="s">
        <v>88</v>
      </c>
      <c r="H4476" s="2" t="s">
        <v>21</v>
      </c>
      <c r="I4476" s="2" t="s">
        <v>8996</v>
      </c>
      <c r="J4476" s="3" t="str">
        <f>HYPERLINK("https://www.boe.es/gazeta/dias/1821/11/23/pdfs/GMD-1821-334.pdf#page=4","Abrir facsímil")</f>
        <v>Abrir facsímil</v>
      </c>
      <c r="K4476" s="3" t="s">
        <v>23</v>
      </c>
    </row>
    <row r="4477" spans="1:11" ht="42" customHeight="1">
      <c r="A4477" s="2" t="s">
        <v>8965</v>
      </c>
      <c r="B4477" s="2" t="s">
        <v>8965</v>
      </c>
      <c r="C4477" s="2" t="s">
        <v>26</v>
      </c>
      <c r="D4477" s="2" t="s">
        <v>27</v>
      </c>
      <c r="E4477" s="5">
        <v>-28509</v>
      </c>
      <c r="F4477" s="3" t="s">
        <v>388</v>
      </c>
      <c r="G4477" s="3" t="s">
        <v>29</v>
      </c>
      <c r="H4477" s="2" t="s">
        <v>21</v>
      </c>
      <c r="I4477" s="2" t="s">
        <v>8997</v>
      </c>
      <c r="J4477" s="3" t="str">
        <f>HYPERLINK("https://www.boe.es/gazeta/dias/1821/12/10/pdfs/GMD-1821-352.pdf#page=6","Abrir facsímil")</f>
        <v>Abrir facsímil</v>
      </c>
      <c r="K4477" s="3" t="s">
        <v>23</v>
      </c>
    </row>
    <row r="4478" spans="1:11" ht="42" customHeight="1">
      <c r="A4478" s="2" t="s">
        <v>8968</v>
      </c>
      <c r="B4478" s="2" t="s">
        <v>8968</v>
      </c>
      <c r="C4478" s="2" t="s">
        <v>35</v>
      </c>
      <c r="D4478" s="2" t="s">
        <v>27</v>
      </c>
      <c r="E4478" s="5">
        <v>-28503</v>
      </c>
      <c r="F4478" s="3" t="s">
        <v>947</v>
      </c>
      <c r="G4478" s="3" t="s">
        <v>88</v>
      </c>
      <c r="H4478" s="2" t="s">
        <v>21</v>
      </c>
      <c r="I4478" s="2" t="s">
        <v>8998</v>
      </c>
      <c r="J4478" s="3" t="str">
        <f>HYPERLINK("https://www.boe.es/gazeta/dias/1821/12/16/pdfs/GMD-1821-359.pdf#page=4","Abrir facsímil")</f>
        <v>Abrir facsímil</v>
      </c>
      <c r="K4478" s="3" t="s">
        <v>23</v>
      </c>
    </row>
    <row r="4479" spans="1:11" ht="42" customHeight="1">
      <c r="A4479" s="2" t="s">
        <v>8965</v>
      </c>
      <c r="B4479" s="2" t="s">
        <v>8965</v>
      </c>
      <c r="C4479" s="2" t="s">
        <v>26</v>
      </c>
      <c r="D4479" s="2" t="s">
        <v>27</v>
      </c>
      <c r="E4479" s="5">
        <v>-28501</v>
      </c>
      <c r="F4479" s="3" t="s">
        <v>456</v>
      </c>
      <c r="G4479" s="3" t="s">
        <v>88</v>
      </c>
      <c r="H4479" s="2" t="s">
        <v>21</v>
      </c>
      <c r="I4479" s="2" t="s">
        <v>8999</v>
      </c>
      <c r="J4479" s="3" t="str">
        <f>HYPERLINK("https://www.boe.es/gazeta/dias/1821/12/18/pdfs/GMD-1821-361.pdf#page=4","Abrir facsímil")</f>
        <v>Abrir facsímil</v>
      </c>
      <c r="K4479" s="3" t="s">
        <v>23</v>
      </c>
    </row>
    <row r="4480" spans="1:11" ht="42" customHeight="1">
      <c r="A4480" s="2" t="s">
        <v>9000</v>
      </c>
      <c r="B4480" s="2" t="s">
        <v>9000</v>
      </c>
      <c r="C4480" s="2" t="s">
        <v>17</v>
      </c>
      <c r="D4480" s="2" t="s">
        <v>18</v>
      </c>
      <c r="E4480" s="5">
        <v>-28677</v>
      </c>
      <c r="F4480" s="3" t="s">
        <v>361</v>
      </c>
      <c r="G4480" s="3" t="s">
        <v>20</v>
      </c>
      <c r="H4480" s="2" t="s">
        <v>21</v>
      </c>
      <c r="I4480" s="2" t="s">
        <v>9001</v>
      </c>
      <c r="J4480" s="3" t="str">
        <f>HYPERLINK("https://www.boe.es/gazeta/dias/1821/06/25/pdfs/GMD-1821-178.pdf#page=3","Abrir facsímil")</f>
        <v>Abrir facsímil</v>
      </c>
      <c r="K4480" s="3" t="s">
        <v>23</v>
      </c>
    </row>
    <row r="4481" spans="1:11" ht="42" customHeight="1">
      <c r="A4481" s="2" t="s">
        <v>9002</v>
      </c>
      <c r="B4481" s="2" t="s">
        <v>9002</v>
      </c>
      <c r="C4481" s="2" t="s">
        <v>114</v>
      </c>
      <c r="D4481" s="2" t="s">
        <v>27</v>
      </c>
      <c r="E4481" s="5">
        <v>-28526</v>
      </c>
      <c r="F4481" s="3" t="s">
        <v>223</v>
      </c>
      <c r="G4481" s="3" t="s">
        <v>88</v>
      </c>
      <c r="H4481" s="2" t="s">
        <v>21</v>
      </c>
      <c r="I4481" s="2" t="s">
        <v>9003</v>
      </c>
      <c r="J4481" s="3" t="str">
        <f>HYPERLINK("https://www.boe.es/gazeta/dias/1821/11/23/pdfs/GMD-1821-334.pdf#page=4","Abrir facsímil")</f>
        <v>Abrir facsímil</v>
      </c>
      <c r="K4481" s="3" t="s">
        <v>23</v>
      </c>
    </row>
    <row r="4482" spans="1:11" ht="42" customHeight="1">
      <c r="A4482" s="2" t="s">
        <v>9004</v>
      </c>
      <c r="B4482" s="2" t="s">
        <v>9004</v>
      </c>
      <c r="C4482" s="2" t="s">
        <v>40</v>
      </c>
      <c r="D4482" s="2" t="s">
        <v>41</v>
      </c>
      <c r="E4482" s="5">
        <v>-28505</v>
      </c>
      <c r="F4482" s="3" t="s">
        <v>567</v>
      </c>
      <c r="G4482" s="3" t="s">
        <v>162</v>
      </c>
      <c r="H4482" s="2" t="s">
        <v>21</v>
      </c>
      <c r="I4482" s="2" t="s">
        <v>9005</v>
      </c>
      <c r="J4482" s="3" t="str">
        <f>HYPERLINK("https://www.boe.es/gazeta/dias/1821/12/14/pdfs/GMD-1821-357.pdf#page=5","Abrir facsímil")</f>
        <v>Abrir facsímil</v>
      </c>
      <c r="K4482" s="3" t="s">
        <v>23</v>
      </c>
    </row>
    <row r="4483" spans="1:11" ht="42" customHeight="1">
      <c r="A4483" s="2" t="s">
        <v>9006</v>
      </c>
      <c r="B4483" s="2" t="s">
        <v>9006</v>
      </c>
      <c r="C4483" s="2" t="s">
        <v>40</v>
      </c>
      <c r="D4483" s="2" t="s">
        <v>41</v>
      </c>
      <c r="E4483" s="5">
        <v>-28533</v>
      </c>
      <c r="F4483" s="3" t="s">
        <v>559</v>
      </c>
      <c r="G4483" s="3" t="s">
        <v>43</v>
      </c>
      <c r="H4483" s="2" t="s">
        <v>21</v>
      </c>
      <c r="I4483" s="2" t="s">
        <v>9007</v>
      </c>
      <c r="J4483" s="3" t="str">
        <f>HYPERLINK("https://www.boe.es/gazeta/dias/1821/11/16/pdfs/GMD-1821-327.pdf#page=1","Abrir facsímil")</f>
        <v>Abrir facsímil</v>
      </c>
      <c r="K4483" s="3" t="s">
        <v>23</v>
      </c>
    </row>
    <row r="4484" spans="1:11" ht="42" customHeight="1">
      <c r="A4484" s="2" t="s">
        <v>9008</v>
      </c>
      <c r="B4484" s="2" t="s">
        <v>9008</v>
      </c>
      <c r="C4484" s="2" t="s">
        <v>35</v>
      </c>
      <c r="D4484" s="2" t="s">
        <v>27</v>
      </c>
      <c r="E4484" s="5">
        <v>-28570</v>
      </c>
      <c r="F4484" s="3" t="s">
        <v>2300</v>
      </c>
      <c r="G4484" s="3" t="s">
        <v>88</v>
      </c>
      <c r="H4484" s="2" t="s">
        <v>21</v>
      </c>
      <c r="I4484" s="2" t="s">
        <v>9009</v>
      </c>
      <c r="J4484" s="3" t="str">
        <f>HYPERLINK("https://www.boe.es/gazeta/dias/1821/10/10/pdfs/GMD-1821-289.pdf#page=4","Abrir facsímil")</f>
        <v>Abrir facsímil</v>
      </c>
      <c r="K4484" s="3" t="s">
        <v>23</v>
      </c>
    </row>
    <row r="4485" spans="1:11" ht="42" customHeight="1">
      <c r="A4485" s="2" t="s">
        <v>9010</v>
      </c>
      <c r="B4485" s="2" t="s">
        <v>9010</v>
      </c>
      <c r="C4485" s="2" t="s">
        <v>35</v>
      </c>
      <c r="D4485" s="2" t="s">
        <v>27</v>
      </c>
      <c r="E4485" s="5">
        <v>-28538</v>
      </c>
      <c r="F4485" s="3" t="s">
        <v>395</v>
      </c>
      <c r="G4485" s="3" t="s">
        <v>43</v>
      </c>
      <c r="H4485" s="2" t="s">
        <v>21</v>
      </c>
      <c r="I4485" s="2" t="s">
        <v>9011</v>
      </c>
      <c r="J4485" s="3" t="str">
        <f>HYPERLINK("https://www.boe.es/gazeta/dias/1821/11/11/pdfs/GMD-1821-322.pdf#page=1","Abrir facsímil")</f>
        <v>Abrir facsímil</v>
      </c>
      <c r="K4485" s="3" t="s">
        <v>23</v>
      </c>
    </row>
    <row r="4486" spans="1:11" ht="42" customHeight="1">
      <c r="A4486" s="2" t="s">
        <v>9012</v>
      </c>
      <c r="B4486" s="2" t="s">
        <v>9013</v>
      </c>
      <c r="C4486" s="2" t="s">
        <v>17</v>
      </c>
      <c r="D4486" s="2" t="s">
        <v>18</v>
      </c>
      <c r="E4486" s="5">
        <v>-28495</v>
      </c>
      <c r="F4486" s="3" t="s">
        <v>227</v>
      </c>
      <c r="G4486" s="3" t="s">
        <v>20</v>
      </c>
      <c r="H4486" s="2" t="s">
        <v>21</v>
      </c>
      <c r="I4486" s="2" t="s">
        <v>9014</v>
      </c>
      <c r="J4486" s="3" t="str">
        <f>HYPERLINK("https://www.boe.es/gazeta/dias/1821/12/24/pdfs/GMD-1821-367.pdf#page=3","Abrir facsímil")</f>
        <v>Abrir facsímil</v>
      </c>
      <c r="K4486" s="3" t="s">
        <v>23</v>
      </c>
    </row>
    <row r="4487" spans="1:11" ht="42" customHeight="1">
      <c r="A4487" s="2" t="s">
        <v>9015</v>
      </c>
      <c r="B4487" s="2" t="s">
        <v>9016</v>
      </c>
      <c r="C4487" s="2" t="s">
        <v>40</v>
      </c>
      <c r="D4487" s="2" t="s">
        <v>41</v>
      </c>
      <c r="E4487" s="5">
        <v>-28512</v>
      </c>
      <c r="F4487" s="3" t="s">
        <v>66</v>
      </c>
      <c r="G4487" s="3" t="s">
        <v>43</v>
      </c>
      <c r="H4487" s="2" t="s">
        <v>21</v>
      </c>
      <c r="I4487" s="2" t="s">
        <v>9017</v>
      </c>
      <c r="J4487" s="3" t="str">
        <f>HYPERLINK("https://www.boe.es/gazeta/dias/1821/12/07/pdfs/GMD-1821-349.pdf#page=1","Abrir facsímil")</f>
        <v>Abrir facsímil</v>
      </c>
      <c r="K4487" s="3" t="s">
        <v>23</v>
      </c>
    </row>
    <row r="4488" spans="1:11" ht="42" customHeight="1">
      <c r="A4488" s="2" t="s">
        <v>9018</v>
      </c>
      <c r="B4488" s="2" t="s">
        <v>9019</v>
      </c>
      <c r="C4488" s="2" t="s">
        <v>26</v>
      </c>
      <c r="D4488" s="2" t="s">
        <v>27</v>
      </c>
      <c r="E4488" s="5">
        <v>-28620</v>
      </c>
      <c r="F4488" s="3" t="s">
        <v>87</v>
      </c>
      <c r="G4488" s="3" t="s">
        <v>88</v>
      </c>
      <c r="H4488" s="2" t="s">
        <v>21</v>
      </c>
      <c r="I4488" s="2" t="s">
        <v>9020</v>
      </c>
      <c r="J4488" s="3" t="str">
        <f>HYPERLINK("https://www.boe.es/gazeta/dias/1821/08/21/pdfs/GMD-1821-238.pdf#page=4","Abrir facsímil")</f>
        <v>Abrir facsímil</v>
      </c>
      <c r="K4488" s="3" t="s">
        <v>23</v>
      </c>
    </row>
    <row r="4489" spans="1:11" ht="42" customHeight="1">
      <c r="A4489" s="2" t="s">
        <v>9021</v>
      </c>
      <c r="B4489" s="2" t="s">
        <v>9022</v>
      </c>
      <c r="C4489" s="2" t="s">
        <v>279</v>
      </c>
      <c r="D4489" s="2" t="s">
        <v>27</v>
      </c>
      <c r="E4489" s="5">
        <v>-28771</v>
      </c>
      <c r="F4489" s="3" t="s">
        <v>110</v>
      </c>
      <c r="G4489" s="3" t="s">
        <v>3489</v>
      </c>
      <c r="H4489" s="2" t="s">
        <v>21</v>
      </c>
      <c r="I4489" s="2" t="s">
        <v>9023</v>
      </c>
      <c r="J4489" s="3" t="str">
        <f>HYPERLINK("https://www.boe.es/gazeta/dias/1821/03/23/pdfs/GMD-1821-83.pdf#page=6","Abrir facsímil")</f>
        <v>Abrir facsímil</v>
      </c>
      <c r="K4489" s="3" t="s">
        <v>23</v>
      </c>
    </row>
    <row r="4490" spans="1:11" ht="42" customHeight="1">
      <c r="A4490" s="2" t="s">
        <v>9024</v>
      </c>
      <c r="B4490" s="2" t="s">
        <v>9025</v>
      </c>
      <c r="C4490" s="2" t="s">
        <v>174</v>
      </c>
      <c r="D4490" s="2" t="s">
        <v>27</v>
      </c>
      <c r="E4490" s="5">
        <v>-28535</v>
      </c>
      <c r="F4490" s="3" t="s">
        <v>96</v>
      </c>
      <c r="G4490" s="3" t="s">
        <v>52</v>
      </c>
      <c r="H4490" s="2" t="s">
        <v>21</v>
      </c>
      <c r="I4490" s="2" t="s">
        <v>9026</v>
      </c>
      <c r="J4490" s="3" t="str">
        <f>HYPERLINK("https://www.boe.es/gazeta/dias/1821/11/14/pdfs/GMD-1821-325.pdf#page=2","Abrir facsímil")</f>
        <v>Abrir facsímil</v>
      </c>
      <c r="K4490" s="3" t="s">
        <v>23</v>
      </c>
    </row>
    <row r="4491" spans="1:11" ht="42" customHeight="1">
      <c r="A4491" s="2" t="s">
        <v>9027</v>
      </c>
      <c r="B4491" s="2" t="s">
        <v>9028</v>
      </c>
      <c r="C4491" s="2" t="s">
        <v>17</v>
      </c>
      <c r="D4491" s="2" t="s">
        <v>18</v>
      </c>
      <c r="E4491" s="5">
        <v>-28773</v>
      </c>
      <c r="F4491" s="3" t="s">
        <v>1755</v>
      </c>
      <c r="G4491" s="3" t="s">
        <v>29</v>
      </c>
      <c r="H4491" s="2" t="s">
        <v>21</v>
      </c>
      <c r="I4491" s="2" t="s">
        <v>9029</v>
      </c>
      <c r="J4491" s="3" t="str">
        <f>HYPERLINK("https://www.boe.es/gazeta/dias/1821/03/21/pdfs/GMD-1821-80.pdf#page=6","Abrir facsímil")</f>
        <v>Abrir facsímil</v>
      </c>
      <c r="K4491" s="3" t="s">
        <v>23</v>
      </c>
    </row>
    <row r="4492" spans="1:11" ht="42" customHeight="1">
      <c r="A4492" s="2" t="s">
        <v>9030</v>
      </c>
      <c r="B4492" s="2" t="s">
        <v>9031</v>
      </c>
      <c r="C4492" s="2" t="s">
        <v>40</v>
      </c>
      <c r="D4492" s="2" t="s">
        <v>41</v>
      </c>
      <c r="E4492" s="5">
        <v>-28714</v>
      </c>
      <c r="F4492" s="3" t="s">
        <v>522</v>
      </c>
      <c r="G4492" s="3" t="s">
        <v>8960</v>
      </c>
      <c r="H4492" s="2" t="s">
        <v>30</v>
      </c>
      <c r="I4492" s="2" t="s">
        <v>9032</v>
      </c>
      <c r="J4492" s="3" t="str">
        <f>HYPERLINK("https://www.boe.es/gazeta/dias/1821/05/19/pdfs/GMD-1821-141.pdf#page=4","Abrir facsímil")</f>
        <v>Abrir facsímil</v>
      </c>
      <c r="K4492" s="3" t="s">
        <v>32</v>
      </c>
    </row>
    <row r="4493" spans="1:11" ht="42" customHeight="1">
      <c r="A4493" s="2" t="s">
        <v>9033</v>
      </c>
      <c r="B4493" s="2" t="s">
        <v>9034</v>
      </c>
      <c r="C4493" s="2" t="s">
        <v>17</v>
      </c>
      <c r="D4493" s="2" t="s">
        <v>18</v>
      </c>
      <c r="E4493" s="5">
        <v>-28537</v>
      </c>
      <c r="F4493" s="3" t="s">
        <v>56</v>
      </c>
      <c r="G4493" s="3" t="s">
        <v>52</v>
      </c>
      <c r="H4493" s="2" t="s">
        <v>21</v>
      </c>
      <c r="I4493" s="2" t="s">
        <v>9035</v>
      </c>
      <c r="J4493" s="3" t="str">
        <f>HYPERLINK("https://www.boe.es/gazeta/dias/1821/11/12/pdfs/GMD-1821-323.pdf#page=2","Abrir facsímil")</f>
        <v>Abrir facsímil</v>
      </c>
      <c r="K4493" s="3" t="s">
        <v>23</v>
      </c>
    </row>
    <row r="4494" spans="1:11" ht="42" customHeight="1">
      <c r="A4494" s="2" t="s">
        <v>9036</v>
      </c>
      <c r="B4494" s="2" t="s">
        <v>9037</v>
      </c>
      <c r="C4494" s="2" t="s">
        <v>114</v>
      </c>
      <c r="D4494" s="2" t="s">
        <v>27</v>
      </c>
      <c r="E4494" s="5">
        <v>-28836</v>
      </c>
      <c r="F4494" s="3" t="s">
        <v>601</v>
      </c>
      <c r="G4494" s="3" t="s">
        <v>20</v>
      </c>
      <c r="H4494" s="2" t="s">
        <v>21</v>
      </c>
      <c r="I4494" s="2" t="s">
        <v>9038</v>
      </c>
      <c r="J4494" s="3" t="str">
        <f>HYPERLINK("https://www.boe.es/gazeta/dias/1821/01/17/pdfs/GGB-1821-17.pdf#page=3","Abrir facsímil")</f>
        <v>Abrir facsímil</v>
      </c>
      <c r="K4494" s="3" t="s">
        <v>23</v>
      </c>
    </row>
    <row r="4495" spans="1:11" ht="42" customHeight="1">
      <c r="A4495" s="2" t="s">
        <v>9039</v>
      </c>
      <c r="B4495" s="2" t="s">
        <v>9040</v>
      </c>
      <c r="C4495" s="2" t="s">
        <v>26</v>
      </c>
      <c r="D4495" s="2" t="s">
        <v>27</v>
      </c>
      <c r="E4495" s="5">
        <v>-28650</v>
      </c>
      <c r="F4495" s="3" t="s">
        <v>3285</v>
      </c>
      <c r="G4495" s="3" t="s">
        <v>20</v>
      </c>
      <c r="H4495" s="2" t="s">
        <v>21</v>
      </c>
      <c r="I4495" s="2" t="s">
        <v>9041</v>
      </c>
      <c r="J4495" s="3" t="str">
        <f>HYPERLINK("https://www.boe.es/gazeta/dias/1821/07/22/pdfs/GMD-1821-207.pdf#page=3","Abrir facsímil")</f>
        <v>Abrir facsímil</v>
      </c>
      <c r="K4495" s="3" t="s">
        <v>23</v>
      </c>
    </row>
    <row r="4496" spans="1:11" ht="42" customHeight="1">
      <c r="A4496" s="2" t="s">
        <v>9042</v>
      </c>
      <c r="B4496" s="2" t="s">
        <v>9043</v>
      </c>
      <c r="C4496" s="2" t="s">
        <v>40</v>
      </c>
      <c r="D4496" s="2" t="s">
        <v>41</v>
      </c>
      <c r="E4496" s="5">
        <v>-28717</v>
      </c>
      <c r="F4496" s="3" t="s">
        <v>1044</v>
      </c>
      <c r="G4496" s="3" t="s">
        <v>52</v>
      </c>
      <c r="H4496" s="2" t="s">
        <v>21</v>
      </c>
      <c r="I4496" s="2" t="s">
        <v>9044</v>
      </c>
      <c r="J4496" s="3" t="str">
        <f>HYPERLINK("https://www.boe.es/gazeta/dias/1821/05/16/pdfs/GMD-1821-138.pdf#page=2","Abrir facsímil")</f>
        <v>Abrir facsímil</v>
      </c>
      <c r="K4496" s="3" t="s">
        <v>23</v>
      </c>
    </row>
    <row r="4497" spans="1:11" ht="42" customHeight="1">
      <c r="A4497" s="2" t="s">
        <v>9045</v>
      </c>
      <c r="B4497" s="2" t="s">
        <v>9046</v>
      </c>
      <c r="C4497" s="2" t="s">
        <v>17</v>
      </c>
      <c r="D4497" s="2" t="s">
        <v>18</v>
      </c>
      <c r="E4497" s="5">
        <v>-28514</v>
      </c>
      <c r="F4497" s="3" t="s">
        <v>103</v>
      </c>
      <c r="G4497" s="3" t="s">
        <v>52</v>
      </c>
      <c r="H4497" s="2" t="s">
        <v>21</v>
      </c>
      <c r="I4497" s="2" t="s">
        <v>9047</v>
      </c>
      <c r="J4497" s="3" t="str">
        <f>HYPERLINK("https://www.boe.es/gazeta/dias/1821/12/05/pdfs/GMD-1821-347.pdf#page=2","Abrir facsímil")</f>
        <v>Abrir facsímil</v>
      </c>
      <c r="K4497" s="3" t="s">
        <v>23</v>
      </c>
    </row>
    <row r="4498" spans="1:11" ht="42" customHeight="1">
      <c r="A4498" s="2" t="s">
        <v>9048</v>
      </c>
      <c r="B4498" s="2" t="s">
        <v>9049</v>
      </c>
      <c r="C4498" s="2" t="s">
        <v>40</v>
      </c>
      <c r="D4498" s="2" t="s">
        <v>41</v>
      </c>
      <c r="E4498" s="5">
        <v>-28511</v>
      </c>
      <c r="F4498" s="3" t="s">
        <v>340</v>
      </c>
      <c r="G4498" s="3" t="s">
        <v>52</v>
      </c>
      <c r="H4498" s="2" t="s">
        <v>21</v>
      </c>
      <c r="I4498" s="2" t="s">
        <v>9050</v>
      </c>
      <c r="J4498" s="3" t="str">
        <f>HYPERLINK("https://www.boe.es/gazeta/dias/1821/12/08/pdfs/GMD-1821-350.pdf#page=2","Abrir facsímil")</f>
        <v>Abrir facsímil</v>
      </c>
      <c r="K4498" s="3" t="s">
        <v>23</v>
      </c>
    </row>
    <row r="4499" spans="1:11" ht="42" customHeight="1">
      <c r="A4499" s="2" t="s">
        <v>9051</v>
      </c>
      <c r="B4499" s="2" t="s">
        <v>9052</v>
      </c>
      <c r="C4499" s="2" t="s">
        <v>17</v>
      </c>
      <c r="D4499" s="2" t="s">
        <v>18</v>
      </c>
      <c r="E4499" s="5">
        <v>-28695</v>
      </c>
      <c r="F4499" s="3" t="s">
        <v>1309</v>
      </c>
      <c r="G4499" s="3" t="s">
        <v>43</v>
      </c>
      <c r="H4499" s="2" t="s">
        <v>30</v>
      </c>
      <c r="I4499" s="2" t="s">
        <v>9053</v>
      </c>
      <c r="J4499" s="3" t="str">
        <f>HYPERLINK("https://www.boe.es/gazeta/dias/1821/06/07/pdfs/GMD-1821-160.pdf#page=1","Abrir facsímil")</f>
        <v>Abrir facsímil</v>
      </c>
      <c r="K4499" s="3" t="s">
        <v>32</v>
      </c>
    </row>
    <row r="4500" spans="1:11" ht="42" customHeight="1">
      <c r="A4500" s="2" t="s">
        <v>9054</v>
      </c>
      <c r="B4500" s="2" t="s">
        <v>9054</v>
      </c>
      <c r="C4500" s="2" t="s">
        <v>40</v>
      </c>
      <c r="D4500" s="2" t="s">
        <v>41</v>
      </c>
      <c r="E4500" s="5">
        <v>-28569</v>
      </c>
      <c r="F4500" s="3" t="s">
        <v>512</v>
      </c>
      <c r="G4500" s="3" t="s">
        <v>29</v>
      </c>
      <c r="H4500" s="2" t="s">
        <v>21</v>
      </c>
      <c r="I4500" s="2" t="s">
        <v>9055</v>
      </c>
      <c r="J4500" s="3" t="str">
        <f>HYPERLINK("https://www.boe.es/gazeta/dias/1821/10/11/pdfs/GMD-1821-290.pdf#page=6","Abrir facsímil")</f>
        <v>Abrir facsímil</v>
      </c>
      <c r="K4500" s="3" t="s">
        <v>23</v>
      </c>
    </row>
    <row r="4501" spans="1:11" ht="42" customHeight="1">
      <c r="A4501" s="2" t="s">
        <v>9056</v>
      </c>
      <c r="B4501" s="2" t="s">
        <v>9056</v>
      </c>
      <c r="C4501" s="2" t="s">
        <v>114</v>
      </c>
      <c r="D4501" s="2" t="s">
        <v>27</v>
      </c>
      <c r="E4501" s="5">
        <v>-28537</v>
      </c>
      <c r="F4501" s="3" t="s">
        <v>56</v>
      </c>
      <c r="G4501" s="3" t="s">
        <v>88</v>
      </c>
      <c r="H4501" s="2" t="s">
        <v>21</v>
      </c>
      <c r="I4501" s="2" t="s">
        <v>9057</v>
      </c>
      <c r="J4501" s="3" t="str">
        <f>HYPERLINK("https://www.boe.es/gazeta/dias/1821/11/12/pdfs/GMD-1821-323.pdf#page=4","Abrir facsímil")</f>
        <v>Abrir facsímil</v>
      </c>
      <c r="K4501" s="3" t="s">
        <v>23</v>
      </c>
    </row>
    <row r="4502" spans="1:11" ht="42" customHeight="1">
      <c r="A4502" s="2" t="s">
        <v>9058</v>
      </c>
      <c r="B4502" s="2" t="s">
        <v>9059</v>
      </c>
      <c r="C4502" s="2" t="s">
        <v>17</v>
      </c>
      <c r="D4502" s="2" t="s">
        <v>18</v>
      </c>
      <c r="E4502" s="5">
        <v>-28535</v>
      </c>
      <c r="F4502" s="3" t="s">
        <v>96</v>
      </c>
      <c r="G4502" s="3" t="s">
        <v>29</v>
      </c>
      <c r="H4502" s="2" t="s">
        <v>21</v>
      </c>
      <c r="I4502" s="2" t="s">
        <v>9060</v>
      </c>
      <c r="J4502" s="3" t="str">
        <f>HYPERLINK("https://www.boe.es/gazeta/dias/1821/11/14/pdfs/GMD-1821-325.pdf#page=6","Abrir facsímil")</f>
        <v>Abrir facsímil</v>
      </c>
      <c r="K4502" s="3" t="s">
        <v>23</v>
      </c>
    </row>
    <row r="4503" spans="1:11" ht="42" customHeight="1">
      <c r="A4503" s="2" t="s">
        <v>9061</v>
      </c>
      <c r="B4503" s="2" t="s">
        <v>9062</v>
      </c>
      <c r="C4503" s="2" t="s">
        <v>17</v>
      </c>
      <c r="D4503" s="2" t="s">
        <v>18</v>
      </c>
      <c r="E4503" s="5">
        <v>-28675</v>
      </c>
      <c r="F4503" s="3" t="s">
        <v>943</v>
      </c>
      <c r="G4503" s="3" t="s">
        <v>29</v>
      </c>
      <c r="H4503" s="2" t="s">
        <v>21</v>
      </c>
      <c r="I4503" s="2" t="s">
        <v>9063</v>
      </c>
      <c r="J4503" s="3" t="str">
        <f>HYPERLINK("https://www.boe.es/gazeta/dias/1821/06/27/pdfs/GMD-1821-180.pdf#page=6","Abrir facsímil")</f>
        <v>Abrir facsímil</v>
      </c>
      <c r="K4503" s="3" t="s">
        <v>23</v>
      </c>
    </row>
    <row r="4504" spans="1:11" ht="42" customHeight="1">
      <c r="A4504" s="2" t="s">
        <v>9064</v>
      </c>
      <c r="B4504" s="2" t="s">
        <v>9065</v>
      </c>
      <c r="C4504" s="2" t="s">
        <v>114</v>
      </c>
      <c r="D4504" s="2" t="s">
        <v>27</v>
      </c>
      <c r="E4504" s="5">
        <v>-28675</v>
      </c>
      <c r="F4504" s="3" t="s">
        <v>943</v>
      </c>
      <c r="G4504" s="3" t="s">
        <v>88</v>
      </c>
      <c r="H4504" s="2" t="s">
        <v>21</v>
      </c>
      <c r="I4504" s="2" t="s">
        <v>9066</v>
      </c>
      <c r="J4504" s="3" t="str">
        <f>HYPERLINK("https://www.boe.es/gazeta/dias/1821/06/27/pdfs/GMD-1821-180.pdf#page=4","Abrir facsímil")</f>
        <v>Abrir facsímil</v>
      </c>
      <c r="K4504" s="3" t="s">
        <v>23</v>
      </c>
    </row>
    <row r="4505" spans="1:11" ht="42" customHeight="1">
      <c r="A4505" s="2" t="s">
        <v>9067</v>
      </c>
      <c r="B4505" s="2" t="s">
        <v>9068</v>
      </c>
      <c r="C4505" s="2" t="s">
        <v>40</v>
      </c>
      <c r="D4505" s="2" t="s">
        <v>41</v>
      </c>
      <c r="E4505" s="5">
        <v>-28687</v>
      </c>
      <c r="F4505" s="3" t="s">
        <v>851</v>
      </c>
      <c r="G4505" s="3" t="s">
        <v>88</v>
      </c>
      <c r="H4505" s="2" t="s">
        <v>21</v>
      </c>
      <c r="I4505" s="2" t="s">
        <v>9069</v>
      </c>
      <c r="J4505" s="3" t="str">
        <f>HYPERLINK("https://www.boe.es/gazeta/dias/1821/06/15/pdfs/GMD-1821-168.pdf#page=4","Abrir facsímil")</f>
        <v>Abrir facsímil</v>
      </c>
      <c r="K4505" s="3" t="s">
        <v>23</v>
      </c>
    </row>
    <row r="4506" spans="1:11" ht="42" customHeight="1">
      <c r="A4506" s="2" t="s">
        <v>9070</v>
      </c>
      <c r="B4506" s="2" t="s">
        <v>9070</v>
      </c>
      <c r="C4506" s="2" t="s">
        <v>17</v>
      </c>
      <c r="D4506" s="2" t="s">
        <v>18</v>
      </c>
      <c r="E4506" s="5">
        <v>-28827</v>
      </c>
      <c r="F4506" s="3" t="s">
        <v>1382</v>
      </c>
      <c r="G4506" s="3" t="s">
        <v>52</v>
      </c>
      <c r="H4506" s="2" t="s">
        <v>21</v>
      </c>
      <c r="I4506" s="2" t="s">
        <v>9071</v>
      </c>
      <c r="J4506" s="3" t="str">
        <f>HYPERLINK("https://www.boe.es/gazeta/dias/1821/01/26/pdfs/GGB-1821-26.pdf#page=2","Abrir facsímil")</f>
        <v>Abrir facsímil</v>
      </c>
      <c r="K4506" s="3" t="s">
        <v>23</v>
      </c>
    </row>
    <row r="4507" spans="1:11" ht="42" customHeight="1">
      <c r="A4507" s="2" t="s">
        <v>9070</v>
      </c>
      <c r="B4507" s="2" t="s">
        <v>9070</v>
      </c>
      <c r="C4507" s="2" t="s">
        <v>40</v>
      </c>
      <c r="D4507" s="2" t="s">
        <v>41</v>
      </c>
      <c r="E4507" s="5">
        <v>-28821</v>
      </c>
      <c r="F4507" s="3" t="s">
        <v>371</v>
      </c>
      <c r="G4507" s="3" t="s">
        <v>43</v>
      </c>
      <c r="H4507" s="2" t="s">
        <v>21</v>
      </c>
      <c r="I4507" s="2" t="s">
        <v>9072</v>
      </c>
      <c r="J4507" s="3" t="str">
        <f>HYPERLINK("https://www.boe.es/gazeta/dias/1821/02/01/pdfs/GGB-1821-32.pdf#page=1","Abrir facsímil")</f>
        <v>Abrir facsímil</v>
      </c>
      <c r="K4507" s="3" t="s">
        <v>23</v>
      </c>
    </row>
    <row r="4508" spans="1:11" ht="42" customHeight="1">
      <c r="A4508" s="2" t="s">
        <v>9070</v>
      </c>
      <c r="B4508" s="2" t="s">
        <v>9070</v>
      </c>
      <c r="C4508" s="2" t="s">
        <v>17</v>
      </c>
      <c r="D4508" s="2" t="s">
        <v>18</v>
      </c>
      <c r="E4508" s="5">
        <v>-28806</v>
      </c>
      <c r="F4508" s="3" t="s">
        <v>1201</v>
      </c>
      <c r="G4508" s="3" t="s">
        <v>88</v>
      </c>
      <c r="H4508" s="2" t="s">
        <v>21</v>
      </c>
      <c r="I4508" s="2" t="s">
        <v>9073</v>
      </c>
      <c r="J4508" s="3" t="str">
        <f>HYPERLINK("https://www.boe.es/gazeta/dias/1821/02/16/pdfs/GGB-1821-47.pdf#page=4","Abrir facsímil")</f>
        <v>Abrir facsímil</v>
      </c>
      <c r="K4508" s="3" t="s">
        <v>23</v>
      </c>
    </row>
    <row r="4509" spans="1:11" ht="42" customHeight="1">
      <c r="A4509" s="2" t="s">
        <v>9070</v>
      </c>
      <c r="B4509" s="2" t="s">
        <v>9070</v>
      </c>
      <c r="C4509" s="2" t="s">
        <v>17</v>
      </c>
      <c r="D4509" s="2" t="s">
        <v>18</v>
      </c>
      <c r="E4509" s="5">
        <v>-28803</v>
      </c>
      <c r="F4509" s="3" t="s">
        <v>320</v>
      </c>
      <c r="G4509" s="3" t="s">
        <v>52</v>
      </c>
      <c r="H4509" s="2" t="s">
        <v>21</v>
      </c>
      <c r="I4509" s="2" t="s">
        <v>9074</v>
      </c>
      <c r="J4509" s="3" t="str">
        <f>HYPERLINK("https://www.boe.es/gazeta/dias/1821/02/19/pdfs/GGB-1821-50.pdf#page=2","Abrir facsímil")</f>
        <v>Abrir facsímil</v>
      </c>
      <c r="K4509" s="3" t="s">
        <v>23</v>
      </c>
    </row>
    <row r="4510" spans="1:11" ht="42" customHeight="1">
      <c r="A4510" s="2" t="s">
        <v>9070</v>
      </c>
      <c r="B4510" s="2" t="s">
        <v>9070</v>
      </c>
      <c r="C4510" s="2" t="s">
        <v>40</v>
      </c>
      <c r="D4510" s="2" t="s">
        <v>41</v>
      </c>
      <c r="E4510" s="5">
        <v>-28784</v>
      </c>
      <c r="F4510" s="3" t="s">
        <v>451</v>
      </c>
      <c r="G4510" s="3" t="s">
        <v>43</v>
      </c>
      <c r="H4510" s="2" t="s">
        <v>21</v>
      </c>
      <c r="I4510" s="2" t="s">
        <v>9075</v>
      </c>
      <c r="J4510" s="3" t="str">
        <f>HYPERLINK("https://www.boe.es/gazeta/dias/1821/03/10/pdfs/GGB-1821-69.pdf#page=1","Abrir facsímil")</f>
        <v>Abrir facsímil</v>
      </c>
      <c r="K4510" s="3" t="s">
        <v>23</v>
      </c>
    </row>
    <row r="4511" spans="1:11" ht="42" customHeight="1">
      <c r="A4511" s="2" t="s">
        <v>9070</v>
      </c>
      <c r="B4511" s="2" t="s">
        <v>9070</v>
      </c>
      <c r="C4511" s="2" t="s">
        <v>40</v>
      </c>
      <c r="D4511" s="2" t="s">
        <v>41</v>
      </c>
      <c r="E4511" s="5">
        <v>-28624</v>
      </c>
      <c r="F4511" s="3" t="s">
        <v>78</v>
      </c>
      <c r="G4511" s="3" t="s">
        <v>20</v>
      </c>
      <c r="H4511" s="2" t="s">
        <v>21</v>
      </c>
      <c r="I4511" s="2" t="s">
        <v>9076</v>
      </c>
      <c r="J4511" s="3" t="str">
        <f>HYPERLINK("https://www.boe.es/gazeta/dias/1821/08/17/pdfs/GMD-1821-234.pdf#page=3","Abrir facsímil")</f>
        <v>Abrir facsímil</v>
      </c>
      <c r="K4511" s="3" t="s">
        <v>23</v>
      </c>
    </row>
    <row r="4512" spans="1:11" ht="42" customHeight="1">
      <c r="A4512" s="2" t="s">
        <v>9077</v>
      </c>
      <c r="B4512" s="2" t="s">
        <v>9078</v>
      </c>
      <c r="C4512" s="2" t="s">
        <v>26</v>
      </c>
      <c r="D4512" s="2" t="s">
        <v>27</v>
      </c>
      <c r="E4512" s="5">
        <v>-28683</v>
      </c>
      <c r="F4512" s="3" t="s">
        <v>332</v>
      </c>
      <c r="G4512" s="3" t="s">
        <v>20</v>
      </c>
      <c r="H4512" s="2" t="s">
        <v>21</v>
      </c>
      <c r="I4512" s="2" t="s">
        <v>9079</v>
      </c>
      <c r="J4512" s="3" t="str">
        <f>HYPERLINK("https://www.boe.es/gazeta/dias/1821/06/19/pdfs/GMD-1821-172.pdf#page=3","Abrir facsímil")</f>
        <v>Abrir facsímil</v>
      </c>
      <c r="K4512" s="3" t="s">
        <v>23</v>
      </c>
    </row>
    <row r="4513" spans="1:11" ht="42" customHeight="1">
      <c r="A4513" s="2" t="s">
        <v>9077</v>
      </c>
      <c r="B4513" s="2" t="s">
        <v>9078</v>
      </c>
      <c r="C4513" s="2" t="s">
        <v>40</v>
      </c>
      <c r="D4513" s="2" t="s">
        <v>41</v>
      </c>
      <c r="E4513" s="5">
        <v>-28585</v>
      </c>
      <c r="F4513" s="3" t="s">
        <v>627</v>
      </c>
      <c r="G4513" s="3" t="s">
        <v>88</v>
      </c>
      <c r="H4513" s="2" t="s">
        <v>21</v>
      </c>
      <c r="I4513" s="2" t="s">
        <v>9080</v>
      </c>
      <c r="J4513" s="3" t="str">
        <f>HYPERLINK("https://www.boe.es/gazeta/dias/1821/09/25/pdfs/GMD-1821-273.pdf#page=4","Abrir facsímil")</f>
        <v>Abrir facsímil</v>
      </c>
      <c r="K4513" s="3" t="s">
        <v>23</v>
      </c>
    </row>
    <row r="4514" spans="1:11" ht="42" customHeight="1">
      <c r="A4514" s="2" t="s">
        <v>9081</v>
      </c>
      <c r="B4514" s="2" t="s">
        <v>9081</v>
      </c>
      <c r="C4514" s="2" t="s">
        <v>40</v>
      </c>
      <c r="D4514" s="2" t="s">
        <v>41</v>
      </c>
      <c r="E4514" s="5">
        <v>-28769</v>
      </c>
      <c r="F4514" s="3" t="s">
        <v>489</v>
      </c>
      <c r="G4514" s="3" t="s">
        <v>6991</v>
      </c>
      <c r="H4514" s="2" t="s">
        <v>21</v>
      </c>
      <c r="I4514" s="2" t="s">
        <v>9082</v>
      </c>
      <c r="J4514" s="3" t="str">
        <f>HYPERLINK("https://www.boe.es/gazeta/dias/1821/03/25/pdfs/GMD-1821-85.pdf#page=2","Abrir facsímil")</f>
        <v>Abrir facsímil</v>
      </c>
      <c r="K4514" s="3" t="s">
        <v>23</v>
      </c>
    </row>
    <row r="4515" spans="1:11" ht="42" customHeight="1">
      <c r="A4515" s="2" t="s">
        <v>9081</v>
      </c>
      <c r="B4515" s="2" t="s">
        <v>9081</v>
      </c>
      <c r="C4515" s="2" t="s">
        <v>17</v>
      </c>
      <c r="D4515" s="2" t="s">
        <v>18</v>
      </c>
      <c r="E4515" s="5">
        <v>-28694</v>
      </c>
      <c r="F4515" s="3" t="s">
        <v>1057</v>
      </c>
      <c r="G4515" s="3" t="s">
        <v>52</v>
      </c>
      <c r="H4515" s="2" t="s">
        <v>21</v>
      </c>
      <c r="I4515" s="2" t="s">
        <v>9083</v>
      </c>
      <c r="J4515" s="3" t="str">
        <f>HYPERLINK("https://www.boe.es/gazeta/dias/1821/06/08/pdfs/GMD-1821-161.pdf#page=2","Abrir facsímil")</f>
        <v>Abrir facsímil</v>
      </c>
      <c r="K4515" s="3" t="s">
        <v>23</v>
      </c>
    </row>
    <row r="4516" spans="1:11" ht="42" customHeight="1">
      <c r="A4516" s="2" t="s">
        <v>9081</v>
      </c>
      <c r="B4516" s="2" t="s">
        <v>9081</v>
      </c>
      <c r="C4516" s="2" t="s">
        <v>26</v>
      </c>
      <c r="D4516" s="2" t="s">
        <v>27</v>
      </c>
      <c r="E4516" s="5">
        <v>-28567</v>
      </c>
      <c r="F4516" s="3" t="s">
        <v>217</v>
      </c>
      <c r="G4516" s="3" t="s">
        <v>52</v>
      </c>
      <c r="H4516" s="2" t="s">
        <v>21</v>
      </c>
      <c r="I4516" s="2" t="s">
        <v>9084</v>
      </c>
      <c r="J4516" s="3" t="str">
        <f>HYPERLINK("https://www.boe.es/gazeta/dias/1821/10/13/pdfs/GMD-1821-292.pdf#page=2","Abrir facsímil")</f>
        <v>Abrir facsímil</v>
      </c>
      <c r="K4516" s="3" t="s">
        <v>23</v>
      </c>
    </row>
    <row r="4517" spans="1:11" ht="42" customHeight="1">
      <c r="A4517" s="2" t="s">
        <v>9081</v>
      </c>
      <c r="B4517" s="2" t="s">
        <v>9081</v>
      </c>
      <c r="C4517" s="2" t="s">
        <v>35</v>
      </c>
      <c r="D4517" s="2" t="s">
        <v>27</v>
      </c>
      <c r="E4517" s="5">
        <v>-28537</v>
      </c>
      <c r="F4517" s="3" t="s">
        <v>56</v>
      </c>
      <c r="G4517" s="3" t="s">
        <v>88</v>
      </c>
      <c r="H4517" s="2" t="s">
        <v>21</v>
      </c>
      <c r="I4517" s="2" t="s">
        <v>9085</v>
      </c>
      <c r="J4517" s="3" t="str">
        <f>HYPERLINK("https://www.boe.es/gazeta/dias/1821/11/12/pdfs/GMD-1821-323.pdf#page=4","Abrir facsímil")</f>
        <v>Abrir facsímil</v>
      </c>
      <c r="K4517" s="3" t="s">
        <v>23</v>
      </c>
    </row>
    <row r="4518" spans="1:11" ht="42" customHeight="1">
      <c r="A4518" s="2" t="s">
        <v>9081</v>
      </c>
      <c r="B4518" s="2" t="s">
        <v>9081</v>
      </c>
      <c r="C4518" s="2" t="s">
        <v>35</v>
      </c>
      <c r="D4518" s="2" t="s">
        <v>27</v>
      </c>
      <c r="E4518" s="5">
        <v>-28533</v>
      </c>
      <c r="F4518" s="3" t="s">
        <v>559</v>
      </c>
      <c r="G4518" s="3" t="s">
        <v>162</v>
      </c>
      <c r="H4518" s="2" t="s">
        <v>21</v>
      </c>
      <c r="I4518" s="2" t="s">
        <v>9086</v>
      </c>
      <c r="J4518" s="3" t="str">
        <f>HYPERLINK("https://www.boe.es/gazeta/dias/1821/11/16/pdfs/GMD-1821-327.pdf#page=5","Abrir facsímil")</f>
        <v>Abrir facsímil</v>
      </c>
      <c r="K4518" s="3" t="s">
        <v>23</v>
      </c>
    </row>
    <row r="4519" spans="1:11" ht="42" customHeight="1">
      <c r="A4519" s="2" t="s">
        <v>9081</v>
      </c>
      <c r="B4519" s="2" t="s">
        <v>9081</v>
      </c>
      <c r="C4519" s="2" t="s">
        <v>174</v>
      </c>
      <c r="D4519" s="2" t="s">
        <v>27</v>
      </c>
      <c r="E4519" s="5">
        <v>-28502</v>
      </c>
      <c r="F4519" s="3" t="s">
        <v>570</v>
      </c>
      <c r="G4519" s="3" t="s">
        <v>20</v>
      </c>
      <c r="H4519" s="2" t="s">
        <v>21</v>
      </c>
      <c r="I4519" s="2" t="s">
        <v>9087</v>
      </c>
      <c r="J4519" s="3" t="str">
        <f>HYPERLINK("https://www.boe.es/gazeta/dias/1821/12/17/pdfs/GMD-1821-360.pdf#page=3","Abrir facsímil")</f>
        <v>Abrir facsímil</v>
      </c>
      <c r="K4519" s="3" t="s">
        <v>23</v>
      </c>
    </row>
    <row r="4520" spans="1:11" ht="42" customHeight="1">
      <c r="A4520" s="2" t="s">
        <v>9088</v>
      </c>
      <c r="B4520" s="2" t="s">
        <v>9089</v>
      </c>
      <c r="C4520" s="2" t="s">
        <v>40</v>
      </c>
      <c r="D4520" s="2" t="s">
        <v>41</v>
      </c>
      <c r="E4520" s="5">
        <v>-28509</v>
      </c>
      <c r="F4520" s="3" t="s">
        <v>388</v>
      </c>
      <c r="G4520" s="3" t="s">
        <v>333</v>
      </c>
      <c r="H4520" s="2" t="s">
        <v>21</v>
      </c>
      <c r="I4520" s="2" t="s">
        <v>9090</v>
      </c>
      <c r="J4520" s="3" t="str">
        <f>HYPERLINK("https://www.boe.es/gazeta/dias/1821/12/10/pdfs/GMD-1821-352.pdf#page=8","Abrir facsímil")</f>
        <v>Abrir facsímil</v>
      </c>
      <c r="K4520" s="3" t="s">
        <v>23</v>
      </c>
    </row>
    <row r="4521" spans="1:11" ht="42" customHeight="1">
      <c r="A4521" s="2" t="s">
        <v>9091</v>
      </c>
      <c r="B4521" s="2" t="s">
        <v>9092</v>
      </c>
      <c r="C4521" s="2" t="s">
        <v>35</v>
      </c>
      <c r="D4521" s="2" t="s">
        <v>27</v>
      </c>
      <c r="E4521" s="5">
        <v>-28777</v>
      </c>
      <c r="F4521" s="3" t="s">
        <v>1004</v>
      </c>
      <c r="G4521" s="3" t="s">
        <v>88</v>
      </c>
      <c r="H4521" s="2" t="s">
        <v>21</v>
      </c>
      <c r="I4521" s="2" t="s">
        <v>9093</v>
      </c>
      <c r="J4521" s="3" t="str">
        <f>HYPERLINK("https://www.boe.es/gazeta/dias/1821/03/17/pdfs/GMD-1821-76.pdf#page=4","Abrir facsímil")</f>
        <v>Abrir facsímil</v>
      </c>
      <c r="K4521" s="3" t="s">
        <v>23</v>
      </c>
    </row>
    <row r="4522" spans="1:11" ht="42" customHeight="1">
      <c r="A4522" s="2" t="s">
        <v>9094</v>
      </c>
      <c r="B4522" s="2" t="s">
        <v>9095</v>
      </c>
      <c r="C4522" s="2" t="s">
        <v>26</v>
      </c>
      <c r="D4522" s="2" t="s">
        <v>27</v>
      </c>
      <c r="E4522" s="5">
        <v>-28547</v>
      </c>
      <c r="F4522" s="3" t="s">
        <v>247</v>
      </c>
      <c r="G4522" s="3" t="s">
        <v>248</v>
      </c>
      <c r="H4522" s="2" t="s">
        <v>21</v>
      </c>
      <c r="I4522" s="2" t="s">
        <v>9096</v>
      </c>
      <c r="J4522" s="3" t="str">
        <f>HYPERLINK("https://www.boe.es/gazeta/dias/1821/11/02/pdfs/GMD-1821-312.pdf#page=2","Abrir facsímil")</f>
        <v>Abrir facsímil</v>
      </c>
      <c r="K4522" s="3" t="s">
        <v>23</v>
      </c>
    </row>
    <row r="4523" spans="1:11" ht="42" customHeight="1">
      <c r="A4523" s="2" t="s">
        <v>9097</v>
      </c>
      <c r="B4523" s="2" t="s">
        <v>9098</v>
      </c>
      <c r="C4523" s="2" t="s">
        <v>40</v>
      </c>
      <c r="D4523" s="2" t="s">
        <v>41</v>
      </c>
      <c r="E4523" s="5">
        <v>-28706</v>
      </c>
      <c r="F4523" s="3" t="s">
        <v>4791</v>
      </c>
      <c r="G4523" s="3" t="s">
        <v>88</v>
      </c>
      <c r="H4523" s="2" t="s">
        <v>21</v>
      </c>
      <c r="I4523" s="2" t="s">
        <v>9099</v>
      </c>
      <c r="J4523" s="3" t="str">
        <f>HYPERLINK("https://www.boe.es/gazeta/dias/1821/05/27/pdfs/GMD-1821-149.pdf#page=4","Abrir facsímil")</f>
        <v>Abrir facsímil</v>
      </c>
      <c r="K4523" s="3" t="s">
        <v>23</v>
      </c>
    </row>
    <row r="4524" spans="1:11" ht="42" customHeight="1">
      <c r="A4524" s="2" t="s">
        <v>9100</v>
      </c>
      <c r="B4524" s="2" t="s">
        <v>9101</v>
      </c>
      <c r="C4524" s="2" t="s">
        <v>26</v>
      </c>
      <c r="D4524" s="2" t="s">
        <v>27</v>
      </c>
      <c r="E4524" s="5">
        <v>-28626</v>
      </c>
      <c r="F4524" s="3" t="s">
        <v>468</v>
      </c>
      <c r="G4524" s="3" t="s">
        <v>88</v>
      </c>
      <c r="H4524" s="2" t="s">
        <v>21</v>
      </c>
      <c r="I4524" s="2" t="s">
        <v>9102</v>
      </c>
      <c r="J4524" s="3" t="str">
        <f>HYPERLINK("https://www.boe.es/gazeta/dias/1821/08/15/pdfs/GMD-1821-232.pdf#page=4","Abrir facsímil")</f>
        <v>Abrir facsímil</v>
      </c>
      <c r="K4524" s="3" t="s">
        <v>23</v>
      </c>
    </row>
    <row r="4525" spans="1:11" ht="42" customHeight="1">
      <c r="A4525" s="2" t="s">
        <v>9100</v>
      </c>
      <c r="B4525" s="2" t="s">
        <v>9101</v>
      </c>
      <c r="C4525" s="2" t="s">
        <v>17</v>
      </c>
      <c r="D4525" s="2" t="s">
        <v>18</v>
      </c>
      <c r="E4525" s="5">
        <v>-28524</v>
      </c>
      <c r="F4525" s="3" t="s">
        <v>874</v>
      </c>
      <c r="G4525" s="3" t="s">
        <v>875</v>
      </c>
      <c r="H4525" s="2" t="s">
        <v>21</v>
      </c>
      <c r="I4525" s="2" t="s">
        <v>9103</v>
      </c>
      <c r="J4525" s="3" t="str">
        <f>HYPERLINK("https://www.boe.es/gazeta/dias/1821/11/25/pdfs/GMD-1821-336.pdf#page=3","Abrir facsímil")</f>
        <v>Abrir facsímil</v>
      </c>
      <c r="K4525" s="3" t="s">
        <v>23</v>
      </c>
    </row>
    <row r="4526" spans="1:11" ht="42" customHeight="1">
      <c r="A4526" s="2" t="s">
        <v>9100</v>
      </c>
      <c r="B4526" s="2" t="s">
        <v>9101</v>
      </c>
      <c r="C4526" s="2" t="s">
        <v>17</v>
      </c>
      <c r="D4526" s="2" t="s">
        <v>18</v>
      </c>
      <c r="E4526" s="5">
        <v>-28524</v>
      </c>
      <c r="F4526" s="3" t="s">
        <v>874</v>
      </c>
      <c r="G4526" s="3" t="s">
        <v>52</v>
      </c>
      <c r="H4526" s="2" t="s">
        <v>21</v>
      </c>
      <c r="I4526" s="2" t="s">
        <v>9104</v>
      </c>
      <c r="J4526" s="3" t="str">
        <f>HYPERLINK("https://www.boe.es/gazeta/dias/1821/11/25/pdfs/GMD-1821-336.pdf#page=2","Abrir facsímil")</f>
        <v>Abrir facsímil</v>
      </c>
      <c r="K4526" s="3" t="s">
        <v>23</v>
      </c>
    </row>
    <row r="4527" spans="1:11" ht="42" customHeight="1">
      <c r="A4527" s="2" t="s">
        <v>9100</v>
      </c>
      <c r="B4527" s="2" t="s">
        <v>9101</v>
      </c>
      <c r="C4527" s="2" t="s">
        <v>17</v>
      </c>
      <c r="D4527" s="2" t="s">
        <v>18</v>
      </c>
      <c r="E4527" s="5">
        <v>-28512</v>
      </c>
      <c r="F4527" s="3" t="s">
        <v>66</v>
      </c>
      <c r="G4527" s="3" t="s">
        <v>43</v>
      </c>
      <c r="H4527" s="2" t="s">
        <v>21</v>
      </c>
      <c r="I4527" s="2" t="s">
        <v>9105</v>
      </c>
      <c r="J4527" s="3" t="str">
        <f>HYPERLINK("https://www.boe.es/gazeta/dias/1821/12/07/pdfs/GMD-1821-349.pdf#page=1","Abrir facsímil")</f>
        <v>Abrir facsímil</v>
      </c>
      <c r="K4527" s="3" t="s">
        <v>23</v>
      </c>
    </row>
    <row r="4528" spans="1:11" ht="42" customHeight="1">
      <c r="A4528" s="2" t="s">
        <v>9106</v>
      </c>
      <c r="B4528" s="2" t="s">
        <v>9107</v>
      </c>
      <c r="C4528" s="2" t="s">
        <v>17</v>
      </c>
      <c r="D4528" s="2" t="s">
        <v>18</v>
      </c>
      <c r="E4528" s="5">
        <v>-28702</v>
      </c>
      <c r="F4528" s="3" t="s">
        <v>1176</v>
      </c>
      <c r="G4528" s="3" t="s">
        <v>1177</v>
      </c>
      <c r="H4528" s="2" t="s">
        <v>21</v>
      </c>
      <c r="I4528" s="2" t="s">
        <v>9108</v>
      </c>
      <c r="J4528" s="3" t="str">
        <f>HYPERLINK("https://www.boe.es/gazeta/dias/1821/05/31/pdfs/GMD-1821-153.pdf#page=2","Abrir facsímil")</f>
        <v>Abrir facsímil</v>
      </c>
      <c r="K4528" s="3" t="s">
        <v>23</v>
      </c>
    </row>
    <row r="4529" spans="1:11" ht="42" customHeight="1">
      <c r="A4529" s="2" t="s">
        <v>9109</v>
      </c>
      <c r="B4529" s="2" t="s">
        <v>9110</v>
      </c>
      <c r="C4529" s="2" t="s">
        <v>17</v>
      </c>
      <c r="D4529" s="2" t="s">
        <v>18</v>
      </c>
      <c r="E4529" s="5">
        <v>-28686</v>
      </c>
      <c r="F4529" s="3" t="s">
        <v>115</v>
      </c>
      <c r="G4529" s="3" t="s">
        <v>43</v>
      </c>
      <c r="H4529" s="2" t="s">
        <v>21</v>
      </c>
      <c r="I4529" s="2" t="s">
        <v>9111</v>
      </c>
      <c r="J4529" s="3" t="str">
        <f>HYPERLINK("https://www.boe.es/gazeta/dias/1821/06/16/pdfs/GMD-1821-169.pdf#page=1","Abrir facsímil")</f>
        <v>Abrir facsímil</v>
      </c>
      <c r="K4529" s="3" t="s">
        <v>23</v>
      </c>
    </row>
    <row r="4530" spans="1:11" ht="42" customHeight="1">
      <c r="A4530" s="2" t="s">
        <v>9112</v>
      </c>
      <c r="B4530" s="2" t="s">
        <v>9113</v>
      </c>
      <c r="C4530" s="2" t="s">
        <v>26</v>
      </c>
      <c r="D4530" s="2" t="s">
        <v>27</v>
      </c>
      <c r="E4530" s="5">
        <v>-28587</v>
      </c>
      <c r="F4530" s="3" t="s">
        <v>392</v>
      </c>
      <c r="G4530" s="3" t="s">
        <v>88</v>
      </c>
      <c r="H4530" s="2" t="s">
        <v>21</v>
      </c>
      <c r="I4530" s="2" t="s">
        <v>9114</v>
      </c>
      <c r="J4530" s="3" t="str">
        <f>HYPERLINK("https://www.boe.es/gazeta/dias/1821/09/23/pdfs/GMD-1821-271.pdf#page=4","Abrir facsímil")</f>
        <v>Abrir facsímil</v>
      </c>
      <c r="K4530" s="3" t="s">
        <v>23</v>
      </c>
    </row>
    <row r="4531" spans="1:11" ht="42" customHeight="1">
      <c r="A4531" s="2" t="s">
        <v>9115</v>
      </c>
      <c r="B4531" s="2" t="s">
        <v>9116</v>
      </c>
      <c r="C4531" s="2" t="s">
        <v>26</v>
      </c>
      <c r="D4531" s="2" t="s">
        <v>27</v>
      </c>
      <c r="E4531" s="5">
        <v>-28688</v>
      </c>
      <c r="F4531" s="3" t="s">
        <v>1504</v>
      </c>
      <c r="G4531" s="3" t="s">
        <v>52</v>
      </c>
      <c r="H4531" s="2" t="s">
        <v>21</v>
      </c>
      <c r="I4531" s="2" t="s">
        <v>9117</v>
      </c>
      <c r="J4531" s="3" t="str">
        <f>HYPERLINK("https://www.boe.es/gazeta/dias/1821/06/14/pdfs/GMD-1821-167.pdf#page=2","Abrir facsímil")</f>
        <v>Abrir facsímil</v>
      </c>
      <c r="K4531" s="3" t="s">
        <v>23</v>
      </c>
    </row>
    <row r="4532" spans="1:11" ht="42" customHeight="1">
      <c r="A4532" s="2" t="s">
        <v>9118</v>
      </c>
      <c r="B4532" s="2" t="s">
        <v>9119</v>
      </c>
      <c r="C4532" s="2" t="s">
        <v>26</v>
      </c>
      <c r="D4532" s="2" t="s">
        <v>27</v>
      </c>
      <c r="E4532" s="5">
        <v>-28764</v>
      </c>
      <c r="F4532" s="3" t="s">
        <v>924</v>
      </c>
      <c r="G4532" s="3" t="s">
        <v>20</v>
      </c>
      <c r="H4532" s="2" t="s">
        <v>21</v>
      </c>
      <c r="I4532" s="2" t="s">
        <v>9120</v>
      </c>
      <c r="J4532" s="3" t="str">
        <f>HYPERLINK("https://www.boe.es/gazeta/dias/1821/03/30/pdfs/GMD-1821-91.pdf#page=3","Abrir facsímil")</f>
        <v>Abrir facsímil</v>
      </c>
      <c r="K4532" s="3" t="s">
        <v>23</v>
      </c>
    </row>
    <row r="4533" spans="1:11" ht="42" customHeight="1">
      <c r="A4533" s="2" t="s">
        <v>9121</v>
      </c>
      <c r="B4533" s="2" t="s">
        <v>9122</v>
      </c>
      <c r="C4533" s="2" t="s">
        <v>26</v>
      </c>
      <c r="D4533" s="2" t="s">
        <v>27</v>
      </c>
      <c r="E4533" s="5">
        <v>-28586</v>
      </c>
      <c r="F4533" s="3" t="s">
        <v>587</v>
      </c>
      <c r="G4533" s="3" t="s">
        <v>588</v>
      </c>
      <c r="H4533" s="2" t="s">
        <v>21</v>
      </c>
      <c r="I4533" s="2" t="s">
        <v>9123</v>
      </c>
      <c r="J4533" s="3" t="str">
        <f>HYPERLINK("https://www.boe.es/gazeta/dias/1821/09/24/pdfs/GMD-1821-272.pdf#page=3","Abrir facsímil")</f>
        <v>Abrir facsímil</v>
      </c>
      <c r="K4533" s="3" t="s">
        <v>23</v>
      </c>
    </row>
    <row r="4534" spans="1:11" ht="42" customHeight="1">
      <c r="A4534" s="2" t="s">
        <v>9124</v>
      </c>
      <c r="B4534" s="2" t="s">
        <v>9125</v>
      </c>
      <c r="C4534" s="2" t="s">
        <v>40</v>
      </c>
      <c r="D4534" s="2" t="s">
        <v>41</v>
      </c>
      <c r="E4534" s="5">
        <v>-28704</v>
      </c>
      <c r="F4534" s="3" t="s">
        <v>1050</v>
      </c>
      <c r="G4534" s="3" t="s">
        <v>88</v>
      </c>
      <c r="H4534" s="2" t="s">
        <v>21</v>
      </c>
      <c r="I4534" s="2" t="s">
        <v>9126</v>
      </c>
      <c r="J4534" s="3" t="str">
        <f>HYPERLINK("https://www.boe.es/gazeta/dias/1821/05/29/pdfs/GMD-1821-151.pdf#page=4","Abrir facsímil")</f>
        <v>Abrir facsímil</v>
      </c>
      <c r="K4534" s="3" t="s">
        <v>23</v>
      </c>
    </row>
    <row r="4535" spans="1:11" ht="42" customHeight="1">
      <c r="A4535" s="2" t="s">
        <v>9127</v>
      </c>
      <c r="B4535" s="2" t="s">
        <v>9128</v>
      </c>
      <c r="C4535" s="2" t="s">
        <v>17</v>
      </c>
      <c r="D4535" s="2" t="s">
        <v>18</v>
      </c>
      <c r="E4535" s="5">
        <v>-28790</v>
      </c>
      <c r="F4535" s="3" t="s">
        <v>991</v>
      </c>
      <c r="G4535" s="3" t="s">
        <v>52</v>
      </c>
      <c r="H4535" s="2" t="s">
        <v>21</v>
      </c>
      <c r="I4535" s="2" t="s">
        <v>9129</v>
      </c>
      <c r="J4535" s="3" t="str">
        <f>HYPERLINK("https://www.boe.es/gazeta/dias/1821/03/04/pdfs/GGB-1821-63.pdf#page=2","Abrir facsímil")</f>
        <v>Abrir facsímil</v>
      </c>
      <c r="K4535" s="3" t="s">
        <v>23</v>
      </c>
    </row>
    <row r="4536" spans="1:11" ht="42" customHeight="1">
      <c r="A4536" s="2" t="s">
        <v>9130</v>
      </c>
      <c r="B4536" s="2" t="s">
        <v>9131</v>
      </c>
      <c r="C4536" s="2" t="s">
        <v>26</v>
      </c>
      <c r="D4536" s="2" t="s">
        <v>27</v>
      </c>
      <c r="E4536" s="5">
        <v>-28682</v>
      </c>
      <c r="F4536" s="3" t="s">
        <v>1064</v>
      </c>
      <c r="G4536" s="3" t="s">
        <v>52</v>
      </c>
      <c r="H4536" s="2" t="s">
        <v>21</v>
      </c>
      <c r="I4536" s="2" t="s">
        <v>9132</v>
      </c>
      <c r="J4536" s="3" t="str">
        <f>HYPERLINK("https://www.boe.es/gazeta/dias/1821/06/20/pdfs/GMD-1821-173.pdf#page=2","Abrir facsímil")</f>
        <v>Abrir facsímil</v>
      </c>
      <c r="K4536" s="3" t="s">
        <v>23</v>
      </c>
    </row>
    <row r="4537" spans="1:11" ht="42" customHeight="1">
      <c r="A4537" s="2" t="s">
        <v>9133</v>
      </c>
      <c r="B4537" s="2" t="s">
        <v>9134</v>
      </c>
      <c r="C4537" s="2" t="s">
        <v>17</v>
      </c>
      <c r="D4537" s="2" t="s">
        <v>18</v>
      </c>
      <c r="E4537" s="5">
        <v>-28535</v>
      </c>
      <c r="F4537" s="3" t="s">
        <v>96</v>
      </c>
      <c r="G4537" s="3" t="s">
        <v>29</v>
      </c>
      <c r="H4537" s="2" t="s">
        <v>21</v>
      </c>
      <c r="I4537" s="2" t="s">
        <v>9135</v>
      </c>
      <c r="J4537" s="3" t="str">
        <f>HYPERLINK("https://www.boe.es/gazeta/dias/1821/11/14/pdfs/GMD-1821-325.pdf#page=6","Abrir facsímil")</f>
        <v>Abrir facsímil</v>
      </c>
      <c r="K4537" s="3" t="s">
        <v>23</v>
      </c>
    </row>
    <row r="4538" spans="1:11" ht="42" customHeight="1">
      <c r="A4538" s="2" t="s">
        <v>9136</v>
      </c>
      <c r="B4538" s="2" t="s">
        <v>9137</v>
      </c>
      <c r="C4538" s="2" t="s">
        <v>17</v>
      </c>
      <c r="D4538" s="2" t="s">
        <v>18</v>
      </c>
      <c r="E4538" s="5">
        <v>-28686</v>
      </c>
      <c r="F4538" s="3" t="s">
        <v>115</v>
      </c>
      <c r="G4538" s="3" t="s">
        <v>20</v>
      </c>
      <c r="H4538" s="2" t="s">
        <v>21</v>
      </c>
      <c r="I4538" s="2" t="s">
        <v>9138</v>
      </c>
      <c r="J4538" s="3" t="str">
        <f>HYPERLINK("https://www.boe.es/gazeta/dias/1821/06/16/pdfs/GMD-1821-169.pdf#page=3","Abrir facsímil")</f>
        <v>Abrir facsímil</v>
      </c>
      <c r="K4538" s="3" t="s">
        <v>23</v>
      </c>
    </row>
    <row r="4539" spans="1:11" ht="42" customHeight="1">
      <c r="A4539" s="2" t="s">
        <v>9139</v>
      </c>
      <c r="B4539" s="2" t="s">
        <v>9140</v>
      </c>
      <c r="C4539" s="2" t="s">
        <v>35</v>
      </c>
      <c r="D4539" s="2" t="s">
        <v>27</v>
      </c>
      <c r="E4539" s="5">
        <v>-28774</v>
      </c>
      <c r="F4539" s="3" t="s">
        <v>1221</v>
      </c>
      <c r="G4539" s="3" t="s">
        <v>20</v>
      </c>
      <c r="H4539" s="2" t="s">
        <v>21</v>
      </c>
      <c r="I4539" s="2" t="s">
        <v>9141</v>
      </c>
      <c r="J4539" s="3" t="str">
        <f>HYPERLINK("https://www.boe.es/gazeta/dias/1821/03/20/pdfs/GMD-1821-79.pdf#page=3","Abrir facsímil")</f>
        <v>Abrir facsímil</v>
      </c>
      <c r="K4539" s="3" t="s">
        <v>23</v>
      </c>
    </row>
    <row r="4540" spans="1:11" ht="42" customHeight="1">
      <c r="A4540" s="2" t="s">
        <v>9142</v>
      </c>
      <c r="B4540" s="2" t="s">
        <v>9143</v>
      </c>
      <c r="C4540" s="2" t="s">
        <v>40</v>
      </c>
      <c r="D4540" s="2" t="s">
        <v>41</v>
      </c>
      <c r="E4540" s="5">
        <v>-28727</v>
      </c>
      <c r="F4540" s="3" t="s">
        <v>200</v>
      </c>
      <c r="G4540" s="3" t="s">
        <v>88</v>
      </c>
      <c r="H4540" s="2" t="s">
        <v>21</v>
      </c>
      <c r="I4540" s="2" t="s">
        <v>9144</v>
      </c>
      <c r="J4540" s="3" t="str">
        <f>HYPERLINK("https://www.boe.es/gazeta/dias/1821/05/06/pdfs/GMD-1821-128.pdf#page=4","Abrir facsímil")</f>
        <v>Abrir facsímil</v>
      </c>
      <c r="K4540" s="3" t="s">
        <v>23</v>
      </c>
    </row>
    <row r="4541" spans="1:11" ht="42" customHeight="1">
      <c r="A4541" s="2" t="s">
        <v>9145</v>
      </c>
      <c r="B4541" s="2" t="s">
        <v>9146</v>
      </c>
      <c r="C4541" s="2" t="s">
        <v>114</v>
      </c>
      <c r="D4541" s="2" t="s">
        <v>27</v>
      </c>
      <c r="E4541" s="5">
        <v>-28762</v>
      </c>
      <c r="F4541" s="3" t="s">
        <v>608</v>
      </c>
      <c r="G4541" s="3" t="s">
        <v>609</v>
      </c>
      <c r="H4541" s="2" t="s">
        <v>21</v>
      </c>
      <c r="I4541" s="2" t="s">
        <v>9147</v>
      </c>
      <c r="J4541" s="3" t="str">
        <f>HYPERLINK("https://www.boe.es/gazeta/dias/1821/04/01/pdfs/GMD-1821-93.pdf#page=7","Abrir facsímil")</f>
        <v>Abrir facsímil</v>
      </c>
      <c r="K4541" s="3" t="s">
        <v>23</v>
      </c>
    </row>
    <row r="4542" spans="1:11" ht="42" customHeight="1">
      <c r="A4542" s="2" t="s">
        <v>9148</v>
      </c>
      <c r="B4542" s="2" t="s">
        <v>9149</v>
      </c>
      <c r="C4542" s="2" t="s">
        <v>26</v>
      </c>
      <c r="D4542" s="2" t="s">
        <v>27</v>
      </c>
      <c r="E4542" s="5">
        <v>-28662</v>
      </c>
      <c r="F4542" s="3" t="s">
        <v>3289</v>
      </c>
      <c r="G4542" s="3" t="s">
        <v>20</v>
      </c>
      <c r="H4542" s="2" t="s">
        <v>21</v>
      </c>
      <c r="I4542" s="2" t="s">
        <v>9150</v>
      </c>
      <c r="J4542" s="3" t="str">
        <f>HYPERLINK("https://www.boe.es/gazeta/dias/1821/07/10/pdfs/GMD-1821-195.pdf#page=3","Abrir facsímil")</f>
        <v>Abrir facsímil</v>
      </c>
      <c r="K4542" s="3" t="s">
        <v>23</v>
      </c>
    </row>
    <row r="4543" spans="1:11" ht="42" customHeight="1">
      <c r="A4543" s="2" t="s">
        <v>9151</v>
      </c>
      <c r="B4543" s="2" t="s">
        <v>9152</v>
      </c>
      <c r="C4543" s="2" t="s">
        <v>70</v>
      </c>
      <c r="D4543" s="2" t="s">
        <v>27</v>
      </c>
      <c r="E4543" s="5">
        <v>-28743</v>
      </c>
      <c r="F4543" s="3" t="s">
        <v>51</v>
      </c>
      <c r="G4543" s="3" t="s">
        <v>88</v>
      </c>
      <c r="H4543" s="2" t="s">
        <v>21</v>
      </c>
      <c r="I4543" s="2" t="s">
        <v>9153</v>
      </c>
      <c r="J4543" s="3" t="str">
        <f>HYPERLINK("https://www.boe.es/gazeta/dias/1821/04/20/pdfs/GMD-1821-112.pdf#page=4","Abrir facsímil")</f>
        <v>Abrir facsímil</v>
      </c>
      <c r="K4543" s="3" t="s">
        <v>23</v>
      </c>
    </row>
    <row r="4544" spans="1:11" ht="42" customHeight="1">
      <c r="A4544" s="2" t="s">
        <v>9154</v>
      </c>
      <c r="B4544" s="2" t="s">
        <v>9155</v>
      </c>
      <c r="C4544" s="2" t="s">
        <v>35</v>
      </c>
      <c r="D4544" s="2" t="s">
        <v>27</v>
      </c>
      <c r="E4544" s="5">
        <v>-28727</v>
      </c>
      <c r="F4544" s="3" t="s">
        <v>200</v>
      </c>
      <c r="G4544" s="3" t="s">
        <v>88</v>
      </c>
      <c r="H4544" s="2" t="s">
        <v>21</v>
      </c>
      <c r="I4544" s="2" t="s">
        <v>9156</v>
      </c>
      <c r="J4544" s="3" t="str">
        <f>HYPERLINK("https://www.boe.es/gazeta/dias/1821/05/06/pdfs/GMD-1821-128.pdf#page=4","Abrir facsímil")</f>
        <v>Abrir facsímil</v>
      </c>
      <c r="K4544" s="3" t="s">
        <v>23</v>
      </c>
    </row>
    <row r="4545" spans="1:11" ht="42" customHeight="1">
      <c r="A4545" s="2" t="s">
        <v>9157</v>
      </c>
      <c r="B4545" s="2" t="s">
        <v>9157</v>
      </c>
      <c r="C4545" s="2" t="s">
        <v>174</v>
      </c>
      <c r="D4545" s="2" t="s">
        <v>27</v>
      </c>
      <c r="E4545" s="5">
        <v>-28751</v>
      </c>
      <c r="F4545" s="3" t="s">
        <v>356</v>
      </c>
      <c r="G4545" s="3" t="s">
        <v>43</v>
      </c>
      <c r="H4545" s="2" t="s">
        <v>21</v>
      </c>
      <c r="I4545" s="2" t="s">
        <v>9158</v>
      </c>
      <c r="J4545" s="3" t="str">
        <f>HYPERLINK("https://www.boe.es/gazeta/dias/1821/04/12/pdfs/GMD-1821-104.pdf#page=1","Abrir facsímil")</f>
        <v>Abrir facsímil</v>
      </c>
      <c r="K4545" s="3" t="s">
        <v>23</v>
      </c>
    </row>
    <row r="4546" spans="1:11" ht="42" customHeight="1">
      <c r="A4546" s="2" t="s">
        <v>9157</v>
      </c>
      <c r="B4546" s="2" t="s">
        <v>9157</v>
      </c>
      <c r="C4546" s="2" t="s">
        <v>40</v>
      </c>
      <c r="D4546" s="2" t="s">
        <v>41</v>
      </c>
      <c r="E4546" s="5">
        <v>-28718</v>
      </c>
      <c r="F4546" s="3" t="s">
        <v>583</v>
      </c>
      <c r="G4546" s="3" t="s">
        <v>52</v>
      </c>
      <c r="H4546" s="2" t="s">
        <v>21</v>
      </c>
      <c r="I4546" s="2" t="s">
        <v>9159</v>
      </c>
      <c r="J4546" s="3" t="str">
        <f>HYPERLINK("https://www.boe.es/gazeta/dias/1821/05/15/pdfs/GMD-1821-137.pdf#page=2","Abrir facsímil")</f>
        <v>Abrir facsímil</v>
      </c>
      <c r="K4546" s="3" t="s">
        <v>23</v>
      </c>
    </row>
    <row r="4547" spans="1:11" ht="42" customHeight="1">
      <c r="A4547" s="2" t="s">
        <v>9157</v>
      </c>
      <c r="B4547" s="2" t="s">
        <v>9157</v>
      </c>
      <c r="C4547" s="2" t="s">
        <v>494</v>
      </c>
      <c r="D4547" s="2" t="s">
        <v>18</v>
      </c>
      <c r="E4547" s="5">
        <v>-28708</v>
      </c>
      <c r="F4547" s="3" t="s">
        <v>528</v>
      </c>
      <c r="G4547" s="3" t="s">
        <v>88</v>
      </c>
      <c r="H4547" s="2" t="s">
        <v>21</v>
      </c>
      <c r="I4547" s="2" t="s">
        <v>9160</v>
      </c>
      <c r="J4547" s="3" t="str">
        <f>HYPERLINK("https://www.boe.es/gazeta/dias/1821/05/25/pdfs/GMD-1821-147.pdf#page=4","Abrir facsímil")</f>
        <v>Abrir facsímil</v>
      </c>
      <c r="K4547" s="3" t="s">
        <v>23</v>
      </c>
    </row>
    <row r="4548" spans="1:11" ht="42" customHeight="1">
      <c r="A4548" s="2" t="s">
        <v>9157</v>
      </c>
      <c r="B4548" s="2" t="s">
        <v>9157</v>
      </c>
      <c r="C4548" s="2" t="s">
        <v>17</v>
      </c>
      <c r="D4548" s="2" t="s">
        <v>18</v>
      </c>
      <c r="E4548" s="5">
        <v>-28687</v>
      </c>
      <c r="F4548" s="3" t="s">
        <v>851</v>
      </c>
      <c r="G4548" s="3" t="s">
        <v>52</v>
      </c>
      <c r="H4548" s="2" t="s">
        <v>21</v>
      </c>
      <c r="I4548" s="2" t="s">
        <v>9161</v>
      </c>
      <c r="J4548" s="3" t="str">
        <f>HYPERLINK("https://www.boe.es/gazeta/dias/1821/06/15/pdfs/GMD-1821-168.pdf#page=2","Abrir facsímil")</f>
        <v>Abrir facsímil</v>
      </c>
      <c r="K4548" s="3" t="s">
        <v>23</v>
      </c>
    </row>
    <row r="4549" spans="1:11" ht="42" customHeight="1">
      <c r="A4549" s="2" t="s">
        <v>9162</v>
      </c>
      <c r="B4549" s="2" t="s">
        <v>9163</v>
      </c>
      <c r="C4549" s="2" t="s">
        <v>40</v>
      </c>
      <c r="D4549" s="2" t="s">
        <v>41</v>
      </c>
      <c r="E4549" s="5">
        <v>-28798</v>
      </c>
      <c r="F4549" s="3" t="s">
        <v>60</v>
      </c>
      <c r="G4549" s="3" t="s">
        <v>88</v>
      </c>
      <c r="H4549" s="2" t="s">
        <v>21</v>
      </c>
      <c r="I4549" s="2" t="s">
        <v>9164</v>
      </c>
      <c r="J4549" s="3" t="str">
        <f>HYPERLINK("https://www.boe.es/gazeta/dias/1821/02/24/pdfs/GGB-1821-55.pdf#page=4","Abrir facsímil")</f>
        <v>Abrir facsímil</v>
      </c>
      <c r="K4549" s="3" t="s">
        <v>23</v>
      </c>
    </row>
    <row r="4550" spans="1:11" ht="42" customHeight="1">
      <c r="A4550" s="2" t="s">
        <v>9165</v>
      </c>
      <c r="B4550" s="2" t="s">
        <v>9166</v>
      </c>
      <c r="C4550" s="2" t="s">
        <v>40</v>
      </c>
      <c r="D4550" s="2" t="s">
        <v>41</v>
      </c>
      <c r="E4550" s="5">
        <v>-28508</v>
      </c>
      <c r="F4550" s="3" t="s">
        <v>42</v>
      </c>
      <c r="G4550" s="3" t="s">
        <v>52</v>
      </c>
      <c r="H4550" s="2" t="s">
        <v>21</v>
      </c>
      <c r="I4550" s="2" t="s">
        <v>9167</v>
      </c>
      <c r="J4550" s="3" t="str">
        <f>HYPERLINK("https://www.boe.es/gazeta/dias/1821/12/11/pdfs/GMD-1821-353.pdf#page=2","Abrir facsímil")</f>
        <v>Abrir facsímil</v>
      </c>
      <c r="K4550" s="3" t="s">
        <v>23</v>
      </c>
    </row>
    <row r="4551" spans="1:11" ht="42" customHeight="1">
      <c r="A4551" s="2" t="s">
        <v>9168</v>
      </c>
      <c r="B4551" s="2" t="s">
        <v>9169</v>
      </c>
      <c r="C4551" s="2" t="s">
        <v>40</v>
      </c>
      <c r="D4551" s="2" t="s">
        <v>41</v>
      </c>
      <c r="E4551" s="5">
        <v>-28543</v>
      </c>
      <c r="F4551" s="3" t="s">
        <v>136</v>
      </c>
      <c r="G4551" s="3" t="s">
        <v>52</v>
      </c>
      <c r="H4551" s="2" t="s">
        <v>21</v>
      </c>
      <c r="I4551" s="2" t="s">
        <v>9170</v>
      </c>
      <c r="J4551" s="3" t="str">
        <f>HYPERLINK("https://www.boe.es/gazeta/dias/1821/11/06/pdfs/GMD-1821-317.pdf#page=2","Abrir facsímil")</f>
        <v>Abrir facsímil</v>
      </c>
      <c r="K4551" s="3" t="s">
        <v>23</v>
      </c>
    </row>
    <row r="4552" spans="1:11" ht="42" customHeight="1">
      <c r="A4552" s="2" t="s">
        <v>9171</v>
      </c>
      <c r="B4552" s="2" t="s">
        <v>9172</v>
      </c>
      <c r="C4552" s="2" t="s">
        <v>40</v>
      </c>
      <c r="D4552" s="2" t="s">
        <v>41</v>
      </c>
      <c r="E4552" s="5">
        <v>-28577</v>
      </c>
      <c r="F4552" s="3" t="s">
        <v>858</v>
      </c>
      <c r="G4552" s="3" t="s">
        <v>88</v>
      </c>
      <c r="H4552" s="2" t="s">
        <v>21</v>
      </c>
      <c r="I4552" s="2" t="s">
        <v>9173</v>
      </c>
      <c r="J4552" s="3" t="str">
        <f>HYPERLINK("https://www.boe.es/gazeta/dias/1821/10/03/pdfs/GMD-1821-282.pdf#page=4","Abrir facsímil")</f>
        <v>Abrir facsímil</v>
      </c>
      <c r="K4552" s="3" t="s">
        <v>23</v>
      </c>
    </row>
    <row r="4553" spans="1:11" ht="42" customHeight="1">
      <c r="A4553" s="2" t="s">
        <v>9174</v>
      </c>
      <c r="B4553" s="2" t="s">
        <v>9174</v>
      </c>
      <c r="C4553" s="2" t="s">
        <v>17</v>
      </c>
      <c r="D4553" s="2" t="s">
        <v>18</v>
      </c>
      <c r="E4553" s="5">
        <v>-28536</v>
      </c>
      <c r="F4553" s="3" t="s">
        <v>553</v>
      </c>
      <c r="G4553" s="3" t="s">
        <v>43</v>
      </c>
      <c r="H4553" s="2" t="s">
        <v>21</v>
      </c>
      <c r="I4553" s="2" t="s">
        <v>9175</v>
      </c>
      <c r="J4553" s="3" t="str">
        <f>HYPERLINK("https://www.boe.es/gazeta/dias/1821/11/13/pdfs/GMD-1821-324.pdf#page=1","Abrir facsímil")</f>
        <v>Abrir facsímil</v>
      </c>
      <c r="K4553" s="3" t="s">
        <v>23</v>
      </c>
    </row>
    <row r="4554" spans="1:11" ht="42" customHeight="1">
      <c r="A4554" s="2" t="s">
        <v>9176</v>
      </c>
      <c r="B4554" s="2" t="s">
        <v>9176</v>
      </c>
      <c r="C4554" s="2" t="s">
        <v>40</v>
      </c>
      <c r="D4554" s="2" t="s">
        <v>41</v>
      </c>
      <c r="E4554" s="5">
        <v>-28599</v>
      </c>
      <c r="F4554" s="3" t="s">
        <v>902</v>
      </c>
      <c r="G4554" s="3" t="s">
        <v>52</v>
      </c>
      <c r="H4554" s="2" t="s">
        <v>21</v>
      </c>
      <c r="I4554" s="2" t="s">
        <v>9177</v>
      </c>
      <c r="J4554" s="3" t="str">
        <f>HYPERLINK("https://www.boe.es/gazeta/dias/1821/09/11/pdfs/GMD-1821-259.pdf#page=2","Abrir facsímil")</f>
        <v>Abrir facsímil</v>
      </c>
      <c r="K4554" s="3" t="s">
        <v>23</v>
      </c>
    </row>
    <row r="4555" spans="1:11" ht="42" customHeight="1">
      <c r="A4555" s="2" t="s">
        <v>9176</v>
      </c>
      <c r="B4555" s="2" t="s">
        <v>9176</v>
      </c>
      <c r="C4555" s="2" t="s">
        <v>70</v>
      </c>
      <c r="D4555" s="2" t="s">
        <v>27</v>
      </c>
      <c r="E4555" s="5">
        <v>-28586</v>
      </c>
      <c r="F4555" s="3" t="s">
        <v>587</v>
      </c>
      <c r="G4555" s="3" t="s">
        <v>52</v>
      </c>
      <c r="H4555" s="2" t="s">
        <v>21</v>
      </c>
      <c r="I4555" s="2" t="s">
        <v>9178</v>
      </c>
      <c r="J4555" s="3" t="str">
        <f>HYPERLINK("https://www.boe.es/gazeta/dias/1821/09/24/pdfs/GMD-1821-272.pdf#page=2","Abrir facsímil")</f>
        <v>Abrir facsímil</v>
      </c>
      <c r="K4555" s="3" t="s">
        <v>23</v>
      </c>
    </row>
    <row r="4556" spans="1:11" ht="42" customHeight="1">
      <c r="A4556" s="2" t="s">
        <v>9176</v>
      </c>
      <c r="B4556" s="2" t="s">
        <v>9176</v>
      </c>
      <c r="C4556" s="2" t="s">
        <v>26</v>
      </c>
      <c r="D4556" s="2" t="s">
        <v>27</v>
      </c>
      <c r="E4556" s="5">
        <v>-28581</v>
      </c>
      <c r="F4556" s="3" t="s">
        <v>254</v>
      </c>
      <c r="G4556" s="3" t="s">
        <v>3366</v>
      </c>
      <c r="H4556" s="2" t="s">
        <v>21</v>
      </c>
      <c r="I4556" s="2" t="s">
        <v>9179</v>
      </c>
      <c r="J4556" s="3" t="str">
        <f>HYPERLINK("https://www.boe.es/gazeta/dias/1821/09/29/pdfs/GMD-1821-278.pdf#page=2","Abrir facsímil")</f>
        <v>Abrir facsímil</v>
      </c>
      <c r="K4556" s="3" t="s">
        <v>23</v>
      </c>
    </row>
    <row r="4557" spans="1:11" ht="42" customHeight="1">
      <c r="A4557" s="2" t="s">
        <v>9180</v>
      </c>
      <c r="B4557" s="2" t="s">
        <v>9181</v>
      </c>
      <c r="C4557" s="2" t="s">
        <v>494</v>
      </c>
      <c r="D4557" s="2" t="s">
        <v>18</v>
      </c>
      <c r="E4557" s="5">
        <v>-28644</v>
      </c>
      <c r="F4557" s="3" t="s">
        <v>1340</v>
      </c>
      <c r="G4557" s="3" t="s">
        <v>20</v>
      </c>
      <c r="H4557" s="2" t="s">
        <v>30</v>
      </c>
      <c r="I4557" s="2" t="s">
        <v>9182</v>
      </c>
      <c r="J4557" s="3" t="str">
        <f>HYPERLINK("https://www.boe.es/gazeta/dias/1821/07/28/pdfs/GMD-1821-213.pdf#page=3","Abrir facsímil")</f>
        <v>Abrir facsímil</v>
      </c>
      <c r="K4557" s="3" t="s">
        <v>32</v>
      </c>
    </row>
    <row r="4558" spans="1:11" ht="42" customHeight="1">
      <c r="A4558" s="2" t="s">
        <v>9183</v>
      </c>
      <c r="B4558" s="2" t="s">
        <v>9183</v>
      </c>
      <c r="C4558" s="2" t="s">
        <v>26</v>
      </c>
      <c r="D4558" s="2" t="s">
        <v>27</v>
      </c>
      <c r="E4558" s="5">
        <v>-28569</v>
      </c>
      <c r="F4558" s="3" t="s">
        <v>512</v>
      </c>
      <c r="G4558" s="3" t="s">
        <v>29</v>
      </c>
      <c r="H4558" s="2" t="s">
        <v>21</v>
      </c>
      <c r="I4558" s="2" t="s">
        <v>9184</v>
      </c>
      <c r="J4558" s="3" t="str">
        <f>HYPERLINK("https://www.boe.es/gazeta/dias/1821/10/11/pdfs/GMD-1821-290.pdf#page=6","Abrir facsímil")</f>
        <v>Abrir facsímil</v>
      </c>
      <c r="K4558" s="3" t="s">
        <v>23</v>
      </c>
    </row>
    <row r="4559" spans="1:11" ht="42" customHeight="1">
      <c r="A4559" s="2" t="s">
        <v>9185</v>
      </c>
      <c r="B4559" s="2" t="s">
        <v>9185</v>
      </c>
      <c r="C4559" s="2" t="s">
        <v>26</v>
      </c>
      <c r="D4559" s="2" t="s">
        <v>27</v>
      </c>
      <c r="E4559" s="5">
        <v>-28654</v>
      </c>
      <c r="F4559" s="3" t="s">
        <v>674</v>
      </c>
      <c r="G4559" s="3" t="s">
        <v>88</v>
      </c>
      <c r="H4559" s="2" t="s">
        <v>21</v>
      </c>
      <c r="I4559" s="2" t="s">
        <v>9186</v>
      </c>
      <c r="J4559" s="3" t="str">
        <f>HYPERLINK("https://www.boe.es/gazeta/dias/1821/07/18/pdfs/GMD-1821-203.pdf#page=4","Abrir facsímil")</f>
        <v>Abrir facsímil</v>
      </c>
      <c r="K4559" s="3" t="s">
        <v>23</v>
      </c>
    </row>
    <row r="4560" spans="1:11" ht="42" customHeight="1">
      <c r="A4560" s="2" t="s">
        <v>9187</v>
      </c>
      <c r="B4560" s="2" t="s">
        <v>9188</v>
      </c>
      <c r="C4560" s="2" t="s">
        <v>26</v>
      </c>
      <c r="D4560" s="2" t="s">
        <v>27</v>
      </c>
      <c r="E4560" s="5">
        <v>-28847</v>
      </c>
      <c r="F4560" s="3" t="s">
        <v>288</v>
      </c>
      <c r="G4560" s="3" t="s">
        <v>289</v>
      </c>
      <c r="H4560" s="2" t="s">
        <v>21</v>
      </c>
      <c r="I4560" s="2" t="s">
        <v>9189</v>
      </c>
      <c r="J4560" s="3" t="str">
        <f>HYPERLINK("https://www.boe.es/gazeta/dias/1821/01/06/pdfs/GGB-1821-6.pdf#page=4","Abrir facsímil")</f>
        <v>Abrir facsímil</v>
      </c>
      <c r="K4560" s="3" t="s">
        <v>23</v>
      </c>
    </row>
    <row r="4561" spans="1:11" ht="42" customHeight="1">
      <c r="A4561" s="2" t="s">
        <v>9187</v>
      </c>
      <c r="B4561" s="2" t="s">
        <v>9188</v>
      </c>
      <c r="C4561" s="2" t="s">
        <v>70</v>
      </c>
      <c r="D4561" s="2" t="s">
        <v>27</v>
      </c>
      <c r="E4561" s="5">
        <v>-28847</v>
      </c>
      <c r="F4561" s="3" t="s">
        <v>288</v>
      </c>
      <c r="G4561" s="3" t="s">
        <v>20</v>
      </c>
      <c r="H4561" s="2" t="s">
        <v>21</v>
      </c>
      <c r="I4561" s="2" t="s">
        <v>9190</v>
      </c>
      <c r="J4561" s="3" t="str">
        <f>HYPERLINK("https://www.boe.es/gazeta/dias/1821/01/06/pdfs/GGB-1821-6.pdf#page=3","Abrir facsímil")</f>
        <v>Abrir facsímil</v>
      </c>
      <c r="K4561" s="3" t="s">
        <v>23</v>
      </c>
    </row>
    <row r="4562" spans="1:11" ht="42" customHeight="1">
      <c r="A4562" s="2" t="s">
        <v>9187</v>
      </c>
      <c r="B4562" s="2" t="s">
        <v>9188</v>
      </c>
      <c r="C4562" s="2" t="s">
        <v>70</v>
      </c>
      <c r="D4562" s="2" t="s">
        <v>27</v>
      </c>
      <c r="E4562" s="5">
        <v>-28699</v>
      </c>
      <c r="F4562" s="3" t="s">
        <v>280</v>
      </c>
      <c r="G4562" s="3" t="s">
        <v>29</v>
      </c>
      <c r="H4562" s="2" t="s">
        <v>21</v>
      </c>
      <c r="I4562" s="2" t="s">
        <v>9191</v>
      </c>
      <c r="J4562" s="3" t="str">
        <f>HYPERLINK("https://www.boe.es/gazeta/dias/1821/06/03/pdfs/GMD-1821-156.pdf#page=6","Abrir facsímil")</f>
        <v>Abrir facsímil</v>
      </c>
      <c r="K4562" s="3" t="s">
        <v>23</v>
      </c>
    </row>
    <row r="4563" spans="1:11" ht="42" customHeight="1">
      <c r="A4563" s="2" t="s">
        <v>9192</v>
      </c>
      <c r="B4563" s="2" t="s">
        <v>9193</v>
      </c>
      <c r="C4563" s="2" t="s">
        <v>17</v>
      </c>
      <c r="D4563" s="2" t="s">
        <v>18</v>
      </c>
      <c r="E4563" s="5">
        <v>-28763</v>
      </c>
      <c r="F4563" s="3" t="s">
        <v>1145</v>
      </c>
      <c r="G4563" s="3" t="s">
        <v>52</v>
      </c>
      <c r="H4563" s="2" t="s">
        <v>21</v>
      </c>
      <c r="I4563" s="2" t="s">
        <v>9194</v>
      </c>
      <c r="J4563" s="3" t="str">
        <f>HYPERLINK("https://www.boe.es/gazeta/dias/1821/03/31/pdfs/GMD-1821-92.pdf#page=2","Abrir facsímil")</f>
        <v>Abrir facsímil</v>
      </c>
      <c r="K4563" s="3" t="s">
        <v>23</v>
      </c>
    </row>
    <row r="4564" spans="1:11" ht="42" customHeight="1">
      <c r="A4564" s="2" t="s">
        <v>9195</v>
      </c>
      <c r="B4564" s="2" t="s">
        <v>9196</v>
      </c>
      <c r="C4564" s="2" t="s">
        <v>174</v>
      </c>
      <c r="D4564" s="2" t="s">
        <v>27</v>
      </c>
      <c r="E4564" s="5">
        <v>-28547</v>
      </c>
      <c r="F4564" s="3" t="s">
        <v>247</v>
      </c>
      <c r="G4564" s="3" t="s">
        <v>248</v>
      </c>
      <c r="H4564" s="2" t="s">
        <v>21</v>
      </c>
      <c r="I4564" s="2" t="s">
        <v>9197</v>
      </c>
      <c r="J4564" s="3" t="str">
        <f>HYPERLINK("https://www.boe.es/gazeta/dias/1821/11/02/pdfs/GMD-1821-312.pdf#page=2","Abrir facsímil")</f>
        <v>Abrir facsímil</v>
      </c>
      <c r="K4564" s="3" t="s">
        <v>23</v>
      </c>
    </row>
    <row r="4565" spans="1:11" ht="42" customHeight="1">
      <c r="A4565" s="2" t="s">
        <v>9198</v>
      </c>
      <c r="B4565" s="2" t="s">
        <v>9199</v>
      </c>
      <c r="C4565" s="2" t="s">
        <v>40</v>
      </c>
      <c r="D4565" s="2" t="s">
        <v>41</v>
      </c>
      <c r="E4565" s="5">
        <v>-28599</v>
      </c>
      <c r="F4565" s="3" t="s">
        <v>902</v>
      </c>
      <c r="G4565" s="3" t="s">
        <v>88</v>
      </c>
      <c r="H4565" s="2" t="s">
        <v>21</v>
      </c>
      <c r="I4565" s="2" t="s">
        <v>9200</v>
      </c>
      <c r="J4565" s="3" t="str">
        <f>HYPERLINK("https://www.boe.es/gazeta/dias/1821/09/11/pdfs/GMD-1821-259.pdf#page=4","Abrir facsímil")</f>
        <v>Abrir facsímil</v>
      </c>
      <c r="K4565" s="3" t="s">
        <v>23</v>
      </c>
    </row>
    <row r="4566" spans="1:11" ht="42" customHeight="1">
      <c r="A4566" s="2" t="s">
        <v>9201</v>
      </c>
      <c r="B4566" s="2" t="s">
        <v>9202</v>
      </c>
      <c r="C4566" s="2" t="s">
        <v>40</v>
      </c>
      <c r="D4566" s="2" t="s">
        <v>41</v>
      </c>
      <c r="E4566" s="5">
        <v>-28629</v>
      </c>
      <c r="F4566" s="3" t="s">
        <v>235</v>
      </c>
      <c r="G4566" s="3" t="s">
        <v>88</v>
      </c>
      <c r="H4566" s="2" t="s">
        <v>21</v>
      </c>
      <c r="I4566" s="2" t="s">
        <v>9203</v>
      </c>
      <c r="J4566" s="3" t="str">
        <f>HYPERLINK("https://www.boe.es/gazeta/dias/1821/08/12/pdfs/GMD-1821-229.pdf#page=4","Abrir facsímil")</f>
        <v>Abrir facsímil</v>
      </c>
      <c r="K4566" s="3" t="s">
        <v>23</v>
      </c>
    </row>
    <row r="4567" spans="1:11" ht="42" customHeight="1">
      <c r="A4567" s="2" t="s">
        <v>9204</v>
      </c>
      <c r="B4567" s="2" t="s">
        <v>9204</v>
      </c>
      <c r="C4567" s="2" t="s">
        <v>26</v>
      </c>
      <c r="D4567" s="2" t="s">
        <v>27</v>
      </c>
      <c r="E4567" s="5">
        <v>-28757</v>
      </c>
      <c r="F4567" s="3" t="s">
        <v>472</v>
      </c>
      <c r="G4567" s="3" t="s">
        <v>88</v>
      </c>
      <c r="H4567" s="2" t="s">
        <v>21</v>
      </c>
      <c r="I4567" s="2" t="s">
        <v>9205</v>
      </c>
      <c r="J4567" s="3" t="str">
        <f>HYPERLINK("https://www.boe.es/gazeta/dias/1821/04/06/pdfs/GMD-1821-98.pdf#page=4","Abrir facsímil")</f>
        <v>Abrir facsímil</v>
      </c>
      <c r="K4567" s="3" t="s">
        <v>23</v>
      </c>
    </row>
    <row r="4568" spans="1:11" ht="42" customHeight="1">
      <c r="A4568" s="2" t="s">
        <v>9206</v>
      </c>
      <c r="B4568" s="2" t="s">
        <v>9206</v>
      </c>
      <c r="C4568" s="2" t="s">
        <v>40</v>
      </c>
      <c r="D4568" s="2" t="s">
        <v>41</v>
      </c>
      <c r="E4568" s="5">
        <v>-28638</v>
      </c>
      <c r="F4568" s="3" t="s">
        <v>736</v>
      </c>
      <c r="G4568" s="3" t="s">
        <v>20</v>
      </c>
      <c r="H4568" s="2" t="s">
        <v>21</v>
      </c>
      <c r="I4568" s="2" t="s">
        <v>9207</v>
      </c>
      <c r="J4568" s="3" t="str">
        <f>HYPERLINK("https://www.boe.es/gazeta/dias/1821/08/03/pdfs/GMD-1821-219.pdf#page=3","Abrir facsímil")</f>
        <v>Abrir facsímil</v>
      </c>
      <c r="K4568" s="3" t="s">
        <v>23</v>
      </c>
    </row>
    <row r="4569" spans="1:11" ht="42" customHeight="1">
      <c r="A4569" s="2" t="s">
        <v>9208</v>
      </c>
      <c r="B4569" s="2" t="s">
        <v>9208</v>
      </c>
      <c r="C4569" s="2" t="s">
        <v>279</v>
      </c>
      <c r="D4569" s="2" t="s">
        <v>27</v>
      </c>
      <c r="E4569" s="5">
        <v>-28787</v>
      </c>
      <c r="F4569" s="3" t="s">
        <v>486</v>
      </c>
      <c r="G4569" s="3" t="s">
        <v>52</v>
      </c>
      <c r="H4569" s="2" t="s">
        <v>21</v>
      </c>
      <c r="I4569" s="2" t="s">
        <v>9209</v>
      </c>
      <c r="J4569" s="3" t="str">
        <f>HYPERLINK("https://www.boe.es/gazeta/dias/1821/03/07/pdfs/GGB-1821-66.pdf#page=2","Abrir facsímil")</f>
        <v>Abrir facsímil</v>
      </c>
      <c r="K4569" s="3" t="s">
        <v>23</v>
      </c>
    </row>
    <row r="4570" spans="1:11" ht="42" customHeight="1">
      <c r="A4570" s="2" t="s">
        <v>9208</v>
      </c>
      <c r="B4570" s="2" t="s">
        <v>9208</v>
      </c>
      <c r="C4570" s="2" t="s">
        <v>26</v>
      </c>
      <c r="D4570" s="2" t="s">
        <v>27</v>
      </c>
      <c r="E4570" s="5">
        <v>-28705</v>
      </c>
      <c r="F4570" s="3" t="s">
        <v>1844</v>
      </c>
      <c r="G4570" s="3" t="s">
        <v>20</v>
      </c>
      <c r="H4570" s="2" t="s">
        <v>21</v>
      </c>
      <c r="I4570" s="2" t="s">
        <v>9210</v>
      </c>
      <c r="J4570" s="3" t="str">
        <f>HYPERLINK("https://www.boe.es/gazeta/dias/1821/05/28/pdfs/GMD-1821-150.pdf#page=3","Abrir facsímil")</f>
        <v>Abrir facsímil</v>
      </c>
      <c r="K4570" s="3" t="s">
        <v>23</v>
      </c>
    </row>
    <row r="4571" spans="1:11" ht="42" customHeight="1">
      <c r="A4571" s="2" t="s">
        <v>9211</v>
      </c>
      <c r="B4571" s="2" t="s">
        <v>9212</v>
      </c>
      <c r="C4571" s="2" t="s">
        <v>17</v>
      </c>
      <c r="D4571" s="2" t="s">
        <v>18</v>
      </c>
      <c r="E4571" s="5">
        <v>-28778</v>
      </c>
      <c r="F4571" s="3" t="s">
        <v>1301</v>
      </c>
      <c r="G4571" s="3" t="s">
        <v>29</v>
      </c>
      <c r="H4571" s="2" t="s">
        <v>21</v>
      </c>
      <c r="I4571" s="2" t="s">
        <v>9213</v>
      </c>
      <c r="J4571" s="3" t="str">
        <f>HYPERLINK("https://www.boe.es/gazeta/dias/1821/03/16/pdfs/GMD-1821-75.pdf#page=6","Abrir facsímil")</f>
        <v>Abrir facsímil</v>
      </c>
      <c r="K4571" s="3" t="s">
        <v>23</v>
      </c>
    </row>
    <row r="4572" spans="1:11" ht="42" customHeight="1">
      <c r="A4572" s="2" t="s">
        <v>9214</v>
      </c>
      <c r="B4572" s="2" t="s">
        <v>9215</v>
      </c>
      <c r="C4572" s="2" t="s">
        <v>17</v>
      </c>
      <c r="D4572" s="2" t="s">
        <v>18</v>
      </c>
      <c r="E4572" s="5">
        <v>-28531</v>
      </c>
      <c r="F4572" s="3" t="s">
        <v>365</v>
      </c>
      <c r="G4572" s="3" t="s">
        <v>20</v>
      </c>
      <c r="H4572" s="2" t="s">
        <v>21</v>
      </c>
      <c r="I4572" s="2" t="s">
        <v>9216</v>
      </c>
      <c r="J4572" s="3" t="str">
        <f>HYPERLINK("https://www.boe.es/gazeta/dias/1821/11/18/pdfs/GMD-1821-329.pdf#page=3","Abrir facsímil")</f>
        <v>Abrir facsímil</v>
      </c>
      <c r="K4572" s="3" t="s">
        <v>23</v>
      </c>
    </row>
    <row r="4573" spans="1:11" ht="42" customHeight="1">
      <c r="A4573" s="2" t="s">
        <v>9217</v>
      </c>
      <c r="B4573" s="2" t="s">
        <v>9218</v>
      </c>
      <c r="C4573" s="2" t="s">
        <v>70</v>
      </c>
      <c r="D4573" s="2" t="s">
        <v>27</v>
      </c>
      <c r="E4573" s="5">
        <v>-28765</v>
      </c>
      <c r="F4573" s="3" t="s">
        <v>974</v>
      </c>
      <c r="G4573" s="3" t="s">
        <v>52</v>
      </c>
      <c r="H4573" s="2" t="s">
        <v>21</v>
      </c>
      <c r="I4573" s="2" t="s">
        <v>9219</v>
      </c>
      <c r="J4573" s="3" t="str">
        <f>HYPERLINK("https://www.boe.es/gazeta/dias/1821/03/29/pdfs/GMD-1821-90.pdf#page=2","Abrir facsímil")</f>
        <v>Abrir facsímil</v>
      </c>
      <c r="K4573" s="3" t="s">
        <v>23</v>
      </c>
    </row>
    <row r="4574" spans="1:11" ht="42" customHeight="1">
      <c r="A4574" s="2" t="s">
        <v>9220</v>
      </c>
      <c r="B4574" s="2" t="s">
        <v>9221</v>
      </c>
      <c r="C4574" s="2" t="s">
        <v>26</v>
      </c>
      <c r="D4574" s="2" t="s">
        <v>27</v>
      </c>
      <c r="E4574" s="5">
        <v>-28629</v>
      </c>
      <c r="F4574" s="3" t="s">
        <v>235</v>
      </c>
      <c r="G4574" s="3" t="s">
        <v>88</v>
      </c>
      <c r="H4574" s="2" t="s">
        <v>21</v>
      </c>
      <c r="I4574" s="2" t="s">
        <v>9222</v>
      </c>
      <c r="J4574" s="3" t="str">
        <f>HYPERLINK("https://www.boe.es/gazeta/dias/1821/08/12/pdfs/GMD-1821-229.pdf#page=4","Abrir facsímil")</f>
        <v>Abrir facsímil</v>
      </c>
      <c r="K4574" s="3" t="s">
        <v>23</v>
      </c>
    </row>
    <row r="4575" spans="1:11" ht="42" customHeight="1">
      <c r="A4575" s="2" t="s">
        <v>9223</v>
      </c>
      <c r="B4575" s="2" t="s">
        <v>9224</v>
      </c>
      <c r="C4575" s="2" t="s">
        <v>17</v>
      </c>
      <c r="D4575" s="2" t="s">
        <v>18</v>
      </c>
      <c r="E4575" s="5">
        <v>-28710</v>
      </c>
      <c r="F4575" s="3" t="s">
        <v>375</v>
      </c>
      <c r="G4575" s="3" t="s">
        <v>88</v>
      </c>
      <c r="H4575" s="2" t="s">
        <v>21</v>
      </c>
      <c r="I4575" s="2" t="s">
        <v>9225</v>
      </c>
      <c r="J4575" s="3" t="str">
        <f>HYPERLINK("https://www.boe.es/gazeta/dias/1821/05/23/pdfs/GMD-1821-145.pdf#page=4","Abrir facsímil")</f>
        <v>Abrir facsímil</v>
      </c>
      <c r="K4575" s="3" t="s">
        <v>23</v>
      </c>
    </row>
    <row r="4576" spans="1:11" ht="42" customHeight="1">
      <c r="A4576" s="2" t="s">
        <v>9226</v>
      </c>
      <c r="B4576" s="2" t="s">
        <v>9226</v>
      </c>
      <c r="C4576" s="2" t="s">
        <v>40</v>
      </c>
      <c r="D4576" s="2" t="s">
        <v>41</v>
      </c>
      <c r="E4576" s="5">
        <v>-28849</v>
      </c>
      <c r="F4576" s="3" t="s">
        <v>1989</v>
      </c>
      <c r="G4576" s="3" t="s">
        <v>43</v>
      </c>
      <c r="H4576" s="2" t="s">
        <v>21</v>
      </c>
      <c r="I4576" s="2" t="s">
        <v>9227</v>
      </c>
      <c r="J4576" s="3" t="str">
        <f>HYPERLINK("https://www.boe.es/gazeta/dias/1821/01/04/pdfs/GGB-1821-4.pdf#page=1","Abrir facsímil")</f>
        <v>Abrir facsímil</v>
      </c>
      <c r="K4576" s="3" t="s">
        <v>23</v>
      </c>
    </row>
    <row r="4577" spans="1:11" ht="42" customHeight="1">
      <c r="A4577" s="2" t="s">
        <v>9228</v>
      </c>
      <c r="B4577" s="2" t="s">
        <v>9229</v>
      </c>
      <c r="C4577" s="2" t="s">
        <v>40</v>
      </c>
      <c r="D4577" s="2" t="s">
        <v>41</v>
      </c>
      <c r="E4577" s="5">
        <v>-28541</v>
      </c>
      <c r="F4577" s="3" t="s">
        <v>275</v>
      </c>
      <c r="G4577" s="3" t="s">
        <v>52</v>
      </c>
      <c r="H4577" s="2" t="s">
        <v>21</v>
      </c>
      <c r="I4577" s="2" t="s">
        <v>9230</v>
      </c>
      <c r="J4577" s="3" t="str">
        <f>HYPERLINK("https://www.boe.es/gazeta/dias/1821/11/08/pdfs/GMD-1821-319.pdf#page=2","Abrir facsímil")</f>
        <v>Abrir facsímil</v>
      </c>
      <c r="K4577" s="3" t="s">
        <v>23</v>
      </c>
    </row>
    <row r="4578" spans="1:11" ht="42" customHeight="1">
      <c r="A4578" s="2" t="s">
        <v>9231</v>
      </c>
      <c r="B4578" s="2" t="s">
        <v>9231</v>
      </c>
      <c r="C4578" s="2" t="s">
        <v>40</v>
      </c>
      <c r="D4578" s="2" t="s">
        <v>41</v>
      </c>
      <c r="E4578" s="5">
        <v>-28814</v>
      </c>
      <c r="F4578" s="3" t="s">
        <v>2090</v>
      </c>
      <c r="G4578" s="3" t="s">
        <v>43</v>
      </c>
      <c r="H4578" s="2" t="s">
        <v>21</v>
      </c>
      <c r="I4578" s="2" t="s">
        <v>9232</v>
      </c>
      <c r="J4578" s="3" t="str">
        <f>HYPERLINK("https://www.boe.es/gazeta/dias/1821/02/08/pdfs/GGB-1821-39.pdf#page=1","Abrir facsímil")</f>
        <v>Abrir facsímil</v>
      </c>
      <c r="K4578" s="3" t="s">
        <v>23</v>
      </c>
    </row>
    <row r="4579" spans="1:11" ht="42" customHeight="1">
      <c r="A4579" s="2" t="s">
        <v>9233</v>
      </c>
      <c r="B4579" s="2" t="s">
        <v>9234</v>
      </c>
      <c r="C4579" s="2" t="s">
        <v>40</v>
      </c>
      <c r="D4579" s="2" t="s">
        <v>41</v>
      </c>
      <c r="E4579" s="5">
        <v>-28541</v>
      </c>
      <c r="F4579" s="3" t="s">
        <v>275</v>
      </c>
      <c r="G4579" s="3" t="s">
        <v>52</v>
      </c>
      <c r="H4579" s="2" t="s">
        <v>21</v>
      </c>
      <c r="I4579" s="2" t="s">
        <v>9235</v>
      </c>
      <c r="J4579" s="3" t="str">
        <f>HYPERLINK("https://www.boe.es/gazeta/dias/1821/11/08/pdfs/GMD-1821-319.pdf#page=2","Abrir facsímil")</f>
        <v>Abrir facsímil</v>
      </c>
      <c r="K4579" s="3" t="s">
        <v>23</v>
      </c>
    </row>
    <row r="4580" spans="1:11" ht="42" customHeight="1">
      <c r="A4580" s="2" t="s">
        <v>9236</v>
      </c>
      <c r="B4580" s="2" t="s">
        <v>9237</v>
      </c>
      <c r="C4580" s="2" t="s">
        <v>35</v>
      </c>
      <c r="D4580" s="2" t="s">
        <v>27</v>
      </c>
      <c r="E4580" s="5">
        <v>-28541</v>
      </c>
      <c r="F4580" s="3" t="s">
        <v>275</v>
      </c>
      <c r="G4580" s="3" t="s">
        <v>52</v>
      </c>
      <c r="H4580" s="2" t="s">
        <v>21</v>
      </c>
      <c r="I4580" s="2" t="s">
        <v>9238</v>
      </c>
      <c r="J4580" s="3" t="str">
        <f>HYPERLINK("https://www.boe.es/gazeta/dias/1821/11/08/pdfs/GMD-1821-319.pdf#page=2","Abrir facsímil")</f>
        <v>Abrir facsímil</v>
      </c>
      <c r="K4580" s="3" t="s">
        <v>23</v>
      </c>
    </row>
    <row r="4581" spans="1:11" ht="42" customHeight="1">
      <c r="A4581" s="2" t="s">
        <v>9239</v>
      </c>
      <c r="B4581" s="2" t="s">
        <v>9240</v>
      </c>
      <c r="C4581" s="2" t="s">
        <v>26</v>
      </c>
      <c r="D4581" s="2" t="s">
        <v>27</v>
      </c>
      <c r="E4581" s="5">
        <v>-28793</v>
      </c>
      <c r="F4581" s="3" t="s">
        <v>157</v>
      </c>
      <c r="G4581" s="3" t="s">
        <v>88</v>
      </c>
      <c r="H4581" s="2" t="s">
        <v>21</v>
      </c>
      <c r="I4581" s="2" t="s">
        <v>9241</v>
      </c>
      <c r="J4581" s="3" t="str">
        <f>HYPERLINK("https://www.boe.es/gazeta/dias/1821/03/01/pdfs/GGB-1821-60.pdf#page=4","Abrir facsímil")</f>
        <v>Abrir facsímil</v>
      </c>
      <c r="K4581" s="3" t="s">
        <v>23</v>
      </c>
    </row>
    <row r="4582" spans="1:11" ht="42" customHeight="1">
      <c r="A4582" s="2" t="s">
        <v>9242</v>
      </c>
      <c r="B4582" s="2" t="s">
        <v>9243</v>
      </c>
      <c r="C4582" s="2" t="s">
        <v>40</v>
      </c>
      <c r="D4582" s="2" t="s">
        <v>41</v>
      </c>
      <c r="E4582" s="5">
        <v>-28623</v>
      </c>
      <c r="F4582" s="3" t="s">
        <v>2767</v>
      </c>
      <c r="G4582" s="3" t="s">
        <v>20</v>
      </c>
      <c r="H4582" s="2" t="s">
        <v>21</v>
      </c>
      <c r="I4582" s="2" t="s">
        <v>9244</v>
      </c>
      <c r="J4582" s="3" t="str">
        <f>HYPERLINK("https://www.boe.es/gazeta/dias/1821/08/18/pdfs/GMD-1821-235.pdf#page=3","Abrir facsímil")</f>
        <v>Abrir facsímil</v>
      </c>
      <c r="K4582" s="3" t="s">
        <v>23</v>
      </c>
    </row>
    <row r="4583" spans="1:11" ht="42" customHeight="1">
      <c r="A4583" s="2" t="s">
        <v>9245</v>
      </c>
      <c r="B4583" s="2" t="s">
        <v>9246</v>
      </c>
      <c r="C4583" s="2" t="s">
        <v>17</v>
      </c>
      <c r="D4583" s="2" t="s">
        <v>18</v>
      </c>
      <c r="E4583" s="5">
        <v>-28751</v>
      </c>
      <c r="F4583" s="3" t="s">
        <v>356</v>
      </c>
      <c r="G4583" s="3" t="s">
        <v>43</v>
      </c>
      <c r="H4583" s="2" t="s">
        <v>21</v>
      </c>
      <c r="I4583" s="2" t="s">
        <v>9247</v>
      </c>
      <c r="J4583" s="3" t="str">
        <f>HYPERLINK("https://www.boe.es/gazeta/dias/1821/04/12/pdfs/GMD-1821-104.pdf#page=1","Abrir facsímil")</f>
        <v>Abrir facsímil</v>
      </c>
      <c r="K4583" s="3" t="s">
        <v>23</v>
      </c>
    </row>
    <row r="4584" spans="1:11" ht="42" customHeight="1">
      <c r="A4584" s="2" t="s">
        <v>9248</v>
      </c>
      <c r="B4584" s="2" t="s">
        <v>9249</v>
      </c>
      <c r="C4584" s="2" t="s">
        <v>17</v>
      </c>
      <c r="D4584" s="2" t="s">
        <v>18</v>
      </c>
      <c r="E4584" s="5">
        <v>-28822</v>
      </c>
      <c r="F4584" s="3" t="s">
        <v>1748</v>
      </c>
      <c r="G4584" s="3" t="s">
        <v>29</v>
      </c>
      <c r="H4584" s="2" t="s">
        <v>21</v>
      </c>
      <c r="I4584" s="2" t="s">
        <v>9250</v>
      </c>
      <c r="J4584" s="3" t="str">
        <f>HYPERLINK("https://www.boe.es/gazeta/dias/1821/01/31/pdfs/GGB-1821-31.pdf#page=6","Abrir facsímil")</f>
        <v>Abrir facsímil</v>
      </c>
      <c r="K4584" s="3" t="s">
        <v>23</v>
      </c>
    </row>
    <row r="4585" spans="1:11" ht="42" customHeight="1">
      <c r="A4585" s="2" t="s">
        <v>9251</v>
      </c>
      <c r="B4585" s="2" t="s">
        <v>9252</v>
      </c>
      <c r="C4585" s="2" t="s">
        <v>17</v>
      </c>
      <c r="D4585" s="2" t="s">
        <v>18</v>
      </c>
      <c r="E4585" s="5">
        <v>-28606</v>
      </c>
      <c r="F4585" s="3" t="s">
        <v>1799</v>
      </c>
      <c r="G4585" s="3" t="s">
        <v>88</v>
      </c>
      <c r="H4585" s="2" t="s">
        <v>21</v>
      </c>
      <c r="I4585" s="2" t="s">
        <v>9253</v>
      </c>
      <c r="J4585" s="3" t="str">
        <f>HYPERLINK("https://www.boe.es/gazeta/dias/1821/09/04/pdfs/GMD-1821-252.pdf#page=4","Abrir facsímil")</f>
        <v>Abrir facsímil</v>
      </c>
      <c r="K4585" s="3" t="s">
        <v>23</v>
      </c>
    </row>
    <row r="4586" spans="1:11" ht="42" customHeight="1">
      <c r="A4586" s="2" t="s">
        <v>9254</v>
      </c>
      <c r="B4586" s="2" t="s">
        <v>9254</v>
      </c>
      <c r="C4586" s="2" t="s">
        <v>279</v>
      </c>
      <c r="D4586" s="2" t="s">
        <v>27</v>
      </c>
      <c r="E4586" s="5">
        <v>-28623</v>
      </c>
      <c r="F4586" s="3" t="s">
        <v>2767</v>
      </c>
      <c r="G4586" s="3" t="s">
        <v>20</v>
      </c>
      <c r="H4586" s="2" t="s">
        <v>21</v>
      </c>
      <c r="I4586" s="2" t="s">
        <v>9255</v>
      </c>
      <c r="J4586" s="3" t="str">
        <f>HYPERLINK("https://www.boe.es/gazeta/dias/1821/08/18/pdfs/GMD-1821-235.pdf#page=3","Abrir facsímil")</f>
        <v>Abrir facsímil</v>
      </c>
      <c r="K4586" s="3" t="s">
        <v>23</v>
      </c>
    </row>
    <row r="4587" spans="1:11" ht="42" customHeight="1">
      <c r="A4587" s="2" t="s">
        <v>9256</v>
      </c>
      <c r="B4587" s="2" t="s">
        <v>9257</v>
      </c>
      <c r="C4587" s="2" t="s">
        <v>40</v>
      </c>
      <c r="D4587" s="2" t="s">
        <v>41</v>
      </c>
      <c r="E4587" s="5">
        <v>-28507</v>
      </c>
      <c r="F4587" s="3" t="s">
        <v>1158</v>
      </c>
      <c r="G4587" s="3" t="s">
        <v>52</v>
      </c>
      <c r="H4587" s="2" t="s">
        <v>21</v>
      </c>
      <c r="I4587" s="2" t="s">
        <v>9258</v>
      </c>
      <c r="J4587" s="3" t="str">
        <f>HYPERLINK("https://www.boe.es/gazeta/dias/1821/12/12/pdfs/GMD-1821-354.pdf#page=2","Abrir facsímil")</f>
        <v>Abrir facsímil</v>
      </c>
      <c r="K4587" s="3" t="s">
        <v>23</v>
      </c>
    </row>
    <row r="4588" spans="1:11" ht="42" customHeight="1">
      <c r="A4588" s="2" t="s">
        <v>9259</v>
      </c>
      <c r="B4588" s="2" t="s">
        <v>9259</v>
      </c>
      <c r="C4588" s="2" t="s">
        <v>40</v>
      </c>
      <c r="D4588" s="2" t="s">
        <v>41</v>
      </c>
      <c r="E4588" s="5">
        <v>-28577</v>
      </c>
      <c r="F4588" s="3" t="s">
        <v>858</v>
      </c>
      <c r="G4588" s="3" t="s">
        <v>52</v>
      </c>
      <c r="H4588" s="2" t="s">
        <v>21</v>
      </c>
      <c r="I4588" s="2" t="s">
        <v>9260</v>
      </c>
      <c r="J4588" s="3" t="str">
        <f>HYPERLINK("https://www.boe.es/gazeta/dias/1821/10/03/pdfs/GMD-1821-282.pdf#page=2","Abrir facsímil")</f>
        <v>Abrir facsímil</v>
      </c>
      <c r="K4588" s="3" t="s">
        <v>23</v>
      </c>
    </row>
    <row r="4589" spans="1:11" ht="42" customHeight="1">
      <c r="A4589" s="2" t="s">
        <v>9261</v>
      </c>
      <c r="B4589" s="2" t="s">
        <v>9261</v>
      </c>
      <c r="C4589" s="2" t="s">
        <v>17</v>
      </c>
      <c r="D4589" s="2" t="s">
        <v>18</v>
      </c>
      <c r="E4589" s="5">
        <v>-28715</v>
      </c>
      <c r="F4589" s="3" t="s">
        <v>1046</v>
      </c>
      <c r="G4589" s="3" t="s">
        <v>20</v>
      </c>
      <c r="H4589" s="2" t="s">
        <v>21</v>
      </c>
      <c r="I4589" s="2" t="s">
        <v>9262</v>
      </c>
      <c r="J4589" s="3" t="str">
        <f>HYPERLINK("https://www.boe.es/gazeta/dias/1821/05/18/pdfs/GMD-1821-140.pdf#page=3","Abrir facsímil")</f>
        <v>Abrir facsímil</v>
      </c>
      <c r="K4589" s="3" t="s">
        <v>23</v>
      </c>
    </row>
    <row r="4590" spans="1:11" ht="42" customHeight="1">
      <c r="A4590" s="2" t="s">
        <v>9261</v>
      </c>
      <c r="B4590" s="2" t="s">
        <v>9261</v>
      </c>
      <c r="C4590" s="2" t="s">
        <v>17</v>
      </c>
      <c r="D4590" s="2" t="s">
        <v>18</v>
      </c>
      <c r="E4590" s="5">
        <v>-28666</v>
      </c>
      <c r="F4590" s="3" t="s">
        <v>1263</v>
      </c>
      <c r="G4590" s="3" t="s">
        <v>9263</v>
      </c>
      <c r="H4590" s="2" t="s">
        <v>21</v>
      </c>
      <c r="I4590" s="2" t="s">
        <v>9264</v>
      </c>
      <c r="J4590" s="3" t="str">
        <f>HYPERLINK("https://www.boe.es/gazeta/dias/1821/07/06/pdfs/GMD-1821-190.pdf#page=2","Abrir facsímil")</f>
        <v>Abrir facsímil</v>
      </c>
      <c r="K4590" s="3" t="s">
        <v>23</v>
      </c>
    </row>
    <row r="4591" spans="1:11" ht="42" customHeight="1">
      <c r="A4591" s="2" t="s">
        <v>9261</v>
      </c>
      <c r="B4591" s="2" t="s">
        <v>9261</v>
      </c>
      <c r="C4591" s="2" t="s">
        <v>40</v>
      </c>
      <c r="D4591" s="2" t="s">
        <v>41</v>
      </c>
      <c r="E4591" s="5">
        <v>-28615</v>
      </c>
      <c r="F4591" s="3" t="s">
        <v>427</v>
      </c>
      <c r="G4591" s="3" t="s">
        <v>52</v>
      </c>
      <c r="H4591" s="2" t="s">
        <v>21</v>
      </c>
      <c r="I4591" s="2" t="s">
        <v>9265</v>
      </c>
      <c r="J4591" s="3" t="str">
        <f>HYPERLINK("https://www.boe.es/gazeta/dias/1821/08/26/pdfs/GMD-1821-243.pdf#page=2","Abrir facsímil")</f>
        <v>Abrir facsímil</v>
      </c>
      <c r="K4591" s="3" t="s">
        <v>23</v>
      </c>
    </row>
    <row r="4592" spans="1:11" ht="42" customHeight="1">
      <c r="A4592" s="2" t="s">
        <v>9266</v>
      </c>
      <c r="B4592" s="2" t="s">
        <v>9267</v>
      </c>
      <c r="C4592" s="2" t="s">
        <v>114</v>
      </c>
      <c r="D4592" s="2" t="s">
        <v>27</v>
      </c>
      <c r="E4592" s="5">
        <v>-28771</v>
      </c>
      <c r="F4592" s="3" t="s">
        <v>110</v>
      </c>
      <c r="G4592" s="3" t="s">
        <v>43</v>
      </c>
      <c r="H4592" s="2" t="s">
        <v>21</v>
      </c>
      <c r="I4592" s="2" t="s">
        <v>9268</v>
      </c>
      <c r="J4592" s="3" t="str">
        <f>HYPERLINK("https://www.boe.es/gazeta/dias/1821/03/23/pdfs/GMD-1821-83.pdf#page=1","Abrir facsímil")</f>
        <v>Abrir facsímil</v>
      </c>
      <c r="K4592" s="3" t="s">
        <v>23</v>
      </c>
    </row>
    <row r="4593" spans="1:11" ht="42" customHeight="1">
      <c r="A4593" s="2" t="s">
        <v>9269</v>
      </c>
      <c r="B4593" s="2" t="s">
        <v>9269</v>
      </c>
      <c r="C4593" s="2" t="s">
        <v>17</v>
      </c>
      <c r="D4593" s="2" t="s">
        <v>18</v>
      </c>
      <c r="E4593" s="5">
        <v>-28674</v>
      </c>
      <c r="F4593" s="3" t="s">
        <v>536</v>
      </c>
      <c r="G4593" s="3" t="s">
        <v>537</v>
      </c>
      <c r="H4593" s="2" t="s">
        <v>21</v>
      </c>
      <c r="I4593" s="2" t="s">
        <v>9270</v>
      </c>
      <c r="J4593" s="3" t="str">
        <f>HYPERLINK("https://www.boe.es/gazeta/dias/1821/06/28/pdfs/GMD-1821-181.pdf#page=2","Abrir facsímil")</f>
        <v>Abrir facsímil</v>
      </c>
      <c r="K4593" s="3" t="s">
        <v>23</v>
      </c>
    </row>
    <row r="4594" spans="1:11" ht="42" customHeight="1">
      <c r="A4594" s="2" t="s">
        <v>9269</v>
      </c>
      <c r="B4594" s="2" t="s">
        <v>9269</v>
      </c>
      <c r="C4594" s="2" t="s">
        <v>40</v>
      </c>
      <c r="D4594" s="2" t="s">
        <v>41</v>
      </c>
      <c r="E4594" s="5">
        <v>-28544</v>
      </c>
      <c r="F4594" s="3" t="s">
        <v>139</v>
      </c>
      <c r="G4594" s="3" t="s">
        <v>43</v>
      </c>
      <c r="H4594" s="2" t="s">
        <v>21</v>
      </c>
      <c r="I4594" s="2" t="s">
        <v>9271</v>
      </c>
      <c r="J4594" s="3" t="str">
        <f>HYPERLINK("https://www.boe.es/gazeta/dias/1821/11/05/pdfs/GMD-1821-316.pdf#page=1","Abrir facsímil")</f>
        <v>Abrir facsímil</v>
      </c>
      <c r="K4594" s="3" t="s">
        <v>23</v>
      </c>
    </row>
    <row r="4595" spans="1:11" ht="42" customHeight="1">
      <c r="A4595" s="2" t="s">
        <v>9272</v>
      </c>
      <c r="B4595" s="2" t="s">
        <v>9272</v>
      </c>
      <c r="C4595" s="2" t="s">
        <v>174</v>
      </c>
      <c r="D4595" s="2" t="s">
        <v>27</v>
      </c>
      <c r="E4595" s="5">
        <v>-28696</v>
      </c>
      <c r="F4595" s="3" t="s">
        <v>497</v>
      </c>
      <c r="G4595" s="3" t="s">
        <v>43</v>
      </c>
      <c r="H4595" s="2" t="s">
        <v>21</v>
      </c>
      <c r="I4595" s="2" t="s">
        <v>9273</v>
      </c>
      <c r="J4595" s="3" t="str">
        <f>HYPERLINK("https://www.boe.es/gazeta/dias/1821/06/06/pdfs/GMD-1821-159.pdf#page=1","Abrir facsímil")</f>
        <v>Abrir facsímil</v>
      </c>
      <c r="K4595" s="3" t="s">
        <v>23</v>
      </c>
    </row>
    <row r="4596" spans="1:11" ht="42" customHeight="1">
      <c r="A4596" s="2" t="s">
        <v>9274</v>
      </c>
      <c r="B4596" s="2" t="s">
        <v>9274</v>
      </c>
      <c r="C4596" s="2" t="s">
        <v>40</v>
      </c>
      <c r="D4596" s="2" t="s">
        <v>41</v>
      </c>
      <c r="E4596" s="5">
        <v>-28780</v>
      </c>
      <c r="F4596" s="3" t="s">
        <v>143</v>
      </c>
      <c r="G4596" s="3" t="s">
        <v>88</v>
      </c>
      <c r="H4596" s="2" t="s">
        <v>21</v>
      </c>
      <c r="I4596" s="2" t="s">
        <v>9275</v>
      </c>
      <c r="J4596" s="3" t="str">
        <f>HYPERLINK("https://www.boe.es/gazeta/dias/1821/03/14/pdfs/GMD-1821-73.pdf#page=4","Abrir facsímil")</f>
        <v>Abrir facsímil</v>
      </c>
      <c r="K4596" s="3" t="s">
        <v>23</v>
      </c>
    </row>
    <row r="4597" spans="1:11" ht="42" customHeight="1">
      <c r="A4597" s="2" t="s">
        <v>9274</v>
      </c>
      <c r="B4597" s="2" t="s">
        <v>9274</v>
      </c>
      <c r="C4597" s="2" t="s">
        <v>17</v>
      </c>
      <c r="D4597" s="2" t="s">
        <v>18</v>
      </c>
      <c r="E4597" s="5">
        <v>-28752</v>
      </c>
      <c r="F4597" s="3" t="s">
        <v>1012</v>
      </c>
      <c r="G4597" s="3" t="s">
        <v>52</v>
      </c>
      <c r="H4597" s="2" t="s">
        <v>21</v>
      </c>
      <c r="I4597" s="2" t="s">
        <v>9276</v>
      </c>
      <c r="J4597" s="3" t="str">
        <f>HYPERLINK("https://www.boe.es/gazeta/dias/1821/04/11/pdfs/GMD-1821-103.pdf#page=2","Abrir facsímil")</f>
        <v>Abrir facsímil</v>
      </c>
      <c r="K4597" s="3" t="s">
        <v>23</v>
      </c>
    </row>
    <row r="4598" spans="1:11" ht="42" customHeight="1">
      <c r="A4598" s="2" t="s">
        <v>9274</v>
      </c>
      <c r="B4598" s="2" t="s">
        <v>9274</v>
      </c>
      <c r="C4598" s="2" t="s">
        <v>35</v>
      </c>
      <c r="D4598" s="2" t="s">
        <v>27</v>
      </c>
      <c r="E4598" s="5">
        <v>-28657</v>
      </c>
      <c r="F4598" s="3" t="s">
        <v>5977</v>
      </c>
      <c r="G4598" s="3" t="s">
        <v>88</v>
      </c>
      <c r="H4598" s="2" t="s">
        <v>21</v>
      </c>
      <c r="I4598" s="2" t="s">
        <v>9277</v>
      </c>
      <c r="J4598" s="3" t="str">
        <f>HYPERLINK("https://www.boe.es/gazeta/dias/1821/07/15/pdfs/GMD-1821-200.pdf#page=4","Abrir facsímil")</f>
        <v>Abrir facsímil</v>
      </c>
      <c r="K4598" s="3" t="s">
        <v>23</v>
      </c>
    </row>
    <row r="4599" spans="1:11" ht="42" customHeight="1">
      <c r="A4599" s="2" t="s">
        <v>9278</v>
      </c>
      <c r="B4599" s="2" t="s">
        <v>9279</v>
      </c>
      <c r="C4599" s="2" t="s">
        <v>26</v>
      </c>
      <c r="D4599" s="2" t="s">
        <v>27</v>
      </c>
      <c r="E4599" s="5">
        <v>-28754</v>
      </c>
      <c r="F4599" s="3" t="s">
        <v>1942</v>
      </c>
      <c r="G4599" s="3" t="s">
        <v>20</v>
      </c>
      <c r="H4599" s="2" t="s">
        <v>21</v>
      </c>
      <c r="I4599" s="2" t="s">
        <v>9280</v>
      </c>
      <c r="J4599" s="3" t="str">
        <f>HYPERLINK("https://www.boe.es/gazeta/dias/1821/04/09/pdfs/GMD-1821-101.pdf#page=3","Abrir facsímil")</f>
        <v>Abrir facsímil</v>
      </c>
      <c r="K4599" s="3" t="s">
        <v>23</v>
      </c>
    </row>
    <row r="4600" spans="1:11" ht="42" customHeight="1">
      <c r="A4600" s="2" t="s">
        <v>9281</v>
      </c>
      <c r="B4600" s="2" t="s">
        <v>9281</v>
      </c>
      <c r="C4600" s="2" t="s">
        <v>70</v>
      </c>
      <c r="D4600" s="2" t="s">
        <v>27</v>
      </c>
      <c r="E4600" s="5">
        <v>-28787</v>
      </c>
      <c r="F4600" s="3" t="s">
        <v>486</v>
      </c>
      <c r="G4600" s="3" t="s">
        <v>20</v>
      </c>
      <c r="H4600" s="2" t="s">
        <v>21</v>
      </c>
      <c r="I4600" s="2" t="s">
        <v>9282</v>
      </c>
      <c r="J4600" s="3" t="str">
        <f>HYPERLINK("https://www.boe.es/gazeta/dias/1821/03/07/pdfs/GGB-1821-66.pdf#page=3","Abrir facsímil")</f>
        <v>Abrir facsímil</v>
      </c>
      <c r="K4600" s="3" t="s">
        <v>23</v>
      </c>
    </row>
    <row r="4601" spans="1:11" ht="42" customHeight="1">
      <c r="A4601" s="2" t="s">
        <v>9283</v>
      </c>
      <c r="B4601" s="2" t="s">
        <v>9283</v>
      </c>
      <c r="C4601" s="2" t="s">
        <v>40</v>
      </c>
      <c r="D4601" s="2" t="s">
        <v>41</v>
      </c>
      <c r="E4601" s="5">
        <v>-28522</v>
      </c>
      <c r="F4601" s="3" t="s">
        <v>1083</v>
      </c>
      <c r="G4601" s="3" t="s">
        <v>9284</v>
      </c>
      <c r="H4601" s="2" t="s">
        <v>21</v>
      </c>
      <c r="I4601" s="2" t="s">
        <v>9285</v>
      </c>
      <c r="J4601" s="3" t="str">
        <f>HYPERLINK("https://www.boe.es/gazeta/dias/1821/11/27/pdfs/GMD-1821-339.pdf#page=3","Abrir facsímil")</f>
        <v>Abrir facsímil</v>
      </c>
      <c r="K4601" s="3" t="s">
        <v>23</v>
      </c>
    </row>
    <row r="4602" spans="1:11" ht="42" customHeight="1">
      <c r="A4602" s="2" t="s">
        <v>9286</v>
      </c>
      <c r="B4602" s="2" t="s">
        <v>9286</v>
      </c>
      <c r="C4602" s="2" t="s">
        <v>40</v>
      </c>
      <c r="D4602" s="2" t="s">
        <v>41</v>
      </c>
      <c r="E4602" s="5">
        <v>-28725</v>
      </c>
      <c r="F4602" s="3" t="s">
        <v>440</v>
      </c>
      <c r="G4602" s="3" t="s">
        <v>43</v>
      </c>
      <c r="H4602" s="2" t="s">
        <v>21</v>
      </c>
      <c r="I4602" s="2" t="s">
        <v>9287</v>
      </c>
      <c r="J4602" s="3" t="str">
        <f>HYPERLINK("https://www.boe.es/gazeta/dias/1821/05/08/pdfs/GMD-1821-130.pdf#page=1","Abrir facsímil")</f>
        <v>Abrir facsímil</v>
      </c>
      <c r="K4602" s="3" t="s">
        <v>23</v>
      </c>
    </row>
    <row r="4603" spans="1:11" ht="42" customHeight="1">
      <c r="A4603" s="2" t="s">
        <v>9286</v>
      </c>
      <c r="B4603" s="2" t="s">
        <v>9286</v>
      </c>
      <c r="C4603" s="2" t="s">
        <v>26</v>
      </c>
      <c r="D4603" s="2" t="s">
        <v>27</v>
      </c>
      <c r="E4603" s="5">
        <v>-28660</v>
      </c>
      <c r="F4603" s="3" t="s">
        <v>7202</v>
      </c>
      <c r="G4603" s="3" t="s">
        <v>20</v>
      </c>
      <c r="H4603" s="2" t="s">
        <v>21</v>
      </c>
      <c r="I4603" s="2" t="s">
        <v>9288</v>
      </c>
      <c r="J4603" s="3" t="str">
        <f>HYPERLINK("https://www.boe.es/gazeta/dias/1821/07/12/pdfs/GMD-1821-197.pdf#page=3","Abrir facsímil")</f>
        <v>Abrir facsímil</v>
      </c>
      <c r="K4603" s="3" t="s">
        <v>23</v>
      </c>
    </row>
    <row r="4604" spans="1:11" ht="42" customHeight="1">
      <c r="A4604" s="2" t="s">
        <v>9289</v>
      </c>
      <c r="B4604" s="2" t="s">
        <v>9290</v>
      </c>
      <c r="C4604" s="2" t="s">
        <v>17</v>
      </c>
      <c r="D4604" s="2" t="s">
        <v>18</v>
      </c>
      <c r="E4604" s="5">
        <v>-28751</v>
      </c>
      <c r="F4604" s="3" t="s">
        <v>356</v>
      </c>
      <c r="G4604" s="3" t="s">
        <v>52</v>
      </c>
      <c r="H4604" s="2" t="s">
        <v>21</v>
      </c>
      <c r="I4604" s="2" t="s">
        <v>9291</v>
      </c>
      <c r="J4604" s="3" t="str">
        <f>HYPERLINK("https://www.boe.es/gazeta/dias/1821/04/12/pdfs/GMD-1821-104.pdf#page=2","Abrir facsímil")</f>
        <v>Abrir facsímil</v>
      </c>
      <c r="K4604" s="3" t="s">
        <v>23</v>
      </c>
    </row>
    <row r="4605" spans="1:11" ht="42" customHeight="1">
      <c r="A4605" s="2" t="s">
        <v>9292</v>
      </c>
      <c r="B4605" s="2" t="s">
        <v>9292</v>
      </c>
      <c r="C4605" s="2" t="s">
        <v>26</v>
      </c>
      <c r="D4605" s="2" t="s">
        <v>27</v>
      </c>
      <c r="E4605" s="5">
        <v>-28847</v>
      </c>
      <c r="F4605" s="3" t="s">
        <v>288</v>
      </c>
      <c r="G4605" s="3" t="s">
        <v>20</v>
      </c>
      <c r="H4605" s="2" t="s">
        <v>21</v>
      </c>
      <c r="I4605" s="2" t="s">
        <v>9293</v>
      </c>
      <c r="J4605" s="3" t="str">
        <f>HYPERLINK("https://www.boe.es/gazeta/dias/1821/01/06/pdfs/GGB-1821-6.pdf#page=3","Abrir facsímil")</f>
        <v>Abrir facsímil</v>
      </c>
      <c r="K4605" s="3" t="s">
        <v>23</v>
      </c>
    </row>
    <row r="4606" spans="1:11" ht="42" customHeight="1">
      <c r="A4606" s="2" t="s">
        <v>9292</v>
      </c>
      <c r="B4606" s="2" t="s">
        <v>9292</v>
      </c>
      <c r="C4606" s="2" t="s">
        <v>35</v>
      </c>
      <c r="D4606" s="2" t="s">
        <v>27</v>
      </c>
      <c r="E4606" s="5">
        <v>-28813</v>
      </c>
      <c r="F4606" s="3" t="s">
        <v>268</v>
      </c>
      <c r="G4606" s="3" t="s">
        <v>52</v>
      </c>
      <c r="H4606" s="2" t="s">
        <v>21</v>
      </c>
      <c r="I4606" s="2" t="s">
        <v>9294</v>
      </c>
      <c r="J4606" s="3" t="str">
        <f>HYPERLINK("https://www.boe.es/gazeta/dias/1821/02/09/pdfs/GGB-1821-40.pdf#page=2","Abrir facsímil")</f>
        <v>Abrir facsímil</v>
      </c>
      <c r="K4606" s="3" t="s">
        <v>23</v>
      </c>
    </row>
    <row r="4607" spans="1:11" ht="42" customHeight="1">
      <c r="A4607" s="2" t="s">
        <v>9292</v>
      </c>
      <c r="B4607" s="2" t="s">
        <v>9292</v>
      </c>
      <c r="C4607" s="2" t="s">
        <v>35</v>
      </c>
      <c r="D4607" s="2" t="s">
        <v>27</v>
      </c>
      <c r="E4607" s="5">
        <v>-28812</v>
      </c>
      <c r="F4607" s="3" t="s">
        <v>2610</v>
      </c>
      <c r="G4607" s="3" t="s">
        <v>43</v>
      </c>
      <c r="H4607" s="2" t="s">
        <v>21</v>
      </c>
      <c r="I4607" s="2" t="s">
        <v>9295</v>
      </c>
      <c r="J4607" s="3" t="str">
        <f>HYPERLINK("https://www.boe.es/gazeta/dias/1821/02/10/pdfs/GGB-1821-41.pdf#page=1","Abrir facsímil")</f>
        <v>Abrir facsímil</v>
      </c>
      <c r="K4607" s="3" t="s">
        <v>23</v>
      </c>
    </row>
    <row r="4608" spans="1:11" ht="42" customHeight="1">
      <c r="A4608" s="2" t="s">
        <v>9292</v>
      </c>
      <c r="B4608" s="2" t="s">
        <v>9292</v>
      </c>
      <c r="C4608" s="2" t="s">
        <v>26</v>
      </c>
      <c r="D4608" s="2" t="s">
        <v>27</v>
      </c>
      <c r="E4608" s="5">
        <v>-28806</v>
      </c>
      <c r="F4608" s="3" t="s">
        <v>1201</v>
      </c>
      <c r="G4608" s="3" t="s">
        <v>43</v>
      </c>
      <c r="H4608" s="2" t="s">
        <v>21</v>
      </c>
      <c r="I4608" s="2" t="s">
        <v>9296</v>
      </c>
      <c r="J4608" s="3" t="str">
        <f>HYPERLINK("https://www.boe.es/gazeta/dias/1821/02/16/pdfs/GGB-1821-47.pdf#page=1","Abrir facsímil")</f>
        <v>Abrir facsímil</v>
      </c>
      <c r="K4608" s="3" t="s">
        <v>23</v>
      </c>
    </row>
    <row r="4609" spans="1:11" ht="42" customHeight="1">
      <c r="A4609" s="2" t="s">
        <v>9292</v>
      </c>
      <c r="B4609" s="2" t="s">
        <v>9292</v>
      </c>
      <c r="C4609" s="2" t="s">
        <v>35</v>
      </c>
      <c r="D4609" s="2" t="s">
        <v>27</v>
      </c>
      <c r="E4609" s="5">
        <v>-28802</v>
      </c>
      <c r="F4609" s="3" t="s">
        <v>4814</v>
      </c>
      <c r="G4609" s="3" t="s">
        <v>52</v>
      </c>
      <c r="H4609" s="2" t="s">
        <v>21</v>
      </c>
      <c r="I4609" s="2" t="s">
        <v>9297</v>
      </c>
      <c r="J4609" s="3" t="str">
        <f>HYPERLINK("https://www.boe.es/gazeta/dias/1821/02/20/pdfs/GGB-1821-51.pdf#page=2","Abrir facsímil")</f>
        <v>Abrir facsímil</v>
      </c>
      <c r="K4609" s="3" t="s">
        <v>23</v>
      </c>
    </row>
    <row r="4610" spans="1:11" ht="42" customHeight="1">
      <c r="A4610" s="2" t="s">
        <v>9292</v>
      </c>
      <c r="B4610" s="2" t="s">
        <v>9292</v>
      </c>
      <c r="C4610" s="2" t="s">
        <v>17</v>
      </c>
      <c r="D4610" s="2" t="s">
        <v>18</v>
      </c>
      <c r="E4610" s="5">
        <v>-28802</v>
      </c>
      <c r="F4610" s="3" t="s">
        <v>4814</v>
      </c>
      <c r="G4610" s="3" t="s">
        <v>20</v>
      </c>
      <c r="H4610" s="2" t="s">
        <v>21</v>
      </c>
      <c r="I4610" s="2" t="s">
        <v>9298</v>
      </c>
      <c r="J4610" s="3" t="str">
        <f>HYPERLINK("https://www.boe.es/gazeta/dias/1821/02/20/pdfs/GGB-1821-51.pdf#page=3","Abrir facsímil")</f>
        <v>Abrir facsímil</v>
      </c>
      <c r="K4610" s="3" t="s">
        <v>23</v>
      </c>
    </row>
    <row r="4611" spans="1:11" ht="42" customHeight="1">
      <c r="A4611" s="2" t="s">
        <v>9292</v>
      </c>
      <c r="B4611" s="2" t="s">
        <v>9292</v>
      </c>
      <c r="C4611" s="2" t="s">
        <v>17</v>
      </c>
      <c r="D4611" s="2" t="s">
        <v>18</v>
      </c>
      <c r="E4611" s="5">
        <v>-28798</v>
      </c>
      <c r="F4611" s="3" t="s">
        <v>60</v>
      </c>
      <c r="G4611" s="3" t="s">
        <v>43</v>
      </c>
      <c r="H4611" s="2" t="s">
        <v>21</v>
      </c>
      <c r="I4611" s="2" t="s">
        <v>9299</v>
      </c>
      <c r="J4611" s="3" t="str">
        <f>HYPERLINK("https://www.boe.es/gazeta/dias/1821/02/24/pdfs/GGB-1821-55.pdf#page=1","Abrir facsímil")</f>
        <v>Abrir facsímil</v>
      </c>
      <c r="K4611" s="3" t="s">
        <v>23</v>
      </c>
    </row>
    <row r="4612" spans="1:11" ht="42" customHeight="1">
      <c r="A4612" s="2" t="s">
        <v>9292</v>
      </c>
      <c r="B4612" s="2" t="s">
        <v>9292</v>
      </c>
      <c r="C4612" s="2" t="s">
        <v>26</v>
      </c>
      <c r="D4612" s="2" t="s">
        <v>27</v>
      </c>
      <c r="E4612" s="5">
        <v>-28793</v>
      </c>
      <c r="F4612" s="3" t="s">
        <v>157</v>
      </c>
      <c r="G4612" s="3" t="s">
        <v>52</v>
      </c>
      <c r="H4612" s="2" t="s">
        <v>21</v>
      </c>
      <c r="I4612" s="2" t="s">
        <v>9300</v>
      </c>
      <c r="J4612" s="3" t="str">
        <f>HYPERLINK("https://www.boe.es/gazeta/dias/1821/03/01/pdfs/GGB-1821-60.pdf#page=2","Abrir facsímil")</f>
        <v>Abrir facsímil</v>
      </c>
      <c r="K4612" s="3" t="s">
        <v>23</v>
      </c>
    </row>
    <row r="4613" spans="1:11" ht="42" customHeight="1">
      <c r="A4613" s="2" t="s">
        <v>9292</v>
      </c>
      <c r="B4613" s="2" t="s">
        <v>9292</v>
      </c>
      <c r="C4613" s="2" t="s">
        <v>35</v>
      </c>
      <c r="D4613" s="2" t="s">
        <v>27</v>
      </c>
      <c r="E4613" s="5">
        <v>-28786</v>
      </c>
      <c r="F4613" s="3" t="s">
        <v>1933</v>
      </c>
      <c r="G4613" s="3" t="s">
        <v>52</v>
      </c>
      <c r="H4613" s="2" t="s">
        <v>21</v>
      </c>
      <c r="I4613" s="2" t="s">
        <v>9301</v>
      </c>
      <c r="J4613" s="3" t="str">
        <f>HYPERLINK("https://www.boe.es/gazeta/dias/1821/03/08/pdfs/GGB-1821-67.pdf#page=2","Abrir facsímil")</f>
        <v>Abrir facsímil</v>
      </c>
      <c r="K4613" s="3" t="s">
        <v>23</v>
      </c>
    </row>
    <row r="4614" spans="1:11" ht="42" customHeight="1">
      <c r="A4614" s="2" t="s">
        <v>9292</v>
      </c>
      <c r="B4614" s="2" t="s">
        <v>9292</v>
      </c>
      <c r="C4614" s="2" t="s">
        <v>26</v>
      </c>
      <c r="D4614" s="2" t="s">
        <v>27</v>
      </c>
      <c r="E4614" s="5">
        <v>-28624</v>
      </c>
      <c r="F4614" s="3" t="s">
        <v>78</v>
      </c>
      <c r="G4614" s="3" t="s">
        <v>9302</v>
      </c>
      <c r="H4614" s="2" t="s">
        <v>21</v>
      </c>
      <c r="I4614" s="2" t="s">
        <v>9303</v>
      </c>
      <c r="J4614" s="3" t="str">
        <f>HYPERLINK("https://www.boe.es/gazeta/dias/1821/08/17/pdfs/GMD-1821-234.pdf#page=2","Abrir facsímil")</f>
        <v>Abrir facsímil</v>
      </c>
      <c r="K4614" s="3" t="s">
        <v>23</v>
      </c>
    </row>
    <row r="4615" spans="1:11" ht="42" customHeight="1">
      <c r="A4615" s="2" t="s">
        <v>9292</v>
      </c>
      <c r="B4615" s="2" t="s">
        <v>9292</v>
      </c>
      <c r="C4615" s="2" t="s">
        <v>26</v>
      </c>
      <c r="D4615" s="2" t="s">
        <v>27</v>
      </c>
      <c r="E4615" s="5">
        <v>-28526</v>
      </c>
      <c r="F4615" s="3" t="s">
        <v>223</v>
      </c>
      <c r="G4615" s="3" t="s">
        <v>52</v>
      </c>
      <c r="H4615" s="2" t="s">
        <v>21</v>
      </c>
      <c r="I4615" s="2" t="s">
        <v>9304</v>
      </c>
      <c r="J4615" s="3" t="str">
        <f>HYPERLINK("https://www.boe.es/gazeta/dias/1821/11/23/pdfs/GMD-1821-334.pdf#page=2","Abrir facsímil")</f>
        <v>Abrir facsímil</v>
      </c>
      <c r="K4615" s="3" t="s">
        <v>23</v>
      </c>
    </row>
    <row r="4616" spans="1:11" ht="42" customHeight="1">
      <c r="A4616" s="2" t="s">
        <v>9305</v>
      </c>
      <c r="B4616" s="2" t="s">
        <v>9306</v>
      </c>
      <c r="C4616" s="2" t="s">
        <v>40</v>
      </c>
      <c r="D4616" s="2" t="s">
        <v>41</v>
      </c>
      <c r="E4616" s="5">
        <v>-28742</v>
      </c>
      <c r="F4616" s="3" t="s">
        <v>324</v>
      </c>
      <c r="G4616" s="3" t="s">
        <v>43</v>
      </c>
      <c r="H4616" s="2" t="s">
        <v>21</v>
      </c>
      <c r="I4616" s="2" t="s">
        <v>9307</v>
      </c>
      <c r="J4616" s="3" t="str">
        <f>HYPERLINK("https://www.boe.es/gazeta/dias/1821/04/21/pdfs/GMD-1821-113.pdf#page=1","Abrir facsímil")</f>
        <v>Abrir facsímil</v>
      </c>
      <c r="K4616" s="3" t="s">
        <v>23</v>
      </c>
    </row>
    <row r="4617" spans="1:11" ht="42" customHeight="1">
      <c r="A4617" s="2" t="s">
        <v>9308</v>
      </c>
      <c r="B4617" s="2" t="s">
        <v>9308</v>
      </c>
      <c r="C4617" s="2" t="s">
        <v>70</v>
      </c>
      <c r="D4617" s="2" t="s">
        <v>27</v>
      </c>
      <c r="E4617" s="5">
        <v>-28821</v>
      </c>
      <c r="F4617" s="3" t="s">
        <v>371</v>
      </c>
      <c r="G4617" s="3" t="s">
        <v>52</v>
      </c>
      <c r="H4617" s="2" t="s">
        <v>21</v>
      </c>
      <c r="I4617" s="2" t="s">
        <v>9309</v>
      </c>
      <c r="J4617" s="3" t="str">
        <f>HYPERLINK("https://www.boe.es/gazeta/dias/1821/02/01/pdfs/GGB-1821-32.pdf#page=2","Abrir facsímil")</f>
        <v>Abrir facsímil</v>
      </c>
      <c r="K4617" s="3" t="s">
        <v>23</v>
      </c>
    </row>
    <row r="4618" spans="1:11" ht="42" customHeight="1">
      <c r="A4618" s="2" t="s">
        <v>9310</v>
      </c>
      <c r="B4618" s="2" t="s">
        <v>9311</v>
      </c>
      <c r="C4618" s="2" t="s">
        <v>26</v>
      </c>
      <c r="D4618" s="2" t="s">
        <v>27</v>
      </c>
      <c r="E4618" s="5">
        <v>-28502</v>
      </c>
      <c r="F4618" s="3" t="s">
        <v>570</v>
      </c>
      <c r="G4618" s="3" t="s">
        <v>43</v>
      </c>
      <c r="H4618" s="2" t="s">
        <v>21</v>
      </c>
      <c r="I4618" s="2" t="s">
        <v>9312</v>
      </c>
      <c r="J4618" s="3" t="str">
        <f>HYPERLINK("https://www.boe.es/gazeta/dias/1821/12/17/pdfs/GMD-1821-360.pdf#page=1","Abrir facsímil")</f>
        <v>Abrir facsímil</v>
      </c>
      <c r="K4618" s="3" t="s">
        <v>23</v>
      </c>
    </row>
    <row r="4619" spans="1:11" ht="42" customHeight="1">
      <c r="A4619" s="2" t="s">
        <v>9313</v>
      </c>
      <c r="B4619" s="2" t="s">
        <v>9313</v>
      </c>
      <c r="C4619" s="2" t="s">
        <v>70</v>
      </c>
      <c r="D4619" s="2" t="s">
        <v>27</v>
      </c>
      <c r="E4619" s="5">
        <v>-28690</v>
      </c>
      <c r="F4619" s="3" t="s">
        <v>846</v>
      </c>
      <c r="G4619" s="3" t="s">
        <v>20</v>
      </c>
      <c r="H4619" s="2" t="s">
        <v>21</v>
      </c>
      <c r="I4619" s="2" t="s">
        <v>9314</v>
      </c>
      <c r="J4619" s="3" t="str">
        <f>HYPERLINK("https://www.boe.es/gazeta/dias/1821/06/12/pdfs/GMD-1821-165.pdf#page=3","Abrir facsímil")</f>
        <v>Abrir facsímil</v>
      </c>
      <c r="K4619" s="3" t="s">
        <v>23</v>
      </c>
    </row>
    <row r="4620" spans="1:11" ht="42" customHeight="1">
      <c r="A4620" s="2" t="s">
        <v>9315</v>
      </c>
      <c r="B4620" s="2" t="s">
        <v>9316</v>
      </c>
      <c r="C4620" s="2" t="s">
        <v>17</v>
      </c>
      <c r="D4620" s="2" t="s">
        <v>18</v>
      </c>
      <c r="E4620" s="5">
        <v>-28765</v>
      </c>
      <c r="F4620" s="3" t="s">
        <v>974</v>
      </c>
      <c r="G4620" s="3" t="s">
        <v>1483</v>
      </c>
      <c r="H4620" s="2" t="s">
        <v>21</v>
      </c>
      <c r="I4620" s="2" t="s">
        <v>9317</v>
      </c>
      <c r="J4620" s="3" t="str">
        <f>HYPERLINK("https://www.boe.es/gazeta/dias/1821/03/29/pdfs/GMD-1821-90.pdf#page=4","Abrir facsímil")</f>
        <v>Abrir facsímil</v>
      </c>
      <c r="K4620" s="3" t="s">
        <v>23</v>
      </c>
    </row>
    <row r="4621" spans="1:11" ht="42" customHeight="1">
      <c r="A4621" s="2" t="s">
        <v>9318</v>
      </c>
      <c r="B4621" s="2" t="s">
        <v>9319</v>
      </c>
      <c r="C4621" s="2" t="s">
        <v>40</v>
      </c>
      <c r="D4621" s="2" t="s">
        <v>41</v>
      </c>
      <c r="E4621" s="5">
        <v>-28790</v>
      </c>
      <c r="F4621" s="3" t="s">
        <v>991</v>
      </c>
      <c r="G4621" s="3" t="s">
        <v>52</v>
      </c>
      <c r="H4621" s="2" t="s">
        <v>21</v>
      </c>
      <c r="I4621" s="2" t="s">
        <v>9320</v>
      </c>
      <c r="J4621" s="3" t="str">
        <f>HYPERLINK("https://www.boe.es/gazeta/dias/1821/03/04/pdfs/GGB-1821-63.pdf#page=2","Abrir facsímil")</f>
        <v>Abrir facsímil</v>
      </c>
      <c r="K4621" s="3" t="s">
        <v>23</v>
      </c>
    </row>
    <row r="4622" spans="1:11" ht="42" customHeight="1">
      <c r="A4622" s="2" t="s">
        <v>9321</v>
      </c>
      <c r="B4622" s="2" t="s">
        <v>9321</v>
      </c>
      <c r="C4622" s="2" t="s">
        <v>40</v>
      </c>
      <c r="D4622" s="2" t="s">
        <v>41</v>
      </c>
      <c r="E4622" s="5">
        <v>-28606</v>
      </c>
      <c r="F4622" s="3" t="s">
        <v>1799</v>
      </c>
      <c r="G4622" s="3" t="s">
        <v>52</v>
      </c>
      <c r="H4622" s="2" t="s">
        <v>21</v>
      </c>
      <c r="I4622" s="2" t="s">
        <v>9322</v>
      </c>
      <c r="J4622" s="3" t="str">
        <f>HYPERLINK("https://www.boe.es/gazeta/dias/1821/09/04/pdfs/GMD-1821-252.pdf#page=2","Abrir facsímil")</f>
        <v>Abrir facsímil</v>
      </c>
      <c r="K4622" s="3" t="s">
        <v>23</v>
      </c>
    </row>
    <row r="4623" spans="1:11" ht="42" customHeight="1">
      <c r="A4623" s="2" t="s">
        <v>9323</v>
      </c>
      <c r="B4623" s="2" t="s">
        <v>9324</v>
      </c>
      <c r="C4623" s="2" t="s">
        <v>35</v>
      </c>
      <c r="D4623" s="2" t="s">
        <v>27</v>
      </c>
      <c r="E4623" s="5">
        <v>-28654</v>
      </c>
      <c r="F4623" s="3" t="s">
        <v>674</v>
      </c>
      <c r="G4623" s="3" t="s">
        <v>20</v>
      </c>
      <c r="H4623" s="2" t="s">
        <v>21</v>
      </c>
      <c r="I4623" s="2" t="s">
        <v>9325</v>
      </c>
      <c r="J4623" s="3" t="str">
        <f>HYPERLINK("https://www.boe.es/gazeta/dias/1821/07/18/pdfs/GMD-1821-203.pdf#page=3","Abrir facsímil")</f>
        <v>Abrir facsímil</v>
      </c>
      <c r="K4623" s="3" t="s">
        <v>23</v>
      </c>
    </row>
    <row r="4624" spans="1:11" ht="42" customHeight="1">
      <c r="A4624" s="2" t="s">
        <v>9326</v>
      </c>
      <c r="B4624" s="2" t="s">
        <v>9326</v>
      </c>
      <c r="C4624" s="2" t="s">
        <v>40</v>
      </c>
      <c r="D4624" s="2" t="s">
        <v>41</v>
      </c>
      <c r="E4624" s="5">
        <v>-28543</v>
      </c>
      <c r="F4624" s="3" t="s">
        <v>136</v>
      </c>
      <c r="G4624" s="3" t="s">
        <v>162</v>
      </c>
      <c r="H4624" s="2" t="s">
        <v>21</v>
      </c>
      <c r="I4624" s="2" t="s">
        <v>9327</v>
      </c>
      <c r="J4624" s="3" t="str">
        <f>HYPERLINK("https://www.boe.es/gazeta/dias/1821/11/06/pdfs/GMD-1821-317.pdf#page=5","Abrir facsímil")</f>
        <v>Abrir facsímil</v>
      </c>
      <c r="K4624" s="3" t="s">
        <v>23</v>
      </c>
    </row>
    <row r="4625" spans="1:11" ht="42" customHeight="1">
      <c r="A4625" s="2" t="s">
        <v>9328</v>
      </c>
      <c r="B4625" s="2" t="s">
        <v>9328</v>
      </c>
      <c r="C4625" s="2" t="s">
        <v>17</v>
      </c>
      <c r="D4625" s="2" t="s">
        <v>18</v>
      </c>
      <c r="E4625" s="5">
        <v>-28501</v>
      </c>
      <c r="F4625" s="3" t="s">
        <v>456</v>
      </c>
      <c r="G4625" s="3" t="s">
        <v>52</v>
      </c>
      <c r="H4625" s="2" t="s">
        <v>21</v>
      </c>
      <c r="I4625" s="2" t="s">
        <v>9329</v>
      </c>
      <c r="J4625" s="3" t="str">
        <f>HYPERLINK("https://www.boe.es/gazeta/dias/1821/12/18/pdfs/GMD-1821-361.pdf#page=2","Abrir facsímil")</f>
        <v>Abrir facsímil</v>
      </c>
      <c r="K4625" s="3" t="s">
        <v>23</v>
      </c>
    </row>
    <row r="4626" spans="1:11" ht="42" customHeight="1">
      <c r="A4626" s="2" t="s">
        <v>9330</v>
      </c>
      <c r="B4626" s="2" t="s">
        <v>9330</v>
      </c>
      <c r="C4626" s="2" t="s">
        <v>17</v>
      </c>
      <c r="D4626" s="2" t="s">
        <v>18</v>
      </c>
      <c r="E4626" s="5">
        <v>-28746</v>
      </c>
      <c r="F4626" s="3" t="s">
        <v>687</v>
      </c>
      <c r="G4626" s="3" t="s">
        <v>52</v>
      </c>
      <c r="H4626" s="2" t="s">
        <v>21</v>
      </c>
      <c r="I4626" s="2" t="s">
        <v>9331</v>
      </c>
      <c r="J4626" s="3" t="str">
        <f>HYPERLINK("https://www.boe.es/gazeta/dias/1821/04/17/pdfs/GMD-1821-109.pdf#page=2","Abrir facsímil")</f>
        <v>Abrir facsímil</v>
      </c>
      <c r="K4626" s="3" t="s">
        <v>23</v>
      </c>
    </row>
    <row r="4627" spans="1:11" ht="42" customHeight="1">
      <c r="A4627" s="2" t="s">
        <v>9330</v>
      </c>
      <c r="B4627" s="2" t="s">
        <v>9330</v>
      </c>
      <c r="C4627" s="2" t="s">
        <v>17</v>
      </c>
      <c r="D4627" s="2" t="s">
        <v>18</v>
      </c>
      <c r="E4627" s="5">
        <v>-28642</v>
      </c>
      <c r="F4627" s="3" t="s">
        <v>734</v>
      </c>
      <c r="G4627" s="3" t="s">
        <v>43</v>
      </c>
      <c r="H4627" s="2" t="s">
        <v>21</v>
      </c>
      <c r="I4627" s="2" t="s">
        <v>9332</v>
      </c>
      <c r="J4627" s="3" t="str">
        <f>HYPERLINK("https://www.boe.es/gazeta/dias/1821/07/30/pdfs/GMD-1821-215.pdf#page=1","Abrir facsímil")</f>
        <v>Abrir facsímil</v>
      </c>
      <c r="K4627" s="3" t="s">
        <v>23</v>
      </c>
    </row>
    <row r="4628" spans="1:11" ht="42" customHeight="1">
      <c r="A4628" s="2" t="s">
        <v>9330</v>
      </c>
      <c r="B4628" s="2" t="s">
        <v>9330</v>
      </c>
      <c r="C4628" s="2" t="s">
        <v>17</v>
      </c>
      <c r="D4628" s="2" t="s">
        <v>18</v>
      </c>
      <c r="E4628" s="5">
        <v>-28501</v>
      </c>
      <c r="F4628" s="3" t="s">
        <v>456</v>
      </c>
      <c r="G4628" s="3" t="s">
        <v>52</v>
      </c>
      <c r="H4628" s="2" t="s">
        <v>21</v>
      </c>
      <c r="I4628" s="2" t="s">
        <v>9333</v>
      </c>
      <c r="J4628" s="3" t="str">
        <f>HYPERLINK("https://www.boe.es/gazeta/dias/1821/12/18/pdfs/GMD-1821-361.pdf#page=2","Abrir facsímil")</f>
        <v>Abrir facsímil</v>
      </c>
      <c r="K4628" s="3" t="s">
        <v>23</v>
      </c>
    </row>
    <row r="4629" spans="1:11" ht="42" customHeight="1">
      <c r="A4629" s="2" t="s">
        <v>9334</v>
      </c>
      <c r="B4629" s="2" t="s">
        <v>9334</v>
      </c>
      <c r="C4629" s="2" t="s">
        <v>17</v>
      </c>
      <c r="D4629" s="2" t="s">
        <v>18</v>
      </c>
      <c r="E4629" s="5">
        <v>-28772</v>
      </c>
      <c r="F4629" s="3" t="s">
        <v>62</v>
      </c>
      <c r="G4629" s="3" t="s">
        <v>43</v>
      </c>
      <c r="H4629" s="2" t="s">
        <v>21</v>
      </c>
      <c r="I4629" s="2" t="s">
        <v>9335</v>
      </c>
      <c r="J4629" s="3" t="str">
        <f>HYPERLINK("https://www.boe.es/gazeta/dias/1821/03/22/pdfs/GMD-1821-81.pdf#page=1","Abrir facsímil")</f>
        <v>Abrir facsímil</v>
      </c>
      <c r="K4629" s="3" t="s">
        <v>23</v>
      </c>
    </row>
    <row r="4630" spans="1:11" ht="42" customHeight="1">
      <c r="A4630" s="2" t="s">
        <v>9336</v>
      </c>
      <c r="B4630" s="2" t="s">
        <v>9337</v>
      </c>
      <c r="C4630" s="2" t="s">
        <v>114</v>
      </c>
      <c r="D4630" s="2" t="s">
        <v>27</v>
      </c>
      <c r="E4630" s="5">
        <v>-28565</v>
      </c>
      <c r="F4630" s="3" t="s">
        <v>326</v>
      </c>
      <c r="G4630" s="3" t="s">
        <v>29</v>
      </c>
      <c r="H4630" s="2" t="s">
        <v>30</v>
      </c>
      <c r="I4630" s="2" t="s">
        <v>9338</v>
      </c>
      <c r="J4630" s="3" t="str">
        <f>HYPERLINK("https://www.boe.es/gazeta/dias/1821/10/15/pdfs/GMD-1821-294.pdf#page=6","Abrir facsímil")</f>
        <v>Abrir facsímil</v>
      </c>
      <c r="K4630" s="3" t="s">
        <v>32</v>
      </c>
    </row>
    <row r="4631" spans="1:11" ht="42" customHeight="1">
      <c r="A4631" s="2" t="s">
        <v>9339</v>
      </c>
      <c r="B4631" s="2" t="s">
        <v>9340</v>
      </c>
      <c r="C4631" s="2" t="s">
        <v>26</v>
      </c>
      <c r="D4631" s="2" t="s">
        <v>27</v>
      </c>
      <c r="E4631" s="5">
        <v>-28691</v>
      </c>
      <c r="F4631" s="3" t="s">
        <v>716</v>
      </c>
      <c r="G4631" s="3" t="s">
        <v>52</v>
      </c>
      <c r="H4631" s="2" t="s">
        <v>21</v>
      </c>
      <c r="I4631" s="2" t="s">
        <v>9341</v>
      </c>
      <c r="J4631" s="3" t="str">
        <f>HYPERLINK("https://www.boe.es/gazeta/dias/1821/06/11/pdfs/GMD-1821-164.pdf#page=2","Abrir facsímil")</f>
        <v>Abrir facsímil</v>
      </c>
      <c r="K4631" s="3" t="s">
        <v>23</v>
      </c>
    </row>
    <row r="4632" spans="1:11" ht="42" customHeight="1">
      <c r="A4632" s="2" t="s">
        <v>9342</v>
      </c>
      <c r="B4632" s="2" t="s">
        <v>9343</v>
      </c>
      <c r="C4632" s="2" t="s">
        <v>35</v>
      </c>
      <c r="D4632" s="2" t="s">
        <v>27</v>
      </c>
      <c r="E4632" s="5">
        <v>-28710</v>
      </c>
      <c r="F4632" s="3" t="s">
        <v>375</v>
      </c>
      <c r="G4632" s="3" t="s">
        <v>52</v>
      </c>
      <c r="H4632" s="2" t="s">
        <v>21</v>
      </c>
      <c r="I4632" s="2" t="s">
        <v>9344</v>
      </c>
      <c r="J4632" s="3" t="str">
        <f>HYPERLINK("https://www.boe.es/gazeta/dias/1821/05/23/pdfs/GMD-1821-145.pdf#page=2","Abrir facsímil")</f>
        <v>Abrir facsímil</v>
      </c>
      <c r="K4632" s="3" t="s">
        <v>23</v>
      </c>
    </row>
    <row r="4633" spans="1:11" ht="42" customHeight="1">
      <c r="A4633" s="2" t="s">
        <v>9345</v>
      </c>
      <c r="B4633" s="2" t="s">
        <v>9346</v>
      </c>
      <c r="C4633" s="2" t="s">
        <v>26</v>
      </c>
      <c r="D4633" s="2" t="s">
        <v>27</v>
      </c>
      <c r="E4633" s="5">
        <v>-28620</v>
      </c>
      <c r="F4633" s="3" t="s">
        <v>87</v>
      </c>
      <c r="G4633" s="3" t="s">
        <v>88</v>
      </c>
      <c r="H4633" s="2" t="s">
        <v>21</v>
      </c>
      <c r="I4633" s="2" t="s">
        <v>9347</v>
      </c>
      <c r="J4633" s="3" t="str">
        <f>HYPERLINK("https://www.boe.es/gazeta/dias/1821/08/21/pdfs/GMD-1821-238.pdf#page=4","Abrir facsímil")</f>
        <v>Abrir facsímil</v>
      </c>
      <c r="K4633" s="3" t="s">
        <v>23</v>
      </c>
    </row>
    <row r="4634" spans="1:11" ht="42" customHeight="1">
      <c r="A4634" s="2" t="s">
        <v>9348</v>
      </c>
      <c r="B4634" s="2" t="s">
        <v>9349</v>
      </c>
      <c r="C4634" s="2" t="s">
        <v>35</v>
      </c>
      <c r="D4634" s="2" t="s">
        <v>27</v>
      </c>
      <c r="E4634" s="5">
        <v>-28712</v>
      </c>
      <c r="F4634" s="3" t="s">
        <v>695</v>
      </c>
      <c r="G4634" s="3" t="s">
        <v>20</v>
      </c>
      <c r="H4634" s="2" t="s">
        <v>21</v>
      </c>
      <c r="I4634" s="2" t="s">
        <v>9350</v>
      </c>
      <c r="J4634" s="3" t="str">
        <f>HYPERLINK("https://www.boe.es/gazeta/dias/1821/05/21/pdfs/GMD-1821-143.pdf#page=3","Abrir facsímil")</f>
        <v>Abrir facsímil</v>
      </c>
      <c r="K4634" s="3" t="s">
        <v>23</v>
      </c>
    </row>
    <row r="4635" spans="1:11" ht="42" customHeight="1">
      <c r="A4635" s="2" t="s">
        <v>9351</v>
      </c>
      <c r="B4635" s="2" t="s">
        <v>9351</v>
      </c>
      <c r="C4635" s="2" t="s">
        <v>40</v>
      </c>
      <c r="D4635" s="2" t="s">
        <v>41</v>
      </c>
      <c r="E4635" s="5">
        <v>-28775</v>
      </c>
      <c r="F4635" s="3" t="s">
        <v>132</v>
      </c>
      <c r="G4635" s="3" t="s">
        <v>52</v>
      </c>
      <c r="H4635" s="2" t="s">
        <v>21</v>
      </c>
      <c r="I4635" s="2" t="s">
        <v>9352</v>
      </c>
      <c r="J4635" s="3" t="str">
        <f>HYPERLINK("https://www.boe.es/gazeta/dias/1821/03/19/pdfs/GMD-1821-78.pdf#page=2","Abrir facsímil")</f>
        <v>Abrir facsímil</v>
      </c>
      <c r="K4635" s="3" t="s">
        <v>23</v>
      </c>
    </row>
    <row r="4636" spans="1:11" ht="42" customHeight="1">
      <c r="A4636" s="2" t="s">
        <v>9351</v>
      </c>
      <c r="B4636" s="2" t="s">
        <v>9351</v>
      </c>
      <c r="C4636" s="2" t="s">
        <v>40</v>
      </c>
      <c r="D4636" s="2" t="s">
        <v>41</v>
      </c>
      <c r="E4636" s="5">
        <v>-28716</v>
      </c>
      <c r="F4636" s="3" t="s">
        <v>842</v>
      </c>
      <c r="G4636" s="3" t="s">
        <v>52</v>
      </c>
      <c r="H4636" s="2" t="s">
        <v>21</v>
      </c>
      <c r="I4636" s="2" t="s">
        <v>9353</v>
      </c>
      <c r="J4636" s="3" t="str">
        <f>HYPERLINK("https://www.boe.es/gazeta/dias/1821/05/17/pdfs/GMD-1821-139.pdf#page=2","Abrir facsímil")</f>
        <v>Abrir facsímil</v>
      </c>
      <c r="K4636" s="3" t="s">
        <v>23</v>
      </c>
    </row>
    <row r="4637" spans="1:11" ht="42" customHeight="1">
      <c r="A4637" s="2" t="s">
        <v>9351</v>
      </c>
      <c r="B4637" s="2" t="s">
        <v>9351</v>
      </c>
      <c r="C4637" s="2" t="s">
        <v>40</v>
      </c>
      <c r="D4637" s="2" t="s">
        <v>41</v>
      </c>
      <c r="E4637" s="5">
        <v>-28527</v>
      </c>
      <c r="F4637" s="3" t="s">
        <v>328</v>
      </c>
      <c r="G4637" s="3" t="s">
        <v>88</v>
      </c>
      <c r="H4637" s="2" t="s">
        <v>21</v>
      </c>
      <c r="I4637" s="2" t="s">
        <v>9354</v>
      </c>
      <c r="J4637" s="3" t="str">
        <f>HYPERLINK("https://www.boe.es/gazeta/dias/1821/11/22/pdfs/GMD-1821-333.pdf#page=4","Abrir facsímil")</f>
        <v>Abrir facsímil</v>
      </c>
      <c r="K4637" s="3" t="s">
        <v>23</v>
      </c>
    </row>
    <row r="4638" spans="1:11" ht="42" customHeight="1">
      <c r="A4638" s="2" t="s">
        <v>9351</v>
      </c>
      <c r="B4638" s="2" t="s">
        <v>9351</v>
      </c>
      <c r="C4638" s="2" t="s">
        <v>40</v>
      </c>
      <c r="D4638" s="2" t="s">
        <v>41</v>
      </c>
      <c r="E4638" s="5">
        <v>-28517</v>
      </c>
      <c r="F4638" s="3" t="s">
        <v>563</v>
      </c>
      <c r="G4638" s="3" t="s">
        <v>52</v>
      </c>
      <c r="H4638" s="2" t="s">
        <v>21</v>
      </c>
      <c r="I4638" s="2" t="s">
        <v>9355</v>
      </c>
      <c r="J4638" s="3" t="str">
        <f>HYPERLINK("https://www.boe.es/gazeta/dias/1821/12/02/pdfs/GMD-1821-344.pdf#page=2","Abrir facsímil")</f>
        <v>Abrir facsímil</v>
      </c>
      <c r="K4638" s="3" t="s">
        <v>23</v>
      </c>
    </row>
    <row r="4639" spans="1:11" ht="42" customHeight="1">
      <c r="A4639" s="2" t="s">
        <v>9351</v>
      </c>
      <c r="B4639" s="2" t="s">
        <v>9351</v>
      </c>
      <c r="C4639" s="2" t="s">
        <v>40</v>
      </c>
      <c r="D4639" s="2" t="s">
        <v>41</v>
      </c>
      <c r="E4639" s="5">
        <v>-28510</v>
      </c>
      <c r="F4639" s="3" t="s">
        <v>83</v>
      </c>
      <c r="G4639" s="3" t="s">
        <v>88</v>
      </c>
      <c r="H4639" s="2" t="s">
        <v>21</v>
      </c>
      <c r="I4639" s="2" t="s">
        <v>9356</v>
      </c>
      <c r="J4639" s="3" t="str">
        <f>HYPERLINK("https://www.boe.es/gazeta/dias/1821/12/09/pdfs/GMD-1821-351.pdf#page=4","Abrir facsímil")</f>
        <v>Abrir facsímil</v>
      </c>
      <c r="K4639" s="3" t="s">
        <v>23</v>
      </c>
    </row>
    <row r="4640" spans="1:11" ht="42" customHeight="1">
      <c r="A4640" s="2" t="s">
        <v>9357</v>
      </c>
      <c r="B4640" s="2" t="s">
        <v>9358</v>
      </c>
      <c r="C4640" s="2" t="s">
        <v>40</v>
      </c>
      <c r="D4640" s="2" t="s">
        <v>41</v>
      </c>
      <c r="E4640" s="5">
        <v>-28718</v>
      </c>
      <c r="F4640" s="3" t="s">
        <v>583</v>
      </c>
      <c r="G4640" s="3" t="s">
        <v>20</v>
      </c>
      <c r="H4640" s="2" t="s">
        <v>21</v>
      </c>
      <c r="I4640" s="2" t="s">
        <v>9359</v>
      </c>
      <c r="J4640" s="3" t="str">
        <f>HYPERLINK("https://www.boe.es/gazeta/dias/1821/05/15/pdfs/GMD-1821-137.pdf#page=3","Abrir facsímil")</f>
        <v>Abrir facsímil</v>
      </c>
      <c r="K4640" s="3" t="s">
        <v>23</v>
      </c>
    </row>
    <row r="4641" spans="1:11" ht="42" customHeight="1">
      <c r="A4641" s="2" t="s">
        <v>9360</v>
      </c>
      <c r="B4641" s="2" t="s">
        <v>9361</v>
      </c>
      <c r="C4641" s="2" t="s">
        <v>40</v>
      </c>
      <c r="D4641" s="2" t="s">
        <v>41</v>
      </c>
      <c r="E4641" s="5">
        <v>-28572</v>
      </c>
      <c r="F4641" s="3" t="s">
        <v>1072</v>
      </c>
      <c r="G4641" s="3" t="s">
        <v>88</v>
      </c>
      <c r="H4641" s="2" t="s">
        <v>21</v>
      </c>
      <c r="I4641" s="2" t="s">
        <v>9362</v>
      </c>
      <c r="J4641" s="3" t="str">
        <f>HYPERLINK("https://www.boe.es/gazeta/dias/1821/10/08/pdfs/GMD-1821-287.pdf#page=4","Abrir facsímil")</f>
        <v>Abrir facsímil</v>
      </c>
      <c r="K4641" s="3" t="s">
        <v>23</v>
      </c>
    </row>
    <row r="4642" spans="1:11" ht="42" customHeight="1">
      <c r="A4642" s="2" t="s">
        <v>9363</v>
      </c>
      <c r="B4642" s="2" t="s">
        <v>9364</v>
      </c>
      <c r="C4642" s="2" t="s">
        <v>40</v>
      </c>
      <c r="D4642" s="2" t="s">
        <v>41</v>
      </c>
      <c r="E4642" s="5">
        <v>-28714</v>
      </c>
      <c r="F4642" s="3" t="s">
        <v>522</v>
      </c>
      <c r="G4642" s="3" t="s">
        <v>52</v>
      </c>
      <c r="H4642" s="2" t="s">
        <v>21</v>
      </c>
      <c r="I4642" s="2" t="s">
        <v>9365</v>
      </c>
      <c r="J4642" s="3" t="str">
        <f>HYPERLINK("https://www.boe.es/gazeta/dias/1821/05/19/pdfs/GMD-1821-141.pdf#page=2","Abrir facsímil")</f>
        <v>Abrir facsímil</v>
      </c>
      <c r="K4642" s="3" t="s">
        <v>23</v>
      </c>
    </row>
    <row r="4643" spans="1:11" ht="42" customHeight="1">
      <c r="A4643" s="2" t="s">
        <v>9366</v>
      </c>
      <c r="B4643" s="2" t="s">
        <v>9367</v>
      </c>
      <c r="C4643" s="2" t="s">
        <v>40</v>
      </c>
      <c r="D4643" s="2" t="s">
        <v>41</v>
      </c>
      <c r="E4643" s="5">
        <v>-28752</v>
      </c>
      <c r="F4643" s="3" t="s">
        <v>1012</v>
      </c>
      <c r="G4643" s="3" t="s">
        <v>52</v>
      </c>
      <c r="H4643" s="2" t="s">
        <v>21</v>
      </c>
      <c r="I4643" s="2" t="s">
        <v>9368</v>
      </c>
      <c r="J4643" s="3" t="str">
        <f>HYPERLINK("https://www.boe.es/gazeta/dias/1821/04/11/pdfs/GMD-1821-103.pdf#page=2","Abrir facsímil")</f>
        <v>Abrir facsímil</v>
      </c>
      <c r="K4643" s="3" t="s">
        <v>23</v>
      </c>
    </row>
    <row r="4644" spans="1:11" ht="42" customHeight="1">
      <c r="A4644" s="2" t="s">
        <v>9366</v>
      </c>
      <c r="B4644" s="2" t="s">
        <v>9367</v>
      </c>
      <c r="C4644" s="2" t="s">
        <v>40</v>
      </c>
      <c r="D4644" s="2" t="s">
        <v>41</v>
      </c>
      <c r="E4644" s="5">
        <v>-28737</v>
      </c>
      <c r="F4644" s="3" t="s">
        <v>732</v>
      </c>
      <c r="G4644" s="3" t="s">
        <v>52</v>
      </c>
      <c r="H4644" s="2" t="s">
        <v>21</v>
      </c>
      <c r="I4644" s="2" t="s">
        <v>9369</v>
      </c>
      <c r="J4644" s="3" t="str">
        <f>HYPERLINK("https://www.boe.es/gazeta/dias/1821/04/26/pdfs/GMD-1821-118.pdf#page=2","Abrir facsímil")</f>
        <v>Abrir facsímil</v>
      </c>
      <c r="K4644" s="3" t="s">
        <v>23</v>
      </c>
    </row>
    <row r="4645" spans="1:11" ht="42" customHeight="1">
      <c r="A4645" s="2" t="s">
        <v>9366</v>
      </c>
      <c r="B4645" s="2" t="s">
        <v>9367</v>
      </c>
      <c r="C4645" s="2" t="s">
        <v>40</v>
      </c>
      <c r="D4645" s="2" t="s">
        <v>41</v>
      </c>
      <c r="E4645" s="5">
        <v>-28716</v>
      </c>
      <c r="F4645" s="3" t="s">
        <v>842</v>
      </c>
      <c r="G4645" s="3" t="s">
        <v>52</v>
      </c>
      <c r="H4645" s="2" t="s">
        <v>21</v>
      </c>
      <c r="I4645" s="2" t="s">
        <v>9370</v>
      </c>
      <c r="J4645" s="3" t="str">
        <f>HYPERLINK("https://www.boe.es/gazeta/dias/1821/05/17/pdfs/GMD-1821-139.pdf#page=2","Abrir facsímil")</f>
        <v>Abrir facsímil</v>
      </c>
      <c r="K4645" s="3" t="s">
        <v>23</v>
      </c>
    </row>
    <row r="4646" spans="1:11" ht="42" customHeight="1">
      <c r="A4646" s="2" t="s">
        <v>9366</v>
      </c>
      <c r="B4646" s="2" t="s">
        <v>9367</v>
      </c>
      <c r="C4646" s="2" t="s">
        <v>40</v>
      </c>
      <c r="D4646" s="2" t="s">
        <v>41</v>
      </c>
      <c r="E4646" s="5">
        <v>-28578</v>
      </c>
      <c r="F4646" s="3" t="s">
        <v>899</v>
      </c>
      <c r="G4646" s="3" t="s">
        <v>52</v>
      </c>
      <c r="H4646" s="2" t="s">
        <v>21</v>
      </c>
      <c r="I4646" s="2" t="s">
        <v>9371</v>
      </c>
      <c r="J4646" s="3" t="str">
        <f>HYPERLINK("https://www.boe.es/gazeta/dias/1821/10/02/pdfs/GMD-1821-281.pdf#page=2","Abrir facsímil")</f>
        <v>Abrir facsímil</v>
      </c>
      <c r="K4646" s="3" t="s">
        <v>23</v>
      </c>
    </row>
    <row r="4647" spans="1:11" ht="42" customHeight="1">
      <c r="A4647" s="2" t="s">
        <v>9366</v>
      </c>
      <c r="B4647" s="2" t="s">
        <v>9367</v>
      </c>
      <c r="C4647" s="2" t="s">
        <v>40</v>
      </c>
      <c r="D4647" s="2" t="s">
        <v>41</v>
      </c>
      <c r="E4647" s="5">
        <v>-28576</v>
      </c>
      <c r="F4647" s="3" t="s">
        <v>1924</v>
      </c>
      <c r="G4647" s="3" t="s">
        <v>88</v>
      </c>
      <c r="H4647" s="2" t="s">
        <v>21</v>
      </c>
      <c r="I4647" s="2" t="s">
        <v>9372</v>
      </c>
      <c r="J4647" s="3" t="str">
        <f>HYPERLINK("https://www.boe.es/gazeta/dias/1821/10/04/pdfs/GMD-1821-283.pdf#page=4","Abrir facsímil")</f>
        <v>Abrir facsímil</v>
      </c>
      <c r="K4647" s="3" t="s">
        <v>23</v>
      </c>
    </row>
    <row r="4648" spans="1:11" ht="42" customHeight="1">
      <c r="A4648" s="2" t="s">
        <v>9366</v>
      </c>
      <c r="B4648" s="2" t="s">
        <v>9367</v>
      </c>
      <c r="C4648" s="2" t="s">
        <v>40</v>
      </c>
      <c r="D4648" s="2" t="s">
        <v>41</v>
      </c>
      <c r="E4648" s="5">
        <v>-28575</v>
      </c>
      <c r="F4648" s="3" t="s">
        <v>2453</v>
      </c>
      <c r="G4648" s="3" t="s">
        <v>20</v>
      </c>
      <c r="H4648" s="2" t="s">
        <v>21</v>
      </c>
      <c r="I4648" s="2" t="s">
        <v>9373</v>
      </c>
      <c r="J4648" s="3" t="str">
        <f>HYPERLINK("https://www.boe.es/gazeta/dias/1821/10/05/pdfs/GMD-1821-284.pdf#page=3","Abrir facsímil")</f>
        <v>Abrir facsímil</v>
      </c>
      <c r="K4648" s="3" t="s">
        <v>23</v>
      </c>
    </row>
    <row r="4649" spans="1:11" ht="42" customHeight="1">
      <c r="A4649" s="2" t="s">
        <v>9366</v>
      </c>
      <c r="B4649" s="2" t="s">
        <v>9367</v>
      </c>
      <c r="C4649" s="2" t="s">
        <v>40</v>
      </c>
      <c r="D4649" s="2" t="s">
        <v>41</v>
      </c>
      <c r="E4649" s="5">
        <v>-28570</v>
      </c>
      <c r="F4649" s="3" t="s">
        <v>2300</v>
      </c>
      <c r="G4649" s="3" t="s">
        <v>88</v>
      </c>
      <c r="H4649" s="2" t="s">
        <v>21</v>
      </c>
      <c r="I4649" s="2" t="s">
        <v>9374</v>
      </c>
      <c r="J4649" s="3" t="str">
        <f>HYPERLINK("https://www.boe.es/gazeta/dias/1821/10/10/pdfs/GMD-1821-289.pdf#page=4","Abrir facsímil")</f>
        <v>Abrir facsímil</v>
      </c>
      <c r="K4649" s="3" t="s">
        <v>23</v>
      </c>
    </row>
    <row r="4650" spans="1:11" ht="42" customHeight="1">
      <c r="A4650" s="2" t="s">
        <v>9366</v>
      </c>
      <c r="B4650" s="2" t="s">
        <v>9367</v>
      </c>
      <c r="C4650" s="2" t="s">
        <v>40</v>
      </c>
      <c r="D4650" s="2" t="s">
        <v>41</v>
      </c>
      <c r="E4650" s="5">
        <v>-28562</v>
      </c>
      <c r="F4650" s="3" t="s">
        <v>3093</v>
      </c>
      <c r="G4650" s="3" t="s">
        <v>29</v>
      </c>
      <c r="H4650" s="2" t="s">
        <v>21</v>
      </c>
      <c r="I4650" s="2" t="s">
        <v>9375</v>
      </c>
      <c r="J4650" s="3" t="str">
        <f>HYPERLINK("https://www.boe.es/gazeta/dias/1821/10/18/pdfs/GMD-1821-297.pdf#page=6","Abrir facsímil")</f>
        <v>Abrir facsímil</v>
      </c>
      <c r="K4650" s="3" t="s">
        <v>23</v>
      </c>
    </row>
    <row r="4651" spans="1:11" ht="42" customHeight="1">
      <c r="A4651" s="2" t="s">
        <v>9366</v>
      </c>
      <c r="B4651" s="2" t="s">
        <v>9367</v>
      </c>
      <c r="C4651" s="2" t="s">
        <v>40</v>
      </c>
      <c r="D4651" s="2" t="s">
        <v>41</v>
      </c>
      <c r="E4651" s="5">
        <v>-28535</v>
      </c>
      <c r="F4651" s="3" t="s">
        <v>96</v>
      </c>
      <c r="G4651" s="3" t="s">
        <v>88</v>
      </c>
      <c r="H4651" s="2" t="s">
        <v>21</v>
      </c>
      <c r="I4651" s="2" t="s">
        <v>9376</v>
      </c>
      <c r="J4651" s="3" t="str">
        <f>HYPERLINK("https://www.boe.es/gazeta/dias/1821/11/14/pdfs/GMD-1821-325.pdf#page=4","Abrir facsímil")</f>
        <v>Abrir facsímil</v>
      </c>
      <c r="K4651" s="3" t="s">
        <v>23</v>
      </c>
    </row>
    <row r="4652" spans="1:11" ht="42" customHeight="1">
      <c r="A4652" s="2" t="s">
        <v>9366</v>
      </c>
      <c r="B4652" s="2" t="s">
        <v>9367</v>
      </c>
      <c r="C4652" s="2" t="s">
        <v>40</v>
      </c>
      <c r="D4652" s="2" t="s">
        <v>41</v>
      </c>
      <c r="E4652" s="5">
        <v>-28511</v>
      </c>
      <c r="F4652" s="3" t="s">
        <v>340</v>
      </c>
      <c r="G4652" s="3" t="s">
        <v>20</v>
      </c>
      <c r="H4652" s="2" t="s">
        <v>21</v>
      </c>
      <c r="I4652" s="2" t="s">
        <v>9377</v>
      </c>
      <c r="J4652" s="3" t="str">
        <f>HYPERLINK("https://www.boe.es/gazeta/dias/1821/12/08/pdfs/GMD-1821-350.pdf#page=3","Abrir facsímil")</f>
        <v>Abrir facsímil</v>
      </c>
      <c r="K4652" s="3" t="s">
        <v>23</v>
      </c>
    </row>
    <row r="4653" spans="1:11" ht="42" customHeight="1">
      <c r="A4653" s="2" t="s">
        <v>9378</v>
      </c>
      <c r="B4653" s="2" t="s">
        <v>9379</v>
      </c>
      <c r="C4653" s="2" t="s">
        <v>40</v>
      </c>
      <c r="D4653" s="2" t="s">
        <v>41</v>
      </c>
      <c r="E4653" s="5">
        <v>-28528</v>
      </c>
      <c r="F4653" s="3" t="s">
        <v>1872</v>
      </c>
      <c r="G4653" s="3" t="s">
        <v>2209</v>
      </c>
      <c r="H4653" s="2" t="s">
        <v>21</v>
      </c>
      <c r="I4653" s="2" t="s">
        <v>9380</v>
      </c>
      <c r="J4653" s="3" t="str">
        <f>HYPERLINK("https://www.boe.es/gazeta/dias/1821/11/21/pdfs/GMD-1821-332.pdf#page=3","Abrir facsímil")</f>
        <v>Abrir facsímil</v>
      </c>
      <c r="K4653" s="3" t="s">
        <v>23</v>
      </c>
    </row>
    <row r="4654" spans="1:11" ht="42" customHeight="1">
      <c r="A4654" s="2" t="s">
        <v>9381</v>
      </c>
      <c r="B4654" s="2" t="s">
        <v>9382</v>
      </c>
      <c r="C4654" s="2" t="s">
        <v>40</v>
      </c>
      <c r="D4654" s="2" t="s">
        <v>41</v>
      </c>
      <c r="E4654" s="5">
        <v>-28577</v>
      </c>
      <c r="F4654" s="3" t="s">
        <v>858</v>
      </c>
      <c r="G4654" s="3" t="s">
        <v>20</v>
      </c>
      <c r="H4654" s="2" t="s">
        <v>21</v>
      </c>
      <c r="I4654" s="2" t="s">
        <v>9383</v>
      </c>
      <c r="J4654" s="3" t="str">
        <f>HYPERLINK("https://www.boe.es/gazeta/dias/1821/10/03/pdfs/GMD-1821-282.pdf#page=3","Abrir facsímil")</f>
        <v>Abrir facsímil</v>
      </c>
      <c r="K4654" s="3" t="s">
        <v>23</v>
      </c>
    </row>
    <row r="4655" spans="1:11" ht="42" customHeight="1">
      <c r="A4655" s="2" t="s">
        <v>9381</v>
      </c>
      <c r="B4655" s="2" t="s">
        <v>9382</v>
      </c>
      <c r="C4655" s="2" t="s">
        <v>40</v>
      </c>
      <c r="D4655" s="2" t="s">
        <v>41</v>
      </c>
      <c r="E4655" s="5">
        <v>-28495</v>
      </c>
      <c r="F4655" s="3" t="s">
        <v>227</v>
      </c>
      <c r="G4655" s="3" t="s">
        <v>333</v>
      </c>
      <c r="H4655" s="2" t="s">
        <v>21</v>
      </c>
      <c r="I4655" s="2" t="s">
        <v>9384</v>
      </c>
      <c r="J4655" s="3" t="str">
        <f>HYPERLINK("https://www.boe.es/gazeta/dias/1821/12/24/pdfs/GMD-1821-367.pdf#page=8","Abrir facsímil")</f>
        <v>Abrir facsímil</v>
      </c>
      <c r="K4655" s="3" t="s">
        <v>23</v>
      </c>
    </row>
    <row r="4656" spans="1:11" ht="42" customHeight="1">
      <c r="A4656" s="2" t="s">
        <v>9385</v>
      </c>
      <c r="B4656" s="2" t="s">
        <v>9386</v>
      </c>
      <c r="C4656" s="2" t="s">
        <v>40</v>
      </c>
      <c r="D4656" s="2" t="s">
        <v>41</v>
      </c>
      <c r="E4656" s="5">
        <v>-28667</v>
      </c>
      <c r="F4656" s="3" t="s">
        <v>107</v>
      </c>
      <c r="G4656" s="3" t="s">
        <v>20</v>
      </c>
      <c r="H4656" s="2" t="s">
        <v>21</v>
      </c>
      <c r="I4656" s="2" t="s">
        <v>9387</v>
      </c>
      <c r="J4656" s="3" t="str">
        <f>HYPERLINK("https://www.boe.es/gazeta/dias/1821/07/05/pdfs/GMD-1821-189.pdf#page=3","Abrir facsímil")</f>
        <v>Abrir facsímil</v>
      </c>
      <c r="K4656" s="3" t="s">
        <v>23</v>
      </c>
    </row>
    <row r="4657" spans="1:11" ht="42" customHeight="1">
      <c r="A4657" s="2" t="s">
        <v>9388</v>
      </c>
      <c r="B4657" s="2" t="s">
        <v>9389</v>
      </c>
      <c r="C4657" s="2" t="s">
        <v>40</v>
      </c>
      <c r="D4657" s="2" t="s">
        <v>41</v>
      </c>
      <c r="E4657" s="5">
        <v>-28750</v>
      </c>
      <c r="F4657" s="3" t="s">
        <v>917</v>
      </c>
      <c r="G4657" s="3" t="s">
        <v>88</v>
      </c>
      <c r="H4657" s="2" t="s">
        <v>30</v>
      </c>
      <c r="I4657" s="2" t="s">
        <v>9390</v>
      </c>
      <c r="J4657" s="3" t="str">
        <f>HYPERLINK("https://www.boe.es/gazeta/dias/1821/04/13/pdfs/GMD-1821-105.pdf#page=4","Abrir facsímil")</f>
        <v>Abrir facsímil</v>
      </c>
      <c r="K4657" s="3" t="s">
        <v>32</v>
      </c>
    </row>
    <row r="4658" spans="1:11" ht="42" customHeight="1">
      <c r="A4658" s="2" t="s">
        <v>9391</v>
      </c>
      <c r="B4658" s="2" t="s">
        <v>9392</v>
      </c>
      <c r="C4658" s="2" t="s">
        <v>40</v>
      </c>
      <c r="D4658" s="2" t="s">
        <v>41</v>
      </c>
      <c r="E4658" s="5">
        <v>-28541</v>
      </c>
      <c r="F4658" s="3" t="s">
        <v>275</v>
      </c>
      <c r="G4658" s="3" t="s">
        <v>29</v>
      </c>
      <c r="H4658" s="2" t="s">
        <v>21</v>
      </c>
      <c r="I4658" s="2" t="s">
        <v>9393</v>
      </c>
      <c r="J4658" s="3" t="str">
        <f>HYPERLINK("https://www.boe.es/gazeta/dias/1821/11/08/pdfs/GMD-1821-319.pdf#page=6","Abrir facsímil")</f>
        <v>Abrir facsímil</v>
      </c>
      <c r="K4658" s="3" t="s">
        <v>23</v>
      </c>
    </row>
    <row r="4659" spans="1:11" ht="42" customHeight="1">
      <c r="A4659" s="2" t="s">
        <v>9394</v>
      </c>
      <c r="B4659" s="2" t="s">
        <v>9395</v>
      </c>
      <c r="C4659" s="2" t="s">
        <v>40</v>
      </c>
      <c r="D4659" s="2" t="s">
        <v>41</v>
      </c>
      <c r="E4659" s="5">
        <v>-28667</v>
      </c>
      <c r="F4659" s="3" t="s">
        <v>107</v>
      </c>
      <c r="G4659" s="3" t="s">
        <v>52</v>
      </c>
      <c r="H4659" s="2" t="s">
        <v>21</v>
      </c>
      <c r="I4659" s="2" t="s">
        <v>9396</v>
      </c>
      <c r="J4659" s="3" t="str">
        <f>HYPERLINK("https://www.boe.es/gazeta/dias/1821/07/05/pdfs/GMD-1821-189.pdf#page=2","Abrir facsímil")</f>
        <v>Abrir facsímil</v>
      </c>
      <c r="K4659" s="3" t="s">
        <v>23</v>
      </c>
    </row>
    <row r="4660" spans="1:11" ht="42" customHeight="1">
      <c r="A4660" s="2" t="s">
        <v>9397</v>
      </c>
      <c r="B4660" s="2" t="s">
        <v>9398</v>
      </c>
      <c r="C4660" s="2" t="s">
        <v>40</v>
      </c>
      <c r="D4660" s="2" t="s">
        <v>41</v>
      </c>
      <c r="E4660" s="5">
        <v>-28824</v>
      </c>
      <c r="F4660" s="3" t="s">
        <v>1227</v>
      </c>
      <c r="G4660" s="3" t="s">
        <v>20</v>
      </c>
      <c r="H4660" s="2" t="s">
        <v>21</v>
      </c>
      <c r="I4660" s="2" t="s">
        <v>9399</v>
      </c>
      <c r="J4660" s="3" t="str">
        <f>HYPERLINK("https://www.boe.es/gazeta/dias/1821/01/29/pdfs/GGB-1821-29.pdf#page=3","Abrir facsímil")</f>
        <v>Abrir facsímil</v>
      </c>
      <c r="K4660" s="3" t="s">
        <v>23</v>
      </c>
    </row>
    <row r="4661" spans="1:11" ht="42" customHeight="1">
      <c r="A4661" s="2" t="s">
        <v>9400</v>
      </c>
      <c r="B4661" s="2" t="s">
        <v>9401</v>
      </c>
      <c r="C4661" s="2" t="s">
        <v>40</v>
      </c>
      <c r="D4661" s="2" t="s">
        <v>41</v>
      </c>
      <c r="E4661" s="5">
        <v>-28518</v>
      </c>
      <c r="F4661" s="3" t="s">
        <v>410</v>
      </c>
      <c r="G4661" s="3" t="s">
        <v>29</v>
      </c>
      <c r="H4661" s="2" t="s">
        <v>21</v>
      </c>
      <c r="I4661" s="2" t="s">
        <v>9402</v>
      </c>
      <c r="J4661" s="3" t="str">
        <f>HYPERLINK("https://www.boe.es/gazeta/dias/1821/12/01/pdfs/GMD-1821-343.pdf#page=6","Abrir facsímil")</f>
        <v>Abrir facsímil</v>
      </c>
      <c r="K4661" s="3" t="s">
        <v>23</v>
      </c>
    </row>
    <row r="4662" spans="1:11" ht="42" customHeight="1">
      <c r="A4662" s="2" t="s">
        <v>9403</v>
      </c>
      <c r="B4662" s="2" t="s">
        <v>9404</v>
      </c>
      <c r="C4662" s="2" t="s">
        <v>40</v>
      </c>
      <c r="D4662" s="2" t="s">
        <v>41</v>
      </c>
      <c r="E4662" s="5">
        <v>-28677</v>
      </c>
      <c r="F4662" s="3" t="s">
        <v>361</v>
      </c>
      <c r="G4662" s="3" t="s">
        <v>88</v>
      </c>
      <c r="H4662" s="2" t="s">
        <v>30</v>
      </c>
      <c r="I4662" s="2" t="s">
        <v>9405</v>
      </c>
      <c r="J4662" s="3" t="str">
        <f>HYPERLINK("https://www.boe.es/gazeta/dias/1821/06/25/pdfs/GMD-1821-178.pdf#page=4","Abrir facsímil")</f>
        <v>Abrir facsímil</v>
      </c>
      <c r="K4662" s="3" t="s">
        <v>32</v>
      </c>
    </row>
    <row r="4663" spans="1:11" ht="42" customHeight="1">
      <c r="A4663" s="2" t="s">
        <v>9406</v>
      </c>
      <c r="B4663" s="2" t="s">
        <v>9407</v>
      </c>
      <c r="C4663" s="2" t="s">
        <v>40</v>
      </c>
      <c r="D4663" s="2" t="s">
        <v>41</v>
      </c>
      <c r="E4663" s="5">
        <v>-28790</v>
      </c>
      <c r="F4663" s="3" t="s">
        <v>991</v>
      </c>
      <c r="G4663" s="3" t="s">
        <v>88</v>
      </c>
      <c r="H4663" s="2" t="s">
        <v>21</v>
      </c>
      <c r="I4663" s="2" t="s">
        <v>9408</v>
      </c>
      <c r="J4663" s="3" t="str">
        <f>HYPERLINK("https://www.boe.es/gazeta/dias/1821/03/04/pdfs/GGB-1821-63.pdf#page=4","Abrir facsímil")</f>
        <v>Abrir facsímil</v>
      </c>
      <c r="K4663" s="3" t="s">
        <v>23</v>
      </c>
    </row>
    <row r="4664" spans="1:11" ht="42" customHeight="1">
      <c r="A4664" s="2" t="s">
        <v>9406</v>
      </c>
      <c r="B4664" s="2" t="s">
        <v>9407</v>
      </c>
      <c r="C4664" s="2" t="s">
        <v>40</v>
      </c>
      <c r="D4664" s="2" t="s">
        <v>41</v>
      </c>
      <c r="E4664" s="5">
        <v>-28787</v>
      </c>
      <c r="F4664" s="3" t="s">
        <v>486</v>
      </c>
      <c r="G4664" s="3" t="s">
        <v>20</v>
      </c>
      <c r="H4664" s="2" t="s">
        <v>21</v>
      </c>
      <c r="I4664" s="2" t="s">
        <v>9409</v>
      </c>
      <c r="J4664" s="3" t="str">
        <f>HYPERLINK("https://www.boe.es/gazeta/dias/1821/03/07/pdfs/GGB-1821-66.pdf#page=3","Abrir facsímil")</f>
        <v>Abrir facsímil</v>
      </c>
      <c r="K4664" s="3" t="s">
        <v>23</v>
      </c>
    </row>
    <row r="4665" spans="1:11" ht="42" customHeight="1">
      <c r="A4665" s="2" t="s">
        <v>9406</v>
      </c>
      <c r="B4665" s="2" t="s">
        <v>9407</v>
      </c>
      <c r="C4665" s="2" t="s">
        <v>40</v>
      </c>
      <c r="D4665" s="2" t="s">
        <v>41</v>
      </c>
      <c r="E4665" s="5">
        <v>-28785</v>
      </c>
      <c r="F4665" s="3" t="s">
        <v>1935</v>
      </c>
      <c r="G4665" s="3" t="s">
        <v>20</v>
      </c>
      <c r="H4665" s="2" t="s">
        <v>21</v>
      </c>
      <c r="I4665" s="2" t="s">
        <v>9410</v>
      </c>
      <c r="J4665" s="3" t="str">
        <f>HYPERLINK("https://www.boe.es/gazeta/dias/1821/03/09/pdfs/GGB-1821-68.pdf#page=3","Abrir facsímil")</f>
        <v>Abrir facsímil</v>
      </c>
      <c r="K4665" s="3" t="s">
        <v>23</v>
      </c>
    </row>
    <row r="4666" spans="1:11" ht="42" customHeight="1">
      <c r="A4666" s="2" t="s">
        <v>9406</v>
      </c>
      <c r="B4666" s="2" t="s">
        <v>9407</v>
      </c>
      <c r="C4666" s="2" t="s">
        <v>40</v>
      </c>
      <c r="D4666" s="2" t="s">
        <v>41</v>
      </c>
      <c r="E4666" s="5">
        <v>-28783</v>
      </c>
      <c r="F4666" s="3" t="s">
        <v>198</v>
      </c>
      <c r="G4666" s="3" t="s">
        <v>88</v>
      </c>
      <c r="H4666" s="2" t="s">
        <v>21</v>
      </c>
      <c r="I4666" s="2" t="s">
        <v>9411</v>
      </c>
      <c r="J4666" s="3" t="str">
        <f>HYPERLINK("https://www.boe.es/gazeta/dias/1821/03/11/pdfs/GGB-1821-70.pdf#page=4","Abrir facsímil")</f>
        <v>Abrir facsímil</v>
      </c>
      <c r="K4666" s="3" t="s">
        <v>23</v>
      </c>
    </row>
    <row r="4667" spans="1:11" ht="42" customHeight="1">
      <c r="A4667" s="2" t="s">
        <v>9406</v>
      </c>
      <c r="B4667" s="2" t="s">
        <v>9407</v>
      </c>
      <c r="C4667" s="2" t="s">
        <v>40</v>
      </c>
      <c r="D4667" s="2" t="s">
        <v>41</v>
      </c>
      <c r="E4667" s="5">
        <v>-28781</v>
      </c>
      <c r="F4667" s="3" t="s">
        <v>149</v>
      </c>
      <c r="G4667" s="3" t="s">
        <v>88</v>
      </c>
      <c r="H4667" s="2" t="s">
        <v>21</v>
      </c>
      <c r="I4667" s="2" t="s">
        <v>9412</v>
      </c>
      <c r="J4667" s="3" t="str">
        <f>HYPERLINK("https://www.boe.es/gazeta/dias/1821/03/13/pdfs/GMD-1821-72.pdf#page=4","Abrir facsímil")</f>
        <v>Abrir facsímil</v>
      </c>
      <c r="K4667" s="3" t="s">
        <v>23</v>
      </c>
    </row>
    <row r="4668" spans="1:11" ht="42" customHeight="1">
      <c r="A4668" s="2" t="s">
        <v>9406</v>
      </c>
      <c r="B4668" s="2" t="s">
        <v>9407</v>
      </c>
      <c r="C4668" s="2" t="s">
        <v>40</v>
      </c>
      <c r="D4668" s="2" t="s">
        <v>41</v>
      </c>
      <c r="E4668" s="5">
        <v>-28780</v>
      </c>
      <c r="F4668" s="3" t="s">
        <v>143</v>
      </c>
      <c r="G4668" s="3" t="s">
        <v>52</v>
      </c>
      <c r="H4668" s="2" t="s">
        <v>21</v>
      </c>
      <c r="I4668" s="2" t="s">
        <v>9413</v>
      </c>
      <c r="J4668" s="3" t="str">
        <f>HYPERLINK("https://www.boe.es/gazeta/dias/1821/03/14/pdfs/GMD-1821-73.pdf#page=2","Abrir facsímil")</f>
        <v>Abrir facsímil</v>
      </c>
      <c r="K4668" s="3" t="s">
        <v>23</v>
      </c>
    </row>
    <row r="4669" spans="1:11" ht="42" customHeight="1">
      <c r="A4669" s="2" t="s">
        <v>9406</v>
      </c>
      <c r="B4669" s="2" t="s">
        <v>9407</v>
      </c>
      <c r="C4669" s="2" t="s">
        <v>40</v>
      </c>
      <c r="D4669" s="2" t="s">
        <v>41</v>
      </c>
      <c r="E4669" s="5">
        <v>-28779</v>
      </c>
      <c r="F4669" s="3" t="s">
        <v>1002</v>
      </c>
      <c r="G4669" s="3" t="s">
        <v>20</v>
      </c>
      <c r="H4669" s="2" t="s">
        <v>21</v>
      </c>
      <c r="I4669" s="2" t="s">
        <v>9414</v>
      </c>
      <c r="J4669" s="3" t="str">
        <f>HYPERLINK("https://www.boe.es/gazeta/dias/1821/03/15/pdfs/GMD-1821-74.pdf#page=3","Abrir facsímil")</f>
        <v>Abrir facsímil</v>
      </c>
      <c r="K4669" s="3" t="s">
        <v>23</v>
      </c>
    </row>
    <row r="4670" spans="1:11" ht="42" customHeight="1">
      <c r="A4670" s="2" t="s">
        <v>9406</v>
      </c>
      <c r="B4670" s="2" t="s">
        <v>9407</v>
      </c>
      <c r="C4670" s="2" t="s">
        <v>40</v>
      </c>
      <c r="D4670" s="2" t="s">
        <v>41</v>
      </c>
      <c r="E4670" s="5">
        <v>-28778</v>
      </c>
      <c r="F4670" s="3" t="s">
        <v>1301</v>
      </c>
      <c r="G4670" s="3" t="s">
        <v>88</v>
      </c>
      <c r="H4670" s="2" t="s">
        <v>21</v>
      </c>
      <c r="I4670" s="2" t="s">
        <v>9415</v>
      </c>
      <c r="J4670" s="3" t="str">
        <f>HYPERLINK("https://www.boe.es/gazeta/dias/1821/03/16/pdfs/GMD-1821-75.pdf#page=4","Abrir facsímil")</f>
        <v>Abrir facsímil</v>
      </c>
      <c r="K4670" s="3" t="s">
        <v>23</v>
      </c>
    </row>
    <row r="4671" spans="1:11" ht="42" customHeight="1">
      <c r="A4671" s="2" t="s">
        <v>9406</v>
      </c>
      <c r="B4671" s="2" t="s">
        <v>9407</v>
      </c>
      <c r="C4671" s="2" t="s">
        <v>40</v>
      </c>
      <c r="D4671" s="2" t="s">
        <v>41</v>
      </c>
      <c r="E4671" s="5">
        <v>-28776</v>
      </c>
      <c r="F4671" s="3" t="s">
        <v>312</v>
      </c>
      <c r="G4671" s="3" t="s">
        <v>20</v>
      </c>
      <c r="H4671" s="2" t="s">
        <v>21</v>
      </c>
      <c r="I4671" s="2" t="s">
        <v>9416</v>
      </c>
      <c r="J4671" s="3" t="str">
        <f>HYPERLINK("https://www.boe.es/gazeta/dias/1821/03/18/pdfs/GMD-1821-77.pdf#page=3","Abrir facsímil")</f>
        <v>Abrir facsímil</v>
      </c>
      <c r="K4671" s="3" t="s">
        <v>23</v>
      </c>
    </row>
    <row r="4672" spans="1:11" ht="42" customHeight="1">
      <c r="A4672" s="2" t="s">
        <v>9406</v>
      </c>
      <c r="B4672" s="2" t="s">
        <v>9407</v>
      </c>
      <c r="C4672" s="2" t="s">
        <v>40</v>
      </c>
      <c r="D4672" s="2" t="s">
        <v>41</v>
      </c>
      <c r="E4672" s="5">
        <v>-28774</v>
      </c>
      <c r="F4672" s="3" t="s">
        <v>1221</v>
      </c>
      <c r="G4672" s="3" t="s">
        <v>20</v>
      </c>
      <c r="H4672" s="2" t="s">
        <v>21</v>
      </c>
      <c r="I4672" s="2" t="s">
        <v>9417</v>
      </c>
      <c r="J4672" s="3" t="str">
        <f>HYPERLINK("https://www.boe.es/gazeta/dias/1821/03/20/pdfs/GMD-1821-79.pdf#page=3","Abrir facsímil")</f>
        <v>Abrir facsímil</v>
      </c>
      <c r="K4672" s="3" t="s">
        <v>23</v>
      </c>
    </row>
    <row r="4673" spans="1:11" ht="42" customHeight="1">
      <c r="A4673" s="2" t="s">
        <v>9406</v>
      </c>
      <c r="B4673" s="2" t="s">
        <v>9407</v>
      </c>
      <c r="C4673" s="2" t="s">
        <v>40</v>
      </c>
      <c r="D4673" s="2" t="s">
        <v>41</v>
      </c>
      <c r="E4673" s="5">
        <v>-28772</v>
      </c>
      <c r="F4673" s="3" t="s">
        <v>62</v>
      </c>
      <c r="G4673" s="3" t="s">
        <v>20</v>
      </c>
      <c r="H4673" s="2" t="s">
        <v>21</v>
      </c>
      <c r="I4673" s="2" t="s">
        <v>9418</v>
      </c>
      <c r="J4673" s="3" t="str">
        <f>HYPERLINK("https://www.boe.es/gazeta/dias/1821/03/22/pdfs/GMD-1821-81.pdf#page=3","Abrir facsímil")</f>
        <v>Abrir facsímil</v>
      </c>
      <c r="K4673" s="3" t="s">
        <v>23</v>
      </c>
    </row>
    <row r="4674" spans="1:11" ht="42" customHeight="1">
      <c r="A4674" s="2" t="s">
        <v>9406</v>
      </c>
      <c r="B4674" s="2" t="s">
        <v>9407</v>
      </c>
      <c r="C4674" s="2" t="s">
        <v>40</v>
      </c>
      <c r="D4674" s="2" t="s">
        <v>41</v>
      </c>
      <c r="E4674" s="5">
        <v>-28772</v>
      </c>
      <c r="F4674" s="3" t="s">
        <v>62</v>
      </c>
      <c r="G4674" s="3" t="s">
        <v>88</v>
      </c>
      <c r="H4674" s="2" t="s">
        <v>21</v>
      </c>
      <c r="I4674" s="2" t="s">
        <v>9419</v>
      </c>
      <c r="J4674" s="3" t="str">
        <f>HYPERLINK("https://www.boe.es/gazeta/dias/1821/03/22/pdfs/GMD-1821-81.pdf#page=4","Abrir facsímil")</f>
        <v>Abrir facsímil</v>
      </c>
      <c r="K4674" s="3" t="s">
        <v>23</v>
      </c>
    </row>
    <row r="4675" spans="1:11" ht="42" customHeight="1">
      <c r="A4675" s="2" t="s">
        <v>9406</v>
      </c>
      <c r="B4675" s="2" t="s">
        <v>9407</v>
      </c>
      <c r="C4675" s="2" t="s">
        <v>40</v>
      </c>
      <c r="D4675" s="2" t="s">
        <v>41</v>
      </c>
      <c r="E4675" s="5">
        <v>-28771</v>
      </c>
      <c r="F4675" s="3" t="s">
        <v>110</v>
      </c>
      <c r="G4675" s="3" t="s">
        <v>88</v>
      </c>
      <c r="H4675" s="2" t="s">
        <v>21</v>
      </c>
      <c r="I4675" s="2" t="s">
        <v>9420</v>
      </c>
      <c r="J4675" s="3" t="str">
        <f>HYPERLINK("https://www.boe.es/gazeta/dias/1821/03/23/pdfs/GMD-1821-83.pdf#page=4","Abrir facsímil")</f>
        <v>Abrir facsímil</v>
      </c>
      <c r="K4675" s="3" t="s">
        <v>23</v>
      </c>
    </row>
    <row r="4676" spans="1:11" ht="42" customHeight="1">
      <c r="A4676" s="2" t="s">
        <v>9406</v>
      </c>
      <c r="B4676" s="2" t="s">
        <v>9407</v>
      </c>
      <c r="C4676" s="2" t="s">
        <v>40</v>
      </c>
      <c r="D4676" s="2" t="s">
        <v>41</v>
      </c>
      <c r="E4676" s="5">
        <v>-28768</v>
      </c>
      <c r="F4676" s="3" t="s">
        <v>1114</v>
      </c>
      <c r="G4676" s="3" t="s">
        <v>20</v>
      </c>
      <c r="H4676" s="2" t="s">
        <v>21</v>
      </c>
      <c r="I4676" s="2" t="s">
        <v>9421</v>
      </c>
      <c r="J4676" s="3" t="str">
        <f>HYPERLINK("https://www.boe.es/gazeta/dias/1821/03/26/pdfs/GMD-1821-86.pdf#page=3","Abrir facsímil")</f>
        <v>Abrir facsímil</v>
      </c>
      <c r="K4676" s="3" t="s">
        <v>23</v>
      </c>
    </row>
    <row r="4677" spans="1:11" ht="42" customHeight="1">
      <c r="A4677" s="2" t="s">
        <v>9406</v>
      </c>
      <c r="B4677" s="2" t="s">
        <v>9407</v>
      </c>
      <c r="C4677" s="2" t="s">
        <v>40</v>
      </c>
      <c r="D4677" s="2" t="s">
        <v>41</v>
      </c>
      <c r="E4677" s="5">
        <v>-28762</v>
      </c>
      <c r="F4677" s="3" t="s">
        <v>608</v>
      </c>
      <c r="G4677" s="3" t="s">
        <v>162</v>
      </c>
      <c r="H4677" s="2" t="s">
        <v>21</v>
      </c>
      <c r="I4677" s="2" t="s">
        <v>9422</v>
      </c>
      <c r="J4677" s="3" t="str">
        <f>HYPERLINK("https://www.boe.es/gazeta/dias/1821/04/01/pdfs/GMD-1821-93.pdf#page=5","Abrir facsímil")</f>
        <v>Abrir facsímil</v>
      </c>
      <c r="K4677" s="3" t="s">
        <v>23</v>
      </c>
    </row>
    <row r="4678" spans="1:11" ht="42" customHeight="1">
      <c r="A4678" s="2" t="s">
        <v>9406</v>
      </c>
      <c r="B4678" s="2" t="s">
        <v>9407</v>
      </c>
      <c r="C4678" s="2" t="s">
        <v>40</v>
      </c>
      <c r="D4678" s="2" t="s">
        <v>41</v>
      </c>
      <c r="E4678" s="5">
        <v>-28760</v>
      </c>
      <c r="F4678" s="3" t="s">
        <v>170</v>
      </c>
      <c r="G4678" s="3" t="s">
        <v>52</v>
      </c>
      <c r="H4678" s="2" t="s">
        <v>21</v>
      </c>
      <c r="I4678" s="2" t="s">
        <v>9423</v>
      </c>
      <c r="J4678" s="3" t="str">
        <f>HYPERLINK("https://www.boe.es/gazeta/dias/1821/04/03/pdfs/GMD-1821-95.pdf#page=2","Abrir facsímil")</f>
        <v>Abrir facsímil</v>
      </c>
      <c r="K4678" s="3" t="s">
        <v>23</v>
      </c>
    </row>
    <row r="4679" spans="1:11" ht="42" customHeight="1">
      <c r="A4679" s="2" t="s">
        <v>9406</v>
      </c>
      <c r="B4679" s="2" t="s">
        <v>9407</v>
      </c>
      <c r="C4679" s="2" t="s">
        <v>40</v>
      </c>
      <c r="D4679" s="2" t="s">
        <v>41</v>
      </c>
      <c r="E4679" s="5">
        <v>-28758</v>
      </c>
      <c r="F4679" s="3" t="s">
        <v>4115</v>
      </c>
      <c r="G4679" s="3" t="s">
        <v>52</v>
      </c>
      <c r="H4679" s="2" t="s">
        <v>21</v>
      </c>
      <c r="I4679" s="2" t="s">
        <v>9424</v>
      </c>
      <c r="J4679" s="3" t="str">
        <f>HYPERLINK("https://www.boe.es/gazeta/dias/1821/04/05/pdfs/GMD-1821-97.pdf#page=2","Abrir facsímil")</f>
        <v>Abrir facsímil</v>
      </c>
      <c r="K4679" s="3" t="s">
        <v>23</v>
      </c>
    </row>
    <row r="4680" spans="1:11" ht="42" customHeight="1">
      <c r="A4680" s="2" t="s">
        <v>9425</v>
      </c>
      <c r="B4680" s="2" t="s">
        <v>9426</v>
      </c>
      <c r="C4680" s="2" t="s">
        <v>40</v>
      </c>
      <c r="D4680" s="2" t="s">
        <v>41</v>
      </c>
      <c r="E4680" s="5">
        <v>-28758</v>
      </c>
      <c r="F4680" s="3" t="s">
        <v>4115</v>
      </c>
      <c r="G4680" s="3" t="s">
        <v>20</v>
      </c>
      <c r="H4680" s="2" t="s">
        <v>21</v>
      </c>
      <c r="I4680" s="2" t="s">
        <v>9427</v>
      </c>
      <c r="J4680" s="3" t="str">
        <f>HYPERLINK("https://www.boe.es/gazeta/dias/1821/04/05/pdfs/GMD-1821-97.pdf#page=3","Abrir facsímil")</f>
        <v>Abrir facsímil</v>
      </c>
      <c r="K4680" s="3" t="s">
        <v>23</v>
      </c>
    </row>
    <row r="4681" spans="1:11" ht="42" customHeight="1">
      <c r="A4681" s="2" t="s">
        <v>9406</v>
      </c>
      <c r="B4681" s="2" t="s">
        <v>9407</v>
      </c>
      <c r="C4681" s="2" t="s">
        <v>40</v>
      </c>
      <c r="D4681" s="2" t="s">
        <v>41</v>
      </c>
      <c r="E4681" s="5">
        <v>-28757</v>
      </c>
      <c r="F4681" s="3" t="s">
        <v>472</v>
      </c>
      <c r="G4681" s="3" t="s">
        <v>20</v>
      </c>
      <c r="H4681" s="2" t="s">
        <v>21</v>
      </c>
      <c r="I4681" s="2" t="s">
        <v>9428</v>
      </c>
      <c r="J4681" s="3" t="str">
        <f>HYPERLINK("https://www.boe.es/gazeta/dias/1821/04/06/pdfs/GMD-1821-98.pdf#page=3","Abrir facsímil")</f>
        <v>Abrir facsímil</v>
      </c>
      <c r="K4681" s="3" t="s">
        <v>23</v>
      </c>
    </row>
    <row r="4682" spans="1:11" ht="42" customHeight="1">
      <c r="A4682" s="2" t="s">
        <v>9406</v>
      </c>
      <c r="B4682" s="2" t="s">
        <v>9407</v>
      </c>
      <c r="C4682" s="2" t="s">
        <v>40</v>
      </c>
      <c r="D4682" s="2" t="s">
        <v>41</v>
      </c>
      <c r="E4682" s="5">
        <v>-28756</v>
      </c>
      <c r="F4682" s="3" t="s">
        <v>3145</v>
      </c>
      <c r="G4682" s="3" t="s">
        <v>7553</v>
      </c>
      <c r="H4682" s="2" t="s">
        <v>21</v>
      </c>
      <c r="I4682" s="2" t="s">
        <v>9429</v>
      </c>
      <c r="J4682" s="3" t="str">
        <f>HYPERLINK("https://www.boe.es/gazeta/dias/1821/04/07/pdfs/GMD-1821-99.pdf#page=4","Abrir facsímil")</f>
        <v>Abrir facsímil</v>
      </c>
      <c r="K4682" s="3" t="s">
        <v>23</v>
      </c>
    </row>
    <row r="4683" spans="1:11" ht="42" customHeight="1">
      <c r="A4683" s="2" t="s">
        <v>9406</v>
      </c>
      <c r="B4683" s="2" t="s">
        <v>9407</v>
      </c>
      <c r="C4683" s="2" t="s">
        <v>40</v>
      </c>
      <c r="D4683" s="2" t="s">
        <v>41</v>
      </c>
      <c r="E4683" s="5">
        <v>-28756</v>
      </c>
      <c r="F4683" s="3" t="s">
        <v>3145</v>
      </c>
      <c r="G4683" s="3" t="s">
        <v>20</v>
      </c>
      <c r="H4683" s="2" t="s">
        <v>21</v>
      </c>
      <c r="I4683" s="2" t="s">
        <v>9430</v>
      </c>
      <c r="J4683" s="3" t="str">
        <f>HYPERLINK("https://www.boe.es/gazeta/dias/1821/04/07/pdfs/GMD-1821-99.pdf#page=3","Abrir facsímil")</f>
        <v>Abrir facsímil</v>
      </c>
      <c r="K4683" s="3" t="s">
        <v>23</v>
      </c>
    </row>
    <row r="4684" spans="1:11" ht="42" customHeight="1">
      <c r="A4684" s="2" t="s">
        <v>9406</v>
      </c>
      <c r="B4684" s="2" t="s">
        <v>9407</v>
      </c>
      <c r="C4684" s="2" t="s">
        <v>40</v>
      </c>
      <c r="D4684" s="2" t="s">
        <v>41</v>
      </c>
      <c r="E4684" s="5">
        <v>-28754</v>
      </c>
      <c r="F4684" s="3" t="s">
        <v>1942</v>
      </c>
      <c r="G4684" s="3" t="s">
        <v>52</v>
      </c>
      <c r="H4684" s="2" t="s">
        <v>21</v>
      </c>
      <c r="I4684" s="2" t="s">
        <v>9431</v>
      </c>
      <c r="J4684" s="3" t="str">
        <f>HYPERLINK("https://www.boe.es/gazeta/dias/1821/04/09/pdfs/GMD-1821-101.pdf#page=2","Abrir facsímil")</f>
        <v>Abrir facsímil</v>
      </c>
      <c r="K4684" s="3" t="s">
        <v>23</v>
      </c>
    </row>
    <row r="4685" spans="1:11" ht="42" customHeight="1">
      <c r="A4685" s="2" t="s">
        <v>9406</v>
      </c>
      <c r="B4685" s="2" t="s">
        <v>9407</v>
      </c>
      <c r="C4685" s="2" t="s">
        <v>40</v>
      </c>
      <c r="D4685" s="2" t="s">
        <v>41</v>
      </c>
      <c r="E4685" s="5">
        <v>-28754</v>
      </c>
      <c r="F4685" s="3" t="s">
        <v>1942</v>
      </c>
      <c r="G4685" s="3" t="s">
        <v>20</v>
      </c>
      <c r="H4685" s="2" t="s">
        <v>21</v>
      </c>
      <c r="I4685" s="2" t="s">
        <v>9432</v>
      </c>
      <c r="J4685" s="3" t="str">
        <f>HYPERLINK("https://www.boe.es/gazeta/dias/1821/04/09/pdfs/GMD-1821-101.pdf#page=3","Abrir facsímil")</f>
        <v>Abrir facsímil</v>
      </c>
      <c r="K4685" s="3" t="s">
        <v>23</v>
      </c>
    </row>
    <row r="4686" spans="1:11" ht="42" customHeight="1">
      <c r="A4686" s="2" t="s">
        <v>9406</v>
      </c>
      <c r="B4686" s="2" t="s">
        <v>9407</v>
      </c>
      <c r="C4686" s="2" t="s">
        <v>40</v>
      </c>
      <c r="D4686" s="2" t="s">
        <v>41</v>
      </c>
      <c r="E4686" s="5">
        <v>-28751</v>
      </c>
      <c r="F4686" s="3" t="s">
        <v>356</v>
      </c>
      <c r="G4686" s="3" t="s">
        <v>52</v>
      </c>
      <c r="H4686" s="2" t="s">
        <v>21</v>
      </c>
      <c r="I4686" s="2" t="s">
        <v>9433</v>
      </c>
      <c r="J4686" s="3" t="str">
        <f>HYPERLINK("https://www.boe.es/gazeta/dias/1821/04/12/pdfs/GMD-1821-104.pdf#page=2","Abrir facsímil")</f>
        <v>Abrir facsímil</v>
      </c>
      <c r="K4686" s="3" t="s">
        <v>23</v>
      </c>
    </row>
    <row r="4687" spans="1:11" ht="42" customHeight="1">
      <c r="A4687" s="2" t="s">
        <v>9406</v>
      </c>
      <c r="B4687" s="2" t="s">
        <v>9407</v>
      </c>
      <c r="C4687" s="2" t="s">
        <v>40</v>
      </c>
      <c r="D4687" s="2" t="s">
        <v>41</v>
      </c>
      <c r="E4687" s="5">
        <v>-28746</v>
      </c>
      <c r="F4687" s="3" t="s">
        <v>687</v>
      </c>
      <c r="G4687" s="3" t="s">
        <v>162</v>
      </c>
      <c r="H4687" s="2" t="s">
        <v>21</v>
      </c>
      <c r="I4687" s="2" t="s">
        <v>9434</v>
      </c>
      <c r="J4687" s="3" t="str">
        <f>HYPERLINK("https://www.boe.es/gazeta/dias/1821/04/17/pdfs/GMD-1821-109.pdf#page=5","Abrir facsímil")</f>
        <v>Abrir facsímil</v>
      </c>
      <c r="K4687" s="3" t="s">
        <v>23</v>
      </c>
    </row>
    <row r="4688" spans="1:11" ht="42" customHeight="1">
      <c r="A4688" s="2" t="s">
        <v>9406</v>
      </c>
      <c r="B4688" s="2" t="s">
        <v>9407</v>
      </c>
      <c r="C4688" s="2" t="s">
        <v>40</v>
      </c>
      <c r="D4688" s="2" t="s">
        <v>41</v>
      </c>
      <c r="E4688" s="5">
        <v>-28740</v>
      </c>
      <c r="F4688" s="3" t="s">
        <v>2800</v>
      </c>
      <c r="G4688" s="3" t="s">
        <v>52</v>
      </c>
      <c r="H4688" s="2" t="s">
        <v>21</v>
      </c>
      <c r="I4688" s="2" t="s">
        <v>9435</v>
      </c>
      <c r="J4688" s="3" t="str">
        <f>HYPERLINK("https://www.boe.es/gazeta/dias/1821/04/23/pdfs/GMD-1821-115.pdf#page=2","Abrir facsímil")</f>
        <v>Abrir facsímil</v>
      </c>
      <c r="K4688" s="3" t="s">
        <v>23</v>
      </c>
    </row>
    <row r="4689" spans="1:11" ht="42" customHeight="1">
      <c r="A4689" s="2" t="s">
        <v>9406</v>
      </c>
      <c r="B4689" s="2" t="s">
        <v>9407</v>
      </c>
      <c r="C4689" s="2" t="s">
        <v>40</v>
      </c>
      <c r="D4689" s="2" t="s">
        <v>41</v>
      </c>
      <c r="E4689" s="5">
        <v>-28739</v>
      </c>
      <c r="F4689" s="3" t="s">
        <v>1024</v>
      </c>
      <c r="G4689" s="3" t="s">
        <v>1025</v>
      </c>
      <c r="H4689" s="2" t="s">
        <v>21</v>
      </c>
      <c r="I4689" s="2" t="s">
        <v>9436</v>
      </c>
      <c r="J4689" s="3" t="str">
        <f>HYPERLINK("https://www.boe.es/gazeta/dias/1821/04/24/pdfs/GMD-1821-116.pdf#page=3","Abrir facsímil")</f>
        <v>Abrir facsímil</v>
      </c>
      <c r="K4689" s="3" t="s">
        <v>23</v>
      </c>
    </row>
    <row r="4690" spans="1:11" ht="42" customHeight="1">
      <c r="A4690" s="2" t="s">
        <v>9406</v>
      </c>
      <c r="B4690" s="2" t="s">
        <v>9407</v>
      </c>
      <c r="C4690" s="2" t="s">
        <v>40</v>
      </c>
      <c r="D4690" s="2" t="s">
        <v>41</v>
      </c>
      <c r="E4690" s="5">
        <v>-28736</v>
      </c>
      <c r="F4690" s="3" t="s">
        <v>464</v>
      </c>
      <c r="G4690" s="3" t="s">
        <v>52</v>
      </c>
      <c r="H4690" s="2" t="s">
        <v>21</v>
      </c>
      <c r="I4690" s="2" t="s">
        <v>9437</v>
      </c>
      <c r="J4690" s="3" t="str">
        <f>HYPERLINK("https://www.boe.es/gazeta/dias/1821/04/27/pdfs/GMD-1821-119.pdf#page=2","Abrir facsímil")</f>
        <v>Abrir facsímil</v>
      </c>
      <c r="K4690" s="3" t="s">
        <v>23</v>
      </c>
    </row>
    <row r="4691" spans="1:11" ht="42" customHeight="1">
      <c r="A4691" s="2" t="s">
        <v>9406</v>
      </c>
      <c r="B4691" s="2" t="s">
        <v>9407</v>
      </c>
      <c r="C4691" s="2" t="s">
        <v>40</v>
      </c>
      <c r="D4691" s="2" t="s">
        <v>41</v>
      </c>
      <c r="E4691" s="5">
        <v>-28734</v>
      </c>
      <c r="F4691" s="3" t="s">
        <v>1553</v>
      </c>
      <c r="G4691" s="3" t="s">
        <v>88</v>
      </c>
      <c r="H4691" s="2" t="s">
        <v>21</v>
      </c>
      <c r="I4691" s="2" t="s">
        <v>9438</v>
      </c>
      <c r="J4691" s="3" t="str">
        <f>HYPERLINK("https://www.boe.es/gazeta/dias/1821/04/29/pdfs/GMD-1821-121.pdf#page=4","Abrir facsímil")</f>
        <v>Abrir facsímil</v>
      </c>
      <c r="K4691" s="3" t="s">
        <v>23</v>
      </c>
    </row>
    <row r="4692" spans="1:11" ht="42" customHeight="1">
      <c r="A4692" s="2" t="s">
        <v>9406</v>
      </c>
      <c r="B4692" s="2" t="s">
        <v>9407</v>
      </c>
      <c r="C4692" s="2" t="s">
        <v>40</v>
      </c>
      <c r="D4692" s="2" t="s">
        <v>41</v>
      </c>
      <c r="E4692" s="5">
        <v>-28733</v>
      </c>
      <c r="F4692" s="3" t="s">
        <v>1033</v>
      </c>
      <c r="G4692" s="3" t="s">
        <v>20</v>
      </c>
      <c r="H4692" s="2" t="s">
        <v>21</v>
      </c>
      <c r="I4692" s="2" t="s">
        <v>9439</v>
      </c>
      <c r="J4692" s="3" t="str">
        <f>HYPERLINK("https://www.boe.es/gazeta/dias/1821/04/30/pdfs/GMD-1821-122.pdf#page=3","Abrir facsímil")</f>
        <v>Abrir facsímil</v>
      </c>
      <c r="K4692" s="3" t="s">
        <v>23</v>
      </c>
    </row>
    <row r="4693" spans="1:11" ht="42" customHeight="1">
      <c r="A4693" s="2" t="s">
        <v>9406</v>
      </c>
      <c r="B4693" s="2" t="s">
        <v>9407</v>
      </c>
      <c r="C4693" s="2" t="s">
        <v>40</v>
      </c>
      <c r="D4693" s="2" t="s">
        <v>41</v>
      </c>
      <c r="E4693" s="5">
        <v>-28730</v>
      </c>
      <c r="F4693" s="3" t="s">
        <v>747</v>
      </c>
      <c r="G4693" s="3" t="s">
        <v>20</v>
      </c>
      <c r="H4693" s="2" t="s">
        <v>21</v>
      </c>
      <c r="I4693" s="2" t="s">
        <v>9440</v>
      </c>
      <c r="J4693" s="3" t="str">
        <f>HYPERLINK("https://www.boe.es/gazeta/dias/1821/05/03/pdfs/GMD-1821-125.pdf#page=3","Abrir facsímil")</f>
        <v>Abrir facsímil</v>
      </c>
      <c r="K4693" s="3" t="s">
        <v>23</v>
      </c>
    </row>
    <row r="4694" spans="1:11" ht="42" customHeight="1">
      <c r="A4694" s="2" t="s">
        <v>9406</v>
      </c>
      <c r="B4694" s="2" t="s">
        <v>9407</v>
      </c>
      <c r="C4694" s="2" t="s">
        <v>40</v>
      </c>
      <c r="D4694" s="2" t="s">
        <v>41</v>
      </c>
      <c r="E4694" s="5">
        <v>-28730</v>
      </c>
      <c r="F4694" s="3" t="s">
        <v>747</v>
      </c>
      <c r="G4694" s="3" t="s">
        <v>88</v>
      </c>
      <c r="H4694" s="2" t="s">
        <v>21</v>
      </c>
      <c r="I4694" s="2" t="s">
        <v>9441</v>
      </c>
      <c r="J4694" s="3" t="str">
        <f>HYPERLINK("https://www.boe.es/gazeta/dias/1821/05/03/pdfs/GMD-1821-125.pdf#page=4","Abrir facsímil")</f>
        <v>Abrir facsímil</v>
      </c>
      <c r="K4694" s="3" t="s">
        <v>23</v>
      </c>
    </row>
    <row r="4695" spans="1:11" ht="42" customHeight="1">
      <c r="A4695" s="2" t="s">
        <v>9406</v>
      </c>
      <c r="B4695" s="2" t="s">
        <v>9407</v>
      </c>
      <c r="C4695" s="2" t="s">
        <v>40</v>
      </c>
      <c r="D4695" s="2" t="s">
        <v>41</v>
      </c>
      <c r="E4695" s="5">
        <v>-28729</v>
      </c>
      <c r="F4695" s="3" t="s">
        <v>838</v>
      </c>
      <c r="G4695" s="3" t="s">
        <v>20</v>
      </c>
      <c r="H4695" s="2" t="s">
        <v>21</v>
      </c>
      <c r="I4695" s="2" t="s">
        <v>9442</v>
      </c>
      <c r="J4695" s="3" t="str">
        <f>HYPERLINK("https://www.boe.es/gazeta/dias/1821/05/04/pdfs/GMD-1821-126.pdf#page=3","Abrir facsímil")</f>
        <v>Abrir facsímil</v>
      </c>
      <c r="K4695" s="3" t="s">
        <v>23</v>
      </c>
    </row>
    <row r="4696" spans="1:11" ht="42" customHeight="1">
      <c r="A4696" s="2" t="s">
        <v>9406</v>
      </c>
      <c r="B4696" s="2" t="s">
        <v>9407</v>
      </c>
      <c r="C4696" s="2" t="s">
        <v>40</v>
      </c>
      <c r="D4696" s="2" t="s">
        <v>41</v>
      </c>
      <c r="E4696" s="5">
        <v>-28726</v>
      </c>
      <c r="F4696" s="3" t="s">
        <v>347</v>
      </c>
      <c r="G4696" s="3" t="s">
        <v>52</v>
      </c>
      <c r="H4696" s="2" t="s">
        <v>21</v>
      </c>
      <c r="I4696" s="2" t="s">
        <v>9443</v>
      </c>
      <c r="J4696" s="3" t="str">
        <f>HYPERLINK("https://www.boe.es/gazeta/dias/1821/05/07/pdfs/GMD-1821-129.pdf#page=2","Abrir facsímil")</f>
        <v>Abrir facsímil</v>
      </c>
      <c r="K4696" s="3" t="s">
        <v>23</v>
      </c>
    </row>
    <row r="4697" spans="1:11" ht="42" customHeight="1">
      <c r="A4697" s="2" t="s">
        <v>9406</v>
      </c>
      <c r="B4697" s="2" t="s">
        <v>9407</v>
      </c>
      <c r="C4697" s="2" t="s">
        <v>40</v>
      </c>
      <c r="D4697" s="2" t="s">
        <v>41</v>
      </c>
      <c r="E4697" s="5">
        <v>-28723</v>
      </c>
      <c r="F4697" s="3" t="s">
        <v>840</v>
      </c>
      <c r="G4697" s="3" t="s">
        <v>20</v>
      </c>
      <c r="H4697" s="2" t="s">
        <v>21</v>
      </c>
      <c r="I4697" s="2" t="s">
        <v>9444</v>
      </c>
      <c r="J4697" s="3" t="str">
        <f>HYPERLINK("https://www.boe.es/gazeta/dias/1821/05/10/pdfs/GMD-1821-132.pdf#page=3","Abrir facsímil")</f>
        <v>Abrir facsímil</v>
      </c>
      <c r="K4697" s="3" t="s">
        <v>23</v>
      </c>
    </row>
    <row r="4698" spans="1:11" ht="42" customHeight="1">
      <c r="A4698" s="2" t="s">
        <v>9406</v>
      </c>
      <c r="B4698" s="2" t="s">
        <v>9407</v>
      </c>
      <c r="C4698" s="2" t="s">
        <v>40</v>
      </c>
      <c r="D4698" s="2" t="s">
        <v>41</v>
      </c>
      <c r="E4698" s="5">
        <v>-28721</v>
      </c>
      <c r="F4698" s="3" t="s">
        <v>92</v>
      </c>
      <c r="G4698" s="3" t="s">
        <v>3795</v>
      </c>
      <c r="H4698" s="2" t="s">
        <v>21</v>
      </c>
      <c r="I4698" s="2" t="s">
        <v>9445</v>
      </c>
      <c r="J4698" s="3" t="str">
        <f>HYPERLINK("https://www.boe.es/gazeta/dias/1821/05/12/pdfs/GMD-1821-134.pdf#page=3","Abrir facsímil")</f>
        <v>Abrir facsímil</v>
      </c>
      <c r="K4698" s="3" t="s">
        <v>23</v>
      </c>
    </row>
    <row r="4699" spans="1:11" ht="42" customHeight="1">
      <c r="A4699" s="2" t="s">
        <v>9406</v>
      </c>
      <c r="B4699" s="2" t="s">
        <v>9407</v>
      </c>
      <c r="C4699" s="2" t="s">
        <v>40</v>
      </c>
      <c r="D4699" s="2" t="s">
        <v>41</v>
      </c>
      <c r="E4699" s="5">
        <v>-28720</v>
      </c>
      <c r="F4699" s="3" t="s">
        <v>492</v>
      </c>
      <c r="G4699" s="3" t="s">
        <v>52</v>
      </c>
      <c r="H4699" s="2" t="s">
        <v>21</v>
      </c>
      <c r="I4699" s="2" t="s">
        <v>9446</v>
      </c>
      <c r="J4699" s="3" t="str">
        <f>HYPERLINK("https://www.boe.es/gazeta/dias/1821/05/13/pdfs/GMD-1821-135.pdf#page=2","Abrir facsímil")</f>
        <v>Abrir facsímil</v>
      </c>
      <c r="K4699" s="3" t="s">
        <v>23</v>
      </c>
    </row>
    <row r="4700" spans="1:11" ht="42" customHeight="1">
      <c r="A4700" s="2" t="s">
        <v>9406</v>
      </c>
      <c r="B4700" s="2" t="s">
        <v>9407</v>
      </c>
      <c r="C4700" s="2" t="s">
        <v>40</v>
      </c>
      <c r="D4700" s="2" t="s">
        <v>41</v>
      </c>
      <c r="E4700" s="5">
        <v>-28716</v>
      </c>
      <c r="F4700" s="3" t="s">
        <v>842</v>
      </c>
      <c r="G4700" s="3" t="s">
        <v>20</v>
      </c>
      <c r="H4700" s="2" t="s">
        <v>21</v>
      </c>
      <c r="I4700" s="2" t="s">
        <v>9447</v>
      </c>
      <c r="J4700" s="3" t="str">
        <f>HYPERLINK("https://www.boe.es/gazeta/dias/1821/05/17/pdfs/GMD-1821-139.pdf#page=3","Abrir facsímil")</f>
        <v>Abrir facsímil</v>
      </c>
      <c r="K4700" s="3" t="s">
        <v>23</v>
      </c>
    </row>
    <row r="4701" spans="1:11" ht="42" customHeight="1">
      <c r="A4701" s="2" t="s">
        <v>9406</v>
      </c>
      <c r="B4701" s="2" t="s">
        <v>9407</v>
      </c>
      <c r="C4701" s="2" t="s">
        <v>40</v>
      </c>
      <c r="D4701" s="2" t="s">
        <v>41</v>
      </c>
      <c r="E4701" s="5">
        <v>-28713</v>
      </c>
      <c r="F4701" s="3" t="s">
        <v>1976</v>
      </c>
      <c r="G4701" s="3" t="s">
        <v>1977</v>
      </c>
      <c r="H4701" s="2" t="s">
        <v>21</v>
      </c>
      <c r="I4701" s="2" t="s">
        <v>9448</v>
      </c>
      <c r="J4701" s="3" t="str">
        <f>HYPERLINK("https://www.boe.es/gazeta/dias/1821/05/20/pdfs/GMD-1821-142.pdf#page=3","Abrir facsímil")</f>
        <v>Abrir facsímil</v>
      </c>
      <c r="K4701" s="3" t="s">
        <v>23</v>
      </c>
    </row>
    <row r="4702" spans="1:11" ht="42" customHeight="1">
      <c r="A4702" s="2" t="s">
        <v>9406</v>
      </c>
      <c r="B4702" s="2" t="s">
        <v>9407</v>
      </c>
      <c r="C4702" s="2" t="s">
        <v>40</v>
      </c>
      <c r="D4702" s="2" t="s">
        <v>41</v>
      </c>
      <c r="E4702" s="5">
        <v>-28712</v>
      </c>
      <c r="F4702" s="3" t="s">
        <v>695</v>
      </c>
      <c r="G4702" s="3" t="s">
        <v>20</v>
      </c>
      <c r="H4702" s="2" t="s">
        <v>21</v>
      </c>
      <c r="I4702" s="2" t="s">
        <v>9449</v>
      </c>
      <c r="J4702" s="3" t="str">
        <f>HYPERLINK("https://www.boe.es/gazeta/dias/1821/05/21/pdfs/GMD-1821-143.pdf#page=3","Abrir facsímil")</f>
        <v>Abrir facsímil</v>
      </c>
      <c r="K4702" s="3" t="s">
        <v>23</v>
      </c>
    </row>
    <row r="4703" spans="1:11" ht="42" customHeight="1">
      <c r="A4703" s="2" t="s">
        <v>9406</v>
      </c>
      <c r="B4703" s="2" t="s">
        <v>9407</v>
      </c>
      <c r="C4703" s="2" t="s">
        <v>40</v>
      </c>
      <c r="D4703" s="2" t="s">
        <v>41</v>
      </c>
      <c r="E4703" s="5">
        <v>-28711</v>
      </c>
      <c r="F4703" s="3" t="s">
        <v>1048</v>
      </c>
      <c r="G4703" s="3" t="s">
        <v>52</v>
      </c>
      <c r="H4703" s="2" t="s">
        <v>21</v>
      </c>
      <c r="I4703" s="2" t="s">
        <v>9450</v>
      </c>
      <c r="J4703" s="3" t="str">
        <f>HYPERLINK("https://www.boe.es/gazeta/dias/1821/05/22/pdfs/GMD-1821-144.pdf#page=2","Abrir facsímil")</f>
        <v>Abrir facsímil</v>
      </c>
      <c r="K4703" s="3" t="s">
        <v>23</v>
      </c>
    </row>
    <row r="4704" spans="1:11" ht="42" customHeight="1">
      <c r="A4704" s="2" t="s">
        <v>9406</v>
      </c>
      <c r="B4704" s="2" t="s">
        <v>9407</v>
      </c>
      <c r="C4704" s="2" t="s">
        <v>40</v>
      </c>
      <c r="D4704" s="2" t="s">
        <v>41</v>
      </c>
      <c r="E4704" s="5">
        <v>-28708</v>
      </c>
      <c r="F4704" s="3" t="s">
        <v>528</v>
      </c>
      <c r="G4704" s="3" t="s">
        <v>20</v>
      </c>
      <c r="H4704" s="2" t="s">
        <v>21</v>
      </c>
      <c r="I4704" s="2" t="s">
        <v>9451</v>
      </c>
      <c r="J4704" s="3" t="str">
        <f>HYPERLINK("https://www.boe.es/gazeta/dias/1821/05/25/pdfs/GMD-1821-147.pdf#page=3","Abrir facsímil")</f>
        <v>Abrir facsímil</v>
      </c>
      <c r="K4704" s="3" t="s">
        <v>23</v>
      </c>
    </row>
    <row r="4705" spans="1:11" ht="42" customHeight="1">
      <c r="A4705" s="2" t="s">
        <v>9406</v>
      </c>
      <c r="B4705" s="2" t="s">
        <v>9407</v>
      </c>
      <c r="C4705" s="2" t="s">
        <v>40</v>
      </c>
      <c r="D4705" s="2" t="s">
        <v>41</v>
      </c>
      <c r="E4705" s="5">
        <v>-28708</v>
      </c>
      <c r="F4705" s="3" t="s">
        <v>528</v>
      </c>
      <c r="G4705" s="3" t="s">
        <v>88</v>
      </c>
      <c r="H4705" s="2" t="s">
        <v>21</v>
      </c>
      <c r="I4705" s="2" t="s">
        <v>9452</v>
      </c>
      <c r="J4705" s="3" t="str">
        <f>HYPERLINK("https://www.boe.es/gazeta/dias/1821/05/25/pdfs/GMD-1821-147.pdf#page=4","Abrir facsímil")</f>
        <v>Abrir facsímil</v>
      </c>
      <c r="K4705" s="3" t="s">
        <v>23</v>
      </c>
    </row>
    <row r="4706" spans="1:11" ht="42" customHeight="1">
      <c r="A4706" s="2" t="s">
        <v>9406</v>
      </c>
      <c r="B4706" s="2" t="s">
        <v>9407</v>
      </c>
      <c r="C4706" s="2" t="s">
        <v>40</v>
      </c>
      <c r="D4706" s="2" t="s">
        <v>41</v>
      </c>
      <c r="E4706" s="5">
        <v>-28703</v>
      </c>
      <c r="F4706" s="3" t="s">
        <v>231</v>
      </c>
      <c r="G4706" s="3" t="s">
        <v>88</v>
      </c>
      <c r="H4706" s="2" t="s">
        <v>21</v>
      </c>
      <c r="I4706" s="2" t="s">
        <v>9453</v>
      </c>
      <c r="J4706" s="3" t="str">
        <f>HYPERLINK("https://www.boe.es/gazeta/dias/1821/05/30/pdfs/GMD-1821-152.pdf#page=4","Abrir facsímil")</f>
        <v>Abrir facsímil</v>
      </c>
      <c r="K4706" s="3" t="s">
        <v>23</v>
      </c>
    </row>
    <row r="4707" spans="1:11" ht="42" customHeight="1">
      <c r="A4707" s="2" t="s">
        <v>9406</v>
      </c>
      <c r="B4707" s="2" t="s">
        <v>9407</v>
      </c>
      <c r="C4707" s="2" t="s">
        <v>40</v>
      </c>
      <c r="D4707" s="2" t="s">
        <v>41</v>
      </c>
      <c r="E4707" s="5">
        <v>-28698</v>
      </c>
      <c r="F4707" s="3" t="s">
        <v>2067</v>
      </c>
      <c r="G4707" s="3" t="s">
        <v>20</v>
      </c>
      <c r="H4707" s="2" t="s">
        <v>21</v>
      </c>
      <c r="I4707" s="2" t="s">
        <v>9454</v>
      </c>
      <c r="J4707" s="3" t="str">
        <f>HYPERLINK("https://www.boe.es/gazeta/dias/1821/06/04/pdfs/GMD-1821-157.pdf#page=3","Abrir facsímil")</f>
        <v>Abrir facsímil</v>
      </c>
      <c r="K4707" s="3" t="s">
        <v>23</v>
      </c>
    </row>
    <row r="4708" spans="1:11" ht="42" customHeight="1">
      <c r="A4708" s="2" t="s">
        <v>9406</v>
      </c>
      <c r="B4708" s="2" t="s">
        <v>9407</v>
      </c>
      <c r="C4708" s="2" t="s">
        <v>40</v>
      </c>
      <c r="D4708" s="2" t="s">
        <v>41</v>
      </c>
      <c r="E4708" s="5">
        <v>-28693</v>
      </c>
      <c r="F4708" s="3" t="s">
        <v>74</v>
      </c>
      <c r="G4708" s="3" t="s">
        <v>1846</v>
      </c>
      <c r="H4708" s="2" t="s">
        <v>21</v>
      </c>
      <c r="I4708" s="2" t="s">
        <v>9455</v>
      </c>
      <c r="J4708" s="3" t="str">
        <f>HYPERLINK("https://www.boe.es/gazeta/dias/1821/06/09/pdfs/GMD-1821-162.pdf#page=6","Abrir facsímil")</f>
        <v>Abrir facsímil</v>
      </c>
      <c r="K4708" s="3" t="s">
        <v>23</v>
      </c>
    </row>
    <row r="4709" spans="1:11" ht="42" customHeight="1">
      <c r="A4709" s="2" t="s">
        <v>9406</v>
      </c>
      <c r="B4709" s="2" t="s">
        <v>9407</v>
      </c>
      <c r="C4709" s="2" t="s">
        <v>40</v>
      </c>
      <c r="D4709" s="2" t="s">
        <v>41</v>
      </c>
      <c r="E4709" s="5">
        <v>-28693</v>
      </c>
      <c r="F4709" s="3" t="s">
        <v>74</v>
      </c>
      <c r="G4709" s="3" t="s">
        <v>162</v>
      </c>
      <c r="H4709" s="2" t="s">
        <v>21</v>
      </c>
      <c r="I4709" s="2" t="s">
        <v>9456</v>
      </c>
      <c r="J4709" s="3" t="str">
        <f>HYPERLINK("https://www.boe.es/gazeta/dias/1821/06/09/pdfs/GMD-1821-162.pdf#page=5","Abrir facsímil")</f>
        <v>Abrir facsímil</v>
      </c>
      <c r="K4709" s="3" t="s">
        <v>23</v>
      </c>
    </row>
    <row r="4710" spans="1:11" ht="42" customHeight="1">
      <c r="A4710" s="2" t="s">
        <v>9406</v>
      </c>
      <c r="B4710" s="2" t="s">
        <v>9407</v>
      </c>
      <c r="C4710" s="2" t="s">
        <v>40</v>
      </c>
      <c r="D4710" s="2" t="s">
        <v>41</v>
      </c>
      <c r="E4710" s="5">
        <v>-28691</v>
      </c>
      <c r="F4710" s="3" t="s">
        <v>716</v>
      </c>
      <c r="G4710" s="3" t="s">
        <v>20</v>
      </c>
      <c r="H4710" s="2" t="s">
        <v>21</v>
      </c>
      <c r="I4710" s="2" t="s">
        <v>9457</v>
      </c>
      <c r="J4710" s="3" t="str">
        <f>HYPERLINK("https://www.boe.es/gazeta/dias/1821/06/11/pdfs/GMD-1821-164.pdf#page=3","Abrir facsímil")</f>
        <v>Abrir facsímil</v>
      </c>
      <c r="K4710" s="3" t="s">
        <v>23</v>
      </c>
    </row>
    <row r="4711" spans="1:11" ht="42" customHeight="1">
      <c r="A4711" s="2" t="s">
        <v>9406</v>
      </c>
      <c r="B4711" s="2" t="s">
        <v>9407</v>
      </c>
      <c r="C4711" s="2" t="s">
        <v>40</v>
      </c>
      <c r="D4711" s="2" t="s">
        <v>41</v>
      </c>
      <c r="E4711" s="5">
        <v>-28690</v>
      </c>
      <c r="F4711" s="3" t="s">
        <v>846</v>
      </c>
      <c r="G4711" s="3" t="s">
        <v>847</v>
      </c>
      <c r="H4711" s="2" t="s">
        <v>21</v>
      </c>
      <c r="I4711" s="2" t="s">
        <v>9458</v>
      </c>
      <c r="J4711" s="3" t="str">
        <f>HYPERLINK("https://www.boe.es/gazeta/dias/1821/06/12/pdfs/GMD-1821-165.pdf#page=2","Abrir facsímil")</f>
        <v>Abrir facsímil</v>
      </c>
      <c r="K4711" s="3" t="s">
        <v>23</v>
      </c>
    </row>
    <row r="4712" spans="1:11" ht="42" customHeight="1">
      <c r="A4712" s="2" t="s">
        <v>9406</v>
      </c>
      <c r="B4712" s="2" t="s">
        <v>9407</v>
      </c>
      <c r="C4712" s="2" t="s">
        <v>40</v>
      </c>
      <c r="D4712" s="2" t="s">
        <v>41</v>
      </c>
      <c r="E4712" s="5">
        <v>-28689</v>
      </c>
      <c r="F4712" s="3" t="s">
        <v>194</v>
      </c>
      <c r="G4712" s="3" t="s">
        <v>162</v>
      </c>
      <c r="H4712" s="2" t="s">
        <v>21</v>
      </c>
      <c r="I4712" s="2" t="s">
        <v>9459</v>
      </c>
      <c r="J4712" s="3" t="str">
        <f>HYPERLINK("https://www.boe.es/gazeta/dias/1821/06/13/pdfs/GMD-1821-166.pdf#page=5","Abrir facsímil")</f>
        <v>Abrir facsímil</v>
      </c>
      <c r="K4712" s="3" t="s">
        <v>23</v>
      </c>
    </row>
    <row r="4713" spans="1:11" ht="42" customHeight="1">
      <c r="A4713" s="2" t="s">
        <v>9406</v>
      </c>
      <c r="B4713" s="2" t="s">
        <v>9407</v>
      </c>
      <c r="C4713" s="2" t="s">
        <v>40</v>
      </c>
      <c r="D4713" s="2" t="s">
        <v>41</v>
      </c>
      <c r="E4713" s="5">
        <v>-28688</v>
      </c>
      <c r="F4713" s="3" t="s">
        <v>1504</v>
      </c>
      <c r="G4713" s="3" t="s">
        <v>20</v>
      </c>
      <c r="H4713" s="2" t="s">
        <v>21</v>
      </c>
      <c r="I4713" s="2" t="s">
        <v>9460</v>
      </c>
      <c r="J4713" s="3" t="str">
        <f>HYPERLINK("https://www.boe.es/gazeta/dias/1821/06/14/pdfs/GMD-1821-167.pdf#page=3","Abrir facsímil")</f>
        <v>Abrir facsímil</v>
      </c>
      <c r="K4713" s="3" t="s">
        <v>23</v>
      </c>
    </row>
    <row r="4714" spans="1:11" ht="42" customHeight="1">
      <c r="A4714" s="2" t="s">
        <v>9406</v>
      </c>
      <c r="B4714" s="2" t="s">
        <v>9407</v>
      </c>
      <c r="C4714" s="2" t="s">
        <v>40</v>
      </c>
      <c r="D4714" s="2" t="s">
        <v>41</v>
      </c>
      <c r="E4714" s="5">
        <v>-28682</v>
      </c>
      <c r="F4714" s="3" t="s">
        <v>1064</v>
      </c>
      <c r="G4714" s="3" t="s">
        <v>9461</v>
      </c>
      <c r="H4714" s="2" t="s">
        <v>21</v>
      </c>
      <c r="I4714" s="2" t="s">
        <v>9462</v>
      </c>
      <c r="J4714" s="3" t="str">
        <f>HYPERLINK("https://www.boe.es/gazeta/dias/1821/06/20/pdfs/GMD-1821-173.pdf#page=3","Abrir facsímil")</f>
        <v>Abrir facsímil</v>
      </c>
      <c r="K4714" s="3" t="s">
        <v>23</v>
      </c>
    </row>
    <row r="4715" spans="1:11" ht="42" customHeight="1">
      <c r="A4715" s="2" t="s">
        <v>9406</v>
      </c>
      <c r="B4715" s="2" t="s">
        <v>9407</v>
      </c>
      <c r="C4715" s="2" t="s">
        <v>40</v>
      </c>
      <c r="D4715" s="2" t="s">
        <v>41</v>
      </c>
      <c r="E4715" s="5">
        <v>-28676</v>
      </c>
      <c r="F4715" s="3" t="s">
        <v>534</v>
      </c>
      <c r="G4715" s="3" t="s">
        <v>162</v>
      </c>
      <c r="H4715" s="2" t="s">
        <v>21</v>
      </c>
      <c r="I4715" s="2" t="s">
        <v>9463</v>
      </c>
      <c r="J4715" s="3" t="str">
        <f>HYPERLINK("https://www.boe.es/gazeta/dias/1821/06/26/pdfs/GMD-1821-179.pdf#page=5","Abrir facsímil")</f>
        <v>Abrir facsímil</v>
      </c>
      <c r="K4715" s="3" t="s">
        <v>23</v>
      </c>
    </row>
    <row r="4716" spans="1:11" ht="42" customHeight="1">
      <c r="A4716" s="2" t="s">
        <v>9406</v>
      </c>
      <c r="B4716" s="2" t="s">
        <v>9407</v>
      </c>
      <c r="C4716" s="2" t="s">
        <v>40</v>
      </c>
      <c r="D4716" s="2" t="s">
        <v>41</v>
      </c>
      <c r="E4716" s="5">
        <v>-28675</v>
      </c>
      <c r="F4716" s="3" t="s">
        <v>943</v>
      </c>
      <c r="G4716" s="3" t="s">
        <v>162</v>
      </c>
      <c r="H4716" s="2" t="s">
        <v>21</v>
      </c>
      <c r="I4716" s="2" t="s">
        <v>9464</v>
      </c>
      <c r="J4716" s="3" t="str">
        <f>HYPERLINK("https://www.boe.es/gazeta/dias/1821/06/27/pdfs/GMD-1821-180.pdf#page=5","Abrir facsímil")</f>
        <v>Abrir facsímil</v>
      </c>
      <c r="K4716" s="3" t="s">
        <v>23</v>
      </c>
    </row>
    <row r="4717" spans="1:11" ht="42" customHeight="1">
      <c r="A4717" s="2" t="s">
        <v>9465</v>
      </c>
      <c r="B4717" s="2" t="s">
        <v>9466</v>
      </c>
      <c r="C4717" s="2" t="s">
        <v>40</v>
      </c>
      <c r="D4717" s="2" t="s">
        <v>41</v>
      </c>
      <c r="E4717" s="5">
        <v>-28796</v>
      </c>
      <c r="F4717" s="3" t="s">
        <v>1421</v>
      </c>
      <c r="G4717" s="3" t="s">
        <v>8266</v>
      </c>
      <c r="H4717" s="2" t="s">
        <v>21</v>
      </c>
      <c r="I4717" s="2" t="s">
        <v>9467</v>
      </c>
      <c r="J4717" s="3" t="str">
        <f>HYPERLINK("https://www.boe.es/gazeta/dias/1821/02/26/pdfs/GGB-1821-57.pdf#page=4","Abrir facsímil")</f>
        <v>Abrir facsímil</v>
      </c>
      <c r="K4717" s="3" t="s">
        <v>23</v>
      </c>
    </row>
    <row r="4718" spans="1:11" ht="42" customHeight="1">
      <c r="A4718" s="2" t="s">
        <v>9468</v>
      </c>
      <c r="B4718" s="2" t="s">
        <v>9469</v>
      </c>
      <c r="C4718" s="2" t="s">
        <v>40</v>
      </c>
      <c r="D4718" s="2" t="s">
        <v>41</v>
      </c>
      <c r="E4718" s="5">
        <v>-28787</v>
      </c>
      <c r="F4718" s="3" t="s">
        <v>486</v>
      </c>
      <c r="G4718" s="3" t="s">
        <v>52</v>
      </c>
      <c r="H4718" s="2" t="s">
        <v>21</v>
      </c>
      <c r="I4718" s="2" t="s">
        <v>9470</v>
      </c>
      <c r="J4718" s="3" t="str">
        <f>HYPERLINK("https://www.boe.es/gazeta/dias/1821/03/07/pdfs/GGB-1821-66.pdf#page=2","Abrir facsímil")</f>
        <v>Abrir facsímil</v>
      </c>
      <c r="K4718" s="3" t="s">
        <v>23</v>
      </c>
    </row>
    <row r="4719" spans="1:11" ht="42" customHeight="1">
      <c r="A4719" s="2" t="s">
        <v>9471</v>
      </c>
      <c r="B4719" s="2" t="s">
        <v>9471</v>
      </c>
      <c r="C4719" s="2" t="s">
        <v>40</v>
      </c>
      <c r="D4719" s="2" t="s">
        <v>41</v>
      </c>
      <c r="E4719" s="5">
        <v>-28566</v>
      </c>
      <c r="F4719" s="3" t="s">
        <v>1529</v>
      </c>
      <c r="G4719" s="3" t="s">
        <v>88</v>
      </c>
      <c r="H4719" s="2" t="s">
        <v>21</v>
      </c>
      <c r="I4719" s="2" t="s">
        <v>9472</v>
      </c>
      <c r="J4719" s="3" t="str">
        <f>HYPERLINK("https://www.boe.es/gazeta/dias/1821/10/14/pdfs/GMD-1821-293.pdf#page=4","Abrir facsímil")</f>
        <v>Abrir facsímil</v>
      </c>
      <c r="K4719" s="3" t="s">
        <v>23</v>
      </c>
    </row>
    <row r="4720" spans="1:11" ht="42" customHeight="1">
      <c r="A4720" s="2" t="s">
        <v>9473</v>
      </c>
      <c r="B4720" s="2" t="s">
        <v>9473</v>
      </c>
      <c r="C4720" s="2" t="s">
        <v>17</v>
      </c>
      <c r="D4720" s="2" t="s">
        <v>18</v>
      </c>
      <c r="E4720" s="5">
        <v>-28797</v>
      </c>
      <c r="F4720" s="3" t="s">
        <v>2281</v>
      </c>
      <c r="G4720" s="3" t="s">
        <v>20</v>
      </c>
      <c r="H4720" s="2" t="s">
        <v>21</v>
      </c>
      <c r="I4720" s="2" t="s">
        <v>9474</v>
      </c>
      <c r="J4720" s="3" t="str">
        <f>HYPERLINK("https://www.boe.es/gazeta/dias/1821/02/25/pdfs/GGB-1821-56.pdf#page=3","Abrir facsímil")</f>
        <v>Abrir facsímil</v>
      </c>
      <c r="K4720" s="3" t="s">
        <v>23</v>
      </c>
    </row>
    <row r="4721" spans="1:11" ht="42" customHeight="1">
      <c r="A4721" s="2" t="s">
        <v>9473</v>
      </c>
      <c r="B4721" s="2" t="s">
        <v>9473</v>
      </c>
      <c r="C4721" s="2" t="s">
        <v>40</v>
      </c>
      <c r="D4721" s="2" t="s">
        <v>41</v>
      </c>
      <c r="E4721" s="5">
        <v>-28789</v>
      </c>
      <c r="F4721" s="3" t="s">
        <v>36</v>
      </c>
      <c r="G4721" s="3" t="s">
        <v>52</v>
      </c>
      <c r="H4721" s="2" t="s">
        <v>21</v>
      </c>
      <c r="I4721" s="2" t="s">
        <v>9475</v>
      </c>
      <c r="J4721" s="3" t="str">
        <f>HYPERLINK("https://www.boe.es/gazeta/dias/1821/03/05/pdfs/GGB-1821-64.pdf#page=2","Abrir facsímil")</f>
        <v>Abrir facsímil</v>
      </c>
      <c r="K4721" s="3" t="s">
        <v>23</v>
      </c>
    </row>
    <row r="4722" spans="1:11" ht="42" customHeight="1">
      <c r="A4722" s="2" t="s">
        <v>9473</v>
      </c>
      <c r="B4722" s="2" t="s">
        <v>9473</v>
      </c>
      <c r="C4722" s="2" t="s">
        <v>35</v>
      </c>
      <c r="D4722" s="2" t="s">
        <v>27</v>
      </c>
      <c r="E4722" s="5">
        <v>-28663</v>
      </c>
      <c r="F4722" s="3" t="s">
        <v>3032</v>
      </c>
      <c r="G4722" s="3" t="s">
        <v>20</v>
      </c>
      <c r="H4722" s="2" t="s">
        <v>21</v>
      </c>
      <c r="I4722" s="2" t="s">
        <v>9476</v>
      </c>
      <c r="J4722" s="3" t="str">
        <f>HYPERLINK("https://www.boe.es/gazeta/dias/1821/07/09/pdfs/GMD-1821-194.pdf#page=3","Abrir facsímil")</f>
        <v>Abrir facsímil</v>
      </c>
      <c r="K4722" s="3" t="s">
        <v>23</v>
      </c>
    </row>
    <row r="4723" spans="1:11" ht="42" customHeight="1">
      <c r="A4723" s="2" t="s">
        <v>9473</v>
      </c>
      <c r="B4723" s="2" t="s">
        <v>9473</v>
      </c>
      <c r="C4723" s="2" t="s">
        <v>17</v>
      </c>
      <c r="D4723" s="2" t="s">
        <v>18</v>
      </c>
      <c r="E4723" s="5">
        <v>-28656</v>
      </c>
      <c r="F4723" s="3" t="s">
        <v>2399</v>
      </c>
      <c r="G4723" s="3" t="s">
        <v>3208</v>
      </c>
      <c r="H4723" s="2" t="s">
        <v>21</v>
      </c>
      <c r="I4723" s="2" t="s">
        <v>9477</v>
      </c>
      <c r="J4723" s="3" t="str">
        <f>HYPERLINK("https://www.boe.es/gazeta/dias/1821/07/16/pdfs/GMD-1821-201.pdf#page=3","Abrir facsímil")</f>
        <v>Abrir facsímil</v>
      </c>
      <c r="K4723" s="3" t="s">
        <v>23</v>
      </c>
    </row>
    <row r="4724" spans="1:11" ht="42" customHeight="1">
      <c r="A4724" s="2" t="s">
        <v>9473</v>
      </c>
      <c r="B4724" s="2" t="s">
        <v>9473</v>
      </c>
      <c r="C4724" s="2" t="s">
        <v>35</v>
      </c>
      <c r="D4724" s="2" t="s">
        <v>27</v>
      </c>
      <c r="E4724" s="5">
        <v>-28655</v>
      </c>
      <c r="F4724" s="3" t="s">
        <v>2530</v>
      </c>
      <c r="G4724" s="3" t="s">
        <v>52</v>
      </c>
      <c r="H4724" s="2" t="s">
        <v>21</v>
      </c>
      <c r="I4724" s="2" t="s">
        <v>9478</v>
      </c>
      <c r="J4724" s="3" t="str">
        <f>HYPERLINK("https://www.boe.es/gazeta/dias/1821/07/17/pdfs/GMD-1821-202.pdf#page=2","Abrir facsímil")</f>
        <v>Abrir facsímil</v>
      </c>
      <c r="K4724" s="3" t="s">
        <v>23</v>
      </c>
    </row>
    <row r="4725" spans="1:11" ht="42" customHeight="1">
      <c r="A4725" s="2" t="s">
        <v>9473</v>
      </c>
      <c r="B4725" s="2" t="s">
        <v>9473</v>
      </c>
      <c r="C4725" s="2" t="s">
        <v>17</v>
      </c>
      <c r="D4725" s="2" t="s">
        <v>18</v>
      </c>
      <c r="E4725" s="5">
        <v>-28605</v>
      </c>
      <c r="F4725" s="3" t="s">
        <v>3173</v>
      </c>
      <c r="G4725" s="3" t="s">
        <v>20</v>
      </c>
      <c r="H4725" s="2" t="s">
        <v>21</v>
      </c>
      <c r="I4725" s="2" t="s">
        <v>9479</v>
      </c>
      <c r="J4725" s="3" t="str">
        <f>HYPERLINK("https://www.boe.es/gazeta/dias/1821/09/05/pdfs/GMD-1821-253.pdf#page=3","Abrir facsímil")</f>
        <v>Abrir facsímil</v>
      </c>
      <c r="K4725" s="3" t="s">
        <v>23</v>
      </c>
    </row>
    <row r="4726" spans="1:11" ht="42" customHeight="1">
      <c r="A4726" s="2" t="s">
        <v>9473</v>
      </c>
      <c r="B4726" s="2" t="s">
        <v>9473</v>
      </c>
      <c r="C4726" s="2" t="s">
        <v>17</v>
      </c>
      <c r="D4726" s="2" t="s">
        <v>18</v>
      </c>
      <c r="E4726" s="5">
        <v>-28539</v>
      </c>
      <c r="F4726" s="3" t="s">
        <v>153</v>
      </c>
      <c r="G4726" s="3" t="s">
        <v>52</v>
      </c>
      <c r="H4726" s="2" t="s">
        <v>21</v>
      </c>
      <c r="I4726" s="2" t="s">
        <v>9480</v>
      </c>
      <c r="J4726" s="3" t="str">
        <f>HYPERLINK("https://www.boe.es/gazeta/dias/1821/11/10/pdfs/GMD-1821-321.pdf#page=2","Abrir facsímil")</f>
        <v>Abrir facsímil</v>
      </c>
      <c r="K4726" s="3" t="s">
        <v>23</v>
      </c>
    </row>
    <row r="4727" spans="1:11" ht="42" customHeight="1">
      <c r="A4727" s="2" t="s">
        <v>9473</v>
      </c>
      <c r="B4727" s="2" t="s">
        <v>9473</v>
      </c>
      <c r="C4727" s="2" t="s">
        <v>17</v>
      </c>
      <c r="D4727" s="2" t="s">
        <v>18</v>
      </c>
      <c r="E4727" s="5">
        <v>-28535</v>
      </c>
      <c r="F4727" s="3" t="s">
        <v>96</v>
      </c>
      <c r="G4727" s="3" t="s">
        <v>52</v>
      </c>
      <c r="H4727" s="2" t="s">
        <v>21</v>
      </c>
      <c r="I4727" s="2" t="s">
        <v>9481</v>
      </c>
      <c r="J4727" s="3" t="str">
        <f>HYPERLINK("https://www.boe.es/gazeta/dias/1821/11/14/pdfs/GMD-1821-325.pdf#page=2","Abrir facsímil")</f>
        <v>Abrir facsímil</v>
      </c>
      <c r="K4727" s="3" t="s">
        <v>23</v>
      </c>
    </row>
    <row r="4728" spans="1:11" ht="42" customHeight="1">
      <c r="A4728" s="2" t="s">
        <v>9482</v>
      </c>
      <c r="B4728" s="2" t="s">
        <v>9482</v>
      </c>
      <c r="C4728" s="2" t="s">
        <v>26</v>
      </c>
      <c r="D4728" s="2" t="s">
        <v>27</v>
      </c>
      <c r="E4728" s="5">
        <v>-28784</v>
      </c>
      <c r="F4728" s="3" t="s">
        <v>451</v>
      </c>
      <c r="G4728" s="3" t="s">
        <v>52</v>
      </c>
      <c r="H4728" s="2" t="s">
        <v>21</v>
      </c>
      <c r="I4728" s="2" t="s">
        <v>9483</v>
      </c>
      <c r="J4728" s="3" t="str">
        <f>HYPERLINK("https://www.boe.es/gazeta/dias/1821/03/10/pdfs/GGB-1821-69.pdf#page=2","Abrir facsímil")</f>
        <v>Abrir facsímil</v>
      </c>
      <c r="K4728" s="3" t="s">
        <v>23</v>
      </c>
    </row>
    <row r="4729" spans="1:11" ht="42" customHeight="1">
      <c r="A4729" s="2" t="s">
        <v>9484</v>
      </c>
      <c r="B4729" s="2" t="s">
        <v>9485</v>
      </c>
      <c r="C4729" s="2" t="s">
        <v>17</v>
      </c>
      <c r="D4729" s="2" t="s">
        <v>18</v>
      </c>
      <c r="E4729" s="5">
        <v>-28676</v>
      </c>
      <c r="F4729" s="3" t="s">
        <v>534</v>
      </c>
      <c r="G4729" s="3" t="s">
        <v>29</v>
      </c>
      <c r="H4729" s="2" t="s">
        <v>21</v>
      </c>
      <c r="I4729" s="2" t="s">
        <v>9486</v>
      </c>
      <c r="J4729" s="3" t="str">
        <f>HYPERLINK("https://www.boe.es/gazeta/dias/1821/06/26/pdfs/GMD-1821-179.pdf#page=6","Abrir facsímil")</f>
        <v>Abrir facsímil</v>
      </c>
      <c r="K4729" s="3" t="s">
        <v>23</v>
      </c>
    </row>
    <row r="4730" spans="1:11" ht="42" customHeight="1">
      <c r="A4730" s="2" t="s">
        <v>9484</v>
      </c>
      <c r="B4730" s="2" t="s">
        <v>9485</v>
      </c>
      <c r="C4730" s="2" t="s">
        <v>17</v>
      </c>
      <c r="D4730" s="2" t="s">
        <v>18</v>
      </c>
      <c r="E4730" s="5">
        <v>-28532</v>
      </c>
      <c r="F4730" s="3" t="s">
        <v>1415</v>
      </c>
      <c r="G4730" s="3" t="s">
        <v>29</v>
      </c>
      <c r="H4730" s="2" t="s">
        <v>21</v>
      </c>
      <c r="I4730" s="2" t="s">
        <v>9487</v>
      </c>
      <c r="J4730" s="3" t="str">
        <f>HYPERLINK("https://www.boe.es/gazeta/dias/1821/11/17/pdfs/GMD-1821-328.pdf#page=6","Abrir facsímil")</f>
        <v>Abrir facsímil</v>
      </c>
      <c r="K4730" s="3" t="s">
        <v>23</v>
      </c>
    </row>
    <row r="4731" spans="1:11" ht="42" customHeight="1">
      <c r="A4731" s="2" t="s">
        <v>9488</v>
      </c>
      <c r="B4731" s="2" t="s">
        <v>9489</v>
      </c>
      <c r="C4731" s="2" t="s">
        <v>70</v>
      </c>
      <c r="D4731" s="2" t="s">
        <v>27</v>
      </c>
      <c r="E4731" s="5">
        <v>-28668</v>
      </c>
      <c r="F4731" s="3" t="s">
        <v>2130</v>
      </c>
      <c r="G4731" s="3" t="s">
        <v>20</v>
      </c>
      <c r="H4731" s="2" t="s">
        <v>21</v>
      </c>
      <c r="I4731" s="2" t="s">
        <v>9490</v>
      </c>
      <c r="J4731" s="3" t="str">
        <f>HYPERLINK("https://www.boe.es/gazeta/dias/1821/07/04/pdfs/GMD-1821-188.pdf#page=3","Abrir facsímil")</f>
        <v>Abrir facsímil</v>
      </c>
      <c r="K4731" s="3" t="s">
        <v>23</v>
      </c>
    </row>
    <row r="4732" spans="1:11" ht="42" customHeight="1">
      <c r="A4732" s="2" t="s">
        <v>9491</v>
      </c>
      <c r="B4732" s="2" t="s">
        <v>9492</v>
      </c>
      <c r="C4732" s="2" t="s">
        <v>40</v>
      </c>
      <c r="D4732" s="2" t="s">
        <v>41</v>
      </c>
      <c r="E4732" s="5">
        <v>-28512</v>
      </c>
      <c r="F4732" s="3" t="s">
        <v>66</v>
      </c>
      <c r="G4732" s="3" t="s">
        <v>43</v>
      </c>
      <c r="H4732" s="2" t="s">
        <v>21</v>
      </c>
      <c r="I4732" s="2" t="s">
        <v>9493</v>
      </c>
      <c r="J4732" s="3" t="str">
        <f>HYPERLINK("https://www.boe.es/gazeta/dias/1821/12/07/pdfs/GMD-1821-349.pdf#page=1","Abrir facsímil")</f>
        <v>Abrir facsímil</v>
      </c>
      <c r="K4732" s="3" t="s">
        <v>23</v>
      </c>
    </row>
    <row r="4733" spans="1:11" ht="42" customHeight="1">
      <c r="A4733" s="2" t="s">
        <v>9494</v>
      </c>
      <c r="B4733" s="2" t="s">
        <v>9495</v>
      </c>
      <c r="C4733" s="2" t="s">
        <v>40</v>
      </c>
      <c r="D4733" s="2" t="s">
        <v>41</v>
      </c>
      <c r="E4733" s="5">
        <v>-28687</v>
      </c>
      <c r="F4733" s="3" t="s">
        <v>851</v>
      </c>
      <c r="G4733" s="3" t="s">
        <v>20</v>
      </c>
      <c r="H4733" s="2" t="s">
        <v>21</v>
      </c>
      <c r="I4733" s="2" t="s">
        <v>9496</v>
      </c>
      <c r="J4733" s="3" t="str">
        <f>HYPERLINK("https://www.boe.es/gazeta/dias/1821/06/15/pdfs/GMD-1821-168.pdf#page=3","Abrir facsímil")</f>
        <v>Abrir facsímil</v>
      </c>
      <c r="K4733" s="3" t="s">
        <v>23</v>
      </c>
    </row>
    <row r="4734" spans="1:11" ht="42" customHeight="1">
      <c r="A4734" s="2" t="s">
        <v>9497</v>
      </c>
      <c r="B4734" s="2" t="s">
        <v>9497</v>
      </c>
      <c r="C4734" s="2" t="s">
        <v>26</v>
      </c>
      <c r="D4734" s="2" t="s">
        <v>27</v>
      </c>
      <c r="E4734" s="5">
        <v>-28560</v>
      </c>
      <c r="F4734" s="3" t="s">
        <v>363</v>
      </c>
      <c r="G4734" s="3" t="s">
        <v>52</v>
      </c>
      <c r="H4734" s="2" t="s">
        <v>21</v>
      </c>
      <c r="I4734" s="2" t="s">
        <v>9498</v>
      </c>
      <c r="J4734" s="3" t="str">
        <f>HYPERLINK("https://www.boe.es/gazeta/dias/1821/10/20/pdfs/GMD-1821-299.pdf#page=2","Abrir facsímil")</f>
        <v>Abrir facsímil</v>
      </c>
      <c r="K4734" s="3" t="s">
        <v>23</v>
      </c>
    </row>
    <row r="4735" spans="1:11" ht="42" customHeight="1">
      <c r="A4735" s="2" t="s">
        <v>9499</v>
      </c>
      <c r="B4735" s="2" t="s">
        <v>9499</v>
      </c>
      <c r="C4735" s="2" t="s">
        <v>40</v>
      </c>
      <c r="D4735" s="2" t="s">
        <v>41</v>
      </c>
      <c r="E4735" s="5">
        <v>-28769</v>
      </c>
      <c r="F4735" s="3" t="s">
        <v>489</v>
      </c>
      <c r="G4735" s="3" t="s">
        <v>43</v>
      </c>
      <c r="H4735" s="2" t="s">
        <v>21</v>
      </c>
      <c r="I4735" s="2" t="s">
        <v>9500</v>
      </c>
      <c r="J4735" s="3" t="str">
        <f>HYPERLINK("https://www.boe.es/gazeta/dias/1821/03/25/pdfs/GMD-1821-85.pdf#page=1","Abrir facsímil")</f>
        <v>Abrir facsímil</v>
      </c>
      <c r="K4735" s="3" t="s">
        <v>23</v>
      </c>
    </row>
    <row r="4736" spans="1:11" ht="42" customHeight="1">
      <c r="A4736" s="2" t="s">
        <v>9501</v>
      </c>
      <c r="B4736" s="2" t="s">
        <v>9502</v>
      </c>
      <c r="C4736" s="2" t="s">
        <v>40</v>
      </c>
      <c r="D4736" s="2" t="s">
        <v>41</v>
      </c>
      <c r="E4736" s="5">
        <v>-28766</v>
      </c>
      <c r="F4736" s="3" t="s">
        <v>1481</v>
      </c>
      <c r="G4736" s="3" t="s">
        <v>52</v>
      </c>
      <c r="H4736" s="2" t="s">
        <v>21</v>
      </c>
      <c r="I4736" s="2" t="s">
        <v>9503</v>
      </c>
      <c r="J4736" s="3" t="str">
        <f>HYPERLINK("https://www.boe.es/gazeta/dias/1821/03/28/pdfs/GMD-1821-88.pdf#page=2","Abrir facsímil")</f>
        <v>Abrir facsímil</v>
      </c>
      <c r="K4736" s="3" t="s">
        <v>23</v>
      </c>
    </row>
    <row r="4737" spans="1:11" ht="42" customHeight="1">
      <c r="A4737" s="2" t="s">
        <v>9504</v>
      </c>
      <c r="B4737" s="2" t="s">
        <v>9505</v>
      </c>
      <c r="C4737" s="2" t="s">
        <v>26</v>
      </c>
      <c r="D4737" s="2" t="s">
        <v>27</v>
      </c>
      <c r="E4737" s="5">
        <v>-28710</v>
      </c>
      <c r="F4737" s="3" t="s">
        <v>375</v>
      </c>
      <c r="G4737" s="3" t="s">
        <v>88</v>
      </c>
      <c r="H4737" s="2" t="s">
        <v>21</v>
      </c>
      <c r="I4737" s="2" t="s">
        <v>9506</v>
      </c>
      <c r="J4737" s="3" t="str">
        <f>HYPERLINK("https://www.boe.es/gazeta/dias/1821/05/23/pdfs/GMD-1821-145.pdf#page=4","Abrir facsímil")</f>
        <v>Abrir facsímil</v>
      </c>
      <c r="K4737" s="3" t="s">
        <v>23</v>
      </c>
    </row>
    <row r="4738" spans="1:11" ht="42" customHeight="1">
      <c r="A4738" s="2" t="s">
        <v>9507</v>
      </c>
      <c r="B4738" s="2" t="s">
        <v>9507</v>
      </c>
      <c r="C4738" s="2" t="s">
        <v>26</v>
      </c>
      <c r="D4738" s="2" t="s">
        <v>27</v>
      </c>
      <c r="E4738" s="5">
        <v>-28644</v>
      </c>
      <c r="F4738" s="3" t="s">
        <v>1340</v>
      </c>
      <c r="G4738" s="3" t="s">
        <v>43</v>
      </c>
      <c r="H4738" s="2" t="s">
        <v>21</v>
      </c>
      <c r="I4738" s="2" t="s">
        <v>9508</v>
      </c>
      <c r="J4738" s="3" t="str">
        <f>HYPERLINK("https://www.boe.es/gazeta/dias/1821/07/28/pdfs/GMD-1821-213.pdf#page=1","Abrir facsímil")</f>
        <v>Abrir facsímil</v>
      </c>
      <c r="K4738" s="3" t="s">
        <v>23</v>
      </c>
    </row>
    <row r="4739" spans="1:11" ht="42" customHeight="1">
      <c r="A4739" s="2" t="s">
        <v>9509</v>
      </c>
      <c r="B4739" s="2" t="s">
        <v>9509</v>
      </c>
      <c r="C4739" s="2" t="s">
        <v>40</v>
      </c>
      <c r="D4739" s="2" t="s">
        <v>41</v>
      </c>
      <c r="E4739" s="5">
        <v>-28841</v>
      </c>
      <c r="F4739" s="3" t="s">
        <v>765</v>
      </c>
      <c r="G4739" s="3" t="s">
        <v>20</v>
      </c>
      <c r="H4739" s="2" t="s">
        <v>21</v>
      </c>
      <c r="I4739" s="2" t="s">
        <v>9510</v>
      </c>
      <c r="J4739" s="3" t="str">
        <f>HYPERLINK("https://www.boe.es/gazeta/dias/1821/01/12/pdfs/GGB-1821-12.pdf#page=3","Abrir facsímil")</f>
        <v>Abrir facsímil</v>
      </c>
      <c r="K4739" s="3" t="s">
        <v>23</v>
      </c>
    </row>
    <row r="4740" spans="1:11" ht="42" customHeight="1">
      <c r="A4740" s="2" t="s">
        <v>9509</v>
      </c>
      <c r="B4740" s="2" t="s">
        <v>9509</v>
      </c>
      <c r="C4740" s="2" t="s">
        <v>40</v>
      </c>
      <c r="D4740" s="2" t="s">
        <v>41</v>
      </c>
      <c r="E4740" s="5">
        <v>-28756</v>
      </c>
      <c r="F4740" s="3" t="s">
        <v>3145</v>
      </c>
      <c r="G4740" s="3" t="s">
        <v>43</v>
      </c>
      <c r="H4740" s="2" t="s">
        <v>21</v>
      </c>
      <c r="I4740" s="2" t="s">
        <v>9511</v>
      </c>
      <c r="J4740" s="3" t="str">
        <f>HYPERLINK("https://www.boe.es/gazeta/dias/1821/04/07/pdfs/GMD-1821-99.pdf#page=1","Abrir facsímil")</f>
        <v>Abrir facsímil</v>
      </c>
      <c r="K4740" s="3" t="s">
        <v>23</v>
      </c>
    </row>
    <row r="4741" spans="1:11" ht="42" customHeight="1">
      <c r="A4741" s="2" t="s">
        <v>9512</v>
      </c>
      <c r="B4741" s="2" t="s">
        <v>9512</v>
      </c>
      <c r="C4741" s="2" t="s">
        <v>26</v>
      </c>
      <c r="D4741" s="2" t="s">
        <v>27</v>
      </c>
      <c r="E4741" s="5">
        <v>-28751</v>
      </c>
      <c r="F4741" s="3" t="s">
        <v>356</v>
      </c>
      <c r="G4741" s="3" t="s">
        <v>43</v>
      </c>
      <c r="H4741" s="2" t="s">
        <v>21</v>
      </c>
      <c r="I4741" s="2" t="s">
        <v>9513</v>
      </c>
      <c r="J4741" s="3" t="str">
        <f>HYPERLINK("https://www.boe.es/gazeta/dias/1821/04/12/pdfs/GMD-1821-104.pdf#page=1","Abrir facsímil")</f>
        <v>Abrir facsímil</v>
      </c>
      <c r="K4741" s="3" t="s">
        <v>23</v>
      </c>
    </row>
    <row r="4742" spans="1:11" ht="42" customHeight="1">
      <c r="A4742" s="2" t="s">
        <v>9514</v>
      </c>
      <c r="B4742" s="2" t="s">
        <v>9515</v>
      </c>
      <c r="C4742" s="2" t="s">
        <v>26</v>
      </c>
      <c r="D4742" s="2" t="s">
        <v>27</v>
      </c>
      <c r="E4742" s="5">
        <v>-28547</v>
      </c>
      <c r="F4742" s="3" t="s">
        <v>247</v>
      </c>
      <c r="G4742" s="3" t="s">
        <v>248</v>
      </c>
      <c r="H4742" s="2" t="s">
        <v>21</v>
      </c>
      <c r="I4742" s="2" t="s">
        <v>9516</v>
      </c>
      <c r="J4742" s="3" t="str">
        <f>HYPERLINK("https://www.boe.es/gazeta/dias/1821/11/02/pdfs/GMD-1821-312.pdf#page=2","Abrir facsímil")</f>
        <v>Abrir facsímil</v>
      </c>
      <c r="K4742" s="3" t="s">
        <v>23</v>
      </c>
    </row>
    <row r="4743" spans="1:11" ht="42" customHeight="1">
      <c r="A4743" s="2" t="s">
        <v>9517</v>
      </c>
      <c r="B4743" s="2" t="s">
        <v>9517</v>
      </c>
      <c r="C4743" s="2" t="s">
        <v>17</v>
      </c>
      <c r="D4743" s="2" t="s">
        <v>18</v>
      </c>
      <c r="E4743" s="5">
        <v>-28712</v>
      </c>
      <c r="F4743" s="3" t="s">
        <v>695</v>
      </c>
      <c r="G4743" s="3" t="s">
        <v>52</v>
      </c>
      <c r="H4743" s="2" t="s">
        <v>21</v>
      </c>
      <c r="I4743" s="2" t="s">
        <v>9518</v>
      </c>
      <c r="J4743" s="3" t="str">
        <f>HYPERLINK("https://www.boe.es/gazeta/dias/1821/05/21/pdfs/GMD-1821-143.pdf#page=2","Abrir facsímil")</f>
        <v>Abrir facsímil</v>
      </c>
      <c r="K4743" s="3" t="s">
        <v>23</v>
      </c>
    </row>
    <row r="4744" spans="1:11" ht="42" customHeight="1">
      <c r="A4744" s="2" t="s">
        <v>9519</v>
      </c>
      <c r="B4744" s="2" t="s">
        <v>9520</v>
      </c>
      <c r="C4744" s="2" t="s">
        <v>40</v>
      </c>
      <c r="D4744" s="2" t="s">
        <v>41</v>
      </c>
      <c r="E4744" s="5">
        <v>-28733</v>
      </c>
      <c r="F4744" s="3" t="s">
        <v>1033</v>
      </c>
      <c r="G4744" s="3" t="s">
        <v>7434</v>
      </c>
      <c r="H4744" s="2" t="s">
        <v>21</v>
      </c>
      <c r="I4744" s="2" t="s">
        <v>9521</v>
      </c>
      <c r="J4744" s="3" t="str">
        <f>HYPERLINK("https://www.boe.es/gazeta/dias/1821/04/30/pdfs/GMD-1821-122.pdf#page=4","Abrir facsímil")</f>
        <v>Abrir facsímil</v>
      </c>
      <c r="K4744" s="3" t="s">
        <v>23</v>
      </c>
    </row>
    <row r="4745" spans="1:11" ht="42" customHeight="1">
      <c r="A4745" s="2" t="s">
        <v>9522</v>
      </c>
      <c r="B4745" s="2" t="s">
        <v>9522</v>
      </c>
      <c r="C4745" s="2" t="s">
        <v>17</v>
      </c>
      <c r="D4745" s="2" t="s">
        <v>18</v>
      </c>
      <c r="E4745" s="5">
        <v>-28685</v>
      </c>
      <c r="F4745" s="3" t="s">
        <v>303</v>
      </c>
      <c r="G4745" s="3" t="s">
        <v>162</v>
      </c>
      <c r="H4745" s="2" t="s">
        <v>21</v>
      </c>
      <c r="I4745" s="2" t="s">
        <v>9523</v>
      </c>
      <c r="J4745" s="3" t="str">
        <f>HYPERLINK("https://www.boe.es/gazeta/dias/1821/06/17/pdfs/GMD-1821-170.pdf#page=5","Abrir facsímil")</f>
        <v>Abrir facsímil</v>
      </c>
      <c r="K4745" s="3" t="s">
        <v>23</v>
      </c>
    </row>
    <row r="4746" spans="1:11" ht="42" customHeight="1">
      <c r="A4746" s="2" t="s">
        <v>9524</v>
      </c>
      <c r="B4746" s="2" t="s">
        <v>9524</v>
      </c>
      <c r="C4746" s="2" t="s">
        <v>40</v>
      </c>
      <c r="D4746" s="2" t="s">
        <v>41</v>
      </c>
      <c r="E4746" s="5">
        <v>-28719</v>
      </c>
      <c r="F4746" s="3" t="s">
        <v>647</v>
      </c>
      <c r="G4746" s="3" t="s">
        <v>43</v>
      </c>
      <c r="H4746" s="2" t="s">
        <v>21</v>
      </c>
      <c r="I4746" s="2" t="s">
        <v>9525</v>
      </c>
      <c r="J4746" s="3" t="str">
        <f>HYPERLINK("https://www.boe.es/gazeta/dias/1821/05/14/pdfs/GMD-1821-136.pdf#page=1","Abrir facsímil")</f>
        <v>Abrir facsímil</v>
      </c>
      <c r="K4746" s="3" t="s">
        <v>23</v>
      </c>
    </row>
    <row r="4747" spans="1:11" ht="42" customHeight="1">
      <c r="A4747" s="2" t="s">
        <v>9526</v>
      </c>
      <c r="B4747" s="2" t="s">
        <v>9526</v>
      </c>
      <c r="C4747" s="2" t="s">
        <v>17</v>
      </c>
      <c r="D4747" s="2" t="s">
        <v>18</v>
      </c>
      <c r="E4747" s="5">
        <v>-28679</v>
      </c>
      <c r="F4747" s="3" t="s">
        <v>213</v>
      </c>
      <c r="G4747" s="3" t="s">
        <v>88</v>
      </c>
      <c r="H4747" s="2" t="s">
        <v>21</v>
      </c>
      <c r="I4747" s="2" t="s">
        <v>9527</v>
      </c>
      <c r="J4747" s="3" t="str">
        <f>HYPERLINK("https://www.boe.es/gazeta/dias/1821/06/23/pdfs/GMD-1821-176.pdf#page=4","Abrir facsímil")</f>
        <v>Abrir facsímil</v>
      </c>
      <c r="K4747" s="3" t="s">
        <v>23</v>
      </c>
    </row>
    <row r="4748" spans="1:11" ht="42" customHeight="1">
      <c r="A4748" s="2" t="s">
        <v>9528</v>
      </c>
      <c r="B4748" s="2" t="s">
        <v>9529</v>
      </c>
      <c r="C4748" s="2" t="s">
        <v>40</v>
      </c>
      <c r="D4748" s="2" t="s">
        <v>41</v>
      </c>
      <c r="E4748" s="5">
        <v>-28643</v>
      </c>
      <c r="F4748" s="3" t="s">
        <v>1569</v>
      </c>
      <c r="G4748" s="3" t="s">
        <v>88</v>
      </c>
      <c r="H4748" s="2" t="s">
        <v>21</v>
      </c>
      <c r="I4748" s="2" t="s">
        <v>9530</v>
      </c>
      <c r="J4748" s="3" t="str">
        <f>HYPERLINK("https://www.boe.es/gazeta/dias/1821/07/29/pdfs/GMD-1821-214.pdf#page=4","Abrir facsímil")</f>
        <v>Abrir facsímil</v>
      </c>
      <c r="K4748" s="3" t="s">
        <v>23</v>
      </c>
    </row>
    <row r="4749" spans="1:11" ht="42" customHeight="1">
      <c r="A4749" s="2" t="s">
        <v>9531</v>
      </c>
      <c r="B4749" s="2" t="s">
        <v>9531</v>
      </c>
      <c r="C4749" s="2" t="s">
        <v>26</v>
      </c>
      <c r="D4749" s="2" t="s">
        <v>27</v>
      </c>
      <c r="E4749" s="5">
        <v>-28701</v>
      </c>
      <c r="F4749" s="3" t="s">
        <v>202</v>
      </c>
      <c r="G4749" s="3" t="s">
        <v>52</v>
      </c>
      <c r="H4749" s="2" t="s">
        <v>21</v>
      </c>
      <c r="I4749" s="2" t="s">
        <v>9532</v>
      </c>
      <c r="J4749" s="3" t="str">
        <f>HYPERLINK("https://www.boe.es/gazeta/dias/1821/06/01/pdfs/GMD-1821-154.pdf#page=2","Abrir facsímil")</f>
        <v>Abrir facsímil</v>
      </c>
      <c r="K4749" s="3" t="s">
        <v>23</v>
      </c>
    </row>
    <row r="4750" spans="1:11" ht="42" customHeight="1">
      <c r="A4750" s="2" t="s">
        <v>9533</v>
      </c>
      <c r="B4750" s="2" t="s">
        <v>9534</v>
      </c>
      <c r="C4750" s="2" t="s">
        <v>40</v>
      </c>
      <c r="D4750" s="2" t="s">
        <v>41</v>
      </c>
      <c r="E4750" s="5">
        <v>-28750</v>
      </c>
      <c r="F4750" s="3" t="s">
        <v>917</v>
      </c>
      <c r="G4750" s="3" t="s">
        <v>52</v>
      </c>
      <c r="H4750" s="2" t="s">
        <v>21</v>
      </c>
      <c r="I4750" s="2" t="s">
        <v>9535</v>
      </c>
      <c r="J4750" s="3" t="str">
        <f>HYPERLINK("https://www.boe.es/gazeta/dias/1821/04/13/pdfs/GMD-1821-105.pdf#page=2","Abrir facsímil")</f>
        <v>Abrir facsímil</v>
      </c>
      <c r="K4750" s="3" t="s">
        <v>23</v>
      </c>
    </row>
    <row r="4751" spans="1:11" ht="42" customHeight="1">
      <c r="A4751" s="2" t="s">
        <v>9536</v>
      </c>
      <c r="B4751" s="2" t="s">
        <v>9537</v>
      </c>
      <c r="C4751" s="2" t="s">
        <v>114</v>
      </c>
      <c r="D4751" s="2" t="s">
        <v>27</v>
      </c>
      <c r="E4751" s="5">
        <v>-28650</v>
      </c>
      <c r="F4751" s="3" t="s">
        <v>3285</v>
      </c>
      <c r="G4751" s="3" t="s">
        <v>20</v>
      </c>
      <c r="H4751" s="2" t="s">
        <v>21</v>
      </c>
      <c r="I4751" s="2" t="s">
        <v>9538</v>
      </c>
      <c r="J4751" s="3" t="str">
        <f>HYPERLINK("https://www.boe.es/gazeta/dias/1821/07/22/pdfs/GMD-1821-207.pdf#page=3","Abrir facsímil")</f>
        <v>Abrir facsímil</v>
      </c>
      <c r="K4751" s="3" t="s">
        <v>23</v>
      </c>
    </row>
    <row r="4752" spans="1:11" ht="42" customHeight="1">
      <c r="A4752" s="2" t="s">
        <v>9539</v>
      </c>
      <c r="B4752" s="2" t="s">
        <v>9540</v>
      </c>
      <c r="C4752" s="2" t="s">
        <v>17</v>
      </c>
      <c r="D4752" s="2" t="s">
        <v>18</v>
      </c>
      <c r="E4752" s="5">
        <v>-28765</v>
      </c>
      <c r="F4752" s="3" t="s">
        <v>974</v>
      </c>
      <c r="G4752" s="3" t="s">
        <v>52</v>
      </c>
      <c r="H4752" s="2" t="s">
        <v>21</v>
      </c>
      <c r="I4752" s="2" t="s">
        <v>9541</v>
      </c>
      <c r="J4752" s="3" t="str">
        <f>HYPERLINK("https://www.boe.es/gazeta/dias/1821/03/29/pdfs/GMD-1821-90.pdf#page=2","Abrir facsímil")</f>
        <v>Abrir facsímil</v>
      </c>
      <c r="K4752" s="3" t="s">
        <v>23</v>
      </c>
    </row>
    <row r="4753" spans="1:11" ht="42" customHeight="1">
      <c r="A4753" s="2" t="s">
        <v>9539</v>
      </c>
      <c r="B4753" s="2" t="s">
        <v>9540</v>
      </c>
      <c r="C4753" s="2" t="s">
        <v>35</v>
      </c>
      <c r="D4753" s="2" t="s">
        <v>27</v>
      </c>
      <c r="E4753" s="5">
        <v>-28694</v>
      </c>
      <c r="F4753" s="3" t="s">
        <v>1057</v>
      </c>
      <c r="G4753" s="3" t="s">
        <v>20</v>
      </c>
      <c r="H4753" s="2" t="s">
        <v>21</v>
      </c>
      <c r="I4753" s="2" t="s">
        <v>9542</v>
      </c>
      <c r="J4753" s="3" t="str">
        <f>HYPERLINK("https://www.boe.es/gazeta/dias/1821/06/08/pdfs/GMD-1821-161.pdf#page=3","Abrir facsímil")</f>
        <v>Abrir facsímil</v>
      </c>
      <c r="K4753" s="3" t="s">
        <v>23</v>
      </c>
    </row>
    <row r="4754" spans="1:11" ht="42" customHeight="1">
      <c r="A4754" s="2" t="s">
        <v>9543</v>
      </c>
      <c r="B4754" s="2" t="s">
        <v>9544</v>
      </c>
      <c r="C4754" s="2" t="s">
        <v>17</v>
      </c>
      <c r="D4754" s="2" t="s">
        <v>18</v>
      </c>
      <c r="E4754" s="5">
        <v>-28774</v>
      </c>
      <c r="F4754" s="3" t="s">
        <v>1221</v>
      </c>
      <c r="G4754" s="3" t="s">
        <v>29</v>
      </c>
      <c r="H4754" s="2" t="s">
        <v>21</v>
      </c>
      <c r="I4754" s="2" t="s">
        <v>9545</v>
      </c>
      <c r="J4754" s="3" t="str">
        <f>HYPERLINK("https://www.boe.es/gazeta/dias/1821/03/20/pdfs/GMD-1821-79.pdf#page=6","Abrir facsímil")</f>
        <v>Abrir facsímil</v>
      </c>
      <c r="K4754" s="3" t="s">
        <v>23</v>
      </c>
    </row>
    <row r="4755" spans="1:11" ht="42" customHeight="1">
      <c r="A4755" s="2" t="s">
        <v>9543</v>
      </c>
      <c r="B4755" s="2" t="s">
        <v>9544</v>
      </c>
      <c r="C4755" s="2" t="s">
        <v>40</v>
      </c>
      <c r="D4755" s="2" t="s">
        <v>41</v>
      </c>
      <c r="E4755" s="5">
        <v>-28519</v>
      </c>
      <c r="F4755" s="3" t="s">
        <v>880</v>
      </c>
      <c r="G4755" s="3" t="s">
        <v>88</v>
      </c>
      <c r="H4755" s="2" t="s">
        <v>21</v>
      </c>
      <c r="I4755" s="2" t="s">
        <v>9546</v>
      </c>
      <c r="J4755" s="3" t="str">
        <f>HYPERLINK("https://www.boe.es/gazeta/dias/1821/11/30/pdfs/GMD-1821-342.pdf#page=4","Abrir facsímil")</f>
        <v>Abrir facsímil</v>
      </c>
      <c r="K4755" s="3" t="s">
        <v>23</v>
      </c>
    </row>
    <row r="4756" spans="1:11" ht="42" customHeight="1">
      <c r="A4756" s="2" t="s">
        <v>9547</v>
      </c>
      <c r="B4756" s="2" t="s">
        <v>9548</v>
      </c>
      <c r="C4756" s="2" t="s">
        <v>17</v>
      </c>
      <c r="D4756" s="2" t="s">
        <v>18</v>
      </c>
      <c r="E4756" s="5">
        <v>-28813</v>
      </c>
      <c r="F4756" s="3" t="s">
        <v>268</v>
      </c>
      <c r="G4756" s="3" t="s">
        <v>20</v>
      </c>
      <c r="H4756" s="2" t="s">
        <v>21</v>
      </c>
      <c r="I4756" s="2" t="s">
        <v>9549</v>
      </c>
      <c r="J4756" s="3" t="str">
        <f>HYPERLINK("https://www.boe.es/gazeta/dias/1821/02/09/pdfs/GGB-1821-40.pdf#page=3","Abrir facsímil")</f>
        <v>Abrir facsímil</v>
      </c>
      <c r="K4756" s="3" t="s">
        <v>23</v>
      </c>
    </row>
    <row r="4757" spans="1:11" ht="42" customHeight="1">
      <c r="A4757" s="2" t="s">
        <v>9550</v>
      </c>
      <c r="B4757" s="2" t="s">
        <v>9551</v>
      </c>
      <c r="C4757" s="2" t="s">
        <v>174</v>
      </c>
      <c r="D4757" s="2" t="s">
        <v>27</v>
      </c>
      <c r="E4757" s="5">
        <v>-28629</v>
      </c>
      <c r="F4757" s="3" t="s">
        <v>235</v>
      </c>
      <c r="G4757" s="3" t="s">
        <v>88</v>
      </c>
      <c r="H4757" s="2" t="s">
        <v>21</v>
      </c>
      <c r="I4757" s="2" t="s">
        <v>9552</v>
      </c>
      <c r="J4757" s="3" t="str">
        <f>HYPERLINK("https://www.boe.es/gazeta/dias/1821/08/12/pdfs/GMD-1821-229.pdf#page=4","Abrir facsímil")</f>
        <v>Abrir facsímil</v>
      </c>
      <c r="K4757" s="3" t="s">
        <v>23</v>
      </c>
    </row>
    <row r="4758" spans="1:11" ht="42" customHeight="1">
      <c r="A4758" s="2" t="s">
        <v>9553</v>
      </c>
      <c r="B4758" s="2" t="s">
        <v>9554</v>
      </c>
      <c r="C4758" s="2" t="s">
        <v>26</v>
      </c>
      <c r="D4758" s="2" t="s">
        <v>27</v>
      </c>
      <c r="E4758" s="5">
        <v>-28620</v>
      </c>
      <c r="F4758" s="3" t="s">
        <v>87</v>
      </c>
      <c r="G4758" s="3" t="s">
        <v>88</v>
      </c>
      <c r="H4758" s="2" t="s">
        <v>21</v>
      </c>
      <c r="I4758" s="2" t="s">
        <v>9555</v>
      </c>
      <c r="J4758" s="3" t="str">
        <f>HYPERLINK("https://www.boe.es/gazeta/dias/1821/08/21/pdfs/GMD-1821-238.pdf#page=4","Abrir facsímil")</f>
        <v>Abrir facsímil</v>
      </c>
      <c r="K4758" s="3" t="s">
        <v>23</v>
      </c>
    </row>
    <row r="4759" spans="1:11" ht="42" customHeight="1">
      <c r="A4759" s="2" t="s">
        <v>9553</v>
      </c>
      <c r="B4759" s="2" t="s">
        <v>9554</v>
      </c>
      <c r="C4759" s="2" t="s">
        <v>40</v>
      </c>
      <c r="D4759" s="2" t="s">
        <v>41</v>
      </c>
      <c r="E4759" s="5">
        <v>-28542</v>
      </c>
      <c r="F4759" s="3" t="s">
        <v>221</v>
      </c>
      <c r="G4759" s="3" t="s">
        <v>20</v>
      </c>
      <c r="H4759" s="2" t="s">
        <v>21</v>
      </c>
      <c r="I4759" s="2" t="s">
        <v>9556</v>
      </c>
      <c r="J4759" s="3" t="str">
        <f>HYPERLINK("https://www.boe.es/gazeta/dias/1821/11/07/pdfs/GMD-1821-318.pdf#page=3","Abrir facsímil")</f>
        <v>Abrir facsímil</v>
      </c>
      <c r="K4759" s="3" t="s">
        <v>23</v>
      </c>
    </row>
    <row r="4760" spans="1:11" ht="42" customHeight="1">
      <c r="A4760" s="2" t="s">
        <v>9557</v>
      </c>
      <c r="B4760" s="2" t="s">
        <v>9558</v>
      </c>
      <c r="C4760" s="2" t="s">
        <v>17</v>
      </c>
      <c r="D4760" s="2" t="s">
        <v>18</v>
      </c>
      <c r="E4760" s="5">
        <v>-28641</v>
      </c>
      <c r="F4760" s="3" t="s">
        <v>398</v>
      </c>
      <c r="G4760" s="3" t="s">
        <v>20</v>
      </c>
      <c r="H4760" s="2" t="s">
        <v>21</v>
      </c>
      <c r="I4760" s="2" t="s">
        <v>9559</v>
      </c>
      <c r="J4760" s="3" t="str">
        <f>HYPERLINK("https://www.boe.es/gazeta/dias/1821/07/31/pdfs/GMD-1821-216.pdf#page=3","Abrir facsímil")</f>
        <v>Abrir facsímil</v>
      </c>
      <c r="K4760" s="3" t="s">
        <v>23</v>
      </c>
    </row>
    <row r="4761" spans="1:11" ht="42" customHeight="1">
      <c r="A4761" s="2" t="s">
        <v>9560</v>
      </c>
      <c r="B4761" s="2" t="s">
        <v>9561</v>
      </c>
      <c r="C4761" s="2" t="s">
        <v>70</v>
      </c>
      <c r="D4761" s="2" t="s">
        <v>27</v>
      </c>
      <c r="E4761" s="5">
        <v>-28508</v>
      </c>
      <c r="F4761" s="3" t="s">
        <v>42</v>
      </c>
      <c r="G4761" s="3" t="s">
        <v>52</v>
      </c>
      <c r="H4761" s="2" t="s">
        <v>30</v>
      </c>
      <c r="I4761" s="2" t="s">
        <v>9562</v>
      </c>
      <c r="J4761" s="3" t="str">
        <f>HYPERLINK("https://www.boe.es/gazeta/dias/1821/12/11/pdfs/GMD-1821-353.pdf#page=2","Abrir facsímil")</f>
        <v>Abrir facsímil</v>
      </c>
      <c r="K4761" s="3" t="s">
        <v>32</v>
      </c>
    </row>
    <row r="4762" spans="1:11" ht="42" customHeight="1">
      <c r="A4762" s="2" t="s">
        <v>9563</v>
      </c>
      <c r="B4762" s="2" t="s">
        <v>9564</v>
      </c>
      <c r="C4762" s="2" t="s">
        <v>40</v>
      </c>
      <c r="D4762" s="2" t="s">
        <v>41</v>
      </c>
      <c r="E4762" s="5">
        <v>-28760</v>
      </c>
      <c r="F4762" s="3" t="s">
        <v>170</v>
      </c>
      <c r="G4762" s="3" t="s">
        <v>88</v>
      </c>
      <c r="H4762" s="2" t="s">
        <v>21</v>
      </c>
      <c r="I4762" s="2" t="s">
        <v>9565</v>
      </c>
      <c r="J4762" s="3" t="str">
        <f>HYPERLINK("https://www.boe.es/gazeta/dias/1821/04/03/pdfs/GMD-1821-95.pdf#page=4","Abrir facsímil")</f>
        <v>Abrir facsímil</v>
      </c>
      <c r="K4762" s="3" t="s">
        <v>23</v>
      </c>
    </row>
    <row r="4763" spans="1:11" ht="42" customHeight="1">
      <c r="A4763" s="2" t="s">
        <v>9566</v>
      </c>
      <c r="B4763" s="2" t="s">
        <v>9567</v>
      </c>
      <c r="C4763" s="2" t="s">
        <v>26</v>
      </c>
      <c r="D4763" s="2" t="s">
        <v>27</v>
      </c>
      <c r="E4763" s="5">
        <v>-28541</v>
      </c>
      <c r="F4763" s="3" t="s">
        <v>275</v>
      </c>
      <c r="G4763" s="3" t="s">
        <v>52</v>
      </c>
      <c r="H4763" s="2" t="s">
        <v>21</v>
      </c>
      <c r="I4763" s="2" t="s">
        <v>9568</v>
      </c>
      <c r="J4763" s="3" t="str">
        <f>HYPERLINK("https://www.boe.es/gazeta/dias/1821/11/08/pdfs/GMD-1821-319.pdf#page=2","Abrir facsímil")</f>
        <v>Abrir facsímil</v>
      </c>
      <c r="K4763" s="3" t="s">
        <v>23</v>
      </c>
    </row>
    <row r="4764" spans="1:11" ht="42" customHeight="1">
      <c r="A4764" s="2" t="s">
        <v>9569</v>
      </c>
      <c r="B4764" s="2" t="s">
        <v>9570</v>
      </c>
      <c r="C4764" s="2" t="s">
        <v>40</v>
      </c>
      <c r="D4764" s="2" t="s">
        <v>41</v>
      </c>
      <c r="E4764" s="5">
        <v>-28782</v>
      </c>
      <c r="F4764" s="3" t="s">
        <v>508</v>
      </c>
      <c r="G4764" s="3" t="s">
        <v>88</v>
      </c>
      <c r="H4764" s="2" t="s">
        <v>21</v>
      </c>
      <c r="I4764" s="2" t="s">
        <v>9571</v>
      </c>
      <c r="J4764" s="3" t="str">
        <f>HYPERLINK("https://www.boe.es/gazeta/dias/1821/03/12/pdfs/GMD-1821-71.pdf#page=4","Abrir facsímil")</f>
        <v>Abrir facsímil</v>
      </c>
      <c r="K4764" s="3" t="s">
        <v>23</v>
      </c>
    </row>
    <row r="4765" spans="1:11" ht="42" customHeight="1">
      <c r="A4765" s="2" t="s">
        <v>9572</v>
      </c>
      <c r="B4765" s="2" t="s">
        <v>9573</v>
      </c>
      <c r="C4765" s="2" t="s">
        <v>26</v>
      </c>
      <c r="D4765" s="2" t="s">
        <v>27</v>
      </c>
      <c r="E4765" s="5">
        <v>-28718</v>
      </c>
      <c r="F4765" s="3" t="s">
        <v>583</v>
      </c>
      <c r="G4765" s="3" t="s">
        <v>88</v>
      </c>
      <c r="H4765" s="2" t="s">
        <v>21</v>
      </c>
      <c r="I4765" s="2" t="s">
        <v>9574</v>
      </c>
      <c r="J4765" s="3" t="str">
        <f>HYPERLINK("https://www.boe.es/gazeta/dias/1821/05/15/pdfs/GMD-1821-137.pdf#page=4","Abrir facsímil")</f>
        <v>Abrir facsímil</v>
      </c>
      <c r="K4765" s="3" t="s">
        <v>23</v>
      </c>
    </row>
    <row r="4766" spans="1:11" ht="42" customHeight="1">
      <c r="A4766" s="2" t="s">
        <v>9575</v>
      </c>
      <c r="B4766" s="2" t="s">
        <v>9576</v>
      </c>
      <c r="C4766" s="2" t="s">
        <v>40</v>
      </c>
      <c r="D4766" s="2" t="s">
        <v>41</v>
      </c>
      <c r="E4766" s="5">
        <v>-28610</v>
      </c>
      <c r="F4766" s="3" t="s">
        <v>190</v>
      </c>
      <c r="G4766" s="3" t="s">
        <v>20</v>
      </c>
      <c r="H4766" s="2" t="s">
        <v>30</v>
      </c>
      <c r="I4766" s="2" t="s">
        <v>9577</v>
      </c>
      <c r="J4766" s="3" t="str">
        <f>HYPERLINK("https://www.boe.es/gazeta/dias/1821/08/31/pdfs/GMD-1821-248.pdf#page=3","Abrir facsímil")</f>
        <v>Abrir facsímil</v>
      </c>
      <c r="K4766" s="3" t="s">
        <v>32</v>
      </c>
    </row>
    <row r="4767" spans="1:11" ht="42" customHeight="1">
      <c r="A4767" s="2" t="s">
        <v>9578</v>
      </c>
      <c r="B4767" s="2" t="s">
        <v>9579</v>
      </c>
      <c r="C4767" s="2" t="s">
        <v>40</v>
      </c>
      <c r="D4767" s="2" t="s">
        <v>41</v>
      </c>
      <c r="E4767" s="5">
        <v>-28583</v>
      </c>
      <c r="F4767" s="3" t="s">
        <v>2668</v>
      </c>
      <c r="G4767" s="3" t="s">
        <v>43</v>
      </c>
      <c r="H4767" s="2" t="s">
        <v>30</v>
      </c>
      <c r="I4767" s="2" t="s">
        <v>9580</v>
      </c>
      <c r="J4767" s="3" t="str">
        <f>HYPERLINK("https://www.boe.es/gazeta/dias/1821/09/27/pdfs/GMD-1821-275.pdf#page=1","Abrir facsímil")</f>
        <v>Abrir facsímil</v>
      </c>
      <c r="K4767" s="3" t="s">
        <v>32</v>
      </c>
    </row>
    <row r="4768" spans="1:11" ht="42" customHeight="1">
      <c r="A4768" s="2" t="s">
        <v>9581</v>
      </c>
      <c r="B4768" s="2" t="s">
        <v>9581</v>
      </c>
      <c r="C4768" s="2" t="s">
        <v>279</v>
      </c>
      <c r="D4768" s="2" t="s">
        <v>27</v>
      </c>
      <c r="E4768" s="5">
        <v>-28564</v>
      </c>
      <c r="F4768" s="3" t="s">
        <v>861</v>
      </c>
      <c r="G4768" s="3" t="s">
        <v>43</v>
      </c>
      <c r="H4768" s="2" t="s">
        <v>21</v>
      </c>
      <c r="I4768" s="2" t="s">
        <v>9582</v>
      </c>
      <c r="J4768" s="3" t="str">
        <f>HYPERLINK("https://www.boe.es/gazeta/dias/1821/10/16/pdfs/GMD-1821-295.pdf#page=1","Abrir facsímil")</f>
        <v>Abrir facsímil</v>
      </c>
      <c r="K4768" s="3" t="s">
        <v>23</v>
      </c>
    </row>
    <row r="4769" spans="1:11" ht="42" customHeight="1">
      <c r="A4769" s="2" t="s">
        <v>9583</v>
      </c>
      <c r="B4769" s="2" t="s">
        <v>9584</v>
      </c>
      <c r="C4769" s="2" t="s">
        <v>26</v>
      </c>
      <c r="D4769" s="2" t="s">
        <v>27</v>
      </c>
      <c r="E4769" s="5">
        <v>-28583</v>
      </c>
      <c r="F4769" s="3" t="s">
        <v>2668</v>
      </c>
      <c r="G4769" s="3" t="s">
        <v>52</v>
      </c>
      <c r="H4769" s="2" t="s">
        <v>21</v>
      </c>
      <c r="I4769" s="2" t="s">
        <v>9585</v>
      </c>
      <c r="J4769" s="3" t="str">
        <f>HYPERLINK("https://www.boe.es/gazeta/dias/1821/09/27/pdfs/GMD-1821-275.pdf#page=2","Abrir facsímil")</f>
        <v>Abrir facsímil</v>
      </c>
      <c r="K4769" s="3" t="s">
        <v>23</v>
      </c>
    </row>
    <row r="4770" spans="1:11" ht="42" customHeight="1">
      <c r="A4770" s="2" t="s">
        <v>9586</v>
      </c>
      <c r="B4770" s="2" t="s">
        <v>9587</v>
      </c>
      <c r="C4770" s="2" t="s">
        <v>40</v>
      </c>
      <c r="D4770" s="2" t="s">
        <v>41</v>
      </c>
      <c r="E4770" s="5">
        <v>-28817</v>
      </c>
      <c r="F4770" s="3" t="s">
        <v>2703</v>
      </c>
      <c r="G4770" s="3" t="s">
        <v>88</v>
      </c>
      <c r="H4770" s="2" t="s">
        <v>30</v>
      </c>
      <c r="I4770" s="2" t="s">
        <v>9588</v>
      </c>
      <c r="J4770" s="3" t="str">
        <f>HYPERLINK("https://www.boe.es/gazeta/dias/1821/02/05/pdfs/GGB-1821-36.pdf#page=4","Abrir facsímil")</f>
        <v>Abrir facsímil</v>
      </c>
      <c r="K4770" s="3" t="s">
        <v>32</v>
      </c>
    </row>
    <row r="4771" spans="1:11" ht="42" customHeight="1">
      <c r="A4771" s="2" t="s">
        <v>9589</v>
      </c>
      <c r="B4771" s="2" t="s">
        <v>9589</v>
      </c>
      <c r="C4771" s="2" t="s">
        <v>26</v>
      </c>
      <c r="D4771" s="2" t="s">
        <v>27</v>
      </c>
      <c r="E4771" s="5">
        <v>-28671</v>
      </c>
      <c r="F4771" s="3" t="s">
        <v>5059</v>
      </c>
      <c r="G4771" s="3" t="s">
        <v>88</v>
      </c>
      <c r="H4771" s="2" t="s">
        <v>21</v>
      </c>
      <c r="I4771" s="2" t="s">
        <v>9590</v>
      </c>
      <c r="J4771" s="3" t="str">
        <f>HYPERLINK("https://www.boe.es/gazeta/dias/1821/07/01/pdfs/GMD-1821-185.pdf#page=4","Abrir facsímil")</f>
        <v>Abrir facsímil</v>
      </c>
      <c r="K4771" s="3" t="s">
        <v>23</v>
      </c>
    </row>
    <row r="4772" spans="1:11" ht="42" customHeight="1">
      <c r="A4772" s="2" t="s">
        <v>9591</v>
      </c>
      <c r="B4772" s="2" t="s">
        <v>9592</v>
      </c>
      <c r="C4772" s="2" t="s">
        <v>17</v>
      </c>
      <c r="D4772" s="2" t="s">
        <v>18</v>
      </c>
      <c r="E4772" s="5">
        <v>-28517</v>
      </c>
      <c r="F4772" s="3" t="s">
        <v>563</v>
      </c>
      <c r="G4772" s="3" t="s">
        <v>88</v>
      </c>
      <c r="H4772" s="2" t="s">
        <v>21</v>
      </c>
      <c r="I4772" s="2" t="s">
        <v>9593</v>
      </c>
      <c r="J4772" s="3" t="str">
        <f>HYPERLINK("https://www.boe.es/gazeta/dias/1821/12/02/pdfs/GMD-1821-344.pdf#page=4","Abrir facsímil")</f>
        <v>Abrir facsímil</v>
      </c>
      <c r="K4772" s="3" t="s">
        <v>23</v>
      </c>
    </row>
    <row r="4773" spans="1:11" ht="42" customHeight="1">
      <c r="A4773" s="2" t="s">
        <v>9594</v>
      </c>
      <c r="B4773" s="2" t="s">
        <v>9595</v>
      </c>
      <c r="C4773" s="2" t="s">
        <v>35</v>
      </c>
      <c r="D4773" s="2" t="s">
        <v>27</v>
      </c>
      <c r="E4773" s="5">
        <v>-28705</v>
      </c>
      <c r="F4773" s="3" t="s">
        <v>1844</v>
      </c>
      <c r="G4773" s="3" t="s">
        <v>52</v>
      </c>
      <c r="H4773" s="2" t="s">
        <v>21</v>
      </c>
      <c r="I4773" s="2" t="s">
        <v>9596</v>
      </c>
      <c r="J4773" s="3" t="str">
        <f>HYPERLINK("https://www.boe.es/gazeta/dias/1821/05/28/pdfs/GMD-1821-150.pdf#page=2","Abrir facsímil")</f>
        <v>Abrir facsímil</v>
      </c>
      <c r="K4773" s="3" t="s">
        <v>23</v>
      </c>
    </row>
    <row r="4774" spans="1:11" ht="42" customHeight="1">
      <c r="A4774" s="2" t="s">
        <v>9597</v>
      </c>
      <c r="B4774" s="2" t="s">
        <v>9598</v>
      </c>
      <c r="C4774" s="2" t="s">
        <v>40</v>
      </c>
      <c r="D4774" s="2" t="s">
        <v>41</v>
      </c>
      <c r="E4774" s="5">
        <v>-28637</v>
      </c>
      <c r="F4774" s="3" t="s">
        <v>3049</v>
      </c>
      <c r="G4774" s="3" t="s">
        <v>20</v>
      </c>
      <c r="H4774" s="2" t="s">
        <v>21</v>
      </c>
      <c r="I4774" s="2" t="s">
        <v>9599</v>
      </c>
      <c r="J4774" s="3" t="str">
        <f>HYPERLINK("https://www.boe.es/gazeta/dias/1821/08/04/pdfs/GMD-1821-220.pdf#page=3","Abrir facsímil")</f>
        <v>Abrir facsímil</v>
      </c>
      <c r="K4774" s="3" t="s">
        <v>23</v>
      </c>
    </row>
    <row r="4775" spans="1:11" ht="42" customHeight="1">
      <c r="A4775" s="2" t="s">
        <v>9600</v>
      </c>
      <c r="B4775" s="2" t="s">
        <v>9601</v>
      </c>
      <c r="C4775" s="2" t="s">
        <v>26</v>
      </c>
      <c r="D4775" s="2" t="s">
        <v>27</v>
      </c>
      <c r="E4775" s="5">
        <v>-28738</v>
      </c>
      <c r="F4775" s="3" t="s">
        <v>359</v>
      </c>
      <c r="G4775" s="3" t="s">
        <v>88</v>
      </c>
      <c r="H4775" s="2" t="s">
        <v>21</v>
      </c>
      <c r="I4775" s="2" t="s">
        <v>9602</v>
      </c>
      <c r="J4775" s="3" t="str">
        <f>HYPERLINK("https://www.boe.es/gazeta/dias/1821/04/25/pdfs/GMD-1821-117.pdf#page=4","Abrir facsímil")</f>
        <v>Abrir facsímil</v>
      </c>
      <c r="K4775" s="3" t="s">
        <v>23</v>
      </c>
    </row>
    <row r="4776" spans="1:11" ht="42" customHeight="1">
      <c r="A4776" s="2" t="s">
        <v>9603</v>
      </c>
      <c r="B4776" s="2" t="s">
        <v>9604</v>
      </c>
      <c r="C4776" s="2" t="s">
        <v>26</v>
      </c>
      <c r="D4776" s="2" t="s">
        <v>27</v>
      </c>
      <c r="E4776" s="5">
        <v>-28809</v>
      </c>
      <c r="F4776" s="3" t="s">
        <v>1173</v>
      </c>
      <c r="G4776" s="3" t="s">
        <v>88</v>
      </c>
      <c r="H4776" s="2" t="s">
        <v>21</v>
      </c>
      <c r="I4776" s="2" t="s">
        <v>9605</v>
      </c>
      <c r="J4776" s="3" t="str">
        <f>HYPERLINK("https://www.boe.es/gazeta/dias/1821/02/13/pdfs/GGB-1821-44.pdf#page=4","Abrir facsímil")</f>
        <v>Abrir facsímil</v>
      </c>
      <c r="K4776" s="3" t="s">
        <v>23</v>
      </c>
    </row>
    <row r="4777" spans="1:11" ht="42" customHeight="1">
      <c r="A4777" s="2" t="s">
        <v>9606</v>
      </c>
      <c r="B4777" s="2" t="s">
        <v>9606</v>
      </c>
      <c r="C4777" s="2" t="s">
        <v>40</v>
      </c>
      <c r="D4777" s="2" t="s">
        <v>41</v>
      </c>
      <c r="E4777" s="5">
        <v>-28770</v>
      </c>
      <c r="F4777" s="3" t="s">
        <v>1009</v>
      </c>
      <c r="G4777" s="3" t="s">
        <v>162</v>
      </c>
      <c r="H4777" s="2" t="s">
        <v>21</v>
      </c>
      <c r="I4777" s="2" t="s">
        <v>9607</v>
      </c>
      <c r="J4777" s="3" t="str">
        <f>HYPERLINK("https://www.boe.es/gazeta/dias/1821/03/24/pdfs/GMD-1821-84.pdf#page=5","Abrir facsímil")</f>
        <v>Abrir facsímil</v>
      </c>
      <c r="K4777" s="3" t="s">
        <v>23</v>
      </c>
    </row>
    <row r="4778" spans="1:11" ht="42" customHeight="1">
      <c r="A4778" s="2" t="s">
        <v>9608</v>
      </c>
      <c r="B4778" s="2" t="s">
        <v>9609</v>
      </c>
      <c r="C4778" s="2" t="s">
        <v>17</v>
      </c>
      <c r="D4778" s="2" t="s">
        <v>18</v>
      </c>
      <c r="E4778" s="5">
        <v>-28663</v>
      </c>
      <c r="F4778" s="3" t="s">
        <v>3032</v>
      </c>
      <c r="G4778" s="3" t="s">
        <v>88</v>
      </c>
      <c r="H4778" s="2" t="s">
        <v>21</v>
      </c>
      <c r="I4778" s="2" t="s">
        <v>9610</v>
      </c>
      <c r="J4778" s="3" t="str">
        <f>HYPERLINK("https://www.boe.es/gazeta/dias/1821/07/09/pdfs/GMD-1821-194.pdf#page=4","Abrir facsímil")</f>
        <v>Abrir facsímil</v>
      </c>
      <c r="K4778" s="3" t="s">
        <v>23</v>
      </c>
    </row>
    <row r="4779" spans="1:11" ht="42" customHeight="1">
      <c r="A4779" s="2" t="s">
        <v>9611</v>
      </c>
      <c r="B4779" s="2" t="s">
        <v>9612</v>
      </c>
      <c r="C4779" s="2" t="s">
        <v>17</v>
      </c>
      <c r="D4779" s="2" t="s">
        <v>18</v>
      </c>
      <c r="E4779" s="5">
        <v>-28565</v>
      </c>
      <c r="F4779" s="3" t="s">
        <v>326</v>
      </c>
      <c r="G4779" s="3" t="s">
        <v>20</v>
      </c>
      <c r="H4779" s="2" t="s">
        <v>21</v>
      </c>
      <c r="I4779" s="2" t="s">
        <v>9613</v>
      </c>
      <c r="J4779" s="3" t="str">
        <f>HYPERLINK("https://www.boe.es/gazeta/dias/1821/10/15/pdfs/GMD-1821-294.pdf#page=3","Abrir facsímil")</f>
        <v>Abrir facsímil</v>
      </c>
      <c r="K4779" s="3" t="s">
        <v>23</v>
      </c>
    </row>
    <row r="4780" spans="1:11" ht="42" customHeight="1">
      <c r="A4780" s="2" t="s">
        <v>9614</v>
      </c>
      <c r="B4780" s="2" t="s">
        <v>9615</v>
      </c>
      <c r="C4780" s="2" t="s">
        <v>40</v>
      </c>
      <c r="D4780" s="2" t="s">
        <v>41</v>
      </c>
      <c r="E4780" s="5">
        <v>-28793</v>
      </c>
      <c r="F4780" s="3" t="s">
        <v>157</v>
      </c>
      <c r="G4780" s="3" t="s">
        <v>20</v>
      </c>
      <c r="H4780" s="2" t="s">
        <v>21</v>
      </c>
      <c r="I4780" s="2" t="s">
        <v>9616</v>
      </c>
      <c r="J4780" s="3" t="str">
        <f>HYPERLINK("https://www.boe.es/gazeta/dias/1821/03/01/pdfs/GGB-1821-60.pdf#page=3","Abrir facsímil")</f>
        <v>Abrir facsímil</v>
      </c>
      <c r="K4780" s="3" t="s">
        <v>23</v>
      </c>
    </row>
    <row r="4781" spans="1:11" ht="42" customHeight="1">
      <c r="A4781" s="2" t="s">
        <v>9617</v>
      </c>
      <c r="B4781" s="2" t="s">
        <v>9618</v>
      </c>
      <c r="C4781" s="2" t="s">
        <v>35</v>
      </c>
      <c r="D4781" s="2" t="s">
        <v>27</v>
      </c>
      <c r="E4781" s="5">
        <v>-28735</v>
      </c>
      <c r="F4781" s="3" t="s">
        <v>836</v>
      </c>
      <c r="G4781" s="3" t="s">
        <v>20</v>
      </c>
      <c r="H4781" s="2" t="s">
        <v>21</v>
      </c>
      <c r="I4781" s="2" t="s">
        <v>9619</v>
      </c>
      <c r="J4781" s="3" t="str">
        <f>HYPERLINK("https://www.boe.es/gazeta/dias/1821/04/28/pdfs/GMD-1821-120.pdf#page=3","Abrir facsímil")</f>
        <v>Abrir facsímil</v>
      </c>
      <c r="K4781" s="3" t="s">
        <v>23</v>
      </c>
    </row>
    <row r="4782" spans="1:11" ht="42" customHeight="1">
      <c r="A4782" s="2" t="s">
        <v>9620</v>
      </c>
      <c r="B4782" s="2" t="s">
        <v>9621</v>
      </c>
      <c r="C4782" s="2" t="s">
        <v>17</v>
      </c>
      <c r="D4782" s="2" t="s">
        <v>18</v>
      </c>
      <c r="E4782" s="5">
        <v>-28577</v>
      </c>
      <c r="F4782" s="3" t="s">
        <v>858</v>
      </c>
      <c r="G4782" s="3" t="s">
        <v>88</v>
      </c>
      <c r="H4782" s="2" t="s">
        <v>21</v>
      </c>
      <c r="I4782" s="2" t="s">
        <v>9622</v>
      </c>
      <c r="J4782" s="3" t="str">
        <f>HYPERLINK("https://www.boe.es/gazeta/dias/1821/10/03/pdfs/GMD-1821-282.pdf#page=4","Abrir facsímil")</f>
        <v>Abrir facsímil</v>
      </c>
      <c r="K4782" s="3" t="s">
        <v>23</v>
      </c>
    </row>
    <row r="4783" spans="1:11" ht="42" customHeight="1">
      <c r="A4783" s="2" t="s">
        <v>9623</v>
      </c>
      <c r="B4783" s="2" t="s">
        <v>9623</v>
      </c>
      <c r="C4783" s="2" t="s">
        <v>174</v>
      </c>
      <c r="D4783" s="2" t="s">
        <v>27</v>
      </c>
      <c r="E4783" s="5">
        <v>-28811</v>
      </c>
      <c r="F4783" s="3" t="s">
        <v>5734</v>
      </c>
      <c r="G4783" s="3" t="s">
        <v>43</v>
      </c>
      <c r="H4783" s="2" t="s">
        <v>21</v>
      </c>
      <c r="I4783" s="2" t="s">
        <v>9624</v>
      </c>
      <c r="J4783" s="3" t="str">
        <f>HYPERLINK("https://www.boe.es/gazeta/dias/1821/02/11/pdfs/GGB-1821-42.pdf#page=1","Abrir facsímil")</f>
        <v>Abrir facsímil</v>
      </c>
      <c r="K4783" s="3" t="s">
        <v>23</v>
      </c>
    </row>
    <row r="4784" spans="1:11" ht="42" customHeight="1">
      <c r="A4784" s="2" t="s">
        <v>9625</v>
      </c>
      <c r="B4784" s="2" t="s">
        <v>9626</v>
      </c>
      <c r="C4784" s="2" t="s">
        <v>26</v>
      </c>
      <c r="D4784" s="2" t="s">
        <v>27</v>
      </c>
      <c r="E4784" s="5">
        <v>-28774</v>
      </c>
      <c r="F4784" s="3" t="s">
        <v>1221</v>
      </c>
      <c r="G4784" s="3" t="s">
        <v>29</v>
      </c>
      <c r="H4784" s="2" t="s">
        <v>21</v>
      </c>
      <c r="I4784" s="2" t="s">
        <v>9627</v>
      </c>
      <c r="J4784" s="3" t="str">
        <f>HYPERLINK("https://www.boe.es/gazeta/dias/1821/03/20/pdfs/GMD-1821-79.pdf#page=6","Abrir facsímil")</f>
        <v>Abrir facsímil</v>
      </c>
      <c r="K4784" s="3" t="s">
        <v>23</v>
      </c>
    </row>
    <row r="4785" spans="1:11" ht="42" customHeight="1">
      <c r="A4785" s="2" t="s">
        <v>9628</v>
      </c>
      <c r="B4785" s="2" t="s">
        <v>9628</v>
      </c>
      <c r="C4785" s="2" t="s">
        <v>114</v>
      </c>
      <c r="D4785" s="2" t="s">
        <v>27</v>
      </c>
      <c r="E4785" s="5">
        <v>-28582</v>
      </c>
      <c r="F4785" s="3" t="s">
        <v>3039</v>
      </c>
      <c r="G4785" s="3" t="s">
        <v>43</v>
      </c>
      <c r="H4785" s="2" t="s">
        <v>21</v>
      </c>
      <c r="I4785" s="2" t="s">
        <v>9629</v>
      </c>
      <c r="J4785" s="3" t="str">
        <f>HYPERLINK("https://www.boe.es/gazeta/dias/1821/09/28/pdfs/GMD-1821-276.pdf#page=1","Abrir facsímil")</f>
        <v>Abrir facsímil</v>
      </c>
      <c r="K4785" s="3" t="s">
        <v>23</v>
      </c>
    </row>
    <row r="4786" spans="1:11" ht="42" customHeight="1">
      <c r="A4786" s="2" t="s">
        <v>9628</v>
      </c>
      <c r="B4786" s="2" t="s">
        <v>9628</v>
      </c>
      <c r="C4786" s="2" t="s">
        <v>40</v>
      </c>
      <c r="D4786" s="2" t="s">
        <v>41</v>
      </c>
      <c r="E4786" s="5">
        <v>-28571</v>
      </c>
      <c r="F4786" s="3" t="s">
        <v>482</v>
      </c>
      <c r="G4786" s="3" t="s">
        <v>43</v>
      </c>
      <c r="H4786" s="2" t="s">
        <v>21</v>
      </c>
      <c r="I4786" s="2" t="s">
        <v>9630</v>
      </c>
      <c r="J4786" s="3" t="str">
        <f>HYPERLINK("https://www.boe.es/gazeta/dias/1821/10/09/pdfs/GMD-1821-288.pdf#page=1","Abrir facsímil")</f>
        <v>Abrir facsímil</v>
      </c>
      <c r="K4786" s="3" t="s">
        <v>23</v>
      </c>
    </row>
    <row r="4787" spans="1:11" ht="42" customHeight="1">
      <c r="A4787" s="2" t="s">
        <v>9631</v>
      </c>
      <c r="B4787" s="2" t="s">
        <v>9631</v>
      </c>
      <c r="C4787" s="2" t="s">
        <v>114</v>
      </c>
      <c r="D4787" s="2" t="s">
        <v>27</v>
      </c>
      <c r="E4787" s="5">
        <v>-28839</v>
      </c>
      <c r="F4787" s="3" t="s">
        <v>1686</v>
      </c>
      <c r="G4787" s="3" t="s">
        <v>43</v>
      </c>
      <c r="H4787" s="2" t="s">
        <v>21</v>
      </c>
      <c r="I4787" s="2" t="s">
        <v>9632</v>
      </c>
      <c r="J4787" s="3" t="str">
        <f>HYPERLINK("https://www.boe.es/gazeta/dias/1821/01/14/pdfs/GGB-1821-14.pdf#page=1","Abrir facsímil")</f>
        <v>Abrir facsímil</v>
      </c>
      <c r="K4787" s="3" t="s">
        <v>23</v>
      </c>
    </row>
    <row r="4788" spans="1:11" ht="42" customHeight="1">
      <c r="A4788" s="2" t="s">
        <v>9633</v>
      </c>
      <c r="B4788" s="2" t="s">
        <v>9633</v>
      </c>
      <c r="C4788" s="2" t="s">
        <v>26</v>
      </c>
      <c r="D4788" s="2" t="s">
        <v>27</v>
      </c>
      <c r="E4788" s="5">
        <v>-28807</v>
      </c>
      <c r="F4788" s="3" t="s">
        <v>613</v>
      </c>
      <c r="G4788" s="3" t="s">
        <v>52</v>
      </c>
      <c r="H4788" s="2" t="s">
        <v>21</v>
      </c>
      <c r="I4788" s="2" t="s">
        <v>9634</v>
      </c>
      <c r="J4788" s="3" t="str">
        <f>HYPERLINK("https://www.boe.es/gazeta/dias/1821/02/15/pdfs/GGB-1821-46.pdf#page=2","Abrir facsímil")</f>
        <v>Abrir facsímil</v>
      </c>
      <c r="K4788" s="3" t="s">
        <v>23</v>
      </c>
    </row>
    <row r="4789" spans="1:11" ht="42" customHeight="1">
      <c r="A4789" s="2" t="s">
        <v>9633</v>
      </c>
      <c r="B4789" s="2" t="s">
        <v>9633</v>
      </c>
      <c r="C4789" s="2" t="s">
        <v>40</v>
      </c>
      <c r="D4789" s="2" t="s">
        <v>41</v>
      </c>
      <c r="E4789" s="5">
        <v>-28806</v>
      </c>
      <c r="F4789" s="3" t="s">
        <v>1201</v>
      </c>
      <c r="G4789" s="3" t="s">
        <v>52</v>
      </c>
      <c r="H4789" s="2" t="s">
        <v>21</v>
      </c>
      <c r="I4789" s="2" t="s">
        <v>9635</v>
      </c>
      <c r="J4789" s="3" t="str">
        <f>HYPERLINK("https://www.boe.es/gazeta/dias/1821/02/16/pdfs/GGB-1821-47.pdf#page=2","Abrir facsímil")</f>
        <v>Abrir facsímil</v>
      </c>
      <c r="K4789" s="3" t="s">
        <v>23</v>
      </c>
    </row>
    <row r="4790" spans="1:11" ht="42" customHeight="1">
      <c r="A4790" s="2" t="s">
        <v>9633</v>
      </c>
      <c r="B4790" s="2" t="s">
        <v>9633</v>
      </c>
      <c r="C4790" s="2" t="s">
        <v>17</v>
      </c>
      <c r="D4790" s="2" t="s">
        <v>18</v>
      </c>
      <c r="E4790" s="5">
        <v>-28804</v>
      </c>
      <c r="F4790" s="3" t="s">
        <v>1580</v>
      </c>
      <c r="G4790" s="3" t="s">
        <v>43</v>
      </c>
      <c r="H4790" s="2" t="s">
        <v>21</v>
      </c>
      <c r="I4790" s="2" t="s">
        <v>9636</v>
      </c>
      <c r="J4790" s="3" t="str">
        <f>HYPERLINK("https://www.boe.es/gazeta/dias/1821/02/18/pdfs/GGB-1821-49.pdf#page=1","Abrir facsímil")</f>
        <v>Abrir facsímil</v>
      </c>
      <c r="K4790" s="3" t="s">
        <v>23</v>
      </c>
    </row>
    <row r="4791" spans="1:11" ht="42" customHeight="1">
      <c r="A4791" s="2" t="s">
        <v>9637</v>
      </c>
      <c r="B4791" s="2" t="s">
        <v>9637</v>
      </c>
      <c r="C4791" s="2" t="s">
        <v>35</v>
      </c>
      <c r="D4791" s="2" t="s">
        <v>27</v>
      </c>
      <c r="E4791" s="5">
        <v>-28837</v>
      </c>
      <c r="F4791" s="3" t="s">
        <v>1234</v>
      </c>
      <c r="G4791" s="3" t="s">
        <v>20</v>
      </c>
      <c r="H4791" s="2" t="s">
        <v>21</v>
      </c>
      <c r="I4791" s="2" t="s">
        <v>9638</v>
      </c>
      <c r="J4791" s="3" t="str">
        <f>HYPERLINK("https://www.boe.es/gazeta/dias/1821/01/16/pdfs/GGB-1821-16.pdf#page=3","Abrir facsímil")</f>
        <v>Abrir facsímil</v>
      </c>
      <c r="K4791" s="3" t="s">
        <v>23</v>
      </c>
    </row>
    <row r="4792" spans="1:11" ht="42" customHeight="1">
      <c r="A4792" s="2" t="s">
        <v>9639</v>
      </c>
      <c r="B4792" s="2" t="s">
        <v>9640</v>
      </c>
      <c r="C4792" s="2" t="s">
        <v>17</v>
      </c>
      <c r="D4792" s="2" t="s">
        <v>18</v>
      </c>
      <c r="E4792" s="5">
        <v>-28708</v>
      </c>
      <c r="F4792" s="3" t="s">
        <v>528</v>
      </c>
      <c r="G4792" s="3" t="s">
        <v>1716</v>
      </c>
      <c r="H4792" s="2" t="s">
        <v>21</v>
      </c>
      <c r="I4792" s="2" t="s">
        <v>9641</v>
      </c>
      <c r="J4792" s="3" t="str">
        <f>HYPERLINK("https://www.boe.es/gazeta/dias/1821/05/25/pdfs/GMD-1821-147.pdf#page=2","Abrir facsímil")</f>
        <v>Abrir facsímil</v>
      </c>
      <c r="K4792" s="3" t="s">
        <v>23</v>
      </c>
    </row>
    <row r="4793" spans="1:11" ht="42" customHeight="1">
      <c r="A4793" s="2" t="s">
        <v>9642</v>
      </c>
      <c r="B4793" s="2" t="s">
        <v>9643</v>
      </c>
      <c r="C4793" s="2" t="s">
        <v>35</v>
      </c>
      <c r="D4793" s="2" t="s">
        <v>27</v>
      </c>
      <c r="E4793" s="5">
        <v>-28666</v>
      </c>
      <c r="F4793" s="3" t="s">
        <v>1263</v>
      </c>
      <c r="G4793" s="3" t="s">
        <v>88</v>
      </c>
      <c r="H4793" s="2" t="s">
        <v>21</v>
      </c>
      <c r="I4793" s="2" t="s">
        <v>9644</v>
      </c>
      <c r="J4793" s="3" t="str">
        <f>HYPERLINK("https://www.boe.es/gazeta/dias/1821/07/06/pdfs/GMD-1821-190.pdf#page=4","Abrir facsímil")</f>
        <v>Abrir facsímil</v>
      </c>
      <c r="K4793" s="3" t="s">
        <v>23</v>
      </c>
    </row>
    <row r="4794" spans="1:11" ht="42" customHeight="1">
      <c r="A4794" s="2" t="s">
        <v>9645</v>
      </c>
      <c r="B4794" s="2" t="s">
        <v>9645</v>
      </c>
      <c r="C4794" s="2" t="s">
        <v>70</v>
      </c>
      <c r="D4794" s="2" t="s">
        <v>27</v>
      </c>
      <c r="E4794" s="5">
        <v>-28726</v>
      </c>
      <c r="F4794" s="3" t="s">
        <v>347</v>
      </c>
      <c r="G4794" s="3" t="s">
        <v>43</v>
      </c>
      <c r="H4794" s="2" t="s">
        <v>21</v>
      </c>
      <c r="I4794" s="2" t="s">
        <v>9646</v>
      </c>
      <c r="J4794" s="3" t="str">
        <f>HYPERLINK("https://www.boe.es/gazeta/dias/1821/05/07/pdfs/GMD-1821-129.pdf#page=1","Abrir facsímil")</f>
        <v>Abrir facsímil</v>
      </c>
      <c r="K4794" s="3" t="s">
        <v>23</v>
      </c>
    </row>
    <row r="4795" spans="1:11" ht="42" customHeight="1">
      <c r="A4795" s="2" t="s">
        <v>9647</v>
      </c>
      <c r="B4795" s="2" t="s">
        <v>9647</v>
      </c>
      <c r="C4795" s="2" t="s">
        <v>17</v>
      </c>
      <c r="D4795" s="2" t="s">
        <v>18</v>
      </c>
      <c r="E4795" s="5">
        <v>-28840</v>
      </c>
      <c r="F4795" s="3" t="s">
        <v>161</v>
      </c>
      <c r="G4795" s="3" t="s">
        <v>88</v>
      </c>
      <c r="H4795" s="2" t="s">
        <v>21</v>
      </c>
      <c r="I4795" s="2" t="s">
        <v>9648</v>
      </c>
      <c r="J4795" s="3" t="str">
        <f>HYPERLINK("https://www.boe.es/gazeta/dias/1821/01/13/pdfs/GGB-1821-13.pdf#page=4","Abrir facsímil")</f>
        <v>Abrir facsímil</v>
      </c>
      <c r="K4795" s="3" t="s">
        <v>23</v>
      </c>
    </row>
    <row r="4796" spans="1:11" ht="42" customHeight="1">
      <c r="A4796" s="2" t="s">
        <v>9649</v>
      </c>
      <c r="B4796" s="2" t="s">
        <v>9649</v>
      </c>
      <c r="C4796" s="2" t="s">
        <v>17</v>
      </c>
      <c r="D4796" s="2" t="s">
        <v>18</v>
      </c>
      <c r="E4796" s="5">
        <v>-28679</v>
      </c>
      <c r="F4796" s="3" t="s">
        <v>213</v>
      </c>
      <c r="G4796" s="3" t="s">
        <v>43</v>
      </c>
      <c r="H4796" s="2" t="s">
        <v>21</v>
      </c>
      <c r="I4796" s="2" t="s">
        <v>9650</v>
      </c>
      <c r="J4796" s="3" t="str">
        <f>HYPERLINK("https://www.boe.es/gazeta/dias/1821/06/23/pdfs/GMD-1821-176.pdf#page=1","Abrir facsímil")</f>
        <v>Abrir facsímil</v>
      </c>
      <c r="K4796" s="3" t="s">
        <v>23</v>
      </c>
    </row>
    <row r="4797" spans="1:11" ht="42" customHeight="1">
      <c r="A4797" s="2" t="s">
        <v>9651</v>
      </c>
      <c r="B4797" s="2" t="s">
        <v>9651</v>
      </c>
      <c r="C4797" s="2" t="s">
        <v>17</v>
      </c>
      <c r="D4797" s="2" t="s">
        <v>18</v>
      </c>
      <c r="E4797" s="5">
        <v>-28837</v>
      </c>
      <c r="F4797" s="3" t="s">
        <v>1234</v>
      </c>
      <c r="G4797" s="3" t="s">
        <v>52</v>
      </c>
      <c r="H4797" s="2" t="s">
        <v>21</v>
      </c>
      <c r="I4797" s="2" t="s">
        <v>9652</v>
      </c>
      <c r="J4797" s="3" t="str">
        <f>HYPERLINK("https://www.boe.es/gazeta/dias/1821/01/16/pdfs/GGB-1821-16.pdf#page=2","Abrir facsímil")</f>
        <v>Abrir facsímil</v>
      </c>
      <c r="K4797" s="3" t="s">
        <v>23</v>
      </c>
    </row>
    <row r="4798" spans="1:11" ht="42" customHeight="1">
      <c r="A4798" s="2" t="s">
        <v>9651</v>
      </c>
      <c r="B4798" s="2" t="s">
        <v>9651</v>
      </c>
      <c r="C4798" s="2" t="s">
        <v>35</v>
      </c>
      <c r="D4798" s="2" t="s">
        <v>27</v>
      </c>
      <c r="E4798" s="5">
        <v>-28819</v>
      </c>
      <c r="F4798" s="3" t="s">
        <v>1830</v>
      </c>
      <c r="G4798" s="3" t="s">
        <v>20</v>
      </c>
      <c r="H4798" s="2" t="s">
        <v>21</v>
      </c>
      <c r="I4798" s="2" t="s">
        <v>9653</v>
      </c>
      <c r="J4798" s="3" t="str">
        <f>HYPERLINK("https://www.boe.es/gazeta/dias/1821/02/03/pdfs/GGB-1821-34.pdf#page=3","Abrir facsímil")</f>
        <v>Abrir facsímil</v>
      </c>
      <c r="K4798" s="3" t="s">
        <v>23</v>
      </c>
    </row>
    <row r="4799" spans="1:11" ht="42" customHeight="1">
      <c r="A4799" s="2" t="s">
        <v>9651</v>
      </c>
      <c r="B4799" s="2" t="s">
        <v>9651</v>
      </c>
      <c r="C4799" s="2" t="s">
        <v>17</v>
      </c>
      <c r="D4799" s="2" t="s">
        <v>18</v>
      </c>
      <c r="E4799" s="5">
        <v>-28679</v>
      </c>
      <c r="F4799" s="3" t="s">
        <v>213</v>
      </c>
      <c r="G4799" s="3" t="s">
        <v>43</v>
      </c>
      <c r="H4799" s="2" t="s">
        <v>21</v>
      </c>
      <c r="I4799" s="2" t="s">
        <v>9654</v>
      </c>
      <c r="J4799" s="3" t="str">
        <f>HYPERLINK("https://www.boe.es/gazeta/dias/1821/06/23/pdfs/GMD-1821-176.pdf#page=1","Abrir facsímil")</f>
        <v>Abrir facsímil</v>
      </c>
      <c r="K4799" s="3" t="s">
        <v>23</v>
      </c>
    </row>
    <row r="4800" spans="1:11" ht="42" customHeight="1">
      <c r="A4800" s="2" t="s">
        <v>9655</v>
      </c>
      <c r="B4800" s="2" t="s">
        <v>9656</v>
      </c>
      <c r="C4800" s="2" t="s">
        <v>35</v>
      </c>
      <c r="D4800" s="2" t="s">
        <v>27</v>
      </c>
      <c r="E4800" s="5">
        <v>-28508</v>
      </c>
      <c r="F4800" s="3" t="s">
        <v>42</v>
      </c>
      <c r="G4800" s="3" t="s">
        <v>43</v>
      </c>
      <c r="H4800" s="2" t="s">
        <v>21</v>
      </c>
      <c r="I4800" s="2" t="s">
        <v>9657</v>
      </c>
      <c r="J4800" s="3" t="str">
        <f>HYPERLINK("https://www.boe.es/gazeta/dias/1821/12/11/pdfs/GMD-1821-353.pdf#page=1","Abrir facsímil")</f>
        <v>Abrir facsímil</v>
      </c>
      <c r="K4800" s="3" t="s">
        <v>23</v>
      </c>
    </row>
    <row r="4801" spans="1:11" ht="42" customHeight="1">
      <c r="A4801" s="2" t="s">
        <v>9658</v>
      </c>
      <c r="B4801" s="2" t="s">
        <v>9658</v>
      </c>
      <c r="C4801" s="2" t="s">
        <v>40</v>
      </c>
      <c r="D4801" s="2" t="s">
        <v>41</v>
      </c>
      <c r="E4801" s="5">
        <v>-28575</v>
      </c>
      <c r="F4801" s="3" t="s">
        <v>2453</v>
      </c>
      <c r="G4801" s="3" t="s">
        <v>43</v>
      </c>
      <c r="H4801" s="2" t="s">
        <v>21</v>
      </c>
      <c r="I4801" s="2" t="s">
        <v>9659</v>
      </c>
      <c r="J4801" s="3" t="str">
        <f>HYPERLINK("https://www.boe.es/gazeta/dias/1821/10/05/pdfs/GMD-1821-284.pdf#page=1","Abrir facsímil")</f>
        <v>Abrir facsímil</v>
      </c>
      <c r="K4801" s="3" t="s">
        <v>23</v>
      </c>
    </row>
    <row r="4802" spans="1:11" ht="42" customHeight="1">
      <c r="A4802" s="2" t="s">
        <v>9660</v>
      </c>
      <c r="B4802" s="2" t="s">
        <v>9660</v>
      </c>
      <c r="C4802" s="2" t="s">
        <v>17</v>
      </c>
      <c r="D4802" s="2" t="s">
        <v>18</v>
      </c>
      <c r="E4802" s="5">
        <v>-28794</v>
      </c>
      <c r="F4802" s="3" t="s">
        <v>9661</v>
      </c>
      <c r="G4802" s="3" t="s">
        <v>88</v>
      </c>
      <c r="H4802" s="2" t="s">
        <v>21</v>
      </c>
      <c r="I4802" s="2" t="s">
        <v>9662</v>
      </c>
      <c r="J4802" s="3" t="str">
        <f>HYPERLINK("https://www.boe.es/gazeta/dias/1821/02/28/pdfs/GGB-1821-59.pdf#page=4","Abrir facsímil")</f>
        <v>Abrir facsímil</v>
      </c>
      <c r="K4802" s="3" t="s">
        <v>23</v>
      </c>
    </row>
    <row r="4803" spans="1:11" ht="42" customHeight="1">
      <c r="A4803" s="2" t="s">
        <v>9663</v>
      </c>
      <c r="B4803" s="2" t="s">
        <v>9663</v>
      </c>
      <c r="C4803" s="2" t="s">
        <v>17</v>
      </c>
      <c r="D4803" s="2" t="s">
        <v>18</v>
      </c>
      <c r="E4803" s="5">
        <v>-28746</v>
      </c>
      <c r="F4803" s="3" t="s">
        <v>687</v>
      </c>
      <c r="G4803" s="3" t="s">
        <v>52</v>
      </c>
      <c r="H4803" s="2" t="s">
        <v>21</v>
      </c>
      <c r="I4803" s="2" t="s">
        <v>9664</v>
      </c>
      <c r="J4803" s="3" t="str">
        <f>HYPERLINK("https://www.boe.es/gazeta/dias/1821/04/17/pdfs/GMD-1821-109.pdf#page=2","Abrir facsímil")</f>
        <v>Abrir facsímil</v>
      </c>
      <c r="K4803" s="3" t="s">
        <v>23</v>
      </c>
    </row>
    <row r="4804" spans="1:11" ht="42" customHeight="1">
      <c r="A4804" s="2" t="s">
        <v>9665</v>
      </c>
      <c r="B4804" s="2" t="s">
        <v>9666</v>
      </c>
      <c r="C4804" s="2" t="s">
        <v>26</v>
      </c>
      <c r="D4804" s="2" t="s">
        <v>27</v>
      </c>
      <c r="E4804" s="5">
        <v>-28547</v>
      </c>
      <c r="F4804" s="3" t="s">
        <v>247</v>
      </c>
      <c r="G4804" s="3" t="s">
        <v>248</v>
      </c>
      <c r="H4804" s="2" t="s">
        <v>21</v>
      </c>
      <c r="I4804" s="2" t="s">
        <v>9667</v>
      </c>
      <c r="J4804" s="3" t="str">
        <f>HYPERLINK("https://www.boe.es/gazeta/dias/1821/11/02/pdfs/GMD-1821-312.pdf#page=2","Abrir facsímil")</f>
        <v>Abrir facsímil</v>
      </c>
      <c r="K4804" s="3" t="s">
        <v>23</v>
      </c>
    </row>
    <row r="4805" spans="1:11" ht="42" customHeight="1">
      <c r="A4805" s="2" t="s">
        <v>9668</v>
      </c>
      <c r="B4805" s="2" t="s">
        <v>9669</v>
      </c>
      <c r="C4805" s="2" t="s">
        <v>40</v>
      </c>
      <c r="D4805" s="2" t="s">
        <v>41</v>
      </c>
      <c r="E4805" s="5">
        <v>-28610</v>
      </c>
      <c r="F4805" s="3" t="s">
        <v>190</v>
      </c>
      <c r="G4805" s="3" t="s">
        <v>20</v>
      </c>
      <c r="H4805" s="2" t="s">
        <v>21</v>
      </c>
      <c r="I4805" s="2" t="s">
        <v>9670</v>
      </c>
      <c r="J4805" s="3" t="str">
        <f>HYPERLINK("https://www.boe.es/gazeta/dias/1821/08/31/pdfs/GMD-1821-248.pdf#page=3","Abrir facsímil")</f>
        <v>Abrir facsímil</v>
      </c>
      <c r="K4805" s="3" t="s">
        <v>23</v>
      </c>
    </row>
    <row r="4806" spans="1:11" ht="42" customHeight="1">
      <c r="A4806" s="2" t="s">
        <v>9671</v>
      </c>
      <c r="B4806" s="2" t="s">
        <v>9671</v>
      </c>
      <c r="C4806" s="2" t="s">
        <v>40</v>
      </c>
      <c r="D4806" s="2" t="s">
        <v>41</v>
      </c>
      <c r="E4806" s="5">
        <v>-28595</v>
      </c>
      <c r="F4806" s="3" t="s">
        <v>1621</v>
      </c>
      <c r="G4806" s="3" t="s">
        <v>20</v>
      </c>
      <c r="H4806" s="2" t="s">
        <v>21</v>
      </c>
      <c r="I4806" s="2" t="s">
        <v>9672</v>
      </c>
      <c r="J4806" s="3" t="str">
        <f>HYPERLINK("https://www.boe.es/gazeta/dias/1821/09/15/pdfs/GMD-1821-263.pdf#page=3","Abrir facsímil")</f>
        <v>Abrir facsímil</v>
      </c>
      <c r="K4806" s="3" t="s">
        <v>23</v>
      </c>
    </row>
    <row r="4807" spans="1:11" ht="42" customHeight="1">
      <c r="A4807" s="2" t="s">
        <v>9673</v>
      </c>
      <c r="B4807" s="2" t="s">
        <v>9673</v>
      </c>
      <c r="C4807" s="2" t="s">
        <v>26</v>
      </c>
      <c r="D4807" s="2" t="s">
        <v>27</v>
      </c>
      <c r="E4807" s="5">
        <v>-28683</v>
      </c>
      <c r="F4807" s="3" t="s">
        <v>332</v>
      </c>
      <c r="G4807" s="3" t="s">
        <v>333</v>
      </c>
      <c r="H4807" s="2" t="s">
        <v>21</v>
      </c>
      <c r="I4807" s="2" t="s">
        <v>9674</v>
      </c>
      <c r="J4807" s="3" t="str">
        <f>HYPERLINK("https://www.boe.es/gazeta/dias/1821/06/19/pdfs/GMD-1821-172.pdf#page=8","Abrir facsímil")</f>
        <v>Abrir facsímil</v>
      </c>
      <c r="K4807" s="3" t="s">
        <v>23</v>
      </c>
    </row>
    <row r="4808" spans="1:11" ht="42" customHeight="1">
      <c r="A4808" s="2" t="s">
        <v>9675</v>
      </c>
      <c r="B4808" s="2" t="s">
        <v>9675</v>
      </c>
      <c r="C4808" s="2" t="s">
        <v>40</v>
      </c>
      <c r="D4808" s="2" t="s">
        <v>41</v>
      </c>
      <c r="E4808" s="5">
        <v>-28764</v>
      </c>
      <c r="F4808" s="3" t="s">
        <v>924</v>
      </c>
      <c r="G4808" s="3" t="s">
        <v>20</v>
      </c>
      <c r="H4808" s="2" t="s">
        <v>21</v>
      </c>
      <c r="I4808" s="2" t="s">
        <v>9676</v>
      </c>
      <c r="J4808" s="3" t="str">
        <f>HYPERLINK("https://www.boe.es/gazeta/dias/1821/03/30/pdfs/GMD-1821-91.pdf#page=3","Abrir facsímil")</f>
        <v>Abrir facsímil</v>
      </c>
      <c r="K4808" s="3" t="s">
        <v>23</v>
      </c>
    </row>
    <row r="4809" spans="1:11" ht="42" customHeight="1">
      <c r="A4809" s="2" t="s">
        <v>9677</v>
      </c>
      <c r="B4809" s="2" t="s">
        <v>9677</v>
      </c>
      <c r="C4809" s="2" t="s">
        <v>17</v>
      </c>
      <c r="D4809" s="2" t="s">
        <v>18</v>
      </c>
      <c r="E4809" s="5">
        <v>-28756</v>
      </c>
      <c r="F4809" s="3" t="s">
        <v>3145</v>
      </c>
      <c r="G4809" s="3" t="s">
        <v>7553</v>
      </c>
      <c r="H4809" s="2" t="s">
        <v>21</v>
      </c>
      <c r="I4809" s="2" t="s">
        <v>9678</v>
      </c>
      <c r="J4809" s="3" t="str">
        <f>HYPERLINK("https://www.boe.es/gazeta/dias/1821/04/07/pdfs/GMD-1821-99.pdf#page=4","Abrir facsímil")</f>
        <v>Abrir facsímil</v>
      </c>
      <c r="K4809" s="3" t="s">
        <v>23</v>
      </c>
    </row>
    <row r="4810" spans="1:11" ht="42" customHeight="1">
      <c r="A4810" s="2" t="s">
        <v>9679</v>
      </c>
      <c r="B4810" s="2" t="s">
        <v>9680</v>
      </c>
      <c r="C4810" s="2" t="s">
        <v>279</v>
      </c>
      <c r="D4810" s="2" t="s">
        <v>27</v>
      </c>
      <c r="E4810" s="5">
        <v>-28745</v>
      </c>
      <c r="F4810" s="3" t="s">
        <v>1020</v>
      </c>
      <c r="G4810" s="3" t="s">
        <v>88</v>
      </c>
      <c r="H4810" s="2" t="s">
        <v>21</v>
      </c>
      <c r="I4810" s="2" t="s">
        <v>9681</v>
      </c>
      <c r="J4810" s="3" t="str">
        <f>HYPERLINK("https://www.boe.es/gazeta/dias/1821/04/18/pdfs/GMD-1821-110.pdf#page=4","Abrir facsímil")</f>
        <v>Abrir facsímil</v>
      </c>
      <c r="K4810" s="3" t="s">
        <v>23</v>
      </c>
    </row>
    <row r="4811" spans="1:11" ht="42" customHeight="1">
      <c r="A4811" s="2" t="s">
        <v>9682</v>
      </c>
      <c r="B4811" s="2" t="s">
        <v>9683</v>
      </c>
      <c r="C4811" s="2" t="s">
        <v>40</v>
      </c>
      <c r="D4811" s="2" t="s">
        <v>41</v>
      </c>
      <c r="E4811" s="5">
        <v>-28507</v>
      </c>
      <c r="F4811" s="3" t="s">
        <v>1158</v>
      </c>
      <c r="G4811" s="3" t="s">
        <v>20</v>
      </c>
      <c r="H4811" s="2" t="s">
        <v>21</v>
      </c>
      <c r="I4811" s="2" t="s">
        <v>9684</v>
      </c>
      <c r="J4811" s="3" t="str">
        <f>HYPERLINK("https://www.boe.es/gazeta/dias/1821/12/12/pdfs/GMD-1821-354.pdf#page=3","Abrir facsímil")</f>
        <v>Abrir facsímil</v>
      </c>
      <c r="K4811" s="3" t="s">
        <v>23</v>
      </c>
    </row>
    <row r="4812" spans="1:11" ht="42" customHeight="1">
      <c r="A4812" s="2" t="s">
        <v>9685</v>
      </c>
      <c r="B4812" s="2" t="s">
        <v>9686</v>
      </c>
      <c r="C4812" s="2" t="s">
        <v>40</v>
      </c>
      <c r="D4812" s="2" t="s">
        <v>41</v>
      </c>
      <c r="E4812" s="5">
        <v>-28621</v>
      </c>
      <c r="F4812" s="3" t="s">
        <v>1317</v>
      </c>
      <c r="G4812" s="3" t="s">
        <v>88</v>
      </c>
      <c r="H4812" s="2" t="s">
        <v>21</v>
      </c>
      <c r="I4812" s="2" t="s">
        <v>9687</v>
      </c>
      <c r="J4812" s="3" t="str">
        <f>HYPERLINK("https://www.boe.es/gazeta/dias/1821/08/20/pdfs/GMD-1821-237.pdf#page=4","Abrir facsímil")</f>
        <v>Abrir facsímil</v>
      </c>
      <c r="K4812" s="3" t="s">
        <v>23</v>
      </c>
    </row>
    <row r="4813" spans="1:11" ht="42" customHeight="1">
      <c r="A4813" s="2" t="s">
        <v>9688</v>
      </c>
      <c r="B4813" s="2" t="s">
        <v>9689</v>
      </c>
      <c r="C4813" s="2" t="s">
        <v>17</v>
      </c>
      <c r="D4813" s="2" t="s">
        <v>18</v>
      </c>
      <c r="E4813" s="5">
        <v>-28635</v>
      </c>
      <c r="F4813" s="3" t="s">
        <v>1210</v>
      </c>
      <c r="G4813" s="3" t="s">
        <v>88</v>
      </c>
      <c r="H4813" s="2" t="s">
        <v>21</v>
      </c>
      <c r="I4813" s="2" t="s">
        <v>9690</v>
      </c>
      <c r="J4813" s="3" t="str">
        <f>HYPERLINK("https://www.boe.es/gazeta/dias/1821/08/06/pdfs/GMD-1821-222.pdf#page=4","Abrir facsímil")</f>
        <v>Abrir facsímil</v>
      </c>
      <c r="K4813" s="3" t="s">
        <v>23</v>
      </c>
    </row>
    <row r="4814" spans="1:11" ht="42" customHeight="1">
      <c r="A4814" s="2" t="s">
        <v>9691</v>
      </c>
      <c r="B4814" s="2" t="s">
        <v>9692</v>
      </c>
      <c r="C4814" s="2" t="s">
        <v>40</v>
      </c>
      <c r="D4814" s="2" t="s">
        <v>41</v>
      </c>
      <c r="E4814" s="5">
        <v>-28830</v>
      </c>
      <c r="F4814" s="3" t="s">
        <v>3230</v>
      </c>
      <c r="G4814" s="3" t="s">
        <v>20</v>
      </c>
      <c r="H4814" s="2" t="s">
        <v>21</v>
      </c>
      <c r="I4814" s="2" t="s">
        <v>9693</v>
      </c>
      <c r="J4814" s="3" t="str">
        <f>HYPERLINK("https://www.boe.es/gazeta/dias/1821/01/23/pdfs/GGB-1821-23.pdf#page=3","Abrir facsímil")</f>
        <v>Abrir facsímil</v>
      </c>
      <c r="K4814" s="3" t="s">
        <v>23</v>
      </c>
    </row>
    <row r="4815" spans="1:11" ht="42" customHeight="1">
      <c r="A4815" s="2" t="s">
        <v>9694</v>
      </c>
      <c r="B4815" s="2" t="s">
        <v>9695</v>
      </c>
      <c r="C4815" s="2" t="s">
        <v>26</v>
      </c>
      <c r="D4815" s="2" t="s">
        <v>27</v>
      </c>
      <c r="E4815" s="5">
        <v>-28629</v>
      </c>
      <c r="F4815" s="3" t="s">
        <v>235</v>
      </c>
      <c r="G4815" s="3" t="s">
        <v>88</v>
      </c>
      <c r="H4815" s="2" t="s">
        <v>21</v>
      </c>
      <c r="I4815" s="2" t="s">
        <v>9696</v>
      </c>
      <c r="J4815" s="3" t="str">
        <f>HYPERLINK("https://www.boe.es/gazeta/dias/1821/08/12/pdfs/GMD-1821-229.pdf#page=4","Abrir facsímil")</f>
        <v>Abrir facsímil</v>
      </c>
      <c r="K4815" s="3" t="s">
        <v>23</v>
      </c>
    </row>
    <row r="4816" spans="1:11" ht="42" customHeight="1">
      <c r="A4816" s="2" t="s">
        <v>9697</v>
      </c>
      <c r="B4816" s="2" t="s">
        <v>9698</v>
      </c>
      <c r="C4816" s="2" t="s">
        <v>17</v>
      </c>
      <c r="D4816" s="2" t="s">
        <v>18</v>
      </c>
      <c r="E4816" s="5">
        <v>-28641</v>
      </c>
      <c r="F4816" s="3" t="s">
        <v>398</v>
      </c>
      <c r="G4816" s="3" t="s">
        <v>88</v>
      </c>
      <c r="H4816" s="2" t="s">
        <v>21</v>
      </c>
      <c r="I4816" s="2" t="s">
        <v>9699</v>
      </c>
      <c r="J4816" s="3" t="str">
        <f>HYPERLINK("https://www.boe.es/gazeta/dias/1821/07/31/pdfs/GMD-1821-216.pdf#page=4","Abrir facsímil")</f>
        <v>Abrir facsímil</v>
      </c>
      <c r="K4816" s="3" t="s">
        <v>23</v>
      </c>
    </row>
    <row r="4817" spans="1:11" ht="42" customHeight="1">
      <c r="A4817" s="2" t="s">
        <v>9700</v>
      </c>
      <c r="B4817" s="2" t="s">
        <v>9701</v>
      </c>
      <c r="C4817" s="2" t="s">
        <v>174</v>
      </c>
      <c r="D4817" s="2" t="s">
        <v>27</v>
      </c>
      <c r="E4817" s="5">
        <v>-28642</v>
      </c>
      <c r="F4817" s="3" t="s">
        <v>734</v>
      </c>
      <c r="G4817" s="3" t="s">
        <v>3536</v>
      </c>
      <c r="H4817" s="2" t="s">
        <v>21</v>
      </c>
      <c r="I4817" s="2" t="s">
        <v>9702</v>
      </c>
      <c r="J4817" s="3" t="str">
        <f>HYPERLINK("https://www.boe.es/gazeta/dias/1821/07/30/pdfs/GMD-1821-215.pdf#page=3","Abrir facsímil")</f>
        <v>Abrir facsímil</v>
      </c>
      <c r="K4817" s="3" t="s">
        <v>23</v>
      </c>
    </row>
    <row r="4818" spans="1:11" ht="42" customHeight="1">
      <c r="A4818" s="2" t="s">
        <v>9703</v>
      </c>
      <c r="B4818" s="2" t="s">
        <v>9704</v>
      </c>
      <c r="C4818" s="2" t="s">
        <v>35</v>
      </c>
      <c r="D4818" s="2" t="s">
        <v>27</v>
      </c>
      <c r="E4818" s="5">
        <v>-28596</v>
      </c>
      <c r="F4818" s="3" t="s">
        <v>1275</v>
      </c>
      <c r="G4818" s="3" t="s">
        <v>88</v>
      </c>
      <c r="H4818" s="2" t="s">
        <v>21</v>
      </c>
      <c r="I4818" s="2" t="s">
        <v>9705</v>
      </c>
      <c r="J4818" s="3" t="str">
        <f>HYPERLINK("https://www.boe.es/gazeta/dias/1821/09/14/pdfs/GMD-1821-262.pdf#page=4","Abrir facsímil")</f>
        <v>Abrir facsímil</v>
      </c>
      <c r="K4818" s="3" t="s">
        <v>23</v>
      </c>
    </row>
    <row r="4819" spans="1:11" ht="42" customHeight="1">
      <c r="A4819" s="2" t="s">
        <v>9706</v>
      </c>
      <c r="B4819" s="2" t="s">
        <v>9706</v>
      </c>
      <c r="C4819" s="2" t="s">
        <v>17</v>
      </c>
      <c r="D4819" s="2" t="s">
        <v>18</v>
      </c>
      <c r="E4819" s="5">
        <v>-28825</v>
      </c>
      <c r="F4819" s="3" t="s">
        <v>1199</v>
      </c>
      <c r="G4819" s="3" t="s">
        <v>43</v>
      </c>
      <c r="H4819" s="2" t="s">
        <v>21</v>
      </c>
      <c r="I4819" s="2" t="s">
        <v>9707</v>
      </c>
      <c r="J4819" s="3" t="str">
        <f>HYPERLINK("https://www.boe.es/gazeta/dias/1821/01/28/pdfs/GGB-1821-28.pdf#page=1","Abrir facsímil")</f>
        <v>Abrir facsímil</v>
      </c>
      <c r="K4819" s="3" t="s">
        <v>23</v>
      </c>
    </row>
    <row r="4820" spans="1:11" ht="42" customHeight="1">
      <c r="A4820" s="2" t="s">
        <v>9708</v>
      </c>
      <c r="B4820" s="2" t="s">
        <v>9709</v>
      </c>
      <c r="C4820" s="2" t="s">
        <v>279</v>
      </c>
      <c r="D4820" s="2" t="s">
        <v>27</v>
      </c>
      <c r="E4820" s="5">
        <v>-28676</v>
      </c>
      <c r="F4820" s="3" t="s">
        <v>534</v>
      </c>
      <c r="G4820" s="3" t="s">
        <v>52</v>
      </c>
      <c r="H4820" s="2" t="s">
        <v>21</v>
      </c>
      <c r="I4820" s="2" t="s">
        <v>9710</v>
      </c>
      <c r="J4820" s="3" t="str">
        <f>HYPERLINK("https://www.boe.es/gazeta/dias/1821/06/26/pdfs/GMD-1821-179.pdf#page=2","Abrir facsímil")</f>
        <v>Abrir facsímil</v>
      </c>
      <c r="K4820" s="3" t="s">
        <v>23</v>
      </c>
    </row>
    <row r="4821" spans="1:11" ht="42" customHeight="1">
      <c r="A4821" s="2" t="s">
        <v>9711</v>
      </c>
      <c r="B4821" s="2" t="s">
        <v>9712</v>
      </c>
      <c r="C4821" s="2" t="s">
        <v>35</v>
      </c>
      <c r="D4821" s="2" t="s">
        <v>27</v>
      </c>
      <c r="E4821" s="5">
        <v>-28626</v>
      </c>
      <c r="F4821" s="3" t="s">
        <v>468</v>
      </c>
      <c r="G4821" s="3" t="s">
        <v>88</v>
      </c>
      <c r="H4821" s="2" t="s">
        <v>21</v>
      </c>
      <c r="I4821" s="2" t="s">
        <v>9713</v>
      </c>
      <c r="J4821" s="3" t="str">
        <f>HYPERLINK("https://www.boe.es/gazeta/dias/1821/08/15/pdfs/GMD-1821-232.pdf#page=4","Abrir facsímil")</f>
        <v>Abrir facsímil</v>
      </c>
      <c r="K4821" s="3" t="s">
        <v>23</v>
      </c>
    </row>
    <row r="4822" spans="1:11" ht="42" customHeight="1">
      <c r="A4822" s="2" t="s">
        <v>9714</v>
      </c>
      <c r="B4822" s="2" t="s">
        <v>9715</v>
      </c>
      <c r="C4822" s="2" t="s">
        <v>40</v>
      </c>
      <c r="D4822" s="2" t="s">
        <v>41</v>
      </c>
      <c r="E4822" s="5">
        <v>-28563</v>
      </c>
      <c r="F4822" s="3" t="s">
        <v>118</v>
      </c>
      <c r="G4822" s="3" t="s">
        <v>20</v>
      </c>
      <c r="H4822" s="2" t="s">
        <v>21</v>
      </c>
      <c r="I4822" s="2" t="s">
        <v>9716</v>
      </c>
      <c r="J4822" s="3" t="str">
        <f>HYPERLINK("https://www.boe.es/gazeta/dias/1821/10/17/pdfs/GMD-1821-296.pdf#page=3","Abrir facsímil")</f>
        <v>Abrir facsímil</v>
      </c>
      <c r="K4822" s="3" t="s">
        <v>23</v>
      </c>
    </row>
    <row r="4823" spans="1:11" ht="42" customHeight="1">
      <c r="A4823" s="2" t="s">
        <v>9717</v>
      </c>
      <c r="B4823" s="2" t="s">
        <v>9717</v>
      </c>
      <c r="C4823" s="2" t="s">
        <v>17</v>
      </c>
      <c r="D4823" s="2" t="s">
        <v>18</v>
      </c>
      <c r="E4823" s="5">
        <v>-28687</v>
      </c>
      <c r="F4823" s="3" t="s">
        <v>851</v>
      </c>
      <c r="G4823" s="3" t="s">
        <v>88</v>
      </c>
      <c r="H4823" s="2" t="s">
        <v>21</v>
      </c>
      <c r="I4823" s="2" t="s">
        <v>9718</v>
      </c>
      <c r="J4823" s="3" t="str">
        <f>HYPERLINK("https://www.boe.es/gazeta/dias/1821/06/15/pdfs/GMD-1821-168.pdf#page=4","Abrir facsímil")</f>
        <v>Abrir facsímil</v>
      </c>
      <c r="K4823" s="3" t="s">
        <v>23</v>
      </c>
    </row>
    <row r="4824" spans="1:11" ht="42" customHeight="1">
      <c r="A4824" s="2" t="s">
        <v>9719</v>
      </c>
      <c r="B4824" s="2" t="s">
        <v>9719</v>
      </c>
      <c r="C4824" s="2" t="s">
        <v>17</v>
      </c>
      <c r="D4824" s="2" t="s">
        <v>18</v>
      </c>
      <c r="E4824" s="5">
        <v>-28731</v>
      </c>
      <c r="F4824" s="3" t="s">
        <v>577</v>
      </c>
      <c r="G4824" s="3" t="s">
        <v>20</v>
      </c>
      <c r="H4824" s="2" t="s">
        <v>21</v>
      </c>
      <c r="I4824" s="2" t="s">
        <v>9720</v>
      </c>
      <c r="J4824" s="3" t="str">
        <f>HYPERLINK("https://www.boe.es/gazeta/dias/1821/05/02/pdfs/GMD-1821-124.pdf#page=3","Abrir facsímil")</f>
        <v>Abrir facsímil</v>
      </c>
      <c r="K4824" s="3" t="s">
        <v>23</v>
      </c>
    </row>
    <row r="4825" spans="1:11" ht="42" customHeight="1">
      <c r="A4825" s="2" t="s">
        <v>9721</v>
      </c>
      <c r="B4825" s="2" t="s">
        <v>9721</v>
      </c>
      <c r="C4825" s="2" t="s">
        <v>26</v>
      </c>
      <c r="D4825" s="2" t="s">
        <v>27</v>
      </c>
      <c r="E4825" s="5">
        <v>-28720</v>
      </c>
      <c r="F4825" s="3" t="s">
        <v>492</v>
      </c>
      <c r="G4825" s="3" t="s">
        <v>43</v>
      </c>
      <c r="H4825" s="2" t="s">
        <v>21</v>
      </c>
      <c r="I4825" s="2" t="s">
        <v>9722</v>
      </c>
      <c r="J4825" s="3" t="str">
        <f>HYPERLINK("https://www.boe.es/gazeta/dias/1821/05/13/pdfs/GMD-1821-135.pdf#page=1","Abrir facsímil")</f>
        <v>Abrir facsímil</v>
      </c>
      <c r="K4825" s="3" t="s">
        <v>23</v>
      </c>
    </row>
    <row r="4826" spans="1:11" ht="42" customHeight="1">
      <c r="A4826" s="2" t="s">
        <v>9723</v>
      </c>
      <c r="B4826" s="2" t="s">
        <v>9723</v>
      </c>
      <c r="C4826" s="2" t="s">
        <v>17</v>
      </c>
      <c r="D4826" s="2" t="s">
        <v>18</v>
      </c>
      <c r="E4826" s="5">
        <v>-28687</v>
      </c>
      <c r="F4826" s="3" t="s">
        <v>851</v>
      </c>
      <c r="G4826" s="3" t="s">
        <v>52</v>
      </c>
      <c r="H4826" s="2" t="s">
        <v>21</v>
      </c>
      <c r="I4826" s="2" t="s">
        <v>9724</v>
      </c>
      <c r="J4826" s="3" t="str">
        <f>HYPERLINK("https://www.boe.es/gazeta/dias/1821/06/15/pdfs/GMD-1821-168.pdf#page=2","Abrir facsímil")</f>
        <v>Abrir facsímil</v>
      </c>
      <c r="K4826" s="3" t="s">
        <v>23</v>
      </c>
    </row>
    <row r="4827" spans="1:11" ht="42" customHeight="1">
      <c r="A4827" s="2" t="s">
        <v>9725</v>
      </c>
      <c r="B4827" s="2" t="s">
        <v>9726</v>
      </c>
      <c r="C4827" s="2" t="s">
        <v>26</v>
      </c>
      <c r="D4827" s="2" t="s">
        <v>27</v>
      </c>
      <c r="E4827" s="5">
        <v>-28514</v>
      </c>
      <c r="F4827" s="3" t="s">
        <v>103</v>
      </c>
      <c r="G4827" s="3" t="s">
        <v>52</v>
      </c>
      <c r="H4827" s="2" t="s">
        <v>21</v>
      </c>
      <c r="I4827" s="2" t="s">
        <v>9727</v>
      </c>
      <c r="J4827" s="3" t="str">
        <f>HYPERLINK("https://www.boe.es/gazeta/dias/1821/12/05/pdfs/GMD-1821-347.pdf#page=2","Abrir facsímil")</f>
        <v>Abrir facsímil</v>
      </c>
      <c r="K4827" s="3" t="s">
        <v>23</v>
      </c>
    </row>
    <row r="4828" spans="1:11" ht="42" customHeight="1">
      <c r="A4828" s="2" t="s">
        <v>9728</v>
      </c>
      <c r="B4828" s="2" t="s">
        <v>9728</v>
      </c>
      <c r="C4828" s="2" t="s">
        <v>174</v>
      </c>
      <c r="D4828" s="2" t="s">
        <v>27</v>
      </c>
      <c r="E4828" s="5">
        <v>-28703</v>
      </c>
      <c r="F4828" s="3" t="s">
        <v>231</v>
      </c>
      <c r="G4828" s="3" t="s">
        <v>52</v>
      </c>
      <c r="H4828" s="2" t="s">
        <v>21</v>
      </c>
      <c r="I4828" s="2" t="s">
        <v>9729</v>
      </c>
      <c r="J4828" s="3" t="str">
        <f>HYPERLINK("https://www.boe.es/gazeta/dias/1821/05/30/pdfs/GMD-1821-152.pdf#page=2","Abrir facsímil")</f>
        <v>Abrir facsímil</v>
      </c>
      <c r="K4828" s="3" t="s">
        <v>23</v>
      </c>
    </row>
    <row r="4829" spans="1:11" ht="42" customHeight="1">
      <c r="A4829" s="2" t="s">
        <v>9730</v>
      </c>
      <c r="B4829" s="2" t="s">
        <v>9731</v>
      </c>
      <c r="C4829" s="2" t="s">
        <v>17</v>
      </c>
      <c r="D4829" s="2" t="s">
        <v>18</v>
      </c>
      <c r="E4829" s="5">
        <v>-28563</v>
      </c>
      <c r="F4829" s="3" t="s">
        <v>118</v>
      </c>
      <c r="G4829" s="3" t="s">
        <v>52</v>
      </c>
      <c r="H4829" s="2" t="s">
        <v>21</v>
      </c>
      <c r="I4829" s="2" t="s">
        <v>9732</v>
      </c>
      <c r="J4829" s="3" t="str">
        <f>HYPERLINK("https://www.boe.es/gazeta/dias/1821/10/17/pdfs/GMD-1821-296.pdf#page=2","Abrir facsímil")</f>
        <v>Abrir facsímil</v>
      </c>
      <c r="K4829" s="3" t="s">
        <v>23</v>
      </c>
    </row>
    <row r="4830" spans="1:11" ht="42" customHeight="1">
      <c r="A4830" s="2" t="s">
        <v>9733</v>
      </c>
      <c r="B4830" s="2" t="s">
        <v>9734</v>
      </c>
      <c r="C4830" s="2" t="s">
        <v>26</v>
      </c>
      <c r="D4830" s="2" t="s">
        <v>27</v>
      </c>
      <c r="E4830" s="5">
        <v>-28798</v>
      </c>
      <c r="F4830" s="3" t="s">
        <v>60</v>
      </c>
      <c r="G4830" s="3" t="s">
        <v>20</v>
      </c>
      <c r="H4830" s="2" t="s">
        <v>21</v>
      </c>
      <c r="I4830" s="2" t="s">
        <v>9735</v>
      </c>
      <c r="J4830" s="3" t="str">
        <f>HYPERLINK("https://www.boe.es/gazeta/dias/1821/02/24/pdfs/GGB-1821-55.pdf#page=3","Abrir facsímil")</f>
        <v>Abrir facsímil</v>
      </c>
      <c r="K4830" s="3" t="s">
        <v>23</v>
      </c>
    </row>
    <row r="4831" spans="1:11" ht="42" customHeight="1">
      <c r="A4831" s="2" t="s">
        <v>9736</v>
      </c>
      <c r="B4831" s="2" t="s">
        <v>9737</v>
      </c>
      <c r="C4831" s="2" t="s">
        <v>26</v>
      </c>
      <c r="D4831" s="2" t="s">
        <v>27</v>
      </c>
      <c r="E4831" s="5">
        <v>-28779</v>
      </c>
      <c r="F4831" s="3" t="s">
        <v>1002</v>
      </c>
      <c r="G4831" s="3" t="s">
        <v>52</v>
      </c>
      <c r="H4831" s="2" t="s">
        <v>21</v>
      </c>
      <c r="I4831" s="2" t="s">
        <v>9738</v>
      </c>
      <c r="J4831" s="3" t="str">
        <f>HYPERLINK("https://www.boe.es/gazeta/dias/1821/03/15/pdfs/GMD-1821-74.pdf#page=2","Abrir facsímil")</f>
        <v>Abrir facsímil</v>
      </c>
      <c r="K4831" s="3" t="s">
        <v>23</v>
      </c>
    </row>
    <row r="4832" spans="1:11" ht="42" customHeight="1">
      <c r="A4832" s="2" t="s">
        <v>9739</v>
      </c>
      <c r="B4832" s="2" t="s">
        <v>9740</v>
      </c>
      <c r="C4832" s="2" t="s">
        <v>17</v>
      </c>
      <c r="D4832" s="2" t="s">
        <v>18</v>
      </c>
      <c r="E4832" s="5">
        <v>-28515</v>
      </c>
      <c r="F4832" s="3" t="s">
        <v>260</v>
      </c>
      <c r="G4832" s="3" t="s">
        <v>333</v>
      </c>
      <c r="H4832" s="2" t="s">
        <v>21</v>
      </c>
      <c r="I4832" s="2" t="s">
        <v>9741</v>
      </c>
      <c r="J4832" s="3" t="str">
        <f>HYPERLINK("https://www.boe.es/gazeta/dias/1821/12/04/pdfs/GMD-1821-346.pdf#page=8","Abrir facsímil")</f>
        <v>Abrir facsímil</v>
      </c>
      <c r="K4832" s="3" t="s">
        <v>23</v>
      </c>
    </row>
    <row r="4833" spans="1:11" ht="42" customHeight="1">
      <c r="A4833" s="2" t="s">
        <v>9742</v>
      </c>
      <c r="B4833" s="2" t="s">
        <v>9743</v>
      </c>
      <c r="C4833" s="2" t="s">
        <v>17</v>
      </c>
      <c r="D4833" s="2" t="s">
        <v>18</v>
      </c>
      <c r="E4833" s="5">
        <v>-28641</v>
      </c>
      <c r="F4833" s="3" t="s">
        <v>398</v>
      </c>
      <c r="G4833" s="3" t="s">
        <v>88</v>
      </c>
      <c r="H4833" s="2" t="s">
        <v>21</v>
      </c>
      <c r="I4833" s="2" t="s">
        <v>9744</v>
      </c>
      <c r="J4833" s="3" t="str">
        <f>HYPERLINK("https://www.boe.es/gazeta/dias/1821/07/31/pdfs/GMD-1821-216.pdf#page=4","Abrir facsímil")</f>
        <v>Abrir facsímil</v>
      </c>
      <c r="K4833" s="3" t="s">
        <v>23</v>
      </c>
    </row>
    <row r="4834" spans="1:11" ht="42" customHeight="1">
      <c r="A4834" s="2" t="s">
        <v>9745</v>
      </c>
      <c r="B4834" s="2" t="s">
        <v>9746</v>
      </c>
      <c r="C4834" s="2" t="s">
        <v>40</v>
      </c>
      <c r="D4834" s="2" t="s">
        <v>41</v>
      </c>
      <c r="E4834" s="5">
        <v>-28684</v>
      </c>
      <c r="F4834" s="3" t="s">
        <v>208</v>
      </c>
      <c r="G4834" s="3" t="s">
        <v>20</v>
      </c>
      <c r="H4834" s="2" t="s">
        <v>30</v>
      </c>
      <c r="I4834" s="2" t="s">
        <v>9747</v>
      </c>
      <c r="J4834" s="3" t="str">
        <f>HYPERLINK("https://www.boe.es/gazeta/dias/1821/06/18/pdfs/GMD-1821-171.pdf#page=3","Abrir facsímil")</f>
        <v>Abrir facsímil</v>
      </c>
      <c r="K4834" s="3" t="s">
        <v>32</v>
      </c>
    </row>
    <row r="4835" spans="1:11" ht="42" customHeight="1">
      <c r="A4835" s="2" t="s">
        <v>9748</v>
      </c>
      <c r="B4835" s="2" t="s">
        <v>9749</v>
      </c>
      <c r="C4835" s="2" t="s">
        <v>40</v>
      </c>
      <c r="D4835" s="2" t="s">
        <v>41</v>
      </c>
      <c r="E4835" s="5">
        <v>-28640</v>
      </c>
      <c r="F4835" s="3" t="s">
        <v>1590</v>
      </c>
      <c r="G4835" s="3" t="s">
        <v>29</v>
      </c>
      <c r="H4835" s="2" t="s">
        <v>21</v>
      </c>
      <c r="I4835" s="2" t="s">
        <v>9750</v>
      </c>
      <c r="J4835" s="3" t="str">
        <f>HYPERLINK("https://www.boe.es/gazeta/dias/1821/08/01/pdfs/GMD-1821-217.pdf#page=6","Abrir facsímil")</f>
        <v>Abrir facsímil</v>
      </c>
      <c r="K4835" s="3" t="s">
        <v>23</v>
      </c>
    </row>
    <row r="4836" spans="1:11" ht="42" customHeight="1">
      <c r="A4836" s="2" t="s">
        <v>9751</v>
      </c>
      <c r="B4836" s="2" t="s">
        <v>9752</v>
      </c>
      <c r="C4836" s="2" t="s">
        <v>35</v>
      </c>
      <c r="D4836" s="2" t="s">
        <v>27</v>
      </c>
      <c r="E4836" s="5">
        <v>-28689</v>
      </c>
      <c r="F4836" s="3" t="s">
        <v>194</v>
      </c>
      <c r="G4836" s="3" t="s">
        <v>20</v>
      </c>
      <c r="H4836" s="2" t="s">
        <v>21</v>
      </c>
      <c r="I4836" s="2" t="s">
        <v>9753</v>
      </c>
      <c r="J4836" s="3" t="str">
        <f>HYPERLINK("https://www.boe.es/gazeta/dias/1821/06/13/pdfs/GMD-1821-166.pdf#page=3","Abrir facsímil")</f>
        <v>Abrir facsímil</v>
      </c>
      <c r="K4836" s="3" t="s">
        <v>23</v>
      </c>
    </row>
    <row r="4837" spans="1:11" ht="42" customHeight="1">
      <c r="A4837" s="2" t="s">
        <v>9754</v>
      </c>
      <c r="B4837" s="2" t="s">
        <v>9755</v>
      </c>
      <c r="C4837" s="2" t="s">
        <v>35</v>
      </c>
      <c r="D4837" s="2" t="s">
        <v>27</v>
      </c>
      <c r="E4837" s="5">
        <v>-28533</v>
      </c>
      <c r="F4837" s="3" t="s">
        <v>559</v>
      </c>
      <c r="G4837" s="3" t="s">
        <v>20</v>
      </c>
      <c r="H4837" s="2" t="s">
        <v>30</v>
      </c>
      <c r="I4837" s="2" t="s">
        <v>9756</v>
      </c>
      <c r="J4837" s="3" t="str">
        <f>HYPERLINK("https://www.boe.es/gazeta/dias/1821/11/16/pdfs/GMD-1821-327.pdf#page=3","Abrir facsímil")</f>
        <v>Abrir facsímil</v>
      </c>
      <c r="K4837" s="3" t="s">
        <v>32</v>
      </c>
    </row>
    <row r="4838" spans="1:11" ht="42" customHeight="1">
      <c r="A4838" s="2" t="s">
        <v>9757</v>
      </c>
      <c r="B4838" s="2" t="s">
        <v>9758</v>
      </c>
      <c r="C4838" s="2" t="s">
        <v>174</v>
      </c>
      <c r="D4838" s="2" t="s">
        <v>27</v>
      </c>
      <c r="E4838" s="5">
        <v>-28552</v>
      </c>
      <c r="F4838" s="3" t="s">
        <v>28</v>
      </c>
      <c r="G4838" s="3" t="s">
        <v>29</v>
      </c>
      <c r="H4838" s="2" t="s">
        <v>21</v>
      </c>
      <c r="I4838" s="2" t="s">
        <v>9759</v>
      </c>
      <c r="J4838" s="3" t="str">
        <f>HYPERLINK("https://www.boe.es/gazeta/dias/1821/10/28/pdfs/GMD-1821-307.pdf#page=6","Abrir facsímil")</f>
        <v>Abrir facsímil</v>
      </c>
      <c r="K4838" s="3" t="s">
        <v>23</v>
      </c>
    </row>
    <row r="4839" spans="1:11" ht="42" customHeight="1">
      <c r="A4839" s="2" t="s">
        <v>9760</v>
      </c>
      <c r="B4839" s="2" t="s">
        <v>9761</v>
      </c>
      <c r="C4839" s="2" t="s">
        <v>35</v>
      </c>
      <c r="D4839" s="2" t="s">
        <v>27</v>
      </c>
      <c r="E4839" s="5">
        <v>-28753</v>
      </c>
      <c r="F4839" s="3" t="s">
        <v>720</v>
      </c>
      <c r="G4839" s="3" t="s">
        <v>776</v>
      </c>
      <c r="H4839" s="2" t="s">
        <v>21</v>
      </c>
      <c r="I4839" s="2" t="s">
        <v>9762</v>
      </c>
      <c r="J4839" s="3" t="str">
        <f>HYPERLINK("https://www.boe.es/gazeta/dias/1821/04/10/pdfs/GMD-1821-102.pdf#page=2","Abrir facsímil")</f>
        <v>Abrir facsímil</v>
      </c>
      <c r="K4839" s="3" t="s">
        <v>23</v>
      </c>
    </row>
    <row r="4840" spans="1:11" ht="42" customHeight="1">
      <c r="A4840" s="2" t="s">
        <v>9763</v>
      </c>
      <c r="B4840" s="2" t="s">
        <v>9764</v>
      </c>
      <c r="C4840" s="2" t="s">
        <v>40</v>
      </c>
      <c r="D4840" s="2" t="s">
        <v>41</v>
      </c>
      <c r="E4840" s="5">
        <v>-28706</v>
      </c>
      <c r="F4840" s="3" t="s">
        <v>4791</v>
      </c>
      <c r="G4840" s="3" t="s">
        <v>52</v>
      </c>
      <c r="H4840" s="2" t="s">
        <v>21</v>
      </c>
      <c r="I4840" s="2" t="s">
        <v>9765</v>
      </c>
      <c r="J4840" s="3" t="str">
        <f>HYPERLINK("https://www.boe.es/gazeta/dias/1821/05/27/pdfs/GMD-1821-149.pdf#page=2","Abrir facsímil")</f>
        <v>Abrir facsímil</v>
      </c>
      <c r="K4840" s="3" t="s">
        <v>23</v>
      </c>
    </row>
    <row r="4841" spans="1:11" ht="42" customHeight="1">
      <c r="A4841" s="2" t="s">
        <v>9766</v>
      </c>
      <c r="B4841" s="2" t="s">
        <v>9767</v>
      </c>
      <c r="C4841" s="2" t="s">
        <v>26</v>
      </c>
      <c r="D4841" s="2" t="s">
        <v>27</v>
      </c>
      <c r="E4841" s="5">
        <v>-28733</v>
      </c>
      <c r="F4841" s="3" t="s">
        <v>1033</v>
      </c>
      <c r="G4841" s="3" t="s">
        <v>7434</v>
      </c>
      <c r="H4841" s="2" t="s">
        <v>21</v>
      </c>
      <c r="I4841" s="2" t="s">
        <v>9768</v>
      </c>
      <c r="J4841" s="3" t="str">
        <f>HYPERLINK("https://www.boe.es/gazeta/dias/1821/04/30/pdfs/GMD-1821-122.pdf#page=4","Abrir facsímil")</f>
        <v>Abrir facsímil</v>
      </c>
      <c r="K4841" s="3" t="s">
        <v>23</v>
      </c>
    </row>
    <row r="4842" spans="1:11" ht="42" customHeight="1">
      <c r="A4842" s="2" t="s">
        <v>9769</v>
      </c>
      <c r="B4842" s="2" t="s">
        <v>9770</v>
      </c>
      <c r="C4842" s="2" t="s">
        <v>35</v>
      </c>
      <c r="D4842" s="2" t="s">
        <v>27</v>
      </c>
      <c r="E4842" s="5">
        <v>-28747</v>
      </c>
      <c r="F4842" s="3" t="s">
        <v>1016</v>
      </c>
      <c r="G4842" s="3" t="s">
        <v>43</v>
      </c>
      <c r="H4842" s="2" t="s">
        <v>21</v>
      </c>
      <c r="I4842" s="2" t="s">
        <v>9771</v>
      </c>
      <c r="J4842" s="3" t="str">
        <f>HYPERLINK("https://www.boe.es/gazeta/dias/1821/04/16/pdfs/GMD-1821-108.pdf#page=1","Abrir facsímil")</f>
        <v>Abrir facsímil</v>
      </c>
      <c r="K4842" s="3" t="s">
        <v>23</v>
      </c>
    </row>
    <row r="4843" spans="1:11" ht="42" customHeight="1">
      <c r="A4843" s="2" t="s">
        <v>9772</v>
      </c>
      <c r="B4843" s="2" t="s">
        <v>9773</v>
      </c>
      <c r="C4843" s="2" t="s">
        <v>279</v>
      </c>
      <c r="D4843" s="2" t="s">
        <v>27</v>
      </c>
      <c r="E4843" s="5">
        <v>-28532</v>
      </c>
      <c r="F4843" s="3" t="s">
        <v>1415</v>
      </c>
      <c r="G4843" s="3" t="s">
        <v>20</v>
      </c>
      <c r="H4843" s="2" t="s">
        <v>21</v>
      </c>
      <c r="I4843" s="2" t="s">
        <v>9774</v>
      </c>
      <c r="J4843" s="3" t="str">
        <f>HYPERLINK("https://www.boe.es/gazeta/dias/1821/11/17/pdfs/GMD-1821-328.pdf#page=3","Abrir facsímil")</f>
        <v>Abrir facsímil</v>
      </c>
      <c r="K4843" s="3" t="s">
        <v>23</v>
      </c>
    </row>
    <row r="4844" spans="1:11" ht="42" customHeight="1">
      <c r="A4844" s="2" t="s">
        <v>9775</v>
      </c>
      <c r="B4844" s="2" t="s">
        <v>9776</v>
      </c>
      <c r="C4844" s="2" t="s">
        <v>17</v>
      </c>
      <c r="D4844" s="2" t="s">
        <v>18</v>
      </c>
      <c r="E4844" s="5">
        <v>-28788</v>
      </c>
      <c r="F4844" s="3" t="s">
        <v>996</v>
      </c>
      <c r="G4844" s="3" t="s">
        <v>52</v>
      </c>
      <c r="H4844" s="2" t="s">
        <v>21</v>
      </c>
      <c r="I4844" s="2" t="s">
        <v>9777</v>
      </c>
      <c r="J4844" s="3" t="str">
        <f>HYPERLINK("https://www.boe.es/gazeta/dias/1821/03/06/pdfs/GGB-1821-65.pdf#page=2","Abrir facsímil")</f>
        <v>Abrir facsímil</v>
      </c>
      <c r="K4844" s="3" t="s">
        <v>23</v>
      </c>
    </row>
    <row r="4845" spans="1:11" ht="42" customHeight="1">
      <c r="A4845" s="2" t="s">
        <v>9778</v>
      </c>
      <c r="B4845" s="2" t="s">
        <v>9779</v>
      </c>
      <c r="C4845" s="2" t="s">
        <v>40</v>
      </c>
      <c r="D4845" s="2" t="s">
        <v>41</v>
      </c>
      <c r="E4845" s="5">
        <v>-28777</v>
      </c>
      <c r="F4845" s="3" t="s">
        <v>1004</v>
      </c>
      <c r="G4845" s="3" t="s">
        <v>88</v>
      </c>
      <c r="H4845" s="2" t="s">
        <v>21</v>
      </c>
      <c r="I4845" s="2" t="s">
        <v>9780</v>
      </c>
      <c r="J4845" s="3" t="str">
        <f>HYPERLINK("https://www.boe.es/gazeta/dias/1821/03/17/pdfs/GMD-1821-76.pdf#page=4","Abrir facsímil")</f>
        <v>Abrir facsímil</v>
      </c>
      <c r="K4845" s="3" t="s">
        <v>23</v>
      </c>
    </row>
    <row r="4846" spans="1:11" ht="42" customHeight="1">
      <c r="A4846" s="2" t="s">
        <v>9781</v>
      </c>
      <c r="B4846" s="2" t="s">
        <v>9782</v>
      </c>
      <c r="C4846" s="2" t="s">
        <v>17</v>
      </c>
      <c r="D4846" s="2" t="s">
        <v>18</v>
      </c>
      <c r="E4846" s="5">
        <v>-28741</v>
      </c>
      <c r="F4846" s="3" t="s">
        <v>1841</v>
      </c>
      <c r="G4846" s="3" t="s">
        <v>88</v>
      </c>
      <c r="H4846" s="2" t="s">
        <v>21</v>
      </c>
      <c r="I4846" s="2" t="s">
        <v>9783</v>
      </c>
      <c r="J4846" s="3" t="str">
        <f>HYPERLINK("https://www.boe.es/gazeta/dias/1821/04/22/pdfs/GMD-1821-114.pdf#page=4","Abrir facsímil")</f>
        <v>Abrir facsímil</v>
      </c>
      <c r="K4846" s="3" t="s">
        <v>23</v>
      </c>
    </row>
    <row r="4847" spans="1:11" ht="42" customHeight="1">
      <c r="A4847" s="2" t="s">
        <v>9784</v>
      </c>
      <c r="B4847" s="2" t="s">
        <v>9785</v>
      </c>
      <c r="C4847" s="2" t="s">
        <v>35</v>
      </c>
      <c r="D4847" s="2" t="s">
        <v>27</v>
      </c>
      <c r="E4847" s="5">
        <v>-28676</v>
      </c>
      <c r="F4847" s="3" t="s">
        <v>534</v>
      </c>
      <c r="G4847" s="3" t="s">
        <v>29</v>
      </c>
      <c r="H4847" s="2" t="s">
        <v>21</v>
      </c>
      <c r="I4847" s="2" t="s">
        <v>9786</v>
      </c>
      <c r="J4847" s="3" t="str">
        <f>HYPERLINK("https://www.boe.es/gazeta/dias/1821/06/26/pdfs/GMD-1821-179.pdf#page=6","Abrir facsímil")</f>
        <v>Abrir facsímil</v>
      </c>
      <c r="K4847" s="3" t="s">
        <v>23</v>
      </c>
    </row>
    <row r="4848" spans="1:11" ht="42" customHeight="1">
      <c r="A4848" s="2" t="s">
        <v>9787</v>
      </c>
      <c r="B4848" s="2" t="s">
        <v>9788</v>
      </c>
      <c r="C4848" s="2" t="s">
        <v>40</v>
      </c>
      <c r="D4848" s="2" t="s">
        <v>41</v>
      </c>
      <c r="E4848" s="5">
        <v>-28655</v>
      </c>
      <c r="F4848" s="3" t="s">
        <v>2530</v>
      </c>
      <c r="G4848" s="3" t="s">
        <v>88</v>
      </c>
      <c r="H4848" s="2" t="s">
        <v>21</v>
      </c>
      <c r="I4848" s="2" t="s">
        <v>9789</v>
      </c>
      <c r="J4848" s="3" t="str">
        <f>HYPERLINK("https://www.boe.es/gazeta/dias/1821/07/17/pdfs/GMD-1821-202.pdf#page=4","Abrir facsímil")</f>
        <v>Abrir facsímil</v>
      </c>
      <c r="K4848" s="3" t="s">
        <v>23</v>
      </c>
    </row>
    <row r="4849" spans="1:11" ht="42" customHeight="1">
      <c r="A4849" s="2" t="s">
        <v>9790</v>
      </c>
      <c r="B4849" s="2" t="s">
        <v>9790</v>
      </c>
      <c r="C4849" s="2" t="s">
        <v>40</v>
      </c>
      <c r="D4849" s="2" t="s">
        <v>41</v>
      </c>
      <c r="E4849" s="5">
        <v>-28639</v>
      </c>
      <c r="F4849" s="3" t="s">
        <v>3316</v>
      </c>
      <c r="G4849" s="3" t="s">
        <v>88</v>
      </c>
      <c r="H4849" s="2" t="s">
        <v>21</v>
      </c>
      <c r="I4849" s="2" t="s">
        <v>9791</v>
      </c>
      <c r="J4849" s="3" t="str">
        <f>HYPERLINK("https://www.boe.es/gazeta/dias/1821/08/02/pdfs/GMD-1821-218.pdf#page=4","Abrir facsímil")</f>
        <v>Abrir facsímil</v>
      </c>
      <c r="K4849" s="3" t="s">
        <v>23</v>
      </c>
    </row>
    <row r="4850" spans="1:11" ht="42" customHeight="1">
      <c r="A4850" s="2" t="s">
        <v>9792</v>
      </c>
      <c r="B4850" s="2" t="s">
        <v>9792</v>
      </c>
      <c r="C4850" s="2" t="s">
        <v>40</v>
      </c>
      <c r="D4850" s="2" t="s">
        <v>41</v>
      </c>
      <c r="E4850" s="5">
        <v>-28696</v>
      </c>
      <c r="F4850" s="3" t="s">
        <v>497</v>
      </c>
      <c r="G4850" s="3" t="s">
        <v>52</v>
      </c>
      <c r="H4850" s="2" t="s">
        <v>21</v>
      </c>
      <c r="I4850" s="2" t="s">
        <v>9793</v>
      </c>
      <c r="J4850" s="3" t="str">
        <f>HYPERLINK("https://www.boe.es/gazeta/dias/1821/06/06/pdfs/GMD-1821-159.pdf#page=2","Abrir facsímil")</f>
        <v>Abrir facsímil</v>
      </c>
      <c r="K4850" s="3" t="s">
        <v>23</v>
      </c>
    </row>
    <row r="4851" spans="1:11" ht="42" customHeight="1">
      <c r="A4851" s="2" t="s">
        <v>9794</v>
      </c>
      <c r="B4851" s="2" t="s">
        <v>9795</v>
      </c>
      <c r="C4851" s="2" t="s">
        <v>17</v>
      </c>
      <c r="D4851" s="2" t="s">
        <v>18</v>
      </c>
      <c r="E4851" s="5">
        <v>-28522</v>
      </c>
      <c r="F4851" s="3" t="s">
        <v>1083</v>
      </c>
      <c r="G4851" s="3" t="s">
        <v>29</v>
      </c>
      <c r="H4851" s="2" t="s">
        <v>21</v>
      </c>
      <c r="I4851" s="2" t="s">
        <v>9796</v>
      </c>
      <c r="J4851" s="3" t="str">
        <f>HYPERLINK("https://www.boe.es/gazeta/dias/1821/11/27/pdfs/GMD-1821-339.pdf#page=6","Abrir facsímil")</f>
        <v>Abrir facsímil</v>
      </c>
      <c r="K4851" s="3" t="s">
        <v>23</v>
      </c>
    </row>
    <row r="4852" spans="1:11" ht="42" customHeight="1">
      <c r="A4852" s="2" t="s">
        <v>9797</v>
      </c>
      <c r="B4852" s="2" t="s">
        <v>9798</v>
      </c>
      <c r="C4852" s="2" t="s">
        <v>70</v>
      </c>
      <c r="D4852" s="2" t="s">
        <v>27</v>
      </c>
      <c r="E4852" s="5">
        <v>-28735</v>
      </c>
      <c r="F4852" s="3" t="s">
        <v>836</v>
      </c>
      <c r="G4852" s="3" t="s">
        <v>52</v>
      </c>
      <c r="H4852" s="2" t="s">
        <v>21</v>
      </c>
      <c r="I4852" s="2" t="s">
        <v>9799</v>
      </c>
      <c r="J4852" s="3" t="str">
        <f>HYPERLINK("https://www.boe.es/gazeta/dias/1821/04/28/pdfs/GMD-1821-120.pdf#page=2","Abrir facsímil")</f>
        <v>Abrir facsímil</v>
      </c>
      <c r="K4852" s="3" t="s">
        <v>23</v>
      </c>
    </row>
    <row r="4853" spans="1:11" ht="42" customHeight="1">
      <c r="A4853" s="2" t="s">
        <v>9800</v>
      </c>
      <c r="B4853" s="2" t="s">
        <v>9801</v>
      </c>
      <c r="C4853" s="2" t="s">
        <v>26</v>
      </c>
      <c r="D4853" s="2" t="s">
        <v>27</v>
      </c>
      <c r="E4853" s="5">
        <v>-28530</v>
      </c>
      <c r="F4853" s="3" t="s">
        <v>237</v>
      </c>
      <c r="G4853" s="3" t="s">
        <v>52</v>
      </c>
      <c r="H4853" s="2" t="s">
        <v>21</v>
      </c>
      <c r="I4853" s="2" t="s">
        <v>9802</v>
      </c>
      <c r="J4853" s="3" t="str">
        <f>HYPERLINK("https://www.boe.es/gazeta/dias/1821/11/19/pdfs/GMD-1821-330.pdf#page=2","Abrir facsímil")</f>
        <v>Abrir facsímil</v>
      </c>
      <c r="K4853" s="3" t="s">
        <v>23</v>
      </c>
    </row>
    <row r="4854" spans="1:11" ht="42" customHeight="1">
      <c r="A4854" s="2" t="s">
        <v>9803</v>
      </c>
      <c r="B4854" s="2" t="s">
        <v>9804</v>
      </c>
      <c r="C4854" s="2" t="s">
        <v>35</v>
      </c>
      <c r="D4854" s="2" t="s">
        <v>27</v>
      </c>
      <c r="E4854" s="5">
        <v>-28714</v>
      </c>
      <c r="F4854" s="3" t="s">
        <v>522</v>
      </c>
      <c r="G4854" s="3" t="s">
        <v>52</v>
      </c>
      <c r="H4854" s="2" t="s">
        <v>21</v>
      </c>
      <c r="I4854" s="2" t="s">
        <v>9805</v>
      </c>
      <c r="J4854" s="3" t="str">
        <f>HYPERLINK("https://www.boe.es/gazeta/dias/1821/05/19/pdfs/GMD-1821-141.pdf#page=2","Abrir facsímil")</f>
        <v>Abrir facsímil</v>
      </c>
      <c r="K4854" s="3" t="s">
        <v>23</v>
      </c>
    </row>
    <row r="4855" spans="1:11" ht="42" customHeight="1">
      <c r="A4855" s="2" t="s">
        <v>9806</v>
      </c>
      <c r="B4855" s="2" t="s">
        <v>9807</v>
      </c>
      <c r="C4855" s="2" t="s">
        <v>35</v>
      </c>
      <c r="D4855" s="2" t="s">
        <v>27</v>
      </c>
      <c r="E4855" s="5">
        <v>-28734</v>
      </c>
      <c r="F4855" s="3" t="s">
        <v>1553</v>
      </c>
      <c r="G4855" s="3" t="s">
        <v>20</v>
      </c>
      <c r="H4855" s="2" t="s">
        <v>21</v>
      </c>
      <c r="I4855" s="2" t="s">
        <v>9808</v>
      </c>
      <c r="J4855" s="3" t="str">
        <f>HYPERLINK("https://www.boe.es/gazeta/dias/1821/04/29/pdfs/GMD-1821-121.pdf#page=3","Abrir facsímil")</f>
        <v>Abrir facsímil</v>
      </c>
      <c r="K4855" s="3" t="s">
        <v>23</v>
      </c>
    </row>
    <row r="4856" spans="1:11" ht="42" customHeight="1">
      <c r="A4856" s="2" t="s">
        <v>9809</v>
      </c>
      <c r="B4856" s="2" t="s">
        <v>9810</v>
      </c>
      <c r="C4856" s="2" t="s">
        <v>17</v>
      </c>
      <c r="D4856" s="2" t="s">
        <v>18</v>
      </c>
      <c r="E4856" s="5">
        <v>-28495</v>
      </c>
      <c r="F4856" s="3" t="s">
        <v>227</v>
      </c>
      <c r="G4856" s="3" t="s">
        <v>333</v>
      </c>
      <c r="H4856" s="2" t="s">
        <v>21</v>
      </c>
      <c r="I4856" s="2" t="s">
        <v>9811</v>
      </c>
      <c r="J4856" s="3" t="str">
        <f>HYPERLINK("https://www.boe.es/gazeta/dias/1821/12/24/pdfs/GMD-1821-367.pdf#page=8","Abrir facsímil")</f>
        <v>Abrir facsímil</v>
      </c>
      <c r="K4856" s="3" t="s">
        <v>23</v>
      </c>
    </row>
    <row r="4857" spans="1:11" ht="42" customHeight="1">
      <c r="A4857" s="2" t="s">
        <v>9812</v>
      </c>
      <c r="B4857" s="2" t="s">
        <v>9812</v>
      </c>
      <c r="C4857" s="2" t="s">
        <v>40</v>
      </c>
      <c r="D4857" s="2" t="s">
        <v>41</v>
      </c>
      <c r="E4857" s="5">
        <v>-28673</v>
      </c>
      <c r="F4857" s="3" t="s">
        <v>1069</v>
      </c>
      <c r="G4857" s="3" t="s">
        <v>43</v>
      </c>
      <c r="H4857" s="2" t="s">
        <v>21</v>
      </c>
      <c r="I4857" s="2" t="s">
        <v>9813</v>
      </c>
      <c r="J4857" s="3" t="str">
        <f>HYPERLINK("https://www.boe.es/gazeta/dias/1821/06/29/pdfs/GMD-1821-182.pdf#page=1","Abrir facsímil")</f>
        <v>Abrir facsímil</v>
      </c>
      <c r="K4857" s="3" t="s">
        <v>23</v>
      </c>
    </row>
    <row r="4858" spans="1:11" ht="42" customHeight="1">
      <c r="A4858" s="2" t="s">
        <v>9814</v>
      </c>
      <c r="B4858" s="2" t="s">
        <v>9814</v>
      </c>
      <c r="C4858" s="2" t="s">
        <v>40</v>
      </c>
      <c r="D4858" s="2" t="s">
        <v>41</v>
      </c>
      <c r="E4858" s="5">
        <v>-28631</v>
      </c>
      <c r="F4858" s="3" t="s">
        <v>751</v>
      </c>
      <c r="G4858" s="3" t="s">
        <v>43</v>
      </c>
      <c r="H4858" s="2" t="s">
        <v>21</v>
      </c>
      <c r="I4858" s="2" t="s">
        <v>9815</v>
      </c>
      <c r="J4858" s="3" t="str">
        <f>HYPERLINK("https://www.boe.es/gazeta/dias/1821/08/10/pdfs/GMD-1821-227.pdf#page=1","Abrir facsímil")</f>
        <v>Abrir facsímil</v>
      </c>
      <c r="K4858" s="3" t="s">
        <v>23</v>
      </c>
    </row>
    <row r="4859" spans="1:11" ht="42" customHeight="1">
      <c r="A4859" s="2" t="s">
        <v>9816</v>
      </c>
      <c r="B4859" s="2" t="s">
        <v>9816</v>
      </c>
      <c r="C4859" s="2" t="s">
        <v>40</v>
      </c>
      <c r="D4859" s="2" t="s">
        <v>41</v>
      </c>
      <c r="E4859" s="5">
        <v>-28777</v>
      </c>
      <c r="F4859" s="3" t="s">
        <v>1004</v>
      </c>
      <c r="G4859" s="3" t="s">
        <v>1005</v>
      </c>
      <c r="H4859" s="2" t="s">
        <v>21</v>
      </c>
      <c r="I4859" s="2" t="s">
        <v>9817</v>
      </c>
      <c r="J4859" s="3" t="str">
        <f>HYPERLINK("https://www.boe.es/gazeta/dias/1821/03/17/pdfs/GMD-1821-76.pdf#page=2","Abrir facsímil")</f>
        <v>Abrir facsímil</v>
      </c>
      <c r="K4859" s="3" t="s">
        <v>23</v>
      </c>
    </row>
    <row r="4860" spans="1:11" ht="42" customHeight="1">
      <c r="A4860" s="2" t="s">
        <v>9816</v>
      </c>
      <c r="B4860" s="2" t="s">
        <v>9816</v>
      </c>
      <c r="C4860" s="2" t="s">
        <v>26</v>
      </c>
      <c r="D4860" s="2" t="s">
        <v>27</v>
      </c>
      <c r="E4860" s="5">
        <v>-28755</v>
      </c>
      <c r="F4860" s="3" t="s">
        <v>906</v>
      </c>
      <c r="G4860" s="3" t="s">
        <v>20</v>
      </c>
      <c r="H4860" s="2" t="s">
        <v>21</v>
      </c>
      <c r="I4860" s="2" t="s">
        <v>9818</v>
      </c>
      <c r="J4860" s="3" t="str">
        <f>HYPERLINK("https://www.boe.es/gazeta/dias/1821/04/08/pdfs/GMD-1821-100.pdf#page=3","Abrir facsímil")</f>
        <v>Abrir facsímil</v>
      </c>
      <c r="K4860" s="3" t="s">
        <v>23</v>
      </c>
    </row>
    <row r="4861" spans="1:11" ht="42" customHeight="1">
      <c r="A4861" s="2" t="s">
        <v>9816</v>
      </c>
      <c r="B4861" s="2" t="s">
        <v>9816</v>
      </c>
      <c r="C4861" s="2" t="s">
        <v>35</v>
      </c>
      <c r="D4861" s="2" t="s">
        <v>27</v>
      </c>
      <c r="E4861" s="5">
        <v>-28513</v>
      </c>
      <c r="F4861" s="3" t="s">
        <v>502</v>
      </c>
      <c r="G4861" s="3" t="s">
        <v>20</v>
      </c>
      <c r="H4861" s="2" t="s">
        <v>21</v>
      </c>
      <c r="I4861" s="2" t="s">
        <v>9819</v>
      </c>
      <c r="J4861" s="3" t="str">
        <f>HYPERLINK("https://www.boe.es/gazeta/dias/1821/12/06/pdfs/GMD-1821-348.pdf#page=3","Abrir facsímil")</f>
        <v>Abrir facsímil</v>
      </c>
      <c r="K4861" s="3" t="s">
        <v>23</v>
      </c>
    </row>
    <row r="4862" spans="1:11" ht="42" customHeight="1">
      <c r="A4862" s="2" t="s">
        <v>9820</v>
      </c>
      <c r="B4862" s="2" t="s">
        <v>9821</v>
      </c>
      <c r="C4862" s="2" t="s">
        <v>17</v>
      </c>
      <c r="D4862" s="2" t="s">
        <v>18</v>
      </c>
      <c r="E4862" s="5">
        <v>-28676</v>
      </c>
      <c r="F4862" s="3" t="s">
        <v>534</v>
      </c>
      <c r="G4862" s="3" t="s">
        <v>29</v>
      </c>
      <c r="H4862" s="2" t="s">
        <v>21</v>
      </c>
      <c r="I4862" s="2" t="s">
        <v>9822</v>
      </c>
      <c r="J4862" s="3" t="str">
        <f>HYPERLINK("https://www.boe.es/gazeta/dias/1821/06/26/pdfs/GMD-1821-179.pdf#page=6","Abrir facsímil")</f>
        <v>Abrir facsímil</v>
      </c>
      <c r="K4862" s="3" t="s">
        <v>23</v>
      </c>
    </row>
    <row r="4863" spans="1:11" ht="42" customHeight="1">
      <c r="A4863" s="2" t="s">
        <v>9823</v>
      </c>
      <c r="B4863" s="2" t="s">
        <v>9823</v>
      </c>
      <c r="C4863" s="2" t="s">
        <v>40</v>
      </c>
      <c r="D4863" s="2" t="s">
        <v>41</v>
      </c>
      <c r="E4863" s="5">
        <v>-28492</v>
      </c>
      <c r="F4863" s="3" t="s">
        <v>1550</v>
      </c>
      <c r="G4863" s="3" t="s">
        <v>88</v>
      </c>
      <c r="H4863" s="2" t="s">
        <v>21</v>
      </c>
      <c r="I4863" s="2" t="s">
        <v>9824</v>
      </c>
      <c r="J4863" s="3" t="str">
        <f>HYPERLINK("https://www.boe.es/gazeta/dias/1821/12/27/pdfs/GMD-1821-370.pdf#page=4","Abrir facsímil")</f>
        <v>Abrir facsímil</v>
      </c>
      <c r="K4863" s="3" t="s">
        <v>23</v>
      </c>
    </row>
    <row r="4864" spans="1:11" ht="42" customHeight="1">
      <c r="A4864" s="2" t="s">
        <v>9825</v>
      </c>
      <c r="B4864" s="2" t="s">
        <v>9825</v>
      </c>
      <c r="C4864" s="2" t="s">
        <v>70</v>
      </c>
      <c r="D4864" s="2" t="s">
        <v>27</v>
      </c>
      <c r="E4864" s="5">
        <v>-28790</v>
      </c>
      <c r="F4864" s="3" t="s">
        <v>991</v>
      </c>
      <c r="G4864" s="3" t="s">
        <v>52</v>
      </c>
      <c r="H4864" s="2" t="s">
        <v>21</v>
      </c>
      <c r="I4864" s="2" t="s">
        <v>9826</v>
      </c>
      <c r="J4864" s="3" t="str">
        <f>HYPERLINK("https://www.boe.es/gazeta/dias/1821/03/04/pdfs/GGB-1821-63.pdf#page=2","Abrir facsímil")</f>
        <v>Abrir facsímil</v>
      </c>
      <c r="K4864" s="3" t="s">
        <v>23</v>
      </c>
    </row>
    <row r="4865" spans="1:11" ht="42" customHeight="1">
      <c r="A4865" s="2" t="s">
        <v>9827</v>
      </c>
      <c r="B4865" s="2" t="s">
        <v>9827</v>
      </c>
      <c r="C4865" s="2" t="s">
        <v>26</v>
      </c>
      <c r="D4865" s="2" t="s">
        <v>27</v>
      </c>
      <c r="E4865" s="5">
        <v>-28617</v>
      </c>
      <c r="F4865" s="3" t="s">
        <v>436</v>
      </c>
      <c r="G4865" s="3" t="s">
        <v>52</v>
      </c>
      <c r="H4865" s="2" t="s">
        <v>21</v>
      </c>
      <c r="I4865" s="2" t="s">
        <v>9828</v>
      </c>
      <c r="J4865" s="3" t="str">
        <f>HYPERLINK("https://www.boe.es/gazeta/dias/1821/08/24/pdfs/GMD-1821-241.pdf#page=2","Abrir facsímil")</f>
        <v>Abrir facsímil</v>
      </c>
      <c r="K4865" s="3" t="s">
        <v>23</v>
      </c>
    </row>
    <row r="4866" spans="1:11" ht="42" customHeight="1">
      <c r="A4866" s="2" t="s">
        <v>9829</v>
      </c>
      <c r="B4866" s="2" t="s">
        <v>9829</v>
      </c>
      <c r="C4866" s="2" t="s">
        <v>17</v>
      </c>
      <c r="D4866" s="2" t="s">
        <v>18</v>
      </c>
      <c r="E4866" s="5">
        <v>-28726</v>
      </c>
      <c r="F4866" s="3" t="s">
        <v>347</v>
      </c>
      <c r="G4866" s="3" t="s">
        <v>43</v>
      </c>
      <c r="H4866" s="2" t="s">
        <v>21</v>
      </c>
      <c r="I4866" s="2" t="s">
        <v>9830</v>
      </c>
      <c r="J4866" s="3" t="str">
        <f>HYPERLINK("https://www.boe.es/gazeta/dias/1821/05/07/pdfs/GMD-1821-129.pdf#page=1","Abrir facsímil")</f>
        <v>Abrir facsímil</v>
      </c>
      <c r="K4866" s="3" t="s">
        <v>23</v>
      </c>
    </row>
    <row r="4867" spans="1:11" ht="42" customHeight="1">
      <c r="A4867" s="2" t="s">
        <v>9831</v>
      </c>
      <c r="B4867" s="2" t="s">
        <v>9831</v>
      </c>
      <c r="C4867" s="2" t="s">
        <v>174</v>
      </c>
      <c r="D4867" s="2" t="s">
        <v>27</v>
      </c>
      <c r="E4867" s="5">
        <v>-28587</v>
      </c>
      <c r="F4867" s="3" t="s">
        <v>392</v>
      </c>
      <c r="G4867" s="3" t="s">
        <v>52</v>
      </c>
      <c r="H4867" s="2" t="s">
        <v>21</v>
      </c>
      <c r="I4867" s="2" t="s">
        <v>9832</v>
      </c>
      <c r="J4867" s="3" t="str">
        <f>HYPERLINK("https://www.boe.es/gazeta/dias/1821/09/23/pdfs/GMD-1821-271.pdf#page=2","Abrir facsímil")</f>
        <v>Abrir facsímil</v>
      </c>
      <c r="K4867" s="3" t="s">
        <v>23</v>
      </c>
    </row>
    <row r="4868" spans="1:11" ht="42" customHeight="1">
      <c r="A4868" s="2" t="s">
        <v>9833</v>
      </c>
      <c r="B4868" s="2" t="s">
        <v>9834</v>
      </c>
      <c r="C4868" s="2" t="s">
        <v>35</v>
      </c>
      <c r="D4868" s="2" t="s">
        <v>27</v>
      </c>
      <c r="E4868" s="5">
        <v>-28625</v>
      </c>
      <c r="F4868" s="3" t="s">
        <v>738</v>
      </c>
      <c r="G4868" s="3" t="s">
        <v>20</v>
      </c>
      <c r="H4868" s="2" t="s">
        <v>21</v>
      </c>
      <c r="I4868" s="2" t="s">
        <v>9835</v>
      </c>
      <c r="J4868" s="3" t="str">
        <f>HYPERLINK("https://www.boe.es/gazeta/dias/1821/08/16/pdfs/GMD-1821-233.pdf#page=3","Abrir facsímil")</f>
        <v>Abrir facsímil</v>
      </c>
      <c r="K4868" s="3" t="s">
        <v>23</v>
      </c>
    </row>
    <row r="4869" spans="1:11" ht="42" customHeight="1">
      <c r="A4869" s="2" t="s">
        <v>9836</v>
      </c>
      <c r="B4869" s="2" t="s">
        <v>9837</v>
      </c>
      <c r="C4869" s="2" t="s">
        <v>35</v>
      </c>
      <c r="D4869" s="2" t="s">
        <v>27</v>
      </c>
      <c r="E4869" s="5">
        <v>-28513</v>
      </c>
      <c r="F4869" s="3" t="s">
        <v>502</v>
      </c>
      <c r="G4869" s="3" t="s">
        <v>20</v>
      </c>
      <c r="H4869" s="2" t="s">
        <v>21</v>
      </c>
      <c r="I4869" s="2" t="s">
        <v>9838</v>
      </c>
      <c r="J4869" s="3" t="str">
        <f>HYPERLINK("https://www.boe.es/gazeta/dias/1821/12/06/pdfs/GMD-1821-348.pdf#page=3","Abrir facsímil")</f>
        <v>Abrir facsímil</v>
      </c>
      <c r="K4869" s="3" t="s">
        <v>23</v>
      </c>
    </row>
    <row r="4870" spans="1:11" ht="42" customHeight="1">
      <c r="A4870" s="2" t="s">
        <v>9839</v>
      </c>
      <c r="B4870" s="2" t="s">
        <v>9839</v>
      </c>
      <c r="C4870" s="2" t="s">
        <v>17</v>
      </c>
      <c r="D4870" s="2" t="s">
        <v>18</v>
      </c>
      <c r="E4870" s="5">
        <v>-28812</v>
      </c>
      <c r="F4870" s="3" t="s">
        <v>2610</v>
      </c>
      <c r="G4870" s="3" t="s">
        <v>43</v>
      </c>
      <c r="H4870" s="2" t="s">
        <v>21</v>
      </c>
      <c r="I4870" s="2" t="s">
        <v>9840</v>
      </c>
      <c r="J4870" s="3" t="str">
        <f>HYPERLINK("https://www.boe.es/gazeta/dias/1821/02/10/pdfs/GGB-1821-41.pdf#page=1","Abrir facsímil")</f>
        <v>Abrir facsímil</v>
      </c>
      <c r="K4870" s="3" t="s">
        <v>23</v>
      </c>
    </row>
    <row r="4871" spans="1:11" ht="42" customHeight="1">
      <c r="A4871" s="2" t="s">
        <v>9839</v>
      </c>
      <c r="B4871" s="2" t="s">
        <v>9839</v>
      </c>
      <c r="C4871" s="2" t="s">
        <v>26</v>
      </c>
      <c r="D4871" s="2" t="s">
        <v>27</v>
      </c>
      <c r="E4871" s="5">
        <v>-28811</v>
      </c>
      <c r="F4871" s="3" t="s">
        <v>5734</v>
      </c>
      <c r="G4871" s="3" t="s">
        <v>6726</v>
      </c>
      <c r="H4871" s="2" t="s">
        <v>21</v>
      </c>
      <c r="I4871" s="2" t="s">
        <v>9841</v>
      </c>
      <c r="J4871" s="3" t="str">
        <f>HYPERLINK("https://www.boe.es/gazeta/dias/1821/02/11/pdfs/GGB-1821-42.pdf#page=2","Abrir facsímil")</f>
        <v>Abrir facsímil</v>
      </c>
      <c r="K4871" s="3" t="s">
        <v>23</v>
      </c>
    </row>
    <row r="4872" spans="1:11" ht="42" customHeight="1">
      <c r="A4872" s="2" t="s">
        <v>9839</v>
      </c>
      <c r="B4872" s="2" t="s">
        <v>9839</v>
      </c>
      <c r="C4872" s="2" t="s">
        <v>174</v>
      </c>
      <c r="D4872" s="2" t="s">
        <v>27</v>
      </c>
      <c r="E4872" s="5">
        <v>-28786</v>
      </c>
      <c r="F4872" s="3" t="s">
        <v>1933</v>
      </c>
      <c r="G4872" s="3" t="s">
        <v>52</v>
      </c>
      <c r="H4872" s="2" t="s">
        <v>21</v>
      </c>
      <c r="I4872" s="2" t="s">
        <v>9842</v>
      </c>
      <c r="J4872" s="3" t="str">
        <f>HYPERLINK("https://www.boe.es/gazeta/dias/1821/03/08/pdfs/GGB-1821-67.pdf#page=2","Abrir facsímil")</f>
        <v>Abrir facsímil</v>
      </c>
      <c r="K4872" s="3" t="s">
        <v>23</v>
      </c>
    </row>
    <row r="4873" spans="1:11" ht="42" customHeight="1">
      <c r="A4873" s="2" t="s">
        <v>9839</v>
      </c>
      <c r="B4873" s="2" t="s">
        <v>9839</v>
      </c>
      <c r="C4873" s="2" t="s">
        <v>26</v>
      </c>
      <c r="D4873" s="2" t="s">
        <v>27</v>
      </c>
      <c r="E4873" s="5">
        <v>-28617</v>
      </c>
      <c r="F4873" s="3" t="s">
        <v>436</v>
      </c>
      <c r="G4873" s="3" t="s">
        <v>52</v>
      </c>
      <c r="H4873" s="2" t="s">
        <v>21</v>
      </c>
      <c r="I4873" s="2" t="s">
        <v>9843</v>
      </c>
      <c r="J4873" s="3" t="str">
        <f>HYPERLINK("https://www.boe.es/gazeta/dias/1821/08/24/pdfs/GMD-1821-241.pdf#page=2","Abrir facsímil")</f>
        <v>Abrir facsímil</v>
      </c>
      <c r="K4873" s="3" t="s">
        <v>23</v>
      </c>
    </row>
    <row r="4874" spans="1:11" ht="42" customHeight="1">
      <c r="A4874" s="2" t="s">
        <v>9839</v>
      </c>
      <c r="B4874" s="2" t="s">
        <v>9839</v>
      </c>
      <c r="C4874" s="2" t="s">
        <v>35</v>
      </c>
      <c r="D4874" s="2" t="s">
        <v>27</v>
      </c>
      <c r="E4874" s="5">
        <v>-28616</v>
      </c>
      <c r="F4874" s="3" t="s">
        <v>1912</v>
      </c>
      <c r="G4874" s="3" t="s">
        <v>43</v>
      </c>
      <c r="H4874" s="2" t="s">
        <v>21</v>
      </c>
      <c r="I4874" s="2" t="s">
        <v>9844</v>
      </c>
      <c r="J4874" s="3" t="str">
        <f>HYPERLINK("https://www.boe.es/gazeta/dias/1821/08/25/pdfs/GMD-1821-242.pdf#page=1","Abrir facsímil")</f>
        <v>Abrir facsímil</v>
      </c>
      <c r="K4874" s="3" t="s">
        <v>23</v>
      </c>
    </row>
    <row r="4875" spans="1:11" ht="42" customHeight="1">
      <c r="A4875" s="2" t="s">
        <v>9839</v>
      </c>
      <c r="B4875" s="2" t="s">
        <v>9839</v>
      </c>
      <c r="C4875" s="2" t="s">
        <v>26</v>
      </c>
      <c r="D4875" s="2" t="s">
        <v>27</v>
      </c>
      <c r="E4875" s="5">
        <v>-28616</v>
      </c>
      <c r="F4875" s="3" t="s">
        <v>1912</v>
      </c>
      <c r="G4875" s="3" t="s">
        <v>52</v>
      </c>
      <c r="H4875" s="2" t="s">
        <v>21</v>
      </c>
      <c r="I4875" s="2" t="s">
        <v>9845</v>
      </c>
      <c r="J4875" s="3" t="str">
        <f>HYPERLINK("https://www.boe.es/gazeta/dias/1821/08/25/pdfs/GMD-1821-242.pdf#page=2","Abrir facsímil")</f>
        <v>Abrir facsímil</v>
      </c>
      <c r="K4875" s="3" t="s">
        <v>23</v>
      </c>
    </row>
    <row r="4876" spans="1:11" ht="42" customHeight="1">
      <c r="A4876" s="2" t="s">
        <v>9846</v>
      </c>
      <c r="B4876" s="2" t="s">
        <v>9847</v>
      </c>
      <c r="C4876" s="2" t="s">
        <v>17</v>
      </c>
      <c r="D4876" s="2" t="s">
        <v>18</v>
      </c>
      <c r="E4876" s="5">
        <v>-28595</v>
      </c>
      <c r="F4876" s="3" t="s">
        <v>1621</v>
      </c>
      <c r="G4876" s="3" t="s">
        <v>88</v>
      </c>
      <c r="H4876" s="2" t="s">
        <v>21</v>
      </c>
      <c r="I4876" s="2" t="s">
        <v>9848</v>
      </c>
      <c r="J4876" s="3" t="str">
        <f>HYPERLINK("https://www.boe.es/gazeta/dias/1821/09/15/pdfs/GMD-1821-263.pdf#page=4","Abrir facsímil")</f>
        <v>Abrir facsímil</v>
      </c>
      <c r="K4876" s="3" t="s">
        <v>23</v>
      </c>
    </row>
    <row r="4877" spans="1:11" ht="42" customHeight="1">
      <c r="A4877" s="2" t="s">
        <v>9849</v>
      </c>
      <c r="B4877" s="2" t="s">
        <v>9850</v>
      </c>
      <c r="C4877" s="2" t="s">
        <v>40</v>
      </c>
      <c r="D4877" s="2" t="s">
        <v>41</v>
      </c>
      <c r="E4877" s="5">
        <v>-28770</v>
      </c>
      <c r="F4877" s="3" t="s">
        <v>1009</v>
      </c>
      <c r="G4877" s="3" t="s">
        <v>20</v>
      </c>
      <c r="H4877" s="2" t="s">
        <v>21</v>
      </c>
      <c r="I4877" s="2" t="s">
        <v>9851</v>
      </c>
      <c r="J4877" s="3" t="str">
        <f>HYPERLINK("https://www.boe.es/gazeta/dias/1821/03/24/pdfs/GMD-1821-84.pdf#page=3","Abrir facsímil")</f>
        <v>Abrir facsímil</v>
      </c>
      <c r="K4877" s="3" t="s">
        <v>23</v>
      </c>
    </row>
    <row r="4878" spans="1:11" ht="42" customHeight="1">
      <c r="A4878" s="2" t="s">
        <v>9852</v>
      </c>
      <c r="B4878" s="2" t="s">
        <v>9852</v>
      </c>
      <c r="C4878" s="2" t="s">
        <v>26</v>
      </c>
      <c r="D4878" s="2" t="s">
        <v>27</v>
      </c>
      <c r="E4878" s="5">
        <v>-28613</v>
      </c>
      <c r="F4878" s="3" t="s">
        <v>178</v>
      </c>
      <c r="G4878" s="3" t="s">
        <v>52</v>
      </c>
      <c r="H4878" s="2" t="s">
        <v>21</v>
      </c>
      <c r="I4878" s="2" t="s">
        <v>9853</v>
      </c>
      <c r="J4878" s="3" t="str">
        <f>HYPERLINK("https://www.boe.es/gazeta/dias/1821/08/28/pdfs/GMD-1821-245.pdf#page=2","Abrir facsímil")</f>
        <v>Abrir facsímil</v>
      </c>
      <c r="K4878" s="3" t="s">
        <v>23</v>
      </c>
    </row>
    <row r="4879" spans="1:11" ht="42" customHeight="1">
      <c r="A4879" s="2" t="s">
        <v>9852</v>
      </c>
      <c r="B4879" s="2" t="s">
        <v>9852</v>
      </c>
      <c r="C4879" s="2" t="s">
        <v>279</v>
      </c>
      <c r="D4879" s="2" t="s">
        <v>27</v>
      </c>
      <c r="E4879" s="5">
        <v>-28604</v>
      </c>
      <c r="F4879" s="3" t="s">
        <v>729</v>
      </c>
      <c r="G4879" s="3" t="s">
        <v>43</v>
      </c>
      <c r="H4879" s="2" t="s">
        <v>21</v>
      </c>
      <c r="I4879" s="2" t="s">
        <v>9854</v>
      </c>
      <c r="J4879" s="3" t="str">
        <f>HYPERLINK("https://www.boe.es/gazeta/dias/1821/09/06/pdfs/GMD-1821-254.pdf#page=1","Abrir facsímil")</f>
        <v>Abrir facsímil</v>
      </c>
      <c r="K4879" s="3" t="s">
        <v>23</v>
      </c>
    </row>
    <row r="4880" spans="1:11" ht="42" customHeight="1">
      <c r="A4880" s="2" t="s">
        <v>9855</v>
      </c>
      <c r="B4880" s="2" t="s">
        <v>9856</v>
      </c>
      <c r="C4880" s="2" t="s">
        <v>35</v>
      </c>
      <c r="D4880" s="2" t="s">
        <v>27</v>
      </c>
      <c r="E4880" s="5">
        <v>-28537</v>
      </c>
      <c r="F4880" s="3" t="s">
        <v>56</v>
      </c>
      <c r="G4880" s="3" t="s">
        <v>52</v>
      </c>
      <c r="H4880" s="2" t="s">
        <v>21</v>
      </c>
      <c r="I4880" s="2" t="s">
        <v>9857</v>
      </c>
      <c r="J4880" s="3" t="str">
        <f>HYPERLINK("https://www.boe.es/gazeta/dias/1821/11/12/pdfs/GMD-1821-323.pdf#page=2","Abrir facsímil")</f>
        <v>Abrir facsímil</v>
      </c>
      <c r="K4880" s="3" t="s">
        <v>23</v>
      </c>
    </row>
    <row r="4881" spans="1:11" ht="42" customHeight="1">
      <c r="A4881" s="2" t="s">
        <v>9858</v>
      </c>
      <c r="B4881" s="2" t="s">
        <v>9859</v>
      </c>
      <c r="C4881" s="2" t="s">
        <v>40</v>
      </c>
      <c r="D4881" s="2" t="s">
        <v>41</v>
      </c>
      <c r="E4881" s="5">
        <v>-28518</v>
      </c>
      <c r="F4881" s="3" t="s">
        <v>410</v>
      </c>
      <c r="G4881" s="3" t="s">
        <v>52</v>
      </c>
      <c r="H4881" s="2" t="s">
        <v>21</v>
      </c>
      <c r="I4881" s="2" t="s">
        <v>9860</v>
      </c>
      <c r="J4881" s="3" t="str">
        <f>HYPERLINK("https://www.boe.es/gazeta/dias/1821/12/01/pdfs/GMD-1821-343.pdf#page=2","Abrir facsímil")</f>
        <v>Abrir facsímil</v>
      </c>
      <c r="K4881" s="3" t="s">
        <v>23</v>
      </c>
    </row>
    <row r="4882" spans="1:11" ht="42" customHeight="1">
      <c r="A4882" s="2" t="s">
        <v>9861</v>
      </c>
      <c r="B4882" s="2" t="s">
        <v>9862</v>
      </c>
      <c r="C4882" s="2" t="s">
        <v>26</v>
      </c>
      <c r="D4882" s="2" t="s">
        <v>27</v>
      </c>
      <c r="E4882" s="5">
        <v>-28620</v>
      </c>
      <c r="F4882" s="3" t="s">
        <v>87</v>
      </c>
      <c r="G4882" s="3" t="s">
        <v>88</v>
      </c>
      <c r="H4882" s="2" t="s">
        <v>21</v>
      </c>
      <c r="I4882" s="2" t="s">
        <v>9863</v>
      </c>
      <c r="J4882" s="3" t="str">
        <f>HYPERLINK("https://www.boe.es/gazeta/dias/1821/08/21/pdfs/GMD-1821-238.pdf#page=4","Abrir facsímil")</f>
        <v>Abrir facsímil</v>
      </c>
      <c r="K4882" s="3" t="s">
        <v>23</v>
      </c>
    </row>
    <row r="4883" spans="1:11" ht="42" customHeight="1">
      <c r="A4883" s="2" t="s">
        <v>9861</v>
      </c>
      <c r="B4883" s="2" t="s">
        <v>9862</v>
      </c>
      <c r="C4883" s="2" t="s">
        <v>40</v>
      </c>
      <c r="D4883" s="2" t="s">
        <v>41</v>
      </c>
      <c r="E4883" s="5">
        <v>-28531</v>
      </c>
      <c r="F4883" s="3" t="s">
        <v>365</v>
      </c>
      <c r="G4883" s="3" t="s">
        <v>20</v>
      </c>
      <c r="H4883" s="2" t="s">
        <v>21</v>
      </c>
      <c r="I4883" s="2" t="s">
        <v>9864</v>
      </c>
      <c r="J4883" s="3" t="str">
        <f>HYPERLINK("https://www.boe.es/gazeta/dias/1821/11/18/pdfs/GMD-1821-329.pdf#page=3","Abrir facsímil")</f>
        <v>Abrir facsímil</v>
      </c>
      <c r="K4883" s="3" t="s">
        <v>23</v>
      </c>
    </row>
    <row r="4884" spans="1:11" ht="42" customHeight="1">
      <c r="A4884" s="2" t="s">
        <v>9865</v>
      </c>
      <c r="B4884" s="2" t="s">
        <v>9866</v>
      </c>
      <c r="C4884" s="2" t="s">
        <v>114</v>
      </c>
      <c r="D4884" s="2" t="s">
        <v>27</v>
      </c>
      <c r="E4884" s="5">
        <v>-28635</v>
      </c>
      <c r="F4884" s="3" t="s">
        <v>1210</v>
      </c>
      <c r="G4884" s="3" t="s">
        <v>20</v>
      </c>
      <c r="H4884" s="2" t="s">
        <v>21</v>
      </c>
      <c r="I4884" s="2" t="s">
        <v>9867</v>
      </c>
      <c r="J4884" s="3" t="str">
        <f>HYPERLINK("https://www.boe.es/gazeta/dias/1821/08/06/pdfs/GMD-1821-222.pdf#page=3","Abrir facsímil")</f>
        <v>Abrir facsímil</v>
      </c>
      <c r="K4884" s="3" t="s">
        <v>23</v>
      </c>
    </row>
    <row r="4885" spans="1:11" ht="42" customHeight="1">
      <c r="A4885" s="2" t="s">
        <v>9868</v>
      </c>
      <c r="B4885" s="2" t="s">
        <v>9869</v>
      </c>
      <c r="C4885" s="2" t="s">
        <v>26</v>
      </c>
      <c r="D4885" s="2" t="s">
        <v>27</v>
      </c>
      <c r="E4885" s="5">
        <v>-28629</v>
      </c>
      <c r="F4885" s="3" t="s">
        <v>235</v>
      </c>
      <c r="G4885" s="3" t="s">
        <v>88</v>
      </c>
      <c r="H4885" s="2" t="s">
        <v>21</v>
      </c>
      <c r="I4885" s="2" t="s">
        <v>9870</v>
      </c>
      <c r="J4885" s="3" t="str">
        <f>HYPERLINK("https://www.boe.es/gazeta/dias/1821/08/12/pdfs/GMD-1821-229.pdf#page=4","Abrir facsímil")</f>
        <v>Abrir facsímil</v>
      </c>
      <c r="K4885" s="3" t="s">
        <v>23</v>
      </c>
    </row>
    <row r="4886" spans="1:11" ht="42" customHeight="1">
      <c r="A4886" s="2" t="s">
        <v>9871</v>
      </c>
      <c r="B4886" s="2" t="s">
        <v>9872</v>
      </c>
      <c r="C4886" s="2" t="s">
        <v>40</v>
      </c>
      <c r="D4886" s="2" t="s">
        <v>41</v>
      </c>
      <c r="E4886" s="5">
        <v>-28847</v>
      </c>
      <c r="F4886" s="3" t="s">
        <v>288</v>
      </c>
      <c r="G4886" s="3" t="s">
        <v>289</v>
      </c>
      <c r="H4886" s="2" t="s">
        <v>21</v>
      </c>
      <c r="I4886" s="2" t="s">
        <v>9873</v>
      </c>
      <c r="J4886" s="3" t="str">
        <f>HYPERLINK("https://www.boe.es/gazeta/dias/1821/01/06/pdfs/GGB-1821-6.pdf#page=4","Abrir facsímil")</f>
        <v>Abrir facsímil</v>
      </c>
      <c r="K4886" s="3" t="s">
        <v>23</v>
      </c>
    </row>
    <row r="4887" spans="1:11" ht="42" customHeight="1">
      <c r="A4887" s="2" t="s">
        <v>9874</v>
      </c>
      <c r="B4887" s="2" t="s">
        <v>9875</v>
      </c>
      <c r="C4887" s="2" t="s">
        <v>40</v>
      </c>
      <c r="D4887" s="2" t="s">
        <v>41</v>
      </c>
      <c r="E4887" s="5">
        <v>-28743</v>
      </c>
      <c r="F4887" s="3" t="s">
        <v>51</v>
      </c>
      <c r="G4887" s="3" t="s">
        <v>88</v>
      </c>
      <c r="H4887" s="2" t="s">
        <v>21</v>
      </c>
      <c r="I4887" s="2" t="s">
        <v>9876</v>
      </c>
      <c r="J4887" s="3" t="str">
        <f>HYPERLINK("https://www.boe.es/gazeta/dias/1821/04/20/pdfs/GMD-1821-112.pdf#page=4","Abrir facsímil")</f>
        <v>Abrir facsímil</v>
      </c>
      <c r="K4887" s="3" t="s">
        <v>23</v>
      </c>
    </row>
    <row r="4888" spans="1:11" ht="42" customHeight="1">
      <c r="A4888" s="2" t="s">
        <v>9877</v>
      </c>
      <c r="B4888" s="2" t="s">
        <v>9878</v>
      </c>
      <c r="C4888" s="2" t="s">
        <v>26</v>
      </c>
      <c r="D4888" s="2" t="s">
        <v>27</v>
      </c>
      <c r="E4888" s="5">
        <v>-28620</v>
      </c>
      <c r="F4888" s="3" t="s">
        <v>87</v>
      </c>
      <c r="G4888" s="3" t="s">
        <v>88</v>
      </c>
      <c r="H4888" s="2" t="s">
        <v>21</v>
      </c>
      <c r="I4888" s="2" t="s">
        <v>9879</v>
      </c>
      <c r="J4888" s="3" t="str">
        <f>HYPERLINK("https://www.boe.es/gazeta/dias/1821/08/21/pdfs/GMD-1821-238.pdf#page=4","Abrir facsímil")</f>
        <v>Abrir facsímil</v>
      </c>
      <c r="K4888" s="3" t="s">
        <v>23</v>
      </c>
    </row>
    <row r="4889" spans="1:11" ht="42" customHeight="1">
      <c r="A4889" s="2" t="s">
        <v>9880</v>
      </c>
      <c r="B4889" s="2" t="s">
        <v>9880</v>
      </c>
      <c r="C4889" s="2" t="s">
        <v>40</v>
      </c>
      <c r="D4889" s="2" t="s">
        <v>41</v>
      </c>
      <c r="E4889" s="5">
        <v>-28592</v>
      </c>
      <c r="F4889" s="3" t="s">
        <v>518</v>
      </c>
      <c r="G4889" s="3" t="s">
        <v>43</v>
      </c>
      <c r="H4889" s="2" t="s">
        <v>21</v>
      </c>
      <c r="I4889" s="2" t="s">
        <v>9881</v>
      </c>
      <c r="J4889" s="3" t="str">
        <f>HYPERLINK("https://www.boe.es/gazeta/dias/1821/09/18/pdfs/GMD-1821-266.pdf#page=1","Abrir facsímil")</f>
        <v>Abrir facsímil</v>
      </c>
      <c r="K4889" s="3" t="s">
        <v>23</v>
      </c>
    </row>
    <row r="4890" spans="1:11" ht="42" customHeight="1">
      <c r="A4890" s="2" t="s">
        <v>9882</v>
      </c>
      <c r="B4890" s="2" t="s">
        <v>9883</v>
      </c>
      <c r="C4890" s="2" t="s">
        <v>26</v>
      </c>
      <c r="D4890" s="2" t="s">
        <v>27</v>
      </c>
      <c r="E4890" s="5">
        <v>-28583</v>
      </c>
      <c r="F4890" s="3" t="s">
        <v>2668</v>
      </c>
      <c r="G4890" s="3" t="s">
        <v>88</v>
      </c>
      <c r="H4890" s="2" t="s">
        <v>21</v>
      </c>
      <c r="I4890" s="2" t="s">
        <v>9884</v>
      </c>
      <c r="J4890" s="3" t="str">
        <f>HYPERLINK("https://www.boe.es/gazeta/dias/1821/09/27/pdfs/GMD-1821-275.pdf#page=4","Abrir facsímil")</f>
        <v>Abrir facsímil</v>
      </c>
      <c r="K4890" s="3" t="s">
        <v>23</v>
      </c>
    </row>
    <row r="4891" spans="1:11" ht="42" customHeight="1">
      <c r="A4891" s="2" t="s">
        <v>9885</v>
      </c>
      <c r="B4891" s="2" t="s">
        <v>9886</v>
      </c>
      <c r="C4891" s="2" t="s">
        <v>17</v>
      </c>
      <c r="D4891" s="2" t="s">
        <v>18</v>
      </c>
      <c r="E4891" s="5">
        <v>-28525</v>
      </c>
      <c r="F4891" s="3" t="s">
        <v>186</v>
      </c>
      <c r="G4891" s="3" t="s">
        <v>88</v>
      </c>
      <c r="H4891" s="2" t="s">
        <v>21</v>
      </c>
      <c r="I4891" s="2" t="s">
        <v>9887</v>
      </c>
      <c r="J4891" s="3" t="str">
        <f>HYPERLINK("https://www.boe.es/gazeta/dias/1821/11/24/pdfs/GMD-1821-335.pdf#page=4","Abrir facsímil")</f>
        <v>Abrir facsímil</v>
      </c>
      <c r="K4891" s="3" t="s">
        <v>23</v>
      </c>
    </row>
    <row r="4892" spans="1:11" ht="42" customHeight="1">
      <c r="A4892" s="2" t="s">
        <v>9888</v>
      </c>
      <c r="B4892" s="2" t="s">
        <v>9889</v>
      </c>
      <c r="C4892" s="2" t="s">
        <v>17</v>
      </c>
      <c r="D4892" s="2" t="s">
        <v>18</v>
      </c>
      <c r="E4892" s="5">
        <v>-28547</v>
      </c>
      <c r="F4892" s="3" t="s">
        <v>247</v>
      </c>
      <c r="G4892" s="3" t="s">
        <v>248</v>
      </c>
      <c r="H4892" s="2" t="s">
        <v>21</v>
      </c>
      <c r="I4892" s="2" t="s">
        <v>9890</v>
      </c>
      <c r="J4892" s="3" t="str">
        <f>HYPERLINK("https://www.boe.es/gazeta/dias/1821/11/02/pdfs/GMD-1821-312.pdf#page=2","Abrir facsímil")</f>
        <v>Abrir facsímil</v>
      </c>
      <c r="K4892" s="3" t="s">
        <v>23</v>
      </c>
    </row>
    <row r="4893" spans="1:11" ht="42" customHeight="1">
      <c r="A4893" s="2" t="s">
        <v>9891</v>
      </c>
      <c r="B4893" s="2" t="s">
        <v>9892</v>
      </c>
      <c r="C4893" s="2" t="s">
        <v>17</v>
      </c>
      <c r="D4893" s="2" t="s">
        <v>18</v>
      </c>
      <c r="E4893" s="5">
        <v>-28662</v>
      </c>
      <c r="F4893" s="3" t="s">
        <v>3289</v>
      </c>
      <c r="G4893" s="3" t="s">
        <v>20</v>
      </c>
      <c r="H4893" s="2" t="s">
        <v>21</v>
      </c>
      <c r="I4893" s="2" t="s">
        <v>9893</v>
      </c>
      <c r="J4893" s="3" t="str">
        <f>HYPERLINK("https://www.boe.es/gazeta/dias/1821/07/10/pdfs/GMD-1821-195.pdf#page=3","Abrir facsímil")</f>
        <v>Abrir facsímil</v>
      </c>
      <c r="K4893" s="3" t="s">
        <v>23</v>
      </c>
    </row>
    <row r="4894" spans="1:11" ht="42" customHeight="1">
      <c r="A4894" s="2" t="s">
        <v>9894</v>
      </c>
      <c r="B4894" s="2" t="s">
        <v>9894</v>
      </c>
      <c r="C4894" s="2" t="s">
        <v>17</v>
      </c>
      <c r="D4894" s="2" t="s">
        <v>18</v>
      </c>
      <c r="E4894" s="5">
        <v>-28779</v>
      </c>
      <c r="F4894" s="3" t="s">
        <v>1002</v>
      </c>
      <c r="G4894" s="3" t="s">
        <v>20</v>
      </c>
      <c r="H4894" s="2" t="s">
        <v>21</v>
      </c>
      <c r="I4894" s="2" t="s">
        <v>9895</v>
      </c>
      <c r="J4894" s="3" t="str">
        <f>HYPERLINK("https://www.boe.es/gazeta/dias/1821/03/15/pdfs/GMD-1821-74.pdf#page=3","Abrir facsímil")</f>
        <v>Abrir facsímil</v>
      </c>
      <c r="K4894" s="3" t="s">
        <v>23</v>
      </c>
    </row>
    <row r="4895" spans="1:11" ht="42" customHeight="1">
      <c r="A4895" s="2" t="s">
        <v>9896</v>
      </c>
      <c r="B4895" s="2" t="s">
        <v>9896</v>
      </c>
      <c r="C4895" s="2" t="s">
        <v>26</v>
      </c>
      <c r="D4895" s="2" t="s">
        <v>27</v>
      </c>
      <c r="E4895" s="5">
        <v>-28642</v>
      </c>
      <c r="F4895" s="3" t="s">
        <v>734</v>
      </c>
      <c r="G4895" s="3" t="s">
        <v>43</v>
      </c>
      <c r="H4895" s="2" t="s">
        <v>21</v>
      </c>
      <c r="I4895" s="2" t="s">
        <v>9897</v>
      </c>
      <c r="J4895" s="3" t="str">
        <f>HYPERLINK("https://www.boe.es/gazeta/dias/1821/07/30/pdfs/GMD-1821-215.pdf#page=1","Abrir facsímil")</f>
        <v>Abrir facsímil</v>
      </c>
      <c r="K4895" s="3" t="s">
        <v>23</v>
      </c>
    </row>
    <row r="4896" spans="1:11" ht="42" customHeight="1">
      <c r="A4896" s="2" t="s">
        <v>9898</v>
      </c>
      <c r="B4896" s="2" t="s">
        <v>9898</v>
      </c>
      <c r="C4896" s="2" t="s">
        <v>17</v>
      </c>
      <c r="D4896" s="2" t="s">
        <v>18</v>
      </c>
      <c r="E4896" s="5">
        <v>-28545</v>
      </c>
      <c r="F4896" s="3" t="s">
        <v>284</v>
      </c>
      <c r="G4896" s="3" t="s">
        <v>162</v>
      </c>
      <c r="H4896" s="2" t="s">
        <v>21</v>
      </c>
      <c r="I4896" s="2" t="s">
        <v>9899</v>
      </c>
      <c r="J4896" s="3" t="str">
        <f>HYPERLINK("https://www.boe.es/gazeta/dias/1821/11/04/pdfs/GMD-1821-315.pdf#page=5","Abrir facsímil")</f>
        <v>Abrir facsímil</v>
      </c>
      <c r="K4896" s="3" t="s">
        <v>23</v>
      </c>
    </row>
    <row r="4897" spans="1:11" ht="42" customHeight="1">
      <c r="A4897" s="2" t="s">
        <v>9900</v>
      </c>
      <c r="B4897" s="2" t="s">
        <v>9900</v>
      </c>
      <c r="C4897" s="2" t="s">
        <v>40</v>
      </c>
      <c r="D4897" s="2" t="s">
        <v>41</v>
      </c>
      <c r="E4897" s="5">
        <v>-28733</v>
      </c>
      <c r="F4897" s="3" t="s">
        <v>1033</v>
      </c>
      <c r="G4897" s="3" t="s">
        <v>52</v>
      </c>
      <c r="H4897" s="2" t="s">
        <v>21</v>
      </c>
      <c r="I4897" s="2" t="s">
        <v>9901</v>
      </c>
      <c r="J4897" s="3" t="str">
        <f>HYPERLINK("https://www.boe.es/gazeta/dias/1821/04/30/pdfs/GMD-1821-122.pdf#page=2","Abrir facsímil")</f>
        <v>Abrir facsímil</v>
      </c>
      <c r="K4897" s="3" t="s">
        <v>23</v>
      </c>
    </row>
    <row r="4898" spans="1:11" ht="42" customHeight="1">
      <c r="A4898" s="2" t="s">
        <v>9902</v>
      </c>
      <c r="B4898" s="2" t="s">
        <v>9903</v>
      </c>
      <c r="C4898" s="2" t="s">
        <v>114</v>
      </c>
      <c r="D4898" s="2" t="s">
        <v>27</v>
      </c>
      <c r="E4898" s="5">
        <v>-28641</v>
      </c>
      <c r="F4898" s="3" t="s">
        <v>398</v>
      </c>
      <c r="G4898" s="3" t="s">
        <v>88</v>
      </c>
      <c r="H4898" s="2" t="s">
        <v>30</v>
      </c>
      <c r="I4898" s="2" t="s">
        <v>9904</v>
      </c>
      <c r="J4898" s="3" t="str">
        <f>HYPERLINK("https://www.boe.es/gazeta/dias/1821/07/31/pdfs/GMD-1821-216.pdf#page=4","Abrir facsímil")</f>
        <v>Abrir facsímil</v>
      </c>
      <c r="K4898" s="3" t="s">
        <v>32</v>
      </c>
    </row>
    <row r="4899" spans="1:11" ht="42" customHeight="1">
      <c r="A4899" s="2" t="s">
        <v>9905</v>
      </c>
      <c r="B4899" s="2" t="s">
        <v>9906</v>
      </c>
      <c r="C4899" s="2" t="s">
        <v>40</v>
      </c>
      <c r="D4899" s="2" t="s">
        <v>41</v>
      </c>
      <c r="E4899" s="5">
        <v>-28654</v>
      </c>
      <c r="F4899" s="3" t="s">
        <v>674</v>
      </c>
      <c r="G4899" s="3" t="s">
        <v>88</v>
      </c>
      <c r="H4899" s="2" t="s">
        <v>30</v>
      </c>
      <c r="I4899" s="2" t="s">
        <v>9907</v>
      </c>
      <c r="J4899" s="3" t="str">
        <f>HYPERLINK("https://www.boe.es/gazeta/dias/1821/07/18/pdfs/GMD-1821-203.pdf#page=4","Abrir facsímil")</f>
        <v>Abrir facsímil</v>
      </c>
      <c r="K4899" s="3" t="s">
        <v>32</v>
      </c>
    </row>
    <row r="4900" spans="1:11" ht="42" customHeight="1">
      <c r="A4900" s="2" t="s">
        <v>9908</v>
      </c>
      <c r="B4900" s="2" t="s">
        <v>9909</v>
      </c>
      <c r="C4900" s="2" t="s">
        <v>17</v>
      </c>
      <c r="D4900" s="2" t="s">
        <v>18</v>
      </c>
      <c r="E4900" s="5">
        <v>-28798</v>
      </c>
      <c r="F4900" s="3" t="s">
        <v>60</v>
      </c>
      <c r="G4900" s="3" t="s">
        <v>88</v>
      </c>
      <c r="H4900" s="2" t="s">
        <v>30</v>
      </c>
      <c r="I4900" s="2" t="s">
        <v>9910</v>
      </c>
      <c r="J4900" s="3" t="str">
        <f>HYPERLINK("https://www.boe.es/gazeta/dias/1821/02/24/pdfs/GGB-1821-55.pdf#page=4","Abrir facsímil")</f>
        <v>Abrir facsímil</v>
      </c>
      <c r="K4900" s="3" t="s">
        <v>32</v>
      </c>
    </row>
    <row r="4901" spans="1:11" ht="42" customHeight="1">
      <c r="A4901" s="2" t="s">
        <v>9911</v>
      </c>
      <c r="B4901" s="2" t="s">
        <v>9912</v>
      </c>
      <c r="C4901" s="2" t="s">
        <v>40</v>
      </c>
      <c r="D4901" s="2" t="s">
        <v>41</v>
      </c>
      <c r="E4901" s="5">
        <v>-28585</v>
      </c>
      <c r="F4901" s="3" t="s">
        <v>627</v>
      </c>
      <c r="G4901" s="3" t="s">
        <v>52</v>
      </c>
      <c r="H4901" s="2" t="s">
        <v>30</v>
      </c>
      <c r="I4901" s="2" t="s">
        <v>9913</v>
      </c>
      <c r="J4901" s="3" t="str">
        <f>HYPERLINK("https://www.boe.es/gazeta/dias/1821/09/25/pdfs/GMD-1821-273.pdf#page=2","Abrir facsímil")</f>
        <v>Abrir facsímil</v>
      </c>
      <c r="K4901" s="3" t="s">
        <v>32</v>
      </c>
    </row>
    <row r="4902" spans="1:11" ht="42" customHeight="1">
      <c r="A4902" s="2" t="s">
        <v>9914</v>
      </c>
      <c r="B4902" s="2" t="s">
        <v>9915</v>
      </c>
      <c r="C4902" s="2" t="s">
        <v>174</v>
      </c>
      <c r="D4902" s="2" t="s">
        <v>27</v>
      </c>
      <c r="E4902" s="5">
        <v>-28548</v>
      </c>
      <c r="F4902" s="3" t="s">
        <v>782</v>
      </c>
      <c r="G4902" s="3" t="s">
        <v>9916</v>
      </c>
      <c r="H4902" s="2" t="s">
        <v>21</v>
      </c>
      <c r="I4902" s="2" t="s">
        <v>9917</v>
      </c>
      <c r="J4902" s="3" t="str">
        <f>HYPERLINK("https://www.boe.es/gazeta/dias/1821/11/01/pdfs/GMD-1821-311.pdf#page=6","Abrir facsímil")</f>
        <v>Abrir facsímil</v>
      </c>
      <c r="K4902" s="3" t="s">
        <v>23</v>
      </c>
    </row>
    <row r="4903" spans="1:11" ht="42" customHeight="1">
      <c r="A4903" s="2" t="s">
        <v>9918</v>
      </c>
      <c r="B4903" s="2" t="s">
        <v>9919</v>
      </c>
      <c r="C4903" s="2" t="s">
        <v>70</v>
      </c>
      <c r="D4903" s="2" t="s">
        <v>27</v>
      </c>
      <c r="E4903" s="5">
        <v>-28791</v>
      </c>
      <c r="F4903" s="3" t="s">
        <v>47</v>
      </c>
      <c r="G4903" s="3" t="s">
        <v>88</v>
      </c>
      <c r="H4903" s="2" t="s">
        <v>21</v>
      </c>
      <c r="I4903" s="2" t="s">
        <v>9920</v>
      </c>
      <c r="J4903" s="3" t="str">
        <f>HYPERLINK("https://www.boe.es/gazeta/dias/1821/03/03/pdfs/GGB-1821-62.pdf#page=4","Abrir facsímil")</f>
        <v>Abrir facsímil</v>
      </c>
      <c r="K4903" s="3" t="s">
        <v>23</v>
      </c>
    </row>
    <row r="4904" spans="1:11" ht="42" customHeight="1">
      <c r="A4904" s="2" t="s">
        <v>9921</v>
      </c>
      <c r="B4904" s="2" t="s">
        <v>9922</v>
      </c>
      <c r="C4904" s="2" t="s">
        <v>26</v>
      </c>
      <c r="D4904" s="2" t="s">
        <v>27</v>
      </c>
      <c r="E4904" s="5">
        <v>-28766</v>
      </c>
      <c r="F4904" s="3" t="s">
        <v>1481</v>
      </c>
      <c r="G4904" s="3" t="s">
        <v>88</v>
      </c>
      <c r="H4904" s="2" t="s">
        <v>21</v>
      </c>
      <c r="I4904" s="2" t="s">
        <v>9923</v>
      </c>
      <c r="J4904" s="3" t="str">
        <f>HYPERLINK("https://www.boe.es/gazeta/dias/1821/03/28/pdfs/GMD-1821-88.pdf#page=4","Abrir facsímil")</f>
        <v>Abrir facsímil</v>
      </c>
      <c r="K4904" s="3" t="s">
        <v>23</v>
      </c>
    </row>
    <row r="4905" spans="1:11" ht="42" customHeight="1">
      <c r="A4905" s="2" t="s">
        <v>9921</v>
      </c>
      <c r="B4905" s="2" t="s">
        <v>9922</v>
      </c>
      <c r="C4905" s="2" t="s">
        <v>26</v>
      </c>
      <c r="D4905" s="2" t="s">
        <v>27</v>
      </c>
      <c r="E4905" s="5">
        <v>-28644</v>
      </c>
      <c r="F4905" s="3" t="s">
        <v>1340</v>
      </c>
      <c r="G4905" s="3" t="s">
        <v>88</v>
      </c>
      <c r="H4905" s="2" t="s">
        <v>21</v>
      </c>
      <c r="I4905" s="2" t="s">
        <v>9924</v>
      </c>
      <c r="J4905" s="3" t="str">
        <f>HYPERLINK("https://www.boe.es/gazeta/dias/1821/07/28/pdfs/GMD-1821-213.pdf#page=4","Abrir facsímil")</f>
        <v>Abrir facsímil</v>
      </c>
      <c r="K4905" s="3" t="s">
        <v>23</v>
      </c>
    </row>
    <row r="4906" spans="1:11" ht="42" customHeight="1">
      <c r="A4906" s="2" t="s">
        <v>9925</v>
      </c>
      <c r="B4906" s="2" t="s">
        <v>9926</v>
      </c>
      <c r="C4906" s="2" t="s">
        <v>17</v>
      </c>
      <c r="D4906" s="2" t="s">
        <v>18</v>
      </c>
      <c r="E4906" s="5">
        <v>-28820</v>
      </c>
      <c r="F4906" s="3" t="s">
        <v>1430</v>
      </c>
      <c r="G4906" s="3" t="s">
        <v>29</v>
      </c>
      <c r="H4906" s="2" t="s">
        <v>21</v>
      </c>
      <c r="I4906" s="2" t="s">
        <v>9927</v>
      </c>
      <c r="J4906" s="3" t="str">
        <f>HYPERLINK("https://www.boe.es/gazeta/dias/1821/02/02/pdfs/GGB-1821-33.pdf#page=6","Abrir facsímil")</f>
        <v>Abrir facsímil</v>
      </c>
      <c r="K4906" s="3" t="s">
        <v>23</v>
      </c>
    </row>
    <row r="4907" spans="1:11" ht="42" customHeight="1">
      <c r="A4907" s="2" t="s">
        <v>9928</v>
      </c>
      <c r="B4907" s="2" t="s">
        <v>9929</v>
      </c>
      <c r="C4907" s="2" t="s">
        <v>70</v>
      </c>
      <c r="D4907" s="2" t="s">
        <v>27</v>
      </c>
      <c r="E4907" s="5">
        <v>-28641</v>
      </c>
      <c r="F4907" s="3" t="s">
        <v>398</v>
      </c>
      <c r="G4907" s="3" t="s">
        <v>20</v>
      </c>
      <c r="H4907" s="2" t="s">
        <v>21</v>
      </c>
      <c r="I4907" s="2" t="s">
        <v>9930</v>
      </c>
      <c r="J4907" s="3" t="str">
        <f>HYPERLINK("https://www.boe.es/gazeta/dias/1821/07/31/pdfs/GMD-1821-216.pdf#page=3","Abrir facsímil")</f>
        <v>Abrir facsímil</v>
      </c>
      <c r="K4907" s="3" t="s">
        <v>23</v>
      </c>
    </row>
    <row r="4908" spans="1:11" ht="42" customHeight="1">
      <c r="A4908" s="2" t="s">
        <v>9931</v>
      </c>
      <c r="B4908" s="2" t="s">
        <v>9932</v>
      </c>
      <c r="C4908" s="2" t="s">
        <v>26</v>
      </c>
      <c r="D4908" s="2" t="s">
        <v>27</v>
      </c>
      <c r="E4908" s="5">
        <v>-28629</v>
      </c>
      <c r="F4908" s="3" t="s">
        <v>235</v>
      </c>
      <c r="G4908" s="3" t="s">
        <v>88</v>
      </c>
      <c r="H4908" s="2" t="s">
        <v>21</v>
      </c>
      <c r="I4908" s="2" t="s">
        <v>9933</v>
      </c>
      <c r="J4908" s="3" t="str">
        <f>HYPERLINK("https://www.boe.es/gazeta/dias/1821/08/12/pdfs/GMD-1821-229.pdf#page=4","Abrir facsímil")</f>
        <v>Abrir facsímil</v>
      </c>
      <c r="K4908" s="3" t="s">
        <v>23</v>
      </c>
    </row>
    <row r="4909" spans="1:11" ht="42" customHeight="1">
      <c r="A4909" s="2" t="s">
        <v>9934</v>
      </c>
      <c r="B4909" s="2" t="s">
        <v>9935</v>
      </c>
      <c r="C4909" s="2" t="s">
        <v>26</v>
      </c>
      <c r="D4909" s="2" t="s">
        <v>27</v>
      </c>
      <c r="E4909" s="5">
        <v>-28667</v>
      </c>
      <c r="F4909" s="3" t="s">
        <v>107</v>
      </c>
      <c r="G4909" s="3" t="s">
        <v>52</v>
      </c>
      <c r="H4909" s="2" t="s">
        <v>21</v>
      </c>
      <c r="I4909" s="2" t="s">
        <v>9936</v>
      </c>
      <c r="J4909" s="3" t="str">
        <f>HYPERLINK("https://www.boe.es/gazeta/dias/1821/07/05/pdfs/GMD-1821-189.pdf#page=2","Abrir facsímil")</f>
        <v>Abrir facsímil</v>
      </c>
      <c r="K4909" s="3" t="s">
        <v>23</v>
      </c>
    </row>
    <row r="4910" spans="1:11" ht="42" customHeight="1">
      <c r="A4910" s="2" t="s">
        <v>9937</v>
      </c>
      <c r="B4910" s="2" t="s">
        <v>9938</v>
      </c>
      <c r="C4910" s="2" t="s">
        <v>40</v>
      </c>
      <c r="D4910" s="2" t="s">
        <v>41</v>
      </c>
      <c r="E4910" s="5">
        <v>-28667</v>
      </c>
      <c r="F4910" s="3" t="s">
        <v>107</v>
      </c>
      <c r="G4910" s="3" t="s">
        <v>52</v>
      </c>
      <c r="H4910" s="2" t="s">
        <v>21</v>
      </c>
      <c r="I4910" s="2" t="s">
        <v>9939</v>
      </c>
      <c r="J4910" s="3" t="str">
        <f>HYPERLINK("https://www.boe.es/gazeta/dias/1821/07/05/pdfs/GMD-1821-189.pdf#page=2","Abrir facsímil")</f>
        <v>Abrir facsímil</v>
      </c>
      <c r="K4910" s="3" t="s">
        <v>23</v>
      </c>
    </row>
    <row r="4911" spans="1:11" ht="42" customHeight="1">
      <c r="A4911" s="2" t="s">
        <v>9940</v>
      </c>
      <c r="B4911" s="2" t="s">
        <v>9940</v>
      </c>
      <c r="C4911" s="2" t="s">
        <v>17</v>
      </c>
      <c r="D4911" s="2" t="s">
        <v>18</v>
      </c>
      <c r="E4911" s="5">
        <v>-28763</v>
      </c>
      <c r="F4911" s="3" t="s">
        <v>1145</v>
      </c>
      <c r="G4911" s="3" t="s">
        <v>52</v>
      </c>
      <c r="H4911" s="2" t="s">
        <v>21</v>
      </c>
      <c r="I4911" s="2" t="s">
        <v>9941</v>
      </c>
      <c r="J4911" s="3" t="str">
        <f>HYPERLINK("https://www.boe.es/gazeta/dias/1821/03/31/pdfs/GMD-1821-92.pdf#page=2","Abrir facsímil")</f>
        <v>Abrir facsímil</v>
      </c>
      <c r="K4911" s="3" t="s">
        <v>23</v>
      </c>
    </row>
    <row r="4912" spans="1:11" ht="42" customHeight="1">
      <c r="A4912" s="2" t="s">
        <v>9942</v>
      </c>
      <c r="B4912" s="2" t="s">
        <v>9943</v>
      </c>
      <c r="C4912" s="2" t="s">
        <v>17</v>
      </c>
      <c r="D4912" s="2" t="s">
        <v>18</v>
      </c>
      <c r="E4912" s="5">
        <v>-28807</v>
      </c>
      <c r="F4912" s="3" t="s">
        <v>613</v>
      </c>
      <c r="G4912" s="3" t="s">
        <v>20</v>
      </c>
      <c r="H4912" s="2" t="s">
        <v>21</v>
      </c>
      <c r="I4912" s="2" t="s">
        <v>9944</v>
      </c>
      <c r="J4912" s="3" t="str">
        <f>HYPERLINK("https://www.boe.es/gazeta/dias/1821/02/15/pdfs/GGB-1821-46.pdf#page=3","Abrir facsímil")</f>
        <v>Abrir facsímil</v>
      </c>
      <c r="K4912" s="3" t="s">
        <v>23</v>
      </c>
    </row>
    <row r="4913" spans="1:11" ht="42" customHeight="1">
      <c r="A4913" s="2" t="s">
        <v>9945</v>
      </c>
      <c r="B4913" s="2" t="s">
        <v>9946</v>
      </c>
      <c r="C4913" s="2" t="s">
        <v>70</v>
      </c>
      <c r="D4913" s="2" t="s">
        <v>27</v>
      </c>
      <c r="E4913" s="5">
        <v>-28716</v>
      </c>
      <c r="F4913" s="3" t="s">
        <v>842</v>
      </c>
      <c r="G4913" s="3" t="s">
        <v>88</v>
      </c>
      <c r="H4913" s="2" t="s">
        <v>21</v>
      </c>
      <c r="I4913" s="2" t="s">
        <v>9947</v>
      </c>
      <c r="J4913" s="3" t="str">
        <f>HYPERLINK("https://www.boe.es/gazeta/dias/1821/05/17/pdfs/GMD-1821-139.pdf#page=4","Abrir facsímil")</f>
        <v>Abrir facsímil</v>
      </c>
      <c r="K4913" s="3" t="s">
        <v>23</v>
      </c>
    </row>
    <row r="4914" spans="1:11" ht="42" customHeight="1">
      <c r="A4914" s="2" t="s">
        <v>9948</v>
      </c>
      <c r="B4914" s="2" t="s">
        <v>9949</v>
      </c>
      <c r="C4914" s="2" t="s">
        <v>40</v>
      </c>
      <c r="D4914" s="2" t="s">
        <v>41</v>
      </c>
      <c r="E4914" s="5">
        <v>-28743</v>
      </c>
      <c r="F4914" s="3" t="s">
        <v>51</v>
      </c>
      <c r="G4914" s="3" t="s">
        <v>88</v>
      </c>
      <c r="H4914" s="2" t="s">
        <v>21</v>
      </c>
      <c r="I4914" s="2" t="s">
        <v>9950</v>
      </c>
      <c r="J4914" s="3" t="str">
        <f>HYPERLINK("https://www.boe.es/gazeta/dias/1821/04/20/pdfs/GMD-1821-112.pdf#page=4","Abrir facsímil")</f>
        <v>Abrir facsímil</v>
      </c>
      <c r="K4914" s="3" t="s">
        <v>23</v>
      </c>
    </row>
    <row r="4915" spans="1:11" ht="42" customHeight="1">
      <c r="A4915" s="2" t="s">
        <v>9951</v>
      </c>
      <c r="B4915" s="2" t="s">
        <v>9952</v>
      </c>
      <c r="C4915" s="2" t="s">
        <v>40</v>
      </c>
      <c r="D4915" s="2" t="s">
        <v>41</v>
      </c>
      <c r="E4915" s="5">
        <v>-28565</v>
      </c>
      <c r="F4915" s="3" t="s">
        <v>326</v>
      </c>
      <c r="G4915" s="3" t="s">
        <v>52</v>
      </c>
      <c r="H4915" s="2" t="s">
        <v>21</v>
      </c>
      <c r="I4915" s="2" t="s">
        <v>9953</v>
      </c>
      <c r="J4915" s="3" t="str">
        <f>HYPERLINK("https://www.boe.es/gazeta/dias/1821/10/15/pdfs/GMD-1821-294.pdf#page=2","Abrir facsímil")</f>
        <v>Abrir facsímil</v>
      </c>
      <c r="K4915" s="3" t="s">
        <v>23</v>
      </c>
    </row>
    <row r="4916" spans="1:11" ht="42" customHeight="1">
      <c r="A4916" s="2" t="s">
        <v>9954</v>
      </c>
      <c r="B4916" s="2" t="s">
        <v>9954</v>
      </c>
      <c r="C4916" s="2" t="s">
        <v>40</v>
      </c>
      <c r="D4916" s="2" t="s">
        <v>41</v>
      </c>
      <c r="E4916" s="5">
        <v>-28755</v>
      </c>
      <c r="F4916" s="3" t="s">
        <v>906</v>
      </c>
      <c r="G4916" s="3" t="s">
        <v>20</v>
      </c>
      <c r="H4916" s="2" t="s">
        <v>21</v>
      </c>
      <c r="I4916" s="2" t="s">
        <v>9955</v>
      </c>
      <c r="J4916" s="3" t="str">
        <f>HYPERLINK("https://www.boe.es/gazeta/dias/1821/04/08/pdfs/GMD-1821-100.pdf#page=3","Abrir facsímil")</f>
        <v>Abrir facsímil</v>
      </c>
      <c r="K4916" s="3" t="s">
        <v>23</v>
      </c>
    </row>
    <row r="4917" spans="1:11" ht="42" customHeight="1">
      <c r="A4917" s="2" t="s">
        <v>9954</v>
      </c>
      <c r="B4917" s="2" t="s">
        <v>9954</v>
      </c>
      <c r="C4917" s="2" t="s">
        <v>40</v>
      </c>
      <c r="D4917" s="2" t="s">
        <v>41</v>
      </c>
      <c r="E4917" s="5">
        <v>-28492</v>
      </c>
      <c r="F4917" s="3" t="s">
        <v>1550</v>
      </c>
      <c r="G4917" s="3" t="s">
        <v>88</v>
      </c>
      <c r="H4917" s="2" t="s">
        <v>21</v>
      </c>
      <c r="I4917" s="2" t="s">
        <v>9956</v>
      </c>
      <c r="J4917" s="3" t="str">
        <f>HYPERLINK("https://www.boe.es/gazeta/dias/1821/12/27/pdfs/GMD-1821-370.pdf#page=4","Abrir facsímil")</f>
        <v>Abrir facsímil</v>
      </c>
      <c r="K4917" s="3" t="s">
        <v>23</v>
      </c>
    </row>
    <row r="4918" spans="1:11" ht="42" customHeight="1">
      <c r="A4918" s="2" t="s">
        <v>9957</v>
      </c>
      <c r="B4918" s="2" t="s">
        <v>9958</v>
      </c>
      <c r="C4918" s="2" t="s">
        <v>40</v>
      </c>
      <c r="D4918" s="2" t="s">
        <v>41</v>
      </c>
      <c r="E4918" s="5">
        <v>-28787</v>
      </c>
      <c r="F4918" s="3" t="s">
        <v>486</v>
      </c>
      <c r="G4918" s="3" t="s">
        <v>52</v>
      </c>
      <c r="H4918" s="2" t="s">
        <v>21</v>
      </c>
      <c r="I4918" s="2" t="s">
        <v>9959</v>
      </c>
      <c r="J4918" s="3" t="str">
        <f>HYPERLINK("https://www.boe.es/gazeta/dias/1821/03/07/pdfs/GGB-1821-66.pdf#page=2","Abrir facsímil")</f>
        <v>Abrir facsímil</v>
      </c>
      <c r="K4918" s="3" t="s">
        <v>23</v>
      </c>
    </row>
    <row r="4919" spans="1:11" ht="42" customHeight="1">
      <c r="A4919" s="2" t="s">
        <v>9960</v>
      </c>
      <c r="B4919" s="2" t="s">
        <v>9960</v>
      </c>
      <c r="C4919" s="2" t="s">
        <v>17</v>
      </c>
      <c r="D4919" s="2" t="s">
        <v>18</v>
      </c>
      <c r="E4919" s="5">
        <v>-28632</v>
      </c>
      <c r="F4919" s="3" t="s">
        <v>6572</v>
      </c>
      <c r="G4919" s="3" t="s">
        <v>20</v>
      </c>
      <c r="H4919" s="2" t="s">
        <v>21</v>
      </c>
      <c r="I4919" s="2" t="s">
        <v>9961</v>
      </c>
      <c r="J4919" s="3" t="str">
        <f>HYPERLINK("https://www.boe.es/gazeta/dias/1821/08/09/pdfs/GMD-1821-225.pdf#page=3","Abrir facsímil")</f>
        <v>Abrir facsímil</v>
      </c>
      <c r="K4919" s="3" t="s">
        <v>23</v>
      </c>
    </row>
    <row r="4920" spans="1:11" ht="42" customHeight="1">
      <c r="A4920" s="2" t="s">
        <v>9962</v>
      </c>
      <c r="B4920" s="2" t="s">
        <v>9962</v>
      </c>
      <c r="C4920" s="2" t="s">
        <v>40</v>
      </c>
      <c r="D4920" s="2" t="s">
        <v>41</v>
      </c>
      <c r="E4920" s="5">
        <v>-28784</v>
      </c>
      <c r="F4920" s="3" t="s">
        <v>451</v>
      </c>
      <c r="G4920" s="3" t="s">
        <v>43</v>
      </c>
      <c r="H4920" s="2" t="s">
        <v>21</v>
      </c>
      <c r="I4920" s="2" t="s">
        <v>9963</v>
      </c>
      <c r="J4920" s="3" t="str">
        <f>HYPERLINK("https://www.boe.es/gazeta/dias/1821/03/10/pdfs/GGB-1821-69.pdf#page=1","Abrir facsímil")</f>
        <v>Abrir facsímil</v>
      </c>
      <c r="K4920" s="3" t="s">
        <v>23</v>
      </c>
    </row>
    <row r="4921" spans="1:11" ht="42" customHeight="1">
      <c r="A4921" s="2" t="s">
        <v>9964</v>
      </c>
      <c r="B4921" s="2" t="s">
        <v>9964</v>
      </c>
      <c r="C4921" s="2" t="s">
        <v>40</v>
      </c>
      <c r="D4921" s="2" t="s">
        <v>41</v>
      </c>
      <c r="E4921" s="5">
        <v>-28740</v>
      </c>
      <c r="F4921" s="3" t="s">
        <v>2800</v>
      </c>
      <c r="G4921" s="3" t="s">
        <v>52</v>
      </c>
      <c r="H4921" s="2" t="s">
        <v>21</v>
      </c>
      <c r="I4921" s="2" t="s">
        <v>9965</v>
      </c>
      <c r="J4921" s="3" t="str">
        <f>HYPERLINK("https://www.boe.es/gazeta/dias/1821/04/23/pdfs/GMD-1821-115.pdf#page=2","Abrir facsímil")</f>
        <v>Abrir facsímil</v>
      </c>
      <c r="K4921" s="3" t="s">
        <v>23</v>
      </c>
    </row>
    <row r="4922" spans="1:11" ht="42" customHeight="1">
      <c r="A4922" s="2" t="s">
        <v>9966</v>
      </c>
      <c r="B4922" s="2" t="s">
        <v>9967</v>
      </c>
      <c r="C4922" s="2" t="s">
        <v>17</v>
      </c>
      <c r="D4922" s="2" t="s">
        <v>18</v>
      </c>
      <c r="E4922" s="5">
        <v>-28563</v>
      </c>
      <c r="F4922" s="3" t="s">
        <v>118</v>
      </c>
      <c r="G4922" s="3" t="s">
        <v>20</v>
      </c>
      <c r="H4922" s="2" t="s">
        <v>21</v>
      </c>
      <c r="I4922" s="2" t="s">
        <v>9968</v>
      </c>
      <c r="J4922" s="3" t="str">
        <f>HYPERLINK("https://www.boe.es/gazeta/dias/1821/10/17/pdfs/GMD-1821-296.pdf#page=3","Abrir facsímil")</f>
        <v>Abrir facsímil</v>
      </c>
      <c r="K4922" s="3" t="s">
        <v>23</v>
      </c>
    </row>
    <row r="4923" spans="1:11" ht="42" customHeight="1">
      <c r="A4923" s="2" t="s">
        <v>9969</v>
      </c>
      <c r="B4923" s="2" t="s">
        <v>9970</v>
      </c>
      <c r="C4923" s="2" t="s">
        <v>40</v>
      </c>
      <c r="D4923" s="2" t="s">
        <v>41</v>
      </c>
      <c r="E4923" s="5">
        <v>-28577</v>
      </c>
      <c r="F4923" s="3" t="s">
        <v>858</v>
      </c>
      <c r="G4923" s="3" t="s">
        <v>88</v>
      </c>
      <c r="H4923" s="2" t="s">
        <v>21</v>
      </c>
      <c r="I4923" s="2" t="s">
        <v>9971</v>
      </c>
      <c r="J4923" s="3" t="str">
        <f>HYPERLINK("https://www.boe.es/gazeta/dias/1821/10/03/pdfs/GMD-1821-282.pdf#page=4","Abrir facsímil")</f>
        <v>Abrir facsímil</v>
      </c>
      <c r="K4923" s="3" t="s">
        <v>23</v>
      </c>
    </row>
    <row r="4924" spans="1:11" ht="42" customHeight="1">
      <c r="A4924" s="2" t="s">
        <v>9972</v>
      </c>
      <c r="B4924" s="2" t="s">
        <v>9972</v>
      </c>
      <c r="C4924" s="2" t="s">
        <v>174</v>
      </c>
      <c r="D4924" s="2" t="s">
        <v>27</v>
      </c>
      <c r="E4924" s="5">
        <v>-28612</v>
      </c>
      <c r="F4924" s="3" t="s">
        <v>1902</v>
      </c>
      <c r="G4924" s="3" t="s">
        <v>88</v>
      </c>
      <c r="H4924" s="2" t="s">
        <v>21</v>
      </c>
      <c r="I4924" s="2" t="s">
        <v>9973</v>
      </c>
      <c r="J4924" s="3" t="str">
        <f>HYPERLINK("https://www.boe.es/gazeta/dias/1821/08/29/pdfs/GMD-1821-246.pdf#page=4","Abrir facsímil")</f>
        <v>Abrir facsímil</v>
      </c>
      <c r="K4924" s="3" t="s">
        <v>23</v>
      </c>
    </row>
    <row r="4925" spans="1:11" ht="42" customHeight="1">
      <c r="A4925" s="2" t="s">
        <v>9974</v>
      </c>
      <c r="B4925" s="2" t="s">
        <v>9975</v>
      </c>
      <c r="C4925" s="2" t="s">
        <v>40</v>
      </c>
      <c r="D4925" s="2" t="s">
        <v>41</v>
      </c>
      <c r="E4925" s="5">
        <v>-28731</v>
      </c>
      <c r="F4925" s="3" t="s">
        <v>577</v>
      </c>
      <c r="G4925" s="3" t="s">
        <v>88</v>
      </c>
      <c r="H4925" s="2" t="s">
        <v>21</v>
      </c>
      <c r="I4925" s="2" t="s">
        <v>9976</v>
      </c>
      <c r="J4925" s="3" t="str">
        <f>HYPERLINK("https://www.boe.es/gazeta/dias/1821/05/02/pdfs/GMD-1821-124.pdf#page=4","Abrir facsímil")</f>
        <v>Abrir facsímil</v>
      </c>
      <c r="K4925" s="3" t="s">
        <v>23</v>
      </c>
    </row>
    <row r="4926" spans="1:11" ht="42" customHeight="1">
      <c r="A4926" s="2" t="s">
        <v>9977</v>
      </c>
      <c r="B4926" s="2" t="s">
        <v>9977</v>
      </c>
      <c r="C4926" s="2" t="s">
        <v>17</v>
      </c>
      <c r="D4926" s="2" t="s">
        <v>18</v>
      </c>
      <c r="E4926" s="5">
        <v>-28847</v>
      </c>
      <c r="F4926" s="3" t="s">
        <v>288</v>
      </c>
      <c r="G4926" s="3" t="s">
        <v>289</v>
      </c>
      <c r="H4926" s="2" t="s">
        <v>21</v>
      </c>
      <c r="I4926" s="2" t="s">
        <v>9978</v>
      </c>
      <c r="J4926" s="3" t="str">
        <f>HYPERLINK("https://www.boe.es/gazeta/dias/1821/01/06/pdfs/GGB-1821-6.pdf#page=4","Abrir facsímil")</f>
        <v>Abrir facsímil</v>
      </c>
      <c r="K4926" s="3" t="s">
        <v>23</v>
      </c>
    </row>
    <row r="4927" spans="1:11" ht="42" customHeight="1">
      <c r="A4927" s="2" t="s">
        <v>9977</v>
      </c>
      <c r="B4927" s="2" t="s">
        <v>9977</v>
      </c>
      <c r="C4927" s="2" t="s">
        <v>35</v>
      </c>
      <c r="D4927" s="2" t="s">
        <v>27</v>
      </c>
      <c r="E4927" s="5">
        <v>-28676</v>
      </c>
      <c r="F4927" s="3" t="s">
        <v>534</v>
      </c>
      <c r="G4927" s="3" t="s">
        <v>88</v>
      </c>
      <c r="H4927" s="2" t="s">
        <v>21</v>
      </c>
      <c r="I4927" s="2" t="s">
        <v>9979</v>
      </c>
      <c r="J4927" s="3" t="str">
        <f>HYPERLINK("https://www.boe.es/gazeta/dias/1821/06/26/pdfs/GMD-1821-179.pdf#page=4","Abrir facsímil")</f>
        <v>Abrir facsímil</v>
      </c>
      <c r="K4927" s="3" t="s">
        <v>23</v>
      </c>
    </row>
    <row r="4928" spans="1:11" ht="42" customHeight="1">
      <c r="A4928" s="2" t="s">
        <v>9977</v>
      </c>
      <c r="B4928" s="2" t="s">
        <v>9977</v>
      </c>
      <c r="C4928" s="2" t="s">
        <v>17</v>
      </c>
      <c r="D4928" s="2" t="s">
        <v>18</v>
      </c>
      <c r="E4928" s="5">
        <v>-28658</v>
      </c>
      <c r="F4928" s="3" t="s">
        <v>2528</v>
      </c>
      <c r="G4928" s="3" t="s">
        <v>20</v>
      </c>
      <c r="H4928" s="2" t="s">
        <v>21</v>
      </c>
      <c r="I4928" s="2" t="s">
        <v>9980</v>
      </c>
      <c r="J4928" s="3" t="str">
        <f>HYPERLINK("https://www.boe.es/gazeta/dias/1821/07/14/pdfs/GMD-1821-199.pdf#page=3","Abrir facsímil")</f>
        <v>Abrir facsímil</v>
      </c>
      <c r="K4928" s="3" t="s">
        <v>23</v>
      </c>
    </row>
    <row r="4929" spans="1:11" ht="42" customHeight="1">
      <c r="A4929" s="2" t="s">
        <v>9977</v>
      </c>
      <c r="B4929" s="2" t="s">
        <v>9977</v>
      </c>
      <c r="C4929" s="2" t="s">
        <v>17</v>
      </c>
      <c r="D4929" s="2" t="s">
        <v>18</v>
      </c>
      <c r="E4929" s="5">
        <v>-28549</v>
      </c>
      <c r="F4929" s="3" t="s">
        <v>930</v>
      </c>
      <c r="G4929" s="3" t="s">
        <v>162</v>
      </c>
      <c r="H4929" s="2" t="s">
        <v>21</v>
      </c>
      <c r="I4929" s="2" t="s">
        <v>9981</v>
      </c>
      <c r="J4929" s="3" t="str">
        <f>HYPERLINK("https://www.boe.es/gazeta/dias/1821/10/31/pdfs/GMD-1821-310.pdf#page=5","Abrir facsímil")</f>
        <v>Abrir facsímil</v>
      </c>
      <c r="K4929" s="3" t="s">
        <v>23</v>
      </c>
    </row>
    <row r="4930" spans="1:11" ht="42" customHeight="1">
      <c r="A4930" s="2" t="s">
        <v>9977</v>
      </c>
      <c r="B4930" s="2" t="s">
        <v>9977</v>
      </c>
      <c r="C4930" s="2" t="s">
        <v>40</v>
      </c>
      <c r="D4930" s="2" t="s">
        <v>41</v>
      </c>
      <c r="E4930" s="5">
        <v>-28547</v>
      </c>
      <c r="F4930" s="3" t="s">
        <v>247</v>
      </c>
      <c r="G4930" s="3" t="s">
        <v>248</v>
      </c>
      <c r="H4930" s="2" t="s">
        <v>21</v>
      </c>
      <c r="I4930" s="2" t="s">
        <v>9982</v>
      </c>
      <c r="J4930" s="3" t="str">
        <f>HYPERLINK("https://www.boe.es/gazeta/dias/1821/11/02/pdfs/GMD-1821-312.pdf#page=2","Abrir facsímil")</f>
        <v>Abrir facsímil</v>
      </c>
      <c r="K4930" s="3" t="s">
        <v>23</v>
      </c>
    </row>
    <row r="4931" spans="1:11" ht="42" customHeight="1">
      <c r="A4931" s="2" t="s">
        <v>9983</v>
      </c>
      <c r="B4931" s="2" t="s">
        <v>9984</v>
      </c>
      <c r="C4931" s="2" t="s">
        <v>35</v>
      </c>
      <c r="D4931" s="2" t="s">
        <v>27</v>
      </c>
      <c r="E4931" s="5">
        <v>-28519</v>
      </c>
      <c r="F4931" s="3" t="s">
        <v>880</v>
      </c>
      <c r="G4931" s="3" t="s">
        <v>3835</v>
      </c>
      <c r="H4931" s="2" t="s">
        <v>21</v>
      </c>
      <c r="I4931" s="2" t="s">
        <v>9985</v>
      </c>
      <c r="J4931" s="3" t="str">
        <f>HYPERLINK("https://www.boe.es/gazeta/dias/1821/11/30/pdfs/GMD-1821-342.pdf#page=3","Abrir facsímil")</f>
        <v>Abrir facsímil</v>
      </c>
      <c r="K4931" s="3" t="s">
        <v>23</v>
      </c>
    </row>
    <row r="4932" spans="1:11" ht="42" customHeight="1">
      <c r="A4932" s="2" t="s">
        <v>9986</v>
      </c>
      <c r="B4932" s="2" t="s">
        <v>9986</v>
      </c>
      <c r="C4932" s="2" t="s">
        <v>40</v>
      </c>
      <c r="D4932" s="2" t="s">
        <v>41</v>
      </c>
      <c r="E4932" s="5">
        <v>-28626</v>
      </c>
      <c r="F4932" s="3" t="s">
        <v>468</v>
      </c>
      <c r="G4932" s="3" t="s">
        <v>88</v>
      </c>
      <c r="H4932" s="2" t="s">
        <v>21</v>
      </c>
      <c r="I4932" s="2" t="s">
        <v>9987</v>
      </c>
      <c r="J4932" s="3" t="str">
        <f>HYPERLINK("https://www.boe.es/gazeta/dias/1821/08/15/pdfs/GMD-1821-232.pdf#page=4","Abrir facsímil")</f>
        <v>Abrir facsímil</v>
      </c>
      <c r="K4932" s="3" t="s">
        <v>23</v>
      </c>
    </row>
    <row r="4933" spans="1:11" ht="42" customHeight="1">
      <c r="A4933" s="2" t="s">
        <v>9988</v>
      </c>
      <c r="B4933" s="2" t="s">
        <v>9989</v>
      </c>
      <c r="C4933" s="2" t="s">
        <v>17</v>
      </c>
      <c r="D4933" s="2" t="s">
        <v>18</v>
      </c>
      <c r="E4933" s="5">
        <v>-28599</v>
      </c>
      <c r="F4933" s="3" t="s">
        <v>902</v>
      </c>
      <c r="G4933" s="3" t="s">
        <v>20</v>
      </c>
      <c r="H4933" s="2" t="s">
        <v>21</v>
      </c>
      <c r="I4933" s="2" t="s">
        <v>9990</v>
      </c>
      <c r="J4933" s="3" t="str">
        <f>HYPERLINK("https://www.boe.es/gazeta/dias/1821/09/11/pdfs/GMD-1821-259.pdf#page=3","Abrir facsímil")</f>
        <v>Abrir facsímil</v>
      </c>
      <c r="K4933" s="3" t="s">
        <v>23</v>
      </c>
    </row>
    <row r="4934" spans="1:11" ht="42" customHeight="1">
      <c r="A4934" s="2" t="s">
        <v>9991</v>
      </c>
      <c r="B4934" s="2" t="s">
        <v>9992</v>
      </c>
      <c r="C4934" s="2" t="s">
        <v>40</v>
      </c>
      <c r="D4934" s="2" t="s">
        <v>41</v>
      </c>
      <c r="E4934" s="5">
        <v>-28850</v>
      </c>
      <c r="F4934" s="3" t="s">
        <v>664</v>
      </c>
      <c r="G4934" s="3" t="s">
        <v>43</v>
      </c>
      <c r="H4934" s="2" t="s">
        <v>21</v>
      </c>
      <c r="I4934" s="2" t="s">
        <v>9993</v>
      </c>
      <c r="J4934" s="3" t="str">
        <f>HYPERLINK("https://www.boe.es/gazeta/dias/1821/01/03/pdfs/GGB-1821-3.pdf#page=1","Abrir facsímil")</f>
        <v>Abrir facsímil</v>
      </c>
      <c r="K4934" s="3" t="s">
        <v>23</v>
      </c>
    </row>
    <row r="4935" spans="1:11" ht="42" customHeight="1">
      <c r="A4935" s="2" t="s">
        <v>9994</v>
      </c>
      <c r="B4935" s="2" t="s">
        <v>9995</v>
      </c>
      <c r="C4935" s="2" t="s">
        <v>17</v>
      </c>
      <c r="D4935" s="2" t="s">
        <v>18</v>
      </c>
      <c r="E4935" s="5">
        <v>-28760</v>
      </c>
      <c r="F4935" s="3" t="s">
        <v>170</v>
      </c>
      <c r="G4935" s="3" t="s">
        <v>88</v>
      </c>
      <c r="H4935" s="2" t="s">
        <v>21</v>
      </c>
      <c r="I4935" s="2" t="s">
        <v>9996</v>
      </c>
      <c r="J4935" s="3" t="str">
        <f>HYPERLINK("https://www.boe.es/gazeta/dias/1821/04/03/pdfs/GMD-1821-95.pdf#page=4","Abrir facsímil")</f>
        <v>Abrir facsímil</v>
      </c>
      <c r="K4935" s="3" t="s">
        <v>23</v>
      </c>
    </row>
    <row r="4936" spans="1:11" ht="42" customHeight="1">
      <c r="A4936" s="2" t="s">
        <v>9997</v>
      </c>
      <c r="B4936" s="2" t="s">
        <v>9998</v>
      </c>
      <c r="C4936" s="2" t="s">
        <v>40</v>
      </c>
      <c r="D4936" s="2" t="s">
        <v>41</v>
      </c>
      <c r="E4936" s="5">
        <v>-28538</v>
      </c>
      <c r="F4936" s="3" t="s">
        <v>395</v>
      </c>
      <c r="G4936" s="3" t="s">
        <v>162</v>
      </c>
      <c r="H4936" s="2" t="s">
        <v>21</v>
      </c>
      <c r="I4936" s="2" t="s">
        <v>9999</v>
      </c>
      <c r="J4936" s="3" t="str">
        <f>HYPERLINK("https://www.boe.es/gazeta/dias/1821/11/11/pdfs/GMD-1821-322.pdf#page=5","Abrir facsímil")</f>
        <v>Abrir facsímil</v>
      </c>
      <c r="K4936" s="3" t="s">
        <v>23</v>
      </c>
    </row>
    <row r="4937" spans="1:11" ht="42" customHeight="1">
      <c r="A4937" s="2" t="s">
        <v>10000</v>
      </c>
      <c r="B4937" s="2" t="s">
        <v>10000</v>
      </c>
      <c r="C4937" s="2" t="s">
        <v>17</v>
      </c>
      <c r="D4937" s="2" t="s">
        <v>18</v>
      </c>
      <c r="E4937" s="5">
        <v>-28788</v>
      </c>
      <c r="F4937" s="3" t="s">
        <v>996</v>
      </c>
      <c r="G4937" s="3" t="s">
        <v>20</v>
      </c>
      <c r="H4937" s="2" t="s">
        <v>21</v>
      </c>
      <c r="I4937" s="2" t="s">
        <v>10001</v>
      </c>
      <c r="J4937" s="3" t="str">
        <f>HYPERLINK("https://www.boe.es/gazeta/dias/1821/03/06/pdfs/GGB-1821-65.pdf#page=3","Abrir facsímil")</f>
        <v>Abrir facsímil</v>
      </c>
      <c r="K4937" s="3" t="s">
        <v>23</v>
      </c>
    </row>
    <row r="4938" spans="1:11" ht="42" customHeight="1">
      <c r="A4938" s="2" t="s">
        <v>10002</v>
      </c>
      <c r="B4938" s="2" t="s">
        <v>10003</v>
      </c>
      <c r="C4938" s="2" t="s">
        <v>26</v>
      </c>
      <c r="D4938" s="2" t="s">
        <v>27</v>
      </c>
      <c r="E4938" s="5">
        <v>-28620</v>
      </c>
      <c r="F4938" s="3" t="s">
        <v>87</v>
      </c>
      <c r="G4938" s="3" t="s">
        <v>88</v>
      </c>
      <c r="H4938" s="2" t="s">
        <v>21</v>
      </c>
      <c r="I4938" s="2" t="s">
        <v>10004</v>
      </c>
      <c r="J4938" s="3" t="str">
        <f>HYPERLINK("https://www.boe.es/gazeta/dias/1821/08/21/pdfs/GMD-1821-238.pdf#page=4","Abrir facsímil")</f>
        <v>Abrir facsímil</v>
      </c>
      <c r="K4938" s="3" t="s">
        <v>23</v>
      </c>
    </row>
    <row r="4939" spans="1:11" ht="42" customHeight="1">
      <c r="A4939" s="2" t="s">
        <v>10005</v>
      </c>
      <c r="B4939" s="2" t="s">
        <v>10006</v>
      </c>
      <c r="C4939" s="2" t="s">
        <v>26</v>
      </c>
      <c r="D4939" s="2" t="s">
        <v>27</v>
      </c>
      <c r="E4939" s="5">
        <v>-28547</v>
      </c>
      <c r="F4939" s="3" t="s">
        <v>247</v>
      </c>
      <c r="G4939" s="3" t="s">
        <v>248</v>
      </c>
      <c r="H4939" s="2" t="s">
        <v>21</v>
      </c>
      <c r="I4939" s="2" t="s">
        <v>10007</v>
      </c>
      <c r="J4939" s="3" t="str">
        <f>HYPERLINK("https://www.boe.es/gazeta/dias/1821/11/02/pdfs/GMD-1821-312.pdf#page=2","Abrir facsímil")</f>
        <v>Abrir facsímil</v>
      </c>
      <c r="K4939" s="3" t="s">
        <v>23</v>
      </c>
    </row>
    <row r="4940" spans="1:11" ht="42" customHeight="1">
      <c r="A4940" s="2" t="s">
        <v>10008</v>
      </c>
      <c r="B4940" s="2" t="s">
        <v>10009</v>
      </c>
      <c r="C4940" s="2" t="s">
        <v>17</v>
      </c>
      <c r="D4940" s="2" t="s">
        <v>18</v>
      </c>
      <c r="E4940" s="5">
        <v>-28547</v>
      </c>
      <c r="F4940" s="3" t="s">
        <v>247</v>
      </c>
      <c r="G4940" s="3" t="s">
        <v>248</v>
      </c>
      <c r="H4940" s="2" t="s">
        <v>21</v>
      </c>
      <c r="I4940" s="2" t="s">
        <v>10010</v>
      </c>
      <c r="J4940" s="3" t="str">
        <f>HYPERLINK("https://www.boe.es/gazeta/dias/1821/11/02/pdfs/GMD-1821-312.pdf#page=2","Abrir facsímil")</f>
        <v>Abrir facsímil</v>
      </c>
      <c r="K4940" s="3" t="s">
        <v>23</v>
      </c>
    </row>
    <row r="4941" spans="1:11" ht="42" customHeight="1">
      <c r="A4941" s="2" t="s">
        <v>10011</v>
      </c>
      <c r="B4941" s="2" t="s">
        <v>10011</v>
      </c>
      <c r="C4941" s="2" t="s">
        <v>114</v>
      </c>
      <c r="D4941" s="2" t="s">
        <v>27</v>
      </c>
      <c r="E4941" s="5">
        <v>-28574</v>
      </c>
      <c r="F4941" s="3" t="s">
        <v>779</v>
      </c>
      <c r="G4941" s="3" t="s">
        <v>609</v>
      </c>
      <c r="H4941" s="2" t="s">
        <v>21</v>
      </c>
      <c r="I4941" s="2" t="s">
        <v>10012</v>
      </c>
      <c r="J4941" s="3" t="str">
        <f>HYPERLINK("https://www.boe.es/gazeta/dias/1821/10/06/pdfs/GMD-1821-285.pdf#page=7","Abrir facsímil")</f>
        <v>Abrir facsímil</v>
      </c>
      <c r="K4941" s="3" t="s">
        <v>23</v>
      </c>
    </row>
    <row r="4942" spans="1:11" ht="42" customHeight="1">
      <c r="A4942" s="2" t="s">
        <v>10013</v>
      </c>
      <c r="B4942" s="2" t="s">
        <v>10014</v>
      </c>
      <c r="C4942" s="2" t="s">
        <v>17</v>
      </c>
      <c r="D4942" s="2" t="s">
        <v>18</v>
      </c>
      <c r="E4942" s="5">
        <v>-28782</v>
      </c>
      <c r="F4942" s="3" t="s">
        <v>508</v>
      </c>
      <c r="G4942" s="3" t="s">
        <v>88</v>
      </c>
      <c r="H4942" s="2" t="s">
        <v>21</v>
      </c>
      <c r="I4942" s="2" t="s">
        <v>10015</v>
      </c>
      <c r="J4942" s="3" t="str">
        <f>HYPERLINK("https://www.boe.es/gazeta/dias/1821/03/12/pdfs/GMD-1821-71.pdf#page=4","Abrir facsímil")</f>
        <v>Abrir facsímil</v>
      </c>
      <c r="K4942" s="3" t="s">
        <v>23</v>
      </c>
    </row>
    <row r="4943" spans="1:11" ht="42" customHeight="1">
      <c r="A4943" s="2" t="s">
        <v>10016</v>
      </c>
      <c r="B4943" s="2" t="s">
        <v>10016</v>
      </c>
      <c r="C4943" s="2" t="s">
        <v>40</v>
      </c>
      <c r="D4943" s="2" t="s">
        <v>41</v>
      </c>
      <c r="E4943" s="5">
        <v>-28836</v>
      </c>
      <c r="F4943" s="3" t="s">
        <v>601</v>
      </c>
      <c r="G4943" s="3" t="s">
        <v>52</v>
      </c>
      <c r="H4943" s="2" t="s">
        <v>21</v>
      </c>
      <c r="I4943" s="2" t="s">
        <v>10017</v>
      </c>
      <c r="J4943" s="3" t="str">
        <f>HYPERLINK("https://www.boe.es/gazeta/dias/1821/01/17/pdfs/GGB-1821-17.pdf#page=2","Abrir facsímil")</f>
        <v>Abrir facsímil</v>
      </c>
      <c r="K4943" s="3" t="s">
        <v>23</v>
      </c>
    </row>
    <row r="4944" spans="1:11" ht="42" customHeight="1">
      <c r="A4944" s="2" t="s">
        <v>10018</v>
      </c>
      <c r="B4944" s="2" t="s">
        <v>10019</v>
      </c>
      <c r="C4944" s="2" t="s">
        <v>26</v>
      </c>
      <c r="D4944" s="2" t="s">
        <v>27</v>
      </c>
      <c r="E4944" s="5">
        <v>-28610</v>
      </c>
      <c r="F4944" s="3" t="s">
        <v>190</v>
      </c>
      <c r="G4944" s="3" t="s">
        <v>20</v>
      </c>
      <c r="H4944" s="2" t="s">
        <v>21</v>
      </c>
      <c r="I4944" s="2" t="s">
        <v>10020</v>
      </c>
      <c r="J4944" s="3" t="str">
        <f>HYPERLINK("https://www.boe.es/gazeta/dias/1821/08/31/pdfs/GMD-1821-248.pdf#page=3","Abrir facsímil")</f>
        <v>Abrir facsímil</v>
      </c>
      <c r="K4944" s="3" t="s">
        <v>23</v>
      </c>
    </row>
    <row r="4945" spans="1:11" ht="42" customHeight="1">
      <c r="A4945" s="2" t="s">
        <v>10021</v>
      </c>
      <c r="B4945" s="2" t="s">
        <v>10022</v>
      </c>
      <c r="C4945" s="2" t="s">
        <v>17</v>
      </c>
      <c r="D4945" s="2" t="s">
        <v>18</v>
      </c>
      <c r="E4945" s="5">
        <v>-28732</v>
      </c>
      <c r="F4945" s="3" t="s">
        <v>2628</v>
      </c>
      <c r="G4945" s="3" t="s">
        <v>52</v>
      </c>
      <c r="H4945" s="2" t="s">
        <v>21</v>
      </c>
      <c r="I4945" s="2" t="s">
        <v>10023</v>
      </c>
      <c r="J4945" s="3" t="str">
        <f>HYPERLINK("https://www.boe.es/gazeta/dias/1821/05/01/pdfs/GMD-1821-123.pdf#page=2","Abrir facsímil")</f>
        <v>Abrir facsímil</v>
      </c>
      <c r="K4945" s="3" t="s">
        <v>23</v>
      </c>
    </row>
    <row r="4946" spans="1:11" ht="42" customHeight="1">
      <c r="A4946" s="2" t="s">
        <v>10024</v>
      </c>
      <c r="B4946" s="2" t="s">
        <v>10025</v>
      </c>
      <c r="C4946" s="2" t="s">
        <v>40</v>
      </c>
      <c r="D4946" s="2" t="s">
        <v>41</v>
      </c>
      <c r="E4946" s="5">
        <v>-28683</v>
      </c>
      <c r="F4946" s="3" t="s">
        <v>332</v>
      </c>
      <c r="G4946" s="3" t="s">
        <v>20</v>
      </c>
      <c r="H4946" s="2" t="s">
        <v>21</v>
      </c>
      <c r="I4946" s="2" t="s">
        <v>10026</v>
      </c>
      <c r="J4946" s="3" t="str">
        <f>HYPERLINK("https://www.boe.es/gazeta/dias/1821/06/19/pdfs/GMD-1821-172.pdf#page=3","Abrir facsímil")</f>
        <v>Abrir facsímil</v>
      </c>
      <c r="K4946" s="3" t="s">
        <v>23</v>
      </c>
    </row>
    <row r="4947" spans="1:11" ht="42" customHeight="1">
      <c r="A4947" s="2" t="s">
        <v>10027</v>
      </c>
      <c r="B4947" s="2" t="s">
        <v>10027</v>
      </c>
      <c r="C4947" s="2" t="s">
        <v>26</v>
      </c>
      <c r="D4947" s="2" t="s">
        <v>27</v>
      </c>
      <c r="E4947" s="5">
        <v>-28773</v>
      </c>
      <c r="F4947" s="3" t="s">
        <v>1755</v>
      </c>
      <c r="G4947" s="3" t="s">
        <v>20</v>
      </c>
      <c r="H4947" s="2" t="s">
        <v>21</v>
      </c>
      <c r="I4947" s="2" t="s">
        <v>10028</v>
      </c>
      <c r="J4947" s="3" t="str">
        <f>HYPERLINK("https://www.boe.es/gazeta/dias/1821/03/21/pdfs/GMD-1821-80.pdf#page=3","Abrir facsímil")</f>
        <v>Abrir facsímil</v>
      </c>
      <c r="K4947" s="3" t="s">
        <v>23</v>
      </c>
    </row>
    <row r="4948" spans="1:11" ht="42" customHeight="1">
      <c r="A4948" s="2" t="s">
        <v>10027</v>
      </c>
      <c r="B4948" s="2" t="s">
        <v>10027</v>
      </c>
      <c r="C4948" s="2" t="s">
        <v>174</v>
      </c>
      <c r="D4948" s="2" t="s">
        <v>27</v>
      </c>
      <c r="E4948" s="5">
        <v>-28640</v>
      </c>
      <c r="F4948" s="3" t="s">
        <v>1590</v>
      </c>
      <c r="G4948" s="3" t="s">
        <v>20</v>
      </c>
      <c r="H4948" s="2" t="s">
        <v>21</v>
      </c>
      <c r="I4948" s="2" t="s">
        <v>10029</v>
      </c>
      <c r="J4948" s="3" t="str">
        <f>HYPERLINK("https://www.boe.es/gazeta/dias/1821/08/01/pdfs/GMD-1821-217.pdf#page=3","Abrir facsímil")</f>
        <v>Abrir facsímil</v>
      </c>
      <c r="K4948" s="3" t="s">
        <v>23</v>
      </c>
    </row>
    <row r="4949" spans="1:11" ht="42" customHeight="1">
      <c r="A4949" s="2" t="s">
        <v>10030</v>
      </c>
      <c r="B4949" s="2" t="s">
        <v>10030</v>
      </c>
      <c r="C4949" s="2" t="s">
        <v>17</v>
      </c>
      <c r="D4949" s="2" t="s">
        <v>18</v>
      </c>
      <c r="E4949" s="5">
        <v>-28773</v>
      </c>
      <c r="F4949" s="3" t="s">
        <v>1755</v>
      </c>
      <c r="G4949" s="3" t="s">
        <v>20</v>
      </c>
      <c r="H4949" s="2" t="s">
        <v>21</v>
      </c>
      <c r="I4949" s="2" t="s">
        <v>10031</v>
      </c>
      <c r="J4949" s="3" t="str">
        <f>HYPERLINK("https://www.boe.es/gazeta/dias/1821/03/21/pdfs/GMD-1821-80.pdf#page=3","Abrir facsímil")</f>
        <v>Abrir facsímil</v>
      </c>
      <c r="K4949" s="3" t="s">
        <v>23</v>
      </c>
    </row>
    <row r="4950" spans="1:11" ht="42" customHeight="1">
      <c r="A4950" s="2" t="s">
        <v>10030</v>
      </c>
      <c r="B4950" s="2" t="s">
        <v>10030</v>
      </c>
      <c r="C4950" s="2" t="s">
        <v>17</v>
      </c>
      <c r="D4950" s="2" t="s">
        <v>18</v>
      </c>
      <c r="E4950" s="5">
        <v>-28765</v>
      </c>
      <c r="F4950" s="3" t="s">
        <v>974</v>
      </c>
      <c r="G4950" s="3" t="s">
        <v>1483</v>
      </c>
      <c r="H4950" s="2" t="s">
        <v>21</v>
      </c>
      <c r="I4950" s="2" t="s">
        <v>10032</v>
      </c>
      <c r="J4950" s="3" t="str">
        <f>HYPERLINK("https://www.boe.es/gazeta/dias/1821/03/29/pdfs/GMD-1821-90.pdf#page=4","Abrir facsímil")</f>
        <v>Abrir facsímil</v>
      </c>
      <c r="K4950" s="3" t="s">
        <v>23</v>
      </c>
    </row>
    <row r="4951" spans="1:11" ht="42" customHeight="1">
      <c r="A4951" s="2" t="s">
        <v>10030</v>
      </c>
      <c r="B4951" s="2" t="s">
        <v>10030</v>
      </c>
      <c r="C4951" s="2" t="s">
        <v>35</v>
      </c>
      <c r="D4951" s="2" t="s">
        <v>27</v>
      </c>
      <c r="E4951" s="5">
        <v>-28624</v>
      </c>
      <c r="F4951" s="3" t="s">
        <v>78</v>
      </c>
      <c r="G4951" s="3" t="s">
        <v>79</v>
      </c>
      <c r="H4951" s="2" t="s">
        <v>21</v>
      </c>
      <c r="I4951" s="2" t="s">
        <v>10033</v>
      </c>
      <c r="J4951" s="3" t="str">
        <f>HYPERLINK("https://www.boe.es/gazeta/dias/1821/08/17/pdfs/GMD-1821-234.pdf#page=4","Abrir facsímil")</f>
        <v>Abrir facsímil</v>
      </c>
      <c r="K4951" s="3" t="s">
        <v>23</v>
      </c>
    </row>
    <row r="4952" spans="1:11" ht="42" customHeight="1">
      <c r="A4952" s="2" t="s">
        <v>10034</v>
      </c>
      <c r="B4952" s="2" t="s">
        <v>10034</v>
      </c>
      <c r="C4952" s="2" t="s">
        <v>70</v>
      </c>
      <c r="D4952" s="2" t="s">
        <v>27</v>
      </c>
      <c r="E4952" s="5">
        <v>-28782</v>
      </c>
      <c r="F4952" s="3" t="s">
        <v>508</v>
      </c>
      <c r="G4952" s="3" t="s">
        <v>20</v>
      </c>
      <c r="H4952" s="2" t="s">
        <v>21</v>
      </c>
      <c r="I4952" s="2" t="s">
        <v>10035</v>
      </c>
      <c r="J4952" s="3" t="str">
        <f>HYPERLINK("https://www.boe.es/gazeta/dias/1821/03/12/pdfs/GMD-1821-71.pdf#page=3","Abrir facsímil")</f>
        <v>Abrir facsímil</v>
      </c>
      <c r="K4952" s="3" t="s">
        <v>23</v>
      </c>
    </row>
    <row r="4953" spans="1:11" ht="42" customHeight="1">
      <c r="A4953" s="2" t="s">
        <v>10034</v>
      </c>
      <c r="B4953" s="2" t="s">
        <v>10034</v>
      </c>
      <c r="C4953" s="2" t="s">
        <v>26</v>
      </c>
      <c r="D4953" s="2" t="s">
        <v>27</v>
      </c>
      <c r="E4953" s="5">
        <v>-28773</v>
      </c>
      <c r="F4953" s="3" t="s">
        <v>1755</v>
      </c>
      <c r="G4953" s="3" t="s">
        <v>20</v>
      </c>
      <c r="H4953" s="2" t="s">
        <v>21</v>
      </c>
      <c r="I4953" s="2" t="s">
        <v>10036</v>
      </c>
      <c r="J4953" s="3" t="str">
        <f>HYPERLINK("https://www.boe.es/gazeta/dias/1821/03/21/pdfs/GMD-1821-80.pdf#page=3","Abrir facsímil")</f>
        <v>Abrir facsímil</v>
      </c>
      <c r="K4953" s="3" t="s">
        <v>23</v>
      </c>
    </row>
    <row r="4954" spans="1:11" ht="42" customHeight="1">
      <c r="A4954" s="2" t="s">
        <v>10034</v>
      </c>
      <c r="B4954" s="2" t="s">
        <v>10034</v>
      </c>
      <c r="C4954" s="2" t="s">
        <v>26</v>
      </c>
      <c r="D4954" s="2" t="s">
        <v>27</v>
      </c>
      <c r="E4954" s="5">
        <v>-28773</v>
      </c>
      <c r="F4954" s="3" t="s">
        <v>1755</v>
      </c>
      <c r="G4954" s="3" t="s">
        <v>88</v>
      </c>
      <c r="H4954" s="2" t="s">
        <v>21</v>
      </c>
      <c r="I4954" s="2" t="s">
        <v>10037</v>
      </c>
      <c r="J4954" s="3" t="str">
        <f>HYPERLINK("https://www.boe.es/gazeta/dias/1821/03/21/pdfs/GMD-1821-80.pdf#page=4","Abrir facsímil")</f>
        <v>Abrir facsímil</v>
      </c>
      <c r="K4954" s="3" t="s">
        <v>23</v>
      </c>
    </row>
    <row r="4955" spans="1:11" ht="42" customHeight="1">
      <c r="A4955" s="2" t="s">
        <v>10034</v>
      </c>
      <c r="B4955" s="2" t="s">
        <v>10034</v>
      </c>
      <c r="C4955" s="2" t="s">
        <v>26</v>
      </c>
      <c r="D4955" s="2" t="s">
        <v>27</v>
      </c>
      <c r="E4955" s="5">
        <v>-28771</v>
      </c>
      <c r="F4955" s="3" t="s">
        <v>110</v>
      </c>
      <c r="G4955" s="3" t="s">
        <v>88</v>
      </c>
      <c r="H4955" s="2" t="s">
        <v>21</v>
      </c>
      <c r="I4955" s="2" t="s">
        <v>10038</v>
      </c>
      <c r="J4955" s="3" t="str">
        <f>HYPERLINK("https://www.boe.es/gazeta/dias/1821/03/23/pdfs/GMD-1821-83.pdf#page=4","Abrir facsímil")</f>
        <v>Abrir facsímil</v>
      </c>
      <c r="K4955" s="3" t="s">
        <v>23</v>
      </c>
    </row>
    <row r="4956" spans="1:11" ht="42" customHeight="1">
      <c r="A4956" s="2" t="s">
        <v>10034</v>
      </c>
      <c r="B4956" s="2" t="s">
        <v>10034</v>
      </c>
      <c r="C4956" s="2" t="s">
        <v>26</v>
      </c>
      <c r="D4956" s="2" t="s">
        <v>27</v>
      </c>
      <c r="E4956" s="5">
        <v>-28762</v>
      </c>
      <c r="F4956" s="3" t="s">
        <v>608</v>
      </c>
      <c r="G4956" s="3" t="s">
        <v>29</v>
      </c>
      <c r="H4956" s="2" t="s">
        <v>21</v>
      </c>
      <c r="I4956" s="2" t="s">
        <v>10039</v>
      </c>
      <c r="J4956" s="3" t="str">
        <f>HYPERLINK("https://www.boe.es/gazeta/dias/1821/04/01/pdfs/GMD-1821-93.pdf#page=6","Abrir facsímil")</f>
        <v>Abrir facsímil</v>
      </c>
      <c r="K4956" s="3" t="s">
        <v>23</v>
      </c>
    </row>
    <row r="4957" spans="1:11" ht="42" customHeight="1">
      <c r="A4957" s="2" t="s">
        <v>10034</v>
      </c>
      <c r="B4957" s="2" t="s">
        <v>10034</v>
      </c>
      <c r="C4957" s="2" t="s">
        <v>40</v>
      </c>
      <c r="D4957" s="2" t="s">
        <v>41</v>
      </c>
      <c r="E4957" s="5">
        <v>-28746</v>
      </c>
      <c r="F4957" s="3" t="s">
        <v>687</v>
      </c>
      <c r="G4957" s="3" t="s">
        <v>88</v>
      </c>
      <c r="H4957" s="2" t="s">
        <v>21</v>
      </c>
      <c r="I4957" s="2" t="s">
        <v>10040</v>
      </c>
      <c r="J4957" s="3" t="str">
        <f>HYPERLINK("https://www.boe.es/gazeta/dias/1821/04/17/pdfs/GMD-1821-109.pdf#page=4","Abrir facsímil")</f>
        <v>Abrir facsímil</v>
      </c>
      <c r="K4957" s="3" t="s">
        <v>23</v>
      </c>
    </row>
    <row r="4958" spans="1:11" ht="42" customHeight="1">
      <c r="A4958" s="2" t="s">
        <v>10034</v>
      </c>
      <c r="B4958" s="2" t="s">
        <v>10034</v>
      </c>
      <c r="C4958" s="2" t="s">
        <v>17</v>
      </c>
      <c r="D4958" s="2" t="s">
        <v>18</v>
      </c>
      <c r="E4958" s="5">
        <v>-28707</v>
      </c>
      <c r="F4958" s="3" t="s">
        <v>495</v>
      </c>
      <c r="G4958" s="3" t="s">
        <v>88</v>
      </c>
      <c r="H4958" s="2" t="s">
        <v>21</v>
      </c>
      <c r="I4958" s="2" t="s">
        <v>10041</v>
      </c>
      <c r="J4958" s="3" t="str">
        <f>HYPERLINK("https://www.boe.es/gazeta/dias/1821/05/26/pdfs/GMD-1821-148.pdf#page=4","Abrir facsímil")</f>
        <v>Abrir facsímil</v>
      </c>
      <c r="K4958" s="3" t="s">
        <v>23</v>
      </c>
    </row>
    <row r="4959" spans="1:11" ht="42" customHeight="1">
      <c r="A4959" s="2" t="s">
        <v>10034</v>
      </c>
      <c r="B4959" s="2" t="s">
        <v>10034</v>
      </c>
      <c r="C4959" s="2" t="s">
        <v>40</v>
      </c>
      <c r="D4959" s="2" t="s">
        <v>41</v>
      </c>
      <c r="E4959" s="5">
        <v>-28679</v>
      </c>
      <c r="F4959" s="3" t="s">
        <v>213</v>
      </c>
      <c r="G4959" s="3" t="s">
        <v>88</v>
      </c>
      <c r="H4959" s="2" t="s">
        <v>21</v>
      </c>
      <c r="I4959" s="2" t="s">
        <v>10042</v>
      </c>
      <c r="J4959" s="3" t="str">
        <f>HYPERLINK("https://www.boe.es/gazeta/dias/1821/06/23/pdfs/GMD-1821-176.pdf#page=4","Abrir facsímil")</f>
        <v>Abrir facsímil</v>
      </c>
      <c r="K4959" s="3" t="s">
        <v>23</v>
      </c>
    </row>
    <row r="4960" spans="1:11" ht="42" customHeight="1">
      <c r="A4960" s="2" t="s">
        <v>10034</v>
      </c>
      <c r="B4960" s="2" t="s">
        <v>10034</v>
      </c>
      <c r="C4960" s="2" t="s">
        <v>26</v>
      </c>
      <c r="D4960" s="2" t="s">
        <v>27</v>
      </c>
      <c r="E4960" s="5">
        <v>-28679</v>
      </c>
      <c r="F4960" s="3" t="s">
        <v>213</v>
      </c>
      <c r="G4960" s="3" t="s">
        <v>162</v>
      </c>
      <c r="H4960" s="2" t="s">
        <v>21</v>
      </c>
      <c r="I4960" s="2" t="s">
        <v>10043</v>
      </c>
      <c r="J4960" s="3" t="str">
        <f>HYPERLINK("https://www.boe.es/gazeta/dias/1821/06/23/pdfs/GMD-1821-176.pdf#page=5","Abrir facsímil")</f>
        <v>Abrir facsímil</v>
      </c>
      <c r="K4960" s="3" t="s">
        <v>23</v>
      </c>
    </row>
    <row r="4961" spans="1:11" ht="42" customHeight="1">
      <c r="A4961" s="2" t="s">
        <v>10034</v>
      </c>
      <c r="B4961" s="2" t="s">
        <v>10034</v>
      </c>
      <c r="C4961" s="2" t="s">
        <v>494</v>
      </c>
      <c r="D4961" s="2" t="s">
        <v>18</v>
      </c>
      <c r="E4961" s="5">
        <v>-28673</v>
      </c>
      <c r="F4961" s="3" t="s">
        <v>1069</v>
      </c>
      <c r="G4961" s="3" t="s">
        <v>20</v>
      </c>
      <c r="H4961" s="2" t="s">
        <v>21</v>
      </c>
      <c r="I4961" s="2" t="s">
        <v>10044</v>
      </c>
      <c r="J4961" s="3" t="str">
        <f>HYPERLINK("https://www.boe.es/gazeta/dias/1821/06/29/pdfs/GMD-1821-182.pdf#page=3","Abrir facsímil")</f>
        <v>Abrir facsímil</v>
      </c>
      <c r="K4961" s="3" t="s">
        <v>23</v>
      </c>
    </row>
    <row r="4962" spans="1:11" ht="42" customHeight="1">
      <c r="A4962" s="2" t="s">
        <v>10034</v>
      </c>
      <c r="B4962" s="2" t="s">
        <v>10034</v>
      </c>
      <c r="C4962" s="2" t="s">
        <v>26</v>
      </c>
      <c r="D4962" s="2" t="s">
        <v>27</v>
      </c>
      <c r="E4962" s="5">
        <v>-28659</v>
      </c>
      <c r="F4962" s="3" t="s">
        <v>2850</v>
      </c>
      <c r="G4962" s="3" t="s">
        <v>52</v>
      </c>
      <c r="H4962" s="2" t="s">
        <v>21</v>
      </c>
      <c r="I4962" s="2" t="s">
        <v>10045</v>
      </c>
      <c r="J4962" s="3" t="str">
        <f>HYPERLINK("https://www.boe.es/gazeta/dias/1821/07/13/pdfs/GMD-1821-198.pdf#page=2","Abrir facsímil")</f>
        <v>Abrir facsímil</v>
      </c>
      <c r="K4962" s="3" t="s">
        <v>23</v>
      </c>
    </row>
    <row r="4963" spans="1:11" ht="42" customHeight="1">
      <c r="A4963" s="2" t="s">
        <v>10034</v>
      </c>
      <c r="B4963" s="2" t="s">
        <v>10034</v>
      </c>
      <c r="C4963" s="2" t="s">
        <v>26</v>
      </c>
      <c r="D4963" s="2" t="s">
        <v>27</v>
      </c>
      <c r="E4963" s="5">
        <v>-28653</v>
      </c>
      <c r="F4963" s="3" t="s">
        <v>1179</v>
      </c>
      <c r="G4963" s="3" t="s">
        <v>162</v>
      </c>
      <c r="H4963" s="2" t="s">
        <v>21</v>
      </c>
      <c r="I4963" s="2" t="s">
        <v>10046</v>
      </c>
      <c r="J4963" s="3" t="str">
        <f>HYPERLINK("https://www.boe.es/gazeta/dias/1821/07/19/pdfs/GMD-1821-204.pdf#page=5","Abrir facsímil")</f>
        <v>Abrir facsímil</v>
      </c>
      <c r="K4963" s="3" t="s">
        <v>23</v>
      </c>
    </row>
    <row r="4964" spans="1:11" ht="42" customHeight="1">
      <c r="A4964" s="2" t="s">
        <v>10034</v>
      </c>
      <c r="B4964" s="2" t="s">
        <v>10034</v>
      </c>
      <c r="C4964" s="2" t="s">
        <v>26</v>
      </c>
      <c r="D4964" s="2" t="s">
        <v>27</v>
      </c>
      <c r="E4964" s="5">
        <v>-28640</v>
      </c>
      <c r="F4964" s="3" t="s">
        <v>1590</v>
      </c>
      <c r="G4964" s="3" t="s">
        <v>20</v>
      </c>
      <c r="H4964" s="2" t="s">
        <v>21</v>
      </c>
      <c r="I4964" s="2" t="s">
        <v>10047</v>
      </c>
      <c r="J4964" s="3" t="str">
        <f>HYPERLINK("https://www.boe.es/gazeta/dias/1821/08/01/pdfs/GMD-1821-217.pdf#page=3","Abrir facsímil")</f>
        <v>Abrir facsímil</v>
      </c>
      <c r="K4964" s="3" t="s">
        <v>23</v>
      </c>
    </row>
    <row r="4965" spans="1:11" ht="42" customHeight="1">
      <c r="A4965" s="2" t="s">
        <v>10034</v>
      </c>
      <c r="B4965" s="2" t="s">
        <v>10034</v>
      </c>
      <c r="C4965" s="2" t="s">
        <v>35</v>
      </c>
      <c r="D4965" s="2" t="s">
        <v>27</v>
      </c>
      <c r="E4965" s="5">
        <v>-28622</v>
      </c>
      <c r="F4965" s="3" t="s">
        <v>2771</v>
      </c>
      <c r="G4965" s="3" t="s">
        <v>4374</v>
      </c>
      <c r="H4965" s="2" t="s">
        <v>21</v>
      </c>
      <c r="I4965" s="2" t="s">
        <v>10048</v>
      </c>
      <c r="J4965" s="3" t="str">
        <f>HYPERLINK("https://www.boe.es/gazeta/dias/1821/08/19/pdfs/GMD-1821-236.pdf#page=5","Abrir facsímil")</f>
        <v>Abrir facsímil</v>
      </c>
      <c r="K4965" s="3" t="s">
        <v>23</v>
      </c>
    </row>
    <row r="4966" spans="1:11" ht="42" customHeight="1">
      <c r="A4966" s="2" t="s">
        <v>10034</v>
      </c>
      <c r="B4966" s="2" t="s">
        <v>10034</v>
      </c>
      <c r="C4966" s="2" t="s">
        <v>17</v>
      </c>
      <c r="D4966" s="2" t="s">
        <v>18</v>
      </c>
      <c r="E4966" s="5">
        <v>-28594</v>
      </c>
      <c r="F4966" s="3" t="s">
        <v>2412</v>
      </c>
      <c r="G4966" s="3" t="s">
        <v>20</v>
      </c>
      <c r="H4966" s="2" t="s">
        <v>21</v>
      </c>
      <c r="I4966" s="2" t="s">
        <v>10049</v>
      </c>
      <c r="J4966" s="3" t="str">
        <f>HYPERLINK("https://www.boe.es/gazeta/dias/1821/09/16/pdfs/GMD-1821-264.pdf#page=3","Abrir facsímil")</f>
        <v>Abrir facsímil</v>
      </c>
      <c r="K4966" s="3" t="s">
        <v>23</v>
      </c>
    </row>
    <row r="4967" spans="1:11" ht="42" customHeight="1">
      <c r="A4967" s="2" t="s">
        <v>10034</v>
      </c>
      <c r="B4967" s="2" t="s">
        <v>10034</v>
      </c>
      <c r="C4967" s="2" t="s">
        <v>17</v>
      </c>
      <c r="D4967" s="2" t="s">
        <v>18</v>
      </c>
      <c r="E4967" s="5">
        <v>-28587</v>
      </c>
      <c r="F4967" s="3" t="s">
        <v>392</v>
      </c>
      <c r="G4967" s="3" t="s">
        <v>88</v>
      </c>
      <c r="H4967" s="2" t="s">
        <v>21</v>
      </c>
      <c r="I4967" s="2" t="s">
        <v>10050</v>
      </c>
      <c r="J4967" s="3" t="str">
        <f>HYPERLINK("https://www.boe.es/gazeta/dias/1821/09/23/pdfs/GMD-1821-271.pdf#page=4","Abrir facsímil")</f>
        <v>Abrir facsímil</v>
      </c>
      <c r="K4967" s="3" t="s">
        <v>23</v>
      </c>
    </row>
    <row r="4968" spans="1:11" ht="42" customHeight="1">
      <c r="A4968" s="2" t="s">
        <v>10051</v>
      </c>
      <c r="B4968" s="2" t="s">
        <v>10052</v>
      </c>
      <c r="C4968" s="2" t="s">
        <v>17</v>
      </c>
      <c r="D4968" s="2" t="s">
        <v>18</v>
      </c>
      <c r="E4968" s="5">
        <v>-28676</v>
      </c>
      <c r="F4968" s="3" t="s">
        <v>534</v>
      </c>
      <c r="G4968" s="3" t="s">
        <v>29</v>
      </c>
      <c r="H4968" s="2" t="s">
        <v>21</v>
      </c>
      <c r="I4968" s="2" t="s">
        <v>10053</v>
      </c>
      <c r="J4968" s="3" t="str">
        <f>HYPERLINK("https://www.boe.es/gazeta/dias/1821/06/26/pdfs/GMD-1821-179.pdf#page=6","Abrir facsímil")</f>
        <v>Abrir facsímil</v>
      </c>
      <c r="K4968" s="3" t="s">
        <v>23</v>
      </c>
    </row>
    <row r="4969" spans="1:11" ht="42" customHeight="1">
      <c r="A4969" s="2" t="s">
        <v>10054</v>
      </c>
      <c r="B4969" s="2" t="s">
        <v>10055</v>
      </c>
      <c r="C4969" s="2" t="s">
        <v>40</v>
      </c>
      <c r="D4969" s="2" t="s">
        <v>41</v>
      </c>
      <c r="E4969" s="5">
        <v>-28512</v>
      </c>
      <c r="F4969" s="3" t="s">
        <v>66</v>
      </c>
      <c r="G4969" s="3" t="s">
        <v>43</v>
      </c>
      <c r="H4969" s="2" t="s">
        <v>21</v>
      </c>
      <c r="I4969" s="2" t="s">
        <v>10056</v>
      </c>
      <c r="J4969" s="3" t="str">
        <f>HYPERLINK("https://www.boe.es/gazeta/dias/1821/12/07/pdfs/GMD-1821-349.pdf#page=1","Abrir facsímil")</f>
        <v>Abrir facsímil</v>
      </c>
      <c r="K4969" s="3" t="s">
        <v>23</v>
      </c>
    </row>
    <row r="4970" spans="1:11" ht="42" customHeight="1">
      <c r="A4970" s="2" t="s">
        <v>10057</v>
      </c>
      <c r="B4970" s="2" t="s">
        <v>10058</v>
      </c>
      <c r="C4970" s="2" t="s">
        <v>35</v>
      </c>
      <c r="D4970" s="2" t="s">
        <v>27</v>
      </c>
      <c r="E4970" s="5">
        <v>-28654</v>
      </c>
      <c r="F4970" s="3" t="s">
        <v>674</v>
      </c>
      <c r="G4970" s="3" t="s">
        <v>52</v>
      </c>
      <c r="H4970" s="2" t="s">
        <v>21</v>
      </c>
      <c r="I4970" s="2" t="s">
        <v>10059</v>
      </c>
      <c r="J4970" s="3" t="str">
        <f>HYPERLINK("https://www.boe.es/gazeta/dias/1821/07/18/pdfs/GMD-1821-203.pdf#page=2","Abrir facsímil")</f>
        <v>Abrir facsímil</v>
      </c>
      <c r="K4970" s="3" t="s">
        <v>23</v>
      </c>
    </row>
    <row r="4971" spans="1:11" ht="42" customHeight="1">
      <c r="A4971" s="2" t="s">
        <v>10060</v>
      </c>
      <c r="B4971" s="2" t="s">
        <v>10060</v>
      </c>
      <c r="C4971" s="2" t="s">
        <v>26</v>
      </c>
      <c r="D4971" s="2" t="s">
        <v>27</v>
      </c>
      <c r="E4971" s="5">
        <v>-28537</v>
      </c>
      <c r="F4971" s="3" t="s">
        <v>56</v>
      </c>
      <c r="G4971" s="3" t="s">
        <v>29</v>
      </c>
      <c r="H4971" s="2" t="s">
        <v>21</v>
      </c>
      <c r="I4971" s="2" t="s">
        <v>10061</v>
      </c>
      <c r="J4971" s="3" t="str">
        <f>HYPERLINK("https://www.boe.es/gazeta/dias/1821/11/12/pdfs/GMD-1821-323.pdf#page=6","Abrir facsímil")</f>
        <v>Abrir facsímil</v>
      </c>
      <c r="K4971" s="3" t="s">
        <v>23</v>
      </c>
    </row>
    <row r="4972" spans="1:11" ht="42" customHeight="1">
      <c r="A4972" s="2" t="s">
        <v>10062</v>
      </c>
      <c r="B4972" s="2" t="s">
        <v>10063</v>
      </c>
      <c r="C4972" s="2" t="s">
        <v>40</v>
      </c>
      <c r="D4972" s="2" t="s">
        <v>41</v>
      </c>
      <c r="E4972" s="5">
        <v>-28830</v>
      </c>
      <c r="F4972" s="3" t="s">
        <v>3230</v>
      </c>
      <c r="G4972" s="3" t="s">
        <v>20</v>
      </c>
      <c r="H4972" s="2" t="s">
        <v>21</v>
      </c>
      <c r="I4972" s="2" t="s">
        <v>10064</v>
      </c>
      <c r="J4972" s="3" t="str">
        <f>HYPERLINK("https://www.boe.es/gazeta/dias/1821/01/23/pdfs/GGB-1821-23.pdf#page=3","Abrir facsímil")</f>
        <v>Abrir facsímil</v>
      </c>
      <c r="K4972" s="3" t="s">
        <v>23</v>
      </c>
    </row>
    <row r="4973" spans="1:11" ht="42" customHeight="1">
      <c r="A4973" s="2" t="s">
        <v>10065</v>
      </c>
      <c r="B4973" s="2" t="s">
        <v>10066</v>
      </c>
      <c r="C4973" s="2" t="s">
        <v>17</v>
      </c>
      <c r="D4973" s="2" t="s">
        <v>18</v>
      </c>
      <c r="E4973" s="5">
        <v>-28753</v>
      </c>
      <c r="F4973" s="3" t="s">
        <v>720</v>
      </c>
      <c r="G4973" s="3" t="s">
        <v>776</v>
      </c>
      <c r="H4973" s="2" t="s">
        <v>21</v>
      </c>
      <c r="I4973" s="2" t="s">
        <v>10067</v>
      </c>
      <c r="J4973" s="3" t="str">
        <f>HYPERLINK("https://www.boe.es/gazeta/dias/1821/04/10/pdfs/GMD-1821-102.pdf#page=2","Abrir facsímil")</f>
        <v>Abrir facsímil</v>
      </c>
      <c r="K4973" s="3" t="s">
        <v>23</v>
      </c>
    </row>
    <row r="4974" spans="1:11" ht="42" customHeight="1">
      <c r="A4974" s="2" t="s">
        <v>10068</v>
      </c>
      <c r="B4974" s="2" t="s">
        <v>10068</v>
      </c>
      <c r="C4974" s="2" t="s">
        <v>40</v>
      </c>
      <c r="D4974" s="2" t="s">
        <v>41</v>
      </c>
      <c r="E4974" s="5">
        <v>-28518</v>
      </c>
      <c r="F4974" s="3" t="s">
        <v>410</v>
      </c>
      <c r="G4974" s="3" t="s">
        <v>43</v>
      </c>
      <c r="H4974" s="2" t="s">
        <v>21</v>
      </c>
      <c r="I4974" s="2" t="s">
        <v>10069</v>
      </c>
      <c r="J4974" s="3" t="str">
        <f>HYPERLINK("https://www.boe.es/gazeta/dias/1821/12/01/pdfs/GMD-1821-343.pdf#page=1","Abrir facsímil")</f>
        <v>Abrir facsímil</v>
      </c>
      <c r="K4974" s="3" t="s">
        <v>23</v>
      </c>
    </row>
    <row r="4975" spans="1:11" ht="42" customHeight="1">
      <c r="A4975" s="2" t="s">
        <v>10070</v>
      </c>
      <c r="B4975" s="2" t="s">
        <v>10070</v>
      </c>
      <c r="C4975" s="2" t="s">
        <v>26</v>
      </c>
      <c r="D4975" s="2" t="s">
        <v>27</v>
      </c>
      <c r="E4975" s="5">
        <v>-28542</v>
      </c>
      <c r="F4975" s="3" t="s">
        <v>221</v>
      </c>
      <c r="G4975" s="3" t="s">
        <v>43</v>
      </c>
      <c r="H4975" s="2" t="s">
        <v>21</v>
      </c>
      <c r="I4975" s="2" t="s">
        <v>10071</v>
      </c>
      <c r="J4975" s="3" t="str">
        <f>HYPERLINK("https://www.boe.es/gazeta/dias/1821/11/07/pdfs/GMD-1821-318.pdf#page=1","Abrir facsímil")</f>
        <v>Abrir facsímil</v>
      </c>
      <c r="K4975" s="3" t="s">
        <v>23</v>
      </c>
    </row>
    <row r="4976" spans="1:11" ht="42" customHeight="1">
      <c r="A4976" s="2" t="s">
        <v>10072</v>
      </c>
      <c r="B4976" s="2" t="s">
        <v>10073</v>
      </c>
      <c r="C4976" s="2" t="s">
        <v>26</v>
      </c>
      <c r="D4976" s="2" t="s">
        <v>27</v>
      </c>
      <c r="E4976" s="5">
        <v>-28638</v>
      </c>
      <c r="F4976" s="3" t="s">
        <v>736</v>
      </c>
      <c r="G4976" s="3" t="s">
        <v>20</v>
      </c>
      <c r="H4976" s="2" t="s">
        <v>21</v>
      </c>
      <c r="I4976" s="2" t="s">
        <v>10074</v>
      </c>
      <c r="J4976" s="3" t="str">
        <f>HYPERLINK("https://www.boe.es/gazeta/dias/1821/08/03/pdfs/GMD-1821-219.pdf#page=3","Abrir facsímil")</f>
        <v>Abrir facsímil</v>
      </c>
      <c r="K4976" s="3" t="s">
        <v>23</v>
      </c>
    </row>
    <row r="4977" spans="1:11" ht="42" customHeight="1">
      <c r="A4977" s="2" t="s">
        <v>10075</v>
      </c>
      <c r="B4977" s="2" t="s">
        <v>10075</v>
      </c>
      <c r="C4977" s="2" t="s">
        <v>35</v>
      </c>
      <c r="D4977" s="2" t="s">
        <v>27</v>
      </c>
      <c r="E4977" s="5">
        <v>-28805</v>
      </c>
      <c r="F4977" s="3" t="s">
        <v>382</v>
      </c>
      <c r="G4977" s="3" t="s">
        <v>52</v>
      </c>
      <c r="H4977" s="2" t="s">
        <v>21</v>
      </c>
      <c r="I4977" s="2" t="s">
        <v>10076</v>
      </c>
      <c r="J4977" s="3" t="str">
        <f>HYPERLINK("https://www.boe.es/gazeta/dias/1821/02/17/pdfs/GGB-1821-48.pdf#page=2","Abrir facsímil")</f>
        <v>Abrir facsímil</v>
      </c>
      <c r="K4977" s="3" t="s">
        <v>23</v>
      </c>
    </row>
    <row r="4978" spans="1:11" ht="42" customHeight="1">
      <c r="A4978" s="2" t="s">
        <v>10077</v>
      </c>
      <c r="B4978" s="2" t="s">
        <v>10077</v>
      </c>
      <c r="C4978" s="2" t="s">
        <v>40</v>
      </c>
      <c r="D4978" s="2" t="s">
        <v>41</v>
      </c>
      <c r="E4978" s="5">
        <v>-28689</v>
      </c>
      <c r="F4978" s="3" t="s">
        <v>194</v>
      </c>
      <c r="G4978" s="3" t="s">
        <v>43</v>
      </c>
      <c r="H4978" s="2" t="s">
        <v>21</v>
      </c>
      <c r="I4978" s="2" t="s">
        <v>10078</v>
      </c>
      <c r="J4978" s="3" t="str">
        <f>HYPERLINK("https://www.boe.es/gazeta/dias/1821/06/13/pdfs/GMD-1821-166.pdf#page=1","Abrir facsímil")</f>
        <v>Abrir facsímil</v>
      </c>
      <c r="K4978" s="3" t="s">
        <v>23</v>
      </c>
    </row>
    <row r="4979" spans="1:11" ht="42" customHeight="1">
      <c r="A4979" s="2" t="s">
        <v>10077</v>
      </c>
      <c r="B4979" s="2" t="s">
        <v>10077</v>
      </c>
      <c r="C4979" s="2" t="s">
        <v>40</v>
      </c>
      <c r="D4979" s="2" t="s">
        <v>41</v>
      </c>
      <c r="E4979" s="5">
        <v>-28656</v>
      </c>
      <c r="F4979" s="3" t="s">
        <v>2399</v>
      </c>
      <c r="G4979" s="3" t="s">
        <v>43</v>
      </c>
      <c r="H4979" s="2" t="s">
        <v>21</v>
      </c>
      <c r="I4979" s="2" t="s">
        <v>10079</v>
      </c>
      <c r="J4979" s="3" t="str">
        <f>HYPERLINK("https://www.boe.es/gazeta/dias/1821/07/16/pdfs/GMD-1821-201.pdf#page=1","Abrir facsímil")</f>
        <v>Abrir facsímil</v>
      </c>
      <c r="K4979" s="3" t="s">
        <v>23</v>
      </c>
    </row>
    <row r="4980" spans="1:11" ht="42" customHeight="1">
      <c r="A4980" s="2" t="s">
        <v>10077</v>
      </c>
      <c r="B4980" s="2" t="s">
        <v>10077</v>
      </c>
      <c r="C4980" s="2" t="s">
        <v>26</v>
      </c>
      <c r="D4980" s="2" t="s">
        <v>27</v>
      </c>
      <c r="E4980" s="5">
        <v>-28620</v>
      </c>
      <c r="F4980" s="3" t="s">
        <v>87</v>
      </c>
      <c r="G4980" s="3" t="s">
        <v>52</v>
      </c>
      <c r="H4980" s="2" t="s">
        <v>21</v>
      </c>
      <c r="I4980" s="2" t="s">
        <v>10080</v>
      </c>
      <c r="J4980" s="3" t="str">
        <f>HYPERLINK("https://www.boe.es/gazeta/dias/1821/08/21/pdfs/GMD-1821-238.pdf#page=2","Abrir facsímil")</f>
        <v>Abrir facsímil</v>
      </c>
      <c r="K4980" s="3" t="s">
        <v>23</v>
      </c>
    </row>
    <row r="4981" spans="1:11" ht="42" customHeight="1">
      <c r="A4981" s="2" t="s">
        <v>10081</v>
      </c>
      <c r="B4981" s="2" t="s">
        <v>10081</v>
      </c>
      <c r="C4981" s="2" t="s">
        <v>114</v>
      </c>
      <c r="D4981" s="2" t="s">
        <v>27</v>
      </c>
      <c r="E4981" s="5">
        <v>-28666</v>
      </c>
      <c r="F4981" s="3" t="s">
        <v>1263</v>
      </c>
      <c r="G4981" s="3" t="s">
        <v>43</v>
      </c>
      <c r="H4981" s="2" t="s">
        <v>21</v>
      </c>
      <c r="I4981" s="2" t="s">
        <v>10082</v>
      </c>
      <c r="J4981" s="3" t="str">
        <f>HYPERLINK("https://www.boe.es/gazeta/dias/1821/07/06/pdfs/GMD-1821-190.pdf#page=1","Abrir facsímil")</f>
        <v>Abrir facsímil</v>
      </c>
      <c r="K4981" s="3" t="s">
        <v>23</v>
      </c>
    </row>
    <row r="4982" spans="1:11" ht="42" customHeight="1">
      <c r="A4982" s="2" t="s">
        <v>10083</v>
      </c>
      <c r="B4982" s="2" t="s">
        <v>10084</v>
      </c>
      <c r="C4982" s="2" t="s">
        <v>26</v>
      </c>
      <c r="D4982" s="2" t="s">
        <v>27</v>
      </c>
      <c r="E4982" s="5">
        <v>-28668</v>
      </c>
      <c r="F4982" s="3" t="s">
        <v>2130</v>
      </c>
      <c r="G4982" s="3" t="s">
        <v>20</v>
      </c>
      <c r="H4982" s="2" t="s">
        <v>21</v>
      </c>
      <c r="I4982" s="2" t="s">
        <v>10085</v>
      </c>
      <c r="J4982" s="3" t="str">
        <f>HYPERLINK("https://www.boe.es/gazeta/dias/1821/07/04/pdfs/GMD-1821-188.pdf#page=3","Abrir facsímil")</f>
        <v>Abrir facsímil</v>
      </c>
      <c r="K4982" s="3" t="s">
        <v>23</v>
      </c>
    </row>
    <row r="4983" spans="1:11" ht="42" customHeight="1">
      <c r="A4983" s="2" t="s">
        <v>10086</v>
      </c>
      <c r="B4983" s="2" t="s">
        <v>10086</v>
      </c>
      <c r="C4983" s="2" t="s">
        <v>40</v>
      </c>
      <c r="D4983" s="2" t="s">
        <v>41</v>
      </c>
      <c r="E4983" s="5">
        <v>-28665</v>
      </c>
      <c r="F4983" s="3" t="s">
        <v>789</v>
      </c>
      <c r="G4983" s="3" t="s">
        <v>20</v>
      </c>
      <c r="H4983" s="2" t="s">
        <v>21</v>
      </c>
      <c r="I4983" s="2" t="s">
        <v>10087</v>
      </c>
      <c r="J4983" s="3" t="str">
        <f>HYPERLINK("https://www.boe.es/gazeta/dias/1821/07/07/pdfs/GMD-1821-191.pdf#page=3","Abrir facsímil")</f>
        <v>Abrir facsímil</v>
      </c>
      <c r="K4983" s="3" t="s">
        <v>23</v>
      </c>
    </row>
    <row r="4984" spans="1:11" ht="42" customHeight="1">
      <c r="A4984" s="2" t="s">
        <v>10088</v>
      </c>
      <c r="B4984" s="2" t="s">
        <v>10088</v>
      </c>
      <c r="C4984" s="2" t="s">
        <v>174</v>
      </c>
      <c r="D4984" s="2" t="s">
        <v>27</v>
      </c>
      <c r="E4984" s="5">
        <v>-28701</v>
      </c>
      <c r="F4984" s="3" t="s">
        <v>202</v>
      </c>
      <c r="G4984" s="3" t="s">
        <v>88</v>
      </c>
      <c r="H4984" s="2" t="s">
        <v>21</v>
      </c>
      <c r="I4984" s="2" t="s">
        <v>10089</v>
      </c>
      <c r="J4984" s="3" t="str">
        <f>HYPERLINK("https://www.boe.es/gazeta/dias/1821/06/01/pdfs/GMD-1821-154.pdf#page=4","Abrir facsímil")</f>
        <v>Abrir facsímil</v>
      </c>
      <c r="K4984" s="3" t="s">
        <v>23</v>
      </c>
    </row>
    <row r="4985" spans="1:11" ht="42" customHeight="1">
      <c r="A4985" s="2" t="s">
        <v>10088</v>
      </c>
      <c r="B4985" s="2" t="s">
        <v>10088</v>
      </c>
      <c r="C4985" s="2" t="s">
        <v>40</v>
      </c>
      <c r="D4985" s="2" t="s">
        <v>41</v>
      </c>
      <c r="E4985" s="5">
        <v>-28690</v>
      </c>
      <c r="F4985" s="3" t="s">
        <v>846</v>
      </c>
      <c r="G4985" s="3" t="s">
        <v>43</v>
      </c>
      <c r="H4985" s="2" t="s">
        <v>21</v>
      </c>
      <c r="I4985" s="2" t="s">
        <v>10090</v>
      </c>
      <c r="J4985" s="3" t="str">
        <f>HYPERLINK("https://www.boe.es/gazeta/dias/1821/06/12/pdfs/GMD-1821-165.pdf#page=1","Abrir facsímil")</f>
        <v>Abrir facsímil</v>
      </c>
      <c r="K4985" s="3" t="s">
        <v>23</v>
      </c>
    </row>
    <row r="4986" spans="1:11" ht="42" customHeight="1">
      <c r="A4986" s="2" t="s">
        <v>10088</v>
      </c>
      <c r="B4986" s="2" t="s">
        <v>10088</v>
      </c>
      <c r="C4986" s="2" t="s">
        <v>70</v>
      </c>
      <c r="D4986" s="2" t="s">
        <v>27</v>
      </c>
      <c r="E4986" s="5">
        <v>-28634</v>
      </c>
      <c r="F4986" s="3" t="s">
        <v>2533</v>
      </c>
      <c r="G4986" s="3" t="s">
        <v>88</v>
      </c>
      <c r="H4986" s="2" t="s">
        <v>21</v>
      </c>
      <c r="I4986" s="2" t="s">
        <v>10091</v>
      </c>
      <c r="J4986" s="3" t="str">
        <f>HYPERLINK("https://www.boe.es/gazeta/dias/1821/08/07/pdfs/GMD-1821-223.pdf#page=4","Abrir facsímil")</f>
        <v>Abrir facsímil</v>
      </c>
      <c r="K4986" s="3" t="s">
        <v>23</v>
      </c>
    </row>
    <row r="4987" spans="1:11" ht="42" customHeight="1">
      <c r="A4987" s="2" t="s">
        <v>10092</v>
      </c>
      <c r="B4987" s="2" t="s">
        <v>10092</v>
      </c>
      <c r="C4987" s="2" t="s">
        <v>174</v>
      </c>
      <c r="D4987" s="2" t="s">
        <v>27</v>
      </c>
      <c r="E4987" s="5">
        <v>-28620</v>
      </c>
      <c r="F4987" s="3" t="s">
        <v>87</v>
      </c>
      <c r="G4987" s="3" t="s">
        <v>43</v>
      </c>
      <c r="H4987" s="2" t="s">
        <v>21</v>
      </c>
      <c r="I4987" s="2" t="s">
        <v>10093</v>
      </c>
      <c r="J4987" s="3" t="str">
        <f>HYPERLINK("https://www.boe.es/gazeta/dias/1821/08/21/pdfs/GMD-1821-238.pdf#page=1","Abrir facsímil")</f>
        <v>Abrir facsímil</v>
      </c>
      <c r="K4987" s="3" t="s">
        <v>23</v>
      </c>
    </row>
    <row r="4988" spans="1:11" ht="42" customHeight="1">
      <c r="A4988" s="2" t="s">
        <v>10088</v>
      </c>
      <c r="B4988" s="2" t="s">
        <v>10088</v>
      </c>
      <c r="C4988" s="2" t="s">
        <v>26</v>
      </c>
      <c r="D4988" s="2" t="s">
        <v>27</v>
      </c>
      <c r="E4988" s="5">
        <v>-28607</v>
      </c>
      <c r="F4988" s="3" t="s">
        <v>740</v>
      </c>
      <c r="G4988" s="3" t="s">
        <v>43</v>
      </c>
      <c r="H4988" s="2" t="s">
        <v>21</v>
      </c>
      <c r="I4988" s="2" t="s">
        <v>10094</v>
      </c>
      <c r="J4988" s="3" t="str">
        <f>HYPERLINK("https://www.boe.es/gazeta/dias/1821/09/03/pdfs/GMD-1821-251.pdf#page=1","Abrir facsímil")</f>
        <v>Abrir facsímil</v>
      </c>
      <c r="K4988" s="3" t="s">
        <v>23</v>
      </c>
    </row>
    <row r="4989" spans="1:11" ht="42" customHeight="1">
      <c r="A4989" s="2" t="s">
        <v>10088</v>
      </c>
      <c r="B4989" s="2" t="s">
        <v>10088</v>
      </c>
      <c r="C4989" s="2" t="s">
        <v>40</v>
      </c>
      <c r="D4989" s="2" t="s">
        <v>41</v>
      </c>
      <c r="E4989" s="5">
        <v>-28560</v>
      </c>
      <c r="F4989" s="3" t="s">
        <v>363</v>
      </c>
      <c r="G4989" s="3" t="s">
        <v>43</v>
      </c>
      <c r="H4989" s="2" t="s">
        <v>21</v>
      </c>
      <c r="I4989" s="2" t="s">
        <v>10095</v>
      </c>
      <c r="J4989" s="3" t="str">
        <f>HYPERLINK("https://www.boe.es/gazeta/dias/1821/10/20/pdfs/GMD-1821-299.pdf#page=1","Abrir facsímil")</f>
        <v>Abrir facsímil</v>
      </c>
      <c r="K4989" s="3" t="s">
        <v>23</v>
      </c>
    </row>
    <row r="4990" spans="1:11" ht="42" customHeight="1">
      <c r="A4990" s="2" t="s">
        <v>10096</v>
      </c>
      <c r="B4990" s="2" t="s">
        <v>10097</v>
      </c>
      <c r="C4990" s="2" t="s">
        <v>35</v>
      </c>
      <c r="D4990" s="2" t="s">
        <v>27</v>
      </c>
      <c r="E4990" s="5">
        <v>-28578</v>
      </c>
      <c r="F4990" s="3" t="s">
        <v>899</v>
      </c>
      <c r="G4990" s="3" t="s">
        <v>43</v>
      </c>
      <c r="H4990" s="2" t="s">
        <v>21</v>
      </c>
      <c r="I4990" s="2" t="s">
        <v>10098</v>
      </c>
      <c r="J4990" s="3" t="str">
        <f>HYPERLINK("https://www.boe.es/gazeta/dias/1821/10/02/pdfs/GMD-1821-281.pdf#page=1","Abrir facsímil")</f>
        <v>Abrir facsímil</v>
      </c>
      <c r="K4990" s="3" t="s">
        <v>23</v>
      </c>
    </row>
    <row r="4991" spans="1:11" ht="42" customHeight="1">
      <c r="A4991" s="2" t="s">
        <v>10099</v>
      </c>
      <c r="B4991" s="2" t="s">
        <v>10100</v>
      </c>
      <c r="C4991" s="2" t="s">
        <v>40</v>
      </c>
      <c r="D4991" s="2" t="s">
        <v>41</v>
      </c>
      <c r="E4991" s="5">
        <v>-28690</v>
      </c>
      <c r="F4991" s="3" t="s">
        <v>846</v>
      </c>
      <c r="G4991" s="3" t="s">
        <v>43</v>
      </c>
      <c r="H4991" s="2" t="s">
        <v>21</v>
      </c>
      <c r="I4991" s="2" t="s">
        <v>10101</v>
      </c>
      <c r="J4991" s="3" t="str">
        <f>HYPERLINK("https://www.boe.es/gazeta/dias/1821/06/12/pdfs/GMD-1821-165.pdf#page=1","Abrir facsímil")</f>
        <v>Abrir facsímil</v>
      </c>
      <c r="K4991" s="3" t="s">
        <v>23</v>
      </c>
    </row>
    <row r="4992" spans="1:11" ht="42" customHeight="1">
      <c r="A4992" s="2" t="s">
        <v>10102</v>
      </c>
      <c r="B4992" s="2" t="s">
        <v>10102</v>
      </c>
      <c r="C4992" s="2" t="s">
        <v>26</v>
      </c>
      <c r="D4992" s="2" t="s">
        <v>27</v>
      </c>
      <c r="E4992" s="5">
        <v>-28644</v>
      </c>
      <c r="F4992" s="3" t="s">
        <v>1340</v>
      </c>
      <c r="G4992" s="3" t="s">
        <v>20</v>
      </c>
      <c r="H4992" s="2" t="s">
        <v>21</v>
      </c>
      <c r="I4992" s="2" t="s">
        <v>10103</v>
      </c>
      <c r="J4992" s="3" t="str">
        <f>HYPERLINK("https://www.boe.es/gazeta/dias/1821/07/28/pdfs/GMD-1821-213.pdf#page=3","Abrir facsímil")</f>
        <v>Abrir facsímil</v>
      </c>
      <c r="K4992" s="3" t="s">
        <v>23</v>
      </c>
    </row>
    <row r="4993" spans="1:11" ht="42" customHeight="1">
      <c r="A4993" s="2" t="s">
        <v>10104</v>
      </c>
      <c r="B4993" s="2" t="s">
        <v>10104</v>
      </c>
      <c r="C4993" s="2" t="s">
        <v>40</v>
      </c>
      <c r="D4993" s="2" t="s">
        <v>41</v>
      </c>
      <c r="E4993" s="5">
        <v>-28750</v>
      </c>
      <c r="F4993" s="3" t="s">
        <v>917</v>
      </c>
      <c r="G4993" s="3" t="s">
        <v>88</v>
      </c>
      <c r="H4993" s="2" t="s">
        <v>21</v>
      </c>
      <c r="I4993" s="2" t="s">
        <v>10105</v>
      </c>
      <c r="J4993" s="3" t="str">
        <f>HYPERLINK("https://www.boe.es/gazeta/dias/1821/04/13/pdfs/GMD-1821-105.pdf#page=4","Abrir facsímil")</f>
        <v>Abrir facsímil</v>
      </c>
      <c r="K4993" s="3" t="s">
        <v>23</v>
      </c>
    </row>
    <row r="4994" spans="1:11" ht="42" customHeight="1">
      <c r="A4994" s="2" t="s">
        <v>10104</v>
      </c>
      <c r="B4994" s="2" t="s">
        <v>10104</v>
      </c>
      <c r="C4994" s="2" t="s">
        <v>70</v>
      </c>
      <c r="D4994" s="2" t="s">
        <v>27</v>
      </c>
      <c r="E4994" s="5">
        <v>-28747</v>
      </c>
      <c r="F4994" s="3" t="s">
        <v>1016</v>
      </c>
      <c r="G4994" s="3" t="s">
        <v>88</v>
      </c>
      <c r="H4994" s="2" t="s">
        <v>21</v>
      </c>
      <c r="I4994" s="2" t="s">
        <v>10106</v>
      </c>
      <c r="J4994" s="3" t="str">
        <f>HYPERLINK("https://www.boe.es/gazeta/dias/1821/04/16/pdfs/GMD-1821-108.pdf#page=4","Abrir facsímil")</f>
        <v>Abrir facsímil</v>
      </c>
      <c r="K4994" s="3" t="s">
        <v>23</v>
      </c>
    </row>
    <row r="4995" spans="1:11" ht="42" customHeight="1">
      <c r="A4995" s="2" t="s">
        <v>10104</v>
      </c>
      <c r="B4995" s="2" t="s">
        <v>10104</v>
      </c>
      <c r="C4995" s="2" t="s">
        <v>174</v>
      </c>
      <c r="D4995" s="2" t="s">
        <v>27</v>
      </c>
      <c r="E4995" s="5">
        <v>-28737</v>
      </c>
      <c r="F4995" s="3" t="s">
        <v>732</v>
      </c>
      <c r="G4995" s="3" t="s">
        <v>88</v>
      </c>
      <c r="H4995" s="2" t="s">
        <v>21</v>
      </c>
      <c r="I4995" s="2" t="s">
        <v>10107</v>
      </c>
      <c r="J4995" s="3" t="str">
        <f>HYPERLINK("https://www.boe.es/gazeta/dias/1821/04/26/pdfs/GMD-1821-118.pdf#page=4","Abrir facsímil")</f>
        <v>Abrir facsímil</v>
      </c>
      <c r="K4995" s="3" t="s">
        <v>23</v>
      </c>
    </row>
    <row r="4996" spans="1:11" ht="42" customHeight="1">
      <c r="A4996" s="2" t="s">
        <v>10104</v>
      </c>
      <c r="B4996" s="2" t="s">
        <v>10104</v>
      </c>
      <c r="C4996" s="2" t="s">
        <v>40</v>
      </c>
      <c r="D4996" s="2" t="s">
        <v>41</v>
      </c>
      <c r="E4996" s="5">
        <v>-28735</v>
      </c>
      <c r="F4996" s="3" t="s">
        <v>836</v>
      </c>
      <c r="G4996" s="3" t="s">
        <v>88</v>
      </c>
      <c r="H4996" s="2" t="s">
        <v>21</v>
      </c>
      <c r="I4996" s="2" t="s">
        <v>10108</v>
      </c>
      <c r="J4996" s="3" t="str">
        <f>HYPERLINK("https://www.boe.es/gazeta/dias/1821/04/28/pdfs/GMD-1821-120.pdf#page=4","Abrir facsímil")</f>
        <v>Abrir facsímil</v>
      </c>
      <c r="K4996" s="3" t="s">
        <v>23</v>
      </c>
    </row>
    <row r="4997" spans="1:11" ht="42" customHeight="1">
      <c r="A4997" s="2" t="s">
        <v>10104</v>
      </c>
      <c r="B4997" s="2" t="s">
        <v>10104</v>
      </c>
      <c r="C4997" s="2" t="s">
        <v>35</v>
      </c>
      <c r="D4997" s="2" t="s">
        <v>27</v>
      </c>
      <c r="E4997" s="5">
        <v>-28732</v>
      </c>
      <c r="F4997" s="3" t="s">
        <v>2628</v>
      </c>
      <c r="G4997" s="3" t="s">
        <v>20</v>
      </c>
      <c r="H4997" s="2" t="s">
        <v>21</v>
      </c>
      <c r="I4997" s="2" t="s">
        <v>10109</v>
      </c>
      <c r="J4997" s="3" t="str">
        <f>HYPERLINK("https://www.boe.es/gazeta/dias/1821/05/01/pdfs/GMD-1821-123.pdf#page=3","Abrir facsímil")</f>
        <v>Abrir facsímil</v>
      </c>
      <c r="K4997" s="3" t="s">
        <v>23</v>
      </c>
    </row>
    <row r="4998" spans="1:11" ht="42" customHeight="1">
      <c r="A4998" s="2" t="s">
        <v>10104</v>
      </c>
      <c r="B4998" s="2" t="s">
        <v>10104</v>
      </c>
      <c r="C4998" s="2" t="s">
        <v>26</v>
      </c>
      <c r="D4998" s="2" t="s">
        <v>27</v>
      </c>
      <c r="E4998" s="5">
        <v>-28729</v>
      </c>
      <c r="F4998" s="3" t="s">
        <v>838</v>
      </c>
      <c r="G4998" s="3" t="s">
        <v>43</v>
      </c>
      <c r="H4998" s="2" t="s">
        <v>21</v>
      </c>
      <c r="I4998" s="2" t="s">
        <v>10110</v>
      </c>
      <c r="J4998" s="3" t="str">
        <f>HYPERLINK("https://www.boe.es/gazeta/dias/1821/05/04/pdfs/GMD-1821-126.pdf#page=1","Abrir facsímil")</f>
        <v>Abrir facsímil</v>
      </c>
      <c r="K4998" s="3" t="s">
        <v>23</v>
      </c>
    </row>
    <row r="4999" spans="1:11" ht="42" customHeight="1">
      <c r="A4999" s="2" t="s">
        <v>10104</v>
      </c>
      <c r="B4999" s="2" t="s">
        <v>10104</v>
      </c>
      <c r="C4999" s="2" t="s">
        <v>40</v>
      </c>
      <c r="D4999" s="2" t="s">
        <v>41</v>
      </c>
      <c r="E4999" s="5">
        <v>-28726</v>
      </c>
      <c r="F4999" s="3" t="s">
        <v>347</v>
      </c>
      <c r="G4999" s="3" t="s">
        <v>20</v>
      </c>
      <c r="H4999" s="2" t="s">
        <v>21</v>
      </c>
      <c r="I4999" s="2" t="s">
        <v>10111</v>
      </c>
      <c r="J4999" s="3" t="str">
        <f>HYPERLINK("https://www.boe.es/gazeta/dias/1821/05/07/pdfs/GMD-1821-129.pdf#page=3","Abrir facsímil")</f>
        <v>Abrir facsímil</v>
      </c>
      <c r="K4999" s="3" t="s">
        <v>23</v>
      </c>
    </row>
    <row r="5000" spans="1:11" ht="42" customHeight="1">
      <c r="A5000" s="2" t="s">
        <v>10104</v>
      </c>
      <c r="B5000" s="2" t="s">
        <v>10104</v>
      </c>
      <c r="C5000" s="2" t="s">
        <v>26</v>
      </c>
      <c r="D5000" s="2" t="s">
        <v>27</v>
      </c>
      <c r="E5000" s="5">
        <v>-28723</v>
      </c>
      <c r="F5000" s="3" t="s">
        <v>840</v>
      </c>
      <c r="G5000" s="3" t="s">
        <v>88</v>
      </c>
      <c r="H5000" s="2" t="s">
        <v>21</v>
      </c>
      <c r="I5000" s="2" t="s">
        <v>10112</v>
      </c>
      <c r="J5000" s="3" t="str">
        <f>HYPERLINK("https://www.boe.es/gazeta/dias/1821/05/10/pdfs/GMD-1821-132.pdf#page=4","Abrir facsímil")</f>
        <v>Abrir facsímil</v>
      </c>
      <c r="K5000" s="3" t="s">
        <v>23</v>
      </c>
    </row>
    <row r="5001" spans="1:11" ht="42" customHeight="1">
      <c r="A5001" s="2" t="s">
        <v>10104</v>
      </c>
      <c r="B5001" s="2" t="s">
        <v>10104</v>
      </c>
      <c r="C5001" s="2" t="s">
        <v>17</v>
      </c>
      <c r="D5001" s="2" t="s">
        <v>18</v>
      </c>
      <c r="E5001" s="5">
        <v>-28722</v>
      </c>
      <c r="F5001" s="3" t="s">
        <v>623</v>
      </c>
      <c r="G5001" s="3" t="s">
        <v>88</v>
      </c>
      <c r="H5001" s="2" t="s">
        <v>21</v>
      </c>
      <c r="I5001" s="2" t="s">
        <v>10113</v>
      </c>
      <c r="J5001" s="3" t="str">
        <f>HYPERLINK("https://www.boe.es/gazeta/dias/1821/05/11/pdfs/GMD-1821-133.pdf#page=4","Abrir facsímil")</f>
        <v>Abrir facsímil</v>
      </c>
      <c r="K5001" s="3" t="s">
        <v>23</v>
      </c>
    </row>
    <row r="5002" spans="1:11" ht="42" customHeight="1">
      <c r="A5002" s="2" t="s">
        <v>10104</v>
      </c>
      <c r="B5002" s="2" t="s">
        <v>10104</v>
      </c>
      <c r="C5002" s="2" t="s">
        <v>26</v>
      </c>
      <c r="D5002" s="2" t="s">
        <v>27</v>
      </c>
      <c r="E5002" s="5">
        <v>-28718</v>
      </c>
      <c r="F5002" s="3" t="s">
        <v>583</v>
      </c>
      <c r="G5002" s="3" t="s">
        <v>88</v>
      </c>
      <c r="H5002" s="2" t="s">
        <v>21</v>
      </c>
      <c r="I5002" s="2" t="s">
        <v>10114</v>
      </c>
      <c r="J5002" s="3" t="str">
        <f>HYPERLINK("https://www.boe.es/gazeta/dias/1821/05/15/pdfs/GMD-1821-137.pdf#page=4","Abrir facsímil")</f>
        <v>Abrir facsímil</v>
      </c>
      <c r="K5002" s="3" t="s">
        <v>23</v>
      </c>
    </row>
    <row r="5003" spans="1:11" ht="42" customHeight="1">
      <c r="A5003" s="2" t="s">
        <v>10104</v>
      </c>
      <c r="B5003" s="2" t="s">
        <v>10104</v>
      </c>
      <c r="C5003" s="2" t="s">
        <v>26</v>
      </c>
      <c r="D5003" s="2" t="s">
        <v>27</v>
      </c>
      <c r="E5003" s="5">
        <v>-28712</v>
      </c>
      <c r="F5003" s="3" t="s">
        <v>695</v>
      </c>
      <c r="G5003" s="3" t="s">
        <v>43</v>
      </c>
      <c r="H5003" s="2" t="s">
        <v>21</v>
      </c>
      <c r="I5003" s="2" t="s">
        <v>10115</v>
      </c>
      <c r="J5003" s="3" t="str">
        <f>HYPERLINK("https://www.boe.es/gazeta/dias/1821/05/21/pdfs/GMD-1821-143.pdf#page=1","Abrir facsímil")</f>
        <v>Abrir facsímil</v>
      </c>
      <c r="K5003" s="3" t="s">
        <v>23</v>
      </c>
    </row>
    <row r="5004" spans="1:11" ht="42" customHeight="1">
      <c r="A5004" s="2" t="s">
        <v>10104</v>
      </c>
      <c r="B5004" s="2" t="s">
        <v>10104</v>
      </c>
      <c r="C5004" s="2" t="s">
        <v>114</v>
      </c>
      <c r="D5004" s="2" t="s">
        <v>27</v>
      </c>
      <c r="E5004" s="5">
        <v>-28697</v>
      </c>
      <c r="F5004" s="3" t="s">
        <v>166</v>
      </c>
      <c r="G5004" s="3" t="s">
        <v>1357</v>
      </c>
      <c r="H5004" s="2" t="s">
        <v>21</v>
      </c>
      <c r="I5004" s="2" t="s">
        <v>10116</v>
      </c>
      <c r="J5004" s="3" t="str">
        <f>HYPERLINK("https://www.boe.es/gazeta/dias/1821/06/05/pdfs/GMD-1821-158.pdf#page=4","Abrir facsímil")</f>
        <v>Abrir facsímil</v>
      </c>
      <c r="K5004" s="3" t="s">
        <v>23</v>
      </c>
    </row>
    <row r="5005" spans="1:11" ht="42" customHeight="1">
      <c r="A5005" s="2" t="s">
        <v>10104</v>
      </c>
      <c r="B5005" s="2" t="s">
        <v>10104</v>
      </c>
      <c r="C5005" s="2" t="s">
        <v>40</v>
      </c>
      <c r="D5005" s="2" t="s">
        <v>41</v>
      </c>
      <c r="E5005" s="5">
        <v>-28688</v>
      </c>
      <c r="F5005" s="3" t="s">
        <v>1504</v>
      </c>
      <c r="G5005" s="3" t="s">
        <v>43</v>
      </c>
      <c r="H5005" s="2" t="s">
        <v>21</v>
      </c>
      <c r="I5005" s="2" t="s">
        <v>10117</v>
      </c>
      <c r="J5005" s="3" t="str">
        <f>HYPERLINK("https://www.boe.es/gazeta/dias/1821/06/14/pdfs/GMD-1821-167.pdf#page=1","Abrir facsímil")</f>
        <v>Abrir facsímil</v>
      </c>
      <c r="K5005" s="3" t="s">
        <v>23</v>
      </c>
    </row>
    <row r="5006" spans="1:11" ht="42" customHeight="1">
      <c r="A5006" s="2" t="s">
        <v>10104</v>
      </c>
      <c r="B5006" s="2" t="s">
        <v>10104</v>
      </c>
      <c r="C5006" s="2" t="s">
        <v>40</v>
      </c>
      <c r="D5006" s="2" t="s">
        <v>41</v>
      </c>
      <c r="E5006" s="5">
        <v>-28676</v>
      </c>
      <c r="F5006" s="3" t="s">
        <v>534</v>
      </c>
      <c r="G5006" s="3" t="s">
        <v>29</v>
      </c>
      <c r="H5006" s="2" t="s">
        <v>21</v>
      </c>
      <c r="I5006" s="2" t="s">
        <v>10118</v>
      </c>
      <c r="J5006" s="3" t="str">
        <f>HYPERLINK("https://www.boe.es/gazeta/dias/1821/06/26/pdfs/GMD-1821-179.pdf#page=6","Abrir facsímil")</f>
        <v>Abrir facsímil</v>
      </c>
      <c r="K5006" s="3" t="s">
        <v>23</v>
      </c>
    </row>
    <row r="5007" spans="1:11" ht="42" customHeight="1">
      <c r="A5007" s="2" t="s">
        <v>10104</v>
      </c>
      <c r="B5007" s="2" t="s">
        <v>10104</v>
      </c>
      <c r="C5007" s="2" t="s">
        <v>174</v>
      </c>
      <c r="D5007" s="2" t="s">
        <v>27</v>
      </c>
      <c r="E5007" s="5">
        <v>-28674</v>
      </c>
      <c r="F5007" s="3" t="s">
        <v>536</v>
      </c>
      <c r="G5007" s="3" t="s">
        <v>43</v>
      </c>
      <c r="H5007" s="2" t="s">
        <v>21</v>
      </c>
      <c r="I5007" s="2" t="s">
        <v>10119</v>
      </c>
      <c r="J5007" s="3" t="str">
        <f>HYPERLINK("https://www.boe.es/gazeta/dias/1821/06/28/pdfs/GMD-1821-181.pdf#page=1","Abrir facsímil")</f>
        <v>Abrir facsímil</v>
      </c>
      <c r="K5007" s="3" t="s">
        <v>23</v>
      </c>
    </row>
    <row r="5008" spans="1:11" ht="42" customHeight="1">
      <c r="A5008" s="2" t="s">
        <v>10104</v>
      </c>
      <c r="B5008" s="2" t="s">
        <v>10104</v>
      </c>
      <c r="C5008" s="2" t="s">
        <v>40</v>
      </c>
      <c r="D5008" s="2" t="s">
        <v>41</v>
      </c>
      <c r="E5008" s="5">
        <v>-28668</v>
      </c>
      <c r="F5008" s="3" t="s">
        <v>2130</v>
      </c>
      <c r="G5008" s="3" t="s">
        <v>20</v>
      </c>
      <c r="H5008" s="2" t="s">
        <v>21</v>
      </c>
      <c r="I5008" s="2" t="s">
        <v>10120</v>
      </c>
      <c r="J5008" s="3" t="str">
        <f>HYPERLINK("https://www.boe.es/gazeta/dias/1821/07/04/pdfs/GMD-1821-188.pdf#page=3","Abrir facsímil")</f>
        <v>Abrir facsímil</v>
      </c>
      <c r="K5008" s="3" t="s">
        <v>23</v>
      </c>
    </row>
    <row r="5009" spans="1:11" ht="42" customHeight="1">
      <c r="A5009" s="2" t="s">
        <v>10104</v>
      </c>
      <c r="B5009" s="2" t="s">
        <v>10104</v>
      </c>
      <c r="C5009" s="2" t="s">
        <v>70</v>
      </c>
      <c r="D5009" s="2" t="s">
        <v>27</v>
      </c>
      <c r="E5009" s="5">
        <v>-28666</v>
      </c>
      <c r="F5009" s="3" t="s">
        <v>1263</v>
      </c>
      <c r="G5009" s="3" t="s">
        <v>20</v>
      </c>
      <c r="H5009" s="2" t="s">
        <v>21</v>
      </c>
      <c r="I5009" s="2" t="s">
        <v>10121</v>
      </c>
      <c r="J5009" s="3" t="str">
        <f>HYPERLINK("https://www.boe.es/gazeta/dias/1821/07/06/pdfs/GMD-1821-190.pdf#page=3","Abrir facsímil")</f>
        <v>Abrir facsímil</v>
      </c>
      <c r="K5009" s="3" t="s">
        <v>23</v>
      </c>
    </row>
    <row r="5010" spans="1:11" ht="42" customHeight="1">
      <c r="A5010" s="2" t="s">
        <v>10104</v>
      </c>
      <c r="B5010" s="2" t="s">
        <v>10104</v>
      </c>
      <c r="C5010" s="2" t="s">
        <v>40</v>
      </c>
      <c r="D5010" s="2" t="s">
        <v>41</v>
      </c>
      <c r="E5010" s="5">
        <v>-28664</v>
      </c>
      <c r="F5010" s="3" t="s">
        <v>1365</v>
      </c>
      <c r="G5010" s="3" t="s">
        <v>43</v>
      </c>
      <c r="H5010" s="2" t="s">
        <v>21</v>
      </c>
      <c r="I5010" s="2" t="s">
        <v>10122</v>
      </c>
      <c r="J5010" s="3" t="str">
        <f>HYPERLINK("https://www.boe.es/gazeta/dias/1821/07/08/pdfs/GMD-1821-193.pdf#page=1","Abrir facsímil")</f>
        <v>Abrir facsímil</v>
      </c>
      <c r="K5010" s="3" t="s">
        <v>23</v>
      </c>
    </row>
    <row r="5011" spans="1:11" ht="42" customHeight="1">
      <c r="A5011" s="2" t="s">
        <v>10104</v>
      </c>
      <c r="B5011" s="2" t="s">
        <v>10104</v>
      </c>
      <c r="C5011" s="2" t="s">
        <v>40</v>
      </c>
      <c r="D5011" s="2" t="s">
        <v>41</v>
      </c>
      <c r="E5011" s="5">
        <v>-28650</v>
      </c>
      <c r="F5011" s="3" t="s">
        <v>3285</v>
      </c>
      <c r="G5011" s="3" t="s">
        <v>52</v>
      </c>
      <c r="H5011" s="2" t="s">
        <v>21</v>
      </c>
      <c r="I5011" s="2" t="s">
        <v>10123</v>
      </c>
      <c r="J5011" s="3" t="str">
        <f>HYPERLINK("https://www.boe.es/gazeta/dias/1821/07/22/pdfs/GMD-1821-207.pdf#page=2","Abrir facsímil")</f>
        <v>Abrir facsímil</v>
      </c>
      <c r="K5011" s="3" t="s">
        <v>23</v>
      </c>
    </row>
    <row r="5012" spans="1:11" ht="42" customHeight="1">
      <c r="A5012" s="2" t="s">
        <v>10104</v>
      </c>
      <c r="B5012" s="2" t="s">
        <v>10104</v>
      </c>
      <c r="C5012" s="2" t="s">
        <v>40</v>
      </c>
      <c r="D5012" s="2" t="s">
        <v>41</v>
      </c>
      <c r="E5012" s="5">
        <v>-28648</v>
      </c>
      <c r="F5012" s="3" t="s">
        <v>1520</v>
      </c>
      <c r="G5012" s="3" t="s">
        <v>20</v>
      </c>
      <c r="H5012" s="2" t="s">
        <v>21</v>
      </c>
      <c r="I5012" s="2" t="s">
        <v>10124</v>
      </c>
      <c r="J5012" s="3" t="str">
        <f>HYPERLINK("https://www.boe.es/gazeta/dias/1821/07/24/pdfs/GMD-1821-209.pdf#page=3","Abrir facsímil")</f>
        <v>Abrir facsímil</v>
      </c>
      <c r="K5012" s="3" t="s">
        <v>23</v>
      </c>
    </row>
    <row r="5013" spans="1:11" ht="42" customHeight="1">
      <c r="A5013" s="2" t="s">
        <v>10104</v>
      </c>
      <c r="B5013" s="2" t="s">
        <v>10104</v>
      </c>
      <c r="C5013" s="2" t="s">
        <v>174</v>
      </c>
      <c r="D5013" s="2" t="s">
        <v>27</v>
      </c>
      <c r="E5013" s="5">
        <v>-28630</v>
      </c>
      <c r="F5013" s="3" t="s">
        <v>616</v>
      </c>
      <c r="G5013" s="3" t="s">
        <v>43</v>
      </c>
      <c r="H5013" s="2" t="s">
        <v>21</v>
      </c>
      <c r="I5013" s="2" t="s">
        <v>10125</v>
      </c>
      <c r="J5013" s="3" t="str">
        <f>HYPERLINK("https://www.boe.es/gazeta/dias/1821/08/11/pdfs/GMD-1821-228.pdf#page=1","Abrir facsímil")</f>
        <v>Abrir facsímil</v>
      </c>
      <c r="K5013" s="3" t="s">
        <v>23</v>
      </c>
    </row>
    <row r="5014" spans="1:11" ht="42" customHeight="1">
      <c r="A5014" s="2" t="s">
        <v>10104</v>
      </c>
      <c r="B5014" s="2" t="s">
        <v>10104</v>
      </c>
      <c r="C5014" s="2" t="s">
        <v>26</v>
      </c>
      <c r="D5014" s="2" t="s">
        <v>27</v>
      </c>
      <c r="E5014" s="5">
        <v>-28628</v>
      </c>
      <c r="F5014" s="3" t="s">
        <v>4257</v>
      </c>
      <c r="G5014" s="3" t="s">
        <v>43</v>
      </c>
      <c r="H5014" s="2" t="s">
        <v>21</v>
      </c>
      <c r="I5014" s="2" t="s">
        <v>10126</v>
      </c>
      <c r="J5014" s="3" t="str">
        <f>HYPERLINK("https://www.boe.es/gazeta/dias/1821/08/13/pdfs/GMD-1821-230.pdf#page=1","Abrir facsímil")</f>
        <v>Abrir facsímil</v>
      </c>
      <c r="K5014" s="3" t="s">
        <v>23</v>
      </c>
    </row>
    <row r="5015" spans="1:11" ht="42" customHeight="1">
      <c r="A5015" s="2" t="s">
        <v>10104</v>
      </c>
      <c r="B5015" s="2" t="s">
        <v>10104</v>
      </c>
      <c r="C5015" s="2" t="s">
        <v>35</v>
      </c>
      <c r="D5015" s="2" t="s">
        <v>27</v>
      </c>
      <c r="E5015" s="5">
        <v>-28624</v>
      </c>
      <c r="F5015" s="3" t="s">
        <v>78</v>
      </c>
      <c r="G5015" s="3" t="s">
        <v>20</v>
      </c>
      <c r="H5015" s="2" t="s">
        <v>21</v>
      </c>
      <c r="I5015" s="2" t="s">
        <v>10127</v>
      </c>
      <c r="J5015" s="3" t="str">
        <f>HYPERLINK("https://www.boe.es/gazeta/dias/1821/08/17/pdfs/GMD-1821-234.pdf#page=3","Abrir facsímil")</f>
        <v>Abrir facsímil</v>
      </c>
      <c r="K5015" s="3" t="s">
        <v>23</v>
      </c>
    </row>
    <row r="5016" spans="1:11" ht="42" customHeight="1">
      <c r="A5016" s="2" t="s">
        <v>10104</v>
      </c>
      <c r="B5016" s="2" t="s">
        <v>10104</v>
      </c>
      <c r="C5016" s="2" t="s">
        <v>40</v>
      </c>
      <c r="D5016" s="2" t="s">
        <v>41</v>
      </c>
      <c r="E5016" s="5">
        <v>-28610</v>
      </c>
      <c r="F5016" s="3" t="s">
        <v>190</v>
      </c>
      <c r="G5016" s="3" t="s">
        <v>43</v>
      </c>
      <c r="H5016" s="2" t="s">
        <v>21</v>
      </c>
      <c r="I5016" s="2" t="s">
        <v>10128</v>
      </c>
      <c r="J5016" s="3" t="str">
        <f>HYPERLINK("https://www.boe.es/gazeta/dias/1821/08/31/pdfs/GMD-1821-248.pdf#page=1","Abrir facsímil")</f>
        <v>Abrir facsímil</v>
      </c>
      <c r="K5016" s="3" t="s">
        <v>23</v>
      </c>
    </row>
    <row r="5017" spans="1:11" ht="42" customHeight="1">
      <c r="A5017" s="2" t="s">
        <v>10104</v>
      </c>
      <c r="B5017" s="2" t="s">
        <v>10104</v>
      </c>
      <c r="C5017" s="2" t="s">
        <v>26</v>
      </c>
      <c r="D5017" s="2" t="s">
        <v>27</v>
      </c>
      <c r="E5017" s="5">
        <v>-28557</v>
      </c>
      <c r="F5017" s="3" t="s">
        <v>316</v>
      </c>
      <c r="G5017" s="3" t="s">
        <v>88</v>
      </c>
      <c r="H5017" s="2" t="s">
        <v>21</v>
      </c>
      <c r="I5017" s="2" t="s">
        <v>10129</v>
      </c>
      <c r="J5017" s="3" t="str">
        <f>HYPERLINK("https://www.boe.es/gazeta/dias/1821/10/23/pdfs/GMD-1821-302.pdf#page=4","Abrir facsímil")</f>
        <v>Abrir facsímil</v>
      </c>
      <c r="K5017" s="3" t="s">
        <v>23</v>
      </c>
    </row>
    <row r="5018" spans="1:11" ht="42" customHeight="1">
      <c r="A5018" s="2" t="s">
        <v>10104</v>
      </c>
      <c r="B5018" s="2" t="s">
        <v>10104</v>
      </c>
      <c r="C5018" s="2" t="s">
        <v>26</v>
      </c>
      <c r="D5018" s="2" t="s">
        <v>27</v>
      </c>
      <c r="E5018" s="5">
        <v>-28552</v>
      </c>
      <c r="F5018" s="3" t="s">
        <v>28</v>
      </c>
      <c r="G5018" s="3" t="s">
        <v>52</v>
      </c>
      <c r="H5018" s="2" t="s">
        <v>21</v>
      </c>
      <c r="I5018" s="2" t="s">
        <v>10130</v>
      </c>
      <c r="J5018" s="3" t="str">
        <f>HYPERLINK("https://www.boe.es/gazeta/dias/1821/10/28/pdfs/GMD-1821-307.pdf#page=2","Abrir facsímil")</f>
        <v>Abrir facsímil</v>
      </c>
      <c r="K5018" s="3" t="s">
        <v>23</v>
      </c>
    </row>
    <row r="5019" spans="1:11" ht="42" customHeight="1">
      <c r="A5019" s="2" t="s">
        <v>10104</v>
      </c>
      <c r="B5019" s="2" t="s">
        <v>10104</v>
      </c>
      <c r="C5019" s="2" t="s">
        <v>40</v>
      </c>
      <c r="D5019" s="2" t="s">
        <v>41</v>
      </c>
      <c r="E5019" s="5">
        <v>-28543</v>
      </c>
      <c r="F5019" s="3" t="s">
        <v>136</v>
      </c>
      <c r="G5019" s="3" t="s">
        <v>20</v>
      </c>
      <c r="H5019" s="2" t="s">
        <v>21</v>
      </c>
      <c r="I5019" s="2" t="s">
        <v>10131</v>
      </c>
      <c r="J5019" s="3" t="str">
        <f>HYPERLINK("https://www.boe.es/gazeta/dias/1821/11/06/pdfs/GMD-1821-317.pdf#page=3","Abrir facsímil")</f>
        <v>Abrir facsímil</v>
      </c>
      <c r="K5019" s="3" t="s">
        <v>23</v>
      </c>
    </row>
    <row r="5020" spans="1:11" ht="42" customHeight="1">
      <c r="A5020" s="2" t="s">
        <v>10104</v>
      </c>
      <c r="B5020" s="2" t="s">
        <v>10104</v>
      </c>
      <c r="C5020" s="2" t="s">
        <v>35</v>
      </c>
      <c r="D5020" s="2" t="s">
        <v>27</v>
      </c>
      <c r="E5020" s="5">
        <v>-28538</v>
      </c>
      <c r="F5020" s="3" t="s">
        <v>395</v>
      </c>
      <c r="G5020" s="3" t="s">
        <v>43</v>
      </c>
      <c r="H5020" s="2" t="s">
        <v>21</v>
      </c>
      <c r="I5020" s="2" t="s">
        <v>10132</v>
      </c>
      <c r="J5020" s="3" t="str">
        <f>HYPERLINK("https://www.boe.es/gazeta/dias/1821/11/11/pdfs/GMD-1821-322.pdf#page=1","Abrir facsímil")</f>
        <v>Abrir facsímil</v>
      </c>
      <c r="K5020" s="3" t="s">
        <v>23</v>
      </c>
    </row>
    <row r="5021" spans="1:11" ht="42" customHeight="1">
      <c r="A5021" s="2" t="s">
        <v>10104</v>
      </c>
      <c r="B5021" s="2" t="s">
        <v>10104</v>
      </c>
      <c r="C5021" s="2" t="s">
        <v>26</v>
      </c>
      <c r="D5021" s="2" t="s">
        <v>27</v>
      </c>
      <c r="E5021" s="5">
        <v>-28504</v>
      </c>
      <c r="F5021" s="3" t="s">
        <v>1098</v>
      </c>
      <c r="G5021" s="3" t="s">
        <v>43</v>
      </c>
      <c r="H5021" s="2" t="s">
        <v>21</v>
      </c>
      <c r="I5021" s="2" t="s">
        <v>10133</v>
      </c>
      <c r="J5021" s="3" t="str">
        <f>HYPERLINK("https://www.boe.es/gazeta/dias/1821/12/15/pdfs/GMD-1821-358.pdf#page=1","Abrir facsímil")</f>
        <v>Abrir facsímil</v>
      </c>
      <c r="K5021" s="3" t="s">
        <v>23</v>
      </c>
    </row>
    <row r="5022" spans="1:11" ht="42" customHeight="1">
      <c r="A5022" s="2" t="s">
        <v>10134</v>
      </c>
      <c r="B5022" s="2" t="s">
        <v>10135</v>
      </c>
      <c r="C5022" s="2" t="s">
        <v>40</v>
      </c>
      <c r="D5022" s="2" t="s">
        <v>41</v>
      </c>
      <c r="E5022" s="5">
        <v>-28580</v>
      </c>
      <c r="F5022" s="3" t="s">
        <v>175</v>
      </c>
      <c r="G5022" s="3" t="s">
        <v>43</v>
      </c>
      <c r="H5022" s="2" t="s">
        <v>21</v>
      </c>
      <c r="I5022" s="2" t="s">
        <v>10136</v>
      </c>
      <c r="J5022" s="3" t="str">
        <f>HYPERLINK("https://www.boe.es/gazeta/dias/1821/09/30/pdfs/GMD-1821-279.pdf#page=1","Abrir facsímil")</f>
        <v>Abrir facsímil</v>
      </c>
      <c r="K5022" s="3" t="s">
        <v>23</v>
      </c>
    </row>
    <row r="5023" spans="1:11" ht="42" customHeight="1">
      <c r="A5023" s="2" t="s">
        <v>10137</v>
      </c>
      <c r="B5023" s="2" t="s">
        <v>10138</v>
      </c>
      <c r="C5023" s="2" t="s">
        <v>26</v>
      </c>
      <c r="D5023" s="2" t="s">
        <v>27</v>
      </c>
      <c r="E5023" s="5">
        <v>-28642</v>
      </c>
      <c r="F5023" s="3" t="s">
        <v>734</v>
      </c>
      <c r="G5023" s="3" t="s">
        <v>43</v>
      </c>
      <c r="H5023" s="2" t="s">
        <v>21</v>
      </c>
      <c r="I5023" s="2" t="s">
        <v>10139</v>
      </c>
      <c r="J5023" s="3" t="str">
        <f>HYPERLINK("https://www.boe.es/gazeta/dias/1821/07/30/pdfs/GMD-1821-215.pdf#page=1","Abrir facsímil")</f>
        <v>Abrir facsímil</v>
      </c>
      <c r="K5023" s="3" t="s">
        <v>23</v>
      </c>
    </row>
    <row r="5024" spans="1:11" ht="42" customHeight="1">
      <c r="A5024" s="2" t="s">
        <v>10137</v>
      </c>
      <c r="B5024" s="2" t="s">
        <v>10138</v>
      </c>
      <c r="C5024" s="2" t="s">
        <v>40</v>
      </c>
      <c r="D5024" s="2" t="s">
        <v>41</v>
      </c>
      <c r="E5024" s="5">
        <v>-28640</v>
      </c>
      <c r="F5024" s="3" t="s">
        <v>1590</v>
      </c>
      <c r="G5024" s="3" t="s">
        <v>52</v>
      </c>
      <c r="H5024" s="2" t="s">
        <v>21</v>
      </c>
      <c r="I5024" s="2" t="s">
        <v>10140</v>
      </c>
      <c r="J5024" s="3" t="str">
        <f>HYPERLINK("https://www.boe.es/gazeta/dias/1821/08/01/pdfs/GMD-1821-217.pdf#page=2","Abrir facsímil")</f>
        <v>Abrir facsímil</v>
      </c>
      <c r="K5024" s="3" t="s">
        <v>23</v>
      </c>
    </row>
    <row r="5025" spans="1:11" ht="42" customHeight="1">
      <c r="A5025" s="2" t="s">
        <v>10141</v>
      </c>
      <c r="B5025" s="2" t="s">
        <v>10141</v>
      </c>
      <c r="C5025" s="2" t="s">
        <v>40</v>
      </c>
      <c r="D5025" s="2" t="s">
        <v>41</v>
      </c>
      <c r="E5025" s="5">
        <v>-28508</v>
      </c>
      <c r="F5025" s="3" t="s">
        <v>42</v>
      </c>
      <c r="G5025" s="3" t="s">
        <v>43</v>
      </c>
      <c r="H5025" s="2" t="s">
        <v>21</v>
      </c>
      <c r="I5025" s="2" t="s">
        <v>10142</v>
      </c>
      <c r="J5025" s="3" t="str">
        <f>HYPERLINK("https://www.boe.es/gazeta/dias/1821/12/11/pdfs/GMD-1821-353.pdf#page=1","Abrir facsímil")</f>
        <v>Abrir facsímil</v>
      </c>
      <c r="K5025" s="3" t="s">
        <v>23</v>
      </c>
    </row>
    <row r="5026" spans="1:11" ht="42" customHeight="1">
      <c r="A5026" s="2" t="s">
        <v>10143</v>
      </c>
      <c r="B5026" s="2" t="s">
        <v>10143</v>
      </c>
      <c r="C5026" s="2" t="s">
        <v>40</v>
      </c>
      <c r="D5026" s="2" t="s">
        <v>41</v>
      </c>
      <c r="E5026" s="5">
        <v>-28737</v>
      </c>
      <c r="F5026" s="3" t="s">
        <v>732</v>
      </c>
      <c r="G5026" s="3" t="s">
        <v>88</v>
      </c>
      <c r="H5026" s="2" t="s">
        <v>21</v>
      </c>
      <c r="I5026" s="2" t="s">
        <v>10144</v>
      </c>
      <c r="J5026" s="3" t="str">
        <f>HYPERLINK("https://www.boe.es/gazeta/dias/1821/04/26/pdfs/GMD-1821-118.pdf#page=4","Abrir facsímil")</f>
        <v>Abrir facsímil</v>
      </c>
      <c r="K5026" s="3" t="s">
        <v>23</v>
      </c>
    </row>
    <row r="5027" spans="1:11" ht="42" customHeight="1">
      <c r="A5027" s="2" t="s">
        <v>10143</v>
      </c>
      <c r="B5027" s="2" t="s">
        <v>10143</v>
      </c>
      <c r="C5027" s="2" t="s">
        <v>26</v>
      </c>
      <c r="D5027" s="2" t="s">
        <v>27</v>
      </c>
      <c r="E5027" s="5">
        <v>-28643</v>
      </c>
      <c r="F5027" s="3" t="s">
        <v>1569</v>
      </c>
      <c r="G5027" s="3" t="s">
        <v>43</v>
      </c>
      <c r="H5027" s="2" t="s">
        <v>21</v>
      </c>
      <c r="I5027" s="2" t="s">
        <v>10145</v>
      </c>
      <c r="J5027" s="3" t="str">
        <f>HYPERLINK("https://www.boe.es/gazeta/dias/1821/07/29/pdfs/GMD-1821-214.pdf#page=1","Abrir facsímil")</f>
        <v>Abrir facsímil</v>
      </c>
      <c r="K5027" s="3" t="s">
        <v>23</v>
      </c>
    </row>
    <row r="5028" spans="1:11" ht="42" customHeight="1">
      <c r="A5028" s="2" t="s">
        <v>10146</v>
      </c>
      <c r="B5028" s="2" t="s">
        <v>10146</v>
      </c>
      <c r="C5028" s="2" t="s">
        <v>26</v>
      </c>
      <c r="D5028" s="2" t="s">
        <v>27</v>
      </c>
      <c r="E5028" s="5">
        <v>-28741</v>
      </c>
      <c r="F5028" s="3" t="s">
        <v>1841</v>
      </c>
      <c r="G5028" s="3" t="s">
        <v>20</v>
      </c>
      <c r="H5028" s="2" t="s">
        <v>21</v>
      </c>
      <c r="I5028" s="2" t="s">
        <v>10147</v>
      </c>
      <c r="J5028" s="3" t="str">
        <f>HYPERLINK("https://www.boe.es/gazeta/dias/1821/04/22/pdfs/GMD-1821-114.pdf#page=3","Abrir facsímil")</f>
        <v>Abrir facsímil</v>
      </c>
      <c r="K5028" s="3" t="s">
        <v>23</v>
      </c>
    </row>
    <row r="5029" spans="1:11" ht="42" customHeight="1">
      <c r="A5029" s="2" t="s">
        <v>10148</v>
      </c>
      <c r="B5029" s="2" t="s">
        <v>10148</v>
      </c>
      <c r="C5029" s="2" t="s">
        <v>40</v>
      </c>
      <c r="D5029" s="2" t="s">
        <v>41</v>
      </c>
      <c r="E5029" s="5">
        <v>-28662</v>
      </c>
      <c r="F5029" s="3" t="s">
        <v>3289</v>
      </c>
      <c r="G5029" s="3" t="s">
        <v>20</v>
      </c>
      <c r="H5029" s="2" t="s">
        <v>21</v>
      </c>
      <c r="I5029" s="2" t="s">
        <v>10149</v>
      </c>
      <c r="J5029" s="3" t="str">
        <f>HYPERLINK("https://www.boe.es/gazeta/dias/1821/07/10/pdfs/GMD-1821-195.pdf#page=3","Abrir facsímil")</f>
        <v>Abrir facsímil</v>
      </c>
      <c r="K5029" s="3" t="s">
        <v>23</v>
      </c>
    </row>
    <row r="5030" spans="1:11" ht="42" customHeight="1">
      <c r="A5030" s="2" t="s">
        <v>10150</v>
      </c>
      <c r="B5030" s="2" t="s">
        <v>10151</v>
      </c>
      <c r="C5030" s="2" t="s">
        <v>40</v>
      </c>
      <c r="D5030" s="2" t="s">
        <v>41</v>
      </c>
      <c r="E5030" s="5">
        <v>-28786</v>
      </c>
      <c r="F5030" s="3" t="s">
        <v>1933</v>
      </c>
      <c r="G5030" s="3" t="s">
        <v>20</v>
      </c>
      <c r="H5030" s="2" t="s">
        <v>21</v>
      </c>
      <c r="I5030" s="2" t="s">
        <v>10152</v>
      </c>
      <c r="J5030" s="3" t="str">
        <f>HYPERLINK("https://www.boe.es/gazeta/dias/1821/03/08/pdfs/GGB-1821-67.pdf#page=3","Abrir facsímil")</f>
        <v>Abrir facsímil</v>
      </c>
      <c r="K5030" s="3" t="s">
        <v>23</v>
      </c>
    </row>
    <row r="5031" spans="1:11" ht="42" customHeight="1">
      <c r="A5031" s="2" t="s">
        <v>10153</v>
      </c>
      <c r="B5031" s="2" t="s">
        <v>10154</v>
      </c>
      <c r="C5031" s="2" t="s">
        <v>40</v>
      </c>
      <c r="D5031" s="2" t="s">
        <v>41</v>
      </c>
      <c r="E5031" s="5">
        <v>-28626</v>
      </c>
      <c r="F5031" s="3" t="s">
        <v>468</v>
      </c>
      <c r="G5031" s="3" t="s">
        <v>88</v>
      </c>
      <c r="H5031" s="2" t="s">
        <v>21</v>
      </c>
      <c r="I5031" s="2" t="s">
        <v>10155</v>
      </c>
      <c r="J5031" s="3" t="str">
        <f>HYPERLINK("https://www.boe.es/gazeta/dias/1821/08/15/pdfs/GMD-1821-232.pdf#page=4","Abrir facsímil")</f>
        <v>Abrir facsímil</v>
      </c>
      <c r="K5031" s="3" t="s">
        <v>23</v>
      </c>
    </row>
    <row r="5032" spans="1:11" ht="42" customHeight="1">
      <c r="A5032" s="2" t="s">
        <v>10156</v>
      </c>
      <c r="B5032" s="2" t="s">
        <v>10157</v>
      </c>
      <c r="C5032" s="2" t="s">
        <v>17</v>
      </c>
      <c r="D5032" s="2" t="s">
        <v>18</v>
      </c>
      <c r="E5032" s="5">
        <v>-28809</v>
      </c>
      <c r="F5032" s="3" t="s">
        <v>1173</v>
      </c>
      <c r="G5032" s="3" t="s">
        <v>88</v>
      </c>
      <c r="H5032" s="2" t="s">
        <v>21</v>
      </c>
      <c r="I5032" s="2" t="s">
        <v>10158</v>
      </c>
      <c r="J5032" s="3" t="str">
        <f>HYPERLINK("https://www.boe.es/gazeta/dias/1821/02/13/pdfs/GGB-1821-44.pdf#page=4","Abrir facsímil")</f>
        <v>Abrir facsímil</v>
      </c>
      <c r="K5032" s="3" t="s">
        <v>23</v>
      </c>
    </row>
    <row r="5033" spans="1:11" ht="42" customHeight="1">
      <c r="A5033" s="2" t="s">
        <v>10159</v>
      </c>
      <c r="B5033" s="2" t="s">
        <v>10159</v>
      </c>
      <c r="C5033" s="2" t="s">
        <v>40</v>
      </c>
      <c r="D5033" s="2" t="s">
        <v>41</v>
      </c>
      <c r="E5033" s="5">
        <v>-28499</v>
      </c>
      <c r="F5033" s="3" t="s">
        <v>954</v>
      </c>
      <c r="G5033" s="3" t="s">
        <v>88</v>
      </c>
      <c r="H5033" s="2" t="s">
        <v>21</v>
      </c>
      <c r="I5033" s="2" t="s">
        <v>10160</v>
      </c>
      <c r="J5033" s="3" t="str">
        <f>HYPERLINK("https://www.boe.es/gazeta/dias/1821/12/20/pdfs/GMD-1821-363.pdf#page=4","Abrir facsímil")</f>
        <v>Abrir facsímil</v>
      </c>
      <c r="K5033" s="3" t="s">
        <v>23</v>
      </c>
    </row>
    <row r="5034" spans="1:11" ht="42" customHeight="1">
      <c r="A5034" s="2" t="s">
        <v>10161</v>
      </c>
      <c r="B5034" s="2" t="s">
        <v>10161</v>
      </c>
      <c r="C5034" s="2" t="s">
        <v>35</v>
      </c>
      <c r="D5034" s="2" t="s">
        <v>27</v>
      </c>
      <c r="E5034" s="5">
        <v>-28532</v>
      </c>
      <c r="F5034" s="3" t="s">
        <v>1415</v>
      </c>
      <c r="G5034" s="3" t="s">
        <v>43</v>
      </c>
      <c r="H5034" s="2" t="s">
        <v>21</v>
      </c>
      <c r="I5034" s="2" t="s">
        <v>10162</v>
      </c>
      <c r="J5034" s="3" t="str">
        <f>HYPERLINK("https://www.boe.es/gazeta/dias/1821/11/17/pdfs/GMD-1821-328.pdf#page=1","Abrir facsímil")</f>
        <v>Abrir facsímil</v>
      </c>
      <c r="K5034" s="3" t="s">
        <v>23</v>
      </c>
    </row>
    <row r="5035" spans="1:11" ht="42" customHeight="1">
      <c r="A5035" s="2" t="s">
        <v>10163</v>
      </c>
      <c r="B5035" s="2" t="s">
        <v>10163</v>
      </c>
      <c r="C5035" s="2" t="s">
        <v>26</v>
      </c>
      <c r="D5035" s="2" t="s">
        <v>27</v>
      </c>
      <c r="E5035" s="5">
        <v>-28724</v>
      </c>
      <c r="F5035" s="3" t="s">
        <v>1305</v>
      </c>
      <c r="G5035" s="3" t="s">
        <v>43</v>
      </c>
      <c r="H5035" s="2" t="s">
        <v>21</v>
      </c>
      <c r="I5035" s="2" t="s">
        <v>10164</v>
      </c>
      <c r="J5035" s="3" t="str">
        <f>HYPERLINK("https://www.boe.es/gazeta/dias/1821/05/09/pdfs/GMD-1821-131.pdf#page=1","Abrir facsímil")</f>
        <v>Abrir facsímil</v>
      </c>
      <c r="K5035" s="3" t="s">
        <v>23</v>
      </c>
    </row>
    <row r="5036" spans="1:11" ht="42" customHeight="1">
      <c r="A5036" s="2" t="s">
        <v>10165</v>
      </c>
      <c r="B5036" s="2" t="s">
        <v>10165</v>
      </c>
      <c r="C5036" s="2" t="s">
        <v>40</v>
      </c>
      <c r="D5036" s="2" t="s">
        <v>41</v>
      </c>
      <c r="E5036" s="5">
        <v>-28730</v>
      </c>
      <c r="F5036" s="3" t="s">
        <v>747</v>
      </c>
      <c r="G5036" s="3" t="s">
        <v>43</v>
      </c>
      <c r="H5036" s="2" t="s">
        <v>21</v>
      </c>
      <c r="I5036" s="2" t="s">
        <v>10166</v>
      </c>
      <c r="J5036" s="3" t="str">
        <f>HYPERLINK("https://www.boe.es/gazeta/dias/1821/05/03/pdfs/GMD-1821-125.pdf#page=1","Abrir facsímil")</f>
        <v>Abrir facsímil</v>
      </c>
      <c r="K5036" s="3" t="s">
        <v>23</v>
      </c>
    </row>
    <row r="5037" spans="1:11" ht="42" customHeight="1">
      <c r="A5037" s="2" t="s">
        <v>10167</v>
      </c>
      <c r="B5037" s="2" t="s">
        <v>10167</v>
      </c>
      <c r="C5037" s="2" t="s">
        <v>40</v>
      </c>
      <c r="D5037" s="2" t="s">
        <v>41</v>
      </c>
      <c r="E5037" s="5">
        <v>-28746</v>
      </c>
      <c r="F5037" s="3" t="s">
        <v>687</v>
      </c>
      <c r="G5037" s="3" t="s">
        <v>20</v>
      </c>
      <c r="H5037" s="2" t="s">
        <v>21</v>
      </c>
      <c r="I5037" s="2" t="s">
        <v>10168</v>
      </c>
      <c r="J5037" s="3" t="str">
        <f>HYPERLINK("https://www.boe.es/gazeta/dias/1821/04/17/pdfs/GMD-1821-109.pdf#page=3","Abrir facsímil")</f>
        <v>Abrir facsímil</v>
      </c>
      <c r="K5037" s="3" t="s">
        <v>23</v>
      </c>
    </row>
    <row r="5038" spans="1:11" ht="42" customHeight="1">
      <c r="A5038" s="2" t="s">
        <v>10169</v>
      </c>
      <c r="B5038" s="2" t="s">
        <v>10169</v>
      </c>
      <c r="C5038" s="2" t="s">
        <v>114</v>
      </c>
      <c r="D5038" s="2" t="s">
        <v>27</v>
      </c>
      <c r="E5038" s="5">
        <v>-28836</v>
      </c>
      <c r="F5038" s="3" t="s">
        <v>601</v>
      </c>
      <c r="G5038" s="3" t="s">
        <v>20</v>
      </c>
      <c r="H5038" s="2" t="s">
        <v>21</v>
      </c>
      <c r="I5038" s="2" t="s">
        <v>10170</v>
      </c>
      <c r="J5038" s="3" t="str">
        <f>HYPERLINK("https://www.boe.es/gazeta/dias/1821/01/17/pdfs/GGB-1821-17.pdf#page=3","Abrir facsímil")</f>
        <v>Abrir facsímil</v>
      </c>
      <c r="K5038" s="3" t="s">
        <v>23</v>
      </c>
    </row>
    <row r="5039" spans="1:11" ht="42" customHeight="1">
      <c r="A5039" s="2" t="s">
        <v>10171</v>
      </c>
      <c r="B5039" s="2" t="s">
        <v>10172</v>
      </c>
      <c r="C5039" s="2" t="s">
        <v>174</v>
      </c>
      <c r="D5039" s="2" t="s">
        <v>27</v>
      </c>
      <c r="E5039" s="5">
        <v>-28637</v>
      </c>
      <c r="F5039" s="3" t="s">
        <v>3049</v>
      </c>
      <c r="G5039" s="3" t="s">
        <v>52</v>
      </c>
      <c r="H5039" s="2" t="s">
        <v>21</v>
      </c>
      <c r="I5039" s="2" t="s">
        <v>10173</v>
      </c>
      <c r="J5039" s="3" t="str">
        <f>HYPERLINK("https://www.boe.es/gazeta/dias/1821/08/04/pdfs/GMD-1821-220.pdf#page=2","Abrir facsímil")</f>
        <v>Abrir facsímil</v>
      </c>
      <c r="K5039" s="3" t="s">
        <v>23</v>
      </c>
    </row>
    <row r="5040" spans="1:11" ht="42" customHeight="1">
      <c r="A5040" s="2" t="s">
        <v>10174</v>
      </c>
      <c r="B5040" s="2" t="s">
        <v>10175</v>
      </c>
      <c r="C5040" s="2" t="s">
        <v>40</v>
      </c>
      <c r="D5040" s="2" t="s">
        <v>41</v>
      </c>
      <c r="E5040" s="5">
        <v>-28564</v>
      </c>
      <c r="F5040" s="3" t="s">
        <v>861</v>
      </c>
      <c r="G5040" s="3" t="s">
        <v>43</v>
      </c>
      <c r="H5040" s="2" t="s">
        <v>21</v>
      </c>
      <c r="I5040" s="2" t="s">
        <v>10176</v>
      </c>
      <c r="J5040" s="3" t="str">
        <f>HYPERLINK("https://www.boe.es/gazeta/dias/1821/10/16/pdfs/GMD-1821-295.pdf#page=1","Abrir facsímil")</f>
        <v>Abrir facsímil</v>
      </c>
      <c r="K5040" s="3" t="s">
        <v>23</v>
      </c>
    </row>
    <row r="5041" spans="1:11" ht="42" customHeight="1">
      <c r="A5041" s="2" t="s">
        <v>10174</v>
      </c>
      <c r="B5041" s="2" t="s">
        <v>10175</v>
      </c>
      <c r="C5041" s="2" t="s">
        <v>26</v>
      </c>
      <c r="D5041" s="2" t="s">
        <v>27</v>
      </c>
      <c r="E5041" s="5">
        <v>-28543</v>
      </c>
      <c r="F5041" s="3" t="s">
        <v>136</v>
      </c>
      <c r="G5041" s="3" t="s">
        <v>52</v>
      </c>
      <c r="H5041" s="2" t="s">
        <v>21</v>
      </c>
      <c r="I5041" s="2" t="s">
        <v>10177</v>
      </c>
      <c r="J5041" s="3" t="str">
        <f>HYPERLINK("https://www.boe.es/gazeta/dias/1821/11/06/pdfs/GMD-1821-317.pdf#page=2","Abrir facsímil")</f>
        <v>Abrir facsímil</v>
      </c>
      <c r="K5041" s="3" t="s">
        <v>23</v>
      </c>
    </row>
    <row r="5042" spans="1:11" ht="42" customHeight="1">
      <c r="A5042" s="2" t="s">
        <v>10178</v>
      </c>
      <c r="B5042" s="2" t="s">
        <v>10178</v>
      </c>
      <c r="C5042" s="2" t="s">
        <v>40</v>
      </c>
      <c r="D5042" s="2" t="s">
        <v>41</v>
      </c>
      <c r="E5042" s="5">
        <v>-28791</v>
      </c>
      <c r="F5042" s="3" t="s">
        <v>47</v>
      </c>
      <c r="G5042" s="3" t="s">
        <v>88</v>
      </c>
      <c r="H5042" s="2" t="s">
        <v>21</v>
      </c>
      <c r="I5042" s="2" t="s">
        <v>10179</v>
      </c>
      <c r="J5042" s="3" t="str">
        <f>HYPERLINK("https://www.boe.es/gazeta/dias/1821/03/03/pdfs/GGB-1821-62.pdf#page=4","Abrir facsímil")</f>
        <v>Abrir facsímil</v>
      </c>
      <c r="K5042" s="3" t="s">
        <v>23</v>
      </c>
    </row>
    <row r="5043" spans="1:11" ht="42" customHeight="1">
      <c r="A5043" s="2" t="s">
        <v>10180</v>
      </c>
      <c r="B5043" s="2" t="s">
        <v>10181</v>
      </c>
      <c r="C5043" s="2" t="s">
        <v>40</v>
      </c>
      <c r="D5043" s="2" t="s">
        <v>41</v>
      </c>
      <c r="E5043" s="5">
        <v>-28508</v>
      </c>
      <c r="F5043" s="3" t="s">
        <v>42</v>
      </c>
      <c r="G5043" s="3" t="s">
        <v>43</v>
      </c>
      <c r="H5043" s="2" t="s">
        <v>21</v>
      </c>
      <c r="I5043" s="2" t="s">
        <v>10182</v>
      </c>
      <c r="J5043" s="3" t="str">
        <f>HYPERLINK("https://www.boe.es/gazeta/dias/1821/12/11/pdfs/GMD-1821-353.pdf#page=1","Abrir facsímil")</f>
        <v>Abrir facsímil</v>
      </c>
      <c r="K5043" s="3" t="s">
        <v>23</v>
      </c>
    </row>
    <row r="5044" spans="1:11" ht="42" customHeight="1">
      <c r="A5044" s="2" t="s">
        <v>10183</v>
      </c>
      <c r="B5044" s="2" t="s">
        <v>10184</v>
      </c>
      <c r="C5044" s="2" t="s">
        <v>26</v>
      </c>
      <c r="D5044" s="2" t="s">
        <v>27</v>
      </c>
      <c r="E5044" s="5">
        <v>-28761</v>
      </c>
      <c r="F5044" s="3" t="s">
        <v>771</v>
      </c>
      <c r="G5044" s="3" t="s">
        <v>52</v>
      </c>
      <c r="H5044" s="2" t="s">
        <v>21</v>
      </c>
      <c r="I5044" s="2" t="s">
        <v>10185</v>
      </c>
      <c r="J5044" s="3" t="str">
        <f>HYPERLINK("https://www.boe.es/gazeta/dias/1821/04/02/pdfs/GMD-1821-94.pdf#page=2","Abrir facsímil")</f>
        <v>Abrir facsímil</v>
      </c>
      <c r="K5044" s="3" t="s">
        <v>23</v>
      </c>
    </row>
    <row r="5045" spans="1:11" ht="42" customHeight="1">
      <c r="A5045" s="2" t="s">
        <v>10186</v>
      </c>
      <c r="B5045" s="2" t="s">
        <v>10187</v>
      </c>
      <c r="C5045" s="2" t="s">
        <v>26</v>
      </c>
      <c r="D5045" s="2" t="s">
        <v>27</v>
      </c>
      <c r="E5045" s="5">
        <v>-28620</v>
      </c>
      <c r="F5045" s="3" t="s">
        <v>87</v>
      </c>
      <c r="G5045" s="3" t="s">
        <v>88</v>
      </c>
      <c r="H5045" s="2" t="s">
        <v>21</v>
      </c>
      <c r="I5045" s="2" t="s">
        <v>10188</v>
      </c>
      <c r="J5045" s="3" t="str">
        <f>HYPERLINK("https://www.boe.es/gazeta/dias/1821/08/21/pdfs/GMD-1821-238.pdf#page=4","Abrir facsímil")</f>
        <v>Abrir facsímil</v>
      </c>
      <c r="K5045" s="3" t="s">
        <v>23</v>
      </c>
    </row>
    <row r="5046" spans="1:11" ht="42" customHeight="1">
      <c r="A5046" s="2" t="s">
        <v>10189</v>
      </c>
      <c r="B5046" s="2" t="s">
        <v>10189</v>
      </c>
      <c r="C5046" s="2" t="s">
        <v>40</v>
      </c>
      <c r="D5046" s="2" t="s">
        <v>41</v>
      </c>
      <c r="E5046" s="5">
        <v>-28687</v>
      </c>
      <c r="F5046" s="3" t="s">
        <v>851</v>
      </c>
      <c r="G5046" s="3" t="s">
        <v>52</v>
      </c>
      <c r="H5046" s="2" t="s">
        <v>21</v>
      </c>
      <c r="I5046" s="2" t="s">
        <v>10190</v>
      </c>
      <c r="J5046" s="3" t="str">
        <f>HYPERLINK("https://www.boe.es/gazeta/dias/1821/06/15/pdfs/GMD-1821-168.pdf#page=2","Abrir facsímil")</f>
        <v>Abrir facsímil</v>
      </c>
      <c r="K5046" s="3" t="s">
        <v>23</v>
      </c>
    </row>
    <row r="5047" spans="1:11" ht="42" customHeight="1">
      <c r="A5047" s="2" t="s">
        <v>10191</v>
      </c>
      <c r="B5047" s="2" t="s">
        <v>10192</v>
      </c>
      <c r="C5047" s="2" t="s">
        <v>40</v>
      </c>
      <c r="D5047" s="2" t="s">
        <v>41</v>
      </c>
      <c r="E5047" s="5">
        <v>-28563</v>
      </c>
      <c r="F5047" s="3" t="s">
        <v>118</v>
      </c>
      <c r="G5047" s="3" t="s">
        <v>20</v>
      </c>
      <c r="H5047" s="2" t="s">
        <v>21</v>
      </c>
      <c r="I5047" s="2" t="s">
        <v>10193</v>
      </c>
      <c r="J5047" s="3" t="str">
        <f>HYPERLINK("https://www.boe.es/gazeta/dias/1821/10/17/pdfs/GMD-1821-296.pdf#page=3","Abrir facsímil")</f>
        <v>Abrir facsímil</v>
      </c>
      <c r="K5047" s="3" t="s">
        <v>23</v>
      </c>
    </row>
    <row r="5048" spans="1:11" ht="42" customHeight="1">
      <c r="A5048" s="2" t="s">
        <v>10194</v>
      </c>
      <c r="B5048" s="2" t="s">
        <v>10195</v>
      </c>
      <c r="C5048" s="2" t="s">
        <v>40</v>
      </c>
      <c r="D5048" s="2" t="s">
        <v>41</v>
      </c>
      <c r="E5048" s="5">
        <v>-28576</v>
      </c>
      <c r="F5048" s="3" t="s">
        <v>1924</v>
      </c>
      <c r="G5048" s="3" t="s">
        <v>88</v>
      </c>
      <c r="H5048" s="2" t="s">
        <v>21</v>
      </c>
      <c r="I5048" s="2" t="s">
        <v>10196</v>
      </c>
      <c r="J5048" s="3" t="str">
        <f>HYPERLINK("https://www.boe.es/gazeta/dias/1821/10/04/pdfs/GMD-1821-283.pdf#page=4","Abrir facsímil")</f>
        <v>Abrir facsímil</v>
      </c>
      <c r="K5048" s="3" t="s">
        <v>23</v>
      </c>
    </row>
    <row r="5049" spans="1:11" ht="42" customHeight="1">
      <c r="A5049" s="2" t="s">
        <v>10197</v>
      </c>
      <c r="B5049" s="2" t="s">
        <v>10197</v>
      </c>
      <c r="C5049" s="2" t="s">
        <v>40</v>
      </c>
      <c r="D5049" s="2" t="s">
        <v>41</v>
      </c>
      <c r="E5049" s="5">
        <v>-28697</v>
      </c>
      <c r="F5049" s="3" t="s">
        <v>166</v>
      </c>
      <c r="G5049" s="3" t="s">
        <v>20</v>
      </c>
      <c r="H5049" s="2" t="s">
        <v>21</v>
      </c>
      <c r="I5049" s="2" t="s">
        <v>10198</v>
      </c>
      <c r="J5049" s="3" t="str">
        <f>HYPERLINK("https://www.boe.es/gazeta/dias/1821/06/05/pdfs/GMD-1821-158.pdf#page=3","Abrir facsímil")</f>
        <v>Abrir facsímil</v>
      </c>
      <c r="K5049" s="3" t="s">
        <v>23</v>
      </c>
    </row>
    <row r="5050" spans="1:11" ht="42" customHeight="1">
      <c r="A5050" s="2" t="s">
        <v>10199</v>
      </c>
      <c r="B5050" s="2" t="s">
        <v>10200</v>
      </c>
      <c r="C5050" s="2" t="s">
        <v>40</v>
      </c>
      <c r="D5050" s="2" t="s">
        <v>41</v>
      </c>
      <c r="E5050" s="5">
        <v>-28766</v>
      </c>
      <c r="F5050" s="3" t="s">
        <v>1481</v>
      </c>
      <c r="G5050" s="3" t="s">
        <v>52</v>
      </c>
      <c r="H5050" s="2" t="s">
        <v>21</v>
      </c>
      <c r="I5050" s="2" t="s">
        <v>10201</v>
      </c>
      <c r="J5050" s="3" t="str">
        <f>HYPERLINK("https://www.boe.es/gazeta/dias/1821/03/28/pdfs/GMD-1821-88.pdf#page=2","Abrir facsímil")</f>
        <v>Abrir facsímil</v>
      </c>
      <c r="K5050" s="3" t="s">
        <v>23</v>
      </c>
    </row>
    <row r="5051" spans="1:11" ht="42" customHeight="1">
      <c r="A5051" s="2" t="s">
        <v>10202</v>
      </c>
      <c r="B5051" s="2" t="s">
        <v>10203</v>
      </c>
      <c r="C5051" s="2" t="s">
        <v>26</v>
      </c>
      <c r="D5051" s="2" t="s">
        <v>27</v>
      </c>
      <c r="E5051" s="5">
        <v>-28636</v>
      </c>
      <c r="F5051" s="3" t="s">
        <v>122</v>
      </c>
      <c r="G5051" s="3" t="s">
        <v>20</v>
      </c>
      <c r="H5051" s="2" t="s">
        <v>21</v>
      </c>
      <c r="I5051" s="2" t="s">
        <v>10204</v>
      </c>
      <c r="J5051" s="3" t="str">
        <f>HYPERLINK("https://www.boe.es/gazeta/dias/1821/08/05/pdfs/GMD-1821-221.pdf#page=3","Abrir facsímil")</f>
        <v>Abrir facsímil</v>
      </c>
      <c r="K5051" s="3" t="s">
        <v>23</v>
      </c>
    </row>
    <row r="5052" spans="1:11" ht="42" customHeight="1">
      <c r="A5052" s="2" t="s">
        <v>10205</v>
      </c>
      <c r="B5052" s="2" t="s">
        <v>10205</v>
      </c>
      <c r="C5052" s="2" t="s">
        <v>40</v>
      </c>
      <c r="D5052" s="2" t="s">
        <v>41</v>
      </c>
      <c r="E5052" s="5">
        <v>-28522</v>
      </c>
      <c r="F5052" s="3" t="s">
        <v>1083</v>
      </c>
      <c r="G5052" s="3" t="s">
        <v>43</v>
      </c>
      <c r="H5052" s="2" t="s">
        <v>21</v>
      </c>
      <c r="I5052" s="2" t="s">
        <v>10206</v>
      </c>
      <c r="J5052" s="3" t="str">
        <f>HYPERLINK("https://www.boe.es/gazeta/dias/1821/11/27/pdfs/GMD-1821-339.pdf#page=1","Abrir facsímil")</f>
        <v>Abrir facsímil</v>
      </c>
      <c r="K5052" s="3" t="s">
        <v>23</v>
      </c>
    </row>
    <row r="5053" spans="1:11" ht="42" customHeight="1">
      <c r="A5053" s="2" t="s">
        <v>10207</v>
      </c>
      <c r="B5053" s="2" t="s">
        <v>10208</v>
      </c>
      <c r="C5053" s="2" t="s">
        <v>70</v>
      </c>
      <c r="D5053" s="2" t="s">
        <v>27</v>
      </c>
      <c r="E5053" s="5">
        <v>-28807</v>
      </c>
      <c r="F5053" s="3" t="s">
        <v>613</v>
      </c>
      <c r="G5053" s="3" t="s">
        <v>20</v>
      </c>
      <c r="H5053" s="2" t="s">
        <v>30</v>
      </c>
      <c r="I5053" s="2" t="s">
        <v>10209</v>
      </c>
      <c r="J5053" s="3" t="str">
        <f>HYPERLINK("https://www.boe.es/gazeta/dias/1821/02/15/pdfs/GGB-1821-46.pdf#page=3","Abrir facsímil")</f>
        <v>Abrir facsímil</v>
      </c>
      <c r="K5053" s="3" t="s">
        <v>32</v>
      </c>
    </row>
    <row r="5054" spans="1:11" ht="42" customHeight="1">
      <c r="A5054" s="2" t="s">
        <v>10210</v>
      </c>
      <c r="B5054" s="2" t="s">
        <v>10210</v>
      </c>
      <c r="C5054" s="2" t="s">
        <v>35</v>
      </c>
      <c r="D5054" s="2" t="s">
        <v>27</v>
      </c>
      <c r="E5054" s="5">
        <v>-28534</v>
      </c>
      <c r="F5054" s="3" t="s">
        <v>414</v>
      </c>
      <c r="G5054" s="3" t="s">
        <v>43</v>
      </c>
      <c r="H5054" s="2" t="s">
        <v>21</v>
      </c>
      <c r="I5054" s="2" t="s">
        <v>10211</v>
      </c>
      <c r="J5054" s="3" t="str">
        <f>HYPERLINK("https://www.boe.es/gazeta/dias/1821/11/15/pdfs/GMD-1821-326.pdf#page=1","Abrir facsímil")</f>
        <v>Abrir facsímil</v>
      </c>
      <c r="K5054" s="3" t="s">
        <v>23</v>
      </c>
    </row>
    <row r="5055" spans="1:11" ht="42" customHeight="1">
      <c r="A5055" s="2" t="s">
        <v>10212</v>
      </c>
      <c r="B5055" s="2" t="s">
        <v>10212</v>
      </c>
      <c r="C5055" s="2" t="s">
        <v>40</v>
      </c>
      <c r="D5055" s="2" t="s">
        <v>41</v>
      </c>
      <c r="E5055" s="5">
        <v>-28745</v>
      </c>
      <c r="F5055" s="3" t="s">
        <v>1020</v>
      </c>
      <c r="G5055" s="3" t="s">
        <v>88</v>
      </c>
      <c r="H5055" s="2" t="s">
        <v>21</v>
      </c>
      <c r="I5055" s="2" t="s">
        <v>10213</v>
      </c>
      <c r="J5055" s="3" t="str">
        <f>HYPERLINK("https://www.boe.es/gazeta/dias/1821/04/18/pdfs/GMD-1821-110.pdf#page=4","Abrir facsímil")</f>
        <v>Abrir facsímil</v>
      </c>
      <c r="K5055" s="3" t="s">
        <v>23</v>
      </c>
    </row>
    <row r="5056" spans="1:11" ht="42" customHeight="1">
      <c r="A5056" s="2" t="s">
        <v>10214</v>
      </c>
      <c r="B5056" s="2" t="s">
        <v>10215</v>
      </c>
      <c r="C5056" s="2" t="s">
        <v>17</v>
      </c>
      <c r="D5056" s="2" t="s">
        <v>18</v>
      </c>
      <c r="E5056" s="5">
        <v>-28531</v>
      </c>
      <c r="F5056" s="3" t="s">
        <v>365</v>
      </c>
      <c r="G5056" s="3" t="s">
        <v>20</v>
      </c>
      <c r="H5056" s="2" t="s">
        <v>21</v>
      </c>
      <c r="I5056" s="2" t="s">
        <v>10216</v>
      </c>
      <c r="J5056" s="3" t="str">
        <f>HYPERLINK("https://www.boe.es/gazeta/dias/1821/11/18/pdfs/GMD-1821-329.pdf#page=3","Abrir facsímil")</f>
        <v>Abrir facsímil</v>
      </c>
      <c r="K5056" s="3" t="s">
        <v>23</v>
      </c>
    </row>
    <row r="5057" spans="1:11" ht="42" customHeight="1">
      <c r="A5057" s="2" t="s">
        <v>10217</v>
      </c>
      <c r="B5057" s="2" t="s">
        <v>10218</v>
      </c>
      <c r="C5057" s="2" t="s">
        <v>26</v>
      </c>
      <c r="D5057" s="2" t="s">
        <v>27</v>
      </c>
      <c r="E5057" s="5">
        <v>-28718</v>
      </c>
      <c r="F5057" s="3" t="s">
        <v>583</v>
      </c>
      <c r="G5057" s="3" t="s">
        <v>88</v>
      </c>
      <c r="H5057" s="2" t="s">
        <v>21</v>
      </c>
      <c r="I5057" s="2" t="s">
        <v>10219</v>
      </c>
      <c r="J5057" s="3" t="str">
        <f>HYPERLINK("https://www.boe.es/gazeta/dias/1821/05/15/pdfs/GMD-1821-137.pdf#page=4","Abrir facsímil")</f>
        <v>Abrir facsímil</v>
      </c>
      <c r="K5057" s="3" t="s">
        <v>23</v>
      </c>
    </row>
    <row r="5058" spans="1:11" ht="42" customHeight="1">
      <c r="A5058" s="2" t="s">
        <v>10217</v>
      </c>
      <c r="B5058" s="2" t="s">
        <v>10218</v>
      </c>
      <c r="C5058" s="2" t="s">
        <v>17</v>
      </c>
      <c r="D5058" s="2" t="s">
        <v>18</v>
      </c>
      <c r="E5058" s="5">
        <v>-28624</v>
      </c>
      <c r="F5058" s="3" t="s">
        <v>78</v>
      </c>
      <c r="G5058" s="3" t="s">
        <v>79</v>
      </c>
      <c r="H5058" s="2" t="s">
        <v>21</v>
      </c>
      <c r="I5058" s="2" t="s">
        <v>10220</v>
      </c>
      <c r="J5058" s="3" t="str">
        <f>HYPERLINK("https://www.boe.es/gazeta/dias/1821/08/17/pdfs/GMD-1821-234.pdf#page=4","Abrir facsímil")</f>
        <v>Abrir facsímil</v>
      </c>
      <c r="K5058" s="3" t="s">
        <v>23</v>
      </c>
    </row>
    <row r="5059" spans="1:11" ht="42" customHeight="1">
      <c r="A5059" s="2" t="s">
        <v>10221</v>
      </c>
      <c r="B5059" s="2" t="s">
        <v>10222</v>
      </c>
      <c r="C5059" s="2" t="s">
        <v>17</v>
      </c>
      <c r="D5059" s="2" t="s">
        <v>18</v>
      </c>
      <c r="E5059" s="5">
        <v>-28547</v>
      </c>
      <c r="F5059" s="3" t="s">
        <v>247</v>
      </c>
      <c r="G5059" s="3" t="s">
        <v>248</v>
      </c>
      <c r="H5059" s="2" t="s">
        <v>21</v>
      </c>
      <c r="I5059" s="2" t="s">
        <v>10223</v>
      </c>
      <c r="J5059" s="3" t="str">
        <f>HYPERLINK("https://www.boe.es/gazeta/dias/1821/11/02/pdfs/GMD-1821-312.pdf#page=2","Abrir facsímil")</f>
        <v>Abrir facsímil</v>
      </c>
      <c r="K5059" s="3" t="s">
        <v>23</v>
      </c>
    </row>
    <row r="5060" spans="1:11" ht="42" customHeight="1">
      <c r="A5060" s="2" t="s">
        <v>10224</v>
      </c>
      <c r="B5060" s="2" t="s">
        <v>10225</v>
      </c>
      <c r="C5060" s="2" t="s">
        <v>174</v>
      </c>
      <c r="D5060" s="2" t="s">
        <v>27</v>
      </c>
      <c r="E5060" s="5">
        <v>-28565</v>
      </c>
      <c r="F5060" s="3" t="s">
        <v>326</v>
      </c>
      <c r="G5060" s="3" t="s">
        <v>29</v>
      </c>
      <c r="H5060" s="2" t="s">
        <v>21</v>
      </c>
      <c r="I5060" s="2" t="s">
        <v>10226</v>
      </c>
      <c r="J5060" s="3" t="str">
        <f>HYPERLINK("https://www.boe.es/gazeta/dias/1821/10/15/pdfs/GMD-1821-294.pdf#page=6","Abrir facsímil")</f>
        <v>Abrir facsímil</v>
      </c>
      <c r="K5060" s="3" t="s">
        <v>23</v>
      </c>
    </row>
    <row r="5061" spans="1:11" ht="42" customHeight="1">
      <c r="A5061" s="2" t="s">
        <v>10227</v>
      </c>
      <c r="B5061" s="2" t="s">
        <v>10228</v>
      </c>
      <c r="C5061" s="2" t="s">
        <v>17</v>
      </c>
      <c r="D5061" s="2" t="s">
        <v>18</v>
      </c>
      <c r="E5061" s="5">
        <v>-28786</v>
      </c>
      <c r="F5061" s="3" t="s">
        <v>1933</v>
      </c>
      <c r="G5061" s="3" t="s">
        <v>88</v>
      </c>
      <c r="H5061" s="2" t="s">
        <v>21</v>
      </c>
      <c r="I5061" s="2" t="s">
        <v>10229</v>
      </c>
      <c r="J5061" s="3" t="str">
        <f>HYPERLINK("https://www.boe.es/gazeta/dias/1821/03/08/pdfs/GGB-1821-67.pdf#page=4","Abrir facsímil")</f>
        <v>Abrir facsímil</v>
      </c>
      <c r="K5061" s="3" t="s">
        <v>23</v>
      </c>
    </row>
    <row r="5062" spans="1:11" ht="42" customHeight="1">
      <c r="A5062" s="2" t="s">
        <v>10230</v>
      </c>
      <c r="B5062" s="2" t="s">
        <v>10231</v>
      </c>
      <c r="C5062" s="2" t="s">
        <v>17</v>
      </c>
      <c r="D5062" s="2" t="s">
        <v>18</v>
      </c>
      <c r="E5062" s="5">
        <v>-28541</v>
      </c>
      <c r="F5062" s="3" t="s">
        <v>275</v>
      </c>
      <c r="G5062" s="3" t="s">
        <v>52</v>
      </c>
      <c r="H5062" s="2" t="s">
        <v>21</v>
      </c>
      <c r="I5062" s="2" t="s">
        <v>10232</v>
      </c>
      <c r="J5062" s="3" t="str">
        <f>HYPERLINK("https://www.boe.es/gazeta/dias/1821/11/08/pdfs/GMD-1821-319.pdf#page=2","Abrir facsímil")</f>
        <v>Abrir facsímil</v>
      </c>
      <c r="K5062" s="3" t="s">
        <v>23</v>
      </c>
    </row>
    <row r="5063" spans="1:11" ht="42" customHeight="1">
      <c r="A5063" s="2" t="s">
        <v>10233</v>
      </c>
      <c r="B5063" s="2" t="s">
        <v>10234</v>
      </c>
      <c r="C5063" s="2" t="s">
        <v>17</v>
      </c>
      <c r="D5063" s="2" t="s">
        <v>18</v>
      </c>
      <c r="E5063" s="5">
        <v>-28513</v>
      </c>
      <c r="F5063" s="3" t="s">
        <v>502</v>
      </c>
      <c r="G5063" s="3" t="s">
        <v>88</v>
      </c>
      <c r="H5063" s="2" t="s">
        <v>30</v>
      </c>
      <c r="I5063" s="2" t="s">
        <v>10235</v>
      </c>
      <c r="J5063" s="3" t="str">
        <f>HYPERLINK("https://www.boe.es/gazeta/dias/1821/12/06/pdfs/GMD-1821-348.pdf#page=4","Abrir facsímil")</f>
        <v>Abrir facsímil</v>
      </c>
      <c r="K5063" s="3" t="s">
        <v>32</v>
      </c>
    </row>
    <row r="5064" spans="1:11" ht="42" customHeight="1">
      <c r="A5064" s="2" t="s">
        <v>10236</v>
      </c>
      <c r="B5064" s="2" t="s">
        <v>10237</v>
      </c>
      <c r="C5064" s="2" t="s">
        <v>70</v>
      </c>
      <c r="D5064" s="2" t="s">
        <v>27</v>
      </c>
      <c r="E5064" s="5">
        <v>-28782</v>
      </c>
      <c r="F5064" s="3" t="s">
        <v>508</v>
      </c>
      <c r="G5064" s="3" t="s">
        <v>20</v>
      </c>
      <c r="H5064" s="2" t="s">
        <v>30</v>
      </c>
      <c r="I5064" s="2" t="s">
        <v>10238</v>
      </c>
      <c r="J5064" s="3" t="str">
        <f>HYPERLINK("https://www.boe.es/gazeta/dias/1821/03/12/pdfs/GMD-1821-71.pdf#page=3","Abrir facsímil")</f>
        <v>Abrir facsímil</v>
      </c>
      <c r="K5064" s="3" t="s">
        <v>32</v>
      </c>
    </row>
    <row r="5065" spans="1:11" ht="42" customHeight="1">
      <c r="A5065" s="2" t="s">
        <v>10239</v>
      </c>
      <c r="B5065" s="2" t="s">
        <v>10240</v>
      </c>
      <c r="C5065" s="2" t="s">
        <v>174</v>
      </c>
      <c r="D5065" s="2" t="s">
        <v>27</v>
      </c>
      <c r="E5065" s="5">
        <v>-28545</v>
      </c>
      <c r="F5065" s="3" t="s">
        <v>284</v>
      </c>
      <c r="G5065" s="3" t="s">
        <v>43</v>
      </c>
      <c r="H5065" s="2" t="s">
        <v>30</v>
      </c>
      <c r="I5065" s="2" t="s">
        <v>10241</v>
      </c>
      <c r="J5065" s="3" t="str">
        <f>HYPERLINK("https://www.boe.es/gazeta/dias/1821/11/04/pdfs/GMD-1821-315.pdf#page=1","Abrir facsímil")</f>
        <v>Abrir facsímil</v>
      </c>
      <c r="K5065" s="3" t="s">
        <v>32</v>
      </c>
    </row>
    <row r="5066" spans="1:11" ht="42" customHeight="1">
      <c r="A5066" s="2" t="s">
        <v>10242</v>
      </c>
      <c r="B5066" s="2" t="s">
        <v>10243</v>
      </c>
      <c r="C5066" s="2" t="s">
        <v>17</v>
      </c>
      <c r="D5066" s="2" t="s">
        <v>18</v>
      </c>
      <c r="E5066" s="5">
        <v>-28533</v>
      </c>
      <c r="F5066" s="3" t="s">
        <v>559</v>
      </c>
      <c r="G5066" s="3" t="s">
        <v>29</v>
      </c>
      <c r="H5066" s="2" t="s">
        <v>21</v>
      </c>
      <c r="I5066" s="2" t="s">
        <v>10244</v>
      </c>
      <c r="J5066" s="3" t="str">
        <f>HYPERLINK("https://www.boe.es/gazeta/dias/1821/11/16/pdfs/GMD-1821-327.pdf#page=6","Abrir facsímil")</f>
        <v>Abrir facsímil</v>
      </c>
      <c r="K5066" s="3" t="s">
        <v>23</v>
      </c>
    </row>
    <row r="5067" spans="1:11" ht="42" customHeight="1">
      <c r="A5067" s="2" t="s">
        <v>10245</v>
      </c>
      <c r="B5067" s="2" t="s">
        <v>10246</v>
      </c>
      <c r="C5067" s="2" t="s">
        <v>17</v>
      </c>
      <c r="D5067" s="2" t="s">
        <v>18</v>
      </c>
      <c r="E5067" s="5">
        <v>-28813</v>
      </c>
      <c r="F5067" s="3" t="s">
        <v>268</v>
      </c>
      <c r="G5067" s="3" t="s">
        <v>52</v>
      </c>
      <c r="H5067" s="2" t="s">
        <v>21</v>
      </c>
      <c r="I5067" s="2" t="s">
        <v>10247</v>
      </c>
      <c r="J5067" s="3" t="str">
        <f>HYPERLINK("https://www.boe.es/gazeta/dias/1821/02/09/pdfs/GGB-1821-40.pdf#page=2","Abrir facsímil")</f>
        <v>Abrir facsímil</v>
      </c>
      <c r="K5067" s="3" t="s">
        <v>23</v>
      </c>
    </row>
    <row r="5068" spans="1:11" ht="42" customHeight="1">
      <c r="A5068" s="2" t="s">
        <v>10248</v>
      </c>
      <c r="B5068" s="2" t="s">
        <v>10248</v>
      </c>
      <c r="C5068" s="2" t="s">
        <v>40</v>
      </c>
      <c r="D5068" s="2" t="s">
        <v>41</v>
      </c>
      <c r="E5068" s="5">
        <v>-28500</v>
      </c>
      <c r="F5068" s="3" t="s">
        <v>298</v>
      </c>
      <c r="G5068" s="3" t="s">
        <v>20</v>
      </c>
      <c r="H5068" s="2" t="s">
        <v>21</v>
      </c>
      <c r="I5068" s="2" t="s">
        <v>10249</v>
      </c>
      <c r="J5068" s="3" t="str">
        <f>HYPERLINK("https://www.boe.es/gazeta/dias/1821/12/19/pdfs/GMD-1821-362.pdf#page=3","Abrir facsímil")</f>
        <v>Abrir facsímil</v>
      </c>
      <c r="K5068" s="3" t="s">
        <v>23</v>
      </c>
    </row>
    <row r="5069" spans="1:11" ht="42" customHeight="1">
      <c r="A5069" s="2" t="s">
        <v>10250</v>
      </c>
      <c r="B5069" s="2" t="s">
        <v>10251</v>
      </c>
      <c r="C5069" s="2" t="s">
        <v>35</v>
      </c>
      <c r="D5069" s="2" t="s">
        <v>27</v>
      </c>
      <c r="E5069" s="5">
        <v>-28671</v>
      </c>
      <c r="F5069" s="3" t="s">
        <v>5059</v>
      </c>
      <c r="G5069" s="3" t="s">
        <v>20</v>
      </c>
      <c r="H5069" s="2" t="s">
        <v>21</v>
      </c>
      <c r="I5069" s="2" t="s">
        <v>10252</v>
      </c>
      <c r="J5069" s="3" t="str">
        <f>HYPERLINK("https://www.boe.es/gazeta/dias/1821/07/01/pdfs/GMD-1821-185.pdf#page=3","Abrir facsímil")</f>
        <v>Abrir facsímil</v>
      </c>
      <c r="K5069" s="3" t="s">
        <v>23</v>
      </c>
    </row>
    <row r="5070" spans="1:11" ht="42" customHeight="1">
      <c r="A5070" s="2" t="s">
        <v>10253</v>
      </c>
      <c r="B5070" s="2" t="s">
        <v>10254</v>
      </c>
      <c r="C5070" s="2" t="s">
        <v>40</v>
      </c>
      <c r="D5070" s="2" t="s">
        <v>41</v>
      </c>
      <c r="E5070" s="5">
        <v>-28643</v>
      </c>
      <c r="F5070" s="3" t="s">
        <v>1569</v>
      </c>
      <c r="G5070" s="3" t="s">
        <v>88</v>
      </c>
      <c r="H5070" s="2" t="s">
        <v>21</v>
      </c>
      <c r="I5070" s="2" t="s">
        <v>10255</v>
      </c>
      <c r="J5070" s="3" t="str">
        <f>HYPERLINK("https://www.boe.es/gazeta/dias/1821/07/29/pdfs/GMD-1821-214.pdf#page=4","Abrir facsímil")</f>
        <v>Abrir facsímil</v>
      </c>
      <c r="K5070" s="3" t="s">
        <v>23</v>
      </c>
    </row>
    <row r="5071" spans="1:11" ht="42" customHeight="1">
      <c r="A5071" s="2" t="s">
        <v>10256</v>
      </c>
      <c r="B5071" s="2" t="s">
        <v>10257</v>
      </c>
      <c r="C5071" s="2" t="s">
        <v>40</v>
      </c>
      <c r="D5071" s="2" t="s">
        <v>41</v>
      </c>
      <c r="E5071" s="5">
        <v>-28708</v>
      </c>
      <c r="F5071" s="3" t="s">
        <v>528</v>
      </c>
      <c r="G5071" s="3" t="s">
        <v>20</v>
      </c>
      <c r="H5071" s="2" t="s">
        <v>21</v>
      </c>
      <c r="I5071" s="2" t="s">
        <v>10258</v>
      </c>
      <c r="J5071" s="3" t="str">
        <f>HYPERLINK("https://www.boe.es/gazeta/dias/1821/05/25/pdfs/GMD-1821-147.pdf#page=3","Abrir facsímil")</f>
        <v>Abrir facsímil</v>
      </c>
      <c r="K5071" s="3" t="s">
        <v>23</v>
      </c>
    </row>
    <row r="5072" spans="1:11" ht="42" customHeight="1">
      <c r="A5072" s="2" t="s">
        <v>10259</v>
      </c>
      <c r="B5072" s="2" t="s">
        <v>10260</v>
      </c>
      <c r="C5072" s="2" t="s">
        <v>17</v>
      </c>
      <c r="D5072" s="2" t="s">
        <v>18</v>
      </c>
      <c r="E5072" s="5">
        <v>-28577</v>
      </c>
      <c r="F5072" s="3" t="s">
        <v>858</v>
      </c>
      <c r="G5072" s="3" t="s">
        <v>88</v>
      </c>
      <c r="H5072" s="2" t="s">
        <v>21</v>
      </c>
      <c r="I5072" s="2" t="s">
        <v>10261</v>
      </c>
      <c r="J5072" s="3" t="str">
        <f>HYPERLINK("https://www.boe.es/gazeta/dias/1821/10/03/pdfs/GMD-1821-282.pdf#page=4","Abrir facsímil")</f>
        <v>Abrir facsímil</v>
      </c>
      <c r="K5072" s="3" t="s">
        <v>23</v>
      </c>
    </row>
    <row r="5073" spans="1:11" ht="42" customHeight="1">
      <c r="A5073" s="2" t="s">
        <v>10262</v>
      </c>
      <c r="B5073" s="2" t="s">
        <v>10263</v>
      </c>
      <c r="C5073" s="2" t="s">
        <v>114</v>
      </c>
      <c r="D5073" s="2" t="s">
        <v>27</v>
      </c>
      <c r="E5073" s="5">
        <v>-28631</v>
      </c>
      <c r="F5073" s="3" t="s">
        <v>751</v>
      </c>
      <c r="G5073" s="3" t="s">
        <v>88</v>
      </c>
      <c r="H5073" s="2" t="s">
        <v>21</v>
      </c>
      <c r="I5073" s="2" t="s">
        <v>10264</v>
      </c>
      <c r="J5073" s="3" t="str">
        <f>HYPERLINK("https://www.boe.es/gazeta/dias/1821/08/10/pdfs/GMD-1821-227.pdf#page=4","Abrir facsímil")</f>
        <v>Abrir facsímil</v>
      </c>
      <c r="K5073" s="3" t="s">
        <v>23</v>
      </c>
    </row>
    <row r="5074" spans="1:11" ht="42" customHeight="1">
      <c r="A5074" s="2" t="s">
        <v>10265</v>
      </c>
      <c r="B5074" s="2" t="s">
        <v>10266</v>
      </c>
      <c r="C5074" s="2" t="s">
        <v>40</v>
      </c>
      <c r="D5074" s="2" t="s">
        <v>41</v>
      </c>
      <c r="E5074" s="5">
        <v>-28762</v>
      </c>
      <c r="F5074" s="3" t="s">
        <v>608</v>
      </c>
      <c r="G5074" s="3" t="s">
        <v>162</v>
      </c>
      <c r="H5074" s="2" t="s">
        <v>21</v>
      </c>
      <c r="I5074" s="2" t="s">
        <v>10267</v>
      </c>
      <c r="J5074" s="3" t="str">
        <f>HYPERLINK("https://www.boe.es/gazeta/dias/1821/04/01/pdfs/GMD-1821-93.pdf#page=5","Abrir facsímil")</f>
        <v>Abrir facsímil</v>
      </c>
      <c r="K5074" s="3" t="s">
        <v>23</v>
      </c>
    </row>
    <row r="5075" spans="1:11" ht="42" customHeight="1">
      <c r="A5075" s="2" t="s">
        <v>10268</v>
      </c>
      <c r="B5075" s="2" t="s">
        <v>10268</v>
      </c>
      <c r="C5075" s="2" t="s">
        <v>17</v>
      </c>
      <c r="D5075" s="2" t="s">
        <v>18</v>
      </c>
      <c r="E5075" s="5">
        <v>-28782</v>
      </c>
      <c r="F5075" s="3" t="s">
        <v>508</v>
      </c>
      <c r="G5075" s="3" t="s">
        <v>88</v>
      </c>
      <c r="H5075" s="2" t="s">
        <v>21</v>
      </c>
      <c r="I5075" s="2" t="s">
        <v>10269</v>
      </c>
      <c r="J5075" s="3" t="str">
        <f>HYPERLINK("https://www.boe.es/gazeta/dias/1821/03/12/pdfs/GMD-1821-71.pdf#page=4","Abrir facsímil")</f>
        <v>Abrir facsímil</v>
      </c>
      <c r="K5075" s="3" t="s">
        <v>23</v>
      </c>
    </row>
    <row r="5076" spans="1:11" ht="42" customHeight="1">
      <c r="A5076" s="2" t="s">
        <v>10270</v>
      </c>
      <c r="B5076" s="2" t="s">
        <v>10270</v>
      </c>
      <c r="C5076" s="2" t="s">
        <v>17</v>
      </c>
      <c r="D5076" s="2" t="s">
        <v>18</v>
      </c>
      <c r="E5076" s="5">
        <v>-28529</v>
      </c>
      <c r="F5076" s="3" t="s">
        <v>525</v>
      </c>
      <c r="G5076" s="3" t="s">
        <v>88</v>
      </c>
      <c r="H5076" s="2" t="s">
        <v>21</v>
      </c>
      <c r="I5076" s="2" t="s">
        <v>10271</v>
      </c>
      <c r="J5076" s="3" t="str">
        <f>HYPERLINK("https://www.boe.es/gazeta/dias/1821/11/20/pdfs/GMD-1821-331.pdf#page=4","Abrir facsímil")</f>
        <v>Abrir facsímil</v>
      </c>
      <c r="K5076" s="3" t="s">
        <v>23</v>
      </c>
    </row>
    <row r="5077" spans="1:11" ht="42" customHeight="1">
      <c r="A5077" s="2" t="s">
        <v>10272</v>
      </c>
      <c r="B5077" s="2" t="s">
        <v>10272</v>
      </c>
      <c r="C5077" s="2" t="s">
        <v>40</v>
      </c>
      <c r="D5077" s="2" t="s">
        <v>41</v>
      </c>
      <c r="E5077" s="5">
        <v>-28595</v>
      </c>
      <c r="F5077" s="3" t="s">
        <v>1621</v>
      </c>
      <c r="G5077" s="3" t="s">
        <v>20</v>
      </c>
      <c r="H5077" s="2" t="s">
        <v>21</v>
      </c>
      <c r="I5077" s="2" t="s">
        <v>10273</v>
      </c>
      <c r="J5077" s="3" t="str">
        <f>HYPERLINK("https://www.boe.es/gazeta/dias/1821/09/15/pdfs/GMD-1821-263.pdf#page=3","Abrir facsímil")</f>
        <v>Abrir facsímil</v>
      </c>
      <c r="K5077" s="3" t="s">
        <v>23</v>
      </c>
    </row>
    <row r="5078" spans="1:11" ht="42" customHeight="1">
      <c r="A5078" s="2" t="s">
        <v>10272</v>
      </c>
      <c r="B5078" s="2" t="s">
        <v>10272</v>
      </c>
      <c r="C5078" s="2" t="s">
        <v>40</v>
      </c>
      <c r="D5078" s="2" t="s">
        <v>41</v>
      </c>
      <c r="E5078" s="5">
        <v>-28585</v>
      </c>
      <c r="F5078" s="3" t="s">
        <v>627</v>
      </c>
      <c r="G5078" s="3" t="s">
        <v>52</v>
      </c>
      <c r="H5078" s="2" t="s">
        <v>21</v>
      </c>
      <c r="I5078" s="2" t="s">
        <v>10274</v>
      </c>
      <c r="J5078" s="3" t="str">
        <f>HYPERLINK("https://www.boe.es/gazeta/dias/1821/09/25/pdfs/GMD-1821-273.pdf#page=2","Abrir facsímil")</f>
        <v>Abrir facsímil</v>
      </c>
      <c r="K5078" s="3" t="s">
        <v>23</v>
      </c>
    </row>
    <row r="5079" spans="1:11" ht="42" customHeight="1">
      <c r="A5079" s="2" t="s">
        <v>10272</v>
      </c>
      <c r="B5079" s="2" t="s">
        <v>10272</v>
      </c>
      <c r="C5079" s="2" t="s">
        <v>40</v>
      </c>
      <c r="D5079" s="2" t="s">
        <v>41</v>
      </c>
      <c r="E5079" s="5">
        <v>-28555</v>
      </c>
      <c r="F5079" s="3" t="s">
        <v>219</v>
      </c>
      <c r="G5079" s="3" t="s">
        <v>10275</v>
      </c>
      <c r="H5079" s="2" t="s">
        <v>21</v>
      </c>
      <c r="I5079" s="2" t="s">
        <v>10276</v>
      </c>
      <c r="J5079" s="3" t="str">
        <f>HYPERLINK("https://www.boe.es/gazeta/dias/1821/10/25/pdfs/GMD-1821-304.pdf#page=2","Abrir facsímil")</f>
        <v>Abrir facsímil</v>
      </c>
      <c r="K5079" s="3" t="s">
        <v>23</v>
      </c>
    </row>
    <row r="5080" spans="1:11" ht="42" customHeight="1">
      <c r="A5080" s="2" t="s">
        <v>10277</v>
      </c>
      <c r="B5080" s="2" t="s">
        <v>10277</v>
      </c>
      <c r="C5080" s="2" t="s">
        <v>26</v>
      </c>
      <c r="D5080" s="2" t="s">
        <v>27</v>
      </c>
      <c r="E5080" s="5">
        <v>-28688</v>
      </c>
      <c r="F5080" s="3" t="s">
        <v>1504</v>
      </c>
      <c r="G5080" s="3" t="s">
        <v>52</v>
      </c>
      <c r="H5080" s="2" t="s">
        <v>21</v>
      </c>
      <c r="I5080" s="2" t="s">
        <v>10278</v>
      </c>
      <c r="J5080" s="3" t="str">
        <f>HYPERLINK("https://www.boe.es/gazeta/dias/1821/06/14/pdfs/GMD-1821-167.pdf#page=2","Abrir facsímil")</f>
        <v>Abrir facsímil</v>
      </c>
      <c r="K5080" s="3" t="s">
        <v>23</v>
      </c>
    </row>
    <row r="5081" spans="1:11" ht="42" customHeight="1">
      <c r="A5081" s="2" t="s">
        <v>10279</v>
      </c>
      <c r="B5081" s="2" t="s">
        <v>10279</v>
      </c>
      <c r="C5081" s="2" t="s">
        <v>40</v>
      </c>
      <c r="D5081" s="2" t="s">
        <v>41</v>
      </c>
      <c r="E5081" s="5">
        <v>-28735</v>
      </c>
      <c r="F5081" s="3" t="s">
        <v>836</v>
      </c>
      <c r="G5081" s="3" t="s">
        <v>52</v>
      </c>
      <c r="H5081" s="2" t="s">
        <v>21</v>
      </c>
      <c r="I5081" s="2" t="s">
        <v>10280</v>
      </c>
      <c r="J5081" s="3" t="str">
        <f>HYPERLINK("https://www.boe.es/gazeta/dias/1821/04/28/pdfs/GMD-1821-120.pdf#page=2","Abrir facsímil")</f>
        <v>Abrir facsímil</v>
      </c>
      <c r="K5081" s="3" t="s">
        <v>23</v>
      </c>
    </row>
    <row r="5082" spans="1:11" ht="42" customHeight="1">
      <c r="A5082" s="2" t="s">
        <v>10281</v>
      </c>
      <c r="B5082" s="2" t="s">
        <v>10282</v>
      </c>
      <c r="C5082" s="2" t="s">
        <v>114</v>
      </c>
      <c r="D5082" s="2" t="s">
        <v>27</v>
      </c>
      <c r="E5082" s="5">
        <v>-28793</v>
      </c>
      <c r="F5082" s="3" t="s">
        <v>157</v>
      </c>
      <c r="G5082" s="3" t="s">
        <v>29</v>
      </c>
      <c r="H5082" s="2" t="s">
        <v>21</v>
      </c>
      <c r="I5082" s="2" t="s">
        <v>10283</v>
      </c>
      <c r="J5082" s="3" t="str">
        <f>HYPERLINK("https://www.boe.es/gazeta/dias/1821/03/01/pdfs/GGB-1821-60.pdf#page=6","Abrir facsímil")</f>
        <v>Abrir facsímil</v>
      </c>
      <c r="K5082" s="3" t="s">
        <v>23</v>
      </c>
    </row>
    <row r="5083" spans="1:11" ht="42" customHeight="1">
      <c r="A5083" s="2" t="s">
        <v>10284</v>
      </c>
      <c r="B5083" s="2" t="s">
        <v>10285</v>
      </c>
      <c r="C5083" s="2" t="s">
        <v>26</v>
      </c>
      <c r="D5083" s="2" t="s">
        <v>27</v>
      </c>
      <c r="E5083" s="5">
        <v>-28594</v>
      </c>
      <c r="F5083" s="3" t="s">
        <v>2412</v>
      </c>
      <c r="G5083" s="3" t="s">
        <v>88</v>
      </c>
      <c r="H5083" s="2" t="s">
        <v>21</v>
      </c>
      <c r="I5083" s="2" t="s">
        <v>10286</v>
      </c>
      <c r="J5083" s="3" t="str">
        <f>HYPERLINK("https://www.boe.es/gazeta/dias/1821/09/16/pdfs/GMD-1821-264.pdf#page=4","Abrir facsímil")</f>
        <v>Abrir facsímil</v>
      </c>
      <c r="K5083" s="3" t="s">
        <v>23</v>
      </c>
    </row>
    <row r="5084" spans="1:11" ht="42" customHeight="1">
      <c r="A5084" s="2" t="s">
        <v>10287</v>
      </c>
      <c r="B5084" s="2" t="s">
        <v>10287</v>
      </c>
      <c r="C5084" s="2" t="s">
        <v>40</v>
      </c>
      <c r="D5084" s="2" t="s">
        <v>41</v>
      </c>
      <c r="E5084" s="5">
        <v>-28619</v>
      </c>
      <c r="F5084" s="3" t="s">
        <v>3364</v>
      </c>
      <c r="G5084" s="3" t="s">
        <v>52</v>
      </c>
      <c r="H5084" s="2" t="s">
        <v>21</v>
      </c>
      <c r="I5084" s="2" t="s">
        <v>10288</v>
      </c>
      <c r="J5084" s="3" t="str">
        <f>HYPERLINK("https://www.boe.es/gazeta/dias/1821/08/22/pdfs/GMD-1821-239.pdf#page=2","Abrir facsímil")</f>
        <v>Abrir facsímil</v>
      </c>
      <c r="K5084" s="3" t="s">
        <v>23</v>
      </c>
    </row>
    <row r="5085" spans="1:11" ht="42" customHeight="1">
      <c r="A5085" s="2" t="s">
        <v>10289</v>
      </c>
      <c r="B5085" s="2" t="s">
        <v>10289</v>
      </c>
      <c r="C5085" s="2" t="s">
        <v>17</v>
      </c>
      <c r="D5085" s="2" t="s">
        <v>18</v>
      </c>
      <c r="E5085" s="5">
        <v>-28773</v>
      </c>
      <c r="F5085" s="3" t="s">
        <v>1755</v>
      </c>
      <c r="G5085" s="3" t="s">
        <v>29</v>
      </c>
      <c r="H5085" s="2" t="s">
        <v>21</v>
      </c>
      <c r="I5085" s="2" t="s">
        <v>10290</v>
      </c>
      <c r="J5085" s="3" t="str">
        <f>HYPERLINK("https://www.boe.es/gazeta/dias/1821/03/21/pdfs/GMD-1821-80.pdf#page=6","Abrir facsímil")</f>
        <v>Abrir facsímil</v>
      </c>
      <c r="K5085" s="3" t="s">
        <v>23</v>
      </c>
    </row>
    <row r="5086" spans="1:11" ht="42" customHeight="1">
      <c r="A5086" s="2" t="s">
        <v>10289</v>
      </c>
      <c r="B5086" s="2" t="s">
        <v>10289</v>
      </c>
      <c r="C5086" s="2" t="s">
        <v>40</v>
      </c>
      <c r="D5086" s="2" t="s">
        <v>41</v>
      </c>
      <c r="E5086" s="5">
        <v>-28764</v>
      </c>
      <c r="F5086" s="3" t="s">
        <v>924</v>
      </c>
      <c r="G5086" s="3" t="s">
        <v>20</v>
      </c>
      <c r="H5086" s="2" t="s">
        <v>21</v>
      </c>
      <c r="I5086" s="2" t="s">
        <v>10291</v>
      </c>
      <c r="J5086" s="3" t="str">
        <f>HYPERLINK("https://www.boe.es/gazeta/dias/1821/03/30/pdfs/GMD-1821-91.pdf#page=3","Abrir facsímil")</f>
        <v>Abrir facsímil</v>
      </c>
      <c r="K5086" s="3" t="s">
        <v>23</v>
      </c>
    </row>
    <row r="5087" spans="1:11" ht="42" customHeight="1">
      <c r="A5087" s="2" t="s">
        <v>10289</v>
      </c>
      <c r="B5087" s="2" t="s">
        <v>10289</v>
      </c>
      <c r="C5087" s="2" t="s">
        <v>26</v>
      </c>
      <c r="D5087" s="2" t="s">
        <v>27</v>
      </c>
      <c r="E5087" s="5">
        <v>-28755</v>
      </c>
      <c r="F5087" s="3" t="s">
        <v>906</v>
      </c>
      <c r="G5087" s="3" t="s">
        <v>907</v>
      </c>
      <c r="H5087" s="2" t="s">
        <v>21</v>
      </c>
      <c r="I5087" s="2" t="s">
        <v>10292</v>
      </c>
      <c r="J5087" s="3" t="str">
        <f>HYPERLINK("https://www.boe.es/gazeta/dias/1821/04/08/pdfs/GMD-1821-100.pdf#page=4","Abrir facsímil")</f>
        <v>Abrir facsímil</v>
      </c>
      <c r="K5087" s="3" t="s">
        <v>23</v>
      </c>
    </row>
    <row r="5088" spans="1:11" ht="42" customHeight="1">
      <c r="A5088" s="2" t="s">
        <v>10289</v>
      </c>
      <c r="B5088" s="2" t="s">
        <v>10289</v>
      </c>
      <c r="C5088" s="2" t="s">
        <v>40</v>
      </c>
      <c r="D5088" s="2" t="s">
        <v>41</v>
      </c>
      <c r="E5088" s="5">
        <v>-28667</v>
      </c>
      <c r="F5088" s="3" t="s">
        <v>107</v>
      </c>
      <c r="G5088" s="3" t="s">
        <v>3069</v>
      </c>
      <c r="H5088" s="2" t="s">
        <v>21</v>
      </c>
      <c r="I5088" s="2" t="s">
        <v>10293</v>
      </c>
      <c r="J5088" s="3" t="str">
        <f>HYPERLINK("https://www.boe.es/gazeta/dias/1821/07/05/pdfs/GMD-1821-189.pdf#page=4","Abrir facsímil")</f>
        <v>Abrir facsímil</v>
      </c>
      <c r="K5088" s="3" t="s">
        <v>23</v>
      </c>
    </row>
    <row r="5089" spans="1:11" ht="42" customHeight="1">
      <c r="A5089" s="2" t="s">
        <v>10294</v>
      </c>
      <c r="B5089" s="2" t="s">
        <v>10295</v>
      </c>
      <c r="C5089" s="2" t="s">
        <v>17</v>
      </c>
      <c r="D5089" s="2" t="s">
        <v>18</v>
      </c>
      <c r="E5089" s="5">
        <v>-28560</v>
      </c>
      <c r="F5089" s="3" t="s">
        <v>363</v>
      </c>
      <c r="G5089" s="3" t="s">
        <v>162</v>
      </c>
      <c r="H5089" s="2" t="s">
        <v>21</v>
      </c>
      <c r="I5089" s="2" t="s">
        <v>10296</v>
      </c>
      <c r="J5089" s="3" t="str">
        <f>HYPERLINK("https://www.boe.es/gazeta/dias/1821/10/20/pdfs/GMD-1821-299.pdf#page=5","Abrir facsímil")</f>
        <v>Abrir facsímil</v>
      </c>
      <c r="K5089" s="3" t="s">
        <v>23</v>
      </c>
    </row>
    <row r="5090" spans="1:11" ht="42" customHeight="1">
      <c r="A5090" s="2" t="s">
        <v>10297</v>
      </c>
      <c r="B5090" s="2" t="s">
        <v>10298</v>
      </c>
      <c r="C5090" s="2" t="s">
        <v>40</v>
      </c>
      <c r="D5090" s="2" t="s">
        <v>41</v>
      </c>
      <c r="E5090" s="5">
        <v>-28535</v>
      </c>
      <c r="F5090" s="3" t="s">
        <v>96</v>
      </c>
      <c r="G5090" s="3" t="s">
        <v>43</v>
      </c>
      <c r="H5090" s="2" t="s">
        <v>21</v>
      </c>
      <c r="I5090" s="2" t="s">
        <v>10299</v>
      </c>
      <c r="J5090" s="3" t="str">
        <f>HYPERLINK("https://www.boe.es/gazeta/dias/1821/11/14/pdfs/GMD-1821-325.pdf#page=1","Abrir facsímil")</f>
        <v>Abrir facsímil</v>
      </c>
      <c r="K5090" s="3" t="s">
        <v>23</v>
      </c>
    </row>
    <row r="5091" spans="1:11" ht="42" customHeight="1">
      <c r="A5091" s="2" t="s">
        <v>10300</v>
      </c>
      <c r="B5091" s="2" t="s">
        <v>10300</v>
      </c>
      <c r="C5091" s="2" t="s">
        <v>40</v>
      </c>
      <c r="D5091" s="2" t="s">
        <v>41</v>
      </c>
      <c r="E5091" s="5">
        <v>-28751</v>
      </c>
      <c r="F5091" s="3" t="s">
        <v>356</v>
      </c>
      <c r="G5091" s="3" t="s">
        <v>52</v>
      </c>
      <c r="H5091" s="2" t="s">
        <v>21</v>
      </c>
      <c r="I5091" s="2" t="s">
        <v>10301</v>
      </c>
      <c r="J5091" s="3" t="str">
        <f>HYPERLINK("https://www.boe.es/gazeta/dias/1821/04/12/pdfs/GMD-1821-104.pdf#page=2","Abrir facsímil")</f>
        <v>Abrir facsímil</v>
      </c>
      <c r="K5091" s="3" t="s">
        <v>23</v>
      </c>
    </row>
    <row r="5092" spans="1:11" ht="42" customHeight="1">
      <c r="A5092" s="2" t="s">
        <v>10300</v>
      </c>
      <c r="B5092" s="2" t="s">
        <v>10300</v>
      </c>
      <c r="C5092" s="2" t="s">
        <v>40</v>
      </c>
      <c r="D5092" s="2" t="s">
        <v>41</v>
      </c>
      <c r="E5092" s="5">
        <v>-28745</v>
      </c>
      <c r="F5092" s="3" t="s">
        <v>1020</v>
      </c>
      <c r="G5092" s="3" t="s">
        <v>52</v>
      </c>
      <c r="H5092" s="2" t="s">
        <v>21</v>
      </c>
      <c r="I5092" s="2" t="s">
        <v>10302</v>
      </c>
      <c r="J5092" s="3" t="str">
        <f>HYPERLINK("https://www.boe.es/gazeta/dias/1821/04/18/pdfs/GMD-1821-110.pdf#page=2","Abrir facsímil")</f>
        <v>Abrir facsímil</v>
      </c>
      <c r="K5092" s="3" t="s">
        <v>23</v>
      </c>
    </row>
    <row r="5093" spans="1:11" ht="42" customHeight="1">
      <c r="A5093" s="2" t="s">
        <v>10300</v>
      </c>
      <c r="B5093" s="2" t="s">
        <v>10300</v>
      </c>
      <c r="C5093" s="2" t="s">
        <v>279</v>
      </c>
      <c r="D5093" s="2" t="s">
        <v>27</v>
      </c>
      <c r="E5093" s="5">
        <v>-28745</v>
      </c>
      <c r="F5093" s="3" t="s">
        <v>1020</v>
      </c>
      <c r="G5093" s="3" t="s">
        <v>20</v>
      </c>
      <c r="H5093" s="2" t="s">
        <v>21</v>
      </c>
      <c r="I5093" s="2" t="s">
        <v>10303</v>
      </c>
      <c r="J5093" s="3" t="str">
        <f>HYPERLINK("https://www.boe.es/gazeta/dias/1821/04/18/pdfs/GMD-1821-110.pdf#page=3","Abrir facsímil")</f>
        <v>Abrir facsímil</v>
      </c>
      <c r="K5093" s="3" t="s">
        <v>23</v>
      </c>
    </row>
    <row r="5094" spans="1:11" ht="42" customHeight="1">
      <c r="A5094" s="2" t="s">
        <v>10300</v>
      </c>
      <c r="B5094" s="2" t="s">
        <v>10300</v>
      </c>
      <c r="C5094" s="2" t="s">
        <v>35</v>
      </c>
      <c r="D5094" s="2" t="s">
        <v>27</v>
      </c>
      <c r="E5094" s="5">
        <v>-28720</v>
      </c>
      <c r="F5094" s="3" t="s">
        <v>492</v>
      </c>
      <c r="G5094" s="3" t="s">
        <v>88</v>
      </c>
      <c r="H5094" s="2" t="s">
        <v>21</v>
      </c>
      <c r="I5094" s="2" t="s">
        <v>10304</v>
      </c>
      <c r="J5094" s="3" t="str">
        <f>HYPERLINK("https://www.boe.es/gazeta/dias/1821/05/13/pdfs/GMD-1821-135.pdf#page=4","Abrir facsímil")</f>
        <v>Abrir facsímil</v>
      </c>
      <c r="K5094" s="3" t="s">
        <v>23</v>
      </c>
    </row>
    <row r="5095" spans="1:11" ht="42" customHeight="1">
      <c r="A5095" s="2" t="s">
        <v>10300</v>
      </c>
      <c r="B5095" s="2" t="s">
        <v>10300</v>
      </c>
      <c r="C5095" s="2" t="s">
        <v>174</v>
      </c>
      <c r="D5095" s="2" t="s">
        <v>27</v>
      </c>
      <c r="E5095" s="5">
        <v>-28692</v>
      </c>
      <c r="F5095" s="3" t="s">
        <v>3807</v>
      </c>
      <c r="G5095" s="3" t="s">
        <v>3808</v>
      </c>
      <c r="H5095" s="2" t="s">
        <v>21</v>
      </c>
      <c r="I5095" s="2" t="s">
        <v>10305</v>
      </c>
      <c r="J5095" s="3" t="str">
        <f>HYPERLINK("https://www.boe.es/gazeta/dias/1821/06/10/pdfs/GMD-1821-163.pdf#page=3","Abrir facsímil")</f>
        <v>Abrir facsímil</v>
      </c>
      <c r="K5095" s="3" t="s">
        <v>23</v>
      </c>
    </row>
    <row r="5096" spans="1:11" ht="42" customHeight="1">
      <c r="A5096" s="2" t="s">
        <v>10300</v>
      </c>
      <c r="B5096" s="2" t="s">
        <v>10300</v>
      </c>
      <c r="C5096" s="2" t="s">
        <v>26</v>
      </c>
      <c r="D5096" s="2" t="s">
        <v>27</v>
      </c>
      <c r="E5096" s="5">
        <v>-28689</v>
      </c>
      <c r="F5096" s="3" t="s">
        <v>194</v>
      </c>
      <c r="G5096" s="3" t="s">
        <v>52</v>
      </c>
      <c r="H5096" s="2" t="s">
        <v>21</v>
      </c>
      <c r="I5096" s="2" t="s">
        <v>10306</v>
      </c>
      <c r="J5096" s="3" t="str">
        <f>HYPERLINK("https://www.boe.es/gazeta/dias/1821/06/13/pdfs/GMD-1821-166.pdf#page=2","Abrir facsímil")</f>
        <v>Abrir facsímil</v>
      </c>
      <c r="K5096" s="3" t="s">
        <v>23</v>
      </c>
    </row>
    <row r="5097" spans="1:11" ht="42" customHeight="1">
      <c r="A5097" s="2" t="s">
        <v>10300</v>
      </c>
      <c r="B5097" s="2" t="s">
        <v>10300</v>
      </c>
      <c r="C5097" s="2" t="s">
        <v>174</v>
      </c>
      <c r="D5097" s="2" t="s">
        <v>27</v>
      </c>
      <c r="E5097" s="5">
        <v>-28686</v>
      </c>
      <c r="F5097" s="3" t="s">
        <v>115</v>
      </c>
      <c r="G5097" s="3" t="s">
        <v>20</v>
      </c>
      <c r="H5097" s="2" t="s">
        <v>21</v>
      </c>
      <c r="I5097" s="2" t="s">
        <v>10307</v>
      </c>
      <c r="J5097" s="3" t="str">
        <f>HYPERLINK("https://www.boe.es/gazeta/dias/1821/06/16/pdfs/GMD-1821-169.pdf#page=3","Abrir facsímil")</f>
        <v>Abrir facsímil</v>
      </c>
      <c r="K5097" s="3" t="s">
        <v>23</v>
      </c>
    </row>
    <row r="5098" spans="1:11" ht="42" customHeight="1">
      <c r="A5098" s="2" t="s">
        <v>10300</v>
      </c>
      <c r="B5098" s="2" t="s">
        <v>10300</v>
      </c>
      <c r="C5098" s="2" t="s">
        <v>35</v>
      </c>
      <c r="D5098" s="2" t="s">
        <v>27</v>
      </c>
      <c r="E5098" s="5">
        <v>-28678</v>
      </c>
      <c r="F5098" s="3" t="s">
        <v>215</v>
      </c>
      <c r="G5098" s="3" t="s">
        <v>88</v>
      </c>
      <c r="H5098" s="2" t="s">
        <v>21</v>
      </c>
      <c r="I5098" s="2" t="s">
        <v>10308</v>
      </c>
      <c r="J5098" s="3" t="str">
        <f>HYPERLINK("https://www.boe.es/gazeta/dias/1821/06/24/pdfs/GMD-1821-177.pdf#page=4","Abrir facsímil")</f>
        <v>Abrir facsímil</v>
      </c>
      <c r="K5098" s="3" t="s">
        <v>23</v>
      </c>
    </row>
    <row r="5099" spans="1:11" ht="42" customHeight="1">
      <c r="A5099" s="2" t="s">
        <v>10300</v>
      </c>
      <c r="B5099" s="2" t="s">
        <v>10300</v>
      </c>
      <c r="C5099" s="2" t="s">
        <v>17</v>
      </c>
      <c r="D5099" s="2" t="s">
        <v>18</v>
      </c>
      <c r="E5099" s="5">
        <v>-28541</v>
      </c>
      <c r="F5099" s="3" t="s">
        <v>275</v>
      </c>
      <c r="G5099" s="3" t="s">
        <v>29</v>
      </c>
      <c r="H5099" s="2" t="s">
        <v>21</v>
      </c>
      <c r="I5099" s="2" t="s">
        <v>10309</v>
      </c>
      <c r="J5099" s="3" t="str">
        <f>HYPERLINK("https://www.boe.es/gazeta/dias/1821/11/08/pdfs/GMD-1821-319.pdf#page=6","Abrir facsímil")</f>
        <v>Abrir facsímil</v>
      </c>
      <c r="K5099" s="3" t="s">
        <v>23</v>
      </c>
    </row>
    <row r="5100" spans="1:11" ht="42" customHeight="1">
      <c r="A5100" s="2" t="s">
        <v>10300</v>
      </c>
      <c r="B5100" s="2" t="s">
        <v>10300</v>
      </c>
      <c r="C5100" s="2" t="s">
        <v>35</v>
      </c>
      <c r="D5100" s="2" t="s">
        <v>27</v>
      </c>
      <c r="E5100" s="5">
        <v>-28533</v>
      </c>
      <c r="F5100" s="3" t="s">
        <v>559</v>
      </c>
      <c r="G5100" s="3" t="s">
        <v>29</v>
      </c>
      <c r="H5100" s="2" t="s">
        <v>21</v>
      </c>
      <c r="I5100" s="2" t="s">
        <v>10310</v>
      </c>
      <c r="J5100" s="3" t="str">
        <f>HYPERLINK("https://www.boe.es/gazeta/dias/1821/11/16/pdfs/GMD-1821-327.pdf#page=6","Abrir facsímil")</f>
        <v>Abrir facsímil</v>
      </c>
      <c r="K5100" s="3" t="s">
        <v>23</v>
      </c>
    </row>
    <row r="5101" spans="1:11" ht="42" customHeight="1">
      <c r="A5101" s="2" t="s">
        <v>10300</v>
      </c>
      <c r="B5101" s="2" t="s">
        <v>10300</v>
      </c>
      <c r="C5101" s="2" t="s">
        <v>26</v>
      </c>
      <c r="D5101" s="2" t="s">
        <v>27</v>
      </c>
      <c r="E5101" s="5">
        <v>-28518</v>
      </c>
      <c r="F5101" s="3" t="s">
        <v>410</v>
      </c>
      <c r="G5101" s="3" t="s">
        <v>88</v>
      </c>
      <c r="H5101" s="2" t="s">
        <v>21</v>
      </c>
      <c r="I5101" s="2" t="s">
        <v>10311</v>
      </c>
      <c r="J5101" s="3" t="str">
        <f>HYPERLINK("https://www.boe.es/gazeta/dias/1821/12/01/pdfs/GMD-1821-343.pdf#page=4","Abrir facsímil")</f>
        <v>Abrir facsímil</v>
      </c>
      <c r="K5101" s="3" t="s">
        <v>23</v>
      </c>
    </row>
    <row r="5102" spans="1:11" ht="42" customHeight="1">
      <c r="A5102" s="2" t="s">
        <v>10300</v>
      </c>
      <c r="B5102" s="2" t="s">
        <v>10300</v>
      </c>
      <c r="C5102" s="2" t="s">
        <v>17</v>
      </c>
      <c r="D5102" s="2" t="s">
        <v>18</v>
      </c>
      <c r="E5102" s="5">
        <v>-28516</v>
      </c>
      <c r="F5102" s="3" t="s">
        <v>514</v>
      </c>
      <c r="G5102" s="3" t="s">
        <v>88</v>
      </c>
      <c r="H5102" s="2" t="s">
        <v>21</v>
      </c>
      <c r="I5102" s="2" t="s">
        <v>10312</v>
      </c>
      <c r="J5102" s="3" t="str">
        <f>HYPERLINK("https://www.boe.es/gazeta/dias/1821/12/03/pdfs/GMD-1821-345.pdf#page=4","Abrir facsímil")</f>
        <v>Abrir facsímil</v>
      </c>
      <c r="K5102" s="3" t="s">
        <v>23</v>
      </c>
    </row>
    <row r="5103" spans="1:11" ht="42" customHeight="1">
      <c r="A5103" s="2" t="s">
        <v>10300</v>
      </c>
      <c r="B5103" s="2" t="s">
        <v>10300</v>
      </c>
      <c r="C5103" s="2" t="s">
        <v>26</v>
      </c>
      <c r="D5103" s="2" t="s">
        <v>27</v>
      </c>
      <c r="E5103" s="5">
        <v>-28502</v>
      </c>
      <c r="F5103" s="3" t="s">
        <v>570</v>
      </c>
      <c r="G5103" s="3" t="s">
        <v>52</v>
      </c>
      <c r="H5103" s="2" t="s">
        <v>21</v>
      </c>
      <c r="I5103" s="2" t="s">
        <v>10313</v>
      </c>
      <c r="J5103" s="3" t="str">
        <f>HYPERLINK("https://www.boe.es/gazeta/dias/1821/12/17/pdfs/GMD-1821-360.pdf#page=2","Abrir facsímil")</f>
        <v>Abrir facsímil</v>
      </c>
      <c r="K5103" s="3" t="s">
        <v>23</v>
      </c>
    </row>
    <row r="5104" spans="1:11" ht="42" customHeight="1">
      <c r="A5104" s="2" t="s">
        <v>10300</v>
      </c>
      <c r="B5104" s="2" t="s">
        <v>10300</v>
      </c>
      <c r="C5104" s="2" t="s">
        <v>174</v>
      </c>
      <c r="D5104" s="2" t="s">
        <v>27</v>
      </c>
      <c r="E5104" s="5">
        <v>-28500</v>
      </c>
      <c r="F5104" s="3" t="s">
        <v>298</v>
      </c>
      <c r="G5104" s="3" t="s">
        <v>20</v>
      </c>
      <c r="H5104" s="2" t="s">
        <v>21</v>
      </c>
      <c r="I5104" s="2" t="s">
        <v>10314</v>
      </c>
      <c r="J5104" s="3" t="str">
        <f>HYPERLINK("https://www.boe.es/gazeta/dias/1821/12/19/pdfs/GMD-1821-362.pdf#page=3","Abrir facsímil")</f>
        <v>Abrir facsímil</v>
      </c>
      <c r="K5104" s="3" t="s">
        <v>23</v>
      </c>
    </row>
    <row r="5105" spans="1:11" ht="42" customHeight="1">
      <c r="A5105" s="2" t="s">
        <v>10300</v>
      </c>
      <c r="B5105" s="2" t="s">
        <v>10300</v>
      </c>
      <c r="C5105" s="2" t="s">
        <v>26</v>
      </c>
      <c r="D5105" s="2" t="s">
        <v>27</v>
      </c>
      <c r="E5105" s="5">
        <v>-28496</v>
      </c>
      <c r="F5105" s="3" t="s">
        <v>785</v>
      </c>
      <c r="G5105" s="3" t="s">
        <v>52</v>
      </c>
      <c r="H5105" s="2" t="s">
        <v>21</v>
      </c>
      <c r="I5105" s="2" t="s">
        <v>10315</v>
      </c>
      <c r="J5105" s="3" t="str">
        <f>HYPERLINK("https://www.boe.es/gazeta/dias/1821/12/23/pdfs/GMD-1821-366.pdf#page=2","Abrir facsímil")</f>
        <v>Abrir facsímil</v>
      </c>
      <c r="K5105" s="3" t="s">
        <v>23</v>
      </c>
    </row>
    <row r="5106" spans="1:11" ht="42" customHeight="1">
      <c r="A5106" s="2" t="s">
        <v>10316</v>
      </c>
      <c r="B5106" s="2" t="s">
        <v>10316</v>
      </c>
      <c r="C5106" s="2" t="s">
        <v>17</v>
      </c>
      <c r="D5106" s="2" t="s">
        <v>18</v>
      </c>
      <c r="E5106" s="5">
        <v>-28532</v>
      </c>
      <c r="F5106" s="3" t="s">
        <v>1415</v>
      </c>
      <c r="G5106" s="3" t="s">
        <v>162</v>
      </c>
      <c r="H5106" s="2" t="s">
        <v>21</v>
      </c>
      <c r="I5106" s="2" t="s">
        <v>10317</v>
      </c>
      <c r="J5106" s="3" t="str">
        <f>HYPERLINK("https://www.boe.es/gazeta/dias/1821/11/17/pdfs/GMD-1821-328.pdf#page=5","Abrir facsímil")</f>
        <v>Abrir facsímil</v>
      </c>
      <c r="K5106" s="3" t="s">
        <v>23</v>
      </c>
    </row>
    <row r="5107" spans="1:11" ht="42" customHeight="1">
      <c r="A5107" s="2" t="s">
        <v>10318</v>
      </c>
      <c r="B5107" s="2" t="s">
        <v>10318</v>
      </c>
      <c r="C5107" s="2" t="s">
        <v>40</v>
      </c>
      <c r="D5107" s="2" t="s">
        <v>41</v>
      </c>
      <c r="E5107" s="5">
        <v>-28494</v>
      </c>
      <c r="F5107" s="3" t="s">
        <v>1665</v>
      </c>
      <c r="G5107" s="3" t="s">
        <v>2803</v>
      </c>
      <c r="H5107" s="2" t="s">
        <v>21</v>
      </c>
      <c r="I5107" s="2" t="s">
        <v>10319</v>
      </c>
      <c r="J5107" s="3" t="str">
        <f>HYPERLINK("https://www.boe.es/gazeta/dias/1821/12/25/pdfs/GMD-1821-368.pdf#page=2","Abrir facsímil")</f>
        <v>Abrir facsímil</v>
      </c>
      <c r="K5107" s="3" t="s">
        <v>23</v>
      </c>
    </row>
    <row r="5108" spans="1:11" ht="42" customHeight="1">
      <c r="A5108" s="2" t="s">
        <v>10320</v>
      </c>
      <c r="B5108" s="2" t="s">
        <v>10320</v>
      </c>
      <c r="C5108" s="2" t="s">
        <v>40</v>
      </c>
      <c r="D5108" s="2" t="s">
        <v>41</v>
      </c>
      <c r="E5108" s="5">
        <v>-28638</v>
      </c>
      <c r="F5108" s="3" t="s">
        <v>736</v>
      </c>
      <c r="G5108" s="3" t="s">
        <v>52</v>
      </c>
      <c r="H5108" s="2" t="s">
        <v>21</v>
      </c>
      <c r="I5108" s="2" t="s">
        <v>10321</v>
      </c>
      <c r="J5108" s="3" t="str">
        <f>HYPERLINK("https://www.boe.es/gazeta/dias/1821/08/03/pdfs/GMD-1821-219.pdf#page=2","Abrir facsímil")</f>
        <v>Abrir facsímil</v>
      </c>
      <c r="K5108" s="3" t="s">
        <v>23</v>
      </c>
    </row>
    <row r="5109" spans="1:11" ht="42" customHeight="1">
      <c r="A5109" s="2" t="s">
        <v>10322</v>
      </c>
      <c r="B5109" s="2" t="s">
        <v>10323</v>
      </c>
      <c r="C5109" s="2" t="s">
        <v>26</v>
      </c>
      <c r="D5109" s="2" t="s">
        <v>27</v>
      </c>
      <c r="E5109" s="5">
        <v>-28636</v>
      </c>
      <c r="F5109" s="3" t="s">
        <v>122</v>
      </c>
      <c r="G5109" s="3" t="s">
        <v>20</v>
      </c>
      <c r="H5109" s="2" t="s">
        <v>21</v>
      </c>
      <c r="I5109" s="2" t="s">
        <v>10324</v>
      </c>
      <c r="J5109" s="3" t="str">
        <f>HYPERLINK("https://www.boe.es/gazeta/dias/1821/08/05/pdfs/GMD-1821-221.pdf#page=3","Abrir facsímil")</f>
        <v>Abrir facsímil</v>
      </c>
      <c r="K5109" s="3" t="s">
        <v>23</v>
      </c>
    </row>
    <row r="5110" spans="1:11" ht="42" customHeight="1">
      <c r="A5110" s="2" t="s">
        <v>10325</v>
      </c>
      <c r="B5110" s="2" t="s">
        <v>10326</v>
      </c>
      <c r="C5110" s="2" t="s">
        <v>40</v>
      </c>
      <c r="D5110" s="2" t="s">
        <v>41</v>
      </c>
      <c r="E5110" s="5">
        <v>-28490</v>
      </c>
      <c r="F5110" s="3" t="s">
        <v>801</v>
      </c>
      <c r="G5110" s="3" t="s">
        <v>88</v>
      </c>
      <c r="H5110" s="2" t="s">
        <v>21</v>
      </c>
      <c r="I5110" s="2" t="s">
        <v>10327</v>
      </c>
      <c r="J5110" s="3" t="str">
        <f>HYPERLINK("https://www.boe.es/gazeta/dias/1821/12/29/pdfs/GMD-1821-372.pdf#page=4","Abrir facsímil")</f>
        <v>Abrir facsímil</v>
      </c>
      <c r="K5110" s="3" t="s">
        <v>23</v>
      </c>
    </row>
    <row r="5111" spans="1:11" ht="42" customHeight="1">
      <c r="A5111" s="2" t="s">
        <v>10328</v>
      </c>
      <c r="B5111" s="2" t="s">
        <v>10328</v>
      </c>
      <c r="C5111" s="2" t="s">
        <v>26</v>
      </c>
      <c r="D5111" s="2" t="s">
        <v>27</v>
      </c>
      <c r="E5111" s="5">
        <v>-28724</v>
      </c>
      <c r="F5111" s="3" t="s">
        <v>1305</v>
      </c>
      <c r="G5111" s="3" t="s">
        <v>20</v>
      </c>
      <c r="H5111" s="2" t="s">
        <v>21</v>
      </c>
      <c r="I5111" s="2" t="s">
        <v>10329</v>
      </c>
      <c r="J5111" s="3" t="str">
        <f>HYPERLINK("https://www.boe.es/gazeta/dias/1821/05/09/pdfs/GMD-1821-131.pdf#page=3","Abrir facsímil")</f>
        <v>Abrir facsímil</v>
      </c>
      <c r="K5111" s="3" t="s">
        <v>23</v>
      </c>
    </row>
    <row r="5112" spans="1:11" ht="42" customHeight="1">
      <c r="A5112" s="2" t="s">
        <v>10330</v>
      </c>
      <c r="B5112" s="2" t="s">
        <v>10331</v>
      </c>
      <c r="C5112" s="2" t="s">
        <v>17</v>
      </c>
      <c r="D5112" s="2" t="s">
        <v>18</v>
      </c>
      <c r="E5112" s="5">
        <v>-28644</v>
      </c>
      <c r="F5112" s="3" t="s">
        <v>1340</v>
      </c>
      <c r="G5112" s="3" t="s">
        <v>88</v>
      </c>
      <c r="H5112" s="2" t="s">
        <v>21</v>
      </c>
      <c r="I5112" s="2" t="s">
        <v>10332</v>
      </c>
      <c r="J5112" s="3" t="str">
        <f>HYPERLINK("https://www.boe.es/gazeta/dias/1821/07/28/pdfs/GMD-1821-213.pdf#page=4","Abrir facsímil")</f>
        <v>Abrir facsímil</v>
      </c>
      <c r="K5112" s="3" t="s">
        <v>23</v>
      </c>
    </row>
    <row r="5113" spans="1:11" ht="42" customHeight="1">
      <c r="A5113" s="2" t="s">
        <v>10333</v>
      </c>
      <c r="B5113" s="2" t="s">
        <v>10333</v>
      </c>
      <c r="C5113" s="2" t="s">
        <v>40</v>
      </c>
      <c r="D5113" s="2" t="s">
        <v>41</v>
      </c>
      <c r="E5113" s="5">
        <v>-28509</v>
      </c>
      <c r="F5113" s="3" t="s">
        <v>388</v>
      </c>
      <c r="G5113" s="3" t="s">
        <v>52</v>
      </c>
      <c r="H5113" s="2" t="s">
        <v>21</v>
      </c>
      <c r="I5113" s="2" t="s">
        <v>10334</v>
      </c>
      <c r="J5113" s="3" t="str">
        <f>HYPERLINK("https://www.boe.es/gazeta/dias/1821/12/10/pdfs/GMD-1821-352.pdf#page=2","Abrir facsímil")</f>
        <v>Abrir facsímil</v>
      </c>
      <c r="K5113" s="3" t="s">
        <v>23</v>
      </c>
    </row>
    <row r="5114" spans="1:11" ht="42" customHeight="1">
      <c r="A5114" s="2" t="s">
        <v>10335</v>
      </c>
      <c r="B5114" s="2" t="s">
        <v>10335</v>
      </c>
      <c r="C5114" s="2" t="s">
        <v>40</v>
      </c>
      <c r="D5114" s="2" t="s">
        <v>41</v>
      </c>
      <c r="E5114" s="5">
        <v>-28522</v>
      </c>
      <c r="F5114" s="3" t="s">
        <v>1083</v>
      </c>
      <c r="G5114" s="3" t="s">
        <v>1288</v>
      </c>
      <c r="H5114" s="2" t="s">
        <v>21</v>
      </c>
      <c r="I5114" s="2" t="s">
        <v>10336</v>
      </c>
      <c r="J5114" s="3" t="str">
        <f>HYPERLINK("https://www.boe.es/gazeta/dias/1821/11/27/pdfs/GMD-1821-339.pdf#page=4","Abrir facsímil")</f>
        <v>Abrir facsímil</v>
      </c>
      <c r="K5114" s="3" t="s">
        <v>23</v>
      </c>
    </row>
    <row r="5115" spans="1:11" ht="42" customHeight="1">
      <c r="A5115" s="2" t="s">
        <v>10335</v>
      </c>
      <c r="B5115" s="2" t="s">
        <v>10335</v>
      </c>
      <c r="C5115" s="2" t="s">
        <v>40</v>
      </c>
      <c r="D5115" s="2" t="s">
        <v>41</v>
      </c>
      <c r="E5115" s="5">
        <v>-28509</v>
      </c>
      <c r="F5115" s="3" t="s">
        <v>388</v>
      </c>
      <c r="G5115" s="3" t="s">
        <v>52</v>
      </c>
      <c r="H5115" s="2" t="s">
        <v>21</v>
      </c>
      <c r="I5115" s="2" t="s">
        <v>10337</v>
      </c>
      <c r="J5115" s="3" t="str">
        <f>HYPERLINK("https://www.boe.es/gazeta/dias/1821/12/10/pdfs/GMD-1821-352.pdf#page=2","Abrir facsímil")</f>
        <v>Abrir facsímil</v>
      </c>
      <c r="K5115" s="3" t="s">
        <v>23</v>
      </c>
    </row>
    <row r="5116" spans="1:11" ht="42" customHeight="1">
      <c r="A5116" s="2" t="s">
        <v>10335</v>
      </c>
      <c r="B5116" s="2" t="s">
        <v>10335</v>
      </c>
      <c r="C5116" s="2" t="s">
        <v>17</v>
      </c>
      <c r="D5116" s="2" t="s">
        <v>18</v>
      </c>
      <c r="E5116" s="5">
        <v>-28509</v>
      </c>
      <c r="F5116" s="3" t="s">
        <v>388</v>
      </c>
      <c r="G5116" s="3" t="s">
        <v>20</v>
      </c>
      <c r="H5116" s="2" t="s">
        <v>21</v>
      </c>
      <c r="I5116" s="2" t="s">
        <v>10338</v>
      </c>
      <c r="J5116" s="3" t="str">
        <f>HYPERLINK("https://www.boe.es/gazeta/dias/1821/12/10/pdfs/GMD-1821-352.pdf#page=3","Abrir facsímil")</f>
        <v>Abrir facsímil</v>
      </c>
      <c r="K5116" s="3" t="s">
        <v>23</v>
      </c>
    </row>
    <row r="5117" spans="1:11" ht="42" customHeight="1">
      <c r="A5117" s="2" t="s">
        <v>10339</v>
      </c>
      <c r="B5117" s="2" t="s">
        <v>10340</v>
      </c>
      <c r="C5117" s="2" t="s">
        <v>26</v>
      </c>
      <c r="D5117" s="2" t="s">
        <v>27</v>
      </c>
      <c r="E5117" s="5">
        <v>-28847</v>
      </c>
      <c r="F5117" s="3" t="s">
        <v>288</v>
      </c>
      <c r="G5117" s="3" t="s">
        <v>20</v>
      </c>
      <c r="H5117" s="2" t="s">
        <v>21</v>
      </c>
      <c r="I5117" s="2" t="s">
        <v>10341</v>
      </c>
      <c r="J5117" s="3" t="str">
        <f>HYPERLINK("https://www.boe.es/gazeta/dias/1821/01/06/pdfs/GGB-1821-6.pdf#page=3","Abrir facsímil")</f>
        <v>Abrir facsímil</v>
      </c>
      <c r="K5117" s="3" t="s">
        <v>23</v>
      </c>
    </row>
    <row r="5118" spans="1:11" ht="42" customHeight="1">
      <c r="A5118" s="2" t="s">
        <v>10342</v>
      </c>
      <c r="B5118" s="2" t="s">
        <v>10343</v>
      </c>
      <c r="C5118" s="2" t="s">
        <v>40</v>
      </c>
      <c r="D5118" s="2" t="s">
        <v>41</v>
      </c>
      <c r="E5118" s="5">
        <v>-28629</v>
      </c>
      <c r="F5118" s="3" t="s">
        <v>235</v>
      </c>
      <c r="G5118" s="3" t="s">
        <v>88</v>
      </c>
      <c r="H5118" s="2" t="s">
        <v>21</v>
      </c>
      <c r="I5118" s="2" t="s">
        <v>10344</v>
      </c>
      <c r="J5118" s="3" t="str">
        <f>HYPERLINK("https://www.boe.es/gazeta/dias/1821/08/12/pdfs/GMD-1821-229.pdf#page=4","Abrir facsímil")</f>
        <v>Abrir facsímil</v>
      </c>
      <c r="K5118" s="3" t="s">
        <v>23</v>
      </c>
    </row>
    <row r="5119" spans="1:11" ht="42" customHeight="1">
      <c r="A5119" s="2" t="s">
        <v>10345</v>
      </c>
      <c r="B5119" s="2" t="s">
        <v>10346</v>
      </c>
      <c r="C5119" s="2" t="s">
        <v>40</v>
      </c>
      <c r="D5119" s="2" t="s">
        <v>41</v>
      </c>
      <c r="E5119" s="5">
        <v>-28509</v>
      </c>
      <c r="F5119" s="3" t="s">
        <v>388</v>
      </c>
      <c r="G5119" s="3" t="s">
        <v>52</v>
      </c>
      <c r="H5119" s="2" t="s">
        <v>21</v>
      </c>
      <c r="I5119" s="2" t="s">
        <v>10347</v>
      </c>
      <c r="J5119" s="3" t="str">
        <f>HYPERLINK("https://www.boe.es/gazeta/dias/1821/12/10/pdfs/GMD-1821-352.pdf#page=2","Abrir facsímil")</f>
        <v>Abrir facsímil</v>
      </c>
      <c r="K5119" s="3" t="s">
        <v>23</v>
      </c>
    </row>
    <row r="5120" spans="1:11" ht="42" customHeight="1">
      <c r="A5120" s="2" t="s">
        <v>10348</v>
      </c>
      <c r="B5120" s="2" t="s">
        <v>10349</v>
      </c>
      <c r="C5120" s="2" t="s">
        <v>40</v>
      </c>
      <c r="D5120" s="2" t="s">
        <v>41</v>
      </c>
      <c r="E5120" s="5">
        <v>-28522</v>
      </c>
      <c r="F5120" s="3" t="s">
        <v>1083</v>
      </c>
      <c r="G5120" s="3" t="s">
        <v>1288</v>
      </c>
      <c r="H5120" s="2" t="s">
        <v>21</v>
      </c>
      <c r="I5120" s="2" t="s">
        <v>10350</v>
      </c>
      <c r="J5120" s="3" t="str">
        <f>HYPERLINK("https://www.boe.es/gazeta/dias/1821/11/27/pdfs/GMD-1821-339.pdf#page=4","Abrir facsímil")</f>
        <v>Abrir facsímil</v>
      </c>
      <c r="K5120" s="3" t="s">
        <v>23</v>
      </c>
    </row>
    <row r="5121" spans="1:11" ht="42" customHeight="1">
      <c r="A5121" s="2" t="s">
        <v>10351</v>
      </c>
      <c r="B5121" s="2" t="s">
        <v>10352</v>
      </c>
      <c r="C5121" s="2" t="s">
        <v>35</v>
      </c>
      <c r="D5121" s="2" t="s">
        <v>27</v>
      </c>
      <c r="E5121" s="5">
        <v>-28522</v>
      </c>
      <c r="F5121" s="3" t="s">
        <v>1083</v>
      </c>
      <c r="G5121" s="3" t="s">
        <v>1288</v>
      </c>
      <c r="H5121" s="2" t="s">
        <v>21</v>
      </c>
      <c r="I5121" s="2" t="s">
        <v>10353</v>
      </c>
      <c r="J5121" s="3" t="str">
        <f>HYPERLINK("https://www.boe.es/gazeta/dias/1821/11/27/pdfs/GMD-1821-339.pdf#page=4","Abrir facsímil")</f>
        <v>Abrir facsímil</v>
      </c>
      <c r="K5121" s="3" t="s">
        <v>23</v>
      </c>
    </row>
    <row r="5122" spans="1:11" ht="42" customHeight="1">
      <c r="A5122" s="2" t="s">
        <v>10354</v>
      </c>
      <c r="B5122" s="2" t="s">
        <v>10355</v>
      </c>
      <c r="C5122" s="2" t="s">
        <v>40</v>
      </c>
      <c r="D5122" s="2" t="s">
        <v>41</v>
      </c>
      <c r="E5122" s="5">
        <v>-28509</v>
      </c>
      <c r="F5122" s="3" t="s">
        <v>388</v>
      </c>
      <c r="G5122" s="3" t="s">
        <v>88</v>
      </c>
      <c r="H5122" s="2" t="s">
        <v>21</v>
      </c>
      <c r="I5122" s="2" t="s">
        <v>10356</v>
      </c>
      <c r="J5122" s="3" t="str">
        <f>HYPERLINK("https://www.boe.es/gazeta/dias/1821/12/10/pdfs/GMD-1821-352.pdf#page=4","Abrir facsímil")</f>
        <v>Abrir facsímil</v>
      </c>
      <c r="K5122" s="3" t="s">
        <v>23</v>
      </c>
    </row>
    <row r="5123" spans="1:11" ht="42" customHeight="1">
      <c r="A5123" s="2" t="s">
        <v>10357</v>
      </c>
      <c r="B5123" s="2" t="s">
        <v>10357</v>
      </c>
      <c r="C5123" s="2" t="s">
        <v>17</v>
      </c>
      <c r="D5123" s="2" t="s">
        <v>18</v>
      </c>
      <c r="E5123" s="5">
        <v>-28791</v>
      </c>
      <c r="F5123" s="3" t="s">
        <v>47</v>
      </c>
      <c r="G5123" s="3" t="s">
        <v>20</v>
      </c>
      <c r="H5123" s="2" t="s">
        <v>21</v>
      </c>
      <c r="I5123" s="2" t="s">
        <v>10358</v>
      </c>
      <c r="J5123" s="3" t="str">
        <f>HYPERLINK("https://www.boe.es/gazeta/dias/1821/03/03/pdfs/GGB-1821-62.pdf#page=3","Abrir facsímil")</f>
        <v>Abrir facsímil</v>
      </c>
      <c r="K5123" s="3" t="s">
        <v>23</v>
      </c>
    </row>
    <row r="5124" spans="1:11" ht="42" customHeight="1">
      <c r="A5124" s="2" t="s">
        <v>10357</v>
      </c>
      <c r="B5124" s="2" t="s">
        <v>10357</v>
      </c>
      <c r="C5124" s="2" t="s">
        <v>70</v>
      </c>
      <c r="D5124" s="2" t="s">
        <v>27</v>
      </c>
      <c r="E5124" s="5">
        <v>-28724</v>
      </c>
      <c r="F5124" s="3" t="s">
        <v>1305</v>
      </c>
      <c r="G5124" s="3" t="s">
        <v>20</v>
      </c>
      <c r="H5124" s="2" t="s">
        <v>21</v>
      </c>
      <c r="I5124" s="2" t="s">
        <v>10359</v>
      </c>
      <c r="J5124" s="3" t="str">
        <f>HYPERLINK("https://www.boe.es/gazeta/dias/1821/05/09/pdfs/GMD-1821-131.pdf#page=3","Abrir facsímil")</f>
        <v>Abrir facsímil</v>
      </c>
      <c r="K5124" s="3" t="s">
        <v>23</v>
      </c>
    </row>
    <row r="5125" spans="1:11" ht="42" customHeight="1">
      <c r="A5125" s="2" t="s">
        <v>10357</v>
      </c>
      <c r="B5125" s="2" t="s">
        <v>10357</v>
      </c>
      <c r="C5125" s="2" t="s">
        <v>17</v>
      </c>
      <c r="D5125" s="2" t="s">
        <v>18</v>
      </c>
      <c r="E5125" s="5">
        <v>-28690</v>
      </c>
      <c r="F5125" s="3" t="s">
        <v>846</v>
      </c>
      <c r="G5125" s="3" t="s">
        <v>1243</v>
      </c>
      <c r="H5125" s="2" t="s">
        <v>21</v>
      </c>
      <c r="I5125" s="2" t="s">
        <v>10360</v>
      </c>
      <c r="J5125" s="3" t="str">
        <f>HYPERLINK("https://www.boe.es/gazeta/dias/1821/06/12/pdfs/GMD-1821-165.pdf#page=4","Abrir facsímil")</f>
        <v>Abrir facsímil</v>
      </c>
      <c r="K5125" s="3" t="s">
        <v>23</v>
      </c>
    </row>
    <row r="5126" spans="1:11" ht="42" customHeight="1">
      <c r="A5126" s="2" t="s">
        <v>10357</v>
      </c>
      <c r="B5126" s="2" t="s">
        <v>10357</v>
      </c>
      <c r="C5126" s="2" t="s">
        <v>26</v>
      </c>
      <c r="D5126" s="2" t="s">
        <v>27</v>
      </c>
      <c r="E5126" s="5">
        <v>-28503</v>
      </c>
      <c r="F5126" s="3" t="s">
        <v>947</v>
      </c>
      <c r="G5126" s="3" t="s">
        <v>29</v>
      </c>
      <c r="H5126" s="2" t="s">
        <v>21</v>
      </c>
      <c r="I5126" s="2" t="s">
        <v>10361</v>
      </c>
      <c r="J5126" s="3" t="str">
        <f>HYPERLINK("https://www.boe.es/gazeta/dias/1821/12/16/pdfs/GMD-1821-359.pdf#page=6","Abrir facsímil")</f>
        <v>Abrir facsímil</v>
      </c>
      <c r="K5126" s="3" t="s">
        <v>23</v>
      </c>
    </row>
    <row r="5127" spans="1:11" ht="42" customHeight="1">
      <c r="A5127" s="2" t="s">
        <v>10362</v>
      </c>
      <c r="B5127" s="2" t="s">
        <v>10363</v>
      </c>
      <c r="C5127" s="2" t="s">
        <v>40</v>
      </c>
      <c r="D5127" s="2" t="s">
        <v>41</v>
      </c>
      <c r="E5127" s="5">
        <v>-28718</v>
      </c>
      <c r="F5127" s="3" t="s">
        <v>583</v>
      </c>
      <c r="G5127" s="3" t="s">
        <v>88</v>
      </c>
      <c r="H5127" s="2" t="s">
        <v>21</v>
      </c>
      <c r="I5127" s="2" t="s">
        <v>10364</v>
      </c>
      <c r="J5127" s="3" t="str">
        <f>HYPERLINK("https://www.boe.es/gazeta/dias/1821/05/15/pdfs/GMD-1821-137.pdf#page=4","Abrir facsímil")</f>
        <v>Abrir facsímil</v>
      </c>
      <c r="K5127" s="3" t="s">
        <v>23</v>
      </c>
    </row>
    <row r="5128" spans="1:11" ht="42" customHeight="1">
      <c r="A5128" s="2" t="s">
        <v>10365</v>
      </c>
      <c r="B5128" s="2" t="s">
        <v>10366</v>
      </c>
      <c r="C5128" s="2" t="s">
        <v>35</v>
      </c>
      <c r="D5128" s="2" t="s">
        <v>27</v>
      </c>
      <c r="E5128" s="5">
        <v>-28674</v>
      </c>
      <c r="F5128" s="3" t="s">
        <v>536</v>
      </c>
      <c r="G5128" s="3" t="s">
        <v>20</v>
      </c>
      <c r="H5128" s="2" t="s">
        <v>21</v>
      </c>
      <c r="I5128" s="2" t="s">
        <v>10367</v>
      </c>
      <c r="J5128" s="3" t="str">
        <f>HYPERLINK("https://www.boe.es/gazeta/dias/1821/06/28/pdfs/GMD-1821-181.pdf#page=3","Abrir facsímil")</f>
        <v>Abrir facsímil</v>
      </c>
      <c r="K5128" s="3" t="s">
        <v>23</v>
      </c>
    </row>
    <row r="5129" spans="1:11" ht="42" customHeight="1">
      <c r="A5129" s="2" t="s">
        <v>10368</v>
      </c>
      <c r="B5129" s="2" t="s">
        <v>10368</v>
      </c>
      <c r="C5129" s="2" t="s">
        <v>40</v>
      </c>
      <c r="D5129" s="2" t="s">
        <v>41</v>
      </c>
      <c r="E5129" s="5">
        <v>-28763</v>
      </c>
      <c r="F5129" s="3" t="s">
        <v>1145</v>
      </c>
      <c r="G5129" s="3" t="s">
        <v>52</v>
      </c>
      <c r="H5129" s="2" t="s">
        <v>21</v>
      </c>
      <c r="I5129" s="2" t="s">
        <v>10369</v>
      </c>
      <c r="J5129" s="3" t="str">
        <f>HYPERLINK("https://www.boe.es/gazeta/dias/1821/03/31/pdfs/GMD-1821-92.pdf#page=2","Abrir facsímil")</f>
        <v>Abrir facsímil</v>
      </c>
      <c r="K5129" s="3" t="s">
        <v>23</v>
      </c>
    </row>
    <row r="5130" spans="1:11" ht="42" customHeight="1">
      <c r="A5130" s="2" t="s">
        <v>10370</v>
      </c>
      <c r="B5130" s="2" t="s">
        <v>10371</v>
      </c>
      <c r="C5130" s="2" t="s">
        <v>40</v>
      </c>
      <c r="D5130" s="2" t="s">
        <v>41</v>
      </c>
      <c r="E5130" s="5">
        <v>-28541</v>
      </c>
      <c r="F5130" s="3" t="s">
        <v>275</v>
      </c>
      <c r="G5130" s="3" t="s">
        <v>52</v>
      </c>
      <c r="H5130" s="2" t="s">
        <v>21</v>
      </c>
      <c r="I5130" s="2" t="s">
        <v>10372</v>
      </c>
      <c r="J5130" s="3" t="str">
        <f>HYPERLINK("https://www.boe.es/gazeta/dias/1821/11/08/pdfs/GMD-1821-319.pdf#page=2","Abrir facsímil")</f>
        <v>Abrir facsímil</v>
      </c>
      <c r="K5130" s="3" t="s">
        <v>23</v>
      </c>
    </row>
    <row r="5131" spans="1:11" ht="42" customHeight="1">
      <c r="A5131" s="2" t="s">
        <v>10373</v>
      </c>
      <c r="B5131" s="2" t="s">
        <v>10374</v>
      </c>
      <c r="C5131" s="2" t="s">
        <v>17</v>
      </c>
      <c r="D5131" s="2" t="s">
        <v>18</v>
      </c>
      <c r="E5131" s="5">
        <v>-28798</v>
      </c>
      <c r="F5131" s="3" t="s">
        <v>60</v>
      </c>
      <c r="G5131" s="3" t="s">
        <v>20</v>
      </c>
      <c r="H5131" s="2" t="s">
        <v>21</v>
      </c>
      <c r="I5131" s="2" t="s">
        <v>10375</v>
      </c>
      <c r="J5131" s="3" t="str">
        <f>HYPERLINK("https://www.boe.es/gazeta/dias/1821/02/24/pdfs/GGB-1821-55.pdf#page=3","Abrir facsímil")</f>
        <v>Abrir facsímil</v>
      </c>
      <c r="K5131" s="3" t="s">
        <v>23</v>
      </c>
    </row>
    <row r="5132" spans="1:11" ht="42" customHeight="1">
      <c r="A5132" s="2" t="s">
        <v>10376</v>
      </c>
      <c r="B5132" s="2" t="s">
        <v>10376</v>
      </c>
      <c r="C5132" s="2" t="s">
        <v>17</v>
      </c>
      <c r="D5132" s="2" t="s">
        <v>18</v>
      </c>
      <c r="E5132" s="5">
        <v>-28596</v>
      </c>
      <c r="F5132" s="3" t="s">
        <v>1275</v>
      </c>
      <c r="G5132" s="3" t="s">
        <v>52</v>
      </c>
      <c r="H5132" s="2" t="s">
        <v>21</v>
      </c>
      <c r="I5132" s="2" t="s">
        <v>10377</v>
      </c>
      <c r="J5132" s="3" t="str">
        <f>HYPERLINK("https://www.boe.es/gazeta/dias/1821/09/14/pdfs/GMD-1821-262.pdf#page=2","Abrir facsímil")</f>
        <v>Abrir facsímil</v>
      </c>
      <c r="K5132" s="3" t="s">
        <v>23</v>
      </c>
    </row>
    <row r="5133" spans="1:11" ht="42" customHeight="1">
      <c r="A5133" s="2" t="s">
        <v>10378</v>
      </c>
      <c r="B5133" s="2" t="s">
        <v>10378</v>
      </c>
      <c r="C5133" s="2" t="s">
        <v>26</v>
      </c>
      <c r="D5133" s="2" t="s">
        <v>27</v>
      </c>
      <c r="E5133" s="5">
        <v>-28643</v>
      </c>
      <c r="F5133" s="3" t="s">
        <v>1569</v>
      </c>
      <c r="G5133" s="3" t="s">
        <v>20</v>
      </c>
      <c r="H5133" s="2" t="s">
        <v>21</v>
      </c>
      <c r="I5133" s="2" t="s">
        <v>10379</v>
      </c>
      <c r="J5133" s="3" t="str">
        <f>HYPERLINK("https://www.boe.es/gazeta/dias/1821/07/29/pdfs/GMD-1821-214.pdf#page=3","Abrir facsímil")</f>
        <v>Abrir facsímil</v>
      </c>
      <c r="K5133" s="3" t="s">
        <v>23</v>
      </c>
    </row>
    <row r="5134" spans="1:11" ht="42" customHeight="1">
      <c r="A5134" s="2" t="s">
        <v>10380</v>
      </c>
      <c r="B5134" s="2" t="s">
        <v>10380</v>
      </c>
      <c r="C5134" s="2" t="s">
        <v>17</v>
      </c>
      <c r="D5134" s="2" t="s">
        <v>18</v>
      </c>
      <c r="E5134" s="5">
        <v>-28753</v>
      </c>
      <c r="F5134" s="3" t="s">
        <v>720</v>
      </c>
      <c r="G5134" s="3" t="s">
        <v>776</v>
      </c>
      <c r="H5134" s="2" t="s">
        <v>21</v>
      </c>
      <c r="I5134" s="2" t="s">
        <v>10381</v>
      </c>
      <c r="J5134" s="3" t="str">
        <f>HYPERLINK("https://www.boe.es/gazeta/dias/1821/04/10/pdfs/GMD-1821-102.pdf#page=2","Abrir facsímil")</f>
        <v>Abrir facsímil</v>
      </c>
      <c r="K5134" s="3" t="s">
        <v>23</v>
      </c>
    </row>
    <row r="5135" spans="1:11" ht="42" customHeight="1">
      <c r="A5135" s="2" t="s">
        <v>10380</v>
      </c>
      <c r="B5135" s="2" t="s">
        <v>10380</v>
      </c>
      <c r="C5135" s="2" t="s">
        <v>40</v>
      </c>
      <c r="D5135" s="2" t="s">
        <v>41</v>
      </c>
      <c r="E5135" s="5">
        <v>-28648</v>
      </c>
      <c r="F5135" s="3" t="s">
        <v>1520</v>
      </c>
      <c r="G5135" s="3" t="s">
        <v>1521</v>
      </c>
      <c r="H5135" s="2" t="s">
        <v>21</v>
      </c>
      <c r="I5135" s="2" t="s">
        <v>10382</v>
      </c>
      <c r="J5135" s="3" t="str">
        <f>HYPERLINK("https://www.boe.es/gazeta/dias/1821/07/24/pdfs/GMD-1821-209.pdf#page=6","Abrir facsímil")</f>
        <v>Abrir facsímil</v>
      </c>
      <c r="K5135" s="3" t="s">
        <v>23</v>
      </c>
    </row>
    <row r="5136" spans="1:11" ht="42" customHeight="1">
      <c r="A5136" s="2" t="s">
        <v>10380</v>
      </c>
      <c r="B5136" s="2" t="s">
        <v>10380</v>
      </c>
      <c r="C5136" s="2" t="s">
        <v>40</v>
      </c>
      <c r="D5136" s="2" t="s">
        <v>405</v>
      </c>
      <c r="E5136" s="5">
        <v>-28546</v>
      </c>
      <c r="F5136" s="3" t="s">
        <v>6425</v>
      </c>
      <c r="G5136" s="3" t="s">
        <v>43</v>
      </c>
      <c r="H5136" s="2" t="s">
        <v>21</v>
      </c>
      <c r="I5136" s="2" t="s">
        <v>10383</v>
      </c>
      <c r="J5136" s="3" t="str">
        <f>HYPERLINK("https://www.boe.es/gazeta/dias/1821/11/03/pdfs/GMD-1821-314E.pdf#page=1","Abrir facsímil")</f>
        <v>Abrir facsímil</v>
      </c>
      <c r="K5136" s="3" t="s">
        <v>23</v>
      </c>
    </row>
    <row r="5137" spans="1:11" ht="42" customHeight="1">
      <c r="A5137" s="2" t="s">
        <v>10384</v>
      </c>
      <c r="B5137" s="2" t="s">
        <v>10385</v>
      </c>
      <c r="C5137" s="2" t="s">
        <v>40</v>
      </c>
      <c r="D5137" s="2" t="s">
        <v>41</v>
      </c>
      <c r="E5137" s="5">
        <v>-28693</v>
      </c>
      <c r="F5137" s="3" t="s">
        <v>74</v>
      </c>
      <c r="G5137" s="3" t="s">
        <v>162</v>
      </c>
      <c r="H5137" s="2" t="s">
        <v>21</v>
      </c>
      <c r="I5137" s="2" t="s">
        <v>10386</v>
      </c>
      <c r="J5137" s="3" t="str">
        <f>HYPERLINK("https://www.boe.es/gazeta/dias/1821/06/09/pdfs/GMD-1821-162.pdf#page=5","Abrir facsímil")</f>
        <v>Abrir facsímil</v>
      </c>
      <c r="K5137" s="3" t="s">
        <v>23</v>
      </c>
    </row>
    <row r="5138" spans="1:11" ht="42" customHeight="1">
      <c r="A5138" s="2" t="s">
        <v>10387</v>
      </c>
      <c r="B5138" s="2" t="s">
        <v>10387</v>
      </c>
      <c r="C5138" s="2" t="s">
        <v>40</v>
      </c>
      <c r="D5138" s="2" t="s">
        <v>41</v>
      </c>
      <c r="E5138" s="5">
        <v>-28638</v>
      </c>
      <c r="F5138" s="3" t="s">
        <v>736</v>
      </c>
      <c r="G5138" s="3" t="s">
        <v>43</v>
      </c>
      <c r="H5138" s="2" t="s">
        <v>21</v>
      </c>
      <c r="I5138" s="2" t="s">
        <v>10388</v>
      </c>
      <c r="J5138" s="3" t="str">
        <f>HYPERLINK("https://www.boe.es/gazeta/dias/1821/08/03/pdfs/GMD-1821-219.pdf#page=1","Abrir facsímil")</f>
        <v>Abrir facsímil</v>
      </c>
      <c r="K5138" s="3" t="s">
        <v>23</v>
      </c>
    </row>
    <row r="5139" spans="1:11" ht="42" customHeight="1">
      <c r="A5139" s="2" t="s">
        <v>10389</v>
      </c>
      <c r="B5139" s="2" t="s">
        <v>10389</v>
      </c>
      <c r="C5139" s="2" t="s">
        <v>17</v>
      </c>
      <c r="D5139" s="2" t="s">
        <v>18</v>
      </c>
      <c r="E5139" s="5">
        <v>-28743</v>
      </c>
      <c r="F5139" s="3" t="s">
        <v>51</v>
      </c>
      <c r="G5139" s="3" t="s">
        <v>20</v>
      </c>
      <c r="H5139" s="2" t="s">
        <v>21</v>
      </c>
      <c r="I5139" s="2" t="s">
        <v>10390</v>
      </c>
      <c r="J5139" s="3" t="str">
        <f>HYPERLINK("https://www.boe.es/gazeta/dias/1821/04/20/pdfs/GMD-1821-112.pdf#page=3","Abrir facsímil")</f>
        <v>Abrir facsímil</v>
      </c>
      <c r="K5139" s="3" t="s">
        <v>23</v>
      </c>
    </row>
    <row r="5140" spans="1:11" ht="42" customHeight="1">
      <c r="A5140" s="2" t="s">
        <v>10389</v>
      </c>
      <c r="B5140" s="2" t="s">
        <v>10389</v>
      </c>
      <c r="C5140" s="2" t="s">
        <v>17</v>
      </c>
      <c r="D5140" s="2" t="s">
        <v>18</v>
      </c>
      <c r="E5140" s="5">
        <v>-28731</v>
      </c>
      <c r="F5140" s="3" t="s">
        <v>577</v>
      </c>
      <c r="G5140" s="3" t="s">
        <v>20</v>
      </c>
      <c r="H5140" s="2" t="s">
        <v>21</v>
      </c>
      <c r="I5140" s="2" t="s">
        <v>10391</v>
      </c>
      <c r="J5140" s="3" t="str">
        <f>HYPERLINK("https://www.boe.es/gazeta/dias/1821/05/02/pdfs/GMD-1821-124.pdf#page=3","Abrir facsímil")</f>
        <v>Abrir facsímil</v>
      </c>
      <c r="K5140" s="3" t="s">
        <v>23</v>
      </c>
    </row>
    <row r="5141" spans="1:11" ht="42" customHeight="1">
      <c r="A5141" s="2" t="s">
        <v>10389</v>
      </c>
      <c r="B5141" s="2" t="s">
        <v>10389</v>
      </c>
      <c r="C5141" s="2" t="s">
        <v>26</v>
      </c>
      <c r="D5141" s="2" t="s">
        <v>27</v>
      </c>
      <c r="E5141" s="5">
        <v>-28691</v>
      </c>
      <c r="F5141" s="3" t="s">
        <v>716</v>
      </c>
      <c r="G5141" s="3" t="s">
        <v>43</v>
      </c>
      <c r="H5141" s="2" t="s">
        <v>21</v>
      </c>
      <c r="I5141" s="2" t="s">
        <v>10392</v>
      </c>
      <c r="J5141" s="3" t="str">
        <f>HYPERLINK("https://www.boe.es/gazeta/dias/1821/06/11/pdfs/GMD-1821-164.pdf#page=1","Abrir facsímil")</f>
        <v>Abrir facsímil</v>
      </c>
      <c r="K5141" s="3" t="s">
        <v>23</v>
      </c>
    </row>
    <row r="5142" spans="1:11" ht="42" customHeight="1">
      <c r="A5142" s="2" t="s">
        <v>10389</v>
      </c>
      <c r="B5142" s="2" t="s">
        <v>10389</v>
      </c>
      <c r="C5142" s="2" t="s">
        <v>26</v>
      </c>
      <c r="D5142" s="2" t="s">
        <v>27</v>
      </c>
      <c r="E5142" s="5">
        <v>-28619</v>
      </c>
      <c r="F5142" s="3" t="s">
        <v>3364</v>
      </c>
      <c r="G5142" s="3" t="s">
        <v>43</v>
      </c>
      <c r="H5142" s="2" t="s">
        <v>21</v>
      </c>
      <c r="I5142" s="2" t="s">
        <v>10393</v>
      </c>
      <c r="J5142" s="3" t="str">
        <f>HYPERLINK("https://www.boe.es/gazeta/dias/1821/08/22/pdfs/GMD-1821-239.pdf#page=1","Abrir facsímil")</f>
        <v>Abrir facsímil</v>
      </c>
      <c r="K5142" s="3" t="s">
        <v>23</v>
      </c>
    </row>
    <row r="5143" spans="1:11" ht="42" customHeight="1">
      <c r="A5143" s="2" t="s">
        <v>10389</v>
      </c>
      <c r="B5143" s="2" t="s">
        <v>10389</v>
      </c>
      <c r="C5143" s="2" t="s">
        <v>17</v>
      </c>
      <c r="D5143" s="2" t="s">
        <v>18</v>
      </c>
      <c r="E5143" s="5">
        <v>-28611</v>
      </c>
      <c r="F5143" s="3" t="s">
        <v>5777</v>
      </c>
      <c r="G5143" s="3" t="s">
        <v>88</v>
      </c>
      <c r="H5143" s="2" t="s">
        <v>21</v>
      </c>
      <c r="I5143" s="2" t="s">
        <v>10394</v>
      </c>
      <c r="J5143" s="3" t="str">
        <f>HYPERLINK("https://www.boe.es/gazeta/dias/1821/08/30/pdfs/GMD-1821-247.pdf#page=4","Abrir facsímil")</f>
        <v>Abrir facsímil</v>
      </c>
      <c r="K5143" s="3" t="s">
        <v>23</v>
      </c>
    </row>
    <row r="5144" spans="1:11" ht="42" customHeight="1">
      <c r="A5144" s="2" t="s">
        <v>10389</v>
      </c>
      <c r="B5144" s="2" t="s">
        <v>10389</v>
      </c>
      <c r="C5144" s="2" t="s">
        <v>26</v>
      </c>
      <c r="D5144" s="2" t="s">
        <v>27</v>
      </c>
      <c r="E5144" s="5">
        <v>-28587</v>
      </c>
      <c r="F5144" s="3" t="s">
        <v>392</v>
      </c>
      <c r="G5144" s="3" t="s">
        <v>20</v>
      </c>
      <c r="H5144" s="2" t="s">
        <v>21</v>
      </c>
      <c r="I5144" s="2" t="s">
        <v>10395</v>
      </c>
      <c r="J5144" s="3" t="str">
        <f>HYPERLINK("https://www.boe.es/gazeta/dias/1821/09/23/pdfs/GMD-1821-271.pdf#page=3","Abrir facsímil")</f>
        <v>Abrir facsímil</v>
      </c>
      <c r="K5144" s="3" t="s">
        <v>23</v>
      </c>
    </row>
    <row r="5145" spans="1:11" ht="42" customHeight="1">
      <c r="A5145" s="2" t="s">
        <v>10389</v>
      </c>
      <c r="B5145" s="2" t="s">
        <v>10389</v>
      </c>
      <c r="C5145" s="2" t="s">
        <v>114</v>
      </c>
      <c r="D5145" s="2" t="s">
        <v>27</v>
      </c>
      <c r="E5145" s="5">
        <v>-28545</v>
      </c>
      <c r="F5145" s="3" t="s">
        <v>284</v>
      </c>
      <c r="G5145" s="3" t="s">
        <v>20</v>
      </c>
      <c r="H5145" s="2" t="s">
        <v>21</v>
      </c>
      <c r="I5145" s="2" t="s">
        <v>10396</v>
      </c>
      <c r="J5145" s="3" t="str">
        <f>HYPERLINK("https://www.boe.es/gazeta/dias/1821/11/04/pdfs/GMD-1821-315.pdf#page=3","Abrir facsímil")</f>
        <v>Abrir facsímil</v>
      </c>
      <c r="K5145" s="3" t="s">
        <v>23</v>
      </c>
    </row>
    <row r="5146" spans="1:11" ht="42" customHeight="1">
      <c r="A5146" s="2" t="s">
        <v>10397</v>
      </c>
      <c r="B5146" s="2" t="s">
        <v>10398</v>
      </c>
      <c r="C5146" s="2" t="s">
        <v>174</v>
      </c>
      <c r="D5146" s="2" t="s">
        <v>27</v>
      </c>
      <c r="E5146" s="5">
        <v>-28558</v>
      </c>
      <c r="F5146" s="3" t="s">
        <v>758</v>
      </c>
      <c r="G5146" s="3" t="s">
        <v>29</v>
      </c>
      <c r="H5146" s="2" t="s">
        <v>21</v>
      </c>
      <c r="I5146" s="2" t="s">
        <v>10399</v>
      </c>
      <c r="J5146" s="3" t="str">
        <f>HYPERLINK("https://www.boe.es/gazeta/dias/1821/10/22/pdfs/GMD-1821-301.pdf#page=6","Abrir facsímil")</f>
        <v>Abrir facsímil</v>
      </c>
      <c r="K5146" s="3" t="s">
        <v>23</v>
      </c>
    </row>
    <row r="5147" spans="1:11" ht="42" customHeight="1">
      <c r="A5147" s="2" t="s">
        <v>10400</v>
      </c>
      <c r="B5147" s="2" t="s">
        <v>10400</v>
      </c>
      <c r="C5147" s="2" t="s">
        <v>174</v>
      </c>
      <c r="D5147" s="2" t="s">
        <v>27</v>
      </c>
      <c r="E5147" s="5">
        <v>-28775</v>
      </c>
      <c r="F5147" s="3" t="s">
        <v>132</v>
      </c>
      <c r="G5147" s="3" t="s">
        <v>20</v>
      </c>
      <c r="H5147" s="2" t="s">
        <v>21</v>
      </c>
      <c r="I5147" s="2" t="s">
        <v>10401</v>
      </c>
      <c r="J5147" s="3" t="str">
        <f>HYPERLINK("https://www.boe.es/gazeta/dias/1821/03/19/pdfs/GMD-1821-78.pdf#page=3","Abrir facsímil")</f>
        <v>Abrir facsímil</v>
      </c>
      <c r="K5147" s="3" t="s">
        <v>23</v>
      </c>
    </row>
    <row r="5148" spans="1:11" ht="42" customHeight="1">
      <c r="A5148" s="2" t="s">
        <v>10402</v>
      </c>
      <c r="B5148" s="2" t="s">
        <v>10402</v>
      </c>
      <c r="C5148" s="2" t="s">
        <v>174</v>
      </c>
      <c r="D5148" s="2" t="s">
        <v>27</v>
      </c>
      <c r="E5148" s="5">
        <v>-28580</v>
      </c>
      <c r="F5148" s="3" t="s">
        <v>175</v>
      </c>
      <c r="G5148" s="3" t="s">
        <v>20</v>
      </c>
      <c r="H5148" s="2" t="s">
        <v>21</v>
      </c>
      <c r="I5148" s="2" t="s">
        <v>10403</v>
      </c>
      <c r="J5148" s="3" t="str">
        <f>HYPERLINK("https://www.boe.es/gazeta/dias/1821/09/30/pdfs/GMD-1821-279.pdf#page=3","Abrir facsímil")</f>
        <v>Abrir facsímil</v>
      </c>
      <c r="K5148" s="3" t="s">
        <v>23</v>
      </c>
    </row>
    <row r="5149" spans="1:11" ht="42" customHeight="1">
      <c r="A5149" s="2" t="s">
        <v>10404</v>
      </c>
      <c r="B5149" s="2" t="s">
        <v>10405</v>
      </c>
      <c r="C5149" s="2" t="s">
        <v>174</v>
      </c>
      <c r="D5149" s="2" t="s">
        <v>27</v>
      </c>
      <c r="E5149" s="5">
        <v>-28805</v>
      </c>
      <c r="F5149" s="3" t="s">
        <v>382</v>
      </c>
      <c r="G5149" s="3" t="s">
        <v>88</v>
      </c>
      <c r="H5149" s="2" t="s">
        <v>21</v>
      </c>
      <c r="I5149" s="2" t="s">
        <v>10406</v>
      </c>
      <c r="J5149" s="3" t="str">
        <f>HYPERLINK("https://www.boe.es/gazeta/dias/1821/02/17/pdfs/GGB-1821-48.pdf#page=4","Abrir facsímil")</f>
        <v>Abrir facsímil</v>
      </c>
      <c r="K5149" s="3" t="s">
        <v>23</v>
      </c>
    </row>
    <row r="5150" spans="1:11" ht="42" customHeight="1">
      <c r="A5150" s="2" t="s">
        <v>10407</v>
      </c>
      <c r="B5150" s="2" t="s">
        <v>10408</v>
      </c>
      <c r="C5150" s="2" t="s">
        <v>26</v>
      </c>
      <c r="D5150" s="2" t="s">
        <v>27</v>
      </c>
      <c r="E5150" s="5">
        <v>-28773</v>
      </c>
      <c r="F5150" s="3" t="s">
        <v>1755</v>
      </c>
      <c r="G5150" s="3" t="s">
        <v>52</v>
      </c>
      <c r="H5150" s="2" t="s">
        <v>21</v>
      </c>
      <c r="I5150" s="2" t="s">
        <v>10409</v>
      </c>
      <c r="J5150" s="3" t="str">
        <f>HYPERLINK("https://www.boe.es/gazeta/dias/1821/03/21/pdfs/GMD-1821-80.pdf#page=2","Abrir facsímil")</f>
        <v>Abrir facsímil</v>
      </c>
      <c r="K5150" s="3" t="s">
        <v>23</v>
      </c>
    </row>
    <row r="5151" spans="1:11" ht="42" customHeight="1">
      <c r="A5151" s="2" t="s">
        <v>10410</v>
      </c>
      <c r="B5151" s="2" t="s">
        <v>10411</v>
      </c>
      <c r="C5151" s="2" t="s">
        <v>70</v>
      </c>
      <c r="D5151" s="2" t="s">
        <v>27</v>
      </c>
      <c r="E5151" s="5">
        <v>-28763</v>
      </c>
      <c r="F5151" s="3" t="s">
        <v>1145</v>
      </c>
      <c r="G5151" s="3" t="s">
        <v>88</v>
      </c>
      <c r="H5151" s="2" t="s">
        <v>30</v>
      </c>
      <c r="I5151" s="2" t="s">
        <v>10412</v>
      </c>
      <c r="J5151" s="3" t="str">
        <f>HYPERLINK("https://www.boe.es/gazeta/dias/1821/03/31/pdfs/GMD-1821-92.pdf#page=4","Abrir facsímil")</f>
        <v>Abrir facsímil</v>
      </c>
      <c r="K5151" s="3" t="s">
        <v>32</v>
      </c>
    </row>
    <row r="5152" spans="1:11" ht="42" customHeight="1">
      <c r="A5152" s="2" t="s">
        <v>10413</v>
      </c>
      <c r="B5152" s="2" t="s">
        <v>10414</v>
      </c>
      <c r="C5152" s="2" t="s">
        <v>17</v>
      </c>
      <c r="D5152" s="2" t="s">
        <v>18</v>
      </c>
      <c r="E5152" s="5">
        <v>-28537</v>
      </c>
      <c r="F5152" s="3" t="s">
        <v>56</v>
      </c>
      <c r="G5152" s="3" t="s">
        <v>29</v>
      </c>
      <c r="H5152" s="2" t="s">
        <v>21</v>
      </c>
      <c r="I5152" s="2" t="s">
        <v>10415</v>
      </c>
      <c r="J5152" s="3" t="str">
        <f>HYPERLINK("https://www.boe.es/gazeta/dias/1821/11/12/pdfs/GMD-1821-323.pdf#page=6","Abrir facsímil")</f>
        <v>Abrir facsímil</v>
      </c>
      <c r="K5152" s="3" t="s">
        <v>23</v>
      </c>
    </row>
    <row r="5153" spans="1:11" ht="42" customHeight="1">
      <c r="A5153" s="2" t="s">
        <v>10416</v>
      </c>
      <c r="B5153" s="2" t="s">
        <v>10417</v>
      </c>
      <c r="C5153" s="2" t="s">
        <v>40</v>
      </c>
      <c r="D5153" s="2" t="s">
        <v>41</v>
      </c>
      <c r="E5153" s="5">
        <v>-28654</v>
      </c>
      <c r="F5153" s="3" t="s">
        <v>674</v>
      </c>
      <c r="G5153" s="3" t="s">
        <v>88</v>
      </c>
      <c r="H5153" s="2" t="s">
        <v>21</v>
      </c>
      <c r="I5153" s="2" t="s">
        <v>10418</v>
      </c>
      <c r="J5153" s="3" t="str">
        <f>HYPERLINK("https://www.boe.es/gazeta/dias/1821/07/18/pdfs/GMD-1821-203.pdf#page=4","Abrir facsímil")</f>
        <v>Abrir facsímil</v>
      </c>
      <c r="K5153" s="3" t="s">
        <v>23</v>
      </c>
    </row>
    <row r="5154" spans="1:11" ht="42" customHeight="1">
      <c r="A5154" s="2" t="s">
        <v>10419</v>
      </c>
      <c r="B5154" s="2" t="s">
        <v>10419</v>
      </c>
      <c r="C5154" s="2" t="s">
        <v>35</v>
      </c>
      <c r="D5154" s="2" t="s">
        <v>27</v>
      </c>
      <c r="E5154" s="5">
        <v>-28677</v>
      </c>
      <c r="F5154" s="3" t="s">
        <v>361</v>
      </c>
      <c r="G5154" s="3" t="s">
        <v>162</v>
      </c>
      <c r="H5154" s="2" t="s">
        <v>21</v>
      </c>
      <c r="I5154" s="2" t="s">
        <v>10420</v>
      </c>
      <c r="J5154" s="3" t="str">
        <f>HYPERLINK("https://www.boe.es/gazeta/dias/1821/06/25/pdfs/GMD-1821-178.pdf#page=5","Abrir facsímil")</f>
        <v>Abrir facsímil</v>
      </c>
      <c r="K5154" s="3" t="s">
        <v>23</v>
      </c>
    </row>
    <row r="5155" spans="1:11" ht="42" customHeight="1">
      <c r="A5155" s="2" t="s">
        <v>10421</v>
      </c>
      <c r="B5155" s="2" t="s">
        <v>10421</v>
      </c>
      <c r="C5155" s="2" t="s">
        <v>26</v>
      </c>
      <c r="D5155" s="2" t="s">
        <v>27</v>
      </c>
      <c r="E5155" s="5">
        <v>-28600</v>
      </c>
      <c r="F5155" s="3" t="s">
        <v>99</v>
      </c>
      <c r="G5155" s="3" t="s">
        <v>20</v>
      </c>
      <c r="H5155" s="2" t="s">
        <v>21</v>
      </c>
      <c r="I5155" s="2" t="s">
        <v>10422</v>
      </c>
      <c r="J5155" s="3" t="str">
        <f>HYPERLINK("https://www.boe.es/gazeta/dias/1821/09/10/pdfs/GMD-1821-258.pdf#page=3","Abrir facsímil")</f>
        <v>Abrir facsímil</v>
      </c>
      <c r="K5155" s="3" t="s">
        <v>23</v>
      </c>
    </row>
    <row r="5156" spans="1:11" ht="42" customHeight="1">
      <c r="A5156" s="2" t="s">
        <v>10423</v>
      </c>
      <c r="B5156" s="2" t="s">
        <v>10424</v>
      </c>
      <c r="C5156" s="2" t="s">
        <v>17</v>
      </c>
      <c r="D5156" s="2" t="s">
        <v>18</v>
      </c>
      <c r="E5156" s="5">
        <v>-28537</v>
      </c>
      <c r="F5156" s="3" t="s">
        <v>56</v>
      </c>
      <c r="G5156" s="3" t="s">
        <v>52</v>
      </c>
      <c r="H5156" s="2" t="s">
        <v>21</v>
      </c>
      <c r="I5156" s="2" t="s">
        <v>10425</v>
      </c>
      <c r="J5156" s="3" t="str">
        <f>HYPERLINK("https://www.boe.es/gazeta/dias/1821/11/12/pdfs/GMD-1821-323.pdf#page=2","Abrir facsímil")</f>
        <v>Abrir facsímil</v>
      </c>
      <c r="K5156" s="3" t="s">
        <v>23</v>
      </c>
    </row>
    <row r="5157" spans="1:11" ht="42" customHeight="1">
      <c r="A5157" s="2" t="s">
        <v>10426</v>
      </c>
      <c r="B5157" s="2" t="s">
        <v>10426</v>
      </c>
      <c r="C5157" s="2" t="s">
        <v>17</v>
      </c>
      <c r="D5157" s="2" t="s">
        <v>18</v>
      </c>
      <c r="E5157" s="5">
        <v>-28682</v>
      </c>
      <c r="F5157" s="3" t="s">
        <v>1064</v>
      </c>
      <c r="G5157" s="3" t="s">
        <v>162</v>
      </c>
      <c r="H5157" s="2" t="s">
        <v>21</v>
      </c>
      <c r="I5157" s="2" t="s">
        <v>10427</v>
      </c>
      <c r="J5157" s="3" t="str">
        <f>HYPERLINK("https://www.boe.es/gazeta/dias/1821/06/20/pdfs/GMD-1821-173.pdf#page=5","Abrir facsímil")</f>
        <v>Abrir facsímil</v>
      </c>
      <c r="K5157" s="3" t="s">
        <v>23</v>
      </c>
    </row>
    <row r="5158" spans="1:11" ht="42" customHeight="1">
      <c r="A5158" s="2" t="s">
        <v>10428</v>
      </c>
      <c r="B5158" s="2" t="s">
        <v>10429</v>
      </c>
      <c r="C5158" s="2" t="s">
        <v>114</v>
      </c>
      <c r="D5158" s="2" t="s">
        <v>27</v>
      </c>
      <c r="E5158" s="5">
        <v>-28510</v>
      </c>
      <c r="F5158" s="3" t="s">
        <v>83</v>
      </c>
      <c r="G5158" s="3" t="s">
        <v>52</v>
      </c>
      <c r="H5158" s="2" t="s">
        <v>21</v>
      </c>
      <c r="I5158" s="2" t="s">
        <v>10430</v>
      </c>
      <c r="J5158" s="3" t="str">
        <f>HYPERLINK("https://www.boe.es/gazeta/dias/1821/12/09/pdfs/GMD-1821-351.pdf#page=2","Abrir facsímil")</f>
        <v>Abrir facsímil</v>
      </c>
      <c r="K5158" s="3" t="s">
        <v>23</v>
      </c>
    </row>
    <row r="5159" spans="1:11" ht="42" customHeight="1">
      <c r="A5159" s="2" t="s">
        <v>10431</v>
      </c>
      <c r="B5159" s="2" t="s">
        <v>10431</v>
      </c>
      <c r="C5159" s="2" t="s">
        <v>17</v>
      </c>
      <c r="D5159" s="2" t="s">
        <v>18</v>
      </c>
      <c r="E5159" s="5">
        <v>-28729</v>
      </c>
      <c r="F5159" s="3" t="s">
        <v>838</v>
      </c>
      <c r="G5159" s="3" t="s">
        <v>20</v>
      </c>
      <c r="H5159" s="2" t="s">
        <v>21</v>
      </c>
      <c r="I5159" s="2" t="s">
        <v>10432</v>
      </c>
      <c r="J5159" s="3" t="str">
        <f>HYPERLINK("https://www.boe.es/gazeta/dias/1821/05/04/pdfs/GMD-1821-126.pdf#page=3","Abrir facsímil")</f>
        <v>Abrir facsímil</v>
      </c>
      <c r="K5159" s="3" t="s">
        <v>23</v>
      </c>
    </row>
    <row r="5160" spans="1:11" ht="42" customHeight="1">
      <c r="A5160" s="2" t="s">
        <v>10433</v>
      </c>
      <c r="B5160" s="2" t="s">
        <v>10433</v>
      </c>
      <c r="C5160" s="2" t="s">
        <v>17</v>
      </c>
      <c r="D5160" s="2" t="s">
        <v>18</v>
      </c>
      <c r="E5160" s="5">
        <v>-28602</v>
      </c>
      <c r="F5160" s="3" t="s">
        <v>1526</v>
      </c>
      <c r="G5160" s="3" t="s">
        <v>20</v>
      </c>
      <c r="H5160" s="2" t="s">
        <v>21</v>
      </c>
      <c r="I5160" s="2" t="s">
        <v>10434</v>
      </c>
      <c r="J5160" s="3" t="str">
        <f>HYPERLINK("https://www.boe.es/gazeta/dias/1821/09/08/pdfs/GMD-1821-256.pdf#page=3","Abrir facsímil")</f>
        <v>Abrir facsímil</v>
      </c>
      <c r="K5160" s="3" t="s">
        <v>23</v>
      </c>
    </row>
    <row r="5161" spans="1:11" ht="42" customHeight="1">
      <c r="A5161" s="2" t="s">
        <v>10435</v>
      </c>
      <c r="B5161" s="2" t="s">
        <v>10435</v>
      </c>
      <c r="C5161" s="2" t="s">
        <v>40</v>
      </c>
      <c r="D5161" s="2" t="s">
        <v>41</v>
      </c>
      <c r="E5161" s="5">
        <v>-28843</v>
      </c>
      <c r="F5161" s="3" t="s">
        <v>4068</v>
      </c>
      <c r="G5161" s="3" t="s">
        <v>88</v>
      </c>
      <c r="H5161" s="2" t="s">
        <v>21</v>
      </c>
      <c r="I5161" s="2" t="s">
        <v>10436</v>
      </c>
      <c r="J5161" s="3" t="str">
        <f>HYPERLINK("https://www.boe.es/gazeta/dias/1821/01/10/pdfs/GGB-1821-10.pdf#page=4","Abrir facsímil")</f>
        <v>Abrir facsímil</v>
      </c>
      <c r="K5161" s="3" t="s">
        <v>23</v>
      </c>
    </row>
    <row r="5162" spans="1:11" ht="42" customHeight="1">
      <c r="A5162" s="2" t="s">
        <v>10435</v>
      </c>
      <c r="B5162" s="2" t="s">
        <v>10435</v>
      </c>
      <c r="C5162" s="2" t="s">
        <v>17</v>
      </c>
      <c r="D5162" s="2" t="s">
        <v>18</v>
      </c>
      <c r="E5162" s="5">
        <v>-28830</v>
      </c>
      <c r="F5162" s="3" t="s">
        <v>3230</v>
      </c>
      <c r="G5162" s="3" t="s">
        <v>20</v>
      </c>
      <c r="H5162" s="2" t="s">
        <v>21</v>
      </c>
      <c r="I5162" s="2" t="s">
        <v>10437</v>
      </c>
      <c r="J5162" s="3" t="str">
        <f>HYPERLINK("https://www.boe.es/gazeta/dias/1821/01/23/pdfs/GGB-1821-23.pdf#page=3","Abrir facsímil")</f>
        <v>Abrir facsímil</v>
      </c>
      <c r="K5162" s="3" t="s">
        <v>23</v>
      </c>
    </row>
    <row r="5163" spans="1:11" ht="42" customHeight="1">
      <c r="A5163" s="2" t="s">
        <v>10435</v>
      </c>
      <c r="B5163" s="2" t="s">
        <v>10435</v>
      </c>
      <c r="C5163" s="2" t="s">
        <v>17</v>
      </c>
      <c r="D5163" s="2" t="s">
        <v>18</v>
      </c>
      <c r="E5163" s="5">
        <v>-28819</v>
      </c>
      <c r="F5163" s="3" t="s">
        <v>1830</v>
      </c>
      <c r="G5163" s="3" t="s">
        <v>20</v>
      </c>
      <c r="H5163" s="2" t="s">
        <v>21</v>
      </c>
      <c r="I5163" s="2" t="s">
        <v>10438</v>
      </c>
      <c r="J5163" s="3" t="str">
        <f>HYPERLINK("https://www.boe.es/gazeta/dias/1821/02/03/pdfs/GGB-1821-34.pdf#page=3","Abrir facsímil")</f>
        <v>Abrir facsímil</v>
      </c>
      <c r="K5163" s="3" t="s">
        <v>23</v>
      </c>
    </row>
    <row r="5164" spans="1:11" ht="42" customHeight="1">
      <c r="A5164" s="2" t="s">
        <v>10435</v>
      </c>
      <c r="B5164" s="2" t="s">
        <v>10435</v>
      </c>
      <c r="C5164" s="2" t="s">
        <v>17</v>
      </c>
      <c r="D5164" s="2" t="s">
        <v>18</v>
      </c>
      <c r="E5164" s="5">
        <v>-28779</v>
      </c>
      <c r="F5164" s="3" t="s">
        <v>1002</v>
      </c>
      <c r="G5164" s="3" t="s">
        <v>52</v>
      </c>
      <c r="H5164" s="2" t="s">
        <v>21</v>
      </c>
      <c r="I5164" s="2" t="s">
        <v>10439</v>
      </c>
      <c r="J5164" s="3" t="str">
        <f>HYPERLINK("https://www.boe.es/gazeta/dias/1821/03/15/pdfs/GMD-1821-74.pdf#page=2","Abrir facsímil")</f>
        <v>Abrir facsímil</v>
      </c>
      <c r="K5164" s="3" t="s">
        <v>23</v>
      </c>
    </row>
    <row r="5165" spans="1:11" ht="42" customHeight="1">
      <c r="A5165" s="2" t="s">
        <v>10435</v>
      </c>
      <c r="B5165" s="2" t="s">
        <v>10435</v>
      </c>
      <c r="C5165" s="2" t="s">
        <v>40</v>
      </c>
      <c r="D5165" s="2" t="s">
        <v>41</v>
      </c>
      <c r="E5165" s="5">
        <v>-28773</v>
      </c>
      <c r="F5165" s="3" t="s">
        <v>1755</v>
      </c>
      <c r="G5165" s="3" t="s">
        <v>52</v>
      </c>
      <c r="H5165" s="2" t="s">
        <v>21</v>
      </c>
      <c r="I5165" s="2" t="s">
        <v>10440</v>
      </c>
      <c r="J5165" s="3" t="str">
        <f>HYPERLINK("https://www.boe.es/gazeta/dias/1821/03/21/pdfs/GMD-1821-80.pdf#page=2","Abrir facsímil")</f>
        <v>Abrir facsímil</v>
      </c>
      <c r="K5165" s="3" t="s">
        <v>23</v>
      </c>
    </row>
    <row r="5166" spans="1:11" ht="42" customHeight="1">
      <c r="A5166" s="2" t="s">
        <v>10435</v>
      </c>
      <c r="B5166" s="2" t="s">
        <v>10435</v>
      </c>
      <c r="C5166" s="2" t="s">
        <v>40</v>
      </c>
      <c r="D5166" s="2" t="s">
        <v>41</v>
      </c>
      <c r="E5166" s="5">
        <v>-28711</v>
      </c>
      <c r="F5166" s="3" t="s">
        <v>1048</v>
      </c>
      <c r="G5166" s="3" t="s">
        <v>52</v>
      </c>
      <c r="H5166" s="2" t="s">
        <v>21</v>
      </c>
      <c r="I5166" s="2" t="s">
        <v>10441</v>
      </c>
      <c r="J5166" s="3" t="str">
        <f>HYPERLINK("https://www.boe.es/gazeta/dias/1821/05/22/pdfs/GMD-1821-144.pdf#page=2","Abrir facsímil")</f>
        <v>Abrir facsímil</v>
      </c>
      <c r="K5166" s="3" t="s">
        <v>23</v>
      </c>
    </row>
    <row r="5167" spans="1:11" ht="42" customHeight="1">
      <c r="A5167" s="2" t="s">
        <v>10435</v>
      </c>
      <c r="B5167" s="2" t="s">
        <v>10435</v>
      </c>
      <c r="C5167" s="2" t="s">
        <v>35</v>
      </c>
      <c r="D5167" s="2" t="s">
        <v>27</v>
      </c>
      <c r="E5167" s="5">
        <v>-28678</v>
      </c>
      <c r="F5167" s="3" t="s">
        <v>215</v>
      </c>
      <c r="G5167" s="3" t="s">
        <v>88</v>
      </c>
      <c r="H5167" s="2" t="s">
        <v>21</v>
      </c>
      <c r="I5167" s="2" t="s">
        <v>10442</v>
      </c>
      <c r="J5167" s="3" t="str">
        <f>HYPERLINK("https://www.boe.es/gazeta/dias/1821/06/24/pdfs/GMD-1821-177.pdf#page=4","Abrir facsímil")</f>
        <v>Abrir facsímil</v>
      </c>
      <c r="K5167" s="3" t="s">
        <v>23</v>
      </c>
    </row>
    <row r="5168" spans="1:11" ht="42" customHeight="1">
      <c r="A5168" s="2" t="s">
        <v>10435</v>
      </c>
      <c r="B5168" s="2" t="s">
        <v>10435</v>
      </c>
      <c r="C5168" s="2" t="s">
        <v>114</v>
      </c>
      <c r="D5168" s="2" t="s">
        <v>27</v>
      </c>
      <c r="E5168" s="5">
        <v>-28667</v>
      </c>
      <c r="F5168" s="3" t="s">
        <v>107</v>
      </c>
      <c r="G5168" s="3" t="s">
        <v>52</v>
      </c>
      <c r="H5168" s="2" t="s">
        <v>21</v>
      </c>
      <c r="I5168" s="2" t="s">
        <v>10443</v>
      </c>
      <c r="J5168" s="3" t="str">
        <f>HYPERLINK("https://www.boe.es/gazeta/dias/1821/07/05/pdfs/GMD-1821-189.pdf#page=2","Abrir facsímil")</f>
        <v>Abrir facsímil</v>
      </c>
      <c r="K5168" s="3" t="s">
        <v>23</v>
      </c>
    </row>
    <row r="5169" spans="1:11" ht="42" customHeight="1">
      <c r="A5169" s="2" t="s">
        <v>10435</v>
      </c>
      <c r="B5169" s="2" t="s">
        <v>10435</v>
      </c>
      <c r="C5169" s="2" t="s">
        <v>17</v>
      </c>
      <c r="D5169" s="2" t="s">
        <v>18</v>
      </c>
      <c r="E5169" s="5">
        <v>-28666</v>
      </c>
      <c r="F5169" s="3" t="s">
        <v>1263</v>
      </c>
      <c r="G5169" s="3" t="s">
        <v>88</v>
      </c>
      <c r="H5169" s="2" t="s">
        <v>21</v>
      </c>
      <c r="I5169" s="2" t="s">
        <v>10444</v>
      </c>
      <c r="J5169" s="3" t="str">
        <f>HYPERLINK("https://www.boe.es/gazeta/dias/1821/07/06/pdfs/GMD-1821-190.pdf#page=4","Abrir facsímil")</f>
        <v>Abrir facsímil</v>
      </c>
      <c r="K5169" s="3" t="s">
        <v>23</v>
      </c>
    </row>
    <row r="5170" spans="1:11" ht="42" customHeight="1">
      <c r="A5170" s="2" t="s">
        <v>10435</v>
      </c>
      <c r="B5170" s="2" t="s">
        <v>10435</v>
      </c>
      <c r="C5170" s="2" t="s">
        <v>17</v>
      </c>
      <c r="D5170" s="2" t="s">
        <v>18</v>
      </c>
      <c r="E5170" s="5">
        <v>-28650</v>
      </c>
      <c r="F5170" s="3" t="s">
        <v>3285</v>
      </c>
      <c r="G5170" s="3" t="s">
        <v>88</v>
      </c>
      <c r="H5170" s="2" t="s">
        <v>21</v>
      </c>
      <c r="I5170" s="2" t="s">
        <v>10445</v>
      </c>
      <c r="J5170" s="3" t="str">
        <f>HYPERLINK("https://www.boe.es/gazeta/dias/1821/07/22/pdfs/GMD-1821-207.pdf#page=4","Abrir facsímil")</f>
        <v>Abrir facsímil</v>
      </c>
      <c r="K5170" s="3" t="s">
        <v>23</v>
      </c>
    </row>
    <row r="5171" spans="1:11" ht="42" customHeight="1">
      <c r="A5171" s="2" t="s">
        <v>10435</v>
      </c>
      <c r="B5171" s="2" t="s">
        <v>10435</v>
      </c>
      <c r="C5171" s="2" t="s">
        <v>40</v>
      </c>
      <c r="D5171" s="2" t="s">
        <v>41</v>
      </c>
      <c r="E5171" s="5">
        <v>-28619</v>
      </c>
      <c r="F5171" s="3" t="s">
        <v>3364</v>
      </c>
      <c r="G5171" s="3" t="s">
        <v>52</v>
      </c>
      <c r="H5171" s="2" t="s">
        <v>21</v>
      </c>
      <c r="I5171" s="2" t="s">
        <v>10446</v>
      </c>
      <c r="J5171" s="3" t="str">
        <f>HYPERLINK("https://www.boe.es/gazeta/dias/1821/08/22/pdfs/GMD-1821-239.pdf#page=2","Abrir facsímil")</f>
        <v>Abrir facsímil</v>
      </c>
      <c r="K5171" s="3" t="s">
        <v>23</v>
      </c>
    </row>
    <row r="5172" spans="1:11" ht="42" customHeight="1">
      <c r="A5172" s="2" t="s">
        <v>10435</v>
      </c>
      <c r="B5172" s="2" t="s">
        <v>10435</v>
      </c>
      <c r="C5172" s="2" t="s">
        <v>40</v>
      </c>
      <c r="D5172" s="2" t="s">
        <v>41</v>
      </c>
      <c r="E5172" s="5">
        <v>-28616</v>
      </c>
      <c r="F5172" s="3" t="s">
        <v>1912</v>
      </c>
      <c r="G5172" s="3" t="s">
        <v>1913</v>
      </c>
      <c r="H5172" s="2" t="s">
        <v>21</v>
      </c>
      <c r="I5172" s="2" t="s">
        <v>10447</v>
      </c>
      <c r="J5172" s="3" t="str">
        <f>HYPERLINK("https://www.boe.es/gazeta/dias/1821/08/25/pdfs/GMD-1821-242.pdf#page=3","Abrir facsímil")</f>
        <v>Abrir facsímil</v>
      </c>
      <c r="K5172" s="3" t="s">
        <v>23</v>
      </c>
    </row>
    <row r="5173" spans="1:11" ht="42" customHeight="1">
      <c r="A5173" s="2" t="s">
        <v>10435</v>
      </c>
      <c r="B5173" s="2" t="s">
        <v>10435</v>
      </c>
      <c r="C5173" s="2" t="s">
        <v>17</v>
      </c>
      <c r="D5173" s="2" t="s">
        <v>18</v>
      </c>
      <c r="E5173" s="5">
        <v>-28607</v>
      </c>
      <c r="F5173" s="3" t="s">
        <v>740</v>
      </c>
      <c r="G5173" s="3" t="s">
        <v>88</v>
      </c>
      <c r="H5173" s="2" t="s">
        <v>21</v>
      </c>
      <c r="I5173" s="2" t="s">
        <v>10448</v>
      </c>
      <c r="J5173" s="3" t="str">
        <f>HYPERLINK("https://www.boe.es/gazeta/dias/1821/09/03/pdfs/GMD-1821-251.pdf#page=4","Abrir facsímil")</f>
        <v>Abrir facsímil</v>
      </c>
      <c r="K5173" s="3" t="s">
        <v>23</v>
      </c>
    </row>
    <row r="5174" spans="1:11" ht="42" customHeight="1">
      <c r="A5174" s="2" t="s">
        <v>10435</v>
      </c>
      <c r="B5174" s="2" t="s">
        <v>10435</v>
      </c>
      <c r="C5174" s="2" t="s">
        <v>40</v>
      </c>
      <c r="D5174" s="2" t="s">
        <v>41</v>
      </c>
      <c r="E5174" s="5">
        <v>-28541</v>
      </c>
      <c r="F5174" s="3" t="s">
        <v>275</v>
      </c>
      <c r="G5174" s="3" t="s">
        <v>52</v>
      </c>
      <c r="H5174" s="2" t="s">
        <v>21</v>
      </c>
      <c r="I5174" s="2" t="s">
        <v>10449</v>
      </c>
      <c r="J5174" s="3" t="str">
        <f>HYPERLINK("https://www.boe.es/gazeta/dias/1821/11/08/pdfs/GMD-1821-319.pdf#page=2","Abrir facsímil")</f>
        <v>Abrir facsímil</v>
      </c>
      <c r="K5174" s="3" t="s">
        <v>23</v>
      </c>
    </row>
    <row r="5175" spans="1:11" ht="42" customHeight="1">
      <c r="A5175" s="2" t="s">
        <v>10435</v>
      </c>
      <c r="B5175" s="2" t="s">
        <v>10435</v>
      </c>
      <c r="C5175" s="2" t="s">
        <v>40</v>
      </c>
      <c r="D5175" s="2" t="s">
        <v>41</v>
      </c>
      <c r="E5175" s="5">
        <v>-28538</v>
      </c>
      <c r="F5175" s="3" t="s">
        <v>395</v>
      </c>
      <c r="G5175" s="3" t="s">
        <v>162</v>
      </c>
      <c r="H5175" s="2" t="s">
        <v>21</v>
      </c>
      <c r="I5175" s="2" t="s">
        <v>10450</v>
      </c>
      <c r="J5175" s="3" t="str">
        <f>HYPERLINK("https://www.boe.es/gazeta/dias/1821/11/11/pdfs/GMD-1821-322.pdf#page=5","Abrir facsímil")</f>
        <v>Abrir facsímil</v>
      </c>
      <c r="K5175" s="3" t="s">
        <v>23</v>
      </c>
    </row>
    <row r="5176" spans="1:11" ht="42" customHeight="1">
      <c r="A5176" s="2" t="s">
        <v>10435</v>
      </c>
      <c r="B5176" s="2" t="s">
        <v>10435</v>
      </c>
      <c r="C5176" s="2" t="s">
        <v>26</v>
      </c>
      <c r="D5176" s="2" t="s">
        <v>27</v>
      </c>
      <c r="E5176" s="5">
        <v>-28509</v>
      </c>
      <c r="F5176" s="3" t="s">
        <v>388</v>
      </c>
      <c r="G5176" s="3" t="s">
        <v>609</v>
      </c>
      <c r="H5176" s="2" t="s">
        <v>21</v>
      </c>
      <c r="I5176" s="2" t="s">
        <v>10451</v>
      </c>
      <c r="J5176" s="3" t="str">
        <f>HYPERLINK("https://www.boe.es/gazeta/dias/1821/12/10/pdfs/GMD-1821-352.pdf#page=7","Abrir facsímil")</f>
        <v>Abrir facsímil</v>
      </c>
      <c r="K5176" s="3" t="s">
        <v>23</v>
      </c>
    </row>
    <row r="5177" spans="1:11" ht="42" customHeight="1">
      <c r="A5177" s="2" t="s">
        <v>10452</v>
      </c>
      <c r="B5177" s="2" t="s">
        <v>10453</v>
      </c>
      <c r="C5177" s="2" t="s">
        <v>17</v>
      </c>
      <c r="D5177" s="2" t="s">
        <v>18</v>
      </c>
      <c r="E5177" s="5">
        <v>-28696</v>
      </c>
      <c r="F5177" s="3" t="s">
        <v>497</v>
      </c>
      <c r="G5177" s="3" t="s">
        <v>88</v>
      </c>
      <c r="H5177" s="2" t="s">
        <v>21</v>
      </c>
      <c r="I5177" s="2" t="s">
        <v>10454</v>
      </c>
      <c r="J5177" s="3" t="str">
        <f>HYPERLINK("https://www.boe.es/gazeta/dias/1821/06/06/pdfs/GMD-1821-159.pdf#page=4","Abrir facsímil")</f>
        <v>Abrir facsímil</v>
      </c>
      <c r="K5177" s="3" t="s">
        <v>23</v>
      </c>
    </row>
    <row r="5178" spans="1:11" ht="42" customHeight="1">
      <c r="A5178" s="2" t="s">
        <v>10455</v>
      </c>
      <c r="B5178" s="2" t="s">
        <v>10456</v>
      </c>
      <c r="C5178" s="2" t="s">
        <v>26</v>
      </c>
      <c r="D5178" s="2" t="s">
        <v>27</v>
      </c>
      <c r="E5178" s="5">
        <v>-28721</v>
      </c>
      <c r="F5178" s="3" t="s">
        <v>92</v>
      </c>
      <c r="G5178" s="3" t="s">
        <v>52</v>
      </c>
      <c r="H5178" s="2" t="s">
        <v>21</v>
      </c>
      <c r="I5178" s="2" t="s">
        <v>10457</v>
      </c>
      <c r="J5178" s="3" t="str">
        <f>HYPERLINK("https://www.boe.es/gazeta/dias/1821/05/12/pdfs/GMD-1821-134.pdf#page=2","Abrir facsímil")</f>
        <v>Abrir facsímil</v>
      </c>
      <c r="K5178" s="3" t="s">
        <v>23</v>
      </c>
    </row>
    <row r="5179" spans="1:11" ht="42" customHeight="1">
      <c r="A5179" s="2" t="s">
        <v>10458</v>
      </c>
      <c r="B5179" s="2" t="s">
        <v>10459</v>
      </c>
      <c r="C5179" s="2" t="s">
        <v>40</v>
      </c>
      <c r="D5179" s="2" t="s">
        <v>41</v>
      </c>
      <c r="E5179" s="5">
        <v>-28684</v>
      </c>
      <c r="F5179" s="3" t="s">
        <v>208</v>
      </c>
      <c r="G5179" s="3" t="s">
        <v>20</v>
      </c>
      <c r="H5179" s="2" t="s">
        <v>21</v>
      </c>
      <c r="I5179" s="2" t="s">
        <v>10460</v>
      </c>
      <c r="J5179" s="3" t="str">
        <f>HYPERLINK("https://www.boe.es/gazeta/dias/1821/06/18/pdfs/GMD-1821-171.pdf#page=3","Abrir facsímil")</f>
        <v>Abrir facsímil</v>
      </c>
      <c r="K5179" s="3" t="s">
        <v>23</v>
      </c>
    </row>
    <row r="5180" spans="1:11" ht="42" customHeight="1">
      <c r="A5180" s="2" t="s">
        <v>10461</v>
      </c>
      <c r="B5180" s="2" t="s">
        <v>10462</v>
      </c>
      <c r="C5180" s="2" t="s">
        <v>40</v>
      </c>
      <c r="D5180" s="2" t="s">
        <v>41</v>
      </c>
      <c r="E5180" s="5">
        <v>-28490</v>
      </c>
      <c r="F5180" s="3" t="s">
        <v>801</v>
      </c>
      <c r="G5180" s="3" t="s">
        <v>88</v>
      </c>
      <c r="H5180" s="2" t="s">
        <v>21</v>
      </c>
      <c r="I5180" s="2" t="s">
        <v>10463</v>
      </c>
      <c r="J5180" s="3" t="str">
        <f>HYPERLINK("https://www.boe.es/gazeta/dias/1821/12/29/pdfs/GMD-1821-372.pdf#page=4","Abrir facsímil")</f>
        <v>Abrir facsímil</v>
      </c>
      <c r="K5180" s="3" t="s">
        <v>23</v>
      </c>
    </row>
    <row r="5181" spans="1:11" ht="42" customHeight="1">
      <c r="A5181" s="2" t="s">
        <v>10464</v>
      </c>
      <c r="B5181" s="2" t="s">
        <v>10465</v>
      </c>
      <c r="C5181" s="2" t="s">
        <v>40</v>
      </c>
      <c r="D5181" s="2" t="s">
        <v>41</v>
      </c>
      <c r="E5181" s="5">
        <v>-28688</v>
      </c>
      <c r="F5181" s="3" t="s">
        <v>1504</v>
      </c>
      <c r="G5181" s="3" t="s">
        <v>20</v>
      </c>
      <c r="H5181" s="2" t="s">
        <v>21</v>
      </c>
      <c r="I5181" s="2" t="s">
        <v>10466</v>
      </c>
      <c r="J5181" s="3" t="str">
        <f>HYPERLINK("https://www.boe.es/gazeta/dias/1821/06/14/pdfs/GMD-1821-167.pdf#page=3","Abrir facsímil")</f>
        <v>Abrir facsímil</v>
      </c>
      <c r="K5181" s="3" t="s">
        <v>23</v>
      </c>
    </row>
    <row r="5182" spans="1:11" ht="42" customHeight="1">
      <c r="A5182" s="2" t="s">
        <v>10467</v>
      </c>
      <c r="B5182" s="2" t="s">
        <v>10467</v>
      </c>
      <c r="C5182" s="2" t="s">
        <v>114</v>
      </c>
      <c r="D5182" s="2" t="s">
        <v>27</v>
      </c>
      <c r="E5182" s="5">
        <v>-28682</v>
      </c>
      <c r="F5182" s="3" t="s">
        <v>1064</v>
      </c>
      <c r="G5182" s="3" t="s">
        <v>162</v>
      </c>
      <c r="H5182" s="2" t="s">
        <v>21</v>
      </c>
      <c r="I5182" s="2" t="s">
        <v>10468</v>
      </c>
      <c r="J5182" s="3" t="str">
        <f>HYPERLINK("https://www.boe.es/gazeta/dias/1821/06/20/pdfs/GMD-1821-173.pdf#page=5","Abrir facsímil")</f>
        <v>Abrir facsímil</v>
      </c>
      <c r="K5182" s="3" t="s">
        <v>23</v>
      </c>
    </row>
    <row r="5183" spans="1:11" ht="42" customHeight="1">
      <c r="A5183" s="2" t="s">
        <v>10467</v>
      </c>
      <c r="B5183" s="2" t="s">
        <v>10467</v>
      </c>
      <c r="C5183" s="2" t="s">
        <v>26</v>
      </c>
      <c r="D5183" s="2" t="s">
        <v>27</v>
      </c>
      <c r="E5183" s="5">
        <v>-28558</v>
      </c>
      <c r="F5183" s="3" t="s">
        <v>758</v>
      </c>
      <c r="G5183" s="3" t="s">
        <v>52</v>
      </c>
      <c r="H5183" s="2" t="s">
        <v>21</v>
      </c>
      <c r="I5183" s="2" t="s">
        <v>10469</v>
      </c>
      <c r="J5183" s="3" t="str">
        <f>HYPERLINK("https://www.boe.es/gazeta/dias/1821/10/22/pdfs/GMD-1821-301.pdf#page=2","Abrir facsímil")</f>
        <v>Abrir facsímil</v>
      </c>
      <c r="K5183" s="3" t="s">
        <v>23</v>
      </c>
    </row>
    <row r="5184" spans="1:11" ht="42" customHeight="1">
      <c r="A5184" s="2" t="s">
        <v>10467</v>
      </c>
      <c r="B5184" s="2" t="s">
        <v>10467</v>
      </c>
      <c r="C5184" s="2" t="s">
        <v>40</v>
      </c>
      <c r="D5184" s="2" t="s">
        <v>41</v>
      </c>
      <c r="E5184" s="5">
        <v>-28541</v>
      </c>
      <c r="F5184" s="3" t="s">
        <v>275</v>
      </c>
      <c r="G5184" s="3" t="s">
        <v>52</v>
      </c>
      <c r="H5184" s="2" t="s">
        <v>21</v>
      </c>
      <c r="I5184" s="2" t="s">
        <v>10470</v>
      </c>
      <c r="J5184" s="3" t="str">
        <f>HYPERLINK("https://www.boe.es/gazeta/dias/1821/11/08/pdfs/GMD-1821-319.pdf#page=2","Abrir facsímil")</f>
        <v>Abrir facsímil</v>
      </c>
      <c r="K5184" s="3" t="s">
        <v>23</v>
      </c>
    </row>
    <row r="5185" spans="1:11" ht="42" customHeight="1">
      <c r="A5185" s="2" t="s">
        <v>10471</v>
      </c>
      <c r="B5185" s="2" t="s">
        <v>10471</v>
      </c>
      <c r="C5185" s="2" t="s">
        <v>40</v>
      </c>
      <c r="D5185" s="2" t="s">
        <v>41</v>
      </c>
      <c r="E5185" s="5">
        <v>-28779</v>
      </c>
      <c r="F5185" s="3" t="s">
        <v>1002</v>
      </c>
      <c r="G5185" s="3" t="s">
        <v>52</v>
      </c>
      <c r="H5185" s="2" t="s">
        <v>21</v>
      </c>
      <c r="I5185" s="2" t="s">
        <v>10472</v>
      </c>
      <c r="J5185" s="3" t="str">
        <f>HYPERLINK("https://www.boe.es/gazeta/dias/1821/03/15/pdfs/GMD-1821-74.pdf#page=2","Abrir facsímil")</f>
        <v>Abrir facsímil</v>
      </c>
      <c r="K5185" s="3" t="s">
        <v>23</v>
      </c>
    </row>
    <row r="5186" spans="1:11" ht="42" customHeight="1">
      <c r="A5186" s="2" t="s">
        <v>10471</v>
      </c>
      <c r="B5186" s="2" t="s">
        <v>10471</v>
      </c>
      <c r="C5186" s="2" t="s">
        <v>17</v>
      </c>
      <c r="D5186" s="2" t="s">
        <v>18</v>
      </c>
      <c r="E5186" s="5">
        <v>-28713</v>
      </c>
      <c r="F5186" s="3" t="s">
        <v>1976</v>
      </c>
      <c r="G5186" s="3" t="s">
        <v>52</v>
      </c>
      <c r="H5186" s="2" t="s">
        <v>21</v>
      </c>
      <c r="I5186" s="2" t="s">
        <v>10473</v>
      </c>
      <c r="J5186" s="3" t="str">
        <f>HYPERLINK("https://www.boe.es/gazeta/dias/1821/05/20/pdfs/GMD-1821-142.pdf#page=2","Abrir facsímil")</f>
        <v>Abrir facsímil</v>
      </c>
      <c r="K5186" s="3" t="s">
        <v>23</v>
      </c>
    </row>
    <row r="5187" spans="1:11" ht="42" customHeight="1">
      <c r="A5187" s="2" t="s">
        <v>10474</v>
      </c>
      <c r="B5187" s="2" t="s">
        <v>10474</v>
      </c>
      <c r="C5187" s="2" t="s">
        <v>174</v>
      </c>
      <c r="D5187" s="2" t="s">
        <v>27</v>
      </c>
      <c r="E5187" s="5">
        <v>-28847</v>
      </c>
      <c r="F5187" s="3" t="s">
        <v>288</v>
      </c>
      <c r="G5187" s="3" t="s">
        <v>289</v>
      </c>
      <c r="H5187" s="2" t="s">
        <v>21</v>
      </c>
      <c r="I5187" s="2" t="s">
        <v>10475</v>
      </c>
      <c r="J5187" s="3" t="str">
        <f>HYPERLINK("https://www.boe.es/gazeta/dias/1821/01/06/pdfs/GGB-1821-6.pdf#page=4","Abrir facsímil")</f>
        <v>Abrir facsímil</v>
      </c>
      <c r="K5187" s="3" t="s">
        <v>23</v>
      </c>
    </row>
    <row r="5188" spans="1:11" ht="42" customHeight="1">
      <c r="A5188" s="2" t="s">
        <v>10476</v>
      </c>
      <c r="B5188" s="2" t="s">
        <v>10476</v>
      </c>
      <c r="C5188" s="2" t="s">
        <v>26</v>
      </c>
      <c r="D5188" s="2" t="s">
        <v>27</v>
      </c>
      <c r="E5188" s="5">
        <v>-28834</v>
      </c>
      <c r="F5188" s="3" t="s">
        <v>369</v>
      </c>
      <c r="G5188" s="3" t="s">
        <v>52</v>
      </c>
      <c r="H5188" s="2" t="s">
        <v>21</v>
      </c>
      <c r="I5188" s="2" t="s">
        <v>10477</v>
      </c>
      <c r="J5188" s="3" t="str">
        <f>HYPERLINK("https://www.boe.es/gazeta/dias/1821/01/19/pdfs/GGB-1821-19.pdf#page=2","Abrir facsímil")</f>
        <v>Abrir facsímil</v>
      </c>
      <c r="K5188" s="3" t="s">
        <v>23</v>
      </c>
    </row>
    <row r="5189" spans="1:11" ht="42" customHeight="1">
      <c r="A5189" s="2" t="s">
        <v>10474</v>
      </c>
      <c r="B5189" s="2" t="s">
        <v>10474</v>
      </c>
      <c r="C5189" s="2" t="s">
        <v>40</v>
      </c>
      <c r="D5189" s="2" t="s">
        <v>41</v>
      </c>
      <c r="E5189" s="5">
        <v>-28788</v>
      </c>
      <c r="F5189" s="3" t="s">
        <v>996</v>
      </c>
      <c r="G5189" s="3" t="s">
        <v>20</v>
      </c>
      <c r="H5189" s="2" t="s">
        <v>21</v>
      </c>
      <c r="I5189" s="2" t="s">
        <v>10478</v>
      </c>
      <c r="J5189" s="3" t="str">
        <f>HYPERLINK("https://www.boe.es/gazeta/dias/1821/03/06/pdfs/GGB-1821-65.pdf#page=3","Abrir facsímil")</f>
        <v>Abrir facsímil</v>
      </c>
      <c r="K5189" s="3" t="s">
        <v>23</v>
      </c>
    </row>
    <row r="5190" spans="1:11" ht="42" customHeight="1">
      <c r="A5190" s="2" t="s">
        <v>10476</v>
      </c>
      <c r="B5190" s="2" t="s">
        <v>10476</v>
      </c>
      <c r="C5190" s="2" t="s">
        <v>40</v>
      </c>
      <c r="D5190" s="2" t="s">
        <v>41</v>
      </c>
      <c r="E5190" s="5">
        <v>-28788</v>
      </c>
      <c r="F5190" s="3" t="s">
        <v>996</v>
      </c>
      <c r="G5190" s="3" t="s">
        <v>88</v>
      </c>
      <c r="H5190" s="2" t="s">
        <v>21</v>
      </c>
      <c r="I5190" s="2" t="s">
        <v>10479</v>
      </c>
      <c r="J5190" s="3" t="str">
        <f>HYPERLINK("https://www.boe.es/gazeta/dias/1821/03/06/pdfs/GGB-1821-65.pdf#page=4","Abrir facsímil")</f>
        <v>Abrir facsímil</v>
      </c>
      <c r="K5190" s="3" t="s">
        <v>23</v>
      </c>
    </row>
    <row r="5191" spans="1:11" ht="42" customHeight="1">
      <c r="A5191" s="2" t="s">
        <v>10476</v>
      </c>
      <c r="B5191" s="2" t="s">
        <v>10476</v>
      </c>
      <c r="C5191" s="2" t="s">
        <v>17</v>
      </c>
      <c r="D5191" s="2" t="s">
        <v>18</v>
      </c>
      <c r="E5191" s="5">
        <v>-28778</v>
      </c>
      <c r="F5191" s="3" t="s">
        <v>1301</v>
      </c>
      <c r="G5191" s="3" t="s">
        <v>20</v>
      </c>
      <c r="H5191" s="2" t="s">
        <v>21</v>
      </c>
      <c r="I5191" s="2" t="s">
        <v>10480</v>
      </c>
      <c r="J5191" s="3" t="str">
        <f>HYPERLINK("https://www.boe.es/gazeta/dias/1821/03/16/pdfs/GMD-1821-75.pdf#page=3","Abrir facsímil")</f>
        <v>Abrir facsímil</v>
      </c>
      <c r="K5191" s="3" t="s">
        <v>23</v>
      </c>
    </row>
    <row r="5192" spans="1:11" ht="42" customHeight="1">
      <c r="A5192" s="2" t="s">
        <v>10474</v>
      </c>
      <c r="B5192" s="2" t="s">
        <v>10474</v>
      </c>
      <c r="C5192" s="2" t="s">
        <v>17</v>
      </c>
      <c r="D5192" s="2" t="s">
        <v>18</v>
      </c>
      <c r="E5192" s="5">
        <v>-28755</v>
      </c>
      <c r="F5192" s="3" t="s">
        <v>906</v>
      </c>
      <c r="G5192" s="3" t="s">
        <v>907</v>
      </c>
      <c r="H5192" s="2" t="s">
        <v>21</v>
      </c>
      <c r="I5192" s="2" t="s">
        <v>10481</v>
      </c>
      <c r="J5192" s="3" t="str">
        <f>HYPERLINK("https://www.boe.es/gazeta/dias/1821/04/08/pdfs/GMD-1821-100.pdf#page=4","Abrir facsímil")</f>
        <v>Abrir facsímil</v>
      </c>
      <c r="K5192" s="3" t="s">
        <v>23</v>
      </c>
    </row>
    <row r="5193" spans="1:11" ht="42" customHeight="1">
      <c r="A5193" s="2" t="s">
        <v>10476</v>
      </c>
      <c r="B5193" s="2" t="s">
        <v>10476</v>
      </c>
      <c r="C5193" s="2" t="s">
        <v>114</v>
      </c>
      <c r="D5193" s="2" t="s">
        <v>27</v>
      </c>
      <c r="E5193" s="5">
        <v>-28746</v>
      </c>
      <c r="F5193" s="3" t="s">
        <v>687</v>
      </c>
      <c r="G5193" s="3" t="s">
        <v>333</v>
      </c>
      <c r="H5193" s="2" t="s">
        <v>21</v>
      </c>
      <c r="I5193" s="2" t="s">
        <v>10482</v>
      </c>
      <c r="J5193" s="3" t="str">
        <f>HYPERLINK("https://www.boe.es/gazeta/dias/1821/04/17/pdfs/GMD-1821-109.pdf#page=8","Abrir facsímil")</f>
        <v>Abrir facsímil</v>
      </c>
      <c r="K5193" s="3" t="s">
        <v>23</v>
      </c>
    </row>
    <row r="5194" spans="1:11" ht="42" customHeight="1">
      <c r="A5194" s="2" t="s">
        <v>10476</v>
      </c>
      <c r="B5194" s="2" t="s">
        <v>10476</v>
      </c>
      <c r="C5194" s="2" t="s">
        <v>40</v>
      </c>
      <c r="D5194" s="2" t="s">
        <v>41</v>
      </c>
      <c r="E5194" s="5">
        <v>-28738</v>
      </c>
      <c r="F5194" s="3" t="s">
        <v>359</v>
      </c>
      <c r="G5194" s="3" t="s">
        <v>52</v>
      </c>
      <c r="H5194" s="2" t="s">
        <v>21</v>
      </c>
      <c r="I5194" s="2" t="s">
        <v>10483</v>
      </c>
      <c r="J5194" s="3" t="str">
        <f>HYPERLINK("https://www.boe.es/gazeta/dias/1821/04/25/pdfs/GMD-1821-117.pdf#page=2","Abrir facsímil")</f>
        <v>Abrir facsímil</v>
      </c>
      <c r="K5194" s="3" t="s">
        <v>23</v>
      </c>
    </row>
    <row r="5195" spans="1:11" ht="42" customHeight="1">
      <c r="A5195" s="2" t="s">
        <v>10476</v>
      </c>
      <c r="B5195" s="2" t="s">
        <v>10476</v>
      </c>
      <c r="C5195" s="2" t="s">
        <v>35</v>
      </c>
      <c r="D5195" s="2" t="s">
        <v>27</v>
      </c>
      <c r="E5195" s="5">
        <v>-28737</v>
      </c>
      <c r="F5195" s="3" t="s">
        <v>732</v>
      </c>
      <c r="G5195" s="3" t="s">
        <v>52</v>
      </c>
      <c r="H5195" s="2" t="s">
        <v>21</v>
      </c>
      <c r="I5195" s="2" t="s">
        <v>10484</v>
      </c>
      <c r="J5195" s="3" t="str">
        <f>HYPERLINK("https://www.boe.es/gazeta/dias/1821/04/26/pdfs/GMD-1821-118.pdf#page=2","Abrir facsímil")</f>
        <v>Abrir facsímil</v>
      </c>
      <c r="K5195" s="3" t="s">
        <v>23</v>
      </c>
    </row>
    <row r="5196" spans="1:11" ht="42" customHeight="1">
      <c r="A5196" s="2" t="s">
        <v>10476</v>
      </c>
      <c r="B5196" s="2" t="s">
        <v>10476</v>
      </c>
      <c r="C5196" s="2" t="s">
        <v>26</v>
      </c>
      <c r="D5196" s="2" t="s">
        <v>27</v>
      </c>
      <c r="E5196" s="5">
        <v>-28712</v>
      </c>
      <c r="F5196" s="3" t="s">
        <v>695</v>
      </c>
      <c r="G5196" s="3" t="s">
        <v>52</v>
      </c>
      <c r="H5196" s="2" t="s">
        <v>21</v>
      </c>
      <c r="I5196" s="2" t="s">
        <v>10485</v>
      </c>
      <c r="J5196" s="3" t="str">
        <f>HYPERLINK("https://www.boe.es/gazeta/dias/1821/05/21/pdfs/GMD-1821-143.pdf#page=2","Abrir facsímil")</f>
        <v>Abrir facsímil</v>
      </c>
      <c r="K5196" s="3" t="s">
        <v>23</v>
      </c>
    </row>
    <row r="5197" spans="1:11" ht="42" customHeight="1">
      <c r="A5197" s="2" t="s">
        <v>10476</v>
      </c>
      <c r="B5197" s="2" t="s">
        <v>10476</v>
      </c>
      <c r="C5197" s="2" t="s">
        <v>35</v>
      </c>
      <c r="D5197" s="2" t="s">
        <v>27</v>
      </c>
      <c r="E5197" s="5">
        <v>-28702</v>
      </c>
      <c r="F5197" s="3" t="s">
        <v>1176</v>
      </c>
      <c r="G5197" s="3" t="s">
        <v>88</v>
      </c>
      <c r="H5197" s="2" t="s">
        <v>21</v>
      </c>
      <c r="I5197" s="2" t="s">
        <v>10486</v>
      </c>
      <c r="J5197" s="3" t="str">
        <f>HYPERLINK("https://www.boe.es/gazeta/dias/1821/05/31/pdfs/GMD-1821-153.pdf#page=4","Abrir facsímil")</f>
        <v>Abrir facsímil</v>
      </c>
      <c r="K5197" s="3" t="s">
        <v>23</v>
      </c>
    </row>
    <row r="5198" spans="1:11" ht="42" customHeight="1">
      <c r="A5198" s="2" t="s">
        <v>10476</v>
      </c>
      <c r="B5198" s="2" t="s">
        <v>10476</v>
      </c>
      <c r="C5198" s="2" t="s">
        <v>40</v>
      </c>
      <c r="D5198" s="2" t="s">
        <v>41</v>
      </c>
      <c r="E5198" s="5">
        <v>-28679</v>
      </c>
      <c r="F5198" s="3" t="s">
        <v>213</v>
      </c>
      <c r="G5198" s="3" t="s">
        <v>52</v>
      </c>
      <c r="H5198" s="2" t="s">
        <v>21</v>
      </c>
      <c r="I5198" s="2" t="s">
        <v>10487</v>
      </c>
      <c r="J5198" s="3" t="str">
        <f>HYPERLINK("https://www.boe.es/gazeta/dias/1821/06/23/pdfs/GMD-1821-176.pdf#page=2","Abrir facsímil")</f>
        <v>Abrir facsímil</v>
      </c>
      <c r="K5198" s="3" t="s">
        <v>23</v>
      </c>
    </row>
    <row r="5199" spans="1:11" ht="42" customHeight="1">
      <c r="A5199" s="2" t="s">
        <v>10476</v>
      </c>
      <c r="B5199" s="2" t="s">
        <v>10476</v>
      </c>
      <c r="C5199" s="2" t="s">
        <v>26</v>
      </c>
      <c r="D5199" s="2" t="s">
        <v>27</v>
      </c>
      <c r="E5199" s="5">
        <v>-28658</v>
      </c>
      <c r="F5199" s="3" t="s">
        <v>2528</v>
      </c>
      <c r="G5199" s="3" t="s">
        <v>20</v>
      </c>
      <c r="H5199" s="2" t="s">
        <v>21</v>
      </c>
      <c r="I5199" s="2" t="s">
        <v>10488</v>
      </c>
      <c r="J5199" s="3" t="str">
        <f>HYPERLINK("https://www.boe.es/gazeta/dias/1821/07/14/pdfs/GMD-1821-199.pdf#page=3","Abrir facsímil")</f>
        <v>Abrir facsímil</v>
      </c>
      <c r="K5199" s="3" t="s">
        <v>23</v>
      </c>
    </row>
    <row r="5200" spans="1:11" ht="42" customHeight="1">
      <c r="A5200" s="2" t="s">
        <v>10474</v>
      </c>
      <c r="B5200" s="2" t="s">
        <v>10474</v>
      </c>
      <c r="C5200" s="2" t="s">
        <v>17</v>
      </c>
      <c r="D5200" s="2" t="s">
        <v>18</v>
      </c>
      <c r="E5200" s="5">
        <v>-28650</v>
      </c>
      <c r="F5200" s="3" t="s">
        <v>3285</v>
      </c>
      <c r="G5200" s="3" t="s">
        <v>88</v>
      </c>
      <c r="H5200" s="2" t="s">
        <v>21</v>
      </c>
      <c r="I5200" s="2" t="s">
        <v>10489</v>
      </c>
      <c r="J5200" s="3" t="str">
        <f>HYPERLINK("https://www.boe.es/gazeta/dias/1821/07/22/pdfs/GMD-1821-207.pdf#page=4","Abrir facsímil")</f>
        <v>Abrir facsímil</v>
      </c>
      <c r="K5200" s="3" t="s">
        <v>23</v>
      </c>
    </row>
    <row r="5201" spans="1:11" ht="42" customHeight="1">
      <c r="A5201" s="2" t="s">
        <v>10476</v>
      </c>
      <c r="B5201" s="2" t="s">
        <v>10476</v>
      </c>
      <c r="C5201" s="2" t="s">
        <v>17</v>
      </c>
      <c r="D5201" s="2" t="s">
        <v>18</v>
      </c>
      <c r="E5201" s="5">
        <v>-28586</v>
      </c>
      <c r="F5201" s="3" t="s">
        <v>587</v>
      </c>
      <c r="G5201" s="3" t="s">
        <v>88</v>
      </c>
      <c r="H5201" s="2" t="s">
        <v>21</v>
      </c>
      <c r="I5201" s="2" t="s">
        <v>10490</v>
      </c>
      <c r="J5201" s="3" t="str">
        <f>HYPERLINK("https://www.boe.es/gazeta/dias/1821/09/24/pdfs/GMD-1821-272.pdf#page=4","Abrir facsímil")</f>
        <v>Abrir facsímil</v>
      </c>
      <c r="K5201" s="3" t="s">
        <v>23</v>
      </c>
    </row>
    <row r="5202" spans="1:11" ht="42" customHeight="1">
      <c r="A5202" s="2" t="s">
        <v>10476</v>
      </c>
      <c r="B5202" s="2" t="s">
        <v>10476</v>
      </c>
      <c r="C5202" s="2" t="s">
        <v>40</v>
      </c>
      <c r="D5202" s="2" t="s">
        <v>41</v>
      </c>
      <c r="E5202" s="5">
        <v>-28541</v>
      </c>
      <c r="F5202" s="3" t="s">
        <v>275</v>
      </c>
      <c r="G5202" s="3" t="s">
        <v>52</v>
      </c>
      <c r="H5202" s="2" t="s">
        <v>21</v>
      </c>
      <c r="I5202" s="2" t="s">
        <v>10491</v>
      </c>
      <c r="J5202" s="3" t="str">
        <f>HYPERLINK("https://www.boe.es/gazeta/dias/1821/11/08/pdfs/GMD-1821-319.pdf#page=2","Abrir facsímil")</f>
        <v>Abrir facsímil</v>
      </c>
      <c r="K5202" s="3" t="s">
        <v>23</v>
      </c>
    </row>
    <row r="5203" spans="1:11" ht="42" customHeight="1">
      <c r="A5203" s="2" t="s">
        <v>10476</v>
      </c>
      <c r="B5203" s="2" t="s">
        <v>10476</v>
      </c>
      <c r="C5203" s="2" t="s">
        <v>174</v>
      </c>
      <c r="D5203" s="2" t="s">
        <v>27</v>
      </c>
      <c r="E5203" s="5">
        <v>-28527</v>
      </c>
      <c r="F5203" s="3" t="s">
        <v>328</v>
      </c>
      <c r="G5203" s="3" t="s">
        <v>88</v>
      </c>
      <c r="H5203" s="2" t="s">
        <v>21</v>
      </c>
      <c r="I5203" s="2" t="s">
        <v>10492</v>
      </c>
      <c r="J5203" s="3" t="str">
        <f>HYPERLINK("https://www.boe.es/gazeta/dias/1821/11/22/pdfs/GMD-1821-333.pdf#page=4","Abrir facsímil")</f>
        <v>Abrir facsímil</v>
      </c>
      <c r="K5203" s="3" t="s">
        <v>23</v>
      </c>
    </row>
    <row r="5204" spans="1:11" ht="42" customHeight="1">
      <c r="A5204" s="2" t="s">
        <v>10474</v>
      </c>
      <c r="B5204" s="2" t="s">
        <v>10474</v>
      </c>
      <c r="C5204" s="2" t="s">
        <v>174</v>
      </c>
      <c r="D5204" s="2" t="s">
        <v>27</v>
      </c>
      <c r="E5204" s="5">
        <v>-28514</v>
      </c>
      <c r="F5204" s="3" t="s">
        <v>103</v>
      </c>
      <c r="G5204" s="3" t="s">
        <v>52</v>
      </c>
      <c r="H5204" s="2" t="s">
        <v>21</v>
      </c>
      <c r="I5204" s="2" t="s">
        <v>10493</v>
      </c>
      <c r="J5204" s="3" t="str">
        <f>HYPERLINK("https://www.boe.es/gazeta/dias/1821/12/05/pdfs/GMD-1821-347.pdf#page=2","Abrir facsímil")</f>
        <v>Abrir facsímil</v>
      </c>
      <c r="K5204" s="3" t="s">
        <v>23</v>
      </c>
    </row>
    <row r="5205" spans="1:11" ht="42" customHeight="1">
      <c r="A5205" s="2" t="s">
        <v>10476</v>
      </c>
      <c r="B5205" s="2" t="s">
        <v>10476</v>
      </c>
      <c r="C5205" s="2" t="s">
        <v>17</v>
      </c>
      <c r="D5205" s="2" t="s">
        <v>18</v>
      </c>
      <c r="E5205" s="5">
        <v>-28504</v>
      </c>
      <c r="F5205" s="3" t="s">
        <v>1098</v>
      </c>
      <c r="G5205" s="3" t="s">
        <v>333</v>
      </c>
      <c r="H5205" s="2" t="s">
        <v>21</v>
      </c>
      <c r="I5205" s="2" t="s">
        <v>10494</v>
      </c>
      <c r="J5205" s="3" t="str">
        <f>HYPERLINK("https://www.boe.es/gazeta/dias/1821/12/15/pdfs/GMD-1821-358.pdf#page=8","Abrir facsímil")</f>
        <v>Abrir facsímil</v>
      </c>
      <c r="K5205" s="3" t="s">
        <v>23</v>
      </c>
    </row>
    <row r="5206" spans="1:11" ht="42" customHeight="1">
      <c r="A5206" s="2" t="s">
        <v>10495</v>
      </c>
      <c r="B5206" s="2" t="s">
        <v>10496</v>
      </c>
      <c r="C5206" s="2" t="s">
        <v>17</v>
      </c>
      <c r="D5206" s="2" t="s">
        <v>18</v>
      </c>
      <c r="E5206" s="5">
        <v>-28776</v>
      </c>
      <c r="F5206" s="3" t="s">
        <v>312</v>
      </c>
      <c r="G5206" s="3" t="s">
        <v>162</v>
      </c>
      <c r="H5206" s="2" t="s">
        <v>21</v>
      </c>
      <c r="I5206" s="2" t="s">
        <v>10497</v>
      </c>
      <c r="J5206" s="3" t="str">
        <f>HYPERLINK("https://www.boe.es/gazeta/dias/1821/03/18/pdfs/GMD-1821-77.pdf#page=5","Abrir facsímil")</f>
        <v>Abrir facsímil</v>
      </c>
      <c r="K5206" s="3" t="s">
        <v>23</v>
      </c>
    </row>
    <row r="5207" spans="1:11" ht="42" customHeight="1">
      <c r="A5207" s="2" t="s">
        <v>10498</v>
      </c>
      <c r="B5207" s="2" t="s">
        <v>10499</v>
      </c>
      <c r="C5207" s="2" t="s">
        <v>70</v>
      </c>
      <c r="D5207" s="2" t="s">
        <v>27</v>
      </c>
      <c r="E5207" s="5">
        <v>-28536</v>
      </c>
      <c r="F5207" s="3" t="s">
        <v>553</v>
      </c>
      <c r="G5207" s="3" t="s">
        <v>52</v>
      </c>
      <c r="H5207" s="2" t="s">
        <v>21</v>
      </c>
      <c r="I5207" s="2" t="s">
        <v>10500</v>
      </c>
      <c r="J5207" s="3" t="str">
        <f>HYPERLINK("https://www.boe.es/gazeta/dias/1821/11/13/pdfs/GMD-1821-324.pdf#page=2","Abrir facsímil")</f>
        <v>Abrir facsímil</v>
      </c>
      <c r="K5207" s="3" t="s">
        <v>23</v>
      </c>
    </row>
    <row r="5208" spans="1:11" ht="42" customHeight="1">
      <c r="A5208" s="2" t="s">
        <v>10501</v>
      </c>
      <c r="B5208" s="2" t="s">
        <v>10501</v>
      </c>
      <c r="C5208" s="2" t="s">
        <v>40</v>
      </c>
      <c r="D5208" s="2" t="s">
        <v>41</v>
      </c>
      <c r="E5208" s="5">
        <v>-28772</v>
      </c>
      <c r="F5208" s="3" t="s">
        <v>62</v>
      </c>
      <c r="G5208" s="3" t="s">
        <v>20</v>
      </c>
      <c r="H5208" s="2" t="s">
        <v>21</v>
      </c>
      <c r="I5208" s="2" t="s">
        <v>10502</v>
      </c>
      <c r="J5208" s="3" t="str">
        <f>HYPERLINK("https://www.boe.es/gazeta/dias/1821/03/22/pdfs/GMD-1821-81.pdf#page=3","Abrir facsímil")</f>
        <v>Abrir facsímil</v>
      </c>
      <c r="K5208" s="3" t="s">
        <v>23</v>
      </c>
    </row>
    <row r="5209" spans="1:11" ht="42" customHeight="1">
      <c r="A5209" s="2" t="s">
        <v>10503</v>
      </c>
      <c r="B5209" s="2" t="s">
        <v>10504</v>
      </c>
      <c r="C5209" s="2" t="s">
        <v>26</v>
      </c>
      <c r="D5209" s="2" t="s">
        <v>27</v>
      </c>
      <c r="E5209" s="5">
        <v>-28705</v>
      </c>
      <c r="F5209" s="3" t="s">
        <v>1844</v>
      </c>
      <c r="G5209" s="3" t="s">
        <v>333</v>
      </c>
      <c r="H5209" s="2" t="s">
        <v>21</v>
      </c>
      <c r="I5209" s="2" t="s">
        <v>10505</v>
      </c>
      <c r="J5209" s="3" t="str">
        <f>HYPERLINK("https://www.boe.es/gazeta/dias/1821/05/28/pdfs/GMD-1821-150.pdf#page=8","Abrir facsímil")</f>
        <v>Abrir facsímil</v>
      </c>
      <c r="K5209" s="3" t="s">
        <v>23</v>
      </c>
    </row>
    <row r="5210" spans="1:11" ht="42" customHeight="1">
      <c r="A5210" s="2" t="s">
        <v>10506</v>
      </c>
      <c r="B5210" s="2" t="s">
        <v>10507</v>
      </c>
      <c r="C5210" s="2" t="s">
        <v>17</v>
      </c>
      <c r="D5210" s="2" t="s">
        <v>18</v>
      </c>
      <c r="E5210" s="5">
        <v>-28704</v>
      </c>
      <c r="F5210" s="3" t="s">
        <v>1050</v>
      </c>
      <c r="G5210" s="3" t="s">
        <v>52</v>
      </c>
      <c r="H5210" s="2" t="s">
        <v>21</v>
      </c>
      <c r="I5210" s="2" t="s">
        <v>10508</v>
      </c>
      <c r="J5210" s="3" t="str">
        <f>HYPERLINK("https://www.boe.es/gazeta/dias/1821/05/29/pdfs/GMD-1821-151.pdf#page=2","Abrir facsímil")</f>
        <v>Abrir facsímil</v>
      </c>
      <c r="K5210" s="3" t="s">
        <v>23</v>
      </c>
    </row>
    <row r="5211" spans="1:11" ht="42" customHeight="1">
      <c r="A5211" s="2" t="s">
        <v>10509</v>
      </c>
      <c r="B5211" s="2" t="s">
        <v>10509</v>
      </c>
      <c r="C5211" s="2" t="s">
        <v>35</v>
      </c>
      <c r="D5211" s="2" t="s">
        <v>27</v>
      </c>
      <c r="E5211" s="5">
        <v>-28714</v>
      </c>
      <c r="F5211" s="3" t="s">
        <v>522</v>
      </c>
      <c r="G5211" s="3" t="s">
        <v>52</v>
      </c>
      <c r="H5211" s="2" t="s">
        <v>21</v>
      </c>
      <c r="I5211" s="2" t="s">
        <v>10510</v>
      </c>
      <c r="J5211" s="3" t="str">
        <f>HYPERLINK("https://www.boe.es/gazeta/dias/1821/05/19/pdfs/GMD-1821-141.pdf#page=2","Abrir facsímil")</f>
        <v>Abrir facsímil</v>
      </c>
      <c r="K5211" s="3" t="s">
        <v>23</v>
      </c>
    </row>
    <row r="5212" spans="1:11" ht="42" customHeight="1">
      <c r="A5212" s="2" t="s">
        <v>10511</v>
      </c>
      <c r="B5212" s="2" t="s">
        <v>10511</v>
      </c>
      <c r="C5212" s="2" t="s">
        <v>279</v>
      </c>
      <c r="D5212" s="2" t="s">
        <v>27</v>
      </c>
      <c r="E5212" s="5">
        <v>-28569</v>
      </c>
      <c r="F5212" s="3" t="s">
        <v>512</v>
      </c>
      <c r="G5212" s="3" t="s">
        <v>43</v>
      </c>
      <c r="H5212" s="2" t="s">
        <v>21</v>
      </c>
      <c r="I5212" s="2" t="s">
        <v>10512</v>
      </c>
      <c r="J5212" s="3" t="str">
        <f>HYPERLINK("https://www.boe.es/gazeta/dias/1821/10/11/pdfs/GMD-1821-290.pdf#page=1","Abrir facsímil")</f>
        <v>Abrir facsímil</v>
      </c>
      <c r="K5212" s="3" t="s">
        <v>23</v>
      </c>
    </row>
    <row r="5213" spans="1:11" ht="42" customHeight="1">
      <c r="A5213" s="2" t="s">
        <v>10513</v>
      </c>
      <c r="B5213" s="2" t="s">
        <v>10513</v>
      </c>
      <c r="C5213" s="2" t="s">
        <v>17</v>
      </c>
      <c r="D5213" s="2" t="s">
        <v>18</v>
      </c>
      <c r="E5213" s="5">
        <v>-28746</v>
      </c>
      <c r="F5213" s="3" t="s">
        <v>687</v>
      </c>
      <c r="G5213" s="3" t="s">
        <v>52</v>
      </c>
      <c r="H5213" s="2" t="s">
        <v>21</v>
      </c>
      <c r="I5213" s="2" t="s">
        <v>10514</v>
      </c>
      <c r="J5213" s="3" t="str">
        <f>HYPERLINK("https://www.boe.es/gazeta/dias/1821/04/17/pdfs/GMD-1821-109.pdf#page=2","Abrir facsímil")</f>
        <v>Abrir facsímil</v>
      </c>
      <c r="K5213" s="3" t="s">
        <v>23</v>
      </c>
    </row>
    <row r="5214" spans="1:11" ht="42" customHeight="1">
      <c r="A5214" s="2" t="s">
        <v>10515</v>
      </c>
      <c r="B5214" s="2" t="s">
        <v>10515</v>
      </c>
      <c r="C5214" s="2" t="s">
        <v>17</v>
      </c>
      <c r="D5214" s="2" t="s">
        <v>18</v>
      </c>
      <c r="E5214" s="5">
        <v>-28815</v>
      </c>
      <c r="F5214" s="3" t="s">
        <v>2394</v>
      </c>
      <c r="G5214" s="3" t="s">
        <v>20</v>
      </c>
      <c r="H5214" s="2" t="s">
        <v>21</v>
      </c>
      <c r="I5214" s="2" t="s">
        <v>10516</v>
      </c>
      <c r="J5214" s="3" t="str">
        <f>HYPERLINK("https://www.boe.es/gazeta/dias/1821/02/07/pdfs/GGB-1821-38.pdf#page=3","Abrir facsímil")</f>
        <v>Abrir facsímil</v>
      </c>
      <c r="K5214" s="3" t="s">
        <v>23</v>
      </c>
    </row>
    <row r="5215" spans="1:11" ht="42" customHeight="1">
      <c r="A5215" s="2" t="s">
        <v>10517</v>
      </c>
      <c r="B5215" s="2" t="s">
        <v>10518</v>
      </c>
      <c r="C5215" s="2" t="s">
        <v>17</v>
      </c>
      <c r="D5215" s="2" t="s">
        <v>18</v>
      </c>
      <c r="E5215" s="5">
        <v>-28834</v>
      </c>
      <c r="F5215" s="3" t="s">
        <v>369</v>
      </c>
      <c r="G5215" s="3" t="s">
        <v>88</v>
      </c>
      <c r="H5215" s="2" t="s">
        <v>21</v>
      </c>
      <c r="I5215" s="2" t="s">
        <v>10519</v>
      </c>
      <c r="J5215" s="3" t="str">
        <f>HYPERLINK("https://www.boe.es/gazeta/dias/1821/01/19/pdfs/GGB-1821-19.pdf#page=4","Abrir facsímil")</f>
        <v>Abrir facsímil</v>
      </c>
      <c r="K5215" s="3" t="s">
        <v>23</v>
      </c>
    </row>
    <row r="5216" spans="1:11" ht="42" customHeight="1">
      <c r="A5216" s="2" t="s">
        <v>10517</v>
      </c>
      <c r="B5216" s="2" t="s">
        <v>10518</v>
      </c>
      <c r="C5216" s="2" t="s">
        <v>17</v>
      </c>
      <c r="D5216" s="2" t="s">
        <v>18</v>
      </c>
      <c r="E5216" s="5">
        <v>-28812</v>
      </c>
      <c r="F5216" s="3" t="s">
        <v>2610</v>
      </c>
      <c r="G5216" s="3" t="s">
        <v>88</v>
      </c>
      <c r="H5216" s="2" t="s">
        <v>21</v>
      </c>
      <c r="I5216" s="2" t="s">
        <v>10520</v>
      </c>
      <c r="J5216" s="3" t="str">
        <f>HYPERLINK("https://www.boe.es/gazeta/dias/1821/02/10/pdfs/GGB-1821-41.pdf#page=4","Abrir facsímil")</f>
        <v>Abrir facsímil</v>
      </c>
      <c r="K5216" s="3" t="s">
        <v>23</v>
      </c>
    </row>
    <row r="5217" spans="1:11" ht="42" customHeight="1">
      <c r="A5217" s="2" t="s">
        <v>10521</v>
      </c>
      <c r="B5217" s="2" t="s">
        <v>10521</v>
      </c>
      <c r="C5217" s="2" t="s">
        <v>17</v>
      </c>
      <c r="D5217" s="2" t="s">
        <v>18</v>
      </c>
      <c r="E5217" s="5">
        <v>-28841</v>
      </c>
      <c r="F5217" s="3" t="s">
        <v>765</v>
      </c>
      <c r="G5217" s="3" t="s">
        <v>52</v>
      </c>
      <c r="H5217" s="2" t="s">
        <v>21</v>
      </c>
      <c r="I5217" s="2" t="s">
        <v>10522</v>
      </c>
      <c r="J5217" s="3" t="str">
        <f>HYPERLINK("https://www.boe.es/gazeta/dias/1821/01/12/pdfs/GGB-1821-12.pdf#page=2","Abrir facsímil")</f>
        <v>Abrir facsímil</v>
      </c>
      <c r="K5217" s="3" t="s">
        <v>23</v>
      </c>
    </row>
    <row r="5218" spans="1:11" ht="42" customHeight="1">
      <c r="A5218" s="2" t="s">
        <v>10523</v>
      </c>
      <c r="B5218" s="2" t="s">
        <v>10523</v>
      </c>
      <c r="C5218" s="2" t="s">
        <v>40</v>
      </c>
      <c r="D5218" s="2" t="s">
        <v>41</v>
      </c>
      <c r="E5218" s="5">
        <v>-28735</v>
      </c>
      <c r="F5218" s="3" t="s">
        <v>836</v>
      </c>
      <c r="G5218" s="3" t="s">
        <v>88</v>
      </c>
      <c r="H5218" s="2" t="s">
        <v>21</v>
      </c>
      <c r="I5218" s="2" t="s">
        <v>10524</v>
      </c>
      <c r="J5218" s="3" t="str">
        <f>HYPERLINK("https://www.boe.es/gazeta/dias/1821/04/28/pdfs/GMD-1821-120.pdf#page=4","Abrir facsímil")</f>
        <v>Abrir facsímil</v>
      </c>
      <c r="K5218" s="3" t="s">
        <v>23</v>
      </c>
    </row>
    <row r="5219" spans="1:11" ht="42" customHeight="1">
      <c r="A5219" s="2" t="s">
        <v>10523</v>
      </c>
      <c r="B5219" s="2" t="s">
        <v>10523</v>
      </c>
      <c r="C5219" s="2" t="s">
        <v>114</v>
      </c>
      <c r="D5219" s="2" t="s">
        <v>27</v>
      </c>
      <c r="E5219" s="5">
        <v>-28570</v>
      </c>
      <c r="F5219" s="3" t="s">
        <v>2300</v>
      </c>
      <c r="G5219" s="3" t="s">
        <v>162</v>
      </c>
      <c r="H5219" s="2" t="s">
        <v>21</v>
      </c>
      <c r="I5219" s="2" t="s">
        <v>10525</v>
      </c>
      <c r="J5219" s="3" t="str">
        <f>HYPERLINK("https://www.boe.es/gazeta/dias/1821/10/10/pdfs/GMD-1821-289.pdf#page=5","Abrir facsímil")</f>
        <v>Abrir facsímil</v>
      </c>
      <c r="K5219" s="3" t="s">
        <v>23</v>
      </c>
    </row>
    <row r="5220" spans="1:11" ht="42" customHeight="1">
      <c r="A5220" s="2" t="s">
        <v>10526</v>
      </c>
      <c r="B5220" s="2" t="s">
        <v>10526</v>
      </c>
      <c r="C5220" s="2" t="s">
        <v>40</v>
      </c>
      <c r="D5220" s="2" t="s">
        <v>41</v>
      </c>
      <c r="E5220" s="5">
        <v>-28649</v>
      </c>
      <c r="F5220" s="3" t="s">
        <v>4688</v>
      </c>
      <c r="G5220" s="3" t="s">
        <v>52</v>
      </c>
      <c r="H5220" s="2" t="s">
        <v>21</v>
      </c>
      <c r="I5220" s="2" t="s">
        <v>10527</v>
      </c>
      <c r="J5220" s="3" t="str">
        <f>HYPERLINK("https://www.boe.es/gazeta/dias/1821/07/23/pdfs/GMD-1821-208.pdf#page=2","Abrir facsímil")</f>
        <v>Abrir facsímil</v>
      </c>
      <c r="K5220" s="3" t="s">
        <v>23</v>
      </c>
    </row>
    <row r="5221" spans="1:11" ht="42" customHeight="1">
      <c r="A5221" s="2" t="s">
        <v>10528</v>
      </c>
      <c r="B5221" s="2" t="s">
        <v>10528</v>
      </c>
      <c r="C5221" s="2" t="s">
        <v>40</v>
      </c>
      <c r="D5221" s="2" t="s">
        <v>41</v>
      </c>
      <c r="E5221" s="5">
        <v>-28660</v>
      </c>
      <c r="F5221" s="3" t="s">
        <v>7202</v>
      </c>
      <c r="G5221" s="3" t="s">
        <v>52</v>
      </c>
      <c r="H5221" s="2" t="s">
        <v>21</v>
      </c>
      <c r="I5221" s="2" t="s">
        <v>10529</v>
      </c>
      <c r="J5221" s="3" t="str">
        <f>HYPERLINK("https://www.boe.es/gazeta/dias/1821/07/12/pdfs/GMD-1821-197.pdf#page=2","Abrir facsímil")</f>
        <v>Abrir facsímil</v>
      </c>
      <c r="K5221" s="3" t="s">
        <v>23</v>
      </c>
    </row>
    <row r="5222" spans="1:11" ht="42" customHeight="1">
      <c r="A5222" s="2" t="s">
        <v>10528</v>
      </c>
      <c r="B5222" s="2" t="s">
        <v>10528</v>
      </c>
      <c r="C5222" s="2" t="s">
        <v>40</v>
      </c>
      <c r="D5222" s="2" t="s">
        <v>41</v>
      </c>
      <c r="E5222" s="5">
        <v>-28564</v>
      </c>
      <c r="F5222" s="3" t="s">
        <v>861</v>
      </c>
      <c r="G5222" s="3" t="s">
        <v>52</v>
      </c>
      <c r="H5222" s="2" t="s">
        <v>21</v>
      </c>
      <c r="I5222" s="2" t="s">
        <v>10530</v>
      </c>
      <c r="J5222" s="3" t="str">
        <f>HYPERLINK("https://www.boe.es/gazeta/dias/1821/10/16/pdfs/GMD-1821-295.pdf#page=2","Abrir facsímil")</f>
        <v>Abrir facsímil</v>
      </c>
      <c r="K5222" s="3" t="s">
        <v>23</v>
      </c>
    </row>
    <row r="5223" spans="1:11" ht="42" customHeight="1">
      <c r="A5223" s="2" t="s">
        <v>10528</v>
      </c>
      <c r="B5223" s="2" t="s">
        <v>10528</v>
      </c>
      <c r="C5223" s="2" t="s">
        <v>40</v>
      </c>
      <c r="D5223" s="2" t="s">
        <v>41</v>
      </c>
      <c r="E5223" s="5">
        <v>-28557</v>
      </c>
      <c r="F5223" s="3" t="s">
        <v>316</v>
      </c>
      <c r="G5223" s="3" t="s">
        <v>43</v>
      </c>
      <c r="H5223" s="2" t="s">
        <v>21</v>
      </c>
      <c r="I5223" s="2" t="s">
        <v>10531</v>
      </c>
      <c r="J5223" s="3" t="str">
        <f>HYPERLINK("https://www.boe.es/gazeta/dias/1821/10/23/pdfs/GMD-1821-302.pdf#page=1","Abrir facsímil")</f>
        <v>Abrir facsímil</v>
      </c>
      <c r="K5223" s="3" t="s">
        <v>23</v>
      </c>
    </row>
    <row r="5224" spans="1:11" ht="42" customHeight="1">
      <c r="A5224" s="2" t="s">
        <v>10528</v>
      </c>
      <c r="B5224" s="2" t="s">
        <v>10528</v>
      </c>
      <c r="C5224" s="2" t="s">
        <v>40</v>
      </c>
      <c r="D5224" s="2" t="s">
        <v>41</v>
      </c>
      <c r="E5224" s="5">
        <v>-28532</v>
      </c>
      <c r="F5224" s="3" t="s">
        <v>1415</v>
      </c>
      <c r="G5224" s="3" t="s">
        <v>43</v>
      </c>
      <c r="H5224" s="2" t="s">
        <v>21</v>
      </c>
      <c r="I5224" s="2" t="s">
        <v>10532</v>
      </c>
      <c r="J5224" s="3" t="str">
        <f>HYPERLINK("https://www.boe.es/gazeta/dias/1821/11/17/pdfs/GMD-1821-328.pdf#page=1","Abrir facsímil")</f>
        <v>Abrir facsímil</v>
      </c>
      <c r="K5224" s="3" t="s">
        <v>23</v>
      </c>
    </row>
    <row r="5225" spans="1:11" ht="42" customHeight="1">
      <c r="A5225" s="2" t="s">
        <v>10533</v>
      </c>
      <c r="B5225" s="2" t="s">
        <v>10534</v>
      </c>
      <c r="C5225" s="2" t="s">
        <v>35</v>
      </c>
      <c r="D5225" s="2" t="s">
        <v>27</v>
      </c>
      <c r="E5225" s="5">
        <v>-28756</v>
      </c>
      <c r="F5225" s="3" t="s">
        <v>3145</v>
      </c>
      <c r="G5225" s="3" t="s">
        <v>20</v>
      </c>
      <c r="H5225" s="2" t="s">
        <v>30</v>
      </c>
      <c r="I5225" s="2" t="s">
        <v>10535</v>
      </c>
      <c r="J5225" s="3" t="str">
        <f>HYPERLINK("https://www.boe.es/gazeta/dias/1821/04/07/pdfs/GMD-1821-99.pdf#page=3","Abrir facsímil")</f>
        <v>Abrir facsímil</v>
      </c>
      <c r="K5225" s="3" t="s">
        <v>32</v>
      </c>
    </row>
    <row r="5226" spans="1:11" ht="42" customHeight="1">
      <c r="A5226" s="2" t="s">
        <v>10536</v>
      </c>
      <c r="B5226" s="2" t="s">
        <v>10537</v>
      </c>
      <c r="C5226" s="2" t="s">
        <v>114</v>
      </c>
      <c r="D5226" s="2" t="s">
        <v>27</v>
      </c>
      <c r="E5226" s="5">
        <v>-28646</v>
      </c>
      <c r="F5226" s="3" t="s">
        <v>1457</v>
      </c>
      <c r="G5226" s="3" t="s">
        <v>79</v>
      </c>
      <c r="H5226" s="2" t="s">
        <v>21</v>
      </c>
      <c r="I5226" s="2" t="s">
        <v>10538</v>
      </c>
      <c r="J5226" s="3" t="str">
        <f>HYPERLINK("https://www.boe.es/gazeta/dias/1821/07/26/pdfs/GMD-1821-211.pdf#page=4","Abrir facsímil")</f>
        <v>Abrir facsímil</v>
      </c>
      <c r="K5226" s="3" t="s">
        <v>23</v>
      </c>
    </row>
    <row r="5227" spans="1:11" ht="42" customHeight="1">
      <c r="A5227" s="2" t="s">
        <v>10539</v>
      </c>
      <c r="B5227" s="2" t="s">
        <v>10539</v>
      </c>
      <c r="C5227" s="2" t="s">
        <v>40</v>
      </c>
      <c r="D5227" s="2" t="s">
        <v>41</v>
      </c>
      <c r="E5227" s="5">
        <v>-28748</v>
      </c>
      <c r="F5227" s="3" t="s">
        <v>634</v>
      </c>
      <c r="G5227" s="3" t="s">
        <v>52</v>
      </c>
      <c r="H5227" s="2" t="s">
        <v>21</v>
      </c>
      <c r="I5227" s="2" t="s">
        <v>10540</v>
      </c>
      <c r="J5227" s="3" t="str">
        <f>HYPERLINK("https://www.boe.es/gazeta/dias/1821/04/15/pdfs/GMD-1821-107.pdf#page=2","Abrir facsímil")</f>
        <v>Abrir facsímil</v>
      </c>
      <c r="K5227" s="3" t="s">
        <v>23</v>
      </c>
    </row>
    <row r="5228" spans="1:11" ht="42" customHeight="1">
      <c r="A5228" s="2" t="s">
        <v>10539</v>
      </c>
      <c r="B5228" s="2" t="s">
        <v>10539</v>
      </c>
      <c r="C5228" s="2" t="s">
        <v>35</v>
      </c>
      <c r="D5228" s="2" t="s">
        <v>27</v>
      </c>
      <c r="E5228" s="5">
        <v>-28637</v>
      </c>
      <c r="F5228" s="3" t="s">
        <v>3049</v>
      </c>
      <c r="G5228" s="3" t="s">
        <v>52</v>
      </c>
      <c r="H5228" s="2" t="s">
        <v>21</v>
      </c>
      <c r="I5228" s="2" t="s">
        <v>10541</v>
      </c>
      <c r="J5228" s="3" t="str">
        <f>HYPERLINK("https://www.boe.es/gazeta/dias/1821/08/04/pdfs/GMD-1821-220.pdf#page=2","Abrir facsímil")</f>
        <v>Abrir facsímil</v>
      </c>
      <c r="K5228" s="3" t="s">
        <v>23</v>
      </c>
    </row>
    <row r="5229" spans="1:11" ht="42" customHeight="1">
      <c r="A5229" s="2" t="s">
        <v>10542</v>
      </c>
      <c r="B5229" s="2" t="s">
        <v>10542</v>
      </c>
      <c r="C5229" s="2" t="s">
        <v>40</v>
      </c>
      <c r="D5229" s="2" t="s">
        <v>41</v>
      </c>
      <c r="E5229" s="5">
        <v>-28847</v>
      </c>
      <c r="F5229" s="3" t="s">
        <v>288</v>
      </c>
      <c r="G5229" s="3" t="s">
        <v>289</v>
      </c>
      <c r="H5229" s="2" t="s">
        <v>21</v>
      </c>
      <c r="I5229" s="2" t="s">
        <v>10543</v>
      </c>
      <c r="J5229" s="3" t="str">
        <f>HYPERLINK("https://www.boe.es/gazeta/dias/1821/01/06/pdfs/GGB-1821-6.pdf#page=4","Abrir facsímil")</f>
        <v>Abrir facsímil</v>
      </c>
      <c r="K5229" s="3" t="s">
        <v>23</v>
      </c>
    </row>
    <row r="5230" spans="1:11" ht="42" customHeight="1">
      <c r="A5230" s="2" t="s">
        <v>10544</v>
      </c>
      <c r="B5230" s="2" t="s">
        <v>10545</v>
      </c>
      <c r="C5230" s="2" t="s">
        <v>26</v>
      </c>
      <c r="D5230" s="2" t="s">
        <v>27</v>
      </c>
      <c r="E5230" s="5">
        <v>-28676</v>
      </c>
      <c r="F5230" s="3" t="s">
        <v>534</v>
      </c>
      <c r="G5230" s="3" t="s">
        <v>29</v>
      </c>
      <c r="H5230" s="2" t="s">
        <v>21</v>
      </c>
      <c r="I5230" s="2" t="s">
        <v>10546</v>
      </c>
      <c r="J5230" s="3" t="str">
        <f>HYPERLINK("https://www.boe.es/gazeta/dias/1821/06/26/pdfs/GMD-1821-179.pdf#page=6","Abrir facsímil")</f>
        <v>Abrir facsímil</v>
      </c>
      <c r="K5230" s="3" t="s">
        <v>23</v>
      </c>
    </row>
    <row r="5231" spans="1:11" ht="42" customHeight="1">
      <c r="A5231" s="2" t="s">
        <v>10547</v>
      </c>
      <c r="B5231" s="2" t="s">
        <v>10547</v>
      </c>
      <c r="C5231" s="2" t="s">
        <v>26</v>
      </c>
      <c r="D5231" s="2" t="s">
        <v>27</v>
      </c>
      <c r="E5231" s="5">
        <v>-28536</v>
      </c>
      <c r="F5231" s="3" t="s">
        <v>553</v>
      </c>
      <c r="G5231" s="3" t="s">
        <v>52</v>
      </c>
      <c r="H5231" s="2" t="s">
        <v>21</v>
      </c>
      <c r="I5231" s="2" t="s">
        <v>10548</v>
      </c>
      <c r="J5231" s="3" t="str">
        <f>HYPERLINK("https://www.boe.es/gazeta/dias/1821/11/13/pdfs/GMD-1821-324.pdf#page=2","Abrir facsímil")</f>
        <v>Abrir facsímil</v>
      </c>
      <c r="K5231" s="3" t="s">
        <v>23</v>
      </c>
    </row>
    <row r="5232" spans="1:11" ht="42" customHeight="1">
      <c r="A5232" s="2" t="s">
        <v>10549</v>
      </c>
      <c r="B5232" s="2" t="s">
        <v>10549</v>
      </c>
      <c r="C5232" s="2" t="s">
        <v>40</v>
      </c>
      <c r="D5232" s="2" t="s">
        <v>41</v>
      </c>
      <c r="E5232" s="5">
        <v>-28655</v>
      </c>
      <c r="F5232" s="3" t="s">
        <v>2530</v>
      </c>
      <c r="G5232" s="3" t="s">
        <v>52</v>
      </c>
      <c r="H5232" s="2" t="s">
        <v>21</v>
      </c>
      <c r="I5232" s="2" t="s">
        <v>10550</v>
      </c>
      <c r="J5232" s="3" t="str">
        <f>HYPERLINK("https://www.boe.es/gazeta/dias/1821/07/17/pdfs/GMD-1821-202.pdf#page=2","Abrir facsímil")</f>
        <v>Abrir facsímil</v>
      </c>
      <c r="K5232" s="3" t="s">
        <v>23</v>
      </c>
    </row>
    <row r="5233" spans="1:11" ht="42" customHeight="1">
      <c r="A5233" s="2" t="s">
        <v>10551</v>
      </c>
      <c r="B5233" s="2" t="s">
        <v>10551</v>
      </c>
      <c r="C5233" s="2" t="s">
        <v>40</v>
      </c>
      <c r="D5233" s="2" t="s">
        <v>41</v>
      </c>
      <c r="E5233" s="5">
        <v>-28508</v>
      </c>
      <c r="F5233" s="3" t="s">
        <v>42</v>
      </c>
      <c r="G5233" s="3" t="s">
        <v>43</v>
      </c>
      <c r="H5233" s="2" t="s">
        <v>21</v>
      </c>
      <c r="I5233" s="2" t="s">
        <v>10552</v>
      </c>
      <c r="J5233" s="3" t="str">
        <f>HYPERLINK("https://www.boe.es/gazeta/dias/1821/12/11/pdfs/GMD-1821-353.pdf#page=1","Abrir facsímil")</f>
        <v>Abrir facsímil</v>
      </c>
      <c r="K5233" s="3" t="s">
        <v>23</v>
      </c>
    </row>
    <row r="5234" spans="1:11" ht="42" customHeight="1">
      <c r="A5234" s="2" t="s">
        <v>10553</v>
      </c>
      <c r="B5234" s="2" t="s">
        <v>10553</v>
      </c>
      <c r="C5234" s="2" t="s">
        <v>40</v>
      </c>
      <c r="D5234" s="2" t="s">
        <v>41</v>
      </c>
      <c r="E5234" s="5">
        <v>-28824</v>
      </c>
      <c r="F5234" s="3" t="s">
        <v>1227</v>
      </c>
      <c r="G5234" s="3" t="s">
        <v>20</v>
      </c>
      <c r="H5234" s="2" t="s">
        <v>21</v>
      </c>
      <c r="I5234" s="2" t="s">
        <v>10554</v>
      </c>
      <c r="J5234" s="3" t="str">
        <f>HYPERLINK("https://www.boe.es/gazeta/dias/1821/01/29/pdfs/GGB-1821-29.pdf#page=3","Abrir facsímil")</f>
        <v>Abrir facsímil</v>
      </c>
      <c r="K5234" s="3" t="s">
        <v>23</v>
      </c>
    </row>
    <row r="5235" spans="1:11" ht="42" customHeight="1">
      <c r="A5235" s="2" t="s">
        <v>10553</v>
      </c>
      <c r="B5235" s="2" t="s">
        <v>10553</v>
      </c>
      <c r="C5235" s="2" t="s">
        <v>174</v>
      </c>
      <c r="D5235" s="2" t="s">
        <v>27</v>
      </c>
      <c r="E5235" s="5">
        <v>-28810</v>
      </c>
      <c r="F5235" s="3" t="s">
        <v>308</v>
      </c>
      <c r="G5235" s="3" t="s">
        <v>88</v>
      </c>
      <c r="H5235" s="2" t="s">
        <v>21</v>
      </c>
      <c r="I5235" s="2" t="s">
        <v>10555</v>
      </c>
      <c r="J5235" s="3" t="str">
        <f>HYPERLINK("https://www.boe.es/gazeta/dias/1821/02/12/pdfs/GGB-1821-43.pdf#page=4","Abrir facsímil")</f>
        <v>Abrir facsímil</v>
      </c>
      <c r="K5235" s="3" t="s">
        <v>23</v>
      </c>
    </row>
    <row r="5236" spans="1:11" ht="42" customHeight="1">
      <c r="A5236" s="2" t="s">
        <v>10553</v>
      </c>
      <c r="B5236" s="2" t="s">
        <v>10553</v>
      </c>
      <c r="C5236" s="2" t="s">
        <v>114</v>
      </c>
      <c r="D5236" s="2" t="s">
        <v>27</v>
      </c>
      <c r="E5236" s="5">
        <v>-28809</v>
      </c>
      <c r="F5236" s="3" t="s">
        <v>1173</v>
      </c>
      <c r="G5236" s="3" t="s">
        <v>88</v>
      </c>
      <c r="H5236" s="2" t="s">
        <v>21</v>
      </c>
      <c r="I5236" s="2" t="s">
        <v>10556</v>
      </c>
      <c r="J5236" s="3" t="str">
        <f>HYPERLINK("https://www.boe.es/gazeta/dias/1821/02/13/pdfs/GGB-1821-44.pdf#page=4","Abrir facsímil")</f>
        <v>Abrir facsímil</v>
      </c>
      <c r="K5236" s="3" t="s">
        <v>23</v>
      </c>
    </row>
    <row r="5237" spans="1:11" ht="42" customHeight="1">
      <c r="A5237" s="2" t="s">
        <v>10553</v>
      </c>
      <c r="B5237" s="2" t="s">
        <v>10553</v>
      </c>
      <c r="C5237" s="2" t="s">
        <v>17</v>
      </c>
      <c r="D5237" s="2" t="s">
        <v>18</v>
      </c>
      <c r="E5237" s="5">
        <v>-28805</v>
      </c>
      <c r="F5237" s="3" t="s">
        <v>382</v>
      </c>
      <c r="G5237" s="3" t="s">
        <v>88</v>
      </c>
      <c r="H5237" s="2" t="s">
        <v>21</v>
      </c>
      <c r="I5237" s="2" t="s">
        <v>10557</v>
      </c>
      <c r="J5237" s="3" t="str">
        <f>HYPERLINK("https://www.boe.es/gazeta/dias/1821/02/17/pdfs/GGB-1821-48.pdf#page=4","Abrir facsímil")</f>
        <v>Abrir facsímil</v>
      </c>
      <c r="K5237" s="3" t="s">
        <v>23</v>
      </c>
    </row>
    <row r="5238" spans="1:11" ht="42" customHeight="1">
      <c r="A5238" s="2" t="s">
        <v>10553</v>
      </c>
      <c r="B5238" s="2" t="s">
        <v>10553</v>
      </c>
      <c r="C5238" s="2" t="s">
        <v>40</v>
      </c>
      <c r="D5238" s="2" t="s">
        <v>41</v>
      </c>
      <c r="E5238" s="5">
        <v>-28793</v>
      </c>
      <c r="F5238" s="3" t="s">
        <v>157</v>
      </c>
      <c r="G5238" s="3" t="s">
        <v>162</v>
      </c>
      <c r="H5238" s="2" t="s">
        <v>21</v>
      </c>
      <c r="I5238" s="2" t="s">
        <v>10558</v>
      </c>
      <c r="J5238" s="3" t="str">
        <f>HYPERLINK("https://www.boe.es/gazeta/dias/1821/03/01/pdfs/GGB-1821-60.pdf#page=5","Abrir facsímil")</f>
        <v>Abrir facsímil</v>
      </c>
      <c r="K5238" s="3" t="s">
        <v>23</v>
      </c>
    </row>
    <row r="5239" spans="1:11" ht="42" customHeight="1">
      <c r="A5239" s="2" t="s">
        <v>10553</v>
      </c>
      <c r="B5239" s="2" t="s">
        <v>10553</v>
      </c>
      <c r="C5239" s="2" t="s">
        <v>17</v>
      </c>
      <c r="D5239" s="2" t="s">
        <v>18</v>
      </c>
      <c r="E5239" s="5">
        <v>-28786</v>
      </c>
      <c r="F5239" s="3" t="s">
        <v>1933</v>
      </c>
      <c r="G5239" s="3" t="s">
        <v>88</v>
      </c>
      <c r="H5239" s="2" t="s">
        <v>21</v>
      </c>
      <c r="I5239" s="2" t="s">
        <v>10559</v>
      </c>
      <c r="J5239" s="3" t="str">
        <f>HYPERLINK("https://www.boe.es/gazeta/dias/1821/03/08/pdfs/GGB-1821-67.pdf#page=4","Abrir facsímil")</f>
        <v>Abrir facsímil</v>
      </c>
      <c r="K5239" s="3" t="s">
        <v>23</v>
      </c>
    </row>
    <row r="5240" spans="1:11" ht="42" customHeight="1">
      <c r="A5240" s="2" t="s">
        <v>10553</v>
      </c>
      <c r="B5240" s="2" t="s">
        <v>10553</v>
      </c>
      <c r="C5240" s="2" t="s">
        <v>17</v>
      </c>
      <c r="D5240" s="2" t="s">
        <v>18</v>
      </c>
      <c r="E5240" s="5">
        <v>-28773</v>
      </c>
      <c r="F5240" s="3" t="s">
        <v>1755</v>
      </c>
      <c r="G5240" s="3" t="s">
        <v>52</v>
      </c>
      <c r="H5240" s="2" t="s">
        <v>21</v>
      </c>
      <c r="I5240" s="2" t="s">
        <v>10560</v>
      </c>
      <c r="J5240" s="3" t="str">
        <f>HYPERLINK("https://www.boe.es/gazeta/dias/1821/03/21/pdfs/GMD-1821-80.pdf#page=2","Abrir facsímil")</f>
        <v>Abrir facsímil</v>
      </c>
      <c r="K5240" s="3" t="s">
        <v>23</v>
      </c>
    </row>
    <row r="5241" spans="1:11" ht="42" customHeight="1">
      <c r="A5241" s="2" t="s">
        <v>10553</v>
      </c>
      <c r="B5241" s="2" t="s">
        <v>10553</v>
      </c>
      <c r="C5241" s="2" t="s">
        <v>35</v>
      </c>
      <c r="D5241" s="2" t="s">
        <v>27</v>
      </c>
      <c r="E5241" s="5">
        <v>-28765</v>
      </c>
      <c r="F5241" s="3" t="s">
        <v>974</v>
      </c>
      <c r="G5241" s="3" t="s">
        <v>52</v>
      </c>
      <c r="H5241" s="2" t="s">
        <v>21</v>
      </c>
      <c r="I5241" s="2" t="s">
        <v>10561</v>
      </c>
      <c r="J5241" s="3" t="str">
        <f>HYPERLINK("https://www.boe.es/gazeta/dias/1821/03/29/pdfs/GMD-1821-90.pdf#page=2","Abrir facsímil")</f>
        <v>Abrir facsímil</v>
      </c>
      <c r="K5241" s="3" t="s">
        <v>23</v>
      </c>
    </row>
    <row r="5242" spans="1:11" ht="42" customHeight="1">
      <c r="A5242" s="2" t="s">
        <v>10553</v>
      </c>
      <c r="B5242" s="2" t="s">
        <v>10553</v>
      </c>
      <c r="C5242" s="2" t="s">
        <v>17</v>
      </c>
      <c r="D5242" s="2" t="s">
        <v>18</v>
      </c>
      <c r="E5242" s="5">
        <v>-28762</v>
      </c>
      <c r="F5242" s="3" t="s">
        <v>608</v>
      </c>
      <c r="G5242" s="3" t="s">
        <v>609</v>
      </c>
      <c r="H5242" s="2" t="s">
        <v>21</v>
      </c>
      <c r="I5242" s="2" t="s">
        <v>10562</v>
      </c>
      <c r="J5242" s="3" t="str">
        <f>HYPERLINK("https://www.boe.es/gazeta/dias/1821/04/01/pdfs/GMD-1821-93.pdf#page=7","Abrir facsímil")</f>
        <v>Abrir facsímil</v>
      </c>
      <c r="K5242" s="3" t="s">
        <v>23</v>
      </c>
    </row>
    <row r="5243" spans="1:11" ht="42" customHeight="1">
      <c r="A5243" s="2" t="s">
        <v>10553</v>
      </c>
      <c r="B5243" s="2" t="s">
        <v>10553</v>
      </c>
      <c r="C5243" s="2" t="s">
        <v>17</v>
      </c>
      <c r="D5243" s="2" t="s">
        <v>18</v>
      </c>
      <c r="E5243" s="5">
        <v>-28761</v>
      </c>
      <c r="F5243" s="3" t="s">
        <v>771</v>
      </c>
      <c r="G5243" s="3" t="s">
        <v>52</v>
      </c>
      <c r="H5243" s="2" t="s">
        <v>21</v>
      </c>
      <c r="I5243" s="2" t="s">
        <v>10563</v>
      </c>
      <c r="J5243" s="3" t="str">
        <f>HYPERLINK("https://www.boe.es/gazeta/dias/1821/04/02/pdfs/GMD-1821-94.pdf#page=2","Abrir facsímil")</f>
        <v>Abrir facsímil</v>
      </c>
      <c r="K5243" s="3" t="s">
        <v>23</v>
      </c>
    </row>
    <row r="5244" spans="1:11" ht="42" customHeight="1">
      <c r="A5244" s="2" t="s">
        <v>10553</v>
      </c>
      <c r="B5244" s="2" t="s">
        <v>10553</v>
      </c>
      <c r="C5244" s="2" t="s">
        <v>17</v>
      </c>
      <c r="D5244" s="2" t="s">
        <v>18</v>
      </c>
      <c r="E5244" s="5">
        <v>-28761</v>
      </c>
      <c r="F5244" s="3" t="s">
        <v>771</v>
      </c>
      <c r="G5244" s="3" t="s">
        <v>20</v>
      </c>
      <c r="H5244" s="2" t="s">
        <v>21</v>
      </c>
      <c r="I5244" s="2" t="s">
        <v>10564</v>
      </c>
      <c r="J5244" s="3" t="str">
        <f>HYPERLINK("https://www.boe.es/gazeta/dias/1821/04/02/pdfs/GMD-1821-94.pdf#page=3","Abrir facsímil")</f>
        <v>Abrir facsímil</v>
      </c>
      <c r="K5244" s="3" t="s">
        <v>23</v>
      </c>
    </row>
    <row r="5245" spans="1:11" ht="42" customHeight="1">
      <c r="A5245" s="2" t="s">
        <v>10553</v>
      </c>
      <c r="B5245" s="2" t="s">
        <v>10553</v>
      </c>
      <c r="C5245" s="2" t="s">
        <v>26</v>
      </c>
      <c r="D5245" s="2" t="s">
        <v>27</v>
      </c>
      <c r="E5245" s="5">
        <v>-28755</v>
      </c>
      <c r="F5245" s="3" t="s">
        <v>906</v>
      </c>
      <c r="G5245" s="3" t="s">
        <v>907</v>
      </c>
      <c r="H5245" s="2" t="s">
        <v>21</v>
      </c>
      <c r="I5245" s="2" t="s">
        <v>10565</v>
      </c>
      <c r="J5245" s="3" t="str">
        <f>HYPERLINK("https://www.boe.es/gazeta/dias/1821/04/08/pdfs/GMD-1821-100.pdf#page=4","Abrir facsímil")</f>
        <v>Abrir facsímil</v>
      </c>
      <c r="K5245" s="3" t="s">
        <v>23</v>
      </c>
    </row>
    <row r="5246" spans="1:11" ht="42" customHeight="1">
      <c r="A5246" s="2" t="s">
        <v>10553</v>
      </c>
      <c r="B5246" s="2" t="s">
        <v>10553</v>
      </c>
      <c r="C5246" s="2" t="s">
        <v>26</v>
      </c>
      <c r="D5246" s="2" t="s">
        <v>27</v>
      </c>
      <c r="E5246" s="5">
        <v>-28755</v>
      </c>
      <c r="F5246" s="3" t="s">
        <v>906</v>
      </c>
      <c r="G5246" s="3" t="s">
        <v>52</v>
      </c>
      <c r="H5246" s="2" t="s">
        <v>21</v>
      </c>
      <c r="I5246" s="2" t="s">
        <v>10566</v>
      </c>
      <c r="J5246" s="3" t="str">
        <f>HYPERLINK("https://www.boe.es/gazeta/dias/1821/04/08/pdfs/GMD-1821-100.pdf#page=2","Abrir facsímil")</f>
        <v>Abrir facsímil</v>
      </c>
      <c r="K5246" s="3" t="s">
        <v>23</v>
      </c>
    </row>
    <row r="5247" spans="1:11" ht="42" customHeight="1">
      <c r="A5247" s="2" t="s">
        <v>10553</v>
      </c>
      <c r="B5247" s="2" t="s">
        <v>10553</v>
      </c>
      <c r="C5247" s="2" t="s">
        <v>17</v>
      </c>
      <c r="D5247" s="2" t="s">
        <v>18</v>
      </c>
      <c r="E5247" s="5">
        <v>-28743</v>
      </c>
      <c r="F5247" s="3" t="s">
        <v>51</v>
      </c>
      <c r="G5247" s="3" t="s">
        <v>88</v>
      </c>
      <c r="H5247" s="2" t="s">
        <v>21</v>
      </c>
      <c r="I5247" s="2" t="s">
        <v>10567</v>
      </c>
      <c r="J5247" s="3" t="str">
        <f>HYPERLINK("https://www.boe.es/gazeta/dias/1821/04/20/pdfs/GMD-1821-112.pdf#page=4","Abrir facsímil")</f>
        <v>Abrir facsímil</v>
      </c>
      <c r="K5247" s="3" t="s">
        <v>23</v>
      </c>
    </row>
    <row r="5248" spans="1:11" ht="42" customHeight="1">
      <c r="A5248" s="2" t="s">
        <v>10553</v>
      </c>
      <c r="B5248" s="2" t="s">
        <v>10553</v>
      </c>
      <c r="C5248" s="2" t="s">
        <v>40</v>
      </c>
      <c r="D5248" s="2" t="s">
        <v>41</v>
      </c>
      <c r="E5248" s="5">
        <v>-28738</v>
      </c>
      <c r="F5248" s="3" t="s">
        <v>359</v>
      </c>
      <c r="G5248" s="3" t="s">
        <v>88</v>
      </c>
      <c r="H5248" s="2" t="s">
        <v>21</v>
      </c>
      <c r="I5248" s="2" t="s">
        <v>10568</v>
      </c>
      <c r="J5248" s="3" t="str">
        <f>HYPERLINK("https://www.boe.es/gazeta/dias/1821/04/25/pdfs/GMD-1821-117.pdf#page=4","Abrir facsímil")</f>
        <v>Abrir facsímil</v>
      </c>
      <c r="K5248" s="3" t="s">
        <v>23</v>
      </c>
    </row>
    <row r="5249" spans="1:11" ht="42" customHeight="1">
      <c r="A5249" s="2" t="s">
        <v>10553</v>
      </c>
      <c r="B5249" s="2" t="s">
        <v>10553</v>
      </c>
      <c r="C5249" s="2" t="s">
        <v>40</v>
      </c>
      <c r="D5249" s="2" t="s">
        <v>41</v>
      </c>
      <c r="E5249" s="5">
        <v>-28737</v>
      </c>
      <c r="F5249" s="3" t="s">
        <v>732</v>
      </c>
      <c r="G5249" s="3" t="s">
        <v>20</v>
      </c>
      <c r="H5249" s="2" t="s">
        <v>21</v>
      </c>
      <c r="I5249" s="2" t="s">
        <v>10569</v>
      </c>
      <c r="J5249" s="3" t="str">
        <f>HYPERLINK("https://www.boe.es/gazeta/dias/1821/04/26/pdfs/GMD-1821-118.pdf#page=3","Abrir facsímil")</f>
        <v>Abrir facsímil</v>
      </c>
      <c r="K5249" s="3" t="s">
        <v>23</v>
      </c>
    </row>
    <row r="5250" spans="1:11" ht="42" customHeight="1">
      <c r="A5250" s="2" t="s">
        <v>10553</v>
      </c>
      <c r="B5250" s="2" t="s">
        <v>10553</v>
      </c>
      <c r="C5250" s="2" t="s">
        <v>26</v>
      </c>
      <c r="D5250" s="2" t="s">
        <v>27</v>
      </c>
      <c r="E5250" s="5">
        <v>-28732</v>
      </c>
      <c r="F5250" s="3" t="s">
        <v>2628</v>
      </c>
      <c r="G5250" s="3" t="s">
        <v>88</v>
      </c>
      <c r="H5250" s="2" t="s">
        <v>21</v>
      </c>
      <c r="I5250" s="2" t="s">
        <v>10570</v>
      </c>
      <c r="J5250" s="3" t="str">
        <f>HYPERLINK("https://www.boe.es/gazeta/dias/1821/05/01/pdfs/GMD-1821-123.pdf#page=4","Abrir facsímil")</f>
        <v>Abrir facsímil</v>
      </c>
      <c r="K5250" s="3" t="s">
        <v>23</v>
      </c>
    </row>
    <row r="5251" spans="1:11" ht="42" customHeight="1">
      <c r="A5251" s="2" t="s">
        <v>10553</v>
      </c>
      <c r="B5251" s="2" t="s">
        <v>10553</v>
      </c>
      <c r="C5251" s="2" t="s">
        <v>114</v>
      </c>
      <c r="D5251" s="2" t="s">
        <v>27</v>
      </c>
      <c r="E5251" s="5">
        <v>-28731</v>
      </c>
      <c r="F5251" s="3" t="s">
        <v>577</v>
      </c>
      <c r="G5251" s="3" t="s">
        <v>88</v>
      </c>
      <c r="H5251" s="2" t="s">
        <v>21</v>
      </c>
      <c r="I5251" s="2" t="s">
        <v>10571</v>
      </c>
      <c r="J5251" s="3" t="str">
        <f>HYPERLINK("https://www.boe.es/gazeta/dias/1821/05/02/pdfs/GMD-1821-124.pdf#page=4","Abrir facsímil")</f>
        <v>Abrir facsímil</v>
      </c>
      <c r="K5251" s="3" t="s">
        <v>23</v>
      </c>
    </row>
    <row r="5252" spans="1:11" ht="42" customHeight="1">
      <c r="A5252" s="2" t="s">
        <v>10553</v>
      </c>
      <c r="B5252" s="2" t="s">
        <v>10553</v>
      </c>
      <c r="C5252" s="2" t="s">
        <v>114</v>
      </c>
      <c r="D5252" s="2" t="s">
        <v>27</v>
      </c>
      <c r="E5252" s="5">
        <v>-28727</v>
      </c>
      <c r="F5252" s="3" t="s">
        <v>200</v>
      </c>
      <c r="G5252" s="3" t="s">
        <v>43</v>
      </c>
      <c r="H5252" s="2" t="s">
        <v>21</v>
      </c>
      <c r="I5252" s="2" t="s">
        <v>10572</v>
      </c>
      <c r="J5252" s="3" t="str">
        <f>HYPERLINK("https://www.boe.es/gazeta/dias/1821/05/06/pdfs/GMD-1821-128.pdf#page=1","Abrir facsímil")</f>
        <v>Abrir facsímil</v>
      </c>
      <c r="K5252" s="3" t="s">
        <v>23</v>
      </c>
    </row>
    <row r="5253" spans="1:11" ht="42" customHeight="1">
      <c r="A5253" s="2" t="s">
        <v>10553</v>
      </c>
      <c r="B5253" s="2" t="s">
        <v>10553</v>
      </c>
      <c r="C5253" s="2" t="s">
        <v>40</v>
      </c>
      <c r="D5253" s="2" t="s">
        <v>41</v>
      </c>
      <c r="E5253" s="5">
        <v>-28724</v>
      </c>
      <c r="F5253" s="3" t="s">
        <v>1305</v>
      </c>
      <c r="G5253" s="3" t="s">
        <v>20</v>
      </c>
      <c r="H5253" s="2" t="s">
        <v>21</v>
      </c>
      <c r="I5253" s="2" t="s">
        <v>10573</v>
      </c>
      <c r="J5253" s="3" t="str">
        <f>HYPERLINK("https://www.boe.es/gazeta/dias/1821/05/09/pdfs/GMD-1821-131.pdf#page=3","Abrir facsímil")</f>
        <v>Abrir facsímil</v>
      </c>
      <c r="K5253" s="3" t="s">
        <v>23</v>
      </c>
    </row>
    <row r="5254" spans="1:11" ht="42" customHeight="1">
      <c r="A5254" s="2" t="s">
        <v>10553</v>
      </c>
      <c r="B5254" s="2" t="s">
        <v>10553</v>
      </c>
      <c r="C5254" s="2" t="s">
        <v>35</v>
      </c>
      <c r="D5254" s="2" t="s">
        <v>27</v>
      </c>
      <c r="E5254" s="5">
        <v>-28722</v>
      </c>
      <c r="F5254" s="3" t="s">
        <v>623</v>
      </c>
      <c r="G5254" s="3" t="s">
        <v>20</v>
      </c>
      <c r="H5254" s="2" t="s">
        <v>21</v>
      </c>
      <c r="I5254" s="2" t="s">
        <v>10574</v>
      </c>
      <c r="J5254" s="3" t="str">
        <f>HYPERLINK("https://www.boe.es/gazeta/dias/1821/05/11/pdfs/GMD-1821-133.pdf#page=3","Abrir facsímil")</f>
        <v>Abrir facsímil</v>
      </c>
      <c r="K5254" s="3" t="s">
        <v>23</v>
      </c>
    </row>
    <row r="5255" spans="1:11" ht="42" customHeight="1">
      <c r="A5255" s="2" t="s">
        <v>10553</v>
      </c>
      <c r="B5255" s="2" t="s">
        <v>10553</v>
      </c>
      <c r="C5255" s="2" t="s">
        <v>40</v>
      </c>
      <c r="D5255" s="2" t="s">
        <v>41</v>
      </c>
      <c r="E5255" s="5">
        <v>-28719</v>
      </c>
      <c r="F5255" s="3" t="s">
        <v>647</v>
      </c>
      <c r="G5255" s="3" t="s">
        <v>20</v>
      </c>
      <c r="H5255" s="2" t="s">
        <v>21</v>
      </c>
      <c r="I5255" s="2" t="s">
        <v>10575</v>
      </c>
      <c r="J5255" s="3" t="str">
        <f>HYPERLINK("https://www.boe.es/gazeta/dias/1821/05/14/pdfs/GMD-1821-136.pdf#page=3","Abrir facsímil")</f>
        <v>Abrir facsímil</v>
      </c>
      <c r="K5255" s="3" t="s">
        <v>23</v>
      </c>
    </row>
    <row r="5256" spans="1:11" ht="42" customHeight="1">
      <c r="A5256" s="2" t="s">
        <v>10553</v>
      </c>
      <c r="B5256" s="2" t="s">
        <v>10553</v>
      </c>
      <c r="C5256" s="2" t="s">
        <v>17</v>
      </c>
      <c r="D5256" s="2" t="s">
        <v>18</v>
      </c>
      <c r="E5256" s="5">
        <v>-28715</v>
      </c>
      <c r="F5256" s="3" t="s">
        <v>1046</v>
      </c>
      <c r="G5256" s="3" t="s">
        <v>52</v>
      </c>
      <c r="H5256" s="2" t="s">
        <v>21</v>
      </c>
      <c r="I5256" s="2" t="s">
        <v>10576</v>
      </c>
      <c r="J5256" s="3" t="str">
        <f>HYPERLINK("https://www.boe.es/gazeta/dias/1821/05/18/pdfs/GMD-1821-140.pdf#page=2","Abrir facsímil")</f>
        <v>Abrir facsímil</v>
      </c>
      <c r="K5256" s="3" t="s">
        <v>23</v>
      </c>
    </row>
    <row r="5257" spans="1:11" ht="42" customHeight="1">
      <c r="A5257" s="2" t="s">
        <v>10553</v>
      </c>
      <c r="B5257" s="2" t="s">
        <v>10553</v>
      </c>
      <c r="C5257" s="2" t="s">
        <v>40</v>
      </c>
      <c r="D5257" s="2" t="s">
        <v>41</v>
      </c>
      <c r="E5257" s="5">
        <v>-28711</v>
      </c>
      <c r="F5257" s="3" t="s">
        <v>1048</v>
      </c>
      <c r="G5257" s="3" t="s">
        <v>20</v>
      </c>
      <c r="H5257" s="2" t="s">
        <v>21</v>
      </c>
      <c r="I5257" s="2" t="s">
        <v>10577</v>
      </c>
      <c r="J5257" s="3" t="str">
        <f>HYPERLINK("https://www.boe.es/gazeta/dias/1821/05/22/pdfs/GMD-1821-144.pdf#page=3","Abrir facsímil")</f>
        <v>Abrir facsímil</v>
      </c>
      <c r="K5257" s="3" t="s">
        <v>23</v>
      </c>
    </row>
    <row r="5258" spans="1:11" ht="42" customHeight="1">
      <c r="A5258" s="2" t="s">
        <v>10553</v>
      </c>
      <c r="B5258" s="2" t="s">
        <v>10553</v>
      </c>
      <c r="C5258" s="2" t="s">
        <v>35</v>
      </c>
      <c r="D5258" s="2" t="s">
        <v>27</v>
      </c>
      <c r="E5258" s="5">
        <v>-28696</v>
      </c>
      <c r="F5258" s="3" t="s">
        <v>497</v>
      </c>
      <c r="G5258" s="3" t="s">
        <v>88</v>
      </c>
      <c r="H5258" s="2" t="s">
        <v>21</v>
      </c>
      <c r="I5258" s="2" t="s">
        <v>10578</v>
      </c>
      <c r="J5258" s="3" t="str">
        <f>HYPERLINK("https://www.boe.es/gazeta/dias/1821/06/06/pdfs/GMD-1821-159.pdf#page=4","Abrir facsímil")</f>
        <v>Abrir facsímil</v>
      </c>
      <c r="K5258" s="3" t="s">
        <v>23</v>
      </c>
    </row>
    <row r="5259" spans="1:11" ht="42" customHeight="1">
      <c r="A5259" s="2" t="s">
        <v>10553</v>
      </c>
      <c r="B5259" s="2" t="s">
        <v>10553</v>
      </c>
      <c r="C5259" s="2" t="s">
        <v>26</v>
      </c>
      <c r="D5259" s="2" t="s">
        <v>27</v>
      </c>
      <c r="E5259" s="5">
        <v>-28691</v>
      </c>
      <c r="F5259" s="3" t="s">
        <v>716</v>
      </c>
      <c r="G5259" s="3" t="s">
        <v>43</v>
      </c>
      <c r="H5259" s="2" t="s">
        <v>21</v>
      </c>
      <c r="I5259" s="2" t="s">
        <v>10579</v>
      </c>
      <c r="J5259" s="3" t="str">
        <f>HYPERLINK("https://www.boe.es/gazeta/dias/1821/06/11/pdfs/GMD-1821-164.pdf#page=1","Abrir facsímil")</f>
        <v>Abrir facsímil</v>
      </c>
      <c r="K5259" s="3" t="s">
        <v>23</v>
      </c>
    </row>
    <row r="5260" spans="1:11" ht="42" customHeight="1">
      <c r="A5260" s="2" t="s">
        <v>10553</v>
      </c>
      <c r="B5260" s="2" t="s">
        <v>10553</v>
      </c>
      <c r="C5260" s="2" t="s">
        <v>26</v>
      </c>
      <c r="D5260" s="2" t="s">
        <v>27</v>
      </c>
      <c r="E5260" s="5">
        <v>-28688</v>
      </c>
      <c r="F5260" s="3" t="s">
        <v>1504</v>
      </c>
      <c r="G5260" s="3" t="s">
        <v>52</v>
      </c>
      <c r="H5260" s="2" t="s">
        <v>21</v>
      </c>
      <c r="I5260" s="2" t="s">
        <v>10580</v>
      </c>
      <c r="J5260" s="3" t="str">
        <f>HYPERLINK("https://www.boe.es/gazeta/dias/1821/06/14/pdfs/GMD-1821-167.pdf#page=2","Abrir facsímil")</f>
        <v>Abrir facsímil</v>
      </c>
      <c r="K5260" s="3" t="s">
        <v>23</v>
      </c>
    </row>
    <row r="5261" spans="1:11" ht="42" customHeight="1">
      <c r="A5261" s="2" t="s">
        <v>10553</v>
      </c>
      <c r="B5261" s="2" t="s">
        <v>10553</v>
      </c>
      <c r="C5261" s="2" t="s">
        <v>279</v>
      </c>
      <c r="D5261" s="2" t="s">
        <v>27</v>
      </c>
      <c r="E5261" s="5">
        <v>-28686</v>
      </c>
      <c r="F5261" s="3" t="s">
        <v>115</v>
      </c>
      <c r="G5261" s="3" t="s">
        <v>88</v>
      </c>
      <c r="H5261" s="2" t="s">
        <v>21</v>
      </c>
      <c r="I5261" s="2" t="s">
        <v>10581</v>
      </c>
      <c r="J5261" s="3" t="str">
        <f>HYPERLINK("https://www.boe.es/gazeta/dias/1821/06/16/pdfs/GMD-1821-169.pdf#page=4","Abrir facsímil")</f>
        <v>Abrir facsímil</v>
      </c>
      <c r="K5261" s="3" t="s">
        <v>23</v>
      </c>
    </row>
    <row r="5262" spans="1:11" ht="42" customHeight="1">
      <c r="A5262" s="2" t="s">
        <v>10553</v>
      </c>
      <c r="B5262" s="2" t="s">
        <v>10553</v>
      </c>
      <c r="C5262" s="2" t="s">
        <v>40</v>
      </c>
      <c r="D5262" s="2" t="s">
        <v>41</v>
      </c>
      <c r="E5262" s="5">
        <v>-28683</v>
      </c>
      <c r="F5262" s="3" t="s">
        <v>332</v>
      </c>
      <c r="G5262" s="3" t="s">
        <v>162</v>
      </c>
      <c r="H5262" s="2" t="s">
        <v>21</v>
      </c>
      <c r="I5262" s="2" t="s">
        <v>10582</v>
      </c>
      <c r="J5262" s="3" t="str">
        <f>HYPERLINK("https://www.boe.es/gazeta/dias/1821/06/19/pdfs/GMD-1821-172.pdf#page=5","Abrir facsímil")</f>
        <v>Abrir facsímil</v>
      </c>
      <c r="K5262" s="3" t="s">
        <v>23</v>
      </c>
    </row>
    <row r="5263" spans="1:11" ht="42" customHeight="1">
      <c r="A5263" s="2" t="s">
        <v>10553</v>
      </c>
      <c r="B5263" s="2" t="s">
        <v>10553</v>
      </c>
      <c r="C5263" s="2" t="s">
        <v>35</v>
      </c>
      <c r="D5263" s="2" t="s">
        <v>27</v>
      </c>
      <c r="E5263" s="5">
        <v>-28683</v>
      </c>
      <c r="F5263" s="3" t="s">
        <v>332</v>
      </c>
      <c r="G5263" s="3" t="s">
        <v>333</v>
      </c>
      <c r="H5263" s="2" t="s">
        <v>21</v>
      </c>
      <c r="I5263" s="2" t="s">
        <v>10583</v>
      </c>
      <c r="J5263" s="3" t="str">
        <f>HYPERLINK("https://www.boe.es/gazeta/dias/1821/06/19/pdfs/GMD-1821-172.pdf#page=8","Abrir facsímil")</f>
        <v>Abrir facsímil</v>
      </c>
      <c r="K5263" s="3" t="s">
        <v>23</v>
      </c>
    </row>
    <row r="5264" spans="1:11" ht="42" customHeight="1">
      <c r="A5264" s="2" t="s">
        <v>10553</v>
      </c>
      <c r="B5264" s="2" t="s">
        <v>10553</v>
      </c>
      <c r="C5264" s="2" t="s">
        <v>279</v>
      </c>
      <c r="D5264" s="2" t="s">
        <v>27</v>
      </c>
      <c r="E5264" s="5">
        <v>-28681</v>
      </c>
      <c r="F5264" s="3" t="s">
        <v>210</v>
      </c>
      <c r="G5264" s="3" t="s">
        <v>52</v>
      </c>
      <c r="H5264" s="2" t="s">
        <v>21</v>
      </c>
      <c r="I5264" s="2" t="s">
        <v>10584</v>
      </c>
      <c r="J5264" s="3" t="str">
        <f>HYPERLINK("https://www.boe.es/gazeta/dias/1821/06/21/pdfs/GMD-1821-174.pdf#page=2","Abrir facsímil")</f>
        <v>Abrir facsímil</v>
      </c>
      <c r="K5264" s="3" t="s">
        <v>23</v>
      </c>
    </row>
    <row r="5265" spans="1:11" ht="42" customHeight="1">
      <c r="A5265" s="2" t="s">
        <v>10553</v>
      </c>
      <c r="B5265" s="2" t="s">
        <v>10553</v>
      </c>
      <c r="C5265" s="2" t="s">
        <v>70</v>
      </c>
      <c r="D5265" s="2" t="s">
        <v>27</v>
      </c>
      <c r="E5265" s="5">
        <v>-28679</v>
      </c>
      <c r="F5265" s="3" t="s">
        <v>213</v>
      </c>
      <c r="G5265" s="3" t="s">
        <v>52</v>
      </c>
      <c r="H5265" s="2" t="s">
        <v>21</v>
      </c>
      <c r="I5265" s="2" t="s">
        <v>10585</v>
      </c>
      <c r="J5265" s="3" t="str">
        <f>HYPERLINK("https://www.boe.es/gazeta/dias/1821/06/23/pdfs/GMD-1821-176.pdf#page=2","Abrir facsímil")</f>
        <v>Abrir facsímil</v>
      </c>
      <c r="K5265" s="3" t="s">
        <v>23</v>
      </c>
    </row>
    <row r="5266" spans="1:11" ht="42" customHeight="1">
      <c r="A5266" s="2" t="s">
        <v>10553</v>
      </c>
      <c r="B5266" s="2" t="s">
        <v>10553</v>
      </c>
      <c r="C5266" s="2" t="s">
        <v>40</v>
      </c>
      <c r="D5266" s="2" t="s">
        <v>41</v>
      </c>
      <c r="E5266" s="5">
        <v>-28679</v>
      </c>
      <c r="F5266" s="3" t="s">
        <v>213</v>
      </c>
      <c r="G5266" s="3" t="s">
        <v>88</v>
      </c>
      <c r="H5266" s="2" t="s">
        <v>21</v>
      </c>
      <c r="I5266" s="2" t="s">
        <v>10586</v>
      </c>
      <c r="J5266" s="3" t="str">
        <f>HYPERLINK("https://www.boe.es/gazeta/dias/1821/06/23/pdfs/GMD-1821-176.pdf#page=4","Abrir facsímil")</f>
        <v>Abrir facsímil</v>
      </c>
      <c r="K5266" s="3" t="s">
        <v>23</v>
      </c>
    </row>
    <row r="5267" spans="1:11" ht="42" customHeight="1">
      <c r="A5267" s="2" t="s">
        <v>10553</v>
      </c>
      <c r="B5267" s="2" t="s">
        <v>10553</v>
      </c>
      <c r="C5267" s="2" t="s">
        <v>40</v>
      </c>
      <c r="D5267" s="2" t="s">
        <v>41</v>
      </c>
      <c r="E5267" s="5">
        <v>-28678</v>
      </c>
      <c r="F5267" s="3" t="s">
        <v>215</v>
      </c>
      <c r="G5267" s="3" t="s">
        <v>52</v>
      </c>
      <c r="H5267" s="2" t="s">
        <v>21</v>
      </c>
      <c r="I5267" s="2" t="s">
        <v>10587</v>
      </c>
      <c r="J5267" s="3" t="str">
        <f>HYPERLINK("https://www.boe.es/gazeta/dias/1821/06/24/pdfs/GMD-1821-177.pdf#page=2","Abrir facsímil")</f>
        <v>Abrir facsímil</v>
      </c>
      <c r="K5267" s="3" t="s">
        <v>23</v>
      </c>
    </row>
    <row r="5268" spans="1:11" ht="42" customHeight="1">
      <c r="A5268" s="2" t="s">
        <v>10553</v>
      </c>
      <c r="B5268" s="2" t="s">
        <v>10553</v>
      </c>
      <c r="C5268" s="2" t="s">
        <v>35</v>
      </c>
      <c r="D5268" s="2" t="s">
        <v>27</v>
      </c>
      <c r="E5268" s="5">
        <v>-28674</v>
      </c>
      <c r="F5268" s="3" t="s">
        <v>536</v>
      </c>
      <c r="G5268" s="3" t="s">
        <v>29</v>
      </c>
      <c r="H5268" s="2" t="s">
        <v>21</v>
      </c>
      <c r="I5268" s="2" t="s">
        <v>10588</v>
      </c>
      <c r="J5268" s="3" t="str">
        <f>HYPERLINK("https://www.boe.es/gazeta/dias/1821/06/28/pdfs/GMD-1821-181.pdf#page=6","Abrir facsímil")</f>
        <v>Abrir facsímil</v>
      </c>
      <c r="K5268" s="3" t="s">
        <v>23</v>
      </c>
    </row>
    <row r="5269" spans="1:11" ht="42" customHeight="1">
      <c r="A5269" s="2" t="s">
        <v>10553</v>
      </c>
      <c r="B5269" s="2" t="s">
        <v>10553</v>
      </c>
      <c r="C5269" s="2" t="s">
        <v>114</v>
      </c>
      <c r="D5269" s="2" t="s">
        <v>27</v>
      </c>
      <c r="E5269" s="5">
        <v>-28666</v>
      </c>
      <c r="F5269" s="3" t="s">
        <v>1263</v>
      </c>
      <c r="G5269" s="3" t="s">
        <v>88</v>
      </c>
      <c r="H5269" s="2" t="s">
        <v>21</v>
      </c>
      <c r="I5269" s="2" t="s">
        <v>10589</v>
      </c>
      <c r="J5269" s="3" t="str">
        <f>HYPERLINK("https://www.boe.es/gazeta/dias/1821/07/06/pdfs/GMD-1821-190.pdf#page=4","Abrir facsímil")</f>
        <v>Abrir facsímil</v>
      </c>
      <c r="K5269" s="3" t="s">
        <v>23</v>
      </c>
    </row>
    <row r="5270" spans="1:11" ht="42" customHeight="1">
      <c r="A5270" s="2" t="s">
        <v>10553</v>
      </c>
      <c r="B5270" s="2" t="s">
        <v>10553</v>
      </c>
      <c r="C5270" s="2" t="s">
        <v>40</v>
      </c>
      <c r="D5270" s="2" t="s">
        <v>41</v>
      </c>
      <c r="E5270" s="5">
        <v>-28665</v>
      </c>
      <c r="F5270" s="3" t="s">
        <v>789</v>
      </c>
      <c r="G5270" s="3" t="s">
        <v>790</v>
      </c>
      <c r="H5270" s="2" t="s">
        <v>21</v>
      </c>
      <c r="I5270" s="2" t="s">
        <v>10590</v>
      </c>
      <c r="J5270" s="3" t="str">
        <f>HYPERLINK("https://www.boe.es/gazeta/dias/1821/07/07/pdfs/GMD-1821-191.pdf#page=4","Abrir facsímil")</f>
        <v>Abrir facsímil</v>
      </c>
      <c r="K5270" s="3" t="s">
        <v>23</v>
      </c>
    </row>
    <row r="5271" spans="1:11" ht="42" customHeight="1">
      <c r="A5271" s="2" t="s">
        <v>10553</v>
      </c>
      <c r="B5271" s="2" t="s">
        <v>10553</v>
      </c>
      <c r="C5271" s="2" t="s">
        <v>40</v>
      </c>
      <c r="D5271" s="2" t="s">
        <v>41</v>
      </c>
      <c r="E5271" s="5">
        <v>-28662</v>
      </c>
      <c r="F5271" s="3" t="s">
        <v>3289</v>
      </c>
      <c r="G5271" s="3" t="s">
        <v>20</v>
      </c>
      <c r="H5271" s="2" t="s">
        <v>21</v>
      </c>
      <c r="I5271" s="2" t="s">
        <v>10591</v>
      </c>
      <c r="J5271" s="3" t="str">
        <f>HYPERLINK("https://www.boe.es/gazeta/dias/1821/07/10/pdfs/GMD-1821-195.pdf#page=3","Abrir facsímil")</f>
        <v>Abrir facsímil</v>
      </c>
      <c r="K5271" s="3" t="s">
        <v>23</v>
      </c>
    </row>
    <row r="5272" spans="1:11" ht="42" customHeight="1">
      <c r="A5272" s="2" t="s">
        <v>10553</v>
      </c>
      <c r="B5272" s="2" t="s">
        <v>10553</v>
      </c>
      <c r="C5272" s="2" t="s">
        <v>17</v>
      </c>
      <c r="D5272" s="2" t="s">
        <v>18</v>
      </c>
      <c r="E5272" s="5">
        <v>-28636</v>
      </c>
      <c r="F5272" s="3" t="s">
        <v>122</v>
      </c>
      <c r="G5272" s="3" t="s">
        <v>20</v>
      </c>
      <c r="H5272" s="2" t="s">
        <v>21</v>
      </c>
      <c r="I5272" s="2" t="s">
        <v>10592</v>
      </c>
      <c r="J5272" s="3" t="str">
        <f>HYPERLINK("https://www.boe.es/gazeta/dias/1821/08/05/pdfs/GMD-1821-221.pdf#page=3","Abrir facsímil")</f>
        <v>Abrir facsímil</v>
      </c>
      <c r="K5272" s="3" t="s">
        <v>23</v>
      </c>
    </row>
    <row r="5273" spans="1:11" ht="42" customHeight="1">
      <c r="A5273" s="2" t="s">
        <v>10553</v>
      </c>
      <c r="B5273" s="2" t="s">
        <v>10553</v>
      </c>
      <c r="C5273" s="2" t="s">
        <v>40</v>
      </c>
      <c r="D5273" s="2" t="s">
        <v>41</v>
      </c>
      <c r="E5273" s="5">
        <v>-28608</v>
      </c>
      <c r="F5273" s="3" t="s">
        <v>805</v>
      </c>
      <c r="G5273" s="3" t="s">
        <v>88</v>
      </c>
      <c r="H5273" s="2" t="s">
        <v>21</v>
      </c>
      <c r="I5273" s="2" t="s">
        <v>10593</v>
      </c>
      <c r="J5273" s="3" t="str">
        <f>HYPERLINK("https://www.boe.es/gazeta/dias/1821/09/02/pdfs/GMD-1821-250.pdf#page=4","Abrir facsímil")</f>
        <v>Abrir facsímil</v>
      </c>
      <c r="K5273" s="3" t="s">
        <v>23</v>
      </c>
    </row>
    <row r="5274" spans="1:11" ht="42" customHeight="1">
      <c r="A5274" s="2" t="s">
        <v>10553</v>
      </c>
      <c r="B5274" s="2" t="s">
        <v>10553</v>
      </c>
      <c r="C5274" s="2" t="s">
        <v>17</v>
      </c>
      <c r="D5274" s="2" t="s">
        <v>18</v>
      </c>
      <c r="E5274" s="5">
        <v>-28606</v>
      </c>
      <c r="F5274" s="3" t="s">
        <v>1799</v>
      </c>
      <c r="G5274" s="3" t="s">
        <v>88</v>
      </c>
      <c r="H5274" s="2" t="s">
        <v>21</v>
      </c>
      <c r="I5274" s="2" t="s">
        <v>10594</v>
      </c>
      <c r="J5274" s="3" t="str">
        <f>HYPERLINK("https://www.boe.es/gazeta/dias/1821/09/04/pdfs/GMD-1821-252.pdf#page=4","Abrir facsímil")</f>
        <v>Abrir facsímil</v>
      </c>
      <c r="K5274" s="3" t="s">
        <v>23</v>
      </c>
    </row>
    <row r="5275" spans="1:11" ht="42" customHeight="1">
      <c r="A5275" s="2" t="s">
        <v>10553</v>
      </c>
      <c r="B5275" s="2" t="s">
        <v>10553</v>
      </c>
      <c r="C5275" s="2" t="s">
        <v>279</v>
      </c>
      <c r="D5275" s="2" t="s">
        <v>27</v>
      </c>
      <c r="E5275" s="5">
        <v>-28600</v>
      </c>
      <c r="F5275" s="3" t="s">
        <v>99</v>
      </c>
      <c r="G5275" s="3" t="s">
        <v>20</v>
      </c>
      <c r="H5275" s="2" t="s">
        <v>21</v>
      </c>
      <c r="I5275" s="2" t="s">
        <v>10595</v>
      </c>
      <c r="J5275" s="3" t="str">
        <f>HYPERLINK("https://www.boe.es/gazeta/dias/1821/09/10/pdfs/GMD-1821-258.pdf#page=3","Abrir facsímil")</f>
        <v>Abrir facsímil</v>
      </c>
      <c r="K5275" s="3" t="s">
        <v>23</v>
      </c>
    </row>
    <row r="5276" spans="1:11" ht="42" customHeight="1">
      <c r="A5276" s="2" t="s">
        <v>10553</v>
      </c>
      <c r="B5276" s="2" t="s">
        <v>10553</v>
      </c>
      <c r="C5276" s="2" t="s">
        <v>35</v>
      </c>
      <c r="D5276" s="2" t="s">
        <v>27</v>
      </c>
      <c r="E5276" s="5">
        <v>-28591</v>
      </c>
      <c r="F5276" s="3" t="s">
        <v>3638</v>
      </c>
      <c r="G5276" s="3" t="s">
        <v>20</v>
      </c>
      <c r="H5276" s="2" t="s">
        <v>21</v>
      </c>
      <c r="I5276" s="2" t="s">
        <v>10596</v>
      </c>
      <c r="J5276" s="3" t="str">
        <f>HYPERLINK("https://www.boe.es/gazeta/dias/1821/09/19/pdfs/GMD-1821-267.pdf#page=3","Abrir facsímil")</f>
        <v>Abrir facsímil</v>
      </c>
      <c r="K5276" s="3" t="s">
        <v>23</v>
      </c>
    </row>
    <row r="5277" spans="1:11" ht="42" customHeight="1">
      <c r="A5277" s="2" t="s">
        <v>10553</v>
      </c>
      <c r="B5277" s="2" t="s">
        <v>10553</v>
      </c>
      <c r="C5277" s="2" t="s">
        <v>40</v>
      </c>
      <c r="D5277" s="2" t="s">
        <v>41</v>
      </c>
      <c r="E5277" s="5">
        <v>-28589</v>
      </c>
      <c r="F5277" s="3" t="s">
        <v>3130</v>
      </c>
      <c r="G5277" s="3" t="s">
        <v>88</v>
      </c>
      <c r="H5277" s="2" t="s">
        <v>21</v>
      </c>
      <c r="I5277" s="2" t="s">
        <v>10597</v>
      </c>
      <c r="J5277" s="3" t="str">
        <f>HYPERLINK("https://www.boe.es/gazeta/dias/1821/09/21/pdfs/GMD-1821-269.pdf#page=4","Abrir facsímil")</f>
        <v>Abrir facsímil</v>
      </c>
      <c r="K5277" s="3" t="s">
        <v>23</v>
      </c>
    </row>
    <row r="5278" spans="1:11" ht="42" customHeight="1">
      <c r="A5278" s="2" t="s">
        <v>10553</v>
      </c>
      <c r="B5278" s="2" t="s">
        <v>10553</v>
      </c>
      <c r="C5278" s="2" t="s">
        <v>17</v>
      </c>
      <c r="D5278" s="2" t="s">
        <v>18</v>
      </c>
      <c r="E5278" s="5">
        <v>-28578</v>
      </c>
      <c r="F5278" s="3" t="s">
        <v>899</v>
      </c>
      <c r="G5278" s="3" t="s">
        <v>20</v>
      </c>
      <c r="H5278" s="2" t="s">
        <v>21</v>
      </c>
      <c r="I5278" s="2" t="s">
        <v>10598</v>
      </c>
      <c r="J5278" s="3" t="str">
        <f>HYPERLINK("https://www.boe.es/gazeta/dias/1821/10/02/pdfs/GMD-1821-281.pdf#page=3","Abrir facsímil")</f>
        <v>Abrir facsímil</v>
      </c>
      <c r="K5278" s="3" t="s">
        <v>23</v>
      </c>
    </row>
    <row r="5279" spans="1:11" ht="42" customHeight="1">
      <c r="A5279" s="2" t="s">
        <v>10553</v>
      </c>
      <c r="B5279" s="2" t="s">
        <v>10553</v>
      </c>
      <c r="C5279" s="2" t="s">
        <v>40</v>
      </c>
      <c r="D5279" s="2" t="s">
        <v>41</v>
      </c>
      <c r="E5279" s="5">
        <v>-28573</v>
      </c>
      <c r="F5279" s="3" t="s">
        <v>19</v>
      </c>
      <c r="G5279" s="3" t="s">
        <v>88</v>
      </c>
      <c r="H5279" s="2" t="s">
        <v>21</v>
      </c>
      <c r="I5279" s="2" t="s">
        <v>10599</v>
      </c>
      <c r="J5279" s="3" t="str">
        <f>HYPERLINK("https://www.boe.es/gazeta/dias/1821/10/07/pdfs/GMD-1821-286.pdf#page=4","Abrir facsímil")</f>
        <v>Abrir facsímil</v>
      </c>
      <c r="K5279" s="3" t="s">
        <v>23</v>
      </c>
    </row>
    <row r="5280" spans="1:11" ht="42" customHeight="1">
      <c r="A5280" s="2" t="s">
        <v>10553</v>
      </c>
      <c r="B5280" s="2" t="s">
        <v>10553</v>
      </c>
      <c r="C5280" s="2" t="s">
        <v>26</v>
      </c>
      <c r="D5280" s="2" t="s">
        <v>27</v>
      </c>
      <c r="E5280" s="5">
        <v>-28569</v>
      </c>
      <c r="F5280" s="3" t="s">
        <v>512</v>
      </c>
      <c r="G5280" s="3" t="s">
        <v>29</v>
      </c>
      <c r="H5280" s="2" t="s">
        <v>21</v>
      </c>
      <c r="I5280" s="2" t="s">
        <v>10600</v>
      </c>
      <c r="J5280" s="3" t="str">
        <f>HYPERLINK("https://www.boe.es/gazeta/dias/1821/10/11/pdfs/GMD-1821-290.pdf#page=6","Abrir facsímil")</f>
        <v>Abrir facsímil</v>
      </c>
      <c r="K5280" s="3" t="s">
        <v>23</v>
      </c>
    </row>
    <row r="5281" spans="1:11" ht="42" customHeight="1">
      <c r="A5281" s="2" t="s">
        <v>10553</v>
      </c>
      <c r="B5281" s="2" t="s">
        <v>10553</v>
      </c>
      <c r="C5281" s="2" t="s">
        <v>35</v>
      </c>
      <c r="D5281" s="2" t="s">
        <v>27</v>
      </c>
      <c r="E5281" s="5">
        <v>-28568</v>
      </c>
      <c r="F5281" s="3" t="s">
        <v>539</v>
      </c>
      <c r="G5281" s="3" t="s">
        <v>333</v>
      </c>
      <c r="H5281" s="2" t="s">
        <v>21</v>
      </c>
      <c r="I5281" s="2" t="s">
        <v>10601</v>
      </c>
      <c r="J5281" s="3" t="str">
        <f>HYPERLINK("https://www.boe.es/gazeta/dias/1821/10/12/pdfs/GMD-1821-291.pdf#page=8","Abrir facsímil")</f>
        <v>Abrir facsímil</v>
      </c>
      <c r="K5281" s="3" t="s">
        <v>23</v>
      </c>
    </row>
    <row r="5282" spans="1:11" ht="42" customHeight="1">
      <c r="A5282" s="2" t="s">
        <v>10553</v>
      </c>
      <c r="B5282" s="2" t="s">
        <v>10553</v>
      </c>
      <c r="C5282" s="2" t="s">
        <v>40</v>
      </c>
      <c r="D5282" s="2" t="s">
        <v>41</v>
      </c>
      <c r="E5282" s="5">
        <v>-28566</v>
      </c>
      <c r="F5282" s="3" t="s">
        <v>1529</v>
      </c>
      <c r="G5282" s="3" t="s">
        <v>88</v>
      </c>
      <c r="H5282" s="2" t="s">
        <v>21</v>
      </c>
      <c r="I5282" s="2" t="s">
        <v>10602</v>
      </c>
      <c r="J5282" s="3" t="str">
        <f>HYPERLINK("https://www.boe.es/gazeta/dias/1821/10/14/pdfs/GMD-1821-293.pdf#page=4","Abrir facsímil")</f>
        <v>Abrir facsímil</v>
      </c>
      <c r="K5282" s="3" t="s">
        <v>23</v>
      </c>
    </row>
    <row r="5283" spans="1:11" ht="42" customHeight="1">
      <c r="A5283" s="2" t="s">
        <v>10553</v>
      </c>
      <c r="B5283" s="2" t="s">
        <v>10553</v>
      </c>
      <c r="C5283" s="2" t="s">
        <v>40</v>
      </c>
      <c r="D5283" s="2" t="s">
        <v>41</v>
      </c>
      <c r="E5283" s="5">
        <v>-28550</v>
      </c>
      <c r="F5283" s="3" t="s">
        <v>546</v>
      </c>
      <c r="G5283" s="3" t="s">
        <v>162</v>
      </c>
      <c r="H5283" s="2" t="s">
        <v>21</v>
      </c>
      <c r="I5283" s="2" t="s">
        <v>10603</v>
      </c>
      <c r="J5283" s="3" t="str">
        <f>HYPERLINK("https://www.boe.es/gazeta/dias/1821/10/30/pdfs/GMD-1821-309.pdf#page=5","Abrir facsímil")</f>
        <v>Abrir facsímil</v>
      </c>
      <c r="K5283" s="3" t="s">
        <v>23</v>
      </c>
    </row>
    <row r="5284" spans="1:11" ht="42" customHeight="1">
      <c r="A5284" s="2" t="s">
        <v>10553</v>
      </c>
      <c r="B5284" s="2" t="s">
        <v>10553</v>
      </c>
      <c r="C5284" s="2" t="s">
        <v>17</v>
      </c>
      <c r="D5284" s="2" t="s">
        <v>18</v>
      </c>
      <c r="E5284" s="5">
        <v>-28548</v>
      </c>
      <c r="F5284" s="3" t="s">
        <v>782</v>
      </c>
      <c r="G5284" s="3" t="s">
        <v>20</v>
      </c>
      <c r="H5284" s="2" t="s">
        <v>21</v>
      </c>
      <c r="I5284" s="2" t="s">
        <v>10604</v>
      </c>
      <c r="J5284" s="3" t="str">
        <f>HYPERLINK("https://www.boe.es/gazeta/dias/1821/11/01/pdfs/GMD-1821-311.pdf#page=3","Abrir facsímil")</f>
        <v>Abrir facsímil</v>
      </c>
      <c r="K5284" s="3" t="s">
        <v>23</v>
      </c>
    </row>
    <row r="5285" spans="1:11" ht="42" customHeight="1">
      <c r="A5285" s="2" t="s">
        <v>10553</v>
      </c>
      <c r="B5285" s="2" t="s">
        <v>10553</v>
      </c>
      <c r="C5285" s="2" t="s">
        <v>26</v>
      </c>
      <c r="D5285" s="2" t="s">
        <v>27</v>
      </c>
      <c r="E5285" s="5">
        <v>-28547</v>
      </c>
      <c r="F5285" s="3" t="s">
        <v>247</v>
      </c>
      <c r="G5285" s="3" t="s">
        <v>248</v>
      </c>
      <c r="H5285" s="2" t="s">
        <v>21</v>
      </c>
      <c r="I5285" s="2" t="s">
        <v>10605</v>
      </c>
      <c r="J5285" s="3" t="str">
        <f>HYPERLINK("https://www.boe.es/gazeta/dias/1821/11/02/pdfs/GMD-1821-312.pdf#page=2","Abrir facsímil")</f>
        <v>Abrir facsímil</v>
      </c>
      <c r="K5285" s="3" t="s">
        <v>23</v>
      </c>
    </row>
    <row r="5286" spans="1:11" ht="42" customHeight="1">
      <c r="A5286" s="2" t="s">
        <v>10553</v>
      </c>
      <c r="B5286" s="2" t="s">
        <v>10553</v>
      </c>
      <c r="C5286" s="2" t="s">
        <v>17</v>
      </c>
      <c r="D5286" s="2" t="s">
        <v>18</v>
      </c>
      <c r="E5286" s="5">
        <v>-28544</v>
      </c>
      <c r="F5286" s="3" t="s">
        <v>139</v>
      </c>
      <c r="G5286" s="3" t="s">
        <v>52</v>
      </c>
      <c r="H5286" s="2" t="s">
        <v>21</v>
      </c>
      <c r="I5286" s="2" t="s">
        <v>10606</v>
      </c>
      <c r="J5286" s="3" t="str">
        <f>HYPERLINK("https://www.boe.es/gazeta/dias/1821/11/05/pdfs/GMD-1821-316.pdf#page=2","Abrir facsímil")</f>
        <v>Abrir facsímil</v>
      </c>
      <c r="K5286" s="3" t="s">
        <v>23</v>
      </c>
    </row>
    <row r="5287" spans="1:11" ht="42" customHeight="1">
      <c r="A5287" s="2" t="s">
        <v>10553</v>
      </c>
      <c r="B5287" s="2" t="s">
        <v>10553</v>
      </c>
      <c r="C5287" s="2" t="s">
        <v>17</v>
      </c>
      <c r="D5287" s="2" t="s">
        <v>18</v>
      </c>
      <c r="E5287" s="5">
        <v>-28540</v>
      </c>
      <c r="F5287" s="3" t="s">
        <v>2672</v>
      </c>
      <c r="G5287" s="3" t="s">
        <v>162</v>
      </c>
      <c r="H5287" s="2" t="s">
        <v>21</v>
      </c>
      <c r="I5287" s="2" t="s">
        <v>10607</v>
      </c>
      <c r="J5287" s="3" t="str">
        <f>HYPERLINK("https://www.boe.es/gazeta/dias/1821/11/09/pdfs/GMD-1821-320.pdf#page=5","Abrir facsímil")</f>
        <v>Abrir facsímil</v>
      </c>
      <c r="K5287" s="3" t="s">
        <v>23</v>
      </c>
    </row>
    <row r="5288" spans="1:11" ht="42" customHeight="1">
      <c r="A5288" s="2" t="s">
        <v>10553</v>
      </c>
      <c r="B5288" s="2" t="s">
        <v>10553</v>
      </c>
      <c r="C5288" s="2" t="s">
        <v>40</v>
      </c>
      <c r="D5288" s="2" t="s">
        <v>41</v>
      </c>
      <c r="E5288" s="5">
        <v>-28539</v>
      </c>
      <c r="F5288" s="3" t="s">
        <v>153</v>
      </c>
      <c r="G5288" s="3" t="s">
        <v>20</v>
      </c>
      <c r="H5288" s="2" t="s">
        <v>21</v>
      </c>
      <c r="I5288" s="2" t="s">
        <v>10608</v>
      </c>
      <c r="J5288" s="3" t="str">
        <f>HYPERLINK("https://www.boe.es/gazeta/dias/1821/11/10/pdfs/GMD-1821-321.pdf#page=3","Abrir facsímil")</f>
        <v>Abrir facsímil</v>
      </c>
      <c r="K5288" s="3" t="s">
        <v>23</v>
      </c>
    </row>
    <row r="5289" spans="1:11" ht="42" customHeight="1">
      <c r="A5289" s="2" t="s">
        <v>10553</v>
      </c>
      <c r="B5289" s="2" t="s">
        <v>10553</v>
      </c>
      <c r="C5289" s="2" t="s">
        <v>26</v>
      </c>
      <c r="D5289" s="2" t="s">
        <v>27</v>
      </c>
      <c r="E5289" s="5">
        <v>-28535</v>
      </c>
      <c r="F5289" s="3" t="s">
        <v>96</v>
      </c>
      <c r="G5289" s="3" t="s">
        <v>52</v>
      </c>
      <c r="H5289" s="2" t="s">
        <v>21</v>
      </c>
      <c r="I5289" s="2" t="s">
        <v>10609</v>
      </c>
      <c r="J5289" s="3" t="str">
        <f>HYPERLINK("https://www.boe.es/gazeta/dias/1821/11/14/pdfs/GMD-1821-325.pdf#page=2","Abrir facsímil")</f>
        <v>Abrir facsímil</v>
      </c>
      <c r="K5289" s="3" t="s">
        <v>23</v>
      </c>
    </row>
    <row r="5290" spans="1:11" ht="42" customHeight="1">
      <c r="A5290" s="2" t="s">
        <v>10553</v>
      </c>
      <c r="B5290" s="2" t="s">
        <v>10553</v>
      </c>
      <c r="C5290" s="2" t="s">
        <v>17</v>
      </c>
      <c r="D5290" s="2" t="s">
        <v>18</v>
      </c>
      <c r="E5290" s="5">
        <v>-28528</v>
      </c>
      <c r="F5290" s="3" t="s">
        <v>1872</v>
      </c>
      <c r="G5290" s="3" t="s">
        <v>29</v>
      </c>
      <c r="H5290" s="2" t="s">
        <v>21</v>
      </c>
      <c r="I5290" s="2" t="s">
        <v>10610</v>
      </c>
      <c r="J5290" s="3" t="str">
        <f>HYPERLINK("https://www.boe.es/gazeta/dias/1821/11/21/pdfs/GMD-1821-332.pdf#page=6","Abrir facsímil")</f>
        <v>Abrir facsímil</v>
      </c>
      <c r="K5290" s="3" t="s">
        <v>23</v>
      </c>
    </row>
    <row r="5291" spans="1:11" ht="42" customHeight="1">
      <c r="A5291" s="2" t="s">
        <v>10553</v>
      </c>
      <c r="B5291" s="2" t="s">
        <v>10553</v>
      </c>
      <c r="C5291" s="2" t="s">
        <v>40</v>
      </c>
      <c r="D5291" s="2" t="s">
        <v>41</v>
      </c>
      <c r="E5291" s="5">
        <v>-28526</v>
      </c>
      <c r="F5291" s="3" t="s">
        <v>223</v>
      </c>
      <c r="G5291" s="3" t="s">
        <v>10611</v>
      </c>
      <c r="H5291" s="2" t="s">
        <v>21</v>
      </c>
      <c r="I5291" s="2" t="s">
        <v>10612</v>
      </c>
      <c r="J5291" s="3" t="str">
        <f>HYPERLINK("https://www.boe.es/gazeta/dias/1821/11/23/pdfs/GMD-1821-334.pdf#page=5","Abrir facsímil")</f>
        <v>Abrir facsímil</v>
      </c>
      <c r="K5291" s="3" t="s">
        <v>23</v>
      </c>
    </row>
    <row r="5292" spans="1:11" ht="42" customHeight="1">
      <c r="A5292" s="2" t="s">
        <v>10553</v>
      </c>
      <c r="B5292" s="2" t="s">
        <v>10553</v>
      </c>
      <c r="C5292" s="2" t="s">
        <v>35</v>
      </c>
      <c r="D5292" s="2" t="s">
        <v>27</v>
      </c>
      <c r="E5292" s="5">
        <v>-28523</v>
      </c>
      <c r="F5292" s="3" t="s">
        <v>257</v>
      </c>
      <c r="G5292" s="3" t="s">
        <v>88</v>
      </c>
      <c r="H5292" s="2" t="s">
        <v>21</v>
      </c>
      <c r="I5292" s="2" t="s">
        <v>10613</v>
      </c>
      <c r="J5292" s="3" t="str">
        <f>HYPERLINK("https://www.boe.es/gazeta/dias/1821/11/26/pdfs/GMD-1821-337.pdf#page=4","Abrir facsímil")</f>
        <v>Abrir facsímil</v>
      </c>
      <c r="K5292" s="3" t="s">
        <v>23</v>
      </c>
    </row>
    <row r="5293" spans="1:11" ht="42" customHeight="1">
      <c r="A5293" s="2" t="s">
        <v>10553</v>
      </c>
      <c r="B5293" s="2" t="s">
        <v>10553</v>
      </c>
      <c r="C5293" s="2" t="s">
        <v>40</v>
      </c>
      <c r="D5293" s="2" t="s">
        <v>41</v>
      </c>
      <c r="E5293" s="5">
        <v>-28512</v>
      </c>
      <c r="F5293" s="3" t="s">
        <v>66</v>
      </c>
      <c r="G5293" s="3" t="s">
        <v>52</v>
      </c>
      <c r="H5293" s="2" t="s">
        <v>21</v>
      </c>
      <c r="I5293" s="2" t="s">
        <v>10614</v>
      </c>
      <c r="J5293" s="3" t="str">
        <f>HYPERLINK("https://www.boe.es/gazeta/dias/1821/12/07/pdfs/GMD-1821-349.pdf#page=2","Abrir facsímil")</f>
        <v>Abrir facsímil</v>
      </c>
      <c r="K5293" s="3" t="s">
        <v>23</v>
      </c>
    </row>
    <row r="5294" spans="1:11" ht="42" customHeight="1">
      <c r="A5294" s="2" t="s">
        <v>10553</v>
      </c>
      <c r="B5294" s="2" t="s">
        <v>10553</v>
      </c>
      <c r="C5294" s="2" t="s">
        <v>35</v>
      </c>
      <c r="D5294" s="2" t="s">
        <v>27</v>
      </c>
      <c r="E5294" s="5">
        <v>-28512</v>
      </c>
      <c r="F5294" s="3" t="s">
        <v>66</v>
      </c>
      <c r="G5294" s="3" t="s">
        <v>20</v>
      </c>
      <c r="H5294" s="2" t="s">
        <v>21</v>
      </c>
      <c r="I5294" s="2" t="s">
        <v>10615</v>
      </c>
      <c r="J5294" s="3" t="str">
        <f>HYPERLINK("https://www.boe.es/gazeta/dias/1821/12/07/pdfs/GMD-1821-349.pdf#page=3","Abrir facsímil")</f>
        <v>Abrir facsímil</v>
      </c>
      <c r="K5294" s="3" t="s">
        <v>23</v>
      </c>
    </row>
    <row r="5295" spans="1:11" ht="42" customHeight="1">
      <c r="A5295" s="2" t="s">
        <v>10553</v>
      </c>
      <c r="B5295" s="2" t="s">
        <v>10553</v>
      </c>
      <c r="C5295" s="2" t="s">
        <v>40</v>
      </c>
      <c r="D5295" s="2" t="s">
        <v>41</v>
      </c>
      <c r="E5295" s="5">
        <v>-28512</v>
      </c>
      <c r="F5295" s="3" t="s">
        <v>66</v>
      </c>
      <c r="G5295" s="3" t="s">
        <v>88</v>
      </c>
      <c r="H5295" s="2" t="s">
        <v>21</v>
      </c>
      <c r="I5295" s="2" t="s">
        <v>10616</v>
      </c>
      <c r="J5295" s="3" t="str">
        <f>HYPERLINK("https://www.boe.es/gazeta/dias/1821/12/07/pdfs/GMD-1821-349.pdf#page=4","Abrir facsímil")</f>
        <v>Abrir facsímil</v>
      </c>
      <c r="K5295" s="3" t="s">
        <v>23</v>
      </c>
    </row>
    <row r="5296" spans="1:11" ht="42" customHeight="1">
      <c r="A5296" s="2" t="s">
        <v>10553</v>
      </c>
      <c r="B5296" s="2" t="s">
        <v>10553</v>
      </c>
      <c r="C5296" s="2" t="s">
        <v>114</v>
      </c>
      <c r="D5296" s="2" t="s">
        <v>27</v>
      </c>
      <c r="E5296" s="5">
        <v>-28510</v>
      </c>
      <c r="F5296" s="3" t="s">
        <v>83</v>
      </c>
      <c r="G5296" s="3" t="s">
        <v>52</v>
      </c>
      <c r="H5296" s="2" t="s">
        <v>21</v>
      </c>
      <c r="I5296" s="2" t="s">
        <v>10617</v>
      </c>
      <c r="J5296" s="3" t="str">
        <f>HYPERLINK("https://www.boe.es/gazeta/dias/1821/12/09/pdfs/GMD-1821-351.pdf#page=2","Abrir facsímil")</f>
        <v>Abrir facsímil</v>
      </c>
      <c r="K5296" s="3" t="s">
        <v>23</v>
      </c>
    </row>
    <row r="5297" spans="1:11" ht="42" customHeight="1">
      <c r="A5297" s="2" t="s">
        <v>10553</v>
      </c>
      <c r="B5297" s="2" t="s">
        <v>10553</v>
      </c>
      <c r="C5297" s="2" t="s">
        <v>40</v>
      </c>
      <c r="D5297" s="2" t="s">
        <v>41</v>
      </c>
      <c r="E5297" s="5">
        <v>-28509</v>
      </c>
      <c r="F5297" s="3" t="s">
        <v>388</v>
      </c>
      <c r="G5297" s="3" t="s">
        <v>609</v>
      </c>
      <c r="H5297" s="2" t="s">
        <v>21</v>
      </c>
      <c r="I5297" s="2" t="s">
        <v>10618</v>
      </c>
      <c r="J5297" s="3" t="str">
        <f>HYPERLINK("https://www.boe.es/gazeta/dias/1821/12/10/pdfs/GMD-1821-352.pdf#page=7","Abrir facsímil")</f>
        <v>Abrir facsímil</v>
      </c>
      <c r="K5297" s="3" t="s">
        <v>23</v>
      </c>
    </row>
    <row r="5298" spans="1:11" ht="42" customHeight="1">
      <c r="A5298" s="2" t="s">
        <v>10553</v>
      </c>
      <c r="B5298" s="2" t="s">
        <v>10553</v>
      </c>
      <c r="C5298" s="2" t="s">
        <v>40</v>
      </c>
      <c r="D5298" s="2" t="s">
        <v>41</v>
      </c>
      <c r="E5298" s="5">
        <v>-28503</v>
      </c>
      <c r="F5298" s="3" t="s">
        <v>947</v>
      </c>
      <c r="G5298" s="3" t="s">
        <v>29</v>
      </c>
      <c r="H5298" s="2" t="s">
        <v>21</v>
      </c>
      <c r="I5298" s="2" t="s">
        <v>10619</v>
      </c>
      <c r="J5298" s="3" t="str">
        <f>HYPERLINK("https://www.boe.es/gazeta/dias/1821/12/16/pdfs/GMD-1821-359.pdf#page=6","Abrir facsímil")</f>
        <v>Abrir facsímil</v>
      </c>
      <c r="K5298" s="3" t="s">
        <v>23</v>
      </c>
    </row>
    <row r="5299" spans="1:11" ht="42" customHeight="1">
      <c r="A5299" s="2" t="s">
        <v>10553</v>
      </c>
      <c r="B5299" s="2" t="s">
        <v>10553</v>
      </c>
      <c r="C5299" s="2" t="s">
        <v>17</v>
      </c>
      <c r="D5299" s="2" t="s">
        <v>18</v>
      </c>
      <c r="E5299" s="5">
        <v>-28496</v>
      </c>
      <c r="F5299" s="3" t="s">
        <v>785</v>
      </c>
      <c r="G5299" s="3" t="s">
        <v>29</v>
      </c>
      <c r="H5299" s="2" t="s">
        <v>21</v>
      </c>
      <c r="I5299" s="2" t="s">
        <v>10620</v>
      </c>
      <c r="J5299" s="3" t="str">
        <f>HYPERLINK("https://www.boe.es/gazeta/dias/1821/12/23/pdfs/GMD-1821-366.pdf#page=6","Abrir facsímil")</f>
        <v>Abrir facsímil</v>
      </c>
      <c r="K5299" s="3" t="s">
        <v>23</v>
      </c>
    </row>
    <row r="5300" spans="1:11" ht="42" customHeight="1">
      <c r="A5300" s="2" t="s">
        <v>10553</v>
      </c>
      <c r="B5300" s="2" t="s">
        <v>10553</v>
      </c>
      <c r="C5300" s="2" t="s">
        <v>40</v>
      </c>
      <c r="D5300" s="2" t="s">
        <v>41</v>
      </c>
      <c r="E5300" s="5">
        <v>-28490</v>
      </c>
      <c r="F5300" s="3" t="s">
        <v>801</v>
      </c>
      <c r="G5300" s="3" t="s">
        <v>88</v>
      </c>
      <c r="H5300" s="2" t="s">
        <v>21</v>
      </c>
      <c r="I5300" s="2" t="s">
        <v>10621</v>
      </c>
      <c r="J5300" s="3" t="str">
        <f>HYPERLINK("https://www.boe.es/gazeta/dias/1821/12/29/pdfs/GMD-1821-372.pdf#page=4","Abrir facsímil")</f>
        <v>Abrir facsímil</v>
      </c>
      <c r="K5300" s="3" t="s">
        <v>23</v>
      </c>
    </row>
    <row r="5301" spans="1:11" ht="42" customHeight="1">
      <c r="A5301" s="2" t="s">
        <v>10622</v>
      </c>
      <c r="B5301" s="2" t="s">
        <v>10622</v>
      </c>
      <c r="C5301" s="2" t="s">
        <v>40</v>
      </c>
      <c r="D5301" s="2" t="s">
        <v>41</v>
      </c>
      <c r="E5301" s="5">
        <v>-28812</v>
      </c>
      <c r="F5301" s="3" t="s">
        <v>2610</v>
      </c>
      <c r="G5301" s="3" t="s">
        <v>20</v>
      </c>
      <c r="H5301" s="2" t="s">
        <v>21</v>
      </c>
      <c r="I5301" s="2" t="s">
        <v>10623</v>
      </c>
      <c r="J5301" s="3" t="str">
        <f>HYPERLINK("https://www.boe.es/gazeta/dias/1821/02/10/pdfs/GGB-1821-41.pdf#page=3","Abrir facsímil")</f>
        <v>Abrir facsímil</v>
      </c>
      <c r="K5301" s="3" t="s">
        <v>23</v>
      </c>
    </row>
    <row r="5302" spans="1:11" ht="42" customHeight="1">
      <c r="A5302" s="2" t="s">
        <v>10624</v>
      </c>
      <c r="B5302" s="2" t="s">
        <v>10625</v>
      </c>
      <c r="C5302" s="2" t="s">
        <v>17</v>
      </c>
      <c r="D5302" s="2" t="s">
        <v>18</v>
      </c>
      <c r="E5302" s="5">
        <v>-28602</v>
      </c>
      <c r="F5302" s="3" t="s">
        <v>1526</v>
      </c>
      <c r="G5302" s="3" t="s">
        <v>52</v>
      </c>
      <c r="H5302" s="2" t="s">
        <v>21</v>
      </c>
      <c r="I5302" s="2" t="s">
        <v>10626</v>
      </c>
      <c r="J5302" s="3" t="str">
        <f>HYPERLINK("https://www.boe.es/gazeta/dias/1821/09/08/pdfs/GMD-1821-256.pdf#page=2","Abrir facsímil")</f>
        <v>Abrir facsímil</v>
      </c>
      <c r="K5302" s="3" t="s">
        <v>23</v>
      </c>
    </row>
    <row r="5303" spans="1:11" ht="42" customHeight="1">
      <c r="A5303" s="2" t="s">
        <v>10627</v>
      </c>
      <c r="B5303" s="2" t="s">
        <v>10628</v>
      </c>
      <c r="C5303" s="2" t="s">
        <v>40</v>
      </c>
      <c r="D5303" s="2" t="s">
        <v>41</v>
      </c>
      <c r="E5303" s="5">
        <v>-28773</v>
      </c>
      <c r="F5303" s="3" t="s">
        <v>1755</v>
      </c>
      <c r="G5303" s="3" t="s">
        <v>162</v>
      </c>
      <c r="H5303" s="2" t="s">
        <v>30</v>
      </c>
      <c r="I5303" s="2" t="s">
        <v>10629</v>
      </c>
      <c r="J5303" s="3" t="str">
        <f>HYPERLINK("https://www.boe.es/gazeta/dias/1821/03/21/pdfs/GMD-1821-80.pdf#page=5","Abrir facsímil")</f>
        <v>Abrir facsímil</v>
      </c>
      <c r="K5303" s="3" t="s">
        <v>32</v>
      </c>
    </row>
    <row r="5304" spans="1:11" ht="42" customHeight="1">
      <c r="A5304" s="2" t="s">
        <v>10630</v>
      </c>
      <c r="B5304" s="2" t="s">
        <v>10631</v>
      </c>
      <c r="C5304" s="2" t="s">
        <v>17</v>
      </c>
      <c r="D5304" s="2" t="s">
        <v>18</v>
      </c>
      <c r="E5304" s="5">
        <v>-28683</v>
      </c>
      <c r="F5304" s="3" t="s">
        <v>332</v>
      </c>
      <c r="G5304" s="3" t="s">
        <v>20</v>
      </c>
      <c r="H5304" s="2" t="s">
        <v>30</v>
      </c>
      <c r="I5304" s="2" t="s">
        <v>10632</v>
      </c>
      <c r="J5304" s="3" t="str">
        <f>HYPERLINK("https://www.boe.es/gazeta/dias/1821/06/19/pdfs/GMD-1821-172.pdf#page=3","Abrir facsímil")</f>
        <v>Abrir facsímil</v>
      </c>
      <c r="K5304" s="3" t="s">
        <v>32</v>
      </c>
    </row>
    <row r="5305" spans="1:11" ht="42" customHeight="1">
      <c r="A5305" s="2" t="s">
        <v>10633</v>
      </c>
      <c r="B5305" s="2" t="s">
        <v>10634</v>
      </c>
      <c r="C5305" s="2" t="s">
        <v>26</v>
      </c>
      <c r="D5305" s="2" t="s">
        <v>27</v>
      </c>
      <c r="E5305" s="5">
        <v>-28711</v>
      </c>
      <c r="F5305" s="3" t="s">
        <v>1048</v>
      </c>
      <c r="G5305" s="3" t="s">
        <v>43</v>
      </c>
      <c r="H5305" s="2" t="s">
        <v>21</v>
      </c>
      <c r="I5305" s="2" t="s">
        <v>10635</v>
      </c>
      <c r="J5305" s="3" t="str">
        <f>HYPERLINK("https://www.boe.es/gazeta/dias/1821/05/22/pdfs/GMD-1821-144.pdf#page=1","Abrir facsímil")</f>
        <v>Abrir facsímil</v>
      </c>
      <c r="K5305" s="3" t="s">
        <v>23</v>
      </c>
    </row>
    <row r="5306" spans="1:11" ht="42" customHeight="1">
      <c r="A5306" s="2" t="s">
        <v>10633</v>
      </c>
      <c r="B5306" s="2" t="s">
        <v>10634</v>
      </c>
      <c r="C5306" s="2" t="s">
        <v>40</v>
      </c>
      <c r="D5306" s="2" t="s">
        <v>41</v>
      </c>
      <c r="E5306" s="5">
        <v>-28648</v>
      </c>
      <c r="F5306" s="3" t="s">
        <v>1520</v>
      </c>
      <c r="G5306" s="3" t="s">
        <v>52</v>
      </c>
      <c r="H5306" s="2" t="s">
        <v>21</v>
      </c>
      <c r="I5306" s="2" t="s">
        <v>10636</v>
      </c>
      <c r="J5306" s="3" t="str">
        <f>HYPERLINK("https://www.boe.es/gazeta/dias/1821/07/24/pdfs/GMD-1821-209.pdf#page=2","Abrir facsímil")</f>
        <v>Abrir facsímil</v>
      </c>
      <c r="K5306" s="3" t="s">
        <v>23</v>
      </c>
    </row>
    <row r="5307" spans="1:11" ht="42" customHeight="1">
      <c r="A5307" s="2" t="s">
        <v>10633</v>
      </c>
      <c r="B5307" s="2" t="s">
        <v>10634</v>
      </c>
      <c r="C5307" s="2" t="s">
        <v>17</v>
      </c>
      <c r="D5307" s="2" t="s">
        <v>18</v>
      </c>
      <c r="E5307" s="5">
        <v>-28602</v>
      </c>
      <c r="F5307" s="3" t="s">
        <v>1526</v>
      </c>
      <c r="G5307" s="3" t="s">
        <v>88</v>
      </c>
      <c r="H5307" s="2" t="s">
        <v>21</v>
      </c>
      <c r="I5307" s="2" t="s">
        <v>10637</v>
      </c>
      <c r="J5307" s="3" t="str">
        <f>HYPERLINK("https://www.boe.es/gazeta/dias/1821/09/08/pdfs/GMD-1821-256.pdf#page=4","Abrir facsímil")</f>
        <v>Abrir facsímil</v>
      </c>
      <c r="K5307" s="3" t="s">
        <v>23</v>
      </c>
    </row>
    <row r="5308" spans="1:11" ht="42" customHeight="1">
      <c r="A5308" s="2" t="s">
        <v>10638</v>
      </c>
      <c r="B5308" s="2" t="s">
        <v>10639</v>
      </c>
      <c r="C5308" s="2" t="s">
        <v>17</v>
      </c>
      <c r="D5308" s="2" t="s">
        <v>18</v>
      </c>
      <c r="E5308" s="5">
        <v>-28495</v>
      </c>
      <c r="F5308" s="3" t="s">
        <v>227</v>
      </c>
      <c r="G5308" s="3" t="s">
        <v>52</v>
      </c>
      <c r="H5308" s="2" t="s">
        <v>21</v>
      </c>
      <c r="I5308" s="2" t="s">
        <v>10640</v>
      </c>
      <c r="J5308" s="3" t="str">
        <f>HYPERLINK("https://www.boe.es/gazeta/dias/1821/12/24/pdfs/GMD-1821-367.pdf#page=2","Abrir facsímil")</f>
        <v>Abrir facsímil</v>
      </c>
      <c r="K5308" s="3" t="s">
        <v>23</v>
      </c>
    </row>
    <row r="5309" spans="1:11" ht="42" customHeight="1">
      <c r="A5309" s="2" t="s">
        <v>10641</v>
      </c>
      <c r="B5309" s="2" t="s">
        <v>10642</v>
      </c>
      <c r="C5309" s="2" t="s">
        <v>17</v>
      </c>
      <c r="D5309" s="2" t="s">
        <v>18</v>
      </c>
      <c r="E5309" s="5">
        <v>-28621</v>
      </c>
      <c r="F5309" s="3" t="s">
        <v>1317</v>
      </c>
      <c r="G5309" s="3" t="s">
        <v>88</v>
      </c>
      <c r="H5309" s="2" t="s">
        <v>21</v>
      </c>
      <c r="I5309" s="2" t="s">
        <v>10643</v>
      </c>
      <c r="J5309" s="3" t="str">
        <f>HYPERLINK("https://www.boe.es/gazeta/dias/1821/08/20/pdfs/GMD-1821-237.pdf#page=4","Abrir facsímil")</f>
        <v>Abrir facsímil</v>
      </c>
      <c r="K5309" s="3" t="s">
        <v>23</v>
      </c>
    </row>
    <row r="5310" spans="1:11" ht="42" customHeight="1">
      <c r="A5310" s="2" t="s">
        <v>10644</v>
      </c>
      <c r="B5310" s="2" t="s">
        <v>10645</v>
      </c>
      <c r="C5310" s="2" t="s">
        <v>26</v>
      </c>
      <c r="D5310" s="2" t="s">
        <v>27</v>
      </c>
      <c r="E5310" s="5">
        <v>-28510</v>
      </c>
      <c r="F5310" s="3" t="s">
        <v>83</v>
      </c>
      <c r="G5310" s="3" t="s">
        <v>52</v>
      </c>
      <c r="H5310" s="2" t="s">
        <v>30</v>
      </c>
      <c r="I5310" s="2" t="s">
        <v>10646</v>
      </c>
      <c r="J5310" s="3" t="str">
        <f>HYPERLINK("https://www.boe.es/gazeta/dias/1821/12/09/pdfs/GMD-1821-351.pdf#page=2","Abrir facsímil")</f>
        <v>Abrir facsímil</v>
      </c>
      <c r="K5310" s="3" t="s">
        <v>32</v>
      </c>
    </row>
    <row r="5311" spans="1:11" ht="42" customHeight="1">
      <c r="A5311" s="2" t="s">
        <v>10647</v>
      </c>
      <c r="B5311" s="2" t="s">
        <v>10648</v>
      </c>
      <c r="C5311" s="2" t="s">
        <v>279</v>
      </c>
      <c r="D5311" s="2" t="s">
        <v>27</v>
      </c>
      <c r="E5311" s="5">
        <v>-28653</v>
      </c>
      <c r="F5311" s="3" t="s">
        <v>1179</v>
      </c>
      <c r="G5311" s="3" t="s">
        <v>29</v>
      </c>
      <c r="H5311" s="2" t="s">
        <v>21</v>
      </c>
      <c r="I5311" s="2" t="s">
        <v>10649</v>
      </c>
      <c r="J5311" s="3" t="str">
        <f>HYPERLINK("https://www.boe.es/gazeta/dias/1821/07/19/pdfs/GMD-1821-204.pdf#page=6","Abrir facsímil")</f>
        <v>Abrir facsímil</v>
      </c>
      <c r="K5311" s="3" t="s">
        <v>23</v>
      </c>
    </row>
    <row r="5312" spans="1:11" ht="42" customHeight="1">
      <c r="A5312" s="2" t="s">
        <v>10650</v>
      </c>
      <c r="B5312" s="2" t="s">
        <v>10651</v>
      </c>
      <c r="C5312" s="2" t="s">
        <v>40</v>
      </c>
      <c r="D5312" s="2" t="s">
        <v>41</v>
      </c>
      <c r="E5312" s="5">
        <v>-28731</v>
      </c>
      <c r="F5312" s="3" t="s">
        <v>577</v>
      </c>
      <c r="G5312" s="3" t="s">
        <v>88</v>
      </c>
      <c r="H5312" s="2" t="s">
        <v>30</v>
      </c>
      <c r="I5312" s="2" t="s">
        <v>10652</v>
      </c>
      <c r="J5312" s="3" t="str">
        <f>HYPERLINK("https://www.boe.es/gazeta/dias/1821/05/02/pdfs/GMD-1821-124.pdf#page=4","Abrir facsímil")</f>
        <v>Abrir facsímil</v>
      </c>
      <c r="K5312" s="3" t="s">
        <v>32</v>
      </c>
    </row>
    <row r="5313" spans="1:11" ht="42" customHeight="1">
      <c r="A5313" s="2" t="s">
        <v>10653</v>
      </c>
      <c r="B5313" s="2" t="s">
        <v>10653</v>
      </c>
      <c r="C5313" s="2" t="s">
        <v>17</v>
      </c>
      <c r="D5313" s="2" t="s">
        <v>18</v>
      </c>
      <c r="E5313" s="5">
        <v>-28746</v>
      </c>
      <c r="F5313" s="3" t="s">
        <v>687</v>
      </c>
      <c r="G5313" s="3" t="s">
        <v>333</v>
      </c>
      <c r="H5313" s="2" t="s">
        <v>21</v>
      </c>
      <c r="I5313" s="2" t="s">
        <v>10654</v>
      </c>
      <c r="J5313" s="3" t="str">
        <f>HYPERLINK("https://www.boe.es/gazeta/dias/1821/04/17/pdfs/GMD-1821-109.pdf#page=8","Abrir facsímil")</f>
        <v>Abrir facsímil</v>
      </c>
      <c r="K5313" s="3" t="s">
        <v>23</v>
      </c>
    </row>
    <row r="5314" spans="1:11" ht="42" customHeight="1">
      <c r="A5314" s="2" t="s">
        <v>10655</v>
      </c>
      <c r="B5314" s="2" t="s">
        <v>10655</v>
      </c>
      <c r="C5314" s="2" t="s">
        <v>40</v>
      </c>
      <c r="D5314" s="2" t="s">
        <v>41</v>
      </c>
      <c r="E5314" s="5">
        <v>-28490</v>
      </c>
      <c r="F5314" s="3" t="s">
        <v>801</v>
      </c>
      <c r="G5314" s="3" t="s">
        <v>88</v>
      </c>
      <c r="H5314" s="2" t="s">
        <v>21</v>
      </c>
      <c r="I5314" s="2" t="s">
        <v>10656</v>
      </c>
      <c r="J5314" s="3" t="str">
        <f>HYPERLINK("https://www.boe.es/gazeta/dias/1821/12/29/pdfs/GMD-1821-372.pdf#page=4","Abrir facsímil")</f>
        <v>Abrir facsímil</v>
      </c>
      <c r="K5314" s="3" t="s">
        <v>23</v>
      </c>
    </row>
    <row r="5315" spans="1:11" ht="42" customHeight="1">
      <c r="A5315" s="2" t="s">
        <v>10657</v>
      </c>
      <c r="B5315" s="2" t="s">
        <v>10657</v>
      </c>
      <c r="C5315" s="2" t="s">
        <v>26</v>
      </c>
      <c r="D5315" s="2" t="s">
        <v>27</v>
      </c>
      <c r="E5315" s="5">
        <v>-28620</v>
      </c>
      <c r="F5315" s="3" t="s">
        <v>87</v>
      </c>
      <c r="G5315" s="3" t="s">
        <v>88</v>
      </c>
      <c r="H5315" s="2" t="s">
        <v>21</v>
      </c>
      <c r="I5315" s="2" t="s">
        <v>10658</v>
      </c>
      <c r="J5315" s="3" t="str">
        <f>HYPERLINK("https://www.boe.es/gazeta/dias/1821/08/21/pdfs/GMD-1821-238.pdf#page=4","Abrir facsímil")</f>
        <v>Abrir facsímil</v>
      </c>
      <c r="K5315" s="3" t="s">
        <v>23</v>
      </c>
    </row>
    <row r="5316" spans="1:11" ht="42" customHeight="1">
      <c r="A5316" s="2" t="s">
        <v>10659</v>
      </c>
      <c r="B5316" s="2" t="s">
        <v>10659</v>
      </c>
      <c r="C5316" s="2" t="s">
        <v>17</v>
      </c>
      <c r="D5316" s="2" t="s">
        <v>18</v>
      </c>
      <c r="E5316" s="5">
        <v>-28761</v>
      </c>
      <c r="F5316" s="3" t="s">
        <v>771</v>
      </c>
      <c r="G5316" s="3" t="s">
        <v>52</v>
      </c>
      <c r="H5316" s="2" t="s">
        <v>21</v>
      </c>
      <c r="I5316" s="2" t="s">
        <v>10660</v>
      </c>
      <c r="J5316" s="3" t="str">
        <f>HYPERLINK("https://www.boe.es/gazeta/dias/1821/04/02/pdfs/GMD-1821-94.pdf#page=2","Abrir facsímil")</f>
        <v>Abrir facsímil</v>
      </c>
      <c r="K5316" s="3" t="s">
        <v>23</v>
      </c>
    </row>
    <row r="5317" spans="1:11" ht="42" customHeight="1">
      <c r="A5317" s="2" t="s">
        <v>10659</v>
      </c>
      <c r="B5317" s="2" t="s">
        <v>10659</v>
      </c>
      <c r="C5317" s="2" t="s">
        <v>40</v>
      </c>
      <c r="D5317" s="2" t="s">
        <v>41</v>
      </c>
      <c r="E5317" s="5">
        <v>-28641</v>
      </c>
      <c r="F5317" s="3" t="s">
        <v>398</v>
      </c>
      <c r="G5317" s="3" t="s">
        <v>20</v>
      </c>
      <c r="H5317" s="2" t="s">
        <v>21</v>
      </c>
      <c r="I5317" s="2" t="s">
        <v>10661</v>
      </c>
      <c r="J5317" s="3" t="str">
        <f>HYPERLINK("https://www.boe.es/gazeta/dias/1821/07/31/pdfs/GMD-1821-216.pdf#page=3","Abrir facsímil")</f>
        <v>Abrir facsímil</v>
      </c>
      <c r="K5317" s="3" t="s">
        <v>23</v>
      </c>
    </row>
    <row r="5318" spans="1:11" ht="42" customHeight="1">
      <c r="A5318" s="2" t="s">
        <v>10659</v>
      </c>
      <c r="B5318" s="2" t="s">
        <v>10659</v>
      </c>
      <c r="C5318" s="2" t="s">
        <v>174</v>
      </c>
      <c r="D5318" s="2" t="s">
        <v>27</v>
      </c>
      <c r="E5318" s="5">
        <v>-28593</v>
      </c>
      <c r="F5318" s="3" t="s">
        <v>1635</v>
      </c>
      <c r="G5318" s="3" t="s">
        <v>88</v>
      </c>
      <c r="H5318" s="2" t="s">
        <v>21</v>
      </c>
      <c r="I5318" s="2" t="s">
        <v>10662</v>
      </c>
      <c r="J5318" s="3" t="str">
        <f>HYPERLINK("https://www.boe.es/gazeta/dias/1821/09/17/pdfs/GMD-1821-265.pdf#page=4","Abrir facsímil")</f>
        <v>Abrir facsímil</v>
      </c>
      <c r="K5318" s="3" t="s">
        <v>23</v>
      </c>
    </row>
    <row r="5319" spans="1:11" ht="42" customHeight="1">
      <c r="A5319" s="2" t="s">
        <v>10663</v>
      </c>
      <c r="B5319" s="2" t="s">
        <v>10664</v>
      </c>
      <c r="C5319" s="2" t="s">
        <v>40</v>
      </c>
      <c r="D5319" s="2" t="s">
        <v>41</v>
      </c>
      <c r="E5319" s="5">
        <v>-28779</v>
      </c>
      <c r="F5319" s="3" t="s">
        <v>1002</v>
      </c>
      <c r="G5319" s="3" t="s">
        <v>52</v>
      </c>
      <c r="H5319" s="2" t="s">
        <v>21</v>
      </c>
      <c r="I5319" s="2" t="s">
        <v>10665</v>
      </c>
      <c r="J5319" s="3" t="str">
        <f>HYPERLINK("https://www.boe.es/gazeta/dias/1821/03/15/pdfs/GMD-1821-74.pdf#page=2","Abrir facsímil")</f>
        <v>Abrir facsímil</v>
      </c>
      <c r="K5319" s="3" t="s">
        <v>23</v>
      </c>
    </row>
    <row r="5320" spans="1:11" ht="42" customHeight="1">
      <c r="A5320" s="2" t="s">
        <v>10663</v>
      </c>
      <c r="B5320" s="2" t="s">
        <v>10664</v>
      </c>
      <c r="C5320" s="2" t="s">
        <v>70</v>
      </c>
      <c r="D5320" s="2" t="s">
        <v>27</v>
      </c>
      <c r="E5320" s="5">
        <v>-28762</v>
      </c>
      <c r="F5320" s="3" t="s">
        <v>608</v>
      </c>
      <c r="G5320" s="3" t="s">
        <v>88</v>
      </c>
      <c r="H5320" s="2" t="s">
        <v>21</v>
      </c>
      <c r="I5320" s="2" t="s">
        <v>10666</v>
      </c>
      <c r="J5320" s="3" t="str">
        <f>HYPERLINK("https://www.boe.es/gazeta/dias/1821/04/01/pdfs/GMD-1821-93.pdf#page=4","Abrir facsímil")</f>
        <v>Abrir facsímil</v>
      </c>
      <c r="K5320" s="3" t="s">
        <v>23</v>
      </c>
    </row>
    <row r="5321" spans="1:11" ht="42" customHeight="1">
      <c r="A5321" s="2" t="s">
        <v>10667</v>
      </c>
      <c r="B5321" s="2" t="s">
        <v>10667</v>
      </c>
      <c r="C5321" s="2" t="s">
        <v>17</v>
      </c>
      <c r="D5321" s="2" t="s">
        <v>18</v>
      </c>
      <c r="E5321" s="5">
        <v>-28668</v>
      </c>
      <c r="F5321" s="3" t="s">
        <v>2130</v>
      </c>
      <c r="G5321" s="3" t="s">
        <v>88</v>
      </c>
      <c r="H5321" s="2" t="s">
        <v>21</v>
      </c>
      <c r="I5321" s="2" t="s">
        <v>10668</v>
      </c>
      <c r="J5321" s="3" t="str">
        <f>HYPERLINK("https://www.boe.es/gazeta/dias/1821/07/04/pdfs/GMD-1821-188.pdf#page=4","Abrir facsímil")</f>
        <v>Abrir facsímil</v>
      </c>
      <c r="K5321" s="3" t="s">
        <v>23</v>
      </c>
    </row>
    <row r="5322" spans="1:11" ht="42" customHeight="1">
      <c r="A5322" s="2" t="s">
        <v>10669</v>
      </c>
      <c r="B5322" s="2" t="s">
        <v>10670</v>
      </c>
      <c r="C5322" s="2" t="s">
        <v>114</v>
      </c>
      <c r="D5322" s="2" t="s">
        <v>27</v>
      </c>
      <c r="E5322" s="5">
        <v>-28782</v>
      </c>
      <c r="F5322" s="3" t="s">
        <v>508</v>
      </c>
      <c r="G5322" s="3" t="s">
        <v>20</v>
      </c>
      <c r="H5322" s="2" t="s">
        <v>21</v>
      </c>
      <c r="I5322" s="2" t="s">
        <v>10671</v>
      </c>
      <c r="J5322" s="3" t="str">
        <f>HYPERLINK("https://www.boe.es/gazeta/dias/1821/03/12/pdfs/GMD-1821-71.pdf#page=3","Abrir facsímil")</f>
        <v>Abrir facsímil</v>
      </c>
      <c r="K5322" s="3" t="s">
        <v>23</v>
      </c>
    </row>
    <row r="5323" spans="1:11" ht="42" customHeight="1">
      <c r="A5323" s="2" t="s">
        <v>10672</v>
      </c>
      <c r="B5323" s="2" t="s">
        <v>10672</v>
      </c>
      <c r="C5323" s="2" t="s">
        <v>17</v>
      </c>
      <c r="D5323" s="2" t="s">
        <v>18</v>
      </c>
      <c r="E5323" s="5">
        <v>-28676</v>
      </c>
      <c r="F5323" s="3" t="s">
        <v>534</v>
      </c>
      <c r="G5323" s="3" t="s">
        <v>29</v>
      </c>
      <c r="H5323" s="2" t="s">
        <v>21</v>
      </c>
      <c r="I5323" s="2" t="s">
        <v>10673</v>
      </c>
      <c r="J5323" s="3" t="str">
        <f>HYPERLINK("https://www.boe.es/gazeta/dias/1821/06/26/pdfs/GMD-1821-179.pdf#page=6","Abrir facsímil")</f>
        <v>Abrir facsímil</v>
      </c>
      <c r="K5323" s="3" t="s">
        <v>23</v>
      </c>
    </row>
    <row r="5324" spans="1:11" ht="42" customHeight="1">
      <c r="A5324" s="2" t="s">
        <v>10674</v>
      </c>
      <c r="B5324" s="2" t="s">
        <v>10674</v>
      </c>
      <c r="C5324" s="2" t="s">
        <v>26</v>
      </c>
      <c r="D5324" s="2" t="s">
        <v>27</v>
      </c>
      <c r="E5324" s="5">
        <v>-28791</v>
      </c>
      <c r="F5324" s="3" t="s">
        <v>47</v>
      </c>
      <c r="G5324" s="3" t="s">
        <v>88</v>
      </c>
      <c r="H5324" s="2" t="s">
        <v>21</v>
      </c>
      <c r="I5324" s="2" t="s">
        <v>10675</v>
      </c>
      <c r="J5324" s="3" t="str">
        <f>HYPERLINK("https://www.boe.es/gazeta/dias/1821/03/03/pdfs/GGB-1821-62.pdf#page=4","Abrir facsímil")</f>
        <v>Abrir facsímil</v>
      </c>
      <c r="K5324" s="3" t="s">
        <v>23</v>
      </c>
    </row>
    <row r="5325" spans="1:11" ht="42" customHeight="1">
      <c r="A5325" s="2" t="s">
        <v>10676</v>
      </c>
      <c r="B5325" s="2" t="s">
        <v>10676</v>
      </c>
      <c r="C5325" s="2" t="s">
        <v>35</v>
      </c>
      <c r="D5325" s="2" t="s">
        <v>27</v>
      </c>
      <c r="E5325" s="5">
        <v>-28497</v>
      </c>
      <c r="F5325" s="3" t="s">
        <v>225</v>
      </c>
      <c r="G5325" s="3" t="s">
        <v>88</v>
      </c>
      <c r="H5325" s="2" t="s">
        <v>21</v>
      </c>
      <c r="I5325" s="2" t="s">
        <v>10677</v>
      </c>
      <c r="J5325" s="3" t="str">
        <f>HYPERLINK("https://www.boe.es/gazeta/dias/1821/12/22/pdfs/GMD-1821-365.pdf#page=4","Abrir facsímil")</f>
        <v>Abrir facsímil</v>
      </c>
      <c r="K5325" s="3" t="s">
        <v>23</v>
      </c>
    </row>
    <row r="5326" spans="1:11" ht="42" customHeight="1">
      <c r="A5326" s="2" t="s">
        <v>10678</v>
      </c>
      <c r="B5326" s="2" t="s">
        <v>10678</v>
      </c>
      <c r="C5326" s="2" t="s">
        <v>17</v>
      </c>
      <c r="D5326" s="2" t="s">
        <v>18</v>
      </c>
      <c r="E5326" s="5">
        <v>-28832</v>
      </c>
      <c r="F5326" s="3" t="s">
        <v>353</v>
      </c>
      <c r="G5326" s="3" t="s">
        <v>29</v>
      </c>
      <c r="H5326" s="2" t="s">
        <v>21</v>
      </c>
      <c r="I5326" s="2" t="s">
        <v>10679</v>
      </c>
      <c r="J5326" s="3" t="str">
        <f>HYPERLINK("https://www.boe.es/gazeta/dias/1821/01/21/pdfs/GGB-1821-21.pdf#page=6","Abrir facsímil")</f>
        <v>Abrir facsímil</v>
      </c>
      <c r="K5326" s="3" t="s">
        <v>23</v>
      </c>
    </row>
    <row r="5327" spans="1:11" ht="42" customHeight="1">
      <c r="A5327" s="2" t="s">
        <v>10680</v>
      </c>
      <c r="B5327" s="2" t="s">
        <v>10681</v>
      </c>
      <c r="C5327" s="2" t="s">
        <v>26</v>
      </c>
      <c r="D5327" s="2" t="s">
        <v>27</v>
      </c>
      <c r="E5327" s="5">
        <v>-28528</v>
      </c>
      <c r="F5327" s="3" t="s">
        <v>1872</v>
      </c>
      <c r="G5327" s="3" t="s">
        <v>52</v>
      </c>
      <c r="H5327" s="2" t="s">
        <v>21</v>
      </c>
      <c r="I5327" s="2" t="s">
        <v>10682</v>
      </c>
      <c r="J5327" s="3" t="str">
        <f>HYPERLINK("https://www.boe.es/gazeta/dias/1821/11/21/pdfs/GMD-1821-332.pdf#page=2","Abrir facsímil")</f>
        <v>Abrir facsímil</v>
      </c>
      <c r="K5327" s="3" t="s">
        <v>23</v>
      </c>
    </row>
    <row r="5328" spans="1:11" ht="42" customHeight="1">
      <c r="A5328" s="2" t="s">
        <v>10683</v>
      </c>
      <c r="B5328" s="2" t="s">
        <v>10683</v>
      </c>
      <c r="C5328" s="2" t="s">
        <v>17</v>
      </c>
      <c r="D5328" s="2" t="s">
        <v>18</v>
      </c>
      <c r="E5328" s="5">
        <v>-28714</v>
      </c>
      <c r="F5328" s="3" t="s">
        <v>522</v>
      </c>
      <c r="G5328" s="3" t="s">
        <v>52</v>
      </c>
      <c r="H5328" s="2" t="s">
        <v>21</v>
      </c>
      <c r="I5328" s="2" t="s">
        <v>10684</v>
      </c>
      <c r="J5328" s="3" t="str">
        <f>HYPERLINK("https://www.boe.es/gazeta/dias/1821/05/19/pdfs/GMD-1821-141.pdf#page=2","Abrir facsímil")</f>
        <v>Abrir facsímil</v>
      </c>
      <c r="K5328" s="3" t="s">
        <v>23</v>
      </c>
    </row>
    <row r="5329" spans="1:11" ht="42" customHeight="1">
      <c r="A5329" s="2" t="s">
        <v>10685</v>
      </c>
      <c r="B5329" s="2" t="s">
        <v>10685</v>
      </c>
      <c r="C5329" s="2" t="s">
        <v>35</v>
      </c>
      <c r="D5329" s="2" t="s">
        <v>27</v>
      </c>
      <c r="E5329" s="5">
        <v>-28737</v>
      </c>
      <c r="F5329" s="3" t="s">
        <v>732</v>
      </c>
      <c r="G5329" s="3" t="s">
        <v>52</v>
      </c>
      <c r="H5329" s="2" t="s">
        <v>21</v>
      </c>
      <c r="I5329" s="2" t="s">
        <v>10686</v>
      </c>
      <c r="J5329" s="3" t="str">
        <f>HYPERLINK("https://www.boe.es/gazeta/dias/1821/04/26/pdfs/GMD-1821-118.pdf#page=2","Abrir facsímil")</f>
        <v>Abrir facsímil</v>
      </c>
      <c r="K5329" s="3" t="s">
        <v>23</v>
      </c>
    </row>
    <row r="5330" spans="1:11" ht="42" customHeight="1">
      <c r="A5330" s="2" t="s">
        <v>10687</v>
      </c>
      <c r="B5330" s="2" t="s">
        <v>10687</v>
      </c>
      <c r="C5330" s="2" t="s">
        <v>26</v>
      </c>
      <c r="D5330" s="2" t="s">
        <v>27</v>
      </c>
      <c r="E5330" s="5">
        <v>-28528</v>
      </c>
      <c r="F5330" s="3" t="s">
        <v>1872</v>
      </c>
      <c r="G5330" s="3" t="s">
        <v>52</v>
      </c>
      <c r="H5330" s="2" t="s">
        <v>21</v>
      </c>
      <c r="I5330" s="2" t="s">
        <v>10688</v>
      </c>
      <c r="J5330" s="3" t="str">
        <f>HYPERLINK("https://www.boe.es/gazeta/dias/1821/11/21/pdfs/GMD-1821-332.pdf#page=2","Abrir facsímil")</f>
        <v>Abrir facsímil</v>
      </c>
      <c r="K5330" s="3" t="s">
        <v>23</v>
      </c>
    </row>
    <row r="5331" spans="1:11" ht="42" customHeight="1">
      <c r="A5331" s="2" t="s">
        <v>10689</v>
      </c>
      <c r="B5331" s="2" t="s">
        <v>10689</v>
      </c>
      <c r="C5331" s="2" t="s">
        <v>40</v>
      </c>
      <c r="D5331" s="2" t="s">
        <v>41</v>
      </c>
      <c r="E5331" s="5">
        <v>-28850</v>
      </c>
      <c r="F5331" s="3" t="s">
        <v>664</v>
      </c>
      <c r="G5331" s="3" t="s">
        <v>20</v>
      </c>
      <c r="H5331" s="2" t="s">
        <v>21</v>
      </c>
      <c r="I5331" s="2" t="s">
        <v>10690</v>
      </c>
      <c r="J5331" s="3" t="str">
        <f>HYPERLINK("https://www.boe.es/gazeta/dias/1821/01/03/pdfs/GGB-1821-3.pdf#page=3","Abrir facsímil")</f>
        <v>Abrir facsímil</v>
      </c>
      <c r="K5331" s="3" t="s">
        <v>23</v>
      </c>
    </row>
    <row r="5332" spans="1:11" ht="42" customHeight="1">
      <c r="A5332" s="2" t="s">
        <v>10691</v>
      </c>
      <c r="B5332" s="2" t="s">
        <v>10691</v>
      </c>
      <c r="C5332" s="2" t="s">
        <v>17</v>
      </c>
      <c r="D5332" s="2" t="s">
        <v>18</v>
      </c>
      <c r="E5332" s="5">
        <v>-28761</v>
      </c>
      <c r="F5332" s="3" t="s">
        <v>771</v>
      </c>
      <c r="G5332" s="3" t="s">
        <v>20</v>
      </c>
      <c r="H5332" s="2" t="s">
        <v>21</v>
      </c>
      <c r="I5332" s="2" t="s">
        <v>10692</v>
      </c>
      <c r="J5332" s="3" t="str">
        <f>HYPERLINK("https://www.boe.es/gazeta/dias/1821/04/02/pdfs/GMD-1821-94.pdf#page=3","Abrir facsímil")</f>
        <v>Abrir facsímil</v>
      </c>
      <c r="K5332" s="3" t="s">
        <v>23</v>
      </c>
    </row>
    <row r="5333" spans="1:11" ht="42" customHeight="1">
      <c r="A5333" s="2" t="s">
        <v>10693</v>
      </c>
      <c r="B5333" s="2" t="s">
        <v>10693</v>
      </c>
      <c r="C5333" s="2" t="s">
        <v>40</v>
      </c>
      <c r="D5333" s="2" t="s">
        <v>41</v>
      </c>
      <c r="E5333" s="5">
        <v>-28606</v>
      </c>
      <c r="F5333" s="3" t="s">
        <v>1799</v>
      </c>
      <c r="G5333" s="3" t="s">
        <v>88</v>
      </c>
      <c r="H5333" s="2" t="s">
        <v>21</v>
      </c>
      <c r="I5333" s="2" t="s">
        <v>10694</v>
      </c>
      <c r="J5333" s="3" t="str">
        <f>HYPERLINK("https://www.boe.es/gazeta/dias/1821/09/04/pdfs/GMD-1821-252.pdf#page=4","Abrir facsímil")</f>
        <v>Abrir facsímil</v>
      </c>
      <c r="K5333" s="3" t="s">
        <v>23</v>
      </c>
    </row>
    <row r="5334" spans="1:11" ht="42" customHeight="1">
      <c r="A5334" s="2" t="s">
        <v>10695</v>
      </c>
      <c r="B5334" s="2" t="s">
        <v>10695</v>
      </c>
      <c r="C5334" s="2" t="s">
        <v>17</v>
      </c>
      <c r="D5334" s="2" t="s">
        <v>18</v>
      </c>
      <c r="E5334" s="5">
        <v>-28722</v>
      </c>
      <c r="F5334" s="3" t="s">
        <v>623</v>
      </c>
      <c r="G5334" s="3" t="s">
        <v>52</v>
      </c>
      <c r="H5334" s="2" t="s">
        <v>21</v>
      </c>
      <c r="I5334" s="2" t="s">
        <v>10696</v>
      </c>
      <c r="J5334" s="3" t="str">
        <f>HYPERLINK("https://www.boe.es/gazeta/dias/1821/05/11/pdfs/GMD-1821-133.pdf#page=2","Abrir facsímil")</f>
        <v>Abrir facsímil</v>
      </c>
      <c r="K5334" s="3" t="s">
        <v>23</v>
      </c>
    </row>
    <row r="5335" spans="1:11" ht="42" customHeight="1">
      <c r="A5335" s="2" t="s">
        <v>10697</v>
      </c>
      <c r="B5335" s="2" t="s">
        <v>10697</v>
      </c>
      <c r="C5335" s="2" t="s">
        <v>40</v>
      </c>
      <c r="D5335" s="2" t="s">
        <v>41</v>
      </c>
      <c r="E5335" s="5">
        <v>-28606</v>
      </c>
      <c r="F5335" s="3" t="s">
        <v>1799</v>
      </c>
      <c r="G5335" s="3" t="s">
        <v>52</v>
      </c>
      <c r="H5335" s="2" t="s">
        <v>21</v>
      </c>
      <c r="I5335" s="2" t="s">
        <v>10698</v>
      </c>
      <c r="J5335" s="3" t="str">
        <f>HYPERLINK("https://www.boe.es/gazeta/dias/1821/09/04/pdfs/GMD-1821-252.pdf#page=2","Abrir facsímil")</f>
        <v>Abrir facsímil</v>
      </c>
      <c r="K5335" s="3" t="s">
        <v>23</v>
      </c>
    </row>
    <row r="5336" spans="1:11" ht="42" customHeight="1">
      <c r="A5336" s="2" t="s">
        <v>10699</v>
      </c>
      <c r="B5336" s="2" t="s">
        <v>10700</v>
      </c>
      <c r="C5336" s="2" t="s">
        <v>40</v>
      </c>
      <c r="D5336" s="2" t="s">
        <v>41</v>
      </c>
      <c r="E5336" s="5">
        <v>-28616</v>
      </c>
      <c r="F5336" s="3" t="s">
        <v>1912</v>
      </c>
      <c r="G5336" s="3" t="s">
        <v>1913</v>
      </c>
      <c r="H5336" s="2" t="s">
        <v>21</v>
      </c>
      <c r="I5336" s="2" t="s">
        <v>10701</v>
      </c>
      <c r="J5336" s="3" t="str">
        <f>HYPERLINK("https://www.boe.es/gazeta/dias/1821/08/25/pdfs/GMD-1821-242.pdf#page=3","Abrir facsímil")</f>
        <v>Abrir facsímil</v>
      </c>
      <c r="K5336" s="3" t="s">
        <v>23</v>
      </c>
    </row>
    <row r="5337" spans="1:11" ht="42" customHeight="1">
      <c r="A5337" s="2" t="s">
        <v>10702</v>
      </c>
      <c r="B5337" s="2" t="s">
        <v>10702</v>
      </c>
      <c r="C5337" s="2" t="s">
        <v>40</v>
      </c>
      <c r="D5337" s="2" t="s">
        <v>41</v>
      </c>
      <c r="E5337" s="5">
        <v>-28626</v>
      </c>
      <c r="F5337" s="3" t="s">
        <v>468</v>
      </c>
      <c r="G5337" s="3" t="s">
        <v>20</v>
      </c>
      <c r="H5337" s="2" t="s">
        <v>21</v>
      </c>
      <c r="I5337" s="2" t="s">
        <v>10703</v>
      </c>
      <c r="J5337" s="3" t="str">
        <f>HYPERLINK("https://www.boe.es/gazeta/dias/1821/08/15/pdfs/GMD-1821-232.pdf#page=3","Abrir facsímil")</f>
        <v>Abrir facsímil</v>
      </c>
      <c r="K5337" s="3" t="s">
        <v>23</v>
      </c>
    </row>
    <row r="5338" spans="1:11" ht="42" customHeight="1">
      <c r="A5338" s="2" t="s">
        <v>10704</v>
      </c>
      <c r="B5338" s="2" t="s">
        <v>10705</v>
      </c>
      <c r="C5338" s="2" t="s">
        <v>17</v>
      </c>
      <c r="D5338" s="2" t="s">
        <v>18</v>
      </c>
      <c r="E5338" s="5">
        <v>-28683</v>
      </c>
      <c r="F5338" s="3" t="s">
        <v>332</v>
      </c>
      <c r="G5338" s="3" t="s">
        <v>333</v>
      </c>
      <c r="H5338" s="2" t="s">
        <v>21</v>
      </c>
      <c r="I5338" s="2" t="s">
        <v>10706</v>
      </c>
      <c r="J5338" s="3" t="str">
        <f>HYPERLINK("https://www.boe.es/gazeta/dias/1821/06/19/pdfs/GMD-1821-172.pdf#page=8","Abrir facsímil")</f>
        <v>Abrir facsímil</v>
      </c>
      <c r="K5338" s="3" t="s">
        <v>23</v>
      </c>
    </row>
    <row r="5339" spans="1:11" ht="42" customHeight="1">
      <c r="A5339" s="2" t="s">
        <v>10707</v>
      </c>
      <c r="B5339" s="2" t="s">
        <v>10708</v>
      </c>
      <c r="C5339" s="2" t="s">
        <v>35</v>
      </c>
      <c r="D5339" s="2" t="s">
        <v>27</v>
      </c>
      <c r="E5339" s="5">
        <v>-28710</v>
      </c>
      <c r="F5339" s="3" t="s">
        <v>375</v>
      </c>
      <c r="G5339" s="3" t="s">
        <v>52</v>
      </c>
      <c r="H5339" s="2" t="s">
        <v>21</v>
      </c>
      <c r="I5339" s="2" t="s">
        <v>10709</v>
      </c>
      <c r="J5339" s="3" t="str">
        <f>HYPERLINK("https://www.boe.es/gazeta/dias/1821/05/23/pdfs/GMD-1821-145.pdf#page=2","Abrir facsímil")</f>
        <v>Abrir facsímil</v>
      </c>
      <c r="K5339" s="3" t="s">
        <v>23</v>
      </c>
    </row>
    <row r="5340" spans="1:11" ht="42" customHeight="1">
      <c r="A5340" s="2" t="s">
        <v>10710</v>
      </c>
      <c r="B5340" s="2" t="s">
        <v>10710</v>
      </c>
      <c r="C5340" s="2" t="s">
        <v>40</v>
      </c>
      <c r="D5340" s="2" t="s">
        <v>41</v>
      </c>
      <c r="E5340" s="5">
        <v>-28715</v>
      </c>
      <c r="F5340" s="3" t="s">
        <v>1046</v>
      </c>
      <c r="G5340" s="3" t="s">
        <v>52</v>
      </c>
      <c r="H5340" s="2" t="s">
        <v>21</v>
      </c>
      <c r="I5340" s="2" t="s">
        <v>10711</v>
      </c>
      <c r="J5340" s="3" t="str">
        <f>HYPERLINK("https://www.boe.es/gazeta/dias/1821/05/18/pdfs/GMD-1821-140.pdf#page=2","Abrir facsímil")</f>
        <v>Abrir facsímil</v>
      </c>
      <c r="K5340" s="3" t="s">
        <v>23</v>
      </c>
    </row>
    <row r="5341" spans="1:11" ht="42" customHeight="1">
      <c r="A5341" s="2" t="s">
        <v>10710</v>
      </c>
      <c r="B5341" s="2" t="s">
        <v>10710</v>
      </c>
      <c r="C5341" s="2" t="s">
        <v>40</v>
      </c>
      <c r="D5341" s="2" t="s">
        <v>41</v>
      </c>
      <c r="E5341" s="5">
        <v>-28666</v>
      </c>
      <c r="F5341" s="3" t="s">
        <v>1263</v>
      </c>
      <c r="G5341" s="3" t="s">
        <v>88</v>
      </c>
      <c r="H5341" s="2" t="s">
        <v>21</v>
      </c>
      <c r="I5341" s="2" t="s">
        <v>10712</v>
      </c>
      <c r="J5341" s="3" t="str">
        <f>HYPERLINK("https://www.boe.es/gazeta/dias/1821/07/06/pdfs/GMD-1821-190.pdf#page=4","Abrir facsímil")</f>
        <v>Abrir facsímil</v>
      </c>
      <c r="K5341" s="3" t="s">
        <v>23</v>
      </c>
    </row>
    <row r="5342" spans="1:11" ht="42" customHeight="1">
      <c r="A5342" s="2" t="s">
        <v>10710</v>
      </c>
      <c r="B5342" s="2" t="s">
        <v>10710</v>
      </c>
      <c r="C5342" s="2" t="s">
        <v>17</v>
      </c>
      <c r="D5342" s="2" t="s">
        <v>18</v>
      </c>
      <c r="E5342" s="5">
        <v>-28606</v>
      </c>
      <c r="F5342" s="3" t="s">
        <v>1799</v>
      </c>
      <c r="G5342" s="3" t="s">
        <v>88</v>
      </c>
      <c r="H5342" s="2" t="s">
        <v>21</v>
      </c>
      <c r="I5342" s="2" t="s">
        <v>10713</v>
      </c>
      <c r="J5342" s="3" t="str">
        <f>HYPERLINK("https://www.boe.es/gazeta/dias/1821/09/04/pdfs/GMD-1821-252.pdf#page=4","Abrir facsímil")</f>
        <v>Abrir facsímil</v>
      </c>
      <c r="K5342" s="3" t="s">
        <v>23</v>
      </c>
    </row>
    <row r="5343" spans="1:11" ht="42" customHeight="1">
      <c r="A5343" s="2" t="s">
        <v>10714</v>
      </c>
      <c r="B5343" s="2" t="s">
        <v>10715</v>
      </c>
      <c r="C5343" s="2" t="s">
        <v>174</v>
      </c>
      <c r="D5343" s="2" t="s">
        <v>27</v>
      </c>
      <c r="E5343" s="5">
        <v>-28810</v>
      </c>
      <c r="F5343" s="3" t="s">
        <v>308</v>
      </c>
      <c r="G5343" s="3" t="s">
        <v>88</v>
      </c>
      <c r="H5343" s="2" t="s">
        <v>21</v>
      </c>
      <c r="I5343" s="2" t="s">
        <v>10716</v>
      </c>
      <c r="J5343" s="3" t="str">
        <f>HYPERLINK("https://www.boe.es/gazeta/dias/1821/02/12/pdfs/GGB-1821-43.pdf#page=4","Abrir facsímil")</f>
        <v>Abrir facsímil</v>
      </c>
      <c r="K5343" s="3" t="s">
        <v>23</v>
      </c>
    </row>
    <row r="5344" spans="1:11" ht="42" customHeight="1">
      <c r="A5344" s="2" t="s">
        <v>10717</v>
      </c>
      <c r="B5344" s="2" t="s">
        <v>10718</v>
      </c>
      <c r="C5344" s="2" t="s">
        <v>17</v>
      </c>
      <c r="D5344" s="2" t="s">
        <v>18</v>
      </c>
      <c r="E5344" s="5">
        <v>-28687</v>
      </c>
      <c r="F5344" s="3" t="s">
        <v>851</v>
      </c>
      <c r="G5344" s="3" t="s">
        <v>43</v>
      </c>
      <c r="H5344" s="2" t="s">
        <v>21</v>
      </c>
      <c r="I5344" s="2" t="s">
        <v>10719</v>
      </c>
      <c r="J5344" s="3" t="str">
        <f>HYPERLINK("https://www.boe.es/gazeta/dias/1821/06/15/pdfs/GMD-1821-168.pdf#page=1","Abrir facsímil")</f>
        <v>Abrir facsímil</v>
      </c>
      <c r="K5344" s="3" t="s">
        <v>23</v>
      </c>
    </row>
    <row r="5345" spans="1:11" ht="42" customHeight="1">
      <c r="A5345" s="2" t="s">
        <v>10720</v>
      </c>
      <c r="B5345" s="2" t="s">
        <v>10720</v>
      </c>
      <c r="C5345" s="2" t="s">
        <v>26</v>
      </c>
      <c r="D5345" s="2" t="s">
        <v>27</v>
      </c>
      <c r="E5345" s="5">
        <v>-28847</v>
      </c>
      <c r="F5345" s="3" t="s">
        <v>288</v>
      </c>
      <c r="G5345" s="3" t="s">
        <v>289</v>
      </c>
      <c r="H5345" s="2" t="s">
        <v>21</v>
      </c>
      <c r="I5345" s="2" t="s">
        <v>10721</v>
      </c>
      <c r="J5345" s="3" t="str">
        <f>HYPERLINK("https://www.boe.es/gazeta/dias/1821/01/06/pdfs/GGB-1821-6.pdf#page=4","Abrir facsímil")</f>
        <v>Abrir facsímil</v>
      </c>
      <c r="K5345" s="3" t="s">
        <v>23</v>
      </c>
    </row>
    <row r="5346" spans="1:11" ht="42" customHeight="1">
      <c r="A5346" s="2" t="s">
        <v>10720</v>
      </c>
      <c r="B5346" s="2" t="s">
        <v>10720</v>
      </c>
      <c r="C5346" s="2" t="s">
        <v>26</v>
      </c>
      <c r="D5346" s="2" t="s">
        <v>27</v>
      </c>
      <c r="E5346" s="5">
        <v>-28846</v>
      </c>
      <c r="F5346" s="3" t="s">
        <v>10722</v>
      </c>
      <c r="G5346" s="3" t="s">
        <v>52</v>
      </c>
      <c r="H5346" s="2" t="s">
        <v>21</v>
      </c>
      <c r="I5346" s="2" t="s">
        <v>10723</v>
      </c>
      <c r="J5346" s="3" t="str">
        <f>HYPERLINK("https://www.boe.es/gazeta/dias/1821/01/07/pdfs/GGB-1821-7.pdf#page=2","Abrir facsímil")</f>
        <v>Abrir facsímil</v>
      </c>
      <c r="K5346" s="3" t="s">
        <v>23</v>
      </c>
    </row>
    <row r="5347" spans="1:11" ht="42" customHeight="1">
      <c r="A5347" s="2" t="s">
        <v>10720</v>
      </c>
      <c r="B5347" s="2" t="s">
        <v>10720</v>
      </c>
      <c r="C5347" s="2" t="s">
        <v>114</v>
      </c>
      <c r="D5347" s="2" t="s">
        <v>27</v>
      </c>
      <c r="E5347" s="5">
        <v>-28843</v>
      </c>
      <c r="F5347" s="3" t="s">
        <v>4068</v>
      </c>
      <c r="G5347" s="3" t="s">
        <v>43</v>
      </c>
      <c r="H5347" s="2" t="s">
        <v>21</v>
      </c>
      <c r="I5347" s="2" t="s">
        <v>10724</v>
      </c>
      <c r="J5347" s="3" t="str">
        <f>HYPERLINK("https://www.boe.es/gazeta/dias/1821/01/10/pdfs/GGB-1821-10.pdf#page=1","Abrir facsímil")</f>
        <v>Abrir facsímil</v>
      </c>
      <c r="K5347" s="3" t="s">
        <v>23</v>
      </c>
    </row>
    <row r="5348" spans="1:11" ht="42" customHeight="1">
      <c r="A5348" s="2" t="s">
        <v>10720</v>
      </c>
      <c r="B5348" s="2" t="s">
        <v>10720</v>
      </c>
      <c r="C5348" s="2" t="s">
        <v>26</v>
      </c>
      <c r="D5348" s="2" t="s">
        <v>27</v>
      </c>
      <c r="E5348" s="5">
        <v>-28843</v>
      </c>
      <c r="F5348" s="3" t="s">
        <v>4068</v>
      </c>
      <c r="G5348" s="3" t="s">
        <v>52</v>
      </c>
      <c r="H5348" s="2" t="s">
        <v>21</v>
      </c>
      <c r="I5348" s="2" t="s">
        <v>10725</v>
      </c>
      <c r="J5348" s="3" t="str">
        <f>HYPERLINK("https://www.boe.es/gazeta/dias/1821/01/10/pdfs/GGB-1821-10.pdf#page=2","Abrir facsímil")</f>
        <v>Abrir facsímil</v>
      </c>
      <c r="K5348" s="3" t="s">
        <v>23</v>
      </c>
    </row>
    <row r="5349" spans="1:11" ht="42" customHeight="1">
      <c r="A5349" s="2" t="s">
        <v>10720</v>
      </c>
      <c r="B5349" s="2" t="s">
        <v>10720</v>
      </c>
      <c r="C5349" s="2" t="s">
        <v>174</v>
      </c>
      <c r="D5349" s="2" t="s">
        <v>27</v>
      </c>
      <c r="E5349" s="5">
        <v>-28833</v>
      </c>
      <c r="F5349" s="3" t="s">
        <v>1868</v>
      </c>
      <c r="G5349" s="3" t="s">
        <v>52</v>
      </c>
      <c r="H5349" s="2" t="s">
        <v>21</v>
      </c>
      <c r="I5349" s="2" t="s">
        <v>10726</v>
      </c>
      <c r="J5349" s="3" t="str">
        <f>HYPERLINK("https://www.boe.es/gazeta/dias/1821/01/20/pdfs/GGB-1821-20.pdf#page=2","Abrir facsímil")</f>
        <v>Abrir facsímil</v>
      </c>
      <c r="K5349" s="3" t="s">
        <v>23</v>
      </c>
    </row>
    <row r="5350" spans="1:11" ht="42" customHeight="1">
      <c r="A5350" s="2" t="s">
        <v>10720</v>
      </c>
      <c r="B5350" s="2" t="s">
        <v>10720</v>
      </c>
      <c r="C5350" s="2" t="s">
        <v>17</v>
      </c>
      <c r="D5350" s="2" t="s">
        <v>18</v>
      </c>
      <c r="E5350" s="5">
        <v>-28823</v>
      </c>
      <c r="F5350" s="3" t="s">
        <v>1890</v>
      </c>
      <c r="G5350" s="3" t="s">
        <v>1891</v>
      </c>
      <c r="H5350" s="2" t="s">
        <v>21</v>
      </c>
      <c r="I5350" s="2" t="s">
        <v>10727</v>
      </c>
      <c r="J5350" s="3" t="str">
        <f>HYPERLINK("https://www.boe.es/gazeta/dias/1821/01/30/pdfs/GGB-1821-30.pdf#page=4","Abrir facsímil")</f>
        <v>Abrir facsímil</v>
      </c>
      <c r="K5350" s="3" t="s">
        <v>23</v>
      </c>
    </row>
    <row r="5351" spans="1:11" ht="42" customHeight="1">
      <c r="A5351" s="2" t="s">
        <v>10720</v>
      </c>
      <c r="B5351" s="2" t="s">
        <v>10720</v>
      </c>
      <c r="C5351" s="2" t="s">
        <v>40</v>
      </c>
      <c r="D5351" s="2" t="s">
        <v>41</v>
      </c>
      <c r="E5351" s="5">
        <v>-28821</v>
      </c>
      <c r="F5351" s="3" t="s">
        <v>371</v>
      </c>
      <c r="G5351" s="3" t="s">
        <v>88</v>
      </c>
      <c r="H5351" s="2" t="s">
        <v>21</v>
      </c>
      <c r="I5351" s="2" t="s">
        <v>10728</v>
      </c>
      <c r="J5351" s="3" t="str">
        <f>HYPERLINK("https://www.boe.es/gazeta/dias/1821/02/01/pdfs/GGB-1821-32.pdf#page=4","Abrir facsímil")</f>
        <v>Abrir facsímil</v>
      </c>
      <c r="K5351" s="3" t="s">
        <v>23</v>
      </c>
    </row>
    <row r="5352" spans="1:11" ht="42" customHeight="1">
      <c r="A5352" s="2" t="s">
        <v>10720</v>
      </c>
      <c r="B5352" s="2" t="s">
        <v>10720</v>
      </c>
      <c r="C5352" s="2" t="s">
        <v>26</v>
      </c>
      <c r="D5352" s="2" t="s">
        <v>27</v>
      </c>
      <c r="E5352" s="5">
        <v>-28818</v>
      </c>
      <c r="F5352" s="3" t="s">
        <v>2337</v>
      </c>
      <c r="G5352" s="3" t="s">
        <v>20</v>
      </c>
      <c r="H5352" s="2" t="s">
        <v>21</v>
      </c>
      <c r="I5352" s="2" t="s">
        <v>10729</v>
      </c>
      <c r="J5352" s="3" t="str">
        <f>HYPERLINK("https://www.boe.es/gazeta/dias/1821/02/04/pdfs/GGB-1821-35.pdf#page=3","Abrir facsímil")</f>
        <v>Abrir facsímil</v>
      </c>
      <c r="K5352" s="3" t="s">
        <v>23</v>
      </c>
    </row>
    <row r="5353" spans="1:11" ht="42" customHeight="1">
      <c r="A5353" s="2" t="s">
        <v>10720</v>
      </c>
      <c r="B5353" s="2" t="s">
        <v>10720</v>
      </c>
      <c r="C5353" s="2" t="s">
        <v>40</v>
      </c>
      <c r="D5353" s="2" t="s">
        <v>41</v>
      </c>
      <c r="E5353" s="5">
        <v>-28814</v>
      </c>
      <c r="F5353" s="3" t="s">
        <v>2090</v>
      </c>
      <c r="G5353" s="3" t="s">
        <v>3053</v>
      </c>
      <c r="H5353" s="2" t="s">
        <v>21</v>
      </c>
      <c r="I5353" s="2" t="s">
        <v>10730</v>
      </c>
      <c r="J5353" s="3" t="str">
        <f>HYPERLINK("https://www.boe.es/gazeta/dias/1821/02/08/pdfs/GGB-1821-39.pdf#page=3","Abrir facsímil")</f>
        <v>Abrir facsímil</v>
      </c>
      <c r="K5353" s="3" t="s">
        <v>23</v>
      </c>
    </row>
    <row r="5354" spans="1:11" ht="42" customHeight="1">
      <c r="A5354" s="2" t="s">
        <v>10720</v>
      </c>
      <c r="B5354" s="2" t="s">
        <v>10720</v>
      </c>
      <c r="C5354" s="2" t="s">
        <v>26</v>
      </c>
      <c r="D5354" s="2" t="s">
        <v>27</v>
      </c>
      <c r="E5354" s="5">
        <v>-28813</v>
      </c>
      <c r="F5354" s="3" t="s">
        <v>268</v>
      </c>
      <c r="G5354" s="3" t="s">
        <v>20</v>
      </c>
      <c r="H5354" s="2" t="s">
        <v>21</v>
      </c>
      <c r="I5354" s="2" t="s">
        <v>10731</v>
      </c>
      <c r="J5354" s="3" t="str">
        <f>HYPERLINK("https://www.boe.es/gazeta/dias/1821/02/09/pdfs/GGB-1821-40.pdf#page=3","Abrir facsímil")</f>
        <v>Abrir facsímil</v>
      </c>
      <c r="K5354" s="3" t="s">
        <v>23</v>
      </c>
    </row>
    <row r="5355" spans="1:11" ht="42" customHeight="1">
      <c r="A5355" s="2" t="s">
        <v>10720</v>
      </c>
      <c r="B5355" s="2" t="s">
        <v>10720</v>
      </c>
      <c r="C5355" s="2" t="s">
        <v>40</v>
      </c>
      <c r="D5355" s="2" t="s">
        <v>41</v>
      </c>
      <c r="E5355" s="5">
        <v>-28809</v>
      </c>
      <c r="F5355" s="3" t="s">
        <v>1173</v>
      </c>
      <c r="G5355" s="3" t="s">
        <v>20</v>
      </c>
      <c r="H5355" s="2" t="s">
        <v>21</v>
      </c>
      <c r="I5355" s="2" t="s">
        <v>10732</v>
      </c>
      <c r="J5355" s="3" t="str">
        <f>HYPERLINK("https://www.boe.es/gazeta/dias/1821/02/13/pdfs/GGB-1821-44.pdf#page=3","Abrir facsímil")</f>
        <v>Abrir facsímil</v>
      </c>
      <c r="K5355" s="3" t="s">
        <v>23</v>
      </c>
    </row>
    <row r="5356" spans="1:11" ht="42" customHeight="1">
      <c r="A5356" s="2" t="s">
        <v>10720</v>
      </c>
      <c r="B5356" s="2" t="s">
        <v>10720</v>
      </c>
      <c r="C5356" s="2" t="s">
        <v>17</v>
      </c>
      <c r="D5356" s="2" t="s">
        <v>18</v>
      </c>
      <c r="E5356" s="5">
        <v>-28801</v>
      </c>
      <c r="F5356" s="3" t="s">
        <v>378</v>
      </c>
      <c r="G5356" s="3" t="s">
        <v>20</v>
      </c>
      <c r="H5356" s="2" t="s">
        <v>21</v>
      </c>
      <c r="I5356" s="2" t="s">
        <v>10733</v>
      </c>
      <c r="J5356" s="3" t="str">
        <f>HYPERLINK("https://www.boe.es/gazeta/dias/1821/02/21/pdfs/GGB-1821-52.pdf#page=3","Abrir facsímil")</f>
        <v>Abrir facsímil</v>
      </c>
      <c r="K5356" s="3" t="s">
        <v>23</v>
      </c>
    </row>
    <row r="5357" spans="1:11" ht="42" customHeight="1">
      <c r="A5357" s="2" t="s">
        <v>10720</v>
      </c>
      <c r="B5357" s="2" t="s">
        <v>10720</v>
      </c>
      <c r="C5357" s="2" t="s">
        <v>40</v>
      </c>
      <c r="D5357" s="2" t="s">
        <v>41</v>
      </c>
      <c r="E5357" s="5">
        <v>-28796</v>
      </c>
      <c r="F5357" s="3" t="s">
        <v>1421</v>
      </c>
      <c r="G5357" s="3" t="s">
        <v>1422</v>
      </c>
      <c r="H5357" s="2" t="s">
        <v>21</v>
      </c>
      <c r="I5357" s="2" t="s">
        <v>10734</v>
      </c>
      <c r="J5357" s="3" t="str">
        <f>HYPERLINK("https://www.boe.es/gazeta/dias/1821/02/26/pdfs/GGB-1821-57.pdf#page=3","Abrir facsímil")</f>
        <v>Abrir facsímil</v>
      </c>
      <c r="K5357" s="3" t="s">
        <v>23</v>
      </c>
    </row>
    <row r="5358" spans="1:11" ht="42" customHeight="1">
      <c r="A5358" s="2" t="s">
        <v>10720</v>
      </c>
      <c r="B5358" s="2" t="s">
        <v>10720</v>
      </c>
      <c r="C5358" s="2" t="s">
        <v>26</v>
      </c>
      <c r="D5358" s="2" t="s">
        <v>27</v>
      </c>
      <c r="E5358" s="5">
        <v>-28785</v>
      </c>
      <c r="F5358" s="3" t="s">
        <v>1935</v>
      </c>
      <c r="G5358" s="3" t="s">
        <v>52</v>
      </c>
      <c r="H5358" s="2" t="s">
        <v>21</v>
      </c>
      <c r="I5358" s="2" t="s">
        <v>10735</v>
      </c>
      <c r="J5358" s="3" t="str">
        <f>HYPERLINK("https://www.boe.es/gazeta/dias/1821/03/09/pdfs/GGB-1821-68.pdf#page=2","Abrir facsímil")</f>
        <v>Abrir facsímil</v>
      </c>
      <c r="K5358" s="3" t="s">
        <v>23</v>
      </c>
    </row>
    <row r="5359" spans="1:11" ht="42" customHeight="1">
      <c r="A5359" s="2" t="s">
        <v>10720</v>
      </c>
      <c r="B5359" s="2" t="s">
        <v>10720</v>
      </c>
      <c r="C5359" s="2" t="s">
        <v>70</v>
      </c>
      <c r="D5359" s="2" t="s">
        <v>27</v>
      </c>
      <c r="E5359" s="5">
        <v>-28782</v>
      </c>
      <c r="F5359" s="3" t="s">
        <v>508</v>
      </c>
      <c r="G5359" s="3" t="s">
        <v>88</v>
      </c>
      <c r="H5359" s="2" t="s">
        <v>21</v>
      </c>
      <c r="I5359" s="2" t="s">
        <v>10736</v>
      </c>
      <c r="J5359" s="3" t="str">
        <f>HYPERLINK("https://www.boe.es/gazeta/dias/1821/03/12/pdfs/GMD-1821-71.pdf#page=4","Abrir facsímil")</f>
        <v>Abrir facsímil</v>
      </c>
      <c r="K5359" s="3" t="s">
        <v>23</v>
      </c>
    </row>
    <row r="5360" spans="1:11" ht="42" customHeight="1">
      <c r="A5360" s="2" t="s">
        <v>10720</v>
      </c>
      <c r="B5360" s="2" t="s">
        <v>10720</v>
      </c>
      <c r="C5360" s="2" t="s">
        <v>40</v>
      </c>
      <c r="D5360" s="2" t="s">
        <v>41</v>
      </c>
      <c r="E5360" s="5">
        <v>-28781</v>
      </c>
      <c r="F5360" s="3" t="s">
        <v>149</v>
      </c>
      <c r="G5360" s="3" t="s">
        <v>52</v>
      </c>
      <c r="H5360" s="2" t="s">
        <v>21</v>
      </c>
      <c r="I5360" s="2" t="s">
        <v>10737</v>
      </c>
      <c r="J5360" s="3" t="str">
        <f>HYPERLINK("https://www.boe.es/gazeta/dias/1821/03/13/pdfs/GMD-1821-72.pdf#page=2","Abrir facsímil")</f>
        <v>Abrir facsímil</v>
      </c>
      <c r="K5360" s="3" t="s">
        <v>23</v>
      </c>
    </row>
    <row r="5361" spans="1:11" ht="42" customHeight="1">
      <c r="A5361" s="2" t="s">
        <v>10720</v>
      </c>
      <c r="B5361" s="2" t="s">
        <v>10720</v>
      </c>
      <c r="C5361" s="2" t="s">
        <v>114</v>
      </c>
      <c r="D5361" s="2" t="s">
        <v>27</v>
      </c>
      <c r="E5361" s="5">
        <v>-28774</v>
      </c>
      <c r="F5361" s="3" t="s">
        <v>1221</v>
      </c>
      <c r="G5361" s="3" t="s">
        <v>20</v>
      </c>
      <c r="H5361" s="2" t="s">
        <v>21</v>
      </c>
      <c r="I5361" s="2" t="s">
        <v>10738</v>
      </c>
      <c r="J5361" s="3" t="str">
        <f>HYPERLINK("https://www.boe.es/gazeta/dias/1821/03/20/pdfs/GMD-1821-79.pdf#page=3","Abrir facsímil")</f>
        <v>Abrir facsímil</v>
      </c>
      <c r="K5361" s="3" t="s">
        <v>23</v>
      </c>
    </row>
    <row r="5362" spans="1:11" ht="42" customHeight="1">
      <c r="A5362" s="2" t="s">
        <v>10720</v>
      </c>
      <c r="B5362" s="2" t="s">
        <v>10720</v>
      </c>
      <c r="C5362" s="2" t="s">
        <v>17</v>
      </c>
      <c r="D5362" s="2" t="s">
        <v>18</v>
      </c>
      <c r="E5362" s="5">
        <v>-28773</v>
      </c>
      <c r="F5362" s="3" t="s">
        <v>1755</v>
      </c>
      <c r="G5362" s="3" t="s">
        <v>52</v>
      </c>
      <c r="H5362" s="2" t="s">
        <v>21</v>
      </c>
      <c r="I5362" s="2" t="s">
        <v>10739</v>
      </c>
      <c r="J5362" s="3" t="str">
        <f>HYPERLINK("https://www.boe.es/gazeta/dias/1821/03/21/pdfs/GMD-1821-80.pdf#page=2","Abrir facsímil")</f>
        <v>Abrir facsímil</v>
      </c>
      <c r="K5362" s="3" t="s">
        <v>23</v>
      </c>
    </row>
    <row r="5363" spans="1:11" ht="42" customHeight="1">
      <c r="A5363" s="2" t="s">
        <v>10720</v>
      </c>
      <c r="B5363" s="2" t="s">
        <v>10720</v>
      </c>
      <c r="C5363" s="2" t="s">
        <v>26</v>
      </c>
      <c r="D5363" s="2" t="s">
        <v>27</v>
      </c>
      <c r="E5363" s="5">
        <v>-28771</v>
      </c>
      <c r="F5363" s="3" t="s">
        <v>110</v>
      </c>
      <c r="G5363" s="3" t="s">
        <v>20</v>
      </c>
      <c r="H5363" s="2" t="s">
        <v>21</v>
      </c>
      <c r="I5363" s="2" t="s">
        <v>10740</v>
      </c>
      <c r="J5363" s="3" t="str">
        <f>HYPERLINK("https://www.boe.es/gazeta/dias/1821/03/23/pdfs/GMD-1821-83.pdf#page=3","Abrir facsímil")</f>
        <v>Abrir facsímil</v>
      </c>
      <c r="K5363" s="3" t="s">
        <v>23</v>
      </c>
    </row>
    <row r="5364" spans="1:11" ht="42" customHeight="1">
      <c r="A5364" s="2" t="s">
        <v>10720</v>
      </c>
      <c r="B5364" s="2" t="s">
        <v>10720</v>
      </c>
      <c r="C5364" s="2" t="s">
        <v>17</v>
      </c>
      <c r="D5364" s="2" t="s">
        <v>18</v>
      </c>
      <c r="E5364" s="5">
        <v>-28769</v>
      </c>
      <c r="F5364" s="3" t="s">
        <v>489</v>
      </c>
      <c r="G5364" s="3" t="s">
        <v>6991</v>
      </c>
      <c r="H5364" s="2" t="s">
        <v>21</v>
      </c>
      <c r="I5364" s="2" t="s">
        <v>10741</v>
      </c>
      <c r="J5364" s="3" t="str">
        <f>HYPERLINK("https://www.boe.es/gazeta/dias/1821/03/25/pdfs/GMD-1821-85.pdf#page=2","Abrir facsímil")</f>
        <v>Abrir facsímil</v>
      </c>
      <c r="K5364" s="3" t="s">
        <v>23</v>
      </c>
    </row>
    <row r="5365" spans="1:11" ht="42" customHeight="1">
      <c r="A5365" s="2" t="s">
        <v>10720</v>
      </c>
      <c r="B5365" s="2" t="s">
        <v>10720</v>
      </c>
      <c r="C5365" s="2" t="s">
        <v>35</v>
      </c>
      <c r="D5365" s="2" t="s">
        <v>27</v>
      </c>
      <c r="E5365" s="5">
        <v>-28767</v>
      </c>
      <c r="F5365" s="3" t="s">
        <v>1439</v>
      </c>
      <c r="G5365" s="3" t="s">
        <v>1440</v>
      </c>
      <c r="H5365" s="2" t="s">
        <v>21</v>
      </c>
      <c r="I5365" s="2" t="s">
        <v>10742</v>
      </c>
      <c r="J5365" s="3" t="str">
        <f>HYPERLINK("https://www.boe.es/gazeta/dias/1821/03/27/pdfs/GMD-1821-87.pdf#page=3","Abrir facsímil")</f>
        <v>Abrir facsímil</v>
      </c>
      <c r="K5365" s="3" t="s">
        <v>23</v>
      </c>
    </row>
    <row r="5366" spans="1:11" ht="42" customHeight="1">
      <c r="A5366" s="2" t="s">
        <v>10720</v>
      </c>
      <c r="B5366" s="2" t="s">
        <v>10720</v>
      </c>
      <c r="C5366" s="2" t="s">
        <v>17</v>
      </c>
      <c r="D5366" s="2" t="s">
        <v>18</v>
      </c>
      <c r="E5366" s="5">
        <v>-28756</v>
      </c>
      <c r="F5366" s="3" t="s">
        <v>3145</v>
      </c>
      <c r="G5366" s="3" t="s">
        <v>7553</v>
      </c>
      <c r="H5366" s="2" t="s">
        <v>21</v>
      </c>
      <c r="I5366" s="2" t="s">
        <v>10743</v>
      </c>
      <c r="J5366" s="3" t="str">
        <f>HYPERLINK("https://www.boe.es/gazeta/dias/1821/04/07/pdfs/GMD-1821-99.pdf#page=4","Abrir facsímil")</f>
        <v>Abrir facsímil</v>
      </c>
      <c r="K5366" s="3" t="s">
        <v>23</v>
      </c>
    </row>
    <row r="5367" spans="1:11" ht="42" customHeight="1">
      <c r="A5367" s="2" t="s">
        <v>10720</v>
      </c>
      <c r="B5367" s="2" t="s">
        <v>10720</v>
      </c>
      <c r="C5367" s="2" t="s">
        <v>17</v>
      </c>
      <c r="D5367" s="2" t="s">
        <v>18</v>
      </c>
      <c r="E5367" s="5">
        <v>-28756</v>
      </c>
      <c r="F5367" s="3" t="s">
        <v>3145</v>
      </c>
      <c r="G5367" s="3" t="s">
        <v>20</v>
      </c>
      <c r="H5367" s="2" t="s">
        <v>21</v>
      </c>
      <c r="I5367" s="2" t="s">
        <v>10744</v>
      </c>
      <c r="J5367" s="3" t="str">
        <f>HYPERLINK("https://www.boe.es/gazeta/dias/1821/04/07/pdfs/GMD-1821-99.pdf#page=3","Abrir facsímil")</f>
        <v>Abrir facsímil</v>
      </c>
      <c r="K5367" s="3" t="s">
        <v>23</v>
      </c>
    </row>
    <row r="5368" spans="1:11" ht="42" customHeight="1">
      <c r="A5368" s="2" t="s">
        <v>10720</v>
      </c>
      <c r="B5368" s="2" t="s">
        <v>10720</v>
      </c>
      <c r="C5368" s="2" t="s">
        <v>26</v>
      </c>
      <c r="D5368" s="2" t="s">
        <v>27</v>
      </c>
      <c r="E5368" s="5">
        <v>-28755</v>
      </c>
      <c r="F5368" s="3" t="s">
        <v>906</v>
      </c>
      <c r="G5368" s="3" t="s">
        <v>52</v>
      </c>
      <c r="H5368" s="2" t="s">
        <v>21</v>
      </c>
      <c r="I5368" s="2" t="s">
        <v>10745</v>
      </c>
      <c r="J5368" s="3" t="str">
        <f>HYPERLINK("https://www.boe.es/gazeta/dias/1821/04/08/pdfs/GMD-1821-100.pdf#page=2","Abrir facsímil")</f>
        <v>Abrir facsímil</v>
      </c>
      <c r="K5368" s="3" t="s">
        <v>23</v>
      </c>
    </row>
    <row r="5369" spans="1:11" ht="42" customHeight="1">
      <c r="A5369" s="2" t="s">
        <v>10720</v>
      </c>
      <c r="B5369" s="2" t="s">
        <v>10720</v>
      </c>
      <c r="C5369" s="2" t="s">
        <v>26</v>
      </c>
      <c r="D5369" s="2" t="s">
        <v>27</v>
      </c>
      <c r="E5369" s="5">
        <v>-28752</v>
      </c>
      <c r="F5369" s="3" t="s">
        <v>1012</v>
      </c>
      <c r="G5369" s="3" t="s">
        <v>52</v>
      </c>
      <c r="H5369" s="2" t="s">
        <v>21</v>
      </c>
      <c r="I5369" s="2" t="s">
        <v>10746</v>
      </c>
      <c r="J5369" s="3" t="str">
        <f>HYPERLINK("https://www.boe.es/gazeta/dias/1821/04/11/pdfs/GMD-1821-103.pdf#page=2","Abrir facsímil")</f>
        <v>Abrir facsímil</v>
      </c>
      <c r="K5369" s="3" t="s">
        <v>23</v>
      </c>
    </row>
    <row r="5370" spans="1:11" ht="42" customHeight="1">
      <c r="A5370" s="2" t="s">
        <v>10720</v>
      </c>
      <c r="B5370" s="2" t="s">
        <v>10720</v>
      </c>
      <c r="C5370" s="2" t="s">
        <v>70</v>
      </c>
      <c r="D5370" s="2" t="s">
        <v>27</v>
      </c>
      <c r="E5370" s="5">
        <v>-28751</v>
      </c>
      <c r="F5370" s="3" t="s">
        <v>356</v>
      </c>
      <c r="G5370" s="3" t="s">
        <v>43</v>
      </c>
      <c r="H5370" s="2" t="s">
        <v>21</v>
      </c>
      <c r="I5370" s="2" t="s">
        <v>10747</v>
      </c>
      <c r="J5370" s="3" t="str">
        <f>HYPERLINK("https://www.boe.es/gazeta/dias/1821/04/12/pdfs/GMD-1821-104.pdf#page=1","Abrir facsímil")</f>
        <v>Abrir facsímil</v>
      </c>
      <c r="K5370" s="3" t="s">
        <v>23</v>
      </c>
    </row>
    <row r="5371" spans="1:11" ht="42" customHeight="1">
      <c r="A5371" s="2" t="s">
        <v>10720</v>
      </c>
      <c r="B5371" s="2" t="s">
        <v>10720</v>
      </c>
      <c r="C5371" s="2" t="s">
        <v>40</v>
      </c>
      <c r="D5371" s="2" t="s">
        <v>41</v>
      </c>
      <c r="E5371" s="5">
        <v>-28750</v>
      </c>
      <c r="F5371" s="3" t="s">
        <v>917</v>
      </c>
      <c r="G5371" s="3" t="s">
        <v>52</v>
      </c>
      <c r="H5371" s="2" t="s">
        <v>21</v>
      </c>
      <c r="I5371" s="2" t="s">
        <v>10748</v>
      </c>
      <c r="J5371" s="3" t="str">
        <f>HYPERLINK("https://www.boe.es/gazeta/dias/1821/04/13/pdfs/GMD-1821-105.pdf#page=2","Abrir facsímil")</f>
        <v>Abrir facsímil</v>
      </c>
      <c r="K5371" s="3" t="s">
        <v>23</v>
      </c>
    </row>
    <row r="5372" spans="1:11" ht="42" customHeight="1">
      <c r="A5372" s="2" t="s">
        <v>10720</v>
      </c>
      <c r="B5372" s="2" t="s">
        <v>10720</v>
      </c>
      <c r="C5372" s="2" t="s">
        <v>35</v>
      </c>
      <c r="D5372" s="2" t="s">
        <v>27</v>
      </c>
      <c r="E5372" s="5">
        <v>-28749</v>
      </c>
      <c r="F5372" s="3" t="s">
        <v>832</v>
      </c>
      <c r="G5372" s="3" t="s">
        <v>20</v>
      </c>
      <c r="H5372" s="2" t="s">
        <v>21</v>
      </c>
      <c r="I5372" s="2" t="s">
        <v>10749</v>
      </c>
      <c r="J5372" s="3" t="str">
        <f>HYPERLINK("https://www.boe.es/gazeta/dias/1821/04/14/pdfs/GMD-1821-106.pdf#page=3","Abrir facsímil")</f>
        <v>Abrir facsímil</v>
      </c>
      <c r="K5372" s="3" t="s">
        <v>23</v>
      </c>
    </row>
    <row r="5373" spans="1:11" ht="42" customHeight="1">
      <c r="A5373" s="2" t="s">
        <v>10720</v>
      </c>
      <c r="B5373" s="2" t="s">
        <v>10720</v>
      </c>
      <c r="C5373" s="2" t="s">
        <v>40</v>
      </c>
      <c r="D5373" s="2" t="s">
        <v>41</v>
      </c>
      <c r="E5373" s="5">
        <v>-28747</v>
      </c>
      <c r="F5373" s="3" t="s">
        <v>1016</v>
      </c>
      <c r="G5373" s="3" t="s">
        <v>88</v>
      </c>
      <c r="H5373" s="2" t="s">
        <v>21</v>
      </c>
      <c r="I5373" s="2" t="s">
        <v>10750</v>
      </c>
      <c r="J5373" s="3" t="str">
        <f>HYPERLINK("https://www.boe.es/gazeta/dias/1821/04/16/pdfs/GMD-1821-108.pdf#page=4","Abrir facsímil")</f>
        <v>Abrir facsímil</v>
      </c>
      <c r="K5373" s="3" t="s">
        <v>23</v>
      </c>
    </row>
    <row r="5374" spans="1:11" ht="42" customHeight="1">
      <c r="A5374" s="2" t="s">
        <v>10720</v>
      </c>
      <c r="B5374" s="2" t="s">
        <v>10720</v>
      </c>
      <c r="C5374" s="2" t="s">
        <v>40</v>
      </c>
      <c r="D5374" s="2" t="s">
        <v>41</v>
      </c>
      <c r="E5374" s="5">
        <v>-28743</v>
      </c>
      <c r="F5374" s="3" t="s">
        <v>51</v>
      </c>
      <c r="G5374" s="3" t="s">
        <v>88</v>
      </c>
      <c r="H5374" s="2" t="s">
        <v>21</v>
      </c>
      <c r="I5374" s="2" t="s">
        <v>10751</v>
      </c>
      <c r="J5374" s="3" t="str">
        <f>HYPERLINK("https://www.boe.es/gazeta/dias/1821/04/20/pdfs/GMD-1821-112.pdf#page=4","Abrir facsímil")</f>
        <v>Abrir facsímil</v>
      </c>
      <c r="K5374" s="3" t="s">
        <v>23</v>
      </c>
    </row>
    <row r="5375" spans="1:11" ht="42" customHeight="1">
      <c r="A5375" s="2" t="s">
        <v>10720</v>
      </c>
      <c r="B5375" s="2" t="s">
        <v>10720</v>
      </c>
      <c r="C5375" s="2" t="s">
        <v>26</v>
      </c>
      <c r="D5375" s="2" t="s">
        <v>27</v>
      </c>
      <c r="E5375" s="5">
        <v>-28738</v>
      </c>
      <c r="F5375" s="3" t="s">
        <v>359</v>
      </c>
      <c r="G5375" s="3" t="s">
        <v>88</v>
      </c>
      <c r="H5375" s="2" t="s">
        <v>21</v>
      </c>
      <c r="I5375" s="2" t="s">
        <v>10752</v>
      </c>
      <c r="J5375" s="3" t="str">
        <f>HYPERLINK("https://www.boe.es/gazeta/dias/1821/04/25/pdfs/GMD-1821-117.pdf#page=4","Abrir facsímil")</f>
        <v>Abrir facsímil</v>
      </c>
      <c r="K5375" s="3" t="s">
        <v>23</v>
      </c>
    </row>
    <row r="5376" spans="1:11" ht="42" customHeight="1">
      <c r="A5376" s="2" t="s">
        <v>10720</v>
      </c>
      <c r="B5376" s="2" t="s">
        <v>10720</v>
      </c>
      <c r="C5376" s="2" t="s">
        <v>40</v>
      </c>
      <c r="D5376" s="2" t="s">
        <v>41</v>
      </c>
      <c r="E5376" s="5">
        <v>-28737</v>
      </c>
      <c r="F5376" s="3" t="s">
        <v>732</v>
      </c>
      <c r="G5376" s="3" t="s">
        <v>20</v>
      </c>
      <c r="H5376" s="2" t="s">
        <v>21</v>
      </c>
      <c r="I5376" s="2" t="s">
        <v>10753</v>
      </c>
      <c r="J5376" s="3" t="str">
        <f>HYPERLINK("https://www.boe.es/gazeta/dias/1821/04/26/pdfs/GMD-1821-118.pdf#page=3","Abrir facsímil")</f>
        <v>Abrir facsímil</v>
      </c>
      <c r="K5376" s="3" t="s">
        <v>23</v>
      </c>
    </row>
    <row r="5377" spans="1:11" ht="42" customHeight="1">
      <c r="A5377" s="2" t="s">
        <v>10720</v>
      </c>
      <c r="B5377" s="2" t="s">
        <v>10720</v>
      </c>
      <c r="C5377" s="2" t="s">
        <v>35</v>
      </c>
      <c r="D5377" s="2" t="s">
        <v>27</v>
      </c>
      <c r="E5377" s="5">
        <v>-28735</v>
      </c>
      <c r="F5377" s="3" t="s">
        <v>836</v>
      </c>
      <c r="G5377" s="3" t="s">
        <v>52</v>
      </c>
      <c r="H5377" s="2" t="s">
        <v>21</v>
      </c>
      <c r="I5377" s="2" t="s">
        <v>10754</v>
      </c>
      <c r="J5377" s="3" t="str">
        <f>HYPERLINK("https://www.boe.es/gazeta/dias/1821/04/28/pdfs/GMD-1821-120.pdf#page=2","Abrir facsímil")</f>
        <v>Abrir facsímil</v>
      </c>
      <c r="K5377" s="3" t="s">
        <v>23</v>
      </c>
    </row>
    <row r="5378" spans="1:11" ht="42" customHeight="1">
      <c r="A5378" s="2" t="s">
        <v>10720</v>
      </c>
      <c r="B5378" s="2" t="s">
        <v>10720</v>
      </c>
      <c r="C5378" s="2" t="s">
        <v>17</v>
      </c>
      <c r="D5378" s="2" t="s">
        <v>18</v>
      </c>
      <c r="E5378" s="5">
        <v>-28733</v>
      </c>
      <c r="F5378" s="3" t="s">
        <v>1033</v>
      </c>
      <c r="G5378" s="3" t="s">
        <v>52</v>
      </c>
      <c r="H5378" s="2" t="s">
        <v>21</v>
      </c>
      <c r="I5378" s="2" t="s">
        <v>10755</v>
      </c>
      <c r="J5378" s="3" t="str">
        <f>HYPERLINK("https://www.boe.es/gazeta/dias/1821/04/30/pdfs/GMD-1821-122.pdf#page=2","Abrir facsímil")</f>
        <v>Abrir facsímil</v>
      </c>
      <c r="K5378" s="3" t="s">
        <v>23</v>
      </c>
    </row>
    <row r="5379" spans="1:11" ht="42" customHeight="1">
      <c r="A5379" s="2" t="s">
        <v>10720</v>
      </c>
      <c r="B5379" s="2" t="s">
        <v>10720</v>
      </c>
      <c r="C5379" s="2" t="s">
        <v>17</v>
      </c>
      <c r="D5379" s="2" t="s">
        <v>18</v>
      </c>
      <c r="E5379" s="5">
        <v>-28731</v>
      </c>
      <c r="F5379" s="3" t="s">
        <v>577</v>
      </c>
      <c r="G5379" s="3" t="s">
        <v>20</v>
      </c>
      <c r="H5379" s="2" t="s">
        <v>21</v>
      </c>
      <c r="I5379" s="2" t="s">
        <v>10756</v>
      </c>
      <c r="J5379" s="3" t="str">
        <f>HYPERLINK("https://www.boe.es/gazeta/dias/1821/05/02/pdfs/GMD-1821-124.pdf#page=3","Abrir facsímil")</f>
        <v>Abrir facsímil</v>
      </c>
      <c r="K5379" s="3" t="s">
        <v>23</v>
      </c>
    </row>
    <row r="5380" spans="1:11" ht="42" customHeight="1">
      <c r="A5380" s="2" t="s">
        <v>10720</v>
      </c>
      <c r="B5380" s="2" t="s">
        <v>10720</v>
      </c>
      <c r="C5380" s="2" t="s">
        <v>26</v>
      </c>
      <c r="D5380" s="2" t="s">
        <v>27</v>
      </c>
      <c r="E5380" s="5">
        <v>-28727</v>
      </c>
      <c r="F5380" s="3" t="s">
        <v>200</v>
      </c>
      <c r="G5380" s="3" t="s">
        <v>43</v>
      </c>
      <c r="H5380" s="2" t="s">
        <v>21</v>
      </c>
      <c r="I5380" s="2" t="s">
        <v>10757</v>
      </c>
      <c r="J5380" s="3" t="str">
        <f>HYPERLINK("https://www.boe.es/gazeta/dias/1821/05/06/pdfs/GMD-1821-128.pdf#page=1","Abrir facsímil")</f>
        <v>Abrir facsímil</v>
      </c>
      <c r="K5380" s="3" t="s">
        <v>23</v>
      </c>
    </row>
    <row r="5381" spans="1:11" ht="42" customHeight="1">
      <c r="A5381" s="2" t="s">
        <v>10720</v>
      </c>
      <c r="B5381" s="2" t="s">
        <v>10720</v>
      </c>
      <c r="C5381" s="2" t="s">
        <v>40</v>
      </c>
      <c r="D5381" s="2" t="s">
        <v>41</v>
      </c>
      <c r="E5381" s="5">
        <v>-28725</v>
      </c>
      <c r="F5381" s="3" t="s">
        <v>440</v>
      </c>
      <c r="G5381" s="3" t="s">
        <v>88</v>
      </c>
      <c r="H5381" s="2" t="s">
        <v>21</v>
      </c>
      <c r="I5381" s="2" t="s">
        <v>10758</v>
      </c>
      <c r="J5381" s="3" t="str">
        <f>HYPERLINK("https://www.boe.es/gazeta/dias/1821/05/08/pdfs/GMD-1821-130.pdf#page=4","Abrir facsímil")</f>
        <v>Abrir facsímil</v>
      </c>
      <c r="K5381" s="3" t="s">
        <v>23</v>
      </c>
    </row>
    <row r="5382" spans="1:11" ht="42" customHeight="1">
      <c r="A5382" s="2" t="s">
        <v>10720</v>
      </c>
      <c r="B5382" s="2" t="s">
        <v>10720</v>
      </c>
      <c r="C5382" s="2" t="s">
        <v>40</v>
      </c>
      <c r="D5382" s="2" t="s">
        <v>41</v>
      </c>
      <c r="E5382" s="5">
        <v>-28723</v>
      </c>
      <c r="F5382" s="3" t="s">
        <v>840</v>
      </c>
      <c r="G5382" s="3" t="s">
        <v>43</v>
      </c>
      <c r="H5382" s="2" t="s">
        <v>21</v>
      </c>
      <c r="I5382" s="2" t="s">
        <v>10759</v>
      </c>
      <c r="J5382" s="3" t="str">
        <f>HYPERLINK("https://www.boe.es/gazeta/dias/1821/05/10/pdfs/GMD-1821-132.pdf#page=1","Abrir facsímil")</f>
        <v>Abrir facsímil</v>
      </c>
      <c r="K5382" s="3" t="s">
        <v>23</v>
      </c>
    </row>
    <row r="5383" spans="1:11" ht="42" customHeight="1">
      <c r="A5383" s="2" t="s">
        <v>10720</v>
      </c>
      <c r="B5383" s="2" t="s">
        <v>10720</v>
      </c>
      <c r="C5383" s="2" t="s">
        <v>40</v>
      </c>
      <c r="D5383" s="2" t="s">
        <v>41</v>
      </c>
      <c r="E5383" s="5">
        <v>-28718</v>
      </c>
      <c r="F5383" s="3" t="s">
        <v>583</v>
      </c>
      <c r="G5383" s="3" t="s">
        <v>52</v>
      </c>
      <c r="H5383" s="2" t="s">
        <v>21</v>
      </c>
      <c r="I5383" s="2" t="s">
        <v>10760</v>
      </c>
      <c r="J5383" s="3" t="str">
        <f>HYPERLINK("https://www.boe.es/gazeta/dias/1821/05/15/pdfs/GMD-1821-137.pdf#page=2","Abrir facsímil")</f>
        <v>Abrir facsímil</v>
      </c>
      <c r="K5383" s="3" t="s">
        <v>23</v>
      </c>
    </row>
    <row r="5384" spans="1:11" ht="42" customHeight="1">
      <c r="A5384" s="2" t="s">
        <v>10720</v>
      </c>
      <c r="B5384" s="2" t="s">
        <v>10720</v>
      </c>
      <c r="C5384" s="2" t="s">
        <v>40</v>
      </c>
      <c r="D5384" s="2" t="s">
        <v>41</v>
      </c>
      <c r="E5384" s="5">
        <v>-28717</v>
      </c>
      <c r="F5384" s="3" t="s">
        <v>1044</v>
      </c>
      <c r="G5384" s="3" t="s">
        <v>52</v>
      </c>
      <c r="H5384" s="2" t="s">
        <v>21</v>
      </c>
      <c r="I5384" s="2" t="s">
        <v>10761</v>
      </c>
      <c r="J5384" s="3" t="str">
        <f>HYPERLINK("https://www.boe.es/gazeta/dias/1821/05/16/pdfs/GMD-1821-138.pdf#page=2","Abrir facsímil")</f>
        <v>Abrir facsímil</v>
      </c>
      <c r="K5384" s="3" t="s">
        <v>23</v>
      </c>
    </row>
    <row r="5385" spans="1:11" ht="42" customHeight="1">
      <c r="A5385" s="2" t="s">
        <v>10720</v>
      </c>
      <c r="B5385" s="2" t="s">
        <v>10720</v>
      </c>
      <c r="C5385" s="2" t="s">
        <v>35</v>
      </c>
      <c r="D5385" s="2" t="s">
        <v>27</v>
      </c>
      <c r="E5385" s="5">
        <v>-28714</v>
      </c>
      <c r="F5385" s="3" t="s">
        <v>522</v>
      </c>
      <c r="G5385" s="3" t="s">
        <v>52</v>
      </c>
      <c r="H5385" s="2" t="s">
        <v>21</v>
      </c>
      <c r="I5385" s="2" t="s">
        <v>10762</v>
      </c>
      <c r="J5385" s="3" t="str">
        <f>HYPERLINK("https://www.boe.es/gazeta/dias/1821/05/19/pdfs/GMD-1821-141.pdf#page=2","Abrir facsímil")</f>
        <v>Abrir facsímil</v>
      </c>
      <c r="K5385" s="3" t="s">
        <v>23</v>
      </c>
    </row>
    <row r="5386" spans="1:11" ht="42" customHeight="1">
      <c r="A5386" s="2" t="s">
        <v>10720</v>
      </c>
      <c r="B5386" s="2" t="s">
        <v>10720</v>
      </c>
      <c r="C5386" s="2" t="s">
        <v>17</v>
      </c>
      <c r="D5386" s="2" t="s">
        <v>18</v>
      </c>
      <c r="E5386" s="5">
        <v>-28711</v>
      </c>
      <c r="F5386" s="3" t="s">
        <v>1048</v>
      </c>
      <c r="G5386" s="3" t="s">
        <v>88</v>
      </c>
      <c r="H5386" s="2" t="s">
        <v>21</v>
      </c>
      <c r="I5386" s="2" t="s">
        <v>10763</v>
      </c>
      <c r="J5386" s="3" t="str">
        <f>HYPERLINK("https://www.boe.es/gazeta/dias/1821/05/22/pdfs/GMD-1821-144.pdf#page=4","Abrir facsímil")</f>
        <v>Abrir facsímil</v>
      </c>
      <c r="K5386" s="3" t="s">
        <v>23</v>
      </c>
    </row>
    <row r="5387" spans="1:11" ht="42" customHeight="1">
      <c r="A5387" s="2" t="s">
        <v>10720</v>
      </c>
      <c r="B5387" s="2" t="s">
        <v>10720</v>
      </c>
      <c r="C5387" s="2" t="s">
        <v>17</v>
      </c>
      <c r="D5387" s="2" t="s">
        <v>18</v>
      </c>
      <c r="E5387" s="5">
        <v>-28709</v>
      </c>
      <c r="F5387" s="3" t="s">
        <v>1434</v>
      </c>
      <c r="G5387" s="3" t="s">
        <v>88</v>
      </c>
      <c r="H5387" s="2" t="s">
        <v>21</v>
      </c>
      <c r="I5387" s="2" t="s">
        <v>10764</v>
      </c>
      <c r="J5387" s="3" t="str">
        <f>HYPERLINK("https://www.boe.es/gazeta/dias/1821/05/24/pdfs/GMD-1821-146.pdf#page=4","Abrir facsímil")</f>
        <v>Abrir facsímil</v>
      </c>
      <c r="K5387" s="3" t="s">
        <v>23</v>
      </c>
    </row>
    <row r="5388" spans="1:11" ht="42" customHeight="1">
      <c r="A5388" s="2" t="s">
        <v>10720</v>
      </c>
      <c r="B5388" s="2" t="s">
        <v>10720</v>
      </c>
      <c r="C5388" s="2" t="s">
        <v>17</v>
      </c>
      <c r="D5388" s="2" t="s">
        <v>18</v>
      </c>
      <c r="E5388" s="5">
        <v>-28707</v>
      </c>
      <c r="F5388" s="3" t="s">
        <v>495</v>
      </c>
      <c r="G5388" s="3" t="s">
        <v>52</v>
      </c>
      <c r="H5388" s="2" t="s">
        <v>21</v>
      </c>
      <c r="I5388" s="2" t="s">
        <v>10765</v>
      </c>
      <c r="J5388" s="3" t="str">
        <f>HYPERLINK("https://www.boe.es/gazeta/dias/1821/05/26/pdfs/GMD-1821-148.pdf#page=2","Abrir facsímil")</f>
        <v>Abrir facsímil</v>
      </c>
      <c r="K5388" s="3" t="s">
        <v>23</v>
      </c>
    </row>
    <row r="5389" spans="1:11" ht="42" customHeight="1">
      <c r="A5389" s="2" t="s">
        <v>10720</v>
      </c>
      <c r="B5389" s="2" t="s">
        <v>10720</v>
      </c>
      <c r="C5389" s="2" t="s">
        <v>17</v>
      </c>
      <c r="D5389" s="2" t="s">
        <v>18</v>
      </c>
      <c r="E5389" s="5">
        <v>-28705</v>
      </c>
      <c r="F5389" s="3" t="s">
        <v>1844</v>
      </c>
      <c r="G5389" s="3" t="s">
        <v>333</v>
      </c>
      <c r="H5389" s="2" t="s">
        <v>21</v>
      </c>
      <c r="I5389" s="2" t="s">
        <v>10766</v>
      </c>
      <c r="J5389" s="3" t="str">
        <f>HYPERLINK("https://www.boe.es/gazeta/dias/1821/05/28/pdfs/GMD-1821-150.pdf#page=8","Abrir facsímil")</f>
        <v>Abrir facsímil</v>
      </c>
      <c r="K5389" s="3" t="s">
        <v>23</v>
      </c>
    </row>
    <row r="5390" spans="1:11" ht="42" customHeight="1">
      <c r="A5390" s="2" t="s">
        <v>10720</v>
      </c>
      <c r="B5390" s="2" t="s">
        <v>10720</v>
      </c>
      <c r="C5390" s="2" t="s">
        <v>17</v>
      </c>
      <c r="D5390" s="2" t="s">
        <v>18</v>
      </c>
      <c r="E5390" s="5">
        <v>-28698</v>
      </c>
      <c r="F5390" s="3" t="s">
        <v>2067</v>
      </c>
      <c r="G5390" s="3" t="s">
        <v>88</v>
      </c>
      <c r="H5390" s="2" t="s">
        <v>21</v>
      </c>
      <c r="I5390" s="2" t="s">
        <v>10767</v>
      </c>
      <c r="J5390" s="3" t="str">
        <f>HYPERLINK("https://www.boe.es/gazeta/dias/1821/06/04/pdfs/GMD-1821-157.pdf#page=4","Abrir facsímil")</f>
        <v>Abrir facsímil</v>
      </c>
      <c r="K5390" s="3" t="s">
        <v>23</v>
      </c>
    </row>
    <row r="5391" spans="1:11" ht="42" customHeight="1">
      <c r="A5391" s="2" t="s">
        <v>10720</v>
      </c>
      <c r="B5391" s="2" t="s">
        <v>10720</v>
      </c>
      <c r="C5391" s="2" t="s">
        <v>40</v>
      </c>
      <c r="D5391" s="2" t="s">
        <v>41</v>
      </c>
      <c r="E5391" s="5">
        <v>-28696</v>
      </c>
      <c r="F5391" s="3" t="s">
        <v>497</v>
      </c>
      <c r="G5391" s="3" t="s">
        <v>88</v>
      </c>
      <c r="H5391" s="2" t="s">
        <v>21</v>
      </c>
      <c r="I5391" s="2" t="s">
        <v>10768</v>
      </c>
      <c r="J5391" s="3" t="str">
        <f>HYPERLINK("https://www.boe.es/gazeta/dias/1821/06/06/pdfs/GMD-1821-159.pdf#page=4","Abrir facsímil")</f>
        <v>Abrir facsímil</v>
      </c>
      <c r="K5391" s="3" t="s">
        <v>23</v>
      </c>
    </row>
    <row r="5392" spans="1:11" ht="42" customHeight="1">
      <c r="A5392" s="2" t="s">
        <v>10720</v>
      </c>
      <c r="B5392" s="2" t="s">
        <v>10720</v>
      </c>
      <c r="C5392" s="2" t="s">
        <v>17</v>
      </c>
      <c r="D5392" s="2" t="s">
        <v>18</v>
      </c>
      <c r="E5392" s="5">
        <v>-28690</v>
      </c>
      <c r="F5392" s="3" t="s">
        <v>846</v>
      </c>
      <c r="G5392" s="3" t="s">
        <v>847</v>
      </c>
      <c r="H5392" s="2" t="s">
        <v>21</v>
      </c>
      <c r="I5392" s="2" t="s">
        <v>10769</v>
      </c>
      <c r="J5392" s="3" t="str">
        <f>HYPERLINK("https://www.boe.es/gazeta/dias/1821/06/12/pdfs/GMD-1821-165.pdf#page=2","Abrir facsímil")</f>
        <v>Abrir facsímil</v>
      </c>
      <c r="K5392" s="3" t="s">
        <v>23</v>
      </c>
    </row>
    <row r="5393" spans="1:11" ht="42" customHeight="1">
      <c r="A5393" s="2" t="s">
        <v>10720</v>
      </c>
      <c r="B5393" s="2" t="s">
        <v>10720</v>
      </c>
      <c r="C5393" s="2" t="s">
        <v>26</v>
      </c>
      <c r="D5393" s="2" t="s">
        <v>27</v>
      </c>
      <c r="E5393" s="5">
        <v>-28688</v>
      </c>
      <c r="F5393" s="3" t="s">
        <v>1504</v>
      </c>
      <c r="G5393" s="3" t="s">
        <v>52</v>
      </c>
      <c r="H5393" s="2" t="s">
        <v>21</v>
      </c>
      <c r="I5393" s="2" t="s">
        <v>10770</v>
      </c>
      <c r="J5393" s="3" t="str">
        <f>HYPERLINK("https://www.boe.es/gazeta/dias/1821/06/14/pdfs/GMD-1821-167.pdf#page=2","Abrir facsímil")</f>
        <v>Abrir facsímil</v>
      </c>
      <c r="K5393" s="3" t="s">
        <v>23</v>
      </c>
    </row>
    <row r="5394" spans="1:11" ht="42" customHeight="1">
      <c r="A5394" s="2" t="s">
        <v>10720</v>
      </c>
      <c r="B5394" s="2" t="s">
        <v>10720</v>
      </c>
      <c r="C5394" s="2" t="s">
        <v>17</v>
      </c>
      <c r="D5394" s="2" t="s">
        <v>18</v>
      </c>
      <c r="E5394" s="5">
        <v>-28684</v>
      </c>
      <c r="F5394" s="3" t="s">
        <v>208</v>
      </c>
      <c r="G5394" s="3" t="s">
        <v>20</v>
      </c>
      <c r="H5394" s="2" t="s">
        <v>21</v>
      </c>
      <c r="I5394" s="2" t="s">
        <v>10771</v>
      </c>
      <c r="J5394" s="3" t="str">
        <f>HYPERLINK("https://www.boe.es/gazeta/dias/1821/06/18/pdfs/GMD-1821-171.pdf#page=3","Abrir facsímil")</f>
        <v>Abrir facsímil</v>
      </c>
      <c r="K5394" s="3" t="s">
        <v>23</v>
      </c>
    </row>
    <row r="5395" spans="1:11" ht="42" customHeight="1">
      <c r="A5395" s="2" t="s">
        <v>10720</v>
      </c>
      <c r="B5395" s="2" t="s">
        <v>10720</v>
      </c>
      <c r="C5395" s="2" t="s">
        <v>174</v>
      </c>
      <c r="D5395" s="2" t="s">
        <v>27</v>
      </c>
      <c r="E5395" s="5">
        <v>-28683</v>
      </c>
      <c r="F5395" s="3" t="s">
        <v>332</v>
      </c>
      <c r="G5395" s="3" t="s">
        <v>333</v>
      </c>
      <c r="H5395" s="2" t="s">
        <v>21</v>
      </c>
      <c r="I5395" s="2" t="s">
        <v>10772</v>
      </c>
      <c r="J5395" s="3" t="str">
        <f>HYPERLINK("https://www.boe.es/gazeta/dias/1821/06/19/pdfs/GMD-1821-172.pdf#page=8","Abrir facsímil")</f>
        <v>Abrir facsímil</v>
      </c>
      <c r="K5395" s="3" t="s">
        <v>23</v>
      </c>
    </row>
    <row r="5396" spans="1:11" ht="42" customHeight="1">
      <c r="A5396" s="2" t="s">
        <v>10720</v>
      </c>
      <c r="B5396" s="2" t="s">
        <v>10720</v>
      </c>
      <c r="C5396" s="2" t="s">
        <v>114</v>
      </c>
      <c r="D5396" s="2" t="s">
        <v>27</v>
      </c>
      <c r="E5396" s="5">
        <v>-28678</v>
      </c>
      <c r="F5396" s="3" t="s">
        <v>215</v>
      </c>
      <c r="G5396" s="3" t="s">
        <v>52</v>
      </c>
      <c r="H5396" s="2" t="s">
        <v>21</v>
      </c>
      <c r="I5396" s="2" t="s">
        <v>10773</v>
      </c>
      <c r="J5396" s="3" t="str">
        <f>HYPERLINK("https://www.boe.es/gazeta/dias/1821/06/24/pdfs/GMD-1821-177.pdf#page=2","Abrir facsímil")</f>
        <v>Abrir facsímil</v>
      </c>
      <c r="K5396" s="3" t="s">
        <v>23</v>
      </c>
    </row>
    <row r="5397" spans="1:11" ht="42" customHeight="1">
      <c r="A5397" s="2" t="s">
        <v>10720</v>
      </c>
      <c r="B5397" s="2" t="s">
        <v>10720</v>
      </c>
      <c r="C5397" s="2" t="s">
        <v>114</v>
      </c>
      <c r="D5397" s="2" t="s">
        <v>27</v>
      </c>
      <c r="E5397" s="5">
        <v>-28667</v>
      </c>
      <c r="F5397" s="3" t="s">
        <v>107</v>
      </c>
      <c r="G5397" s="3" t="s">
        <v>52</v>
      </c>
      <c r="H5397" s="2" t="s">
        <v>21</v>
      </c>
      <c r="I5397" s="2" t="s">
        <v>10774</v>
      </c>
      <c r="J5397" s="3" t="str">
        <f>HYPERLINK("https://www.boe.es/gazeta/dias/1821/07/05/pdfs/GMD-1821-189.pdf#page=2","Abrir facsímil")</f>
        <v>Abrir facsímil</v>
      </c>
      <c r="K5397" s="3" t="s">
        <v>23</v>
      </c>
    </row>
    <row r="5398" spans="1:11" ht="42" customHeight="1">
      <c r="A5398" s="2" t="s">
        <v>10720</v>
      </c>
      <c r="B5398" s="2" t="s">
        <v>10720</v>
      </c>
      <c r="C5398" s="2" t="s">
        <v>40</v>
      </c>
      <c r="D5398" s="2" t="s">
        <v>41</v>
      </c>
      <c r="E5398" s="5">
        <v>-28663</v>
      </c>
      <c r="F5398" s="3" t="s">
        <v>3032</v>
      </c>
      <c r="G5398" s="3" t="s">
        <v>43</v>
      </c>
      <c r="H5398" s="2" t="s">
        <v>21</v>
      </c>
      <c r="I5398" s="2" t="s">
        <v>10775</v>
      </c>
      <c r="J5398" s="3" t="str">
        <f>HYPERLINK("https://www.boe.es/gazeta/dias/1821/07/09/pdfs/GMD-1821-194.pdf#page=1","Abrir facsímil")</f>
        <v>Abrir facsímil</v>
      </c>
      <c r="K5398" s="3" t="s">
        <v>23</v>
      </c>
    </row>
    <row r="5399" spans="1:11" ht="42" customHeight="1">
      <c r="A5399" s="2" t="s">
        <v>10720</v>
      </c>
      <c r="B5399" s="2" t="s">
        <v>10720</v>
      </c>
      <c r="C5399" s="2" t="s">
        <v>174</v>
      </c>
      <c r="D5399" s="2" t="s">
        <v>27</v>
      </c>
      <c r="E5399" s="5">
        <v>-28663</v>
      </c>
      <c r="F5399" s="3" t="s">
        <v>3032</v>
      </c>
      <c r="G5399" s="3" t="s">
        <v>52</v>
      </c>
      <c r="H5399" s="2" t="s">
        <v>21</v>
      </c>
      <c r="I5399" s="2" t="s">
        <v>10776</v>
      </c>
      <c r="J5399" s="3" t="str">
        <f>HYPERLINK("https://www.boe.es/gazeta/dias/1821/07/09/pdfs/GMD-1821-194.pdf#page=2","Abrir facsímil")</f>
        <v>Abrir facsímil</v>
      </c>
      <c r="K5399" s="3" t="s">
        <v>23</v>
      </c>
    </row>
    <row r="5400" spans="1:11" ht="42" customHeight="1">
      <c r="A5400" s="2" t="s">
        <v>10720</v>
      </c>
      <c r="B5400" s="2" t="s">
        <v>10720</v>
      </c>
      <c r="C5400" s="2" t="s">
        <v>26</v>
      </c>
      <c r="D5400" s="2" t="s">
        <v>27</v>
      </c>
      <c r="E5400" s="5">
        <v>-28661</v>
      </c>
      <c r="F5400" s="3" t="s">
        <v>2298</v>
      </c>
      <c r="G5400" s="3" t="s">
        <v>29</v>
      </c>
      <c r="H5400" s="2" t="s">
        <v>21</v>
      </c>
      <c r="I5400" s="2" t="s">
        <v>10777</v>
      </c>
      <c r="J5400" s="3" t="str">
        <f>HYPERLINK("https://www.boe.es/gazeta/dias/1821/07/11/pdfs/GMD-1821-196.pdf#page=6","Abrir facsímil")</f>
        <v>Abrir facsímil</v>
      </c>
      <c r="K5400" s="3" t="s">
        <v>23</v>
      </c>
    </row>
    <row r="5401" spans="1:11" ht="42" customHeight="1">
      <c r="A5401" s="2" t="s">
        <v>10720</v>
      </c>
      <c r="B5401" s="2" t="s">
        <v>10720</v>
      </c>
      <c r="C5401" s="2" t="s">
        <v>114</v>
      </c>
      <c r="D5401" s="2" t="s">
        <v>27</v>
      </c>
      <c r="E5401" s="5">
        <v>-28658</v>
      </c>
      <c r="F5401" s="3" t="s">
        <v>2528</v>
      </c>
      <c r="G5401" s="3" t="s">
        <v>20</v>
      </c>
      <c r="H5401" s="2" t="s">
        <v>21</v>
      </c>
      <c r="I5401" s="2" t="s">
        <v>10778</v>
      </c>
      <c r="J5401" s="3" t="str">
        <f>HYPERLINK("https://www.boe.es/gazeta/dias/1821/07/14/pdfs/GMD-1821-199.pdf#page=3","Abrir facsímil")</f>
        <v>Abrir facsímil</v>
      </c>
      <c r="K5401" s="3" t="s">
        <v>23</v>
      </c>
    </row>
    <row r="5402" spans="1:11" ht="42" customHeight="1">
      <c r="A5402" s="2" t="s">
        <v>10720</v>
      </c>
      <c r="B5402" s="2" t="s">
        <v>10720</v>
      </c>
      <c r="C5402" s="2" t="s">
        <v>26</v>
      </c>
      <c r="D5402" s="2" t="s">
        <v>27</v>
      </c>
      <c r="E5402" s="5">
        <v>-28656</v>
      </c>
      <c r="F5402" s="3" t="s">
        <v>2399</v>
      </c>
      <c r="G5402" s="3" t="s">
        <v>3208</v>
      </c>
      <c r="H5402" s="2" t="s">
        <v>21</v>
      </c>
      <c r="I5402" s="2" t="s">
        <v>10779</v>
      </c>
      <c r="J5402" s="3" t="str">
        <f>HYPERLINK("https://www.boe.es/gazeta/dias/1821/07/16/pdfs/GMD-1821-201.pdf#page=3","Abrir facsímil")</f>
        <v>Abrir facsímil</v>
      </c>
      <c r="K5402" s="3" t="s">
        <v>23</v>
      </c>
    </row>
    <row r="5403" spans="1:11" ht="42" customHeight="1">
      <c r="A5403" s="2" t="s">
        <v>10720</v>
      </c>
      <c r="B5403" s="2" t="s">
        <v>10720</v>
      </c>
      <c r="C5403" s="2" t="s">
        <v>17</v>
      </c>
      <c r="D5403" s="2" t="s">
        <v>18</v>
      </c>
      <c r="E5403" s="5">
        <v>-28654</v>
      </c>
      <c r="F5403" s="3" t="s">
        <v>674</v>
      </c>
      <c r="G5403" s="3" t="s">
        <v>88</v>
      </c>
      <c r="H5403" s="2" t="s">
        <v>21</v>
      </c>
      <c r="I5403" s="2" t="s">
        <v>10780</v>
      </c>
      <c r="J5403" s="3" t="str">
        <f>HYPERLINK("https://www.boe.es/gazeta/dias/1821/07/18/pdfs/GMD-1821-203.pdf#page=4","Abrir facsímil")</f>
        <v>Abrir facsímil</v>
      </c>
      <c r="K5403" s="3" t="s">
        <v>23</v>
      </c>
    </row>
    <row r="5404" spans="1:11" ht="42" customHeight="1">
      <c r="A5404" s="2" t="s">
        <v>10720</v>
      </c>
      <c r="B5404" s="2" t="s">
        <v>10720</v>
      </c>
      <c r="C5404" s="2" t="s">
        <v>26</v>
      </c>
      <c r="D5404" s="2" t="s">
        <v>27</v>
      </c>
      <c r="E5404" s="5">
        <v>-28651</v>
      </c>
      <c r="F5404" s="3" t="s">
        <v>1518</v>
      </c>
      <c r="G5404" s="3" t="s">
        <v>88</v>
      </c>
      <c r="H5404" s="2" t="s">
        <v>21</v>
      </c>
      <c r="I5404" s="2" t="s">
        <v>10781</v>
      </c>
      <c r="J5404" s="3" t="str">
        <f>HYPERLINK("https://www.boe.es/gazeta/dias/1821/07/21/pdfs/GMD-1821-206.pdf#page=4","Abrir facsímil")</f>
        <v>Abrir facsímil</v>
      </c>
      <c r="K5404" s="3" t="s">
        <v>23</v>
      </c>
    </row>
    <row r="5405" spans="1:11" ht="42" customHeight="1">
      <c r="A5405" s="2" t="s">
        <v>10720</v>
      </c>
      <c r="B5405" s="2" t="s">
        <v>10720</v>
      </c>
      <c r="C5405" s="2" t="s">
        <v>17</v>
      </c>
      <c r="D5405" s="2" t="s">
        <v>18</v>
      </c>
      <c r="E5405" s="5">
        <v>-28649</v>
      </c>
      <c r="F5405" s="3" t="s">
        <v>4688</v>
      </c>
      <c r="G5405" s="3" t="s">
        <v>52</v>
      </c>
      <c r="H5405" s="2" t="s">
        <v>21</v>
      </c>
      <c r="I5405" s="2" t="s">
        <v>10782</v>
      </c>
      <c r="J5405" s="3" t="str">
        <f>HYPERLINK("https://www.boe.es/gazeta/dias/1821/07/23/pdfs/GMD-1821-208.pdf#page=2","Abrir facsímil")</f>
        <v>Abrir facsímil</v>
      </c>
      <c r="K5405" s="3" t="s">
        <v>23</v>
      </c>
    </row>
    <row r="5406" spans="1:11" ht="42" customHeight="1">
      <c r="A5406" s="2" t="s">
        <v>10720</v>
      </c>
      <c r="B5406" s="2" t="s">
        <v>10720</v>
      </c>
      <c r="C5406" s="2" t="s">
        <v>114</v>
      </c>
      <c r="D5406" s="2" t="s">
        <v>27</v>
      </c>
      <c r="E5406" s="5">
        <v>-28644</v>
      </c>
      <c r="F5406" s="3" t="s">
        <v>1340</v>
      </c>
      <c r="G5406" s="3" t="s">
        <v>88</v>
      </c>
      <c r="H5406" s="2" t="s">
        <v>21</v>
      </c>
      <c r="I5406" s="2" t="s">
        <v>10783</v>
      </c>
      <c r="J5406" s="3" t="str">
        <f>HYPERLINK("https://www.boe.es/gazeta/dias/1821/07/28/pdfs/GMD-1821-213.pdf#page=4","Abrir facsímil")</f>
        <v>Abrir facsímil</v>
      </c>
      <c r="K5406" s="3" t="s">
        <v>23</v>
      </c>
    </row>
    <row r="5407" spans="1:11" ht="42" customHeight="1">
      <c r="A5407" s="2" t="s">
        <v>10720</v>
      </c>
      <c r="B5407" s="2" t="s">
        <v>10720</v>
      </c>
      <c r="C5407" s="2" t="s">
        <v>35</v>
      </c>
      <c r="D5407" s="2" t="s">
        <v>27</v>
      </c>
      <c r="E5407" s="5">
        <v>-28636</v>
      </c>
      <c r="F5407" s="3" t="s">
        <v>122</v>
      </c>
      <c r="G5407" s="3" t="s">
        <v>20</v>
      </c>
      <c r="H5407" s="2" t="s">
        <v>21</v>
      </c>
      <c r="I5407" s="2" t="s">
        <v>10784</v>
      </c>
      <c r="J5407" s="3" t="str">
        <f>HYPERLINK("https://www.boe.es/gazeta/dias/1821/08/05/pdfs/GMD-1821-221.pdf#page=3","Abrir facsímil")</f>
        <v>Abrir facsímil</v>
      </c>
      <c r="K5407" s="3" t="s">
        <v>23</v>
      </c>
    </row>
    <row r="5408" spans="1:11" ht="42" customHeight="1">
      <c r="A5408" s="2" t="s">
        <v>10720</v>
      </c>
      <c r="B5408" s="2" t="s">
        <v>10720</v>
      </c>
      <c r="C5408" s="2" t="s">
        <v>17</v>
      </c>
      <c r="D5408" s="2" t="s">
        <v>18</v>
      </c>
      <c r="E5408" s="5">
        <v>-28634</v>
      </c>
      <c r="F5408" s="3" t="s">
        <v>2533</v>
      </c>
      <c r="G5408" s="3" t="s">
        <v>88</v>
      </c>
      <c r="H5408" s="2" t="s">
        <v>21</v>
      </c>
      <c r="I5408" s="2" t="s">
        <v>10785</v>
      </c>
      <c r="J5408" s="3" t="str">
        <f>HYPERLINK("https://www.boe.es/gazeta/dias/1821/08/07/pdfs/GMD-1821-223.pdf#page=4","Abrir facsímil")</f>
        <v>Abrir facsímil</v>
      </c>
      <c r="K5408" s="3" t="s">
        <v>23</v>
      </c>
    </row>
    <row r="5409" spans="1:11" ht="42" customHeight="1">
      <c r="A5409" s="2" t="s">
        <v>10720</v>
      </c>
      <c r="B5409" s="2" t="s">
        <v>10720</v>
      </c>
      <c r="C5409" s="2" t="s">
        <v>174</v>
      </c>
      <c r="D5409" s="2" t="s">
        <v>27</v>
      </c>
      <c r="E5409" s="5">
        <v>-28618</v>
      </c>
      <c r="F5409" s="3" t="s">
        <v>4041</v>
      </c>
      <c r="G5409" s="3" t="s">
        <v>88</v>
      </c>
      <c r="H5409" s="2" t="s">
        <v>21</v>
      </c>
      <c r="I5409" s="2" t="s">
        <v>10786</v>
      </c>
      <c r="J5409" s="3" t="str">
        <f>HYPERLINK("https://www.boe.es/gazeta/dias/1821/08/23/pdfs/GMD-1821-240.pdf#page=4","Abrir facsímil")</f>
        <v>Abrir facsímil</v>
      </c>
      <c r="K5409" s="3" t="s">
        <v>23</v>
      </c>
    </row>
    <row r="5410" spans="1:11" ht="42" customHeight="1">
      <c r="A5410" s="2" t="s">
        <v>10720</v>
      </c>
      <c r="B5410" s="2" t="s">
        <v>10720</v>
      </c>
      <c r="C5410" s="2" t="s">
        <v>17</v>
      </c>
      <c r="D5410" s="2" t="s">
        <v>18</v>
      </c>
      <c r="E5410" s="5">
        <v>-28611</v>
      </c>
      <c r="F5410" s="3" t="s">
        <v>5777</v>
      </c>
      <c r="G5410" s="3" t="s">
        <v>88</v>
      </c>
      <c r="H5410" s="2" t="s">
        <v>21</v>
      </c>
      <c r="I5410" s="2" t="s">
        <v>10787</v>
      </c>
      <c r="J5410" s="3" t="str">
        <f>HYPERLINK("https://www.boe.es/gazeta/dias/1821/08/30/pdfs/GMD-1821-247.pdf#page=4","Abrir facsímil")</f>
        <v>Abrir facsímil</v>
      </c>
      <c r="K5410" s="3" t="s">
        <v>23</v>
      </c>
    </row>
    <row r="5411" spans="1:11" ht="42" customHeight="1">
      <c r="A5411" s="2" t="s">
        <v>10720</v>
      </c>
      <c r="B5411" s="2" t="s">
        <v>10720</v>
      </c>
      <c r="C5411" s="2" t="s">
        <v>35</v>
      </c>
      <c r="D5411" s="2" t="s">
        <v>27</v>
      </c>
      <c r="E5411" s="5">
        <v>-28608</v>
      </c>
      <c r="F5411" s="3" t="s">
        <v>805</v>
      </c>
      <c r="G5411" s="3" t="s">
        <v>20</v>
      </c>
      <c r="H5411" s="2" t="s">
        <v>21</v>
      </c>
      <c r="I5411" s="2" t="s">
        <v>10788</v>
      </c>
      <c r="J5411" s="3" t="str">
        <f>HYPERLINK("https://www.boe.es/gazeta/dias/1821/09/02/pdfs/GMD-1821-250.pdf#page=3","Abrir facsímil")</f>
        <v>Abrir facsímil</v>
      </c>
      <c r="K5411" s="3" t="s">
        <v>23</v>
      </c>
    </row>
    <row r="5412" spans="1:11" ht="42" customHeight="1">
      <c r="A5412" s="2" t="s">
        <v>10720</v>
      </c>
      <c r="B5412" s="2" t="s">
        <v>10720</v>
      </c>
      <c r="C5412" s="2" t="s">
        <v>26</v>
      </c>
      <c r="D5412" s="2" t="s">
        <v>27</v>
      </c>
      <c r="E5412" s="5">
        <v>-28608</v>
      </c>
      <c r="F5412" s="3" t="s">
        <v>805</v>
      </c>
      <c r="G5412" s="3" t="s">
        <v>88</v>
      </c>
      <c r="H5412" s="2" t="s">
        <v>21</v>
      </c>
      <c r="I5412" s="2" t="s">
        <v>10789</v>
      </c>
      <c r="J5412" s="3" t="str">
        <f>HYPERLINK("https://www.boe.es/gazeta/dias/1821/09/02/pdfs/GMD-1821-250.pdf#page=4","Abrir facsímil")</f>
        <v>Abrir facsímil</v>
      </c>
      <c r="K5412" s="3" t="s">
        <v>23</v>
      </c>
    </row>
    <row r="5413" spans="1:11" ht="42" customHeight="1">
      <c r="A5413" s="2" t="s">
        <v>10720</v>
      </c>
      <c r="B5413" s="2" t="s">
        <v>10720</v>
      </c>
      <c r="C5413" s="2" t="s">
        <v>26</v>
      </c>
      <c r="D5413" s="2" t="s">
        <v>27</v>
      </c>
      <c r="E5413" s="5">
        <v>-28598</v>
      </c>
      <c r="F5413" s="3" t="s">
        <v>1206</v>
      </c>
      <c r="G5413" s="3" t="s">
        <v>52</v>
      </c>
      <c r="H5413" s="2" t="s">
        <v>21</v>
      </c>
      <c r="I5413" s="2" t="s">
        <v>10790</v>
      </c>
      <c r="J5413" s="3" t="str">
        <f>HYPERLINK("https://www.boe.es/gazeta/dias/1821/09/12/pdfs/GMD-1821-260.pdf#page=2","Abrir facsímil")</f>
        <v>Abrir facsímil</v>
      </c>
      <c r="K5413" s="3" t="s">
        <v>23</v>
      </c>
    </row>
    <row r="5414" spans="1:11" ht="42" customHeight="1">
      <c r="A5414" s="2" t="s">
        <v>10720</v>
      </c>
      <c r="B5414" s="2" t="s">
        <v>10720</v>
      </c>
      <c r="C5414" s="2" t="s">
        <v>17</v>
      </c>
      <c r="D5414" s="2" t="s">
        <v>18</v>
      </c>
      <c r="E5414" s="5">
        <v>-28596</v>
      </c>
      <c r="F5414" s="3" t="s">
        <v>1275</v>
      </c>
      <c r="G5414" s="3" t="s">
        <v>52</v>
      </c>
      <c r="H5414" s="2" t="s">
        <v>21</v>
      </c>
      <c r="I5414" s="2" t="s">
        <v>10791</v>
      </c>
      <c r="J5414" s="3" t="str">
        <f>HYPERLINK("https://www.boe.es/gazeta/dias/1821/09/14/pdfs/GMD-1821-262.pdf#page=2","Abrir facsímil")</f>
        <v>Abrir facsímil</v>
      </c>
      <c r="K5414" s="3" t="s">
        <v>23</v>
      </c>
    </row>
    <row r="5415" spans="1:11" ht="42" customHeight="1">
      <c r="A5415" s="2" t="s">
        <v>10720</v>
      </c>
      <c r="B5415" s="2" t="s">
        <v>10720</v>
      </c>
      <c r="C5415" s="2" t="s">
        <v>40</v>
      </c>
      <c r="D5415" s="2" t="s">
        <v>41</v>
      </c>
      <c r="E5415" s="5">
        <v>-28580</v>
      </c>
      <c r="F5415" s="3" t="s">
        <v>175</v>
      </c>
      <c r="G5415" s="3" t="s">
        <v>20</v>
      </c>
      <c r="H5415" s="2" t="s">
        <v>21</v>
      </c>
      <c r="I5415" s="2" t="s">
        <v>10792</v>
      </c>
      <c r="J5415" s="3" t="str">
        <f>HYPERLINK("https://www.boe.es/gazeta/dias/1821/09/30/pdfs/GMD-1821-279.pdf#page=3","Abrir facsímil")</f>
        <v>Abrir facsímil</v>
      </c>
      <c r="K5415" s="3" t="s">
        <v>23</v>
      </c>
    </row>
    <row r="5416" spans="1:11" ht="42" customHeight="1">
      <c r="A5416" s="2" t="s">
        <v>10720</v>
      </c>
      <c r="B5416" s="2" t="s">
        <v>10720</v>
      </c>
      <c r="C5416" s="2" t="s">
        <v>40</v>
      </c>
      <c r="D5416" s="2" t="s">
        <v>41</v>
      </c>
      <c r="E5416" s="5">
        <v>-28579</v>
      </c>
      <c r="F5416" s="3" t="s">
        <v>743</v>
      </c>
      <c r="G5416" s="3" t="s">
        <v>52</v>
      </c>
      <c r="H5416" s="2" t="s">
        <v>21</v>
      </c>
      <c r="I5416" s="2" t="s">
        <v>10793</v>
      </c>
      <c r="J5416" s="3" t="str">
        <f>HYPERLINK("https://www.boe.es/gazeta/dias/1821/10/01/pdfs/GMD-1821-280.pdf#page=2","Abrir facsímil")</f>
        <v>Abrir facsímil</v>
      </c>
      <c r="K5416" s="3" t="s">
        <v>23</v>
      </c>
    </row>
    <row r="5417" spans="1:11" ht="42" customHeight="1">
      <c r="A5417" s="2" t="s">
        <v>10720</v>
      </c>
      <c r="B5417" s="2" t="s">
        <v>10720</v>
      </c>
      <c r="C5417" s="2" t="s">
        <v>174</v>
      </c>
      <c r="D5417" s="2" t="s">
        <v>27</v>
      </c>
      <c r="E5417" s="5">
        <v>-28558</v>
      </c>
      <c r="F5417" s="3" t="s">
        <v>758</v>
      </c>
      <c r="G5417" s="3" t="s">
        <v>29</v>
      </c>
      <c r="H5417" s="2" t="s">
        <v>21</v>
      </c>
      <c r="I5417" s="2" t="s">
        <v>10794</v>
      </c>
      <c r="J5417" s="3" t="str">
        <f>HYPERLINK("https://www.boe.es/gazeta/dias/1821/10/22/pdfs/GMD-1821-301.pdf#page=6","Abrir facsímil")</f>
        <v>Abrir facsímil</v>
      </c>
      <c r="K5417" s="3" t="s">
        <v>23</v>
      </c>
    </row>
    <row r="5418" spans="1:11" ht="42" customHeight="1">
      <c r="A5418" s="2" t="s">
        <v>10720</v>
      </c>
      <c r="B5418" s="2" t="s">
        <v>10720</v>
      </c>
      <c r="C5418" s="2" t="s">
        <v>174</v>
      </c>
      <c r="D5418" s="2" t="s">
        <v>27</v>
      </c>
      <c r="E5418" s="5">
        <v>-28552</v>
      </c>
      <c r="F5418" s="3" t="s">
        <v>28</v>
      </c>
      <c r="G5418" s="3" t="s">
        <v>29</v>
      </c>
      <c r="H5418" s="2" t="s">
        <v>21</v>
      </c>
      <c r="I5418" s="2" t="s">
        <v>10795</v>
      </c>
      <c r="J5418" s="3" t="str">
        <f>HYPERLINK("https://www.boe.es/gazeta/dias/1821/10/28/pdfs/GMD-1821-307.pdf#page=6","Abrir facsímil")</f>
        <v>Abrir facsímil</v>
      </c>
      <c r="K5418" s="3" t="s">
        <v>23</v>
      </c>
    </row>
    <row r="5419" spans="1:11" ht="42" customHeight="1">
      <c r="A5419" s="2" t="s">
        <v>10720</v>
      </c>
      <c r="B5419" s="2" t="s">
        <v>10720</v>
      </c>
      <c r="C5419" s="2" t="s">
        <v>40</v>
      </c>
      <c r="D5419" s="2" t="s">
        <v>41</v>
      </c>
      <c r="E5419" s="5">
        <v>-28550</v>
      </c>
      <c r="F5419" s="3" t="s">
        <v>546</v>
      </c>
      <c r="G5419" s="3" t="s">
        <v>29</v>
      </c>
      <c r="H5419" s="2" t="s">
        <v>21</v>
      </c>
      <c r="I5419" s="2" t="s">
        <v>10796</v>
      </c>
      <c r="J5419" s="3" t="str">
        <f>HYPERLINK("https://www.boe.es/gazeta/dias/1821/10/30/pdfs/GMD-1821-309.pdf#page=6","Abrir facsímil")</f>
        <v>Abrir facsímil</v>
      </c>
      <c r="K5419" s="3" t="s">
        <v>23</v>
      </c>
    </row>
    <row r="5420" spans="1:11" ht="42" customHeight="1">
      <c r="A5420" s="2" t="s">
        <v>10720</v>
      </c>
      <c r="B5420" s="2" t="s">
        <v>10720</v>
      </c>
      <c r="C5420" s="2" t="s">
        <v>26</v>
      </c>
      <c r="D5420" s="2" t="s">
        <v>27</v>
      </c>
      <c r="E5420" s="5">
        <v>-28547</v>
      </c>
      <c r="F5420" s="3" t="s">
        <v>247</v>
      </c>
      <c r="G5420" s="3" t="s">
        <v>248</v>
      </c>
      <c r="H5420" s="2" t="s">
        <v>21</v>
      </c>
      <c r="I5420" s="2" t="s">
        <v>10797</v>
      </c>
      <c r="J5420" s="3" t="str">
        <f>HYPERLINK("https://www.boe.es/gazeta/dias/1821/11/02/pdfs/GMD-1821-312.pdf#page=2","Abrir facsímil")</f>
        <v>Abrir facsímil</v>
      </c>
      <c r="K5420" s="3" t="s">
        <v>23</v>
      </c>
    </row>
    <row r="5421" spans="1:11" ht="42" customHeight="1">
      <c r="A5421" s="2" t="s">
        <v>10720</v>
      </c>
      <c r="B5421" s="2" t="s">
        <v>10720</v>
      </c>
      <c r="C5421" s="2" t="s">
        <v>35</v>
      </c>
      <c r="D5421" s="2" t="s">
        <v>27</v>
      </c>
      <c r="E5421" s="5">
        <v>-28543</v>
      </c>
      <c r="F5421" s="3" t="s">
        <v>136</v>
      </c>
      <c r="G5421" s="3" t="s">
        <v>52</v>
      </c>
      <c r="H5421" s="2" t="s">
        <v>21</v>
      </c>
      <c r="I5421" s="2" t="s">
        <v>10798</v>
      </c>
      <c r="J5421" s="3" t="str">
        <f>HYPERLINK("https://www.boe.es/gazeta/dias/1821/11/06/pdfs/GMD-1821-317.pdf#page=2","Abrir facsímil")</f>
        <v>Abrir facsímil</v>
      </c>
      <c r="K5421" s="3" t="s">
        <v>23</v>
      </c>
    </row>
    <row r="5422" spans="1:11" ht="42" customHeight="1">
      <c r="A5422" s="2" t="s">
        <v>10720</v>
      </c>
      <c r="B5422" s="2" t="s">
        <v>10720</v>
      </c>
      <c r="C5422" s="2" t="s">
        <v>17</v>
      </c>
      <c r="D5422" s="2" t="s">
        <v>18</v>
      </c>
      <c r="E5422" s="5">
        <v>-28541</v>
      </c>
      <c r="F5422" s="3" t="s">
        <v>275</v>
      </c>
      <c r="G5422" s="3" t="s">
        <v>29</v>
      </c>
      <c r="H5422" s="2" t="s">
        <v>21</v>
      </c>
      <c r="I5422" s="2" t="s">
        <v>10799</v>
      </c>
      <c r="J5422" s="3" t="str">
        <f>HYPERLINK("https://www.boe.es/gazeta/dias/1821/11/08/pdfs/GMD-1821-319.pdf#page=6","Abrir facsímil")</f>
        <v>Abrir facsímil</v>
      </c>
      <c r="K5422" s="3" t="s">
        <v>23</v>
      </c>
    </row>
    <row r="5423" spans="1:11" ht="42" customHeight="1">
      <c r="A5423" s="2" t="s">
        <v>10720</v>
      </c>
      <c r="B5423" s="2" t="s">
        <v>10720</v>
      </c>
      <c r="C5423" s="2" t="s">
        <v>26</v>
      </c>
      <c r="D5423" s="2" t="s">
        <v>27</v>
      </c>
      <c r="E5423" s="5">
        <v>-28531</v>
      </c>
      <c r="F5423" s="3" t="s">
        <v>365</v>
      </c>
      <c r="G5423" s="3" t="s">
        <v>88</v>
      </c>
      <c r="H5423" s="2" t="s">
        <v>21</v>
      </c>
      <c r="I5423" s="2" t="s">
        <v>10800</v>
      </c>
      <c r="J5423" s="3" t="str">
        <f>HYPERLINK("https://www.boe.es/gazeta/dias/1821/11/18/pdfs/GMD-1821-329.pdf#page=4","Abrir facsímil")</f>
        <v>Abrir facsímil</v>
      </c>
      <c r="K5423" s="3" t="s">
        <v>23</v>
      </c>
    </row>
    <row r="5424" spans="1:11" ht="42" customHeight="1">
      <c r="A5424" s="2" t="s">
        <v>10720</v>
      </c>
      <c r="B5424" s="2" t="s">
        <v>10720</v>
      </c>
      <c r="C5424" s="2" t="s">
        <v>26</v>
      </c>
      <c r="D5424" s="2" t="s">
        <v>27</v>
      </c>
      <c r="E5424" s="5">
        <v>-28528</v>
      </c>
      <c r="F5424" s="3" t="s">
        <v>1872</v>
      </c>
      <c r="G5424" s="3" t="s">
        <v>52</v>
      </c>
      <c r="H5424" s="2" t="s">
        <v>21</v>
      </c>
      <c r="I5424" s="2" t="s">
        <v>10801</v>
      </c>
      <c r="J5424" s="3" t="str">
        <f>HYPERLINK("https://www.boe.es/gazeta/dias/1821/11/21/pdfs/GMD-1821-332.pdf#page=2","Abrir facsímil")</f>
        <v>Abrir facsímil</v>
      </c>
      <c r="K5424" s="3" t="s">
        <v>23</v>
      </c>
    </row>
    <row r="5425" spans="1:11" ht="42" customHeight="1">
      <c r="A5425" s="2" t="s">
        <v>10720</v>
      </c>
      <c r="B5425" s="2" t="s">
        <v>10720</v>
      </c>
      <c r="C5425" s="2" t="s">
        <v>70</v>
      </c>
      <c r="D5425" s="2" t="s">
        <v>27</v>
      </c>
      <c r="E5425" s="5">
        <v>-28526</v>
      </c>
      <c r="F5425" s="3" t="s">
        <v>223</v>
      </c>
      <c r="G5425" s="3" t="s">
        <v>1251</v>
      </c>
      <c r="H5425" s="2" t="s">
        <v>21</v>
      </c>
      <c r="I5425" s="2" t="s">
        <v>10802</v>
      </c>
      <c r="J5425" s="3" t="str">
        <f>HYPERLINK("https://www.boe.es/gazeta/dias/1821/11/23/pdfs/GMD-1821-334.pdf#page=3","Abrir facsímil")</f>
        <v>Abrir facsímil</v>
      </c>
      <c r="K5425" s="3" t="s">
        <v>23</v>
      </c>
    </row>
    <row r="5426" spans="1:11" ht="42" customHeight="1">
      <c r="A5426" s="2" t="s">
        <v>10720</v>
      </c>
      <c r="B5426" s="2" t="s">
        <v>10720</v>
      </c>
      <c r="C5426" s="2" t="s">
        <v>40</v>
      </c>
      <c r="D5426" s="2" t="s">
        <v>41</v>
      </c>
      <c r="E5426" s="5">
        <v>-28511</v>
      </c>
      <c r="F5426" s="3" t="s">
        <v>340</v>
      </c>
      <c r="G5426" s="3" t="s">
        <v>52</v>
      </c>
      <c r="H5426" s="2" t="s">
        <v>21</v>
      </c>
      <c r="I5426" s="2" t="s">
        <v>10803</v>
      </c>
      <c r="J5426" s="3" t="str">
        <f>HYPERLINK("https://www.boe.es/gazeta/dias/1821/12/08/pdfs/GMD-1821-350.pdf#page=2","Abrir facsímil")</f>
        <v>Abrir facsímil</v>
      </c>
      <c r="K5426" s="3" t="s">
        <v>23</v>
      </c>
    </row>
    <row r="5427" spans="1:11" ht="42" customHeight="1">
      <c r="A5427" s="2" t="s">
        <v>10720</v>
      </c>
      <c r="B5427" s="2" t="s">
        <v>10720</v>
      </c>
      <c r="C5427" s="2" t="s">
        <v>40</v>
      </c>
      <c r="D5427" s="2" t="s">
        <v>41</v>
      </c>
      <c r="E5427" s="5">
        <v>-28510</v>
      </c>
      <c r="F5427" s="3" t="s">
        <v>83</v>
      </c>
      <c r="G5427" s="3" t="s">
        <v>52</v>
      </c>
      <c r="H5427" s="2" t="s">
        <v>21</v>
      </c>
      <c r="I5427" s="2" t="s">
        <v>10804</v>
      </c>
      <c r="J5427" s="3" t="str">
        <f>HYPERLINK("https://www.boe.es/gazeta/dias/1821/12/09/pdfs/GMD-1821-351.pdf#page=2","Abrir facsímil")</f>
        <v>Abrir facsímil</v>
      </c>
      <c r="K5427" s="3" t="s">
        <v>23</v>
      </c>
    </row>
    <row r="5428" spans="1:11" ht="42" customHeight="1">
      <c r="A5428" s="2" t="s">
        <v>10720</v>
      </c>
      <c r="B5428" s="2" t="s">
        <v>10720</v>
      </c>
      <c r="C5428" s="2" t="s">
        <v>40</v>
      </c>
      <c r="D5428" s="2" t="s">
        <v>41</v>
      </c>
      <c r="E5428" s="5">
        <v>-28508</v>
      </c>
      <c r="F5428" s="3" t="s">
        <v>42</v>
      </c>
      <c r="G5428" s="3" t="s">
        <v>43</v>
      </c>
      <c r="H5428" s="2" t="s">
        <v>21</v>
      </c>
      <c r="I5428" s="2" t="s">
        <v>10805</v>
      </c>
      <c r="J5428" s="3" t="str">
        <f>HYPERLINK("https://www.boe.es/gazeta/dias/1821/12/11/pdfs/GMD-1821-353.pdf#page=1","Abrir facsímil")</f>
        <v>Abrir facsímil</v>
      </c>
      <c r="K5428" s="3" t="s">
        <v>23</v>
      </c>
    </row>
    <row r="5429" spans="1:11" ht="42" customHeight="1">
      <c r="A5429" s="2" t="s">
        <v>10720</v>
      </c>
      <c r="B5429" s="2" t="s">
        <v>10720</v>
      </c>
      <c r="C5429" s="2" t="s">
        <v>17</v>
      </c>
      <c r="D5429" s="2" t="s">
        <v>18</v>
      </c>
      <c r="E5429" s="5">
        <v>-28506</v>
      </c>
      <c r="F5429" s="3" t="s">
        <v>1095</v>
      </c>
      <c r="G5429" s="3" t="s">
        <v>88</v>
      </c>
      <c r="H5429" s="2" t="s">
        <v>21</v>
      </c>
      <c r="I5429" s="2" t="s">
        <v>10806</v>
      </c>
      <c r="J5429" s="3" t="str">
        <f>HYPERLINK("https://www.boe.es/gazeta/dias/1821/12/13/pdfs/GMD-1821-356.pdf#page=4","Abrir facsímil")</f>
        <v>Abrir facsímil</v>
      </c>
      <c r="K5429" s="3" t="s">
        <v>23</v>
      </c>
    </row>
    <row r="5430" spans="1:11" ht="42" customHeight="1">
      <c r="A5430" s="2" t="s">
        <v>10720</v>
      </c>
      <c r="B5430" s="2" t="s">
        <v>10720</v>
      </c>
      <c r="C5430" s="2" t="s">
        <v>40</v>
      </c>
      <c r="D5430" s="2" t="s">
        <v>41</v>
      </c>
      <c r="E5430" s="5">
        <v>-28492</v>
      </c>
      <c r="F5430" s="3" t="s">
        <v>1550</v>
      </c>
      <c r="G5430" s="3" t="s">
        <v>88</v>
      </c>
      <c r="H5430" s="2" t="s">
        <v>21</v>
      </c>
      <c r="I5430" s="2" t="s">
        <v>10807</v>
      </c>
      <c r="J5430" s="3" t="str">
        <f>HYPERLINK("https://www.boe.es/gazeta/dias/1821/12/27/pdfs/GMD-1821-370.pdf#page=4","Abrir facsímil")</f>
        <v>Abrir facsímil</v>
      </c>
      <c r="K5430" s="3" t="s">
        <v>23</v>
      </c>
    </row>
    <row r="5431" spans="1:11" ht="42" customHeight="1">
      <c r="A5431" s="2" t="s">
        <v>10808</v>
      </c>
      <c r="B5431" s="2" t="s">
        <v>10808</v>
      </c>
      <c r="C5431" s="2" t="s">
        <v>35</v>
      </c>
      <c r="D5431" s="2" t="s">
        <v>27</v>
      </c>
      <c r="E5431" s="5">
        <v>-28608</v>
      </c>
      <c r="F5431" s="3" t="s">
        <v>805</v>
      </c>
      <c r="G5431" s="3" t="s">
        <v>806</v>
      </c>
      <c r="H5431" s="2" t="s">
        <v>21</v>
      </c>
      <c r="I5431" s="2" t="s">
        <v>10809</v>
      </c>
      <c r="J5431" s="3" t="str">
        <f>HYPERLINK("https://www.boe.es/gazeta/dias/1821/09/02/pdfs/GMD-1821-250.pdf#page=2","Abrir facsímil")</f>
        <v>Abrir facsímil</v>
      </c>
      <c r="K5431" s="3" t="s">
        <v>23</v>
      </c>
    </row>
    <row r="5432" spans="1:11" ht="42" customHeight="1">
      <c r="A5432" s="2" t="s">
        <v>10810</v>
      </c>
      <c r="B5432" s="2" t="s">
        <v>10811</v>
      </c>
      <c r="C5432" s="2" t="s">
        <v>26</v>
      </c>
      <c r="D5432" s="2" t="s">
        <v>27</v>
      </c>
      <c r="E5432" s="5">
        <v>-28520</v>
      </c>
      <c r="F5432" s="3" t="s">
        <v>878</v>
      </c>
      <c r="G5432" s="3" t="s">
        <v>88</v>
      </c>
      <c r="H5432" s="2" t="s">
        <v>30</v>
      </c>
      <c r="I5432" s="2" t="s">
        <v>10812</v>
      </c>
      <c r="J5432" s="3" t="str">
        <f>HYPERLINK("https://www.boe.es/gazeta/dias/1821/11/29/pdfs/GMD-1821-341.pdf#page=4","Abrir facsímil")</f>
        <v>Abrir facsímil</v>
      </c>
      <c r="K5432" s="3" t="s">
        <v>32</v>
      </c>
    </row>
    <row r="5433" spans="1:11" ht="42" customHeight="1">
      <c r="A5433" s="2" t="s">
        <v>10813</v>
      </c>
      <c r="B5433" s="2" t="s">
        <v>10814</v>
      </c>
      <c r="C5433" s="2" t="s">
        <v>26</v>
      </c>
      <c r="D5433" s="2" t="s">
        <v>27</v>
      </c>
      <c r="E5433" s="5">
        <v>-28684</v>
      </c>
      <c r="F5433" s="3" t="s">
        <v>208</v>
      </c>
      <c r="G5433" s="3" t="s">
        <v>52</v>
      </c>
      <c r="H5433" s="2" t="s">
        <v>30</v>
      </c>
      <c r="I5433" s="2" t="s">
        <v>10815</v>
      </c>
      <c r="J5433" s="3" t="str">
        <f>HYPERLINK("https://www.boe.es/gazeta/dias/1821/06/18/pdfs/GMD-1821-171.pdf#page=2","Abrir facsímil")</f>
        <v>Abrir facsímil</v>
      </c>
      <c r="K5433" s="3" t="s">
        <v>32</v>
      </c>
    </row>
    <row r="5434" spans="1:11" ht="42" customHeight="1">
      <c r="A5434" s="2" t="s">
        <v>10816</v>
      </c>
      <c r="B5434" s="2" t="s">
        <v>10817</v>
      </c>
      <c r="C5434" s="2" t="s">
        <v>17</v>
      </c>
      <c r="D5434" s="2" t="s">
        <v>18</v>
      </c>
      <c r="E5434" s="5">
        <v>-28629</v>
      </c>
      <c r="F5434" s="3" t="s">
        <v>235</v>
      </c>
      <c r="G5434" s="3" t="s">
        <v>88</v>
      </c>
      <c r="H5434" s="2" t="s">
        <v>21</v>
      </c>
      <c r="I5434" s="2" t="s">
        <v>10818</v>
      </c>
      <c r="J5434" s="3" t="str">
        <f>HYPERLINK("https://www.boe.es/gazeta/dias/1821/08/12/pdfs/GMD-1821-229.pdf#page=4","Abrir facsímil")</f>
        <v>Abrir facsímil</v>
      </c>
      <c r="K5434" s="3" t="s">
        <v>23</v>
      </c>
    </row>
    <row r="5435" spans="1:11" ht="42" customHeight="1">
      <c r="A5435" s="2" t="s">
        <v>10819</v>
      </c>
      <c r="B5435" s="2" t="s">
        <v>10820</v>
      </c>
      <c r="C5435" s="2" t="s">
        <v>35</v>
      </c>
      <c r="D5435" s="2" t="s">
        <v>27</v>
      </c>
      <c r="E5435" s="5">
        <v>-28835</v>
      </c>
      <c r="F5435" s="3" t="s">
        <v>1362</v>
      </c>
      <c r="G5435" s="3" t="s">
        <v>88</v>
      </c>
      <c r="H5435" s="2" t="s">
        <v>30</v>
      </c>
      <c r="I5435" s="2" t="s">
        <v>10821</v>
      </c>
      <c r="J5435" s="3" t="str">
        <f>HYPERLINK("https://www.boe.es/gazeta/dias/1821/01/18/pdfs/GGB-1821-18.pdf#page=4","Abrir facsímil")</f>
        <v>Abrir facsímil</v>
      </c>
      <c r="K5435" s="3" t="s">
        <v>32</v>
      </c>
    </row>
    <row r="5436" spans="1:11" ht="42" customHeight="1">
      <c r="A5436" s="2" t="s">
        <v>10822</v>
      </c>
      <c r="B5436" s="2" t="s">
        <v>10823</v>
      </c>
      <c r="C5436" s="2" t="s">
        <v>17</v>
      </c>
      <c r="D5436" s="2" t="s">
        <v>18</v>
      </c>
      <c r="E5436" s="5">
        <v>-28772</v>
      </c>
      <c r="F5436" s="3" t="s">
        <v>62</v>
      </c>
      <c r="G5436" s="3" t="s">
        <v>20</v>
      </c>
      <c r="H5436" s="2" t="s">
        <v>30</v>
      </c>
      <c r="I5436" s="2" t="s">
        <v>10824</v>
      </c>
      <c r="J5436" s="3" t="str">
        <f>HYPERLINK("https://www.boe.es/gazeta/dias/1821/03/22/pdfs/GMD-1821-81.pdf#page=3","Abrir facsímil")</f>
        <v>Abrir facsímil</v>
      </c>
      <c r="K5436" s="3" t="s">
        <v>32</v>
      </c>
    </row>
    <row r="5437" spans="1:11" ht="42" customHeight="1">
      <c r="A5437" s="2" t="s">
        <v>10822</v>
      </c>
      <c r="B5437" s="2" t="s">
        <v>10823</v>
      </c>
      <c r="C5437" s="2" t="s">
        <v>40</v>
      </c>
      <c r="D5437" s="2" t="s">
        <v>41</v>
      </c>
      <c r="E5437" s="5">
        <v>-28704</v>
      </c>
      <c r="F5437" s="3" t="s">
        <v>1050</v>
      </c>
      <c r="G5437" s="3" t="s">
        <v>52</v>
      </c>
      <c r="H5437" s="2" t="s">
        <v>30</v>
      </c>
      <c r="I5437" s="2" t="s">
        <v>10825</v>
      </c>
      <c r="J5437" s="3" t="str">
        <f>HYPERLINK("https://www.boe.es/gazeta/dias/1821/05/29/pdfs/GMD-1821-151.pdf#page=2","Abrir facsímil")</f>
        <v>Abrir facsímil</v>
      </c>
      <c r="K5437" s="3" t="s">
        <v>32</v>
      </c>
    </row>
    <row r="5438" spans="1:11" ht="42" customHeight="1">
      <c r="A5438" s="2" t="s">
        <v>10826</v>
      </c>
      <c r="B5438" s="2" t="s">
        <v>10827</v>
      </c>
      <c r="C5438" s="2" t="s">
        <v>70</v>
      </c>
      <c r="D5438" s="2" t="s">
        <v>27</v>
      </c>
      <c r="E5438" s="5">
        <v>-28776</v>
      </c>
      <c r="F5438" s="3" t="s">
        <v>312</v>
      </c>
      <c r="G5438" s="3" t="s">
        <v>88</v>
      </c>
      <c r="H5438" s="2" t="s">
        <v>21</v>
      </c>
      <c r="I5438" s="2" t="s">
        <v>10828</v>
      </c>
      <c r="J5438" s="3" t="str">
        <f>HYPERLINK("https://www.boe.es/gazeta/dias/1821/03/18/pdfs/GMD-1821-77.pdf#page=4","Abrir facsímil")</f>
        <v>Abrir facsímil</v>
      </c>
      <c r="K5438" s="3" t="s">
        <v>23</v>
      </c>
    </row>
    <row r="5439" spans="1:11" ht="42" customHeight="1">
      <c r="A5439" s="2" t="s">
        <v>10826</v>
      </c>
      <c r="B5439" s="2" t="s">
        <v>10827</v>
      </c>
      <c r="C5439" s="2" t="s">
        <v>26</v>
      </c>
      <c r="D5439" s="2" t="s">
        <v>27</v>
      </c>
      <c r="E5439" s="5">
        <v>-28745</v>
      </c>
      <c r="F5439" s="3" t="s">
        <v>1020</v>
      </c>
      <c r="G5439" s="3" t="s">
        <v>52</v>
      </c>
      <c r="H5439" s="2" t="s">
        <v>21</v>
      </c>
      <c r="I5439" s="2" t="s">
        <v>10829</v>
      </c>
      <c r="J5439" s="3" t="str">
        <f>HYPERLINK("https://www.boe.es/gazeta/dias/1821/04/18/pdfs/GMD-1821-110.pdf#page=2","Abrir facsímil")</f>
        <v>Abrir facsímil</v>
      </c>
      <c r="K5439" s="3" t="s">
        <v>23</v>
      </c>
    </row>
    <row r="5440" spans="1:11" ht="42" customHeight="1">
      <c r="A5440" s="2" t="s">
        <v>10830</v>
      </c>
      <c r="B5440" s="2" t="s">
        <v>10830</v>
      </c>
      <c r="C5440" s="2" t="s">
        <v>35</v>
      </c>
      <c r="D5440" s="2" t="s">
        <v>27</v>
      </c>
      <c r="E5440" s="5">
        <v>-28569</v>
      </c>
      <c r="F5440" s="3" t="s">
        <v>512</v>
      </c>
      <c r="G5440" s="3" t="s">
        <v>29</v>
      </c>
      <c r="H5440" s="2" t="s">
        <v>21</v>
      </c>
      <c r="I5440" s="2" t="s">
        <v>10831</v>
      </c>
      <c r="J5440" s="3" t="str">
        <f>HYPERLINK("https://www.boe.es/gazeta/dias/1821/10/11/pdfs/GMD-1821-290.pdf#page=6","Abrir facsímil")</f>
        <v>Abrir facsímil</v>
      </c>
      <c r="K5440" s="3" t="s">
        <v>23</v>
      </c>
    </row>
    <row r="5441" spans="1:11" ht="42" customHeight="1">
      <c r="A5441" s="2" t="s">
        <v>10832</v>
      </c>
      <c r="B5441" s="2" t="s">
        <v>10832</v>
      </c>
      <c r="C5441" s="2" t="s">
        <v>26</v>
      </c>
      <c r="D5441" s="2" t="s">
        <v>27</v>
      </c>
      <c r="E5441" s="5">
        <v>-28683</v>
      </c>
      <c r="F5441" s="3" t="s">
        <v>332</v>
      </c>
      <c r="G5441" s="3" t="s">
        <v>88</v>
      </c>
      <c r="H5441" s="2" t="s">
        <v>21</v>
      </c>
      <c r="I5441" s="2" t="s">
        <v>10833</v>
      </c>
      <c r="J5441" s="3" t="str">
        <f>HYPERLINK("https://www.boe.es/gazeta/dias/1821/06/19/pdfs/GMD-1821-172.pdf#page=4","Abrir facsímil")</f>
        <v>Abrir facsímil</v>
      </c>
      <c r="K5441" s="3" t="s">
        <v>23</v>
      </c>
    </row>
    <row r="5442" spans="1:11" ht="42" customHeight="1">
      <c r="A5442" s="2" t="s">
        <v>10834</v>
      </c>
      <c r="B5442" s="2" t="s">
        <v>10834</v>
      </c>
      <c r="C5442" s="2" t="s">
        <v>40</v>
      </c>
      <c r="D5442" s="2" t="s">
        <v>41</v>
      </c>
      <c r="E5442" s="5">
        <v>-28737</v>
      </c>
      <c r="F5442" s="3" t="s">
        <v>732</v>
      </c>
      <c r="G5442" s="3" t="s">
        <v>20</v>
      </c>
      <c r="H5442" s="2" t="s">
        <v>21</v>
      </c>
      <c r="I5442" s="2" t="s">
        <v>10835</v>
      </c>
      <c r="J5442" s="3" t="str">
        <f>HYPERLINK("https://www.boe.es/gazeta/dias/1821/04/26/pdfs/GMD-1821-118.pdf#page=3","Abrir facsímil")</f>
        <v>Abrir facsímil</v>
      </c>
      <c r="K5442" s="3" t="s">
        <v>23</v>
      </c>
    </row>
    <row r="5443" spans="1:11" ht="42" customHeight="1">
      <c r="A5443" s="2" t="s">
        <v>10836</v>
      </c>
      <c r="B5443" s="2" t="s">
        <v>10837</v>
      </c>
      <c r="C5443" s="2" t="s">
        <v>40</v>
      </c>
      <c r="D5443" s="2" t="s">
        <v>41</v>
      </c>
      <c r="E5443" s="5">
        <v>-28683</v>
      </c>
      <c r="F5443" s="3" t="s">
        <v>332</v>
      </c>
      <c r="G5443" s="3" t="s">
        <v>20</v>
      </c>
      <c r="H5443" s="2" t="s">
        <v>21</v>
      </c>
      <c r="I5443" s="2" t="s">
        <v>10838</v>
      </c>
      <c r="J5443" s="3" t="str">
        <f>HYPERLINK("https://www.boe.es/gazeta/dias/1821/06/19/pdfs/GMD-1821-172.pdf#page=3","Abrir facsímil")</f>
        <v>Abrir facsímil</v>
      </c>
      <c r="K5443" s="3" t="s">
        <v>23</v>
      </c>
    </row>
    <row r="5444" spans="1:11" ht="42" customHeight="1">
      <c r="A5444" s="2" t="s">
        <v>10839</v>
      </c>
      <c r="B5444" s="2" t="s">
        <v>10839</v>
      </c>
      <c r="C5444" s="2" t="s">
        <v>17</v>
      </c>
      <c r="D5444" s="2" t="s">
        <v>18</v>
      </c>
      <c r="E5444" s="5">
        <v>-28776</v>
      </c>
      <c r="F5444" s="3" t="s">
        <v>312</v>
      </c>
      <c r="G5444" s="3" t="s">
        <v>88</v>
      </c>
      <c r="H5444" s="2" t="s">
        <v>21</v>
      </c>
      <c r="I5444" s="2" t="s">
        <v>10840</v>
      </c>
      <c r="J5444" s="3" t="str">
        <f>HYPERLINK("https://www.boe.es/gazeta/dias/1821/03/18/pdfs/GMD-1821-77.pdf#page=4","Abrir facsímil")</f>
        <v>Abrir facsímil</v>
      </c>
      <c r="K5444" s="3" t="s">
        <v>23</v>
      </c>
    </row>
    <row r="5445" spans="1:11" ht="42" customHeight="1">
      <c r="A5445" s="2" t="s">
        <v>10841</v>
      </c>
      <c r="B5445" s="2" t="s">
        <v>10842</v>
      </c>
      <c r="C5445" s="2" t="s">
        <v>17</v>
      </c>
      <c r="D5445" s="2" t="s">
        <v>18</v>
      </c>
      <c r="E5445" s="5">
        <v>-28541</v>
      </c>
      <c r="F5445" s="3" t="s">
        <v>275</v>
      </c>
      <c r="G5445" s="3" t="s">
        <v>52</v>
      </c>
      <c r="H5445" s="2" t="s">
        <v>21</v>
      </c>
      <c r="I5445" s="2" t="s">
        <v>10843</v>
      </c>
      <c r="J5445" s="3" t="str">
        <f>HYPERLINK("https://www.boe.es/gazeta/dias/1821/11/08/pdfs/GMD-1821-319.pdf#page=2","Abrir facsímil")</f>
        <v>Abrir facsímil</v>
      </c>
      <c r="K5445" s="3" t="s">
        <v>23</v>
      </c>
    </row>
    <row r="5446" spans="1:11" ht="42" customHeight="1">
      <c r="A5446" s="2" t="s">
        <v>10844</v>
      </c>
      <c r="B5446" s="2" t="s">
        <v>10844</v>
      </c>
      <c r="C5446" s="2" t="s">
        <v>26</v>
      </c>
      <c r="D5446" s="2" t="s">
        <v>27</v>
      </c>
      <c r="E5446" s="5">
        <v>-28667</v>
      </c>
      <c r="F5446" s="3" t="s">
        <v>107</v>
      </c>
      <c r="G5446" s="3" t="s">
        <v>43</v>
      </c>
      <c r="H5446" s="2" t="s">
        <v>21</v>
      </c>
      <c r="I5446" s="2" t="s">
        <v>10845</v>
      </c>
      <c r="J5446" s="3" t="str">
        <f>HYPERLINK("https://www.boe.es/gazeta/dias/1821/07/05/pdfs/GMD-1821-189.pdf#page=1","Abrir facsímil")</f>
        <v>Abrir facsímil</v>
      </c>
      <c r="K5446" s="3" t="s">
        <v>23</v>
      </c>
    </row>
    <row r="5447" spans="1:11" ht="42" customHeight="1">
      <c r="A5447" s="2" t="s">
        <v>10844</v>
      </c>
      <c r="B5447" s="2" t="s">
        <v>10844</v>
      </c>
      <c r="C5447" s="2" t="s">
        <v>35</v>
      </c>
      <c r="D5447" s="2" t="s">
        <v>27</v>
      </c>
      <c r="E5447" s="5">
        <v>-28646</v>
      </c>
      <c r="F5447" s="3" t="s">
        <v>1457</v>
      </c>
      <c r="G5447" s="3" t="s">
        <v>43</v>
      </c>
      <c r="H5447" s="2" t="s">
        <v>21</v>
      </c>
      <c r="I5447" s="2" t="s">
        <v>10846</v>
      </c>
      <c r="J5447" s="3" t="str">
        <f>HYPERLINK("https://www.boe.es/gazeta/dias/1821/07/26/pdfs/GMD-1821-211.pdf#page=1","Abrir facsímil")</f>
        <v>Abrir facsímil</v>
      </c>
      <c r="K5447" s="3" t="s">
        <v>23</v>
      </c>
    </row>
    <row r="5448" spans="1:11" ht="42" customHeight="1">
      <c r="A5448" s="2" t="s">
        <v>10844</v>
      </c>
      <c r="B5448" s="2" t="s">
        <v>10844</v>
      </c>
      <c r="C5448" s="2" t="s">
        <v>40</v>
      </c>
      <c r="D5448" s="2" t="s">
        <v>41</v>
      </c>
      <c r="E5448" s="5">
        <v>-28583</v>
      </c>
      <c r="F5448" s="3" t="s">
        <v>2668</v>
      </c>
      <c r="G5448" s="3" t="s">
        <v>43</v>
      </c>
      <c r="H5448" s="2" t="s">
        <v>21</v>
      </c>
      <c r="I5448" s="2" t="s">
        <v>10847</v>
      </c>
      <c r="J5448" s="3" t="str">
        <f>HYPERLINK("https://www.boe.es/gazeta/dias/1821/09/27/pdfs/GMD-1821-275.pdf#page=1","Abrir facsímil")</f>
        <v>Abrir facsímil</v>
      </c>
      <c r="K5448" s="3" t="s">
        <v>23</v>
      </c>
    </row>
    <row r="5449" spans="1:11" ht="42" customHeight="1">
      <c r="A5449" s="2" t="s">
        <v>10844</v>
      </c>
      <c r="B5449" s="2" t="s">
        <v>10844</v>
      </c>
      <c r="C5449" s="2" t="s">
        <v>114</v>
      </c>
      <c r="D5449" s="2" t="s">
        <v>27</v>
      </c>
      <c r="E5449" s="5">
        <v>-28513</v>
      </c>
      <c r="F5449" s="3" t="s">
        <v>502</v>
      </c>
      <c r="G5449" s="3" t="s">
        <v>10848</v>
      </c>
      <c r="H5449" s="2" t="s">
        <v>21</v>
      </c>
      <c r="I5449" s="2" t="s">
        <v>10849</v>
      </c>
      <c r="J5449" s="3" t="str">
        <f>HYPERLINK("https://www.boe.es/gazeta/dias/1821/12/06/pdfs/GMD-1821-348.pdf#page=1","Abrir facsímil")</f>
        <v>Abrir facsímil</v>
      </c>
      <c r="K5449" s="3" t="s">
        <v>23</v>
      </c>
    </row>
    <row r="5450" spans="1:11" ht="42" customHeight="1">
      <c r="A5450" s="2" t="s">
        <v>10850</v>
      </c>
      <c r="B5450" s="2" t="s">
        <v>10850</v>
      </c>
      <c r="C5450" s="2" t="s">
        <v>17</v>
      </c>
      <c r="D5450" s="2" t="s">
        <v>18</v>
      </c>
      <c r="E5450" s="5">
        <v>-28839</v>
      </c>
      <c r="F5450" s="3" t="s">
        <v>1686</v>
      </c>
      <c r="G5450" s="3" t="s">
        <v>10851</v>
      </c>
      <c r="H5450" s="2" t="s">
        <v>21</v>
      </c>
      <c r="I5450" s="2" t="s">
        <v>10852</v>
      </c>
      <c r="J5450" s="3" t="str">
        <f>HYPERLINK("https://www.boe.es/gazeta/dias/1821/01/14/pdfs/GGB-1821-14.pdf#page=4","Abrir facsímil")</f>
        <v>Abrir facsímil</v>
      </c>
      <c r="K5450" s="3" t="s">
        <v>23</v>
      </c>
    </row>
    <row r="5451" spans="1:11" ht="42" customHeight="1">
      <c r="A5451" s="2" t="s">
        <v>10850</v>
      </c>
      <c r="B5451" s="2" t="s">
        <v>10850</v>
      </c>
      <c r="C5451" s="2" t="s">
        <v>17</v>
      </c>
      <c r="D5451" s="2" t="s">
        <v>18</v>
      </c>
      <c r="E5451" s="5">
        <v>-28773</v>
      </c>
      <c r="F5451" s="3" t="s">
        <v>1755</v>
      </c>
      <c r="G5451" s="3" t="s">
        <v>29</v>
      </c>
      <c r="H5451" s="2" t="s">
        <v>21</v>
      </c>
      <c r="I5451" s="2" t="s">
        <v>10853</v>
      </c>
      <c r="J5451" s="3" t="str">
        <f>HYPERLINK("https://www.boe.es/gazeta/dias/1821/03/21/pdfs/GMD-1821-80.pdf#page=6","Abrir facsímil")</f>
        <v>Abrir facsímil</v>
      </c>
      <c r="K5451" s="3" t="s">
        <v>23</v>
      </c>
    </row>
    <row r="5452" spans="1:11" ht="42" customHeight="1">
      <c r="A5452" s="2" t="s">
        <v>10854</v>
      </c>
      <c r="B5452" s="2" t="s">
        <v>10854</v>
      </c>
      <c r="C5452" s="2" t="s">
        <v>17</v>
      </c>
      <c r="D5452" s="2" t="s">
        <v>18</v>
      </c>
      <c r="E5452" s="5">
        <v>-28780</v>
      </c>
      <c r="F5452" s="3" t="s">
        <v>143</v>
      </c>
      <c r="G5452" s="3" t="s">
        <v>20</v>
      </c>
      <c r="H5452" s="2" t="s">
        <v>21</v>
      </c>
      <c r="I5452" s="2" t="s">
        <v>10855</v>
      </c>
      <c r="J5452" s="3" t="str">
        <f>HYPERLINK("https://www.boe.es/gazeta/dias/1821/03/14/pdfs/GMD-1821-73.pdf#page=3","Abrir facsímil")</f>
        <v>Abrir facsímil</v>
      </c>
      <c r="K5452" s="3" t="s">
        <v>23</v>
      </c>
    </row>
    <row r="5453" spans="1:11" ht="42" customHeight="1">
      <c r="A5453" s="2" t="s">
        <v>10854</v>
      </c>
      <c r="B5453" s="2" t="s">
        <v>10854</v>
      </c>
      <c r="C5453" s="2" t="s">
        <v>114</v>
      </c>
      <c r="D5453" s="2" t="s">
        <v>27</v>
      </c>
      <c r="E5453" s="5">
        <v>-28763</v>
      </c>
      <c r="F5453" s="3" t="s">
        <v>1145</v>
      </c>
      <c r="G5453" s="3" t="s">
        <v>88</v>
      </c>
      <c r="H5453" s="2" t="s">
        <v>21</v>
      </c>
      <c r="I5453" s="2" t="s">
        <v>10856</v>
      </c>
      <c r="J5453" s="3" t="str">
        <f>HYPERLINK("https://www.boe.es/gazeta/dias/1821/03/31/pdfs/GMD-1821-92.pdf#page=4","Abrir facsímil")</f>
        <v>Abrir facsímil</v>
      </c>
      <c r="K5453" s="3" t="s">
        <v>23</v>
      </c>
    </row>
    <row r="5454" spans="1:11" ht="42" customHeight="1">
      <c r="A5454" s="2" t="s">
        <v>10854</v>
      </c>
      <c r="B5454" s="2" t="s">
        <v>10854</v>
      </c>
      <c r="C5454" s="2" t="s">
        <v>26</v>
      </c>
      <c r="D5454" s="2" t="s">
        <v>27</v>
      </c>
      <c r="E5454" s="5">
        <v>-28755</v>
      </c>
      <c r="F5454" s="3" t="s">
        <v>906</v>
      </c>
      <c r="G5454" s="3" t="s">
        <v>907</v>
      </c>
      <c r="H5454" s="2" t="s">
        <v>21</v>
      </c>
      <c r="I5454" s="2" t="s">
        <v>10857</v>
      </c>
      <c r="J5454" s="3" t="str">
        <f>HYPERLINK("https://www.boe.es/gazeta/dias/1821/04/08/pdfs/GMD-1821-100.pdf#page=4","Abrir facsímil")</f>
        <v>Abrir facsímil</v>
      </c>
      <c r="K5454" s="3" t="s">
        <v>23</v>
      </c>
    </row>
    <row r="5455" spans="1:11" ht="42" customHeight="1">
      <c r="A5455" s="2" t="s">
        <v>10854</v>
      </c>
      <c r="B5455" s="2" t="s">
        <v>10854</v>
      </c>
      <c r="C5455" s="2" t="s">
        <v>17</v>
      </c>
      <c r="D5455" s="2" t="s">
        <v>18</v>
      </c>
      <c r="E5455" s="5">
        <v>-28558</v>
      </c>
      <c r="F5455" s="3" t="s">
        <v>758</v>
      </c>
      <c r="G5455" s="3" t="s">
        <v>52</v>
      </c>
      <c r="H5455" s="2" t="s">
        <v>21</v>
      </c>
      <c r="I5455" s="2" t="s">
        <v>10858</v>
      </c>
      <c r="J5455" s="3" t="str">
        <f>HYPERLINK("https://www.boe.es/gazeta/dias/1821/10/22/pdfs/GMD-1821-301.pdf#page=2","Abrir facsímil")</f>
        <v>Abrir facsímil</v>
      </c>
      <c r="K5455" s="3" t="s">
        <v>23</v>
      </c>
    </row>
    <row r="5456" spans="1:11" ht="42" customHeight="1">
      <c r="A5456" s="2" t="s">
        <v>10854</v>
      </c>
      <c r="B5456" s="2" t="s">
        <v>10854</v>
      </c>
      <c r="C5456" s="2" t="s">
        <v>17</v>
      </c>
      <c r="D5456" s="2" t="s">
        <v>18</v>
      </c>
      <c r="E5456" s="5">
        <v>-28553</v>
      </c>
      <c r="F5456" s="3" t="s">
        <v>182</v>
      </c>
      <c r="G5456" s="3" t="s">
        <v>29</v>
      </c>
      <c r="H5456" s="2" t="s">
        <v>21</v>
      </c>
      <c r="I5456" s="2" t="s">
        <v>10859</v>
      </c>
      <c r="J5456" s="3" t="str">
        <f>HYPERLINK("https://www.boe.es/gazeta/dias/1821/10/27/pdfs/GMD-1821-306.pdf#page=6","Abrir facsímil")</f>
        <v>Abrir facsímil</v>
      </c>
      <c r="K5456" s="3" t="s">
        <v>23</v>
      </c>
    </row>
    <row r="5457" spans="1:11" ht="42" customHeight="1">
      <c r="A5457" s="2" t="s">
        <v>10854</v>
      </c>
      <c r="B5457" s="2" t="s">
        <v>10854</v>
      </c>
      <c r="C5457" s="2" t="s">
        <v>17</v>
      </c>
      <c r="D5457" s="2" t="s">
        <v>18</v>
      </c>
      <c r="E5457" s="5">
        <v>-28549</v>
      </c>
      <c r="F5457" s="3" t="s">
        <v>930</v>
      </c>
      <c r="G5457" s="3" t="s">
        <v>162</v>
      </c>
      <c r="H5457" s="2" t="s">
        <v>21</v>
      </c>
      <c r="I5457" s="2" t="s">
        <v>10860</v>
      </c>
      <c r="J5457" s="3" t="str">
        <f>HYPERLINK("https://www.boe.es/gazeta/dias/1821/10/31/pdfs/GMD-1821-310.pdf#page=5","Abrir facsímil")</f>
        <v>Abrir facsímil</v>
      </c>
      <c r="K5457" s="3" t="s">
        <v>23</v>
      </c>
    </row>
    <row r="5458" spans="1:11" ht="42" customHeight="1">
      <c r="A5458" s="2" t="s">
        <v>10854</v>
      </c>
      <c r="B5458" s="2" t="s">
        <v>10854</v>
      </c>
      <c r="C5458" s="2" t="s">
        <v>17</v>
      </c>
      <c r="D5458" s="2" t="s">
        <v>18</v>
      </c>
      <c r="E5458" s="5">
        <v>-28544</v>
      </c>
      <c r="F5458" s="3" t="s">
        <v>139</v>
      </c>
      <c r="G5458" s="3" t="s">
        <v>88</v>
      </c>
      <c r="H5458" s="2" t="s">
        <v>21</v>
      </c>
      <c r="I5458" s="2" t="s">
        <v>10861</v>
      </c>
      <c r="J5458" s="3" t="str">
        <f>HYPERLINK("https://www.boe.es/gazeta/dias/1821/11/05/pdfs/GMD-1821-316.pdf#page=4","Abrir facsímil")</f>
        <v>Abrir facsímil</v>
      </c>
      <c r="K5458" s="3" t="s">
        <v>23</v>
      </c>
    </row>
    <row r="5459" spans="1:11" ht="42" customHeight="1">
      <c r="A5459" s="2" t="s">
        <v>10854</v>
      </c>
      <c r="B5459" s="2" t="s">
        <v>10854</v>
      </c>
      <c r="C5459" s="2" t="s">
        <v>17</v>
      </c>
      <c r="D5459" s="2" t="s">
        <v>18</v>
      </c>
      <c r="E5459" s="5">
        <v>-28531</v>
      </c>
      <c r="F5459" s="3" t="s">
        <v>365</v>
      </c>
      <c r="G5459" s="3" t="s">
        <v>20</v>
      </c>
      <c r="H5459" s="2" t="s">
        <v>21</v>
      </c>
      <c r="I5459" s="2" t="s">
        <v>10862</v>
      </c>
      <c r="J5459" s="3" t="str">
        <f>HYPERLINK("https://www.boe.es/gazeta/dias/1821/11/18/pdfs/GMD-1821-329.pdf#page=3","Abrir facsímil")</f>
        <v>Abrir facsímil</v>
      </c>
      <c r="K5459" s="3" t="s">
        <v>23</v>
      </c>
    </row>
    <row r="5460" spans="1:11" ht="42" customHeight="1">
      <c r="A5460" s="2" t="s">
        <v>10854</v>
      </c>
      <c r="B5460" s="2" t="s">
        <v>10854</v>
      </c>
      <c r="C5460" s="2" t="s">
        <v>40</v>
      </c>
      <c r="D5460" s="2" t="s">
        <v>41</v>
      </c>
      <c r="E5460" s="5">
        <v>-28529</v>
      </c>
      <c r="F5460" s="3" t="s">
        <v>525</v>
      </c>
      <c r="G5460" s="3" t="s">
        <v>88</v>
      </c>
      <c r="H5460" s="2" t="s">
        <v>21</v>
      </c>
      <c r="I5460" s="2" t="s">
        <v>10863</v>
      </c>
      <c r="J5460" s="3" t="str">
        <f>HYPERLINK("https://www.boe.es/gazeta/dias/1821/11/20/pdfs/GMD-1821-331.pdf#page=4","Abrir facsímil")</f>
        <v>Abrir facsímil</v>
      </c>
      <c r="K5460" s="3" t="s">
        <v>23</v>
      </c>
    </row>
    <row r="5461" spans="1:11" ht="42" customHeight="1">
      <c r="A5461" s="2" t="s">
        <v>10864</v>
      </c>
      <c r="B5461" s="2" t="s">
        <v>10865</v>
      </c>
      <c r="C5461" s="2" t="s">
        <v>40</v>
      </c>
      <c r="D5461" s="2" t="s">
        <v>41</v>
      </c>
      <c r="E5461" s="5">
        <v>-28791</v>
      </c>
      <c r="F5461" s="3" t="s">
        <v>47</v>
      </c>
      <c r="G5461" s="3" t="s">
        <v>20</v>
      </c>
      <c r="H5461" s="2" t="s">
        <v>21</v>
      </c>
      <c r="I5461" s="2" t="s">
        <v>10866</v>
      </c>
      <c r="J5461" s="3" t="str">
        <f>HYPERLINK("https://www.boe.es/gazeta/dias/1821/03/03/pdfs/GGB-1821-62.pdf#page=3","Abrir facsímil")</f>
        <v>Abrir facsímil</v>
      </c>
      <c r="K5461" s="3" t="s">
        <v>23</v>
      </c>
    </row>
    <row r="5462" spans="1:11" ht="42" customHeight="1">
      <c r="A5462" s="2" t="s">
        <v>10867</v>
      </c>
      <c r="B5462" s="2" t="s">
        <v>10868</v>
      </c>
      <c r="C5462" s="2" t="s">
        <v>494</v>
      </c>
      <c r="D5462" s="2" t="s">
        <v>18</v>
      </c>
      <c r="E5462" s="5">
        <v>-28528</v>
      </c>
      <c r="F5462" s="3" t="s">
        <v>1872</v>
      </c>
      <c r="G5462" s="3" t="s">
        <v>52</v>
      </c>
      <c r="H5462" s="2" t="s">
        <v>21</v>
      </c>
      <c r="I5462" s="2" t="s">
        <v>10869</v>
      </c>
      <c r="J5462" s="3" t="str">
        <f>HYPERLINK("https://www.boe.es/gazeta/dias/1821/11/21/pdfs/GMD-1821-332.pdf#page=2","Abrir facsímil")</f>
        <v>Abrir facsímil</v>
      </c>
      <c r="K5462" s="3" t="s">
        <v>23</v>
      </c>
    </row>
    <row r="5463" spans="1:11" ht="42" customHeight="1">
      <c r="A5463" s="2" t="s">
        <v>10870</v>
      </c>
      <c r="B5463" s="2" t="s">
        <v>10871</v>
      </c>
      <c r="C5463" s="2" t="s">
        <v>17</v>
      </c>
      <c r="D5463" s="2" t="s">
        <v>18</v>
      </c>
      <c r="E5463" s="5">
        <v>-28799</v>
      </c>
      <c r="F5463" s="3" t="s">
        <v>3158</v>
      </c>
      <c r="G5463" s="3" t="s">
        <v>20</v>
      </c>
      <c r="H5463" s="2" t="s">
        <v>21</v>
      </c>
      <c r="I5463" s="2" t="s">
        <v>10872</v>
      </c>
      <c r="J5463" s="3" t="str">
        <f>HYPERLINK("https://www.boe.es/gazeta/dias/1821/02/23/pdfs/GGB-1821-54.pdf#page=3","Abrir facsímil")</f>
        <v>Abrir facsímil</v>
      </c>
      <c r="K5463" s="3" t="s">
        <v>23</v>
      </c>
    </row>
    <row r="5464" spans="1:11" ht="42" customHeight="1">
      <c r="A5464" s="2" t="s">
        <v>10873</v>
      </c>
      <c r="B5464" s="2" t="s">
        <v>10873</v>
      </c>
      <c r="C5464" s="2" t="s">
        <v>17</v>
      </c>
      <c r="D5464" s="2" t="s">
        <v>18</v>
      </c>
      <c r="E5464" s="5">
        <v>-28739</v>
      </c>
      <c r="F5464" s="3" t="s">
        <v>1024</v>
      </c>
      <c r="G5464" s="3" t="s">
        <v>1025</v>
      </c>
      <c r="H5464" s="2" t="s">
        <v>21</v>
      </c>
      <c r="I5464" s="2" t="s">
        <v>10874</v>
      </c>
      <c r="J5464" s="3" t="str">
        <f>HYPERLINK("https://www.boe.es/gazeta/dias/1821/04/24/pdfs/GMD-1821-116.pdf#page=3","Abrir facsímil")</f>
        <v>Abrir facsímil</v>
      </c>
      <c r="K5464" s="3" t="s">
        <v>23</v>
      </c>
    </row>
    <row r="5465" spans="1:11" ht="42" customHeight="1">
      <c r="A5465" s="2" t="s">
        <v>10875</v>
      </c>
      <c r="B5465" s="2" t="s">
        <v>10875</v>
      </c>
      <c r="C5465" s="2" t="s">
        <v>26</v>
      </c>
      <c r="D5465" s="2" t="s">
        <v>27</v>
      </c>
      <c r="E5465" s="5">
        <v>-28836</v>
      </c>
      <c r="F5465" s="3" t="s">
        <v>601</v>
      </c>
      <c r="G5465" s="3" t="s">
        <v>88</v>
      </c>
      <c r="H5465" s="2" t="s">
        <v>21</v>
      </c>
      <c r="I5465" s="2" t="s">
        <v>10876</v>
      </c>
      <c r="J5465" s="3" t="str">
        <f>HYPERLINK("https://www.boe.es/gazeta/dias/1821/01/17/pdfs/GGB-1821-17.pdf#page=4","Abrir facsímil")</f>
        <v>Abrir facsímil</v>
      </c>
      <c r="K5465" s="3" t="s">
        <v>23</v>
      </c>
    </row>
    <row r="5466" spans="1:11" ht="42" customHeight="1">
      <c r="A5466" s="2" t="s">
        <v>10877</v>
      </c>
      <c r="B5466" s="2" t="s">
        <v>10878</v>
      </c>
      <c r="C5466" s="2" t="s">
        <v>17</v>
      </c>
      <c r="D5466" s="2" t="s">
        <v>18</v>
      </c>
      <c r="E5466" s="5">
        <v>-28768</v>
      </c>
      <c r="F5466" s="3" t="s">
        <v>1114</v>
      </c>
      <c r="G5466" s="3" t="s">
        <v>20</v>
      </c>
      <c r="H5466" s="2" t="s">
        <v>30</v>
      </c>
      <c r="I5466" s="2" t="s">
        <v>10879</v>
      </c>
      <c r="J5466" s="3" t="str">
        <f>HYPERLINK("https://www.boe.es/gazeta/dias/1821/03/26/pdfs/GMD-1821-86.pdf#page=3","Abrir facsímil")</f>
        <v>Abrir facsímil</v>
      </c>
      <c r="K5466" s="3" t="s">
        <v>32</v>
      </c>
    </row>
    <row r="5467" spans="1:11" ht="42" customHeight="1">
      <c r="A5467" s="2" t="s">
        <v>10880</v>
      </c>
      <c r="B5467" s="2" t="s">
        <v>10881</v>
      </c>
      <c r="C5467" s="2" t="s">
        <v>17</v>
      </c>
      <c r="D5467" s="2" t="s">
        <v>18</v>
      </c>
      <c r="E5467" s="5">
        <v>-28533</v>
      </c>
      <c r="F5467" s="3" t="s">
        <v>559</v>
      </c>
      <c r="G5467" s="3" t="s">
        <v>29</v>
      </c>
      <c r="H5467" s="2" t="s">
        <v>30</v>
      </c>
      <c r="I5467" s="2" t="s">
        <v>10882</v>
      </c>
      <c r="J5467" s="3" t="str">
        <f>HYPERLINK("https://www.boe.es/gazeta/dias/1821/11/16/pdfs/GMD-1821-327.pdf#page=6","Abrir facsímil")</f>
        <v>Abrir facsímil</v>
      </c>
      <c r="K5467" s="3" t="s">
        <v>32</v>
      </c>
    </row>
    <row r="5468" spans="1:11" ht="42" customHeight="1">
      <c r="A5468" s="2" t="s">
        <v>10883</v>
      </c>
      <c r="B5468" s="2" t="s">
        <v>10883</v>
      </c>
      <c r="C5468" s="2" t="s">
        <v>70</v>
      </c>
      <c r="D5468" s="2" t="s">
        <v>27</v>
      </c>
      <c r="E5468" s="5">
        <v>-28724</v>
      </c>
      <c r="F5468" s="3" t="s">
        <v>1305</v>
      </c>
      <c r="G5468" s="3" t="s">
        <v>20</v>
      </c>
      <c r="H5468" s="2" t="s">
        <v>21</v>
      </c>
      <c r="I5468" s="2" t="s">
        <v>10884</v>
      </c>
      <c r="J5468" s="3" t="str">
        <f>HYPERLINK("https://www.boe.es/gazeta/dias/1821/05/09/pdfs/GMD-1821-131.pdf#page=3","Abrir facsímil")</f>
        <v>Abrir facsímil</v>
      </c>
      <c r="K5468" s="3" t="s">
        <v>23</v>
      </c>
    </row>
    <row r="5469" spans="1:11" ht="42" customHeight="1">
      <c r="A5469" s="2" t="s">
        <v>10883</v>
      </c>
      <c r="B5469" s="2" t="s">
        <v>10883</v>
      </c>
      <c r="C5469" s="2" t="s">
        <v>35</v>
      </c>
      <c r="D5469" s="2" t="s">
        <v>27</v>
      </c>
      <c r="E5469" s="5">
        <v>-28720</v>
      </c>
      <c r="F5469" s="3" t="s">
        <v>492</v>
      </c>
      <c r="G5469" s="3" t="s">
        <v>88</v>
      </c>
      <c r="H5469" s="2" t="s">
        <v>21</v>
      </c>
      <c r="I5469" s="2" t="s">
        <v>10885</v>
      </c>
      <c r="J5469" s="3" t="str">
        <f>HYPERLINK("https://www.boe.es/gazeta/dias/1821/05/13/pdfs/GMD-1821-135.pdf#page=4","Abrir facsímil")</f>
        <v>Abrir facsímil</v>
      </c>
      <c r="K5469" s="3" t="s">
        <v>23</v>
      </c>
    </row>
    <row r="5470" spans="1:11" ht="42" customHeight="1">
      <c r="A5470" s="2" t="s">
        <v>10883</v>
      </c>
      <c r="B5470" s="2" t="s">
        <v>10883</v>
      </c>
      <c r="C5470" s="2" t="s">
        <v>35</v>
      </c>
      <c r="D5470" s="2" t="s">
        <v>27</v>
      </c>
      <c r="E5470" s="5">
        <v>-28570</v>
      </c>
      <c r="F5470" s="3" t="s">
        <v>2300</v>
      </c>
      <c r="G5470" s="3" t="s">
        <v>20</v>
      </c>
      <c r="H5470" s="2" t="s">
        <v>21</v>
      </c>
      <c r="I5470" s="2" t="s">
        <v>10886</v>
      </c>
      <c r="J5470" s="3" t="str">
        <f>HYPERLINK("https://www.boe.es/gazeta/dias/1821/10/10/pdfs/GMD-1821-289.pdf#page=3","Abrir facsímil")</f>
        <v>Abrir facsímil</v>
      </c>
      <c r="K5470" s="3" t="s">
        <v>23</v>
      </c>
    </row>
    <row r="5471" spans="1:11" ht="42" customHeight="1">
      <c r="A5471" s="2" t="s">
        <v>10883</v>
      </c>
      <c r="B5471" s="2" t="s">
        <v>10883</v>
      </c>
      <c r="C5471" s="2" t="s">
        <v>40</v>
      </c>
      <c r="D5471" s="2" t="s">
        <v>41</v>
      </c>
      <c r="E5471" s="5">
        <v>-28566</v>
      </c>
      <c r="F5471" s="3" t="s">
        <v>1529</v>
      </c>
      <c r="G5471" s="3" t="s">
        <v>88</v>
      </c>
      <c r="H5471" s="2" t="s">
        <v>21</v>
      </c>
      <c r="I5471" s="2" t="s">
        <v>10887</v>
      </c>
      <c r="J5471" s="3" t="str">
        <f>HYPERLINK("https://www.boe.es/gazeta/dias/1821/10/14/pdfs/GMD-1821-293.pdf#page=4","Abrir facsímil")</f>
        <v>Abrir facsímil</v>
      </c>
      <c r="K5471" s="3" t="s">
        <v>23</v>
      </c>
    </row>
    <row r="5472" spans="1:11" ht="42" customHeight="1">
      <c r="A5472" s="2" t="s">
        <v>10883</v>
      </c>
      <c r="B5472" s="2" t="s">
        <v>10883</v>
      </c>
      <c r="C5472" s="2" t="s">
        <v>17</v>
      </c>
      <c r="D5472" s="2" t="s">
        <v>18</v>
      </c>
      <c r="E5472" s="5">
        <v>-28535</v>
      </c>
      <c r="F5472" s="3" t="s">
        <v>96</v>
      </c>
      <c r="G5472" s="3" t="s">
        <v>52</v>
      </c>
      <c r="H5472" s="2" t="s">
        <v>21</v>
      </c>
      <c r="I5472" s="2" t="s">
        <v>10888</v>
      </c>
      <c r="J5472" s="3" t="str">
        <f>HYPERLINK("https://www.boe.es/gazeta/dias/1821/11/14/pdfs/GMD-1821-325.pdf#page=2","Abrir facsímil")</f>
        <v>Abrir facsímil</v>
      </c>
      <c r="K5472" s="3" t="s">
        <v>23</v>
      </c>
    </row>
    <row r="5473" spans="1:11" ht="42" customHeight="1">
      <c r="A5473" s="2" t="s">
        <v>10883</v>
      </c>
      <c r="B5473" s="2" t="s">
        <v>10883</v>
      </c>
      <c r="C5473" s="2" t="s">
        <v>40</v>
      </c>
      <c r="D5473" s="2" t="s">
        <v>41</v>
      </c>
      <c r="E5473" s="5">
        <v>-28514</v>
      </c>
      <c r="F5473" s="3" t="s">
        <v>103</v>
      </c>
      <c r="G5473" s="3" t="s">
        <v>52</v>
      </c>
      <c r="H5473" s="2" t="s">
        <v>21</v>
      </c>
      <c r="I5473" s="2" t="s">
        <v>10889</v>
      </c>
      <c r="J5473" s="3" t="str">
        <f>HYPERLINK("https://www.boe.es/gazeta/dias/1821/12/05/pdfs/GMD-1821-347.pdf#page=2","Abrir facsímil")</f>
        <v>Abrir facsímil</v>
      </c>
      <c r="K5473" s="3" t="s">
        <v>23</v>
      </c>
    </row>
    <row r="5474" spans="1:11" ht="42" customHeight="1">
      <c r="A5474" s="2" t="s">
        <v>10883</v>
      </c>
      <c r="B5474" s="2" t="s">
        <v>10883</v>
      </c>
      <c r="C5474" s="2" t="s">
        <v>17</v>
      </c>
      <c r="D5474" s="2" t="s">
        <v>18</v>
      </c>
      <c r="E5474" s="5">
        <v>-28509</v>
      </c>
      <c r="F5474" s="3" t="s">
        <v>388</v>
      </c>
      <c r="G5474" s="3" t="s">
        <v>609</v>
      </c>
      <c r="H5474" s="2" t="s">
        <v>21</v>
      </c>
      <c r="I5474" s="2" t="s">
        <v>10890</v>
      </c>
      <c r="J5474" s="3" t="str">
        <f>HYPERLINK("https://www.boe.es/gazeta/dias/1821/12/10/pdfs/GMD-1821-352.pdf#page=7","Abrir facsímil")</f>
        <v>Abrir facsímil</v>
      </c>
      <c r="K5474" s="3" t="s">
        <v>23</v>
      </c>
    </row>
    <row r="5475" spans="1:11" ht="42" customHeight="1">
      <c r="A5475" s="2" t="s">
        <v>10891</v>
      </c>
      <c r="B5475" s="2" t="s">
        <v>10892</v>
      </c>
      <c r="C5475" s="2" t="s">
        <v>17</v>
      </c>
      <c r="D5475" s="2" t="s">
        <v>18</v>
      </c>
      <c r="E5475" s="5">
        <v>-28738</v>
      </c>
      <c r="F5475" s="3" t="s">
        <v>359</v>
      </c>
      <c r="G5475" s="3" t="s">
        <v>88</v>
      </c>
      <c r="H5475" s="2" t="s">
        <v>21</v>
      </c>
      <c r="I5475" s="2" t="s">
        <v>10893</v>
      </c>
      <c r="J5475" s="3" t="str">
        <f>HYPERLINK("https://www.boe.es/gazeta/dias/1821/04/25/pdfs/GMD-1821-117.pdf#page=4","Abrir facsímil")</f>
        <v>Abrir facsímil</v>
      </c>
      <c r="K5475" s="3" t="s">
        <v>23</v>
      </c>
    </row>
    <row r="5476" spans="1:11" ht="42" customHeight="1">
      <c r="A5476" s="2" t="s">
        <v>10894</v>
      </c>
      <c r="B5476" s="2" t="s">
        <v>10894</v>
      </c>
      <c r="C5476" s="2" t="s">
        <v>26</v>
      </c>
      <c r="D5476" s="2" t="s">
        <v>27</v>
      </c>
      <c r="E5476" s="5">
        <v>-28751</v>
      </c>
      <c r="F5476" s="3" t="s">
        <v>356</v>
      </c>
      <c r="G5476" s="3" t="s">
        <v>43</v>
      </c>
      <c r="H5476" s="2" t="s">
        <v>21</v>
      </c>
      <c r="I5476" s="2" t="s">
        <v>10895</v>
      </c>
      <c r="J5476" s="3" t="str">
        <f>HYPERLINK("https://www.boe.es/gazeta/dias/1821/04/12/pdfs/GMD-1821-104.pdf#page=1","Abrir facsímil")</f>
        <v>Abrir facsímil</v>
      </c>
      <c r="K5476" s="3" t="s">
        <v>23</v>
      </c>
    </row>
    <row r="5477" spans="1:11" ht="42" customHeight="1">
      <c r="A5477" s="2" t="s">
        <v>10896</v>
      </c>
      <c r="B5477" s="2" t="s">
        <v>10897</v>
      </c>
      <c r="C5477" s="2" t="s">
        <v>40</v>
      </c>
      <c r="D5477" s="2" t="s">
        <v>41</v>
      </c>
      <c r="E5477" s="5">
        <v>-28755</v>
      </c>
      <c r="F5477" s="3" t="s">
        <v>906</v>
      </c>
      <c r="G5477" s="3" t="s">
        <v>52</v>
      </c>
      <c r="H5477" s="2" t="s">
        <v>30</v>
      </c>
      <c r="I5477" s="2" t="s">
        <v>10898</v>
      </c>
      <c r="J5477" s="3" t="str">
        <f>HYPERLINK("https://www.boe.es/gazeta/dias/1821/04/08/pdfs/GMD-1821-100.pdf#page=2","Abrir facsímil")</f>
        <v>Abrir facsímil</v>
      </c>
      <c r="K5477" s="3" t="s">
        <v>32</v>
      </c>
    </row>
    <row r="5478" spans="1:11" ht="42" customHeight="1">
      <c r="A5478" s="2" t="s">
        <v>10899</v>
      </c>
      <c r="B5478" s="2" t="s">
        <v>10899</v>
      </c>
      <c r="C5478" s="2" t="s">
        <v>40</v>
      </c>
      <c r="D5478" s="2" t="s">
        <v>41</v>
      </c>
      <c r="E5478" s="5">
        <v>-28733</v>
      </c>
      <c r="F5478" s="3" t="s">
        <v>1033</v>
      </c>
      <c r="G5478" s="3" t="s">
        <v>7434</v>
      </c>
      <c r="H5478" s="2" t="s">
        <v>21</v>
      </c>
      <c r="I5478" s="2" t="s">
        <v>10900</v>
      </c>
      <c r="J5478" s="3" t="str">
        <f>HYPERLINK("https://www.boe.es/gazeta/dias/1821/04/30/pdfs/GMD-1821-122.pdf#page=4","Abrir facsímil")</f>
        <v>Abrir facsímil</v>
      </c>
      <c r="K5478" s="3" t="s">
        <v>23</v>
      </c>
    </row>
    <row r="5479" spans="1:11" ht="42" customHeight="1">
      <c r="A5479" s="2" t="s">
        <v>10901</v>
      </c>
      <c r="B5479" s="2" t="s">
        <v>10902</v>
      </c>
      <c r="C5479" s="2" t="s">
        <v>40</v>
      </c>
      <c r="D5479" s="2" t="s">
        <v>41</v>
      </c>
      <c r="E5479" s="5">
        <v>-28740</v>
      </c>
      <c r="F5479" s="3" t="s">
        <v>2800</v>
      </c>
      <c r="G5479" s="3" t="s">
        <v>52</v>
      </c>
      <c r="H5479" s="2" t="s">
        <v>21</v>
      </c>
      <c r="I5479" s="2" t="s">
        <v>10903</v>
      </c>
      <c r="J5479" s="3" t="str">
        <f>HYPERLINK("https://www.boe.es/gazeta/dias/1821/04/23/pdfs/GMD-1821-115.pdf#page=2","Abrir facsímil")</f>
        <v>Abrir facsímil</v>
      </c>
      <c r="K5479" s="3" t="s">
        <v>23</v>
      </c>
    </row>
    <row r="5480" spans="1:11" ht="42" customHeight="1">
      <c r="A5480" s="2" t="s">
        <v>10904</v>
      </c>
      <c r="B5480" s="2" t="s">
        <v>10905</v>
      </c>
      <c r="C5480" s="2" t="s">
        <v>40</v>
      </c>
      <c r="D5480" s="2" t="s">
        <v>41</v>
      </c>
      <c r="E5480" s="5">
        <v>-28762</v>
      </c>
      <c r="F5480" s="3" t="s">
        <v>608</v>
      </c>
      <c r="G5480" s="3" t="s">
        <v>29</v>
      </c>
      <c r="H5480" s="2" t="s">
        <v>21</v>
      </c>
      <c r="I5480" s="2" t="s">
        <v>10906</v>
      </c>
      <c r="J5480" s="3" t="str">
        <f>HYPERLINK("https://www.boe.es/gazeta/dias/1821/04/01/pdfs/GMD-1821-93.pdf#page=6","Abrir facsímil")</f>
        <v>Abrir facsímil</v>
      </c>
      <c r="K5480" s="3" t="s">
        <v>23</v>
      </c>
    </row>
    <row r="5481" spans="1:11" ht="42" customHeight="1">
      <c r="A5481" s="2" t="s">
        <v>10907</v>
      </c>
      <c r="B5481" s="2" t="s">
        <v>10907</v>
      </c>
      <c r="C5481" s="2" t="s">
        <v>26</v>
      </c>
      <c r="D5481" s="2" t="s">
        <v>27</v>
      </c>
      <c r="E5481" s="5">
        <v>-28660</v>
      </c>
      <c r="F5481" s="3" t="s">
        <v>7202</v>
      </c>
      <c r="G5481" s="3" t="s">
        <v>20</v>
      </c>
      <c r="H5481" s="2" t="s">
        <v>21</v>
      </c>
      <c r="I5481" s="2" t="s">
        <v>10908</v>
      </c>
      <c r="J5481" s="3" t="str">
        <f>HYPERLINK("https://www.boe.es/gazeta/dias/1821/07/12/pdfs/GMD-1821-197.pdf#page=3","Abrir facsímil")</f>
        <v>Abrir facsímil</v>
      </c>
      <c r="K5481" s="3" t="s">
        <v>23</v>
      </c>
    </row>
    <row r="5482" spans="1:11" ht="42" customHeight="1">
      <c r="A5482" s="2" t="s">
        <v>10909</v>
      </c>
      <c r="B5482" s="2" t="s">
        <v>10909</v>
      </c>
      <c r="C5482" s="2" t="s">
        <v>40</v>
      </c>
      <c r="D5482" s="2" t="s">
        <v>41</v>
      </c>
      <c r="E5482" s="5">
        <v>-28655</v>
      </c>
      <c r="F5482" s="3" t="s">
        <v>2530</v>
      </c>
      <c r="G5482" s="3" t="s">
        <v>52</v>
      </c>
      <c r="H5482" s="2" t="s">
        <v>21</v>
      </c>
      <c r="I5482" s="2" t="s">
        <v>10910</v>
      </c>
      <c r="J5482" s="3" t="str">
        <f>HYPERLINK("https://www.boe.es/gazeta/dias/1821/07/17/pdfs/GMD-1821-202.pdf#page=2","Abrir facsímil")</f>
        <v>Abrir facsímil</v>
      </c>
      <c r="K5482" s="3" t="s">
        <v>23</v>
      </c>
    </row>
    <row r="5483" spans="1:11" ht="42" customHeight="1">
      <c r="A5483" s="2" t="s">
        <v>10911</v>
      </c>
      <c r="B5483" s="2" t="s">
        <v>10911</v>
      </c>
      <c r="C5483" s="2" t="s">
        <v>40</v>
      </c>
      <c r="D5483" s="2" t="s">
        <v>41</v>
      </c>
      <c r="E5483" s="5">
        <v>-28706</v>
      </c>
      <c r="F5483" s="3" t="s">
        <v>4791</v>
      </c>
      <c r="G5483" s="3" t="s">
        <v>52</v>
      </c>
      <c r="H5483" s="2" t="s">
        <v>21</v>
      </c>
      <c r="I5483" s="2" t="s">
        <v>10912</v>
      </c>
      <c r="J5483" s="3" t="str">
        <f>HYPERLINK("https://www.boe.es/gazeta/dias/1821/05/27/pdfs/GMD-1821-149.pdf#page=2","Abrir facsímil")</f>
        <v>Abrir facsímil</v>
      </c>
      <c r="K5483" s="3" t="s">
        <v>23</v>
      </c>
    </row>
    <row r="5484" spans="1:11" ht="42" customHeight="1">
      <c r="A5484" s="2" t="s">
        <v>10913</v>
      </c>
      <c r="B5484" s="2" t="s">
        <v>10914</v>
      </c>
      <c r="C5484" s="2" t="s">
        <v>40</v>
      </c>
      <c r="D5484" s="2" t="s">
        <v>41</v>
      </c>
      <c r="E5484" s="5">
        <v>-28563</v>
      </c>
      <c r="F5484" s="3" t="s">
        <v>118</v>
      </c>
      <c r="G5484" s="3" t="s">
        <v>20</v>
      </c>
      <c r="H5484" s="2" t="s">
        <v>21</v>
      </c>
      <c r="I5484" s="2" t="s">
        <v>10915</v>
      </c>
      <c r="J5484" s="3" t="str">
        <f>HYPERLINK("https://www.boe.es/gazeta/dias/1821/10/17/pdfs/GMD-1821-296.pdf#page=3","Abrir facsímil")</f>
        <v>Abrir facsímil</v>
      </c>
      <c r="K5484" s="3" t="s">
        <v>23</v>
      </c>
    </row>
    <row r="5485" spans="1:11" ht="42" customHeight="1">
      <c r="A5485" s="2" t="s">
        <v>10916</v>
      </c>
      <c r="B5485" s="2" t="s">
        <v>10916</v>
      </c>
      <c r="C5485" s="2" t="s">
        <v>17</v>
      </c>
      <c r="D5485" s="2" t="s">
        <v>18</v>
      </c>
      <c r="E5485" s="5">
        <v>-28773</v>
      </c>
      <c r="F5485" s="3" t="s">
        <v>1755</v>
      </c>
      <c r="G5485" s="3" t="s">
        <v>52</v>
      </c>
      <c r="H5485" s="2" t="s">
        <v>21</v>
      </c>
      <c r="I5485" s="2" t="s">
        <v>10917</v>
      </c>
      <c r="J5485" s="3" t="str">
        <f>HYPERLINK("https://www.boe.es/gazeta/dias/1821/03/21/pdfs/GMD-1821-80.pdf#page=2","Abrir facsímil")</f>
        <v>Abrir facsímil</v>
      </c>
      <c r="K5485" s="3" t="s">
        <v>23</v>
      </c>
    </row>
    <row r="5486" spans="1:11" ht="42" customHeight="1">
      <c r="A5486" s="2" t="s">
        <v>10918</v>
      </c>
      <c r="B5486" s="2" t="s">
        <v>10918</v>
      </c>
      <c r="C5486" s="2" t="s">
        <v>40</v>
      </c>
      <c r="D5486" s="2" t="s">
        <v>41</v>
      </c>
      <c r="E5486" s="5">
        <v>-28599</v>
      </c>
      <c r="F5486" s="3" t="s">
        <v>902</v>
      </c>
      <c r="G5486" s="3" t="s">
        <v>20</v>
      </c>
      <c r="H5486" s="2" t="s">
        <v>21</v>
      </c>
      <c r="I5486" s="2" t="s">
        <v>10919</v>
      </c>
      <c r="J5486" s="3" t="str">
        <f>HYPERLINK("https://www.boe.es/gazeta/dias/1821/09/11/pdfs/GMD-1821-259.pdf#page=3","Abrir facsímil")</f>
        <v>Abrir facsímil</v>
      </c>
      <c r="K5486" s="3" t="s">
        <v>23</v>
      </c>
    </row>
    <row r="5487" spans="1:11" ht="42" customHeight="1">
      <c r="A5487" s="2" t="s">
        <v>10920</v>
      </c>
      <c r="B5487" s="2" t="s">
        <v>10920</v>
      </c>
      <c r="C5487" s="2" t="s">
        <v>279</v>
      </c>
      <c r="D5487" s="2" t="s">
        <v>27</v>
      </c>
      <c r="E5487" s="5">
        <v>-28613</v>
      </c>
      <c r="F5487" s="3" t="s">
        <v>178</v>
      </c>
      <c r="G5487" s="3" t="s">
        <v>43</v>
      </c>
      <c r="H5487" s="2" t="s">
        <v>21</v>
      </c>
      <c r="I5487" s="2" t="s">
        <v>10921</v>
      </c>
      <c r="J5487" s="3" t="str">
        <f>HYPERLINK("https://www.boe.es/gazeta/dias/1821/08/28/pdfs/GMD-1821-245.pdf#page=1","Abrir facsímil")</f>
        <v>Abrir facsímil</v>
      </c>
      <c r="K5487" s="3" t="s">
        <v>23</v>
      </c>
    </row>
    <row r="5488" spans="1:11" ht="42" customHeight="1">
      <c r="A5488" s="2" t="s">
        <v>10920</v>
      </c>
      <c r="B5488" s="2" t="s">
        <v>10920</v>
      </c>
      <c r="C5488" s="2" t="s">
        <v>70</v>
      </c>
      <c r="D5488" s="2" t="s">
        <v>27</v>
      </c>
      <c r="E5488" s="5">
        <v>-28612</v>
      </c>
      <c r="F5488" s="3" t="s">
        <v>1902</v>
      </c>
      <c r="G5488" s="3" t="s">
        <v>43</v>
      </c>
      <c r="H5488" s="2" t="s">
        <v>21</v>
      </c>
      <c r="I5488" s="2" t="s">
        <v>10922</v>
      </c>
      <c r="J5488" s="3" t="str">
        <f>HYPERLINK("https://www.boe.es/gazeta/dias/1821/08/29/pdfs/GMD-1821-246.pdf#page=1","Abrir facsímil")</f>
        <v>Abrir facsímil</v>
      </c>
      <c r="K5488" s="3" t="s">
        <v>23</v>
      </c>
    </row>
    <row r="5489" spans="1:11" ht="42" customHeight="1">
      <c r="A5489" s="2" t="s">
        <v>10920</v>
      </c>
      <c r="B5489" s="2" t="s">
        <v>10920</v>
      </c>
      <c r="C5489" s="2" t="s">
        <v>40</v>
      </c>
      <c r="D5489" s="2" t="s">
        <v>41</v>
      </c>
      <c r="E5489" s="5">
        <v>-28596</v>
      </c>
      <c r="F5489" s="3" t="s">
        <v>1275</v>
      </c>
      <c r="G5489" s="3" t="s">
        <v>20</v>
      </c>
      <c r="H5489" s="2" t="s">
        <v>21</v>
      </c>
      <c r="I5489" s="2" t="s">
        <v>10923</v>
      </c>
      <c r="J5489" s="3" t="str">
        <f>HYPERLINK("https://www.boe.es/gazeta/dias/1821/09/14/pdfs/GMD-1821-262.pdf#page=3","Abrir facsímil")</f>
        <v>Abrir facsímil</v>
      </c>
      <c r="K5489" s="3" t="s">
        <v>23</v>
      </c>
    </row>
    <row r="5490" spans="1:11" ht="42" customHeight="1">
      <c r="A5490" s="2" t="s">
        <v>10924</v>
      </c>
      <c r="B5490" s="2" t="s">
        <v>10924</v>
      </c>
      <c r="C5490" s="2" t="s">
        <v>26</v>
      </c>
      <c r="D5490" s="2" t="s">
        <v>27</v>
      </c>
      <c r="E5490" s="5">
        <v>-28834</v>
      </c>
      <c r="F5490" s="3" t="s">
        <v>369</v>
      </c>
      <c r="G5490" s="3" t="s">
        <v>88</v>
      </c>
      <c r="H5490" s="2" t="s">
        <v>21</v>
      </c>
      <c r="I5490" s="2" t="s">
        <v>10925</v>
      </c>
      <c r="J5490" s="3" t="str">
        <f>HYPERLINK("https://www.boe.es/gazeta/dias/1821/01/19/pdfs/GGB-1821-19.pdf#page=4","Abrir facsímil")</f>
        <v>Abrir facsímil</v>
      </c>
      <c r="K5490" s="3" t="s">
        <v>23</v>
      </c>
    </row>
    <row r="5491" spans="1:11" ht="42" customHeight="1">
      <c r="A5491" s="2" t="s">
        <v>10926</v>
      </c>
      <c r="B5491" s="2" t="s">
        <v>10927</v>
      </c>
      <c r="C5491" s="2" t="s">
        <v>70</v>
      </c>
      <c r="D5491" s="2" t="s">
        <v>27</v>
      </c>
      <c r="E5491" s="5">
        <v>-28500</v>
      </c>
      <c r="F5491" s="3" t="s">
        <v>298</v>
      </c>
      <c r="G5491" s="3" t="s">
        <v>299</v>
      </c>
      <c r="H5491" s="2" t="s">
        <v>21</v>
      </c>
      <c r="I5491" s="2" t="s">
        <v>10928</v>
      </c>
      <c r="J5491" s="3" t="str">
        <f>HYPERLINK("https://www.boe.es/gazeta/dias/1821/12/19/pdfs/GMD-1821-362.pdf#page=4","Abrir facsímil")</f>
        <v>Abrir facsímil</v>
      </c>
      <c r="K5491" s="3" t="s">
        <v>23</v>
      </c>
    </row>
    <row r="5492" spans="1:11" ht="42" customHeight="1">
      <c r="A5492" s="2" t="s">
        <v>10929</v>
      </c>
      <c r="B5492" s="2" t="s">
        <v>10929</v>
      </c>
      <c r="C5492" s="2" t="s">
        <v>26</v>
      </c>
      <c r="D5492" s="2" t="s">
        <v>27</v>
      </c>
      <c r="E5492" s="5">
        <v>-28525</v>
      </c>
      <c r="F5492" s="3" t="s">
        <v>186</v>
      </c>
      <c r="G5492" s="3" t="s">
        <v>88</v>
      </c>
      <c r="H5492" s="2" t="s">
        <v>21</v>
      </c>
      <c r="I5492" s="2" t="s">
        <v>10930</v>
      </c>
      <c r="J5492" s="3" t="str">
        <f>HYPERLINK("https://www.boe.es/gazeta/dias/1821/11/24/pdfs/GMD-1821-335.pdf#page=4","Abrir facsímil")</f>
        <v>Abrir facsímil</v>
      </c>
      <c r="K5492" s="3" t="s">
        <v>23</v>
      </c>
    </row>
    <row r="5493" spans="1:11" ht="42" customHeight="1">
      <c r="A5493" s="2" t="s">
        <v>10931</v>
      </c>
      <c r="B5493" s="2" t="s">
        <v>10932</v>
      </c>
      <c r="C5493" s="2" t="s">
        <v>40</v>
      </c>
      <c r="D5493" s="2" t="s">
        <v>41</v>
      </c>
      <c r="E5493" s="5">
        <v>-28621</v>
      </c>
      <c r="F5493" s="3" t="s">
        <v>1317</v>
      </c>
      <c r="G5493" s="3" t="s">
        <v>52</v>
      </c>
      <c r="H5493" s="2" t="s">
        <v>21</v>
      </c>
      <c r="I5493" s="2" t="s">
        <v>10933</v>
      </c>
      <c r="J5493" s="3" t="str">
        <f>HYPERLINK("https://www.boe.es/gazeta/dias/1821/08/20/pdfs/GMD-1821-237.pdf#page=2","Abrir facsímil")</f>
        <v>Abrir facsímil</v>
      </c>
      <c r="K5493" s="3" t="s">
        <v>23</v>
      </c>
    </row>
    <row r="5494" spans="1:11" ht="42" customHeight="1">
      <c r="A5494" s="2" t="s">
        <v>10934</v>
      </c>
      <c r="B5494" s="2" t="s">
        <v>10935</v>
      </c>
      <c r="C5494" s="2" t="s">
        <v>17</v>
      </c>
      <c r="D5494" s="2" t="s">
        <v>18</v>
      </c>
      <c r="E5494" s="5">
        <v>-28709</v>
      </c>
      <c r="F5494" s="3" t="s">
        <v>1434</v>
      </c>
      <c r="G5494" s="3" t="s">
        <v>1435</v>
      </c>
      <c r="H5494" s="2" t="s">
        <v>21</v>
      </c>
      <c r="I5494" s="2" t="s">
        <v>10936</v>
      </c>
      <c r="J5494" s="3" t="str">
        <f>HYPERLINK("https://www.boe.es/gazeta/dias/1821/05/24/pdfs/GMD-1821-146.pdf#page=2","Abrir facsímil")</f>
        <v>Abrir facsímil</v>
      </c>
      <c r="K5494" s="3" t="s">
        <v>23</v>
      </c>
    </row>
    <row r="5495" spans="1:11" ht="42" customHeight="1">
      <c r="A5495" s="2" t="s">
        <v>10937</v>
      </c>
      <c r="B5495" s="2" t="s">
        <v>10938</v>
      </c>
      <c r="C5495" s="2" t="s">
        <v>26</v>
      </c>
      <c r="D5495" s="2" t="s">
        <v>27</v>
      </c>
      <c r="E5495" s="5">
        <v>-28610</v>
      </c>
      <c r="F5495" s="3" t="s">
        <v>190</v>
      </c>
      <c r="G5495" s="3" t="s">
        <v>20</v>
      </c>
      <c r="H5495" s="2" t="s">
        <v>21</v>
      </c>
      <c r="I5495" s="2" t="s">
        <v>10939</v>
      </c>
      <c r="J5495" s="3" t="str">
        <f>HYPERLINK("https://www.boe.es/gazeta/dias/1821/08/31/pdfs/GMD-1821-248.pdf#page=3","Abrir facsímil")</f>
        <v>Abrir facsímil</v>
      </c>
      <c r="K5495" s="3" t="s">
        <v>23</v>
      </c>
    </row>
    <row r="5496" spans="1:11" ht="42" customHeight="1">
      <c r="A5496" s="2" t="s">
        <v>10940</v>
      </c>
      <c r="B5496" s="2" t="s">
        <v>10940</v>
      </c>
      <c r="C5496" s="2" t="s">
        <v>70</v>
      </c>
      <c r="D5496" s="2" t="s">
        <v>27</v>
      </c>
      <c r="E5496" s="5">
        <v>-28576</v>
      </c>
      <c r="F5496" s="3" t="s">
        <v>1924</v>
      </c>
      <c r="G5496" s="3" t="s">
        <v>88</v>
      </c>
      <c r="H5496" s="2" t="s">
        <v>21</v>
      </c>
      <c r="I5496" s="2" t="s">
        <v>10941</v>
      </c>
      <c r="J5496" s="3" t="str">
        <f>HYPERLINK("https://www.boe.es/gazeta/dias/1821/10/04/pdfs/GMD-1821-283.pdf#page=4","Abrir facsímil")</f>
        <v>Abrir facsímil</v>
      </c>
      <c r="K5496" s="3" t="s">
        <v>23</v>
      </c>
    </row>
    <row r="5497" spans="1:11" ht="42" customHeight="1">
      <c r="A5497" s="2" t="s">
        <v>10942</v>
      </c>
      <c r="B5497" s="2" t="s">
        <v>10943</v>
      </c>
      <c r="C5497" s="2" t="s">
        <v>40</v>
      </c>
      <c r="D5497" s="2" t="s">
        <v>41</v>
      </c>
      <c r="E5497" s="5">
        <v>-28576</v>
      </c>
      <c r="F5497" s="3" t="s">
        <v>1924</v>
      </c>
      <c r="G5497" s="3" t="s">
        <v>88</v>
      </c>
      <c r="H5497" s="2" t="s">
        <v>21</v>
      </c>
      <c r="I5497" s="2" t="s">
        <v>10944</v>
      </c>
      <c r="J5497" s="3" t="str">
        <f>HYPERLINK("https://www.boe.es/gazeta/dias/1821/10/04/pdfs/GMD-1821-283.pdf#page=4","Abrir facsímil")</f>
        <v>Abrir facsímil</v>
      </c>
      <c r="K5497" s="3" t="s">
        <v>23</v>
      </c>
    </row>
    <row r="5498" spans="1:11" ht="42" customHeight="1">
      <c r="A5498" s="2" t="s">
        <v>10942</v>
      </c>
      <c r="B5498" s="2" t="s">
        <v>10943</v>
      </c>
      <c r="C5498" s="2" t="s">
        <v>40</v>
      </c>
      <c r="D5498" s="2" t="s">
        <v>41</v>
      </c>
      <c r="E5498" s="5">
        <v>-28565</v>
      </c>
      <c r="F5498" s="3" t="s">
        <v>326</v>
      </c>
      <c r="G5498" s="3" t="s">
        <v>162</v>
      </c>
      <c r="H5498" s="2" t="s">
        <v>21</v>
      </c>
      <c r="I5498" s="2" t="s">
        <v>10945</v>
      </c>
      <c r="J5498" s="3" t="str">
        <f>HYPERLINK("https://www.boe.es/gazeta/dias/1821/10/15/pdfs/GMD-1821-294.pdf#page=5","Abrir facsímil")</f>
        <v>Abrir facsímil</v>
      </c>
      <c r="K5498" s="3" t="s">
        <v>23</v>
      </c>
    </row>
    <row r="5499" spans="1:11" ht="42" customHeight="1">
      <c r="A5499" s="2" t="s">
        <v>10946</v>
      </c>
      <c r="B5499" s="2" t="s">
        <v>10947</v>
      </c>
      <c r="C5499" s="2" t="s">
        <v>40</v>
      </c>
      <c r="D5499" s="2" t="s">
        <v>41</v>
      </c>
      <c r="E5499" s="5">
        <v>-28569</v>
      </c>
      <c r="F5499" s="3" t="s">
        <v>512</v>
      </c>
      <c r="G5499" s="3" t="s">
        <v>29</v>
      </c>
      <c r="H5499" s="2" t="s">
        <v>21</v>
      </c>
      <c r="I5499" s="2" t="s">
        <v>10948</v>
      </c>
      <c r="J5499" s="3" t="str">
        <f>HYPERLINK("https://www.boe.es/gazeta/dias/1821/10/11/pdfs/GMD-1821-290.pdf#page=6","Abrir facsímil")</f>
        <v>Abrir facsímil</v>
      </c>
      <c r="K5499" s="3" t="s">
        <v>23</v>
      </c>
    </row>
    <row r="5500" spans="1:11" ht="42" customHeight="1">
      <c r="A5500" s="2" t="s">
        <v>10949</v>
      </c>
      <c r="B5500" s="2" t="s">
        <v>10949</v>
      </c>
      <c r="C5500" s="2" t="s">
        <v>35</v>
      </c>
      <c r="D5500" s="2" t="s">
        <v>27</v>
      </c>
      <c r="E5500" s="5">
        <v>-28576</v>
      </c>
      <c r="F5500" s="3" t="s">
        <v>1924</v>
      </c>
      <c r="G5500" s="3" t="s">
        <v>88</v>
      </c>
      <c r="H5500" s="2" t="s">
        <v>21</v>
      </c>
      <c r="I5500" s="2" t="s">
        <v>10950</v>
      </c>
      <c r="J5500" s="3" t="str">
        <f>HYPERLINK("https://www.boe.es/gazeta/dias/1821/10/04/pdfs/GMD-1821-283.pdf#page=4","Abrir facsímil")</f>
        <v>Abrir facsímil</v>
      </c>
      <c r="K5500" s="3" t="s">
        <v>23</v>
      </c>
    </row>
    <row r="5501" spans="1:11" ht="42" customHeight="1">
      <c r="A5501" s="2" t="s">
        <v>10951</v>
      </c>
      <c r="B5501" s="2" t="s">
        <v>10952</v>
      </c>
      <c r="C5501" s="2" t="s">
        <v>17</v>
      </c>
      <c r="D5501" s="2" t="s">
        <v>18</v>
      </c>
      <c r="E5501" s="5">
        <v>-28547</v>
      </c>
      <c r="F5501" s="3" t="s">
        <v>247</v>
      </c>
      <c r="G5501" s="3" t="s">
        <v>248</v>
      </c>
      <c r="H5501" s="2" t="s">
        <v>21</v>
      </c>
      <c r="I5501" s="2" t="s">
        <v>10953</v>
      </c>
      <c r="J5501" s="3" t="str">
        <f>HYPERLINK("https://www.boe.es/gazeta/dias/1821/11/02/pdfs/GMD-1821-312.pdf#page=2","Abrir facsímil")</f>
        <v>Abrir facsímil</v>
      </c>
      <c r="K5501" s="3" t="s">
        <v>23</v>
      </c>
    </row>
    <row r="5502" spans="1:11" ht="42" customHeight="1">
      <c r="A5502" s="2" t="s">
        <v>10954</v>
      </c>
      <c r="B5502" s="2" t="s">
        <v>10955</v>
      </c>
      <c r="C5502" s="2" t="s">
        <v>40</v>
      </c>
      <c r="D5502" s="2" t="s">
        <v>41</v>
      </c>
      <c r="E5502" s="5">
        <v>-28714</v>
      </c>
      <c r="F5502" s="3" t="s">
        <v>522</v>
      </c>
      <c r="G5502" s="3" t="s">
        <v>52</v>
      </c>
      <c r="H5502" s="2" t="s">
        <v>21</v>
      </c>
      <c r="I5502" s="2" t="s">
        <v>10956</v>
      </c>
      <c r="J5502" s="3" t="str">
        <f>HYPERLINK("https://www.boe.es/gazeta/dias/1821/05/19/pdfs/GMD-1821-141.pdf#page=2","Abrir facsímil")</f>
        <v>Abrir facsímil</v>
      </c>
      <c r="K5502" s="3" t="s">
        <v>23</v>
      </c>
    </row>
    <row r="5503" spans="1:11" ht="42" customHeight="1">
      <c r="A5503" s="2" t="s">
        <v>10957</v>
      </c>
      <c r="B5503" s="2" t="s">
        <v>10958</v>
      </c>
      <c r="C5503" s="2" t="s">
        <v>26</v>
      </c>
      <c r="D5503" s="2" t="s">
        <v>27</v>
      </c>
      <c r="E5503" s="5">
        <v>-28799</v>
      </c>
      <c r="F5503" s="3" t="s">
        <v>3158</v>
      </c>
      <c r="G5503" s="3" t="s">
        <v>88</v>
      </c>
      <c r="H5503" s="2" t="s">
        <v>21</v>
      </c>
      <c r="I5503" s="2" t="s">
        <v>10959</v>
      </c>
      <c r="J5503" s="3" t="str">
        <f>HYPERLINK("https://www.boe.es/gazeta/dias/1821/02/23/pdfs/GGB-1821-54.pdf#page=4","Abrir facsímil")</f>
        <v>Abrir facsímil</v>
      </c>
      <c r="K5503" s="3" t="s">
        <v>23</v>
      </c>
    </row>
    <row r="5504" spans="1:11" ht="42" customHeight="1">
      <c r="A5504" s="2" t="s">
        <v>10960</v>
      </c>
      <c r="B5504" s="2" t="s">
        <v>10960</v>
      </c>
      <c r="C5504" s="2" t="s">
        <v>35</v>
      </c>
      <c r="D5504" s="2" t="s">
        <v>27</v>
      </c>
      <c r="E5504" s="5">
        <v>-28555</v>
      </c>
      <c r="F5504" s="3" t="s">
        <v>219</v>
      </c>
      <c r="G5504" s="3" t="s">
        <v>29</v>
      </c>
      <c r="H5504" s="2" t="s">
        <v>21</v>
      </c>
      <c r="I5504" s="2" t="s">
        <v>10961</v>
      </c>
      <c r="J5504" s="3" t="str">
        <f>HYPERLINK("https://www.boe.es/gazeta/dias/1821/10/25/pdfs/GMD-1821-304.pdf#page=6","Abrir facsímil")</f>
        <v>Abrir facsímil</v>
      </c>
      <c r="K5504" s="3" t="s">
        <v>23</v>
      </c>
    </row>
    <row r="5505" spans="1:11" ht="42" customHeight="1">
      <c r="A5505" s="2" t="s">
        <v>10962</v>
      </c>
      <c r="B5505" s="2" t="s">
        <v>10962</v>
      </c>
      <c r="C5505" s="2" t="s">
        <v>40</v>
      </c>
      <c r="D5505" s="2" t="s">
        <v>41</v>
      </c>
      <c r="E5505" s="5">
        <v>-28738</v>
      </c>
      <c r="F5505" s="3" t="s">
        <v>359</v>
      </c>
      <c r="G5505" s="3" t="s">
        <v>20</v>
      </c>
      <c r="H5505" s="2" t="s">
        <v>21</v>
      </c>
      <c r="I5505" s="2" t="s">
        <v>10963</v>
      </c>
      <c r="J5505" s="3" t="str">
        <f>HYPERLINK("https://www.boe.es/gazeta/dias/1821/04/25/pdfs/GMD-1821-117.pdf#page=3","Abrir facsímil")</f>
        <v>Abrir facsímil</v>
      </c>
      <c r="K5505" s="3" t="s">
        <v>23</v>
      </c>
    </row>
    <row r="5506" spans="1:11" ht="42" customHeight="1">
      <c r="A5506" s="2" t="s">
        <v>10964</v>
      </c>
      <c r="B5506" s="2" t="s">
        <v>10965</v>
      </c>
      <c r="C5506" s="2" t="s">
        <v>70</v>
      </c>
      <c r="D5506" s="2" t="s">
        <v>27</v>
      </c>
      <c r="E5506" s="5">
        <v>-28811</v>
      </c>
      <c r="F5506" s="3" t="s">
        <v>5734</v>
      </c>
      <c r="G5506" s="3" t="s">
        <v>88</v>
      </c>
      <c r="H5506" s="2" t="s">
        <v>21</v>
      </c>
      <c r="I5506" s="2" t="s">
        <v>10966</v>
      </c>
      <c r="J5506" s="3" t="str">
        <f>HYPERLINK("https://www.boe.es/gazeta/dias/1821/02/11/pdfs/GGB-1821-42.pdf#page=4","Abrir facsímil")</f>
        <v>Abrir facsímil</v>
      </c>
      <c r="K5506" s="3" t="s">
        <v>23</v>
      </c>
    </row>
    <row r="5507" spans="1:11" ht="42" customHeight="1">
      <c r="A5507" s="2" t="s">
        <v>10964</v>
      </c>
      <c r="B5507" s="2" t="s">
        <v>10965</v>
      </c>
      <c r="C5507" s="2" t="s">
        <v>70</v>
      </c>
      <c r="D5507" s="2" t="s">
        <v>27</v>
      </c>
      <c r="E5507" s="5">
        <v>-28788</v>
      </c>
      <c r="F5507" s="3" t="s">
        <v>996</v>
      </c>
      <c r="G5507" s="3" t="s">
        <v>88</v>
      </c>
      <c r="H5507" s="2" t="s">
        <v>21</v>
      </c>
      <c r="I5507" s="2" t="s">
        <v>10967</v>
      </c>
      <c r="J5507" s="3" t="str">
        <f>HYPERLINK("https://www.boe.es/gazeta/dias/1821/03/06/pdfs/GGB-1821-65.pdf#page=4","Abrir facsímil")</f>
        <v>Abrir facsímil</v>
      </c>
      <c r="K5507" s="3" t="s">
        <v>23</v>
      </c>
    </row>
    <row r="5508" spans="1:11" ht="42" customHeight="1">
      <c r="A5508" s="2" t="s">
        <v>10964</v>
      </c>
      <c r="B5508" s="2" t="s">
        <v>10965</v>
      </c>
      <c r="C5508" s="2" t="s">
        <v>40</v>
      </c>
      <c r="D5508" s="2" t="s">
        <v>41</v>
      </c>
      <c r="E5508" s="5">
        <v>-28714</v>
      </c>
      <c r="F5508" s="3" t="s">
        <v>522</v>
      </c>
      <c r="G5508" s="3" t="s">
        <v>8960</v>
      </c>
      <c r="H5508" s="2" t="s">
        <v>21</v>
      </c>
      <c r="I5508" s="2" t="s">
        <v>10968</v>
      </c>
      <c r="J5508" s="3" t="str">
        <f>HYPERLINK("https://www.boe.es/gazeta/dias/1821/05/19/pdfs/GMD-1821-141.pdf#page=4","Abrir facsímil")</f>
        <v>Abrir facsímil</v>
      </c>
      <c r="K5508" s="3" t="s">
        <v>23</v>
      </c>
    </row>
    <row r="5509" spans="1:11" ht="42" customHeight="1">
      <c r="A5509" s="2" t="s">
        <v>10969</v>
      </c>
      <c r="B5509" s="2" t="s">
        <v>10969</v>
      </c>
      <c r="C5509" s="2" t="s">
        <v>17</v>
      </c>
      <c r="D5509" s="2" t="s">
        <v>18</v>
      </c>
      <c r="E5509" s="5">
        <v>-28709</v>
      </c>
      <c r="F5509" s="3" t="s">
        <v>1434</v>
      </c>
      <c r="G5509" s="3" t="s">
        <v>88</v>
      </c>
      <c r="H5509" s="2" t="s">
        <v>21</v>
      </c>
      <c r="I5509" s="2" t="s">
        <v>10970</v>
      </c>
      <c r="J5509" s="3" t="str">
        <f>HYPERLINK("https://www.boe.es/gazeta/dias/1821/05/24/pdfs/GMD-1821-146.pdf#page=4","Abrir facsímil")</f>
        <v>Abrir facsímil</v>
      </c>
      <c r="K5509" s="3" t="s">
        <v>23</v>
      </c>
    </row>
    <row r="5510" spans="1:11" ht="42" customHeight="1">
      <c r="A5510" s="2" t="s">
        <v>10971</v>
      </c>
      <c r="B5510" s="2" t="s">
        <v>10972</v>
      </c>
      <c r="C5510" s="2" t="s">
        <v>40</v>
      </c>
      <c r="D5510" s="2" t="s">
        <v>405</v>
      </c>
      <c r="E5510" s="5">
        <v>-28546</v>
      </c>
      <c r="F5510" s="3" t="s">
        <v>6425</v>
      </c>
      <c r="G5510" s="3" t="s">
        <v>43</v>
      </c>
      <c r="H5510" s="2" t="s">
        <v>21</v>
      </c>
      <c r="I5510" s="2" t="s">
        <v>10973</v>
      </c>
      <c r="J5510" s="3" t="str">
        <f>HYPERLINK("https://www.boe.es/gazeta/dias/1821/11/03/pdfs/GMD-1821-314E.pdf#page=1","Abrir facsímil")</f>
        <v>Abrir facsímil</v>
      </c>
      <c r="K5510" s="3" t="s">
        <v>23</v>
      </c>
    </row>
    <row r="5511" spans="1:11" ht="42" customHeight="1">
      <c r="A5511" s="2" t="s">
        <v>10974</v>
      </c>
      <c r="B5511" s="2" t="s">
        <v>10975</v>
      </c>
      <c r="C5511" s="2" t="s">
        <v>40</v>
      </c>
      <c r="D5511" s="2" t="s">
        <v>41</v>
      </c>
      <c r="E5511" s="5">
        <v>-28711</v>
      </c>
      <c r="F5511" s="3" t="s">
        <v>1048</v>
      </c>
      <c r="G5511" s="3" t="s">
        <v>52</v>
      </c>
      <c r="H5511" s="2" t="s">
        <v>21</v>
      </c>
      <c r="I5511" s="2" t="s">
        <v>10976</v>
      </c>
      <c r="J5511" s="3" t="str">
        <f>HYPERLINK("https://www.boe.es/gazeta/dias/1821/05/22/pdfs/GMD-1821-144.pdf#page=2","Abrir facsímil")</f>
        <v>Abrir facsímil</v>
      </c>
      <c r="K5511" s="3" t="s">
        <v>23</v>
      </c>
    </row>
    <row r="5512" spans="1:11" ht="42" customHeight="1">
      <c r="A5512" s="2" t="s">
        <v>10977</v>
      </c>
      <c r="B5512" s="2" t="s">
        <v>10978</v>
      </c>
      <c r="C5512" s="2" t="s">
        <v>70</v>
      </c>
      <c r="D5512" s="2" t="s">
        <v>27</v>
      </c>
      <c r="E5512" s="5">
        <v>-28800</v>
      </c>
      <c r="F5512" s="3" t="s">
        <v>1753</v>
      </c>
      <c r="G5512" s="3" t="s">
        <v>88</v>
      </c>
      <c r="H5512" s="2" t="s">
        <v>21</v>
      </c>
      <c r="I5512" s="2" t="s">
        <v>10979</v>
      </c>
      <c r="J5512" s="3" t="str">
        <f>HYPERLINK("https://www.boe.es/gazeta/dias/1821/02/22/pdfs/GGB-1821-53.pdf#page=4","Abrir facsímil")</f>
        <v>Abrir facsímil</v>
      </c>
      <c r="K5512" s="3" t="s">
        <v>23</v>
      </c>
    </row>
    <row r="5513" spans="1:11" ht="42" customHeight="1">
      <c r="A5513" s="2" t="s">
        <v>10980</v>
      </c>
      <c r="B5513" s="2" t="s">
        <v>10980</v>
      </c>
      <c r="C5513" s="2" t="s">
        <v>40</v>
      </c>
      <c r="D5513" s="2" t="s">
        <v>41</v>
      </c>
      <c r="E5513" s="5">
        <v>-28682</v>
      </c>
      <c r="F5513" s="3" t="s">
        <v>1064</v>
      </c>
      <c r="G5513" s="3" t="s">
        <v>43</v>
      </c>
      <c r="H5513" s="2" t="s">
        <v>21</v>
      </c>
      <c r="I5513" s="2" t="s">
        <v>10981</v>
      </c>
      <c r="J5513" s="3" t="str">
        <f>HYPERLINK("https://www.boe.es/gazeta/dias/1821/06/20/pdfs/GMD-1821-173.pdf#page=1","Abrir facsímil")</f>
        <v>Abrir facsímil</v>
      </c>
      <c r="K5513" s="3" t="s">
        <v>23</v>
      </c>
    </row>
    <row r="5514" spans="1:11" ht="42" customHeight="1">
      <c r="A5514" s="2" t="s">
        <v>10980</v>
      </c>
      <c r="B5514" s="2" t="s">
        <v>10980</v>
      </c>
      <c r="C5514" s="2" t="s">
        <v>40</v>
      </c>
      <c r="D5514" s="2" t="s">
        <v>41</v>
      </c>
      <c r="E5514" s="5">
        <v>-28638</v>
      </c>
      <c r="F5514" s="3" t="s">
        <v>736</v>
      </c>
      <c r="G5514" s="3" t="s">
        <v>20</v>
      </c>
      <c r="H5514" s="2" t="s">
        <v>21</v>
      </c>
      <c r="I5514" s="2" t="s">
        <v>10982</v>
      </c>
      <c r="J5514" s="3" t="str">
        <f>HYPERLINK("https://www.boe.es/gazeta/dias/1821/08/03/pdfs/GMD-1821-219.pdf#page=3","Abrir facsímil")</f>
        <v>Abrir facsímil</v>
      </c>
      <c r="K5514" s="3" t="s">
        <v>23</v>
      </c>
    </row>
    <row r="5515" spans="1:11" ht="42" customHeight="1">
      <c r="A5515" s="2" t="s">
        <v>10983</v>
      </c>
      <c r="B5515" s="2" t="s">
        <v>10983</v>
      </c>
      <c r="C5515" s="2" t="s">
        <v>40</v>
      </c>
      <c r="D5515" s="2" t="s">
        <v>41</v>
      </c>
      <c r="E5515" s="5">
        <v>-28681</v>
      </c>
      <c r="F5515" s="3" t="s">
        <v>210</v>
      </c>
      <c r="G5515" s="3" t="s">
        <v>43</v>
      </c>
      <c r="H5515" s="2" t="s">
        <v>21</v>
      </c>
      <c r="I5515" s="2" t="s">
        <v>10984</v>
      </c>
      <c r="J5515" s="3" t="str">
        <f>HYPERLINK("https://www.boe.es/gazeta/dias/1821/06/21/pdfs/GMD-1821-174.pdf#page=1","Abrir facsímil")</f>
        <v>Abrir facsímil</v>
      </c>
      <c r="K5515" s="3" t="s">
        <v>23</v>
      </c>
    </row>
    <row r="5516" spans="1:11" ht="42" customHeight="1">
      <c r="A5516" s="2" t="s">
        <v>10985</v>
      </c>
      <c r="B5516" s="2" t="s">
        <v>10986</v>
      </c>
      <c r="C5516" s="2" t="s">
        <v>35</v>
      </c>
      <c r="D5516" s="2" t="s">
        <v>27</v>
      </c>
      <c r="E5516" s="5">
        <v>-28675</v>
      </c>
      <c r="F5516" s="3" t="s">
        <v>943</v>
      </c>
      <c r="G5516" s="3" t="s">
        <v>52</v>
      </c>
      <c r="H5516" s="2" t="s">
        <v>21</v>
      </c>
      <c r="I5516" s="2" t="s">
        <v>10987</v>
      </c>
      <c r="J5516" s="3" t="str">
        <f>HYPERLINK("https://www.boe.es/gazeta/dias/1821/06/27/pdfs/GMD-1821-180.pdf#page=2","Abrir facsímil")</f>
        <v>Abrir facsímil</v>
      </c>
      <c r="K5516" s="3" t="s">
        <v>23</v>
      </c>
    </row>
    <row r="5517" spans="1:11" ht="42" customHeight="1">
      <c r="A5517" s="2" t="s">
        <v>10988</v>
      </c>
      <c r="B5517" s="2" t="s">
        <v>10988</v>
      </c>
      <c r="C5517" s="2" t="s">
        <v>174</v>
      </c>
      <c r="D5517" s="2" t="s">
        <v>27</v>
      </c>
      <c r="E5517" s="5">
        <v>-28553</v>
      </c>
      <c r="F5517" s="3" t="s">
        <v>182</v>
      </c>
      <c r="G5517" s="3" t="s">
        <v>29</v>
      </c>
      <c r="H5517" s="2" t="s">
        <v>21</v>
      </c>
      <c r="I5517" s="2" t="s">
        <v>10989</v>
      </c>
      <c r="J5517" s="3" t="str">
        <f>HYPERLINK("https://www.boe.es/gazeta/dias/1821/10/27/pdfs/GMD-1821-306.pdf#page=6","Abrir facsímil")</f>
        <v>Abrir facsímil</v>
      </c>
      <c r="K5517" s="3" t="s">
        <v>23</v>
      </c>
    </row>
    <row r="5518" spans="1:11" ht="42" customHeight="1">
      <c r="A5518" s="2" t="s">
        <v>10990</v>
      </c>
      <c r="B5518" s="2" t="s">
        <v>10991</v>
      </c>
      <c r="C5518" s="2" t="s">
        <v>26</v>
      </c>
      <c r="D5518" s="2" t="s">
        <v>27</v>
      </c>
      <c r="E5518" s="5">
        <v>-28574</v>
      </c>
      <c r="F5518" s="3" t="s">
        <v>779</v>
      </c>
      <c r="G5518" s="3" t="s">
        <v>333</v>
      </c>
      <c r="H5518" s="2" t="s">
        <v>21</v>
      </c>
      <c r="I5518" s="2" t="s">
        <v>10992</v>
      </c>
      <c r="J5518" s="3" t="str">
        <f>HYPERLINK("https://www.boe.es/gazeta/dias/1821/10/06/pdfs/GMD-1821-285.pdf#page=8","Abrir facsímil")</f>
        <v>Abrir facsímil</v>
      </c>
      <c r="K5518" s="3" t="s">
        <v>23</v>
      </c>
    </row>
    <row r="5519" spans="1:11" ht="42" customHeight="1">
      <c r="A5519" s="2" t="s">
        <v>10993</v>
      </c>
      <c r="B5519" s="2" t="s">
        <v>10994</v>
      </c>
      <c r="C5519" s="2" t="s">
        <v>174</v>
      </c>
      <c r="D5519" s="2" t="s">
        <v>27</v>
      </c>
      <c r="E5519" s="5">
        <v>-28620</v>
      </c>
      <c r="F5519" s="3" t="s">
        <v>87</v>
      </c>
      <c r="G5519" s="3" t="s">
        <v>88</v>
      </c>
      <c r="H5519" s="2" t="s">
        <v>21</v>
      </c>
      <c r="I5519" s="2" t="s">
        <v>10995</v>
      </c>
      <c r="J5519" s="3" t="str">
        <f>HYPERLINK("https://www.boe.es/gazeta/dias/1821/08/21/pdfs/GMD-1821-238.pdf#page=4","Abrir facsímil")</f>
        <v>Abrir facsímil</v>
      </c>
      <c r="K5519" s="3" t="s">
        <v>23</v>
      </c>
    </row>
    <row r="5520" spans="1:11" ht="42" customHeight="1">
      <c r="A5520" s="2" t="s">
        <v>10996</v>
      </c>
      <c r="B5520" s="2" t="s">
        <v>10997</v>
      </c>
      <c r="C5520" s="2" t="s">
        <v>40</v>
      </c>
      <c r="D5520" s="2" t="s">
        <v>41</v>
      </c>
      <c r="E5520" s="5">
        <v>-28576</v>
      </c>
      <c r="F5520" s="3" t="s">
        <v>1924</v>
      </c>
      <c r="G5520" s="3" t="s">
        <v>88</v>
      </c>
      <c r="H5520" s="2" t="s">
        <v>21</v>
      </c>
      <c r="I5520" s="2" t="s">
        <v>10998</v>
      </c>
      <c r="J5520" s="3" t="str">
        <f>HYPERLINK("https://www.boe.es/gazeta/dias/1821/10/04/pdfs/GMD-1821-283.pdf#page=4","Abrir facsímil")</f>
        <v>Abrir facsímil</v>
      </c>
      <c r="K5520" s="3" t="s">
        <v>23</v>
      </c>
    </row>
    <row r="5521" spans="1:11" ht="42" customHeight="1">
      <c r="A5521" s="2" t="s">
        <v>10999</v>
      </c>
      <c r="B5521" s="2" t="s">
        <v>10999</v>
      </c>
      <c r="C5521" s="2" t="s">
        <v>40</v>
      </c>
      <c r="D5521" s="2" t="s">
        <v>41</v>
      </c>
      <c r="E5521" s="5">
        <v>-28576</v>
      </c>
      <c r="F5521" s="3" t="s">
        <v>1924</v>
      </c>
      <c r="G5521" s="3" t="s">
        <v>88</v>
      </c>
      <c r="H5521" s="2" t="s">
        <v>21</v>
      </c>
      <c r="I5521" s="2" t="s">
        <v>11000</v>
      </c>
      <c r="J5521" s="3" t="str">
        <f>HYPERLINK("https://www.boe.es/gazeta/dias/1821/10/04/pdfs/GMD-1821-283.pdf#page=4","Abrir facsímil")</f>
        <v>Abrir facsímil</v>
      </c>
      <c r="K5521" s="3" t="s">
        <v>23</v>
      </c>
    </row>
    <row r="5522" spans="1:11" ht="42" customHeight="1">
      <c r="A5522" s="2" t="s">
        <v>10999</v>
      </c>
      <c r="B5522" s="2" t="s">
        <v>10999</v>
      </c>
      <c r="C5522" s="2" t="s">
        <v>114</v>
      </c>
      <c r="D5522" s="2" t="s">
        <v>27</v>
      </c>
      <c r="E5522" s="5">
        <v>-28526</v>
      </c>
      <c r="F5522" s="3" t="s">
        <v>223</v>
      </c>
      <c r="G5522" s="3" t="s">
        <v>10611</v>
      </c>
      <c r="H5522" s="2" t="s">
        <v>21</v>
      </c>
      <c r="I5522" s="2" t="s">
        <v>11001</v>
      </c>
      <c r="J5522" s="3" t="str">
        <f>HYPERLINK("https://www.boe.es/gazeta/dias/1821/11/23/pdfs/GMD-1821-334.pdf#page=5","Abrir facsímil")</f>
        <v>Abrir facsímil</v>
      </c>
      <c r="K5522" s="3" t="s">
        <v>23</v>
      </c>
    </row>
    <row r="5523" spans="1:11" ht="42" customHeight="1">
      <c r="A5523" s="2" t="s">
        <v>10999</v>
      </c>
      <c r="B5523" s="2" t="s">
        <v>10999</v>
      </c>
      <c r="C5523" s="2" t="s">
        <v>26</v>
      </c>
      <c r="D5523" s="2" t="s">
        <v>27</v>
      </c>
      <c r="E5523" s="5">
        <v>-28525</v>
      </c>
      <c r="F5523" s="3" t="s">
        <v>186</v>
      </c>
      <c r="G5523" s="3" t="s">
        <v>88</v>
      </c>
      <c r="H5523" s="2" t="s">
        <v>21</v>
      </c>
      <c r="I5523" s="2" t="s">
        <v>11002</v>
      </c>
      <c r="J5523" s="3" t="str">
        <f>HYPERLINK("https://www.boe.es/gazeta/dias/1821/11/24/pdfs/GMD-1821-335.pdf#page=4","Abrir facsímil")</f>
        <v>Abrir facsímil</v>
      </c>
      <c r="K5523" s="3" t="s">
        <v>23</v>
      </c>
    </row>
    <row r="5524" spans="1:11" ht="42" customHeight="1">
      <c r="A5524" s="2" t="s">
        <v>11003</v>
      </c>
      <c r="B5524" s="2" t="s">
        <v>11004</v>
      </c>
      <c r="C5524" s="2" t="s">
        <v>17</v>
      </c>
      <c r="D5524" s="2" t="s">
        <v>18</v>
      </c>
      <c r="E5524" s="5">
        <v>-28632</v>
      </c>
      <c r="F5524" s="3" t="s">
        <v>6572</v>
      </c>
      <c r="G5524" s="3" t="s">
        <v>88</v>
      </c>
      <c r="H5524" s="2" t="s">
        <v>21</v>
      </c>
      <c r="I5524" s="2" t="s">
        <v>11005</v>
      </c>
      <c r="J5524" s="3" t="str">
        <f>HYPERLINK("https://www.boe.es/gazeta/dias/1821/08/09/pdfs/GMD-1821-225.pdf#page=4","Abrir facsímil")</f>
        <v>Abrir facsímil</v>
      </c>
      <c r="K5524" s="3" t="s">
        <v>23</v>
      </c>
    </row>
    <row r="5525" spans="1:11" ht="42" customHeight="1">
      <c r="A5525" s="2" t="s">
        <v>11006</v>
      </c>
      <c r="B5525" s="2" t="s">
        <v>11007</v>
      </c>
      <c r="C5525" s="2" t="s">
        <v>17</v>
      </c>
      <c r="D5525" s="2" t="s">
        <v>18</v>
      </c>
      <c r="E5525" s="5">
        <v>-28606</v>
      </c>
      <c r="F5525" s="3" t="s">
        <v>1799</v>
      </c>
      <c r="G5525" s="3" t="s">
        <v>88</v>
      </c>
      <c r="H5525" s="2" t="s">
        <v>21</v>
      </c>
      <c r="I5525" s="2" t="s">
        <v>11008</v>
      </c>
      <c r="J5525" s="3" t="str">
        <f>HYPERLINK("https://www.boe.es/gazeta/dias/1821/09/04/pdfs/GMD-1821-252.pdf#page=4","Abrir facsímil")</f>
        <v>Abrir facsímil</v>
      </c>
      <c r="K5525" s="3" t="s">
        <v>23</v>
      </c>
    </row>
    <row r="5526" spans="1:11" ht="42" customHeight="1">
      <c r="A5526" s="2" t="s">
        <v>11006</v>
      </c>
      <c r="B5526" s="2" t="s">
        <v>11007</v>
      </c>
      <c r="C5526" s="2" t="s">
        <v>40</v>
      </c>
      <c r="D5526" s="2" t="s">
        <v>41</v>
      </c>
      <c r="E5526" s="5">
        <v>-28576</v>
      </c>
      <c r="F5526" s="3" t="s">
        <v>1924</v>
      </c>
      <c r="G5526" s="3" t="s">
        <v>88</v>
      </c>
      <c r="H5526" s="2" t="s">
        <v>21</v>
      </c>
      <c r="I5526" s="2" t="s">
        <v>11009</v>
      </c>
      <c r="J5526" s="3" t="str">
        <f>HYPERLINK("https://www.boe.es/gazeta/dias/1821/10/04/pdfs/GMD-1821-283.pdf#page=4","Abrir facsímil")</f>
        <v>Abrir facsímil</v>
      </c>
      <c r="K5526" s="3" t="s">
        <v>23</v>
      </c>
    </row>
    <row r="5527" spans="1:11" ht="42" customHeight="1">
      <c r="A5527" s="2" t="s">
        <v>11006</v>
      </c>
      <c r="B5527" s="2" t="s">
        <v>11007</v>
      </c>
      <c r="C5527" s="2" t="s">
        <v>174</v>
      </c>
      <c r="D5527" s="2" t="s">
        <v>27</v>
      </c>
      <c r="E5527" s="5">
        <v>-28553</v>
      </c>
      <c r="F5527" s="3" t="s">
        <v>182</v>
      </c>
      <c r="G5527" s="3" t="s">
        <v>29</v>
      </c>
      <c r="H5527" s="2" t="s">
        <v>21</v>
      </c>
      <c r="I5527" s="2" t="s">
        <v>11010</v>
      </c>
      <c r="J5527" s="3" t="str">
        <f>HYPERLINK("https://www.boe.es/gazeta/dias/1821/10/27/pdfs/GMD-1821-306.pdf#page=6","Abrir facsímil")</f>
        <v>Abrir facsímil</v>
      </c>
      <c r="K5527" s="3" t="s">
        <v>23</v>
      </c>
    </row>
    <row r="5528" spans="1:11" ht="42" customHeight="1">
      <c r="A5528" s="2" t="s">
        <v>11006</v>
      </c>
      <c r="B5528" s="2" t="s">
        <v>11007</v>
      </c>
      <c r="C5528" s="2" t="s">
        <v>174</v>
      </c>
      <c r="D5528" s="2" t="s">
        <v>27</v>
      </c>
      <c r="E5528" s="5">
        <v>-28547</v>
      </c>
      <c r="F5528" s="3" t="s">
        <v>247</v>
      </c>
      <c r="G5528" s="3" t="s">
        <v>248</v>
      </c>
      <c r="H5528" s="2" t="s">
        <v>21</v>
      </c>
      <c r="I5528" s="2" t="s">
        <v>11011</v>
      </c>
      <c r="J5528" s="3" t="str">
        <f>HYPERLINK("https://www.boe.es/gazeta/dias/1821/11/02/pdfs/GMD-1821-312.pdf#page=2","Abrir facsímil")</f>
        <v>Abrir facsímil</v>
      </c>
      <c r="K5528" s="3" t="s">
        <v>23</v>
      </c>
    </row>
    <row r="5529" spans="1:11" ht="42" customHeight="1">
      <c r="A5529" s="2" t="s">
        <v>11006</v>
      </c>
      <c r="B5529" s="2" t="s">
        <v>11007</v>
      </c>
      <c r="C5529" s="2" t="s">
        <v>17</v>
      </c>
      <c r="D5529" s="2" t="s">
        <v>18</v>
      </c>
      <c r="E5529" s="5">
        <v>-28526</v>
      </c>
      <c r="F5529" s="3" t="s">
        <v>223</v>
      </c>
      <c r="G5529" s="3" t="s">
        <v>10611</v>
      </c>
      <c r="H5529" s="2" t="s">
        <v>21</v>
      </c>
      <c r="I5529" s="2" t="s">
        <v>11012</v>
      </c>
      <c r="J5529" s="3" t="str">
        <f>HYPERLINK("https://www.boe.es/gazeta/dias/1821/11/23/pdfs/GMD-1821-334.pdf#page=5","Abrir facsímil")</f>
        <v>Abrir facsímil</v>
      </c>
      <c r="K5529" s="3" t="s">
        <v>23</v>
      </c>
    </row>
    <row r="5530" spans="1:11" ht="42" customHeight="1">
      <c r="A5530" s="2" t="s">
        <v>11013</v>
      </c>
      <c r="B5530" s="2" t="s">
        <v>11014</v>
      </c>
      <c r="C5530" s="2" t="s">
        <v>40</v>
      </c>
      <c r="D5530" s="2" t="s">
        <v>41</v>
      </c>
      <c r="E5530" s="5">
        <v>-28492</v>
      </c>
      <c r="F5530" s="3" t="s">
        <v>1550</v>
      </c>
      <c r="G5530" s="3" t="s">
        <v>88</v>
      </c>
      <c r="H5530" s="2" t="s">
        <v>21</v>
      </c>
      <c r="I5530" s="2" t="s">
        <v>11015</v>
      </c>
      <c r="J5530" s="3" t="str">
        <f>HYPERLINK("https://www.boe.es/gazeta/dias/1821/12/27/pdfs/GMD-1821-370.pdf#page=4","Abrir facsímil")</f>
        <v>Abrir facsímil</v>
      </c>
      <c r="K5530" s="3" t="s">
        <v>23</v>
      </c>
    </row>
    <row r="5531" spans="1:11" ht="42" customHeight="1">
      <c r="A5531" s="2" t="s">
        <v>11016</v>
      </c>
      <c r="B5531" s="2" t="s">
        <v>11016</v>
      </c>
      <c r="C5531" s="2" t="s">
        <v>40</v>
      </c>
      <c r="D5531" s="2" t="s">
        <v>41</v>
      </c>
      <c r="E5531" s="5">
        <v>-28739</v>
      </c>
      <c r="F5531" s="3" t="s">
        <v>1024</v>
      </c>
      <c r="G5531" s="3" t="s">
        <v>52</v>
      </c>
      <c r="H5531" s="2" t="s">
        <v>21</v>
      </c>
      <c r="I5531" s="2" t="s">
        <v>11017</v>
      </c>
      <c r="J5531" s="3" t="str">
        <f>HYPERLINK("https://www.boe.es/gazeta/dias/1821/04/24/pdfs/GMD-1821-116.pdf#page=2","Abrir facsímil")</f>
        <v>Abrir facsímil</v>
      </c>
      <c r="K5531" s="3" t="s">
        <v>23</v>
      </c>
    </row>
    <row r="5532" spans="1:11" ht="42" customHeight="1">
      <c r="A5532" s="2" t="s">
        <v>11016</v>
      </c>
      <c r="B5532" s="2" t="s">
        <v>11016</v>
      </c>
      <c r="C5532" s="2" t="s">
        <v>494</v>
      </c>
      <c r="D5532" s="2" t="s">
        <v>18</v>
      </c>
      <c r="E5532" s="5">
        <v>-28706</v>
      </c>
      <c r="F5532" s="3" t="s">
        <v>4791</v>
      </c>
      <c r="G5532" s="3" t="s">
        <v>8867</v>
      </c>
      <c r="H5532" s="2" t="s">
        <v>21</v>
      </c>
      <c r="I5532" s="2" t="s">
        <v>11018</v>
      </c>
      <c r="J5532" s="3" t="str">
        <f>HYPERLINK("https://www.boe.es/gazeta/dias/1821/05/27/pdfs/GMD-1821-149.pdf#page=3","Abrir facsímil")</f>
        <v>Abrir facsímil</v>
      </c>
      <c r="K5532" s="3" t="s">
        <v>23</v>
      </c>
    </row>
    <row r="5533" spans="1:11" ht="42" customHeight="1">
      <c r="A5533" s="2" t="s">
        <v>11016</v>
      </c>
      <c r="B5533" s="2" t="s">
        <v>11016</v>
      </c>
      <c r="C5533" s="2" t="s">
        <v>26</v>
      </c>
      <c r="D5533" s="2" t="s">
        <v>27</v>
      </c>
      <c r="E5533" s="5">
        <v>-28698</v>
      </c>
      <c r="F5533" s="3" t="s">
        <v>2067</v>
      </c>
      <c r="G5533" s="3" t="s">
        <v>20</v>
      </c>
      <c r="H5533" s="2" t="s">
        <v>21</v>
      </c>
      <c r="I5533" s="2" t="s">
        <v>11019</v>
      </c>
      <c r="J5533" s="3" t="str">
        <f>HYPERLINK("https://www.boe.es/gazeta/dias/1821/06/04/pdfs/GMD-1821-157.pdf#page=3","Abrir facsímil")</f>
        <v>Abrir facsímil</v>
      </c>
      <c r="K5533" s="3" t="s">
        <v>23</v>
      </c>
    </row>
    <row r="5534" spans="1:11" ht="42" customHeight="1">
      <c r="A5534" s="2" t="s">
        <v>11020</v>
      </c>
      <c r="B5534" s="2" t="s">
        <v>11020</v>
      </c>
      <c r="C5534" s="2" t="s">
        <v>17</v>
      </c>
      <c r="D5534" s="2" t="s">
        <v>18</v>
      </c>
      <c r="E5534" s="5">
        <v>-28782</v>
      </c>
      <c r="F5534" s="3" t="s">
        <v>508</v>
      </c>
      <c r="G5534" s="3" t="s">
        <v>88</v>
      </c>
      <c r="H5534" s="2" t="s">
        <v>21</v>
      </c>
      <c r="I5534" s="2" t="s">
        <v>11021</v>
      </c>
      <c r="J5534" s="3" t="str">
        <f>HYPERLINK("https://www.boe.es/gazeta/dias/1821/03/12/pdfs/GMD-1821-71.pdf#page=4","Abrir facsímil")</f>
        <v>Abrir facsímil</v>
      </c>
      <c r="K5534" s="3" t="s">
        <v>23</v>
      </c>
    </row>
    <row r="5535" spans="1:11" ht="42" customHeight="1">
      <c r="A5535" s="2" t="s">
        <v>11020</v>
      </c>
      <c r="B5535" s="2" t="s">
        <v>11020</v>
      </c>
      <c r="C5535" s="2" t="s">
        <v>17</v>
      </c>
      <c r="D5535" s="2" t="s">
        <v>18</v>
      </c>
      <c r="E5535" s="5">
        <v>-28728</v>
      </c>
      <c r="F5535" s="3" t="s">
        <v>1038</v>
      </c>
      <c r="G5535" s="3" t="s">
        <v>20</v>
      </c>
      <c r="H5535" s="2" t="s">
        <v>21</v>
      </c>
      <c r="I5535" s="2" t="s">
        <v>11022</v>
      </c>
      <c r="J5535" s="3" t="str">
        <f>HYPERLINK("https://www.boe.es/gazeta/dias/1821/05/05/pdfs/GMD-1821-127.pdf#page=3","Abrir facsímil")</f>
        <v>Abrir facsímil</v>
      </c>
      <c r="K5535" s="3" t="s">
        <v>23</v>
      </c>
    </row>
    <row r="5536" spans="1:11" ht="42" customHeight="1">
      <c r="A5536" s="2" t="s">
        <v>11020</v>
      </c>
      <c r="B5536" s="2" t="s">
        <v>11020</v>
      </c>
      <c r="C5536" s="2" t="s">
        <v>17</v>
      </c>
      <c r="D5536" s="2" t="s">
        <v>18</v>
      </c>
      <c r="E5536" s="5">
        <v>-28689</v>
      </c>
      <c r="F5536" s="3" t="s">
        <v>194</v>
      </c>
      <c r="G5536" s="3" t="s">
        <v>20</v>
      </c>
      <c r="H5536" s="2" t="s">
        <v>21</v>
      </c>
      <c r="I5536" s="2" t="s">
        <v>11023</v>
      </c>
      <c r="J5536" s="3" t="str">
        <f>HYPERLINK("https://www.boe.es/gazeta/dias/1821/06/13/pdfs/GMD-1821-166.pdf#page=3","Abrir facsímil")</f>
        <v>Abrir facsímil</v>
      </c>
      <c r="K5536" s="3" t="s">
        <v>23</v>
      </c>
    </row>
    <row r="5537" spans="1:11" ht="42" customHeight="1">
      <c r="A5537" s="2" t="s">
        <v>11020</v>
      </c>
      <c r="B5537" s="2" t="s">
        <v>11020</v>
      </c>
      <c r="C5537" s="2" t="s">
        <v>35</v>
      </c>
      <c r="D5537" s="2" t="s">
        <v>27</v>
      </c>
      <c r="E5537" s="5">
        <v>-28678</v>
      </c>
      <c r="F5537" s="3" t="s">
        <v>215</v>
      </c>
      <c r="G5537" s="3" t="s">
        <v>162</v>
      </c>
      <c r="H5537" s="2" t="s">
        <v>21</v>
      </c>
      <c r="I5537" s="2" t="s">
        <v>11024</v>
      </c>
      <c r="J5537" s="3" t="str">
        <f>HYPERLINK("https://www.boe.es/gazeta/dias/1821/06/24/pdfs/GMD-1821-177.pdf#page=5","Abrir facsímil")</f>
        <v>Abrir facsímil</v>
      </c>
      <c r="K5537" s="3" t="s">
        <v>23</v>
      </c>
    </row>
    <row r="5538" spans="1:11" ht="42" customHeight="1">
      <c r="A5538" s="2" t="s">
        <v>11020</v>
      </c>
      <c r="B5538" s="2" t="s">
        <v>11020</v>
      </c>
      <c r="C5538" s="2" t="s">
        <v>17</v>
      </c>
      <c r="D5538" s="2" t="s">
        <v>18</v>
      </c>
      <c r="E5538" s="5">
        <v>-28573</v>
      </c>
      <c r="F5538" s="3" t="s">
        <v>19</v>
      </c>
      <c r="G5538" s="3" t="s">
        <v>20</v>
      </c>
      <c r="H5538" s="2" t="s">
        <v>21</v>
      </c>
      <c r="I5538" s="2" t="s">
        <v>11025</v>
      </c>
      <c r="J5538" s="3" t="str">
        <f>HYPERLINK("https://www.boe.es/gazeta/dias/1821/10/07/pdfs/GMD-1821-286.pdf#page=3","Abrir facsímil")</f>
        <v>Abrir facsímil</v>
      </c>
      <c r="K5538" s="3" t="s">
        <v>23</v>
      </c>
    </row>
    <row r="5539" spans="1:11" ht="42" customHeight="1">
      <c r="A5539" s="2" t="s">
        <v>11020</v>
      </c>
      <c r="B5539" s="2" t="s">
        <v>11020</v>
      </c>
      <c r="C5539" s="2" t="s">
        <v>26</v>
      </c>
      <c r="D5539" s="2" t="s">
        <v>27</v>
      </c>
      <c r="E5539" s="5">
        <v>-28567</v>
      </c>
      <c r="F5539" s="3" t="s">
        <v>217</v>
      </c>
      <c r="G5539" s="3" t="s">
        <v>20</v>
      </c>
      <c r="H5539" s="2" t="s">
        <v>21</v>
      </c>
      <c r="I5539" s="2" t="s">
        <v>11026</v>
      </c>
      <c r="J5539" s="3" t="str">
        <f>HYPERLINK("https://www.boe.es/gazeta/dias/1821/10/13/pdfs/GMD-1821-292.pdf#page=3","Abrir facsímil")</f>
        <v>Abrir facsímil</v>
      </c>
      <c r="K5539" s="3" t="s">
        <v>23</v>
      </c>
    </row>
    <row r="5540" spans="1:11" ht="42" customHeight="1">
      <c r="A5540" s="2" t="s">
        <v>11020</v>
      </c>
      <c r="B5540" s="2" t="s">
        <v>11020</v>
      </c>
      <c r="C5540" s="2" t="s">
        <v>40</v>
      </c>
      <c r="D5540" s="2" t="s">
        <v>41</v>
      </c>
      <c r="E5540" s="5">
        <v>-28566</v>
      </c>
      <c r="F5540" s="3" t="s">
        <v>1529</v>
      </c>
      <c r="G5540" s="3" t="s">
        <v>52</v>
      </c>
      <c r="H5540" s="2" t="s">
        <v>21</v>
      </c>
      <c r="I5540" s="2" t="s">
        <v>11027</v>
      </c>
      <c r="J5540" s="3" t="str">
        <f>HYPERLINK("https://www.boe.es/gazeta/dias/1821/10/14/pdfs/GMD-1821-293.pdf#page=2","Abrir facsímil")</f>
        <v>Abrir facsímil</v>
      </c>
      <c r="K5540" s="3" t="s">
        <v>23</v>
      </c>
    </row>
    <row r="5541" spans="1:11" ht="42" customHeight="1">
      <c r="A5541" s="2" t="s">
        <v>11020</v>
      </c>
      <c r="B5541" s="2" t="s">
        <v>11020</v>
      </c>
      <c r="C5541" s="2" t="s">
        <v>17</v>
      </c>
      <c r="D5541" s="2" t="s">
        <v>18</v>
      </c>
      <c r="E5541" s="5">
        <v>-28563</v>
      </c>
      <c r="F5541" s="3" t="s">
        <v>118</v>
      </c>
      <c r="G5541" s="3" t="s">
        <v>88</v>
      </c>
      <c r="H5541" s="2" t="s">
        <v>21</v>
      </c>
      <c r="I5541" s="2" t="s">
        <v>11028</v>
      </c>
      <c r="J5541" s="3" t="str">
        <f>HYPERLINK("https://www.boe.es/gazeta/dias/1821/10/17/pdfs/GMD-1821-296.pdf#page=4","Abrir facsímil")</f>
        <v>Abrir facsímil</v>
      </c>
      <c r="K5541" s="3" t="s">
        <v>23</v>
      </c>
    </row>
    <row r="5542" spans="1:11" ht="42" customHeight="1">
      <c r="A5542" s="2" t="s">
        <v>11020</v>
      </c>
      <c r="B5542" s="2" t="s">
        <v>11020</v>
      </c>
      <c r="C5542" s="2" t="s">
        <v>40</v>
      </c>
      <c r="D5542" s="2" t="s">
        <v>41</v>
      </c>
      <c r="E5542" s="5">
        <v>-28559</v>
      </c>
      <c r="F5542" s="3" t="s">
        <v>1078</v>
      </c>
      <c r="G5542" s="3" t="s">
        <v>162</v>
      </c>
      <c r="H5542" s="2" t="s">
        <v>21</v>
      </c>
      <c r="I5542" s="2" t="s">
        <v>11029</v>
      </c>
      <c r="J5542" s="3" t="str">
        <f>HYPERLINK("https://www.boe.es/gazeta/dias/1821/10/21/pdfs/GMD-1821-300.pdf#page=5","Abrir facsímil")</f>
        <v>Abrir facsímil</v>
      </c>
      <c r="K5542" s="3" t="s">
        <v>23</v>
      </c>
    </row>
    <row r="5543" spans="1:11" ht="42" customHeight="1">
      <c r="A5543" s="2" t="s">
        <v>11020</v>
      </c>
      <c r="B5543" s="2" t="s">
        <v>11020</v>
      </c>
      <c r="C5543" s="2" t="s">
        <v>174</v>
      </c>
      <c r="D5543" s="2" t="s">
        <v>27</v>
      </c>
      <c r="E5543" s="5">
        <v>-28540</v>
      </c>
      <c r="F5543" s="3" t="s">
        <v>2672</v>
      </c>
      <c r="G5543" s="3" t="s">
        <v>88</v>
      </c>
      <c r="H5543" s="2" t="s">
        <v>21</v>
      </c>
      <c r="I5543" s="2" t="s">
        <v>11030</v>
      </c>
      <c r="J5543" s="3" t="str">
        <f>HYPERLINK("https://www.boe.es/gazeta/dias/1821/11/09/pdfs/GMD-1821-320.pdf#page=4","Abrir facsímil")</f>
        <v>Abrir facsímil</v>
      </c>
      <c r="K5543" s="3" t="s">
        <v>23</v>
      </c>
    </row>
    <row r="5544" spans="1:11" ht="42" customHeight="1">
      <c r="A5544" s="2" t="s">
        <v>11020</v>
      </c>
      <c r="B5544" s="2" t="s">
        <v>11020</v>
      </c>
      <c r="C5544" s="2" t="s">
        <v>40</v>
      </c>
      <c r="D5544" s="2" t="s">
        <v>41</v>
      </c>
      <c r="E5544" s="5">
        <v>-28539</v>
      </c>
      <c r="F5544" s="3" t="s">
        <v>153</v>
      </c>
      <c r="G5544" s="3" t="s">
        <v>20</v>
      </c>
      <c r="H5544" s="2" t="s">
        <v>21</v>
      </c>
      <c r="I5544" s="2" t="s">
        <v>11031</v>
      </c>
      <c r="J5544" s="3" t="str">
        <f>HYPERLINK("https://www.boe.es/gazeta/dias/1821/11/10/pdfs/GMD-1821-321.pdf#page=3","Abrir facsímil")</f>
        <v>Abrir facsímil</v>
      </c>
      <c r="K5544" s="3" t="s">
        <v>23</v>
      </c>
    </row>
    <row r="5545" spans="1:11" ht="42" customHeight="1">
      <c r="A5545" s="2" t="s">
        <v>11020</v>
      </c>
      <c r="B5545" s="2" t="s">
        <v>11020</v>
      </c>
      <c r="C5545" s="2" t="s">
        <v>17</v>
      </c>
      <c r="D5545" s="2" t="s">
        <v>18</v>
      </c>
      <c r="E5545" s="5">
        <v>-28535</v>
      </c>
      <c r="F5545" s="3" t="s">
        <v>96</v>
      </c>
      <c r="G5545" s="3" t="s">
        <v>20</v>
      </c>
      <c r="H5545" s="2" t="s">
        <v>21</v>
      </c>
      <c r="I5545" s="2" t="s">
        <v>11032</v>
      </c>
      <c r="J5545" s="3" t="str">
        <f>HYPERLINK("https://www.boe.es/gazeta/dias/1821/11/14/pdfs/GMD-1821-325.pdf#page=3","Abrir facsímil")</f>
        <v>Abrir facsímil</v>
      </c>
      <c r="K5545" s="3" t="s">
        <v>23</v>
      </c>
    </row>
    <row r="5546" spans="1:11" ht="42" customHeight="1">
      <c r="A5546" s="2" t="s">
        <v>11020</v>
      </c>
      <c r="B5546" s="2" t="s">
        <v>11020</v>
      </c>
      <c r="C5546" s="2" t="s">
        <v>35</v>
      </c>
      <c r="D5546" s="2" t="s">
        <v>27</v>
      </c>
      <c r="E5546" s="5">
        <v>-28532</v>
      </c>
      <c r="F5546" s="3" t="s">
        <v>1415</v>
      </c>
      <c r="G5546" s="3" t="s">
        <v>88</v>
      </c>
      <c r="H5546" s="2" t="s">
        <v>21</v>
      </c>
      <c r="I5546" s="2" t="s">
        <v>11033</v>
      </c>
      <c r="J5546" s="3" t="str">
        <f>HYPERLINK("https://www.boe.es/gazeta/dias/1821/11/17/pdfs/GMD-1821-328.pdf#page=4","Abrir facsímil")</f>
        <v>Abrir facsímil</v>
      </c>
      <c r="K5546" s="3" t="s">
        <v>23</v>
      </c>
    </row>
    <row r="5547" spans="1:11" ht="42" customHeight="1">
      <c r="A5547" s="2" t="s">
        <v>11020</v>
      </c>
      <c r="B5547" s="2" t="s">
        <v>11020</v>
      </c>
      <c r="C5547" s="2" t="s">
        <v>26</v>
      </c>
      <c r="D5547" s="2" t="s">
        <v>27</v>
      </c>
      <c r="E5547" s="5">
        <v>-28515</v>
      </c>
      <c r="F5547" s="3" t="s">
        <v>260</v>
      </c>
      <c r="G5547" s="3" t="s">
        <v>3841</v>
      </c>
      <c r="H5547" s="2" t="s">
        <v>21</v>
      </c>
      <c r="I5547" s="2" t="s">
        <v>11034</v>
      </c>
      <c r="J5547" s="3" t="str">
        <f>HYPERLINK("https://www.boe.es/gazeta/dias/1821/12/04/pdfs/GMD-1821-346.pdf#page=6","Abrir facsímil")</f>
        <v>Abrir facsímil</v>
      </c>
      <c r="K5547" s="3" t="s">
        <v>23</v>
      </c>
    </row>
    <row r="5548" spans="1:11" ht="42" customHeight="1">
      <c r="A5548" s="2" t="s">
        <v>11020</v>
      </c>
      <c r="B5548" s="2" t="s">
        <v>11020</v>
      </c>
      <c r="C5548" s="2" t="s">
        <v>26</v>
      </c>
      <c r="D5548" s="2" t="s">
        <v>27</v>
      </c>
      <c r="E5548" s="5">
        <v>-28514</v>
      </c>
      <c r="F5548" s="3" t="s">
        <v>103</v>
      </c>
      <c r="G5548" s="3" t="s">
        <v>20</v>
      </c>
      <c r="H5548" s="2" t="s">
        <v>21</v>
      </c>
      <c r="I5548" s="2" t="s">
        <v>11035</v>
      </c>
      <c r="J5548" s="3" t="str">
        <f>HYPERLINK("https://www.boe.es/gazeta/dias/1821/12/05/pdfs/GMD-1821-347.pdf#page=3","Abrir facsímil")</f>
        <v>Abrir facsímil</v>
      </c>
      <c r="K5548" s="3" t="s">
        <v>23</v>
      </c>
    </row>
    <row r="5549" spans="1:11" ht="42" customHeight="1">
      <c r="A5549" s="2" t="s">
        <v>11020</v>
      </c>
      <c r="B5549" s="2" t="s">
        <v>11020</v>
      </c>
      <c r="C5549" s="2" t="s">
        <v>40</v>
      </c>
      <c r="D5549" s="2" t="s">
        <v>41</v>
      </c>
      <c r="E5549" s="5">
        <v>-28508</v>
      </c>
      <c r="F5549" s="3" t="s">
        <v>42</v>
      </c>
      <c r="G5549" s="3" t="s">
        <v>20</v>
      </c>
      <c r="H5549" s="2" t="s">
        <v>21</v>
      </c>
      <c r="I5549" s="2" t="s">
        <v>11036</v>
      </c>
      <c r="J5549" s="3" t="str">
        <f>HYPERLINK("https://www.boe.es/gazeta/dias/1821/12/11/pdfs/GMD-1821-353.pdf#page=3","Abrir facsímil")</f>
        <v>Abrir facsímil</v>
      </c>
      <c r="K5549" s="3" t="s">
        <v>23</v>
      </c>
    </row>
    <row r="5550" spans="1:11" ht="42" customHeight="1">
      <c r="A5550" s="2" t="s">
        <v>11037</v>
      </c>
      <c r="B5550" s="2" t="s">
        <v>11038</v>
      </c>
      <c r="C5550" s="2" t="s">
        <v>70</v>
      </c>
      <c r="D5550" s="2" t="s">
        <v>27</v>
      </c>
      <c r="E5550" s="5">
        <v>-28743</v>
      </c>
      <c r="F5550" s="3" t="s">
        <v>51</v>
      </c>
      <c r="G5550" s="3" t="s">
        <v>88</v>
      </c>
      <c r="H5550" s="2" t="s">
        <v>21</v>
      </c>
      <c r="I5550" s="2" t="s">
        <v>11039</v>
      </c>
      <c r="J5550" s="3" t="str">
        <f>HYPERLINK("https://www.boe.es/gazeta/dias/1821/04/20/pdfs/GMD-1821-112.pdf#page=4","Abrir facsímil")</f>
        <v>Abrir facsímil</v>
      </c>
      <c r="K5550" s="3" t="s">
        <v>23</v>
      </c>
    </row>
    <row r="5551" spans="1:11" ht="42" customHeight="1">
      <c r="A5551" s="2" t="s">
        <v>11040</v>
      </c>
      <c r="B5551" s="2" t="s">
        <v>11040</v>
      </c>
      <c r="C5551" s="2" t="s">
        <v>26</v>
      </c>
      <c r="D5551" s="2" t="s">
        <v>27</v>
      </c>
      <c r="E5551" s="5">
        <v>-28629</v>
      </c>
      <c r="F5551" s="3" t="s">
        <v>235</v>
      </c>
      <c r="G5551" s="3" t="s">
        <v>88</v>
      </c>
      <c r="H5551" s="2" t="s">
        <v>21</v>
      </c>
      <c r="I5551" s="2" t="s">
        <v>11041</v>
      </c>
      <c r="J5551" s="3" t="str">
        <f>HYPERLINK("https://www.boe.es/gazeta/dias/1821/08/12/pdfs/GMD-1821-229.pdf#page=4","Abrir facsímil")</f>
        <v>Abrir facsímil</v>
      </c>
      <c r="K5551" s="3" t="s">
        <v>23</v>
      </c>
    </row>
    <row r="5552" spans="1:11" ht="42" customHeight="1">
      <c r="A5552" s="2" t="s">
        <v>11042</v>
      </c>
      <c r="B5552" s="2" t="s">
        <v>11043</v>
      </c>
      <c r="C5552" s="2" t="s">
        <v>40</v>
      </c>
      <c r="D5552" s="2" t="s">
        <v>41</v>
      </c>
      <c r="E5552" s="5">
        <v>-28499</v>
      </c>
      <c r="F5552" s="3" t="s">
        <v>954</v>
      </c>
      <c r="G5552" s="3" t="s">
        <v>88</v>
      </c>
      <c r="H5552" s="2" t="s">
        <v>21</v>
      </c>
      <c r="I5552" s="2" t="s">
        <v>11044</v>
      </c>
      <c r="J5552" s="3" t="str">
        <f>HYPERLINK("https://www.boe.es/gazeta/dias/1821/12/20/pdfs/GMD-1821-363.pdf#page=4","Abrir facsímil")</f>
        <v>Abrir facsímil</v>
      </c>
      <c r="K5552" s="3" t="s">
        <v>23</v>
      </c>
    </row>
    <row r="5553" spans="1:11" ht="42" customHeight="1">
      <c r="A5553" s="2" t="s">
        <v>11045</v>
      </c>
      <c r="B5553" s="2" t="s">
        <v>11045</v>
      </c>
      <c r="C5553" s="2" t="s">
        <v>26</v>
      </c>
      <c r="D5553" s="2" t="s">
        <v>27</v>
      </c>
      <c r="E5553" s="5">
        <v>-28525</v>
      </c>
      <c r="F5553" s="3" t="s">
        <v>186</v>
      </c>
      <c r="G5553" s="3" t="s">
        <v>20</v>
      </c>
      <c r="H5553" s="2" t="s">
        <v>21</v>
      </c>
      <c r="I5553" s="2" t="s">
        <v>11046</v>
      </c>
      <c r="J5553" s="3" t="str">
        <f>HYPERLINK("https://www.boe.es/gazeta/dias/1821/11/24/pdfs/GMD-1821-335.pdf#page=3","Abrir facsímil")</f>
        <v>Abrir facsímil</v>
      </c>
      <c r="K5553" s="3" t="s">
        <v>23</v>
      </c>
    </row>
    <row r="5554" spans="1:11" ht="42" customHeight="1">
      <c r="A5554" s="2" t="s">
        <v>11047</v>
      </c>
      <c r="B5554" s="2" t="s">
        <v>11047</v>
      </c>
      <c r="C5554" s="2" t="s">
        <v>40</v>
      </c>
      <c r="D5554" s="2" t="s">
        <v>41</v>
      </c>
      <c r="E5554" s="5">
        <v>-28515</v>
      </c>
      <c r="F5554" s="3" t="s">
        <v>260</v>
      </c>
      <c r="G5554" s="3" t="s">
        <v>162</v>
      </c>
      <c r="H5554" s="2" t="s">
        <v>21</v>
      </c>
      <c r="I5554" s="2" t="s">
        <v>11048</v>
      </c>
      <c r="J5554" s="3" t="str">
        <f>HYPERLINK("https://www.boe.es/gazeta/dias/1821/12/04/pdfs/GMD-1821-346.pdf#page=5","Abrir facsímil")</f>
        <v>Abrir facsímil</v>
      </c>
      <c r="K5554" s="3" t="s">
        <v>23</v>
      </c>
    </row>
    <row r="5555" spans="1:11" ht="42" customHeight="1">
      <c r="A5555" s="2" t="s">
        <v>11049</v>
      </c>
      <c r="B5555" s="2" t="s">
        <v>11049</v>
      </c>
      <c r="C5555" s="2" t="s">
        <v>26</v>
      </c>
      <c r="D5555" s="2" t="s">
        <v>27</v>
      </c>
      <c r="E5555" s="5">
        <v>-28538</v>
      </c>
      <c r="F5555" s="3" t="s">
        <v>395</v>
      </c>
      <c r="G5555" s="3" t="s">
        <v>20</v>
      </c>
      <c r="H5555" s="2" t="s">
        <v>21</v>
      </c>
      <c r="I5555" s="2" t="s">
        <v>11050</v>
      </c>
      <c r="J5555" s="3" t="str">
        <f>HYPERLINK("https://www.boe.es/gazeta/dias/1821/11/11/pdfs/GMD-1821-322.pdf#page=3","Abrir facsímil")</f>
        <v>Abrir facsímil</v>
      </c>
      <c r="K5555" s="3" t="s">
        <v>23</v>
      </c>
    </row>
    <row r="5556" spans="1:11" ht="42" customHeight="1">
      <c r="A5556" s="2" t="s">
        <v>11051</v>
      </c>
      <c r="B5556" s="2" t="s">
        <v>11052</v>
      </c>
      <c r="C5556" s="2" t="s">
        <v>17</v>
      </c>
      <c r="D5556" s="2" t="s">
        <v>18</v>
      </c>
      <c r="E5556" s="5">
        <v>-28752</v>
      </c>
      <c r="F5556" s="3" t="s">
        <v>1012</v>
      </c>
      <c r="G5556" s="3" t="s">
        <v>52</v>
      </c>
      <c r="H5556" s="2" t="s">
        <v>21</v>
      </c>
      <c r="I5556" s="2" t="s">
        <v>11053</v>
      </c>
      <c r="J5556" s="3" t="str">
        <f>HYPERLINK("https://www.boe.es/gazeta/dias/1821/04/11/pdfs/GMD-1821-103.pdf#page=2","Abrir facsímil")</f>
        <v>Abrir facsímil</v>
      </c>
      <c r="K5556" s="3" t="s">
        <v>23</v>
      </c>
    </row>
    <row r="5557" spans="1:11" ht="42" customHeight="1">
      <c r="A5557" s="2" t="s">
        <v>11054</v>
      </c>
      <c r="B5557" s="2" t="s">
        <v>11054</v>
      </c>
      <c r="C5557" s="2" t="s">
        <v>26</v>
      </c>
      <c r="D5557" s="2" t="s">
        <v>27</v>
      </c>
      <c r="E5557" s="5">
        <v>-28542</v>
      </c>
      <c r="F5557" s="3" t="s">
        <v>221</v>
      </c>
      <c r="G5557" s="3" t="s">
        <v>88</v>
      </c>
      <c r="H5557" s="2" t="s">
        <v>21</v>
      </c>
      <c r="I5557" s="2" t="s">
        <v>11055</v>
      </c>
      <c r="J5557" s="3" t="str">
        <f>HYPERLINK("https://www.boe.es/gazeta/dias/1821/11/07/pdfs/GMD-1821-318.pdf#page=4","Abrir facsímil")</f>
        <v>Abrir facsímil</v>
      </c>
      <c r="K5557" s="3" t="s">
        <v>23</v>
      </c>
    </row>
    <row r="5558" spans="1:11" ht="42" customHeight="1">
      <c r="A5558" s="2" t="s">
        <v>11056</v>
      </c>
      <c r="B5558" s="2" t="s">
        <v>11056</v>
      </c>
      <c r="C5558" s="2" t="s">
        <v>174</v>
      </c>
      <c r="D5558" s="2" t="s">
        <v>27</v>
      </c>
      <c r="E5558" s="5">
        <v>-28523</v>
      </c>
      <c r="F5558" s="3" t="s">
        <v>257</v>
      </c>
      <c r="G5558" s="3" t="s">
        <v>88</v>
      </c>
      <c r="H5558" s="2" t="s">
        <v>21</v>
      </c>
      <c r="I5558" s="2" t="s">
        <v>11057</v>
      </c>
      <c r="J5558" s="3" t="str">
        <f>HYPERLINK("https://www.boe.es/gazeta/dias/1821/11/26/pdfs/GMD-1821-337.pdf#page=4","Abrir facsímil")</f>
        <v>Abrir facsímil</v>
      </c>
      <c r="K5558" s="3" t="s">
        <v>23</v>
      </c>
    </row>
    <row r="5559" spans="1:11" ht="42" customHeight="1">
      <c r="A5559" s="2" t="s">
        <v>11058</v>
      </c>
      <c r="B5559" s="2" t="s">
        <v>11058</v>
      </c>
      <c r="C5559" s="2" t="s">
        <v>17</v>
      </c>
      <c r="D5559" s="2" t="s">
        <v>18</v>
      </c>
      <c r="E5559" s="5">
        <v>-28782</v>
      </c>
      <c r="F5559" s="3" t="s">
        <v>508</v>
      </c>
      <c r="G5559" s="3" t="s">
        <v>20</v>
      </c>
      <c r="H5559" s="2" t="s">
        <v>21</v>
      </c>
      <c r="I5559" s="2" t="s">
        <v>11059</v>
      </c>
      <c r="J5559" s="3" t="str">
        <f>HYPERLINK("https://www.boe.es/gazeta/dias/1821/03/12/pdfs/GMD-1821-71.pdf#page=3","Abrir facsímil")</f>
        <v>Abrir facsímil</v>
      </c>
      <c r="K5559" s="3" t="s">
        <v>23</v>
      </c>
    </row>
    <row r="5560" spans="1:11" ht="42" customHeight="1">
      <c r="A5560" s="2" t="s">
        <v>11058</v>
      </c>
      <c r="B5560" s="2" t="s">
        <v>11058</v>
      </c>
      <c r="C5560" s="2" t="s">
        <v>17</v>
      </c>
      <c r="D5560" s="2" t="s">
        <v>18</v>
      </c>
      <c r="E5560" s="5">
        <v>-28776</v>
      </c>
      <c r="F5560" s="3" t="s">
        <v>312</v>
      </c>
      <c r="G5560" s="3" t="s">
        <v>88</v>
      </c>
      <c r="H5560" s="2" t="s">
        <v>21</v>
      </c>
      <c r="I5560" s="2" t="s">
        <v>11060</v>
      </c>
      <c r="J5560" s="3" t="str">
        <f>HYPERLINK("https://www.boe.es/gazeta/dias/1821/03/18/pdfs/GMD-1821-77.pdf#page=4","Abrir facsímil")</f>
        <v>Abrir facsímil</v>
      </c>
      <c r="K5560" s="3" t="s">
        <v>23</v>
      </c>
    </row>
    <row r="5561" spans="1:11" ht="42" customHeight="1">
      <c r="A5561" s="2" t="s">
        <v>11058</v>
      </c>
      <c r="B5561" s="2" t="s">
        <v>11058</v>
      </c>
      <c r="C5561" s="2" t="s">
        <v>40</v>
      </c>
      <c r="D5561" s="2" t="s">
        <v>41</v>
      </c>
      <c r="E5561" s="5">
        <v>-28693</v>
      </c>
      <c r="F5561" s="3" t="s">
        <v>74</v>
      </c>
      <c r="G5561" s="3" t="s">
        <v>52</v>
      </c>
      <c r="H5561" s="2" t="s">
        <v>21</v>
      </c>
      <c r="I5561" s="2" t="s">
        <v>11061</v>
      </c>
      <c r="J5561" s="3" t="str">
        <f>HYPERLINK("https://www.boe.es/gazeta/dias/1821/06/09/pdfs/GMD-1821-162.pdf#page=2","Abrir facsímil")</f>
        <v>Abrir facsímil</v>
      </c>
      <c r="K5561" s="3" t="s">
        <v>23</v>
      </c>
    </row>
    <row r="5562" spans="1:11" ht="42" customHeight="1">
      <c r="A5562" s="2" t="s">
        <v>11058</v>
      </c>
      <c r="B5562" s="2" t="s">
        <v>11058</v>
      </c>
      <c r="C5562" s="2" t="s">
        <v>35</v>
      </c>
      <c r="D5562" s="2" t="s">
        <v>27</v>
      </c>
      <c r="E5562" s="5">
        <v>-28686</v>
      </c>
      <c r="F5562" s="3" t="s">
        <v>115</v>
      </c>
      <c r="G5562" s="3" t="s">
        <v>52</v>
      </c>
      <c r="H5562" s="2" t="s">
        <v>21</v>
      </c>
      <c r="I5562" s="2" t="s">
        <v>11062</v>
      </c>
      <c r="J5562" s="3" t="str">
        <f>HYPERLINK("https://www.boe.es/gazeta/dias/1821/06/16/pdfs/GMD-1821-169.pdf#page=2","Abrir facsímil")</f>
        <v>Abrir facsímil</v>
      </c>
      <c r="K5562" s="3" t="s">
        <v>23</v>
      </c>
    </row>
    <row r="5563" spans="1:11" ht="42" customHeight="1">
      <c r="A5563" s="2" t="s">
        <v>11058</v>
      </c>
      <c r="B5563" s="2" t="s">
        <v>11058</v>
      </c>
      <c r="C5563" s="2" t="s">
        <v>26</v>
      </c>
      <c r="D5563" s="2" t="s">
        <v>27</v>
      </c>
      <c r="E5563" s="5">
        <v>-28682</v>
      </c>
      <c r="F5563" s="3" t="s">
        <v>1064</v>
      </c>
      <c r="G5563" s="3" t="s">
        <v>162</v>
      </c>
      <c r="H5563" s="2" t="s">
        <v>21</v>
      </c>
      <c r="I5563" s="2" t="s">
        <v>11063</v>
      </c>
      <c r="J5563" s="3" t="str">
        <f>HYPERLINK("https://www.boe.es/gazeta/dias/1821/06/20/pdfs/GMD-1821-173.pdf#page=5","Abrir facsímil")</f>
        <v>Abrir facsímil</v>
      </c>
      <c r="K5563" s="3" t="s">
        <v>23</v>
      </c>
    </row>
    <row r="5564" spans="1:11" ht="42" customHeight="1">
      <c r="A5564" s="2" t="s">
        <v>11058</v>
      </c>
      <c r="B5564" s="2" t="s">
        <v>11058</v>
      </c>
      <c r="C5564" s="2" t="s">
        <v>26</v>
      </c>
      <c r="D5564" s="2" t="s">
        <v>27</v>
      </c>
      <c r="E5564" s="5">
        <v>-28586</v>
      </c>
      <c r="F5564" s="3" t="s">
        <v>587</v>
      </c>
      <c r="G5564" s="3" t="s">
        <v>588</v>
      </c>
      <c r="H5564" s="2" t="s">
        <v>21</v>
      </c>
      <c r="I5564" s="2" t="s">
        <v>11064</v>
      </c>
      <c r="J5564" s="3" t="str">
        <f>HYPERLINK("https://www.boe.es/gazeta/dias/1821/09/24/pdfs/GMD-1821-272.pdf#page=3","Abrir facsímil")</f>
        <v>Abrir facsímil</v>
      </c>
      <c r="K5564" s="3" t="s">
        <v>23</v>
      </c>
    </row>
    <row r="5565" spans="1:11" ht="42" customHeight="1">
      <c r="A5565" s="2" t="s">
        <v>11058</v>
      </c>
      <c r="B5565" s="2" t="s">
        <v>11058</v>
      </c>
      <c r="C5565" s="2" t="s">
        <v>40</v>
      </c>
      <c r="D5565" s="2" t="s">
        <v>41</v>
      </c>
      <c r="E5565" s="5">
        <v>-28553</v>
      </c>
      <c r="F5565" s="3" t="s">
        <v>182</v>
      </c>
      <c r="G5565" s="3" t="s">
        <v>88</v>
      </c>
      <c r="H5565" s="2" t="s">
        <v>21</v>
      </c>
      <c r="I5565" s="2" t="s">
        <v>11065</v>
      </c>
      <c r="J5565" s="3" t="str">
        <f>HYPERLINK("https://www.boe.es/gazeta/dias/1821/10/27/pdfs/GMD-1821-306.pdf#page=4","Abrir facsímil")</f>
        <v>Abrir facsímil</v>
      </c>
      <c r="K5565" s="3" t="s">
        <v>23</v>
      </c>
    </row>
    <row r="5566" spans="1:11" ht="42" customHeight="1">
      <c r="A5566" s="2" t="s">
        <v>11058</v>
      </c>
      <c r="B5566" s="2" t="s">
        <v>11058</v>
      </c>
      <c r="C5566" s="2" t="s">
        <v>174</v>
      </c>
      <c r="D5566" s="2" t="s">
        <v>27</v>
      </c>
      <c r="E5566" s="5">
        <v>-28552</v>
      </c>
      <c r="F5566" s="3" t="s">
        <v>28</v>
      </c>
      <c r="G5566" s="3" t="s">
        <v>162</v>
      </c>
      <c r="H5566" s="2" t="s">
        <v>21</v>
      </c>
      <c r="I5566" s="2" t="s">
        <v>11066</v>
      </c>
      <c r="J5566" s="3" t="str">
        <f>HYPERLINK("https://www.boe.es/gazeta/dias/1821/10/28/pdfs/GMD-1821-307.pdf#page=5","Abrir facsímil")</f>
        <v>Abrir facsímil</v>
      </c>
      <c r="K5566" s="3" t="s">
        <v>23</v>
      </c>
    </row>
    <row r="5567" spans="1:11" ht="42" customHeight="1">
      <c r="A5567" s="2" t="s">
        <v>11058</v>
      </c>
      <c r="B5567" s="2" t="s">
        <v>11058</v>
      </c>
      <c r="C5567" s="2" t="s">
        <v>17</v>
      </c>
      <c r="D5567" s="2" t="s">
        <v>18</v>
      </c>
      <c r="E5567" s="5">
        <v>-28545</v>
      </c>
      <c r="F5567" s="3" t="s">
        <v>284</v>
      </c>
      <c r="G5567" s="3" t="s">
        <v>20</v>
      </c>
      <c r="H5567" s="2" t="s">
        <v>21</v>
      </c>
      <c r="I5567" s="2" t="s">
        <v>11067</v>
      </c>
      <c r="J5567" s="3" t="str">
        <f>HYPERLINK("https://www.boe.es/gazeta/dias/1821/11/04/pdfs/GMD-1821-315.pdf#page=3","Abrir facsímil")</f>
        <v>Abrir facsímil</v>
      </c>
      <c r="K5567" s="3" t="s">
        <v>23</v>
      </c>
    </row>
    <row r="5568" spans="1:11" ht="42" customHeight="1">
      <c r="A5568" s="2" t="s">
        <v>11058</v>
      </c>
      <c r="B5568" s="2" t="s">
        <v>11058</v>
      </c>
      <c r="C5568" s="2" t="s">
        <v>17</v>
      </c>
      <c r="D5568" s="2" t="s">
        <v>18</v>
      </c>
      <c r="E5568" s="5">
        <v>-28545</v>
      </c>
      <c r="F5568" s="3" t="s">
        <v>284</v>
      </c>
      <c r="G5568" s="3" t="s">
        <v>88</v>
      </c>
      <c r="H5568" s="2" t="s">
        <v>21</v>
      </c>
      <c r="I5568" s="2" t="s">
        <v>11068</v>
      </c>
      <c r="J5568" s="3" t="str">
        <f>HYPERLINK("https://www.boe.es/gazeta/dias/1821/11/04/pdfs/GMD-1821-315.pdf#page=4","Abrir facsímil")</f>
        <v>Abrir facsímil</v>
      </c>
      <c r="K5568" s="3" t="s">
        <v>23</v>
      </c>
    </row>
    <row r="5569" spans="1:11" ht="42" customHeight="1">
      <c r="A5569" s="2" t="s">
        <v>11058</v>
      </c>
      <c r="B5569" s="2" t="s">
        <v>11058</v>
      </c>
      <c r="C5569" s="2" t="s">
        <v>26</v>
      </c>
      <c r="D5569" s="2" t="s">
        <v>27</v>
      </c>
      <c r="E5569" s="5">
        <v>-28542</v>
      </c>
      <c r="F5569" s="3" t="s">
        <v>221</v>
      </c>
      <c r="G5569" s="3" t="s">
        <v>88</v>
      </c>
      <c r="H5569" s="2" t="s">
        <v>21</v>
      </c>
      <c r="I5569" s="2" t="s">
        <v>11069</v>
      </c>
      <c r="J5569" s="3" t="str">
        <f>HYPERLINK("https://www.boe.es/gazeta/dias/1821/11/07/pdfs/GMD-1821-318.pdf#page=4","Abrir facsímil")</f>
        <v>Abrir facsímil</v>
      </c>
      <c r="K5569" s="3" t="s">
        <v>23</v>
      </c>
    </row>
    <row r="5570" spans="1:11" ht="42" customHeight="1">
      <c r="A5570" s="2" t="s">
        <v>11058</v>
      </c>
      <c r="B5570" s="2" t="s">
        <v>11058</v>
      </c>
      <c r="C5570" s="2" t="s">
        <v>17</v>
      </c>
      <c r="D5570" s="2" t="s">
        <v>18</v>
      </c>
      <c r="E5570" s="5">
        <v>-28536</v>
      </c>
      <c r="F5570" s="3" t="s">
        <v>553</v>
      </c>
      <c r="G5570" s="3" t="s">
        <v>29</v>
      </c>
      <c r="H5570" s="2" t="s">
        <v>21</v>
      </c>
      <c r="I5570" s="2" t="s">
        <v>11070</v>
      </c>
      <c r="J5570" s="3" t="str">
        <f>HYPERLINK("https://www.boe.es/gazeta/dias/1821/11/13/pdfs/GMD-1821-324.pdf#page=6","Abrir facsímil")</f>
        <v>Abrir facsímil</v>
      </c>
      <c r="K5570" s="3" t="s">
        <v>23</v>
      </c>
    </row>
    <row r="5571" spans="1:11" ht="42" customHeight="1">
      <c r="A5571" s="2" t="s">
        <v>11058</v>
      </c>
      <c r="B5571" s="2" t="s">
        <v>11058</v>
      </c>
      <c r="C5571" s="2" t="s">
        <v>17</v>
      </c>
      <c r="D5571" s="2" t="s">
        <v>18</v>
      </c>
      <c r="E5571" s="5">
        <v>-28534</v>
      </c>
      <c r="F5571" s="3" t="s">
        <v>414</v>
      </c>
      <c r="G5571" s="3" t="s">
        <v>20</v>
      </c>
      <c r="H5571" s="2" t="s">
        <v>21</v>
      </c>
      <c r="I5571" s="2" t="s">
        <v>11071</v>
      </c>
      <c r="J5571" s="3" t="str">
        <f>HYPERLINK("https://www.boe.es/gazeta/dias/1821/11/15/pdfs/GMD-1821-326.pdf#page=3","Abrir facsímil")</f>
        <v>Abrir facsímil</v>
      </c>
      <c r="K5571" s="3" t="s">
        <v>23</v>
      </c>
    </row>
    <row r="5572" spans="1:11" ht="42" customHeight="1">
      <c r="A5572" s="2" t="s">
        <v>11058</v>
      </c>
      <c r="B5572" s="2" t="s">
        <v>11058</v>
      </c>
      <c r="C5572" s="2" t="s">
        <v>26</v>
      </c>
      <c r="D5572" s="2" t="s">
        <v>27</v>
      </c>
      <c r="E5572" s="5">
        <v>-28533</v>
      </c>
      <c r="F5572" s="3" t="s">
        <v>559</v>
      </c>
      <c r="G5572" s="3" t="s">
        <v>162</v>
      </c>
      <c r="H5572" s="2" t="s">
        <v>21</v>
      </c>
      <c r="I5572" s="2" t="s">
        <v>11072</v>
      </c>
      <c r="J5572" s="3" t="str">
        <f>HYPERLINK("https://www.boe.es/gazeta/dias/1821/11/16/pdfs/GMD-1821-327.pdf#page=5","Abrir facsímil")</f>
        <v>Abrir facsímil</v>
      </c>
      <c r="K5572" s="3" t="s">
        <v>23</v>
      </c>
    </row>
    <row r="5573" spans="1:11" ht="42" customHeight="1">
      <c r="A5573" s="2" t="s">
        <v>11058</v>
      </c>
      <c r="B5573" s="2" t="s">
        <v>11058</v>
      </c>
      <c r="C5573" s="2" t="s">
        <v>26</v>
      </c>
      <c r="D5573" s="2" t="s">
        <v>27</v>
      </c>
      <c r="E5573" s="5">
        <v>-28532</v>
      </c>
      <c r="F5573" s="3" t="s">
        <v>1415</v>
      </c>
      <c r="G5573" s="3" t="s">
        <v>88</v>
      </c>
      <c r="H5573" s="2" t="s">
        <v>21</v>
      </c>
      <c r="I5573" s="2" t="s">
        <v>11073</v>
      </c>
      <c r="J5573" s="3" t="str">
        <f>HYPERLINK("https://www.boe.es/gazeta/dias/1821/11/17/pdfs/GMD-1821-328.pdf#page=4","Abrir facsímil")</f>
        <v>Abrir facsímil</v>
      </c>
      <c r="K5573" s="3" t="s">
        <v>23</v>
      </c>
    </row>
    <row r="5574" spans="1:11" ht="42" customHeight="1">
      <c r="A5574" s="2" t="s">
        <v>11058</v>
      </c>
      <c r="B5574" s="2" t="s">
        <v>11058</v>
      </c>
      <c r="C5574" s="2" t="s">
        <v>26</v>
      </c>
      <c r="D5574" s="2" t="s">
        <v>27</v>
      </c>
      <c r="E5574" s="5">
        <v>-28532</v>
      </c>
      <c r="F5574" s="3" t="s">
        <v>1415</v>
      </c>
      <c r="G5574" s="3" t="s">
        <v>162</v>
      </c>
      <c r="H5574" s="2" t="s">
        <v>21</v>
      </c>
      <c r="I5574" s="2" t="s">
        <v>11074</v>
      </c>
      <c r="J5574" s="3" t="str">
        <f>HYPERLINK("https://www.boe.es/gazeta/dias/1821/11/17/pdfs/GMD-1821-328.pdf#page=5","Abrir facsímil")</f>
        <v>Abrir facsímil</v>
      </c>
      <c r="K5574" s="3" t="s">
        <v>23</v>
      </c>
    </row>
    <row r="5575" spans="1:11" ht="42" customHeight="1">
      <c r="A5575" s="2" t="s">
        <v>11058</v>
      </c>
      <c r="B5575" s="2" t="s">
        <v>11058</v>
      </c>
      <c r="C5575" s="2" t="s">
        <v>26</v>
      </c>
      <c r="D5575" s="2" t="s">
        <v>27</v>
      </c>
      <c r="E5575" s="5">
        <v>-28531</v>
      </c>
      <c r="F5575" s="3" t="s">
        <v>365</v>
      </c>
      <c r="G5575" s="3" t="s">
        <v>162</v>
      </c>
      <c r="H5575" s="2" t="s">
        <v>21</v>
      </c>
      <c r="I5575" s="2" t="s">
        <v>11075</v>
      </c>
      <c r="J5575" s="3" t="str">
        <f>HYPERLINK("https://www.boe.es/gazeta/dias/1821/11/18/pdfs/GMD-1821-329.pdf#page=5","Abrir facsímil")</f>
        <v>Abrir facsímil</v>
      </c>
      <c r="K5575" s="3" t="s">
        <v>23</v>
      </c>
    </row>
    <row r="5576" spans="1:11" ht="42" customHeight="1">
      <c r="A5576" s="2" t="s">
        <v>11058</v>
      </c>
      <c r="B5576" s="2" t="s">
        <v>11058</v>
      </c>
      <c r="C5576" s="2" t="s">
        <v>35</v>
      </c>
      <c r="D5576" s="2" t="s">
        <v>27</v>
      </c>
      <c r="E5576" s="5">
        <v>-28525</v>
      </c>
      <c r="F5576" s="3" t="s">
        <v>186</v>
      </c>
      <c r="G5576" s="3" t="s">
        <v>20</v>
      </c>
      <c r="H5576" s="2" t="s">
        <v>21</v>
      </c>
      <c r="I5576" s="2" t="s">
        <v>11076</v>
      </c>
      <c r="J5576" s="3" t="str">
        <f>HYPERLINK("https://www.boe.es/gazeta/dias/1821/11/24/pdfs/GMD-1821-335.pdf#page=3","Abrir facsímil")</f>
        <v>Abrir facsímil</v>
      </c>
      <c r="K5576" s="3" t="s">
        <v>23</v>
      </c>
    </row>
    <row r="5577" spans="1:11" ht="42" customHeight="1">
      <c r="A5577" s="2" t="s">
        <v>11058</v>
      </c>
      <c r="B5577" s="2" t="s">
        <v>11058</v>
      </c>
      <c r="C5577" s="2" t="s">
        <v>17</v>
      </c>
      <c r="D5577" s="2" t="s">
        <v>18</v>
      </c>
      <c r="E5577" s="5">
        <v>-28524</v>
      </c>
      <c r="F5577" s="3" t="s">
        <v>874</v>
      </c>
      <c r="G5577" s="3" t="s">
        <v>875</v>
      </c>
      <c r="H5577" s="2" t="s">
        <v>21</v>
      </c>
      <c r="I5577" s="2" t="s">
        <v>11077</v>
      </c>
      <c r="J5577" s="3" t="str">
        <f>HYPERLINK("https://www.boe.es/gazeta/dias/1821/11/25/pdfs/GMD-1821-336.pdf#page=3","Abrir facsímil")</f>
        <v>Abrir facsímil</v>
      </c>
      <c r="K5577" s="3" t="s">
        <v>23</v>
      </c>
    </row>
    <row r="5578" spans="1:11" ht="42" customHeight="1">
      <c r="A5578" s="2" t="s">
        <v>11058</v>
      </c>
      <c r="B5578" s="2" t="s">
        <v>11058</v>
      </c>
      <c r="C5578" s="2" t="s">
        <v>26</v>
      </c>
      <c r="D5578" s="2" t="s">
        <v>27</v>
      </c>
      <c r="E5578" s="5">
        <v>-28524</v>
      </c>
      <c r="F5578" s="3" t="s">
        <v>874</v>
      </c>
      <c r="G5578" s="3" t="s">
        <v>88</v>
      </c>
      <c r="H5578" s="2" t="s">
        <v>21</v>
      </c>
      <c r="I5578" s="2" t="s">
        <v>11078</v>
      </c>
      <c r="J5578" s="3" t="str">
        <f>HYPERLINK("https://www.boe.es/gazeta/dias/1821/11/25/pdfs/GMD-1821-336.pdf#page=4","Abrir facsímil")</f>
        <v>Abrir facsímil</v>
      </c>
      <c r="K5578" s="3" t="s">
        <v>23</v>
      </c>
    </row>
    <row r="5579" spans="1:11" ht="42" customHeight="1">
      <c r="A5579" s="2" t="s">
        <v>11058</v>
      </c>
      <c r="B5579" s="2" t="s">
        <v>11058</v>
      </c>
      <c r="C5579" s="2" t="s">
        <v>17</v>
      </c>
      <c r="D5579" s="2" t="s">
        <v>18</v>
      </c>
      <c r="E5579" s="5">
        <v>-28520</v>
      </c>
      <c r="F5579" s="3" t="s">
        <v>878</v>
      </c>
      <c r="G5579" s="3" t="s">
        <v>20</v>
      </c>
      <c r="H5579" s="2" t="s">
        <v>21</v>
      </c>
      <c r="I5579" s="2" t="s">
        <v>11079</v>
      </c>
      <c r="J5579" s="3" t="str">
        <f>HYPERLINK("https://www.boe.es/gazeta/dias/1821/11/29/pdfs/GMD-1821-341.pdf#page=3","Abrir facsímil")</f>
        <v>Abrir facsímil</v>
      </c>
      <c r="K5579" s="3" t="s">
        <v>23</v>
      </c>
    </row>
    <row r="5580" spans="1:11" ht="42" customHeight="1">
      <c r="A5580" s="2" t="s">
        <v>11058</v>
      </c>
      <c r="B5580" s="2" t="s">
        <v>11058</v>
      </c>
      <c r="C5580" s="2" t="s">
        <v>26</v>
      </c>
      <c r="D5580" s="2" t="s">
        <v>27</v>
      </c>
      <c r="E5580" s="5">
        <v>-28518</v>
      </c>
      <c r="F5580" s="3" t="s">
        <v>410</v>
      </c>
      <c r="G5580" s="3" t="s">
        <v>88</v>
      </c>
      <c r="H5580" s="2" t="s">
        <v>21</v>
      </c>
      <c r="I5580" s="2" t="s">
        <v>11080</v>
      </c>
      <c r="J5580" s="3" t="str">
        <f>HYPERLINK("https://www.boe.es/gazeta/dias/1821/12/01/pdfs/GMD-1821-343.pdf#page=4","Abrir facsímil")</f>
        <v>Abrir facsímil</v>
      </c>
      <c r="K5580" s="3" t="s">
        <v>23</v>
      </c>
    </row>
    <row r="5581" spans="1:11" ht="42" customHeight="1">
      <c r="A5581" s="2" t="s">
        <v>11058</v>
      </c>
      <c r="B5581" s="2" t="s">
        <v>11058</v>
      </c>
      <c r="C5581" s="2" t="s">
        <v>26</v>
      </c>
      <c r="D5581" s="2" t="s">
        <v>27</v>
      </c>
      <c r="E5581" s="5">
        <v>-28514</v>
      </c>
      <c r="F5581" s="3" t="s">
        <v>103</v>
      </c>
      <c r="G5581" s="3" t="s">
        <v>20</v>
      </c>
      <c r="H5581" s="2" t="s">
        <v>21</v>
      </c>
      <c r="I5581" s="2" t="s">
        <v>11081</v>
      </c>
      <c r="J5581" s="3" t="str">
        <f>HYPERLINK("https://www.boe.es/gazeta/dias/1821/12/05/pdfs/GMD-1821-347.pdf#page=3","Abrir facsímil")</f>
        <v>Abrir facsímil</v>
      </c>
      <c r="K5581" s="3" t="s">
        <v>23</v>
      </c>
    </row>
    <row r="5582" spans="1:11" ht="42" customHeight="1">
      <c r="A5582" s="2" t="s">
        <v>11058</v>
      </c>
      <c r="B5582" s="2" t="s">
        <v>11058</v>
      </c>
      <c r="C5582" s="2" t="s">
        <v>26</v>
      </c>
      <c r="D5582" s="2" t="s">
        <v>27</v>
      </c>
      <c r="E5582" s="5">
        <v>-28510</v>
      </c>
      <c r="F5582" s="3" t="s">
        <v>83</v>
      </c>
      <c r="G5582" s="3" t="s">
        <v>20</v>
      </c>
      <c r="H5582" s="2" t="s">
        <v>21</v>
      </c>
      <c r="I5582" s="2" t="s">
        <v>11082</v>
      </c>
      <c r="J5582" s="3" t="str">
        <f>HYPERLINK("https://www.boe.es/gazeta/dias/1821/12/09/pdfs/GMD-1821-351.pdf#page=3","Abrir facsímil")</f>
        <v>Abrir facsímil</v>
      </c>
      <c r="K5582" s="3" t="s">
        <v>23</v>
      </c>
    </row>
    <row r="5583" spans="1:11" ht="42" customHeight="1">
      <c r="A5583" s="2" t="s">
        <v>11058</v>
      </c>
      <c r="B5583" s="2" t="s">
        <v>11058</v>
      </c>
      <c r="C5583" s="2" t="s">
        <v>35</v>
      </c>
      <c r="D5583" s="2" t="s">
        <v>27</v>
      </c>
      <c r="E5583" s="5">
        <v>-28500</v>
      </c>
      <c r="F5583" s="3" t="s">
        <v>298</v>
      </c>
      <c r="G5583" s="3" t="s">
        <v>43</v>
      </c>
      <c r="H5583" s="2" t="s">
        <v>21</v>
      </c>
      <c r="I5583" s="2" t="s">
        <v>11083</v>
      </c>
      <c r="J5583" s="3" t="str">
        <f>HYPERLINK("https://www.boe.es/gazeta/dias/1821/12/19/pdfs/GMD-1821-362.pdf#page=1","Abrir facsímil")</f>
        <v>Abrir facsímil</v>
      </c>
      <c r="K5583" s="3" t="s">
        <v>23</v>
      </c>
    </row>
    <row r="5584" spans="1:11" ht="42" customHeight="1">
      <c r="A5584" s="2" t="s">
        <v>11084</v>
      </c>
      <c r="B5584" s="2" t="s">
        <v>11085</v>
      </c>
      <c r="C5584" s="2" t="s">
        <v>35</v>
      </c>
      <c r="D5584" s="2" t="s">
        <v>27</v>
      </c>
      <c r="E5584" s="5">
        <v>-28524</v>
      </c>
      <c r="F5584" s="3" t="s">
        <v>874</v>
      </c>
      <c r="G5584" s="3" t="s">
        <v>88</v>
      </c>
      <c r="H5584" s="2" t="s">
        <v>21</v>
      </c>
      <c r="I5584" s="2" t="s">
        <v>11086</v>
      </c>
      <c r="J5584" s="3" t="str">
        <f>HYPERLINK("https://www.boe.es/gazeta/dias/1821/11/25/pdfs/GMD-1821-336.pdf#page=4","Abrir facsímil")</f>
        <v>Abrir facsímil</v>
      </c>
      <c r="K5584" s="3" t="s">
        <v>23</v>
      </c>
    </row>
    <row r="5585" spans="1:11" ht="42" customHeight="1">
      <c r="A5585" s="2" t="s">
        <v>11087</v>
      </c>
      <c r="B5585" s="2" t="s">
        <v>11088</v>
      </c>
      <c r="C5585" s="2" t="s">
        <v>17</v>
      </c>
      <c r="D5585" s="2" t="s">
        <v>18</v>
      </c>
      <c r="E5585" s="5">
        <v>-28700</v>
      </c>
      <c r="F5585" s="3" t="s">
        <v>701</v>
      </c>
      <c r="G5585" s="3" t="s">
        <v>88</v>
      </c>
      <c r="H5585" s="2" t="s">
        <v>21</v>
      </c>
      <c r="I5585" s="2" t="s">
        <v>11089</v>
      </c>
      <c r="J5585" s="3" t="str">
        <f>HYPERLINK("https://www.boe.es/gazeta/dias/1821/06/02/pdfs/GMD-1821-155.pdf#page=4","Abrir facsímil")</f>
        <v>Abrir facsímil</v>
      </c>
      <c r="K5585" s="3" t="s">
        <v>23</v>
      </c>
    </row>
    <row r="5586" spans="1:11" ht="42" customHeight="1">
      <c r="A5586" s="2" t="s">
        <v>11090</v>
      </c>
      <c r="B5586" s="2" t="s">
        <v>11091</v>
      </c>
      <c r="C5586" s="2" t="s">
        <v>40</v>
      </c>
      <c r="D5586" s="2" t="s">
        <v>41</v>
      </c>
      <c r="E5586" s="5">
        <v>-28770</v>
      </c>
      <c r="F5586" s="3" t="s">
        <v>1009</v>
      </c>
      <c r="G5586" s="3" t="s">
        <v>20</v>
      </c>
      <c r="H5586" s="2" t="s">
        <v>21</v>
      </c>
      <c r="I5586" s="2" t="s">
        <v>11092</v>
      </c>
      <c r="J5586" s="3" t="str">
        <f>HYPERLINK("https://www.boe.es/gazeta/dias/1821/03/24/pdfs/GMD-1821-84.pdf#page=3","Abrir facsímil")</f>
        <v>Abrir facsímil</v>
      </c>
      <c r="K5586" s="3" t="s">
        <v>23</v>
      </c>
    </row>
    <row r="5587" spans="1:11" ht="42" customHeight="1">
      <c r="A5587" s="2" t="s">
        <v>11093</v>
      </c>
      <c r="B5587" s="2" t="s">
        <v>11093</v>
      </c>
      <c r="C5587" s="2" t="s">
        <v>40</v>
      </c>
      <c r="D5587" s="2" t="s">
        <v>41</v>
      </c>
      <c r="E5587" s="5">
        <v>-28646</v>
      </c>
      <c r="F5587" s="3" t="s">
        <v>1457</v>
      </c>
      <c r="G5587" s="3" t="s">
        <v>52</v>
      </c>
      <c r="H5587" s="2" t="s">
        <v>21</v>
      </c>
      <c r="I5587" s="2" t="s">
        <v>11094</v>
      </c>
      <c r="J5587" s="3" t="str">
        <f>HYPERLINK("https://www.boe.es/gazeta/dias/1821/07/26/pdfs/GMD-1821-211.pdf#page=2","Abrir facsímil")</f>
        <v>Abrir facsímil</v>
      </c>
      <c r="K5587" s="3" t="s">
        <v>23</v>
      </c>
    </row>
    <row r="5588" spans="1:11" ht="42" customHeight="1">
      <c r="A5588" s="2" t="s">
        <v>11095</v>
      </c>
      <c r="B5588" s="2" t="s">
        <v>11096</v>
      </c>
      <c r="C5588" s="2" t="s">
        <v>26</v>
      </c>
      <c r="D5588" s="2" t="s">
        <v>27</v>
      </c>
      <c r="E5588" s="5">
        <v>-28641</v>
      </c>
      <c r="F5588" s="3" t="s">
        <v>398</v>
      </c>
      <c r="G5588" s="3" t="s">
        <v>20</v>
      </c>
      <c r="H5588" s="2" t="s">
        <v>21</v>
      </c>
      <c r="I5588" s="2" t="s">
        <v>11097</v>
      </c>
      <c r="J5588" s="3" t="str">
        <f>HYPERLINK("https://www.boe.es/gazeta/dias/1821/07/31/pdfs/GMD-1821-216.pdf#page=3","Abrir facsímil")</f>
        <v>Abrir facsímil</v>
      </c>
      <c r="K5588" s="3" t="s">
        <v>23</v>
      </c>
    </row>
    <row r="5589" spans="1:11" ht="42" customHeight="1">
      <c r="A5589" s="2" t="s">
        <v>11098</v>
      </c>
      <c r="B5589" s="2" t="s">
        <v>11098</v>
      </c>
      <c r="C5589" s="2" t="s">
        <v>40</v>
      </c>
      <c r="D5589" s="2" t="s">
        <v>41</v>
      </c>
      <c r="E5589" s="5">
        <v>-28782</v>
      </c>
      <c r="F5589" s="3" t="s">
        <v>508</v>
      </c>
      <c r="G5589" s="3" t="s">
        <v>88</v>
      </c>
      <c r="H5589" s="2" t="s">
        <v>21</v>
      </c>
      <c r="I5589" s="2" t="s">
        <v>11099</v>
      </c>
      <c r="J5589" s="3" t="str">
        <f>HYPERLINK("https://www.boe.es/gazeta/dias/1821/03/12/pdfs/GMD-1821-71.pdf#page=4","Abrir facsímil")</f>
        <v>Abrir facsímil</v>
      </c>
      <c r="K5589" s="3" t="s">
        <v>23</v>
      </c>
    </row>
    <row r="5590" spans="1:11" ht="42" customHeight="1">
      <c r="A5590" s="2" t="s">
        <v>11100</v>
      </c>
      <c r="B5590" s="2" t="s">
        <v>11101</v>
      </c>
      <c r="C5590" s="2" t="s">
        <v>26</v>
      </c>
      <c r="D5590" s="2" t="s">
        <v>27</v>
      </c>
      <c r="E5590" s="5">
        <v>-28629</v>
      </c>
      <c r="F5590" s="3" t="s">
        <v>235</v>
      </c>
      <c r="G5590" s="3" t="s">
        <v>88</v>
      </c>
      <c r="H5590" s="2" t="s">
        <v>21</v>
      </c>
      <c r="I5590" s="2" t="s">
        <v>11102</v>
      </c>
      <c r="J5590" s="3" t="str">
        <f>HYPERLINK("https://www.boe.es/gazeta/dias/1821/08/12/pdfs/GMD-1821-229.pdf#page=4","Abrir facsímil")</f>
        <v>Abrir facsímil</v>
      </c>
      <c r="K5590" s="3" t="s">
        <v>23</v>
      </c>
    </row>
    <row r="5591" spans="1:11" ht="42" customHeight="1">
      <c r="A5591" s="2" t="s">
        <v>11103</v>
      </c>
      <c r="B5591" s="2" t="s">
        <v>11104</v>
      </c>
      <c r="C5591" s="2" t="s">
        <v>35</v>
      </c>
      <c r="D5591" s="2" t="s">
        <v>27</v>
      </c>
      <c r="E5591" s="5">
        <v>-28543</v>
      </c>
      <c r="F5591" s="3" t="s">
        <v>136</v>
      </c>
      <c r="G5591" s="3" t="s">
        <v>88</v>
      </c>
      <c r="H5591" s="2" t="s">
        <v>21</v>
      </c>
      <c r="I5591" s="2" t="s">
        <v>11105</v>
      </c>
      <c r="J5591" s="3" t="str">
        <f>HYPERLINK("https://www.boe.es/gazeta/dias/1821/11/06/pdfs/GMD-1821-317.pdf#page=4","Abrir facsímil")</f>
        <v>Abrir facsímil</v>
      </c>
      <c r="K5591" s="3" t="s">
        <v>23</v>
      </c>
    </row>
    <row r="5592" spans="1:11" ht="42" customHeight="1">
      <c r="A5592" s="2" t="s">
        <v>11106</v>
      </c>
      <c r="B5592" s="2" t="s">
        <v>11107</v>
      </c>
      <c r="C5592" s="2" t="s">
        <v>35</v>
      </c>
      <c r="D5592" s="2" t="s">
        <v>27</v>
      </c>
      <c r="E5592" s="5">
        <v>-28543</v>
      </c>
      <c r="F5592" s="3" t="s">
        <v>136</v>
      </c>
      <c r="G5592" s="3" t="s">
        <v>52</v>
      </c>
      <c r="H5592" s="2" t="s">
        <v>21</v>
      </c>
      <c r="I5592" s="2" t="s">
        <v>11108</v>
      </c>
      <c r="J5592" s="3" t="str">
        <f>HYPERLINK("https://www.boe.es/gazeta/dias/1821/11/06/pdfs/GMD-1821-317.pdf#page=2","Abrir facsímil")</f>
        <v>Abrir facsímil</v>
      </c>
      <c r="K5592" s="3" t="s">
        <v>23</v>
      </c>
    </row>
    <row r="5593" spans="1:11" ht="42" customHeight="1">
      <c r="A5593" s="2" t="s">
        <v>11109</v>
      </c>
      <c r="B5593" s="2" t="s">
        <v>11110</v>
      </c>
      <c r="C5593" s="2" t="s">
        <v>40</v>
      </c>
      <c r="D5593" s="2" t="s">
        <v>41</v>
      </c>
      <c r="E5593" s="5">
        <v>-28839</v>
      </c>
      <c r="F5593" s="3" t="s">
        <v>1686</v>
      </c>
      <c r="G5593" s="3" t="s">
        <v>20</v>
      </c>
      <c r="H5593" s="2" t="s">
        <v>21</v>
      </c>
      <c r="I5593" s="2" t="s">
        <v>11111</v>
      </c>
      <c r="J5593" s="3" t="str">
        <f>HYPERLINK("https://www.boe.es/gazeta/dias/1821/01/14/pdfs/GGB-1821-14.pdf#page=3","Abrir facsímil")</f>
        <v>Abrir facsímil</v>
      </c>
      <c r="K5593" s="3" t="s">
        <v>23</v>
      </c>
    </row>
    <row r="5594" spans="1:11" ht="42" customHeight="1">
      <c r="A5594" s="2" t="s">
        <v>11112</v>
      </c>
      <c r="B5594" s="2" t="s">
        <v>11112</v>
      </c>
      <c r="C5594" s="2" t="s">
        <v>17</v>
      </c>
      <c r="D5594" s="2" t="s">
        <v>18</v>
      </c>
      <c r="E5594" s="5">
        <v>-28788</v>
      </c>
      <c r="F5594" s="3" t="s">
        <v>996</v>
      </c>
      <c r="G5594" s="3" t="s">
        <v>43</v>
      </c>
      <c r="H5594" s="2" t="s">
        <v>21</v>
      </c>
      <c r="I5594" s="2" t="s">
        <v>11113</v>
      </c>
      <c r="J5594" s="3" t="str">
        <f>HYPERLINK("https://www.boe.es/gazeta/dias/1821/03/06/pdfs/GGB-1821-65.pdf#page=1","Abrir facsímil")</f>
        <v>Abrir facsímil</v>
      </c>
      <c r="K5594" s="3" t="s">
        <v>23</v>
      </c>
    </row>
    <row r="5595" spans="1:11" ht="42" customHeight="1">
      <c r="A5595" s="2" t="s">
        <v>11114</v>
      </c>
      <c r="B5595" s="2" t="s">
        <v>11114</v>
      </c>
      <c r="C5595" s="2" t="s">
        <v>40</v>
      </c>
      <c r="D5595" s="2" t="s">
        <v>41</v>
      </c>
      <c r="E5595" s="5">
        <v>-28729</v>
      </c>
      <c r="F5595" s="3" t="s">
        <v>838</v>
      </c>
      <c r="G5595" s="3" t="s">
        <v>88</v>
      </c>
      <c r="H5595" s="2" t="s">
        <v>21</v>
      </c>
      <c r="I5595" s="2" t="s">
        <v>11115</v>
      </c>
      <c r="J5595" s="3" t="str">
        <f>HYPERLINK("https://www.boe.es/gazeta/dias/1821/05/04/pdfs/GMD-1821-126.pdf#page=4","Abrir facsímil")</f>
        <v>Abrir facsímil</v>
      </c>
      <c r="K5595" s="3" t="s">
        <v>23</v>
      </c>
    </row>
    <row r="5596" spans="1:11" ht="42" customHeight="1">
      <c r="A5596" s="2" t="s">
        <v>11116</v>
      </c>
      <c r="B5596" s="2" t="s">
        <v>11116</v>
      </c>
      <c r="C5596" s="2" t="s">
        <v>40</v>
      </c>
      <c r="D5596" s="2" t="s">
        <v>41</v>
      </c>
      <c r="E5596" s="5">
        <v>-28647</v>
      </c>
      <c r="F5596" s="3" t="s">
        <v>1295</v>
      </c>
      <c r="G5596" s="3" t="s">
        <v>4339</v>
      </c>
      <c r="H5596" s="2" t="s">
        <v>21</v>
      </c>
      <c r="I5596" s="2" t="s">
        <v>11117</v>
      </c>
      <c r="J5596" s="3" t="str">
        <f>HYPERLINK("https://www.boe.es/gazeta/dias/1821/07/25/pdfs/GMD-1821-210.pdf#page=2","Abrir facsímil")</f>
        <v>Abrir facsímil</v>
      </c>
      <c r="K5596" s="3" t="s">
        <v>23</v>
      </c>
    </row>
    <row r="5597" spans="1:11" ht="42" customHeight="1">
      <c r="A5597" s="2" t="s">
        <v>11116</v>
      </c>
      <c r="B5597" s="2" t="s">
        <v>11116</v>
      </c>
      <c r="C5597" s="2" t="s">
        <v>70</v>
      </c>
      <c r="D5597" s="2" t="s">
        <v>27</v>
      </c>
      <c r="E5597" s="5">
        <v>-28592</v>
      </c>
      <c r="F5597" s="3" t="s">
        <v>518</v>
      </c>
      <c r="G5597" s="3" t="s">
        <v>52</v>
      </c>
      <c r="H5597" s="2" t="s">
        <v>21</v>
      </c>
      <c r="I5597" s="2" t="s">
        <v>11118</v>
      </c>
      <c r="J5597" s="3" t="str">
        <f>HYPERLINK("https://www.boe.es/gazeta/dias/1821/09/18/pdfs/GMD-1821-266.pdf#page=2","Abrir facsímil")</f>
        <v>Abrir facsímil</v>
      </c>
      <c r="K5597" s="3" t="s">
        <v>23</v>
      </c>
    </row>
    <row r="5598" spans="1:11" ht="42" customHeight="1">
      <c r="A5598" s="2" t="s">
        <v>11116</v>
      </c>
      <c r="B5598" s="2" t="s">
        <v>11116</v>
      </c>
      <c r="C5598" s="2" t="s">
        <v>40</v>
      </c>
      <c r="D5598" s="2" t="s">
        <v>41</v>
      </c>
      <c r="E5598" s="5">
        <v>-28529</v>
      </c>
      <c r="F5598" s="3" t="s">
        <v>525</v>
      </c>
      <c r="G5598" s="3" t="s">
        <v>43</v>
      </c>
      <c r="H5598" s="2" t="s">
        <v>21</v>
      </c>
      <c r="I5598" s="2" t="s">
        <v>11119</v>
      </c>
      <c r="J5598" s="3" t="str">
        <f>HYPERLINK("https://www.boe.es/gazeta/dias/1821/11/20/pdfs/GMD-1821-331.pdf#page=1","Abrir facsímil")</f>
        <v>Abrir facsímil</v>
      </c>
      <c r="K5598" s="3" t="s">
        <v>23</v>
      </c>
    </row>
    <row r="5599" spans="1:11" ht="42" customHeight="1">
      <c r="A5599" s="2" t="s">
        <v>11120</v>
      </c>
      <c r="B5599" s="2" t="s">
        <v>11121</v>
      </c>
      <c r="C5599" s="2" t="s">
        <v>17</v>
      </c>
      <c r="D5599" s="2" t="s">
        <v>18</v>
      </c>
      <c r="E5599" s="5">
        <v>-28744</v>
      </c>
      <c r="F5599" s="3" t="s">
        <v>834</v>
      </c>
      <c r="G5599" s="3" t="s">
        <v>52</v>
      </c>
      <c r="H5599" s="2" t="s">
        <v>21</v>
      </c>
      <c r="I5599" s="2" t="s">
        <v>11122</v>
      </c>
      <c r="J5599" s="3" t="str">
        <f>HYPERLINK("https://www.boe.es/gazeta/dias/1821/04/19/pdfs/GMD-1821-111.pdf#page=2","Abrir facsímil")</f>
        <v>Abrir facsímil</v>
      </c>
      <c r="K5599" s="3" t="s">
        <v>23</v>
      </c>
    </row>
    <row r="5600" spans="1:11" ht="42" customHeight="1">
      <c r="A5600" s="2" t="s">
        <v>11120</v>
      </c>
      <c r="B5600" s="2" t="s">
        <v>11121</v>
      </c>
      <c r="C5600" s="2" t="s">
        <v>279</v>
      </c>
      <c r="D5600" s="2" t="s">
        <v>27</v>
      </c>
      <c r="E5600" s="5">
        <v>-28676</v>
      </c>
      <c r="F5600" s="3" t="s">
        <v>534</v>
      </c>
      <c r="G5600" s="3" t="s">
        <v>52</v>
      </c>
      <c r="H5600" s="2" t="s">
        <v>21</v>
      </c>
      <c r="I5600" s="2" t="s">
        <v>11123</v>
      </c>
      <c r="J5600" s="3" t="str">
        <f>HYPERLINK("https://www.boe.es/gazeta/dias/1821/06/26/pdfs/GMD-1821-179.pdf#page=2","Abrir facsímil")</f>
        <v>Abrir facsímil</v>
      </c>
      <c r="K5600" s="3" t="s">
        <v>23</v>
      </c>
    </row>
    <row r="5601" spans="1:11" ht="42" customHeight="1">
      <c r="A5601" s="2" t="s">
        <v>11124</v>
      </c>
      <c r="B5601" s="2" t="s">
        <v>11125</v>
      </c>
      <c r="C5601" s="2" t="s">
        <v>26</v>
      </c>
      <c r="D5601" s="2" t="s">
        <v>27</v>
      </c>
      <c r="E5601" s="5">
        <v>-28738</v>
      </c>
      <c r="F5601" s="3" t="s">
        <v>359</v>
      </c>
      <c r="G5601" s="3" t="s">
        <v>88</v>
      </c>
      <c r="H5601" s="2" t="s">
        <v>21</v>
      </c>
      <c r="I5601" s="2" t="s">
        <v>11126</v>
      </c>
      <c r="J5601" s="3" t="str">
        <f>HYPERLINK("https://www.boe.es/gazeta/dias/1821/04/25/pdfs/GMD-1821-117.pdf#page=4","Abrir facsímil")</f>
        <v>Abrir facsímil</v>
      </c>
      <c r="K5601" s="3" t="s">
        <v>23</v>
      </c>
    </row>
    <row r="5602" spans="1:11" ht="42" customHeight="1">
      <c r="A5602" s="2" t="s">
        <v>11127</v>
      </c>
      <c r="B5602" s="2" t="s">
        <v>11128</v>
      </c>
      <c r="C5602" s="2" t="s">
        <v>40</v>
      </c>
      <c r="D5602" s="2" t="s">
        <v>41</v>
      </c>
      <c r="E5602" s="5">
        <v>-28577</v>
      </c>
      <c r="F5602" s="3" t="s">
        <v>858</v>
      </c>
      <c r="G5602" s="3" t="s">
        <v>88</v>
      </c>
      <c r="H5602" s="2" t="s">
        <v>21</v>
      </c>
      <c r="I5602" s="2" t="s">
        <v>11129</v>
      </c>
      <c r="J5602" s="3" t="str">
        <f>HYPERLINK("https://www.boe.es/gazeta/dias/1821/10/03/pdfs/GMD-1821-282.pdf#page=4","Abrir facsímil")</f>
        <v>Abrir facsímil</v>
      </c>
      <c r="K5602" s="3" t="s">
        <v>23</v>
      </c>
    </row>
    <row r="5603" spans="1:11" ht="42" customHeight="1">
      <c r="A5603" s="2" t="s">
        <v>11130</v>
      </c>
      <c r="B5603" s="2" t="s">
        <v>11131</v>
      </c>
      <c r="C5603" s="2" t="s">
        <v>17</v>
      </c>
      <c r="D5603" s="2" t="s">
        <v>18</v>
      </c>
      <c r="E5603" s="5">
        <v>-28709</v>
      </c>
      <c r="F5603" s="3" t="s">
        <v>1434</v>
      </c>
      <c r="G5603" s="3" t="s">
        <v>1435</v>
      </c>
      <c r="H5603" s="2" t="s">
        <v>21</v>
      </c>
      <c r="I5603" s="2" t="s">
        <v>11132</v>
      </c>
      <c r="J5603" s="3" t="str">
        <f>HYPERLINK("https://www.boe.es/gazeta/dias/1821/05/24/pdfs/GMD-1821-146.pdf#page=2","Abrir facsímil")</f>
        <v>Abrir facsímil</v>
      </c>
      <c r="K5603" s="3" t="s">
        <v>23</v>
      </c>
    </row>
    <row r="5604" spans="1:11" ht="42" customHeight="1">
      <c r="A5604" s="2" t="s">
        <v>11133</v>
      </c>
      <c r="B5604" s="2" t="s">
        <v>11134</v>
      </c>
      <c r="C5604" s="2" t="s">
        <v>35</v>
      </c>
      <c r="D5604" s="2" t="s">
        <v>27</v>
      </c>
      <c r="E5604" s="5">
        <v>-28510</v>
      </c>
      <c r="F5604" s="3" t="s">
        <v>83</v>
      </c>
      <c r="G5604" s="3" t="s">
        <v>52</v>
      </c>
      <c r="H5604" s="2" t="s">
        <v>21</v>
      </c>
      <c r="I5604" s="2" t="s">
        <v>11135</v>
      </c>
      <c r="J5604" s="3" t="str">
        <f>HYPERLINK("https://www.boe.es/gazeta/dias/1821/12/09/pdfs/GMD-1821-351.pdf#page=2","Abrir facsímil")</f>
        <v>Abrir facsímil</v>
      </c>
      <c r="K5604" s="3" t="s">
        <v>23</v>
      </c>
    </row>
    <row r="5605" spans="1:11" ht="42" customHeight="1">
      <c r="A5605" s="2" t="s">
        <v>11136</v>
      </c>
      <c r="B5605" s="2" t="s">
        <v>11137</v>
      </c>
      <c r="C5605" s="2" t="s">
        <v>17</v>
      </c>
      <c r="D5605" s="2" t="s">
        <v>18</v>
      </c>
      <c r="E5605" s="5">
        <v>-28537</v>
      </c>
      <c r="F5605" s="3" t="s">
        <v>56</v>
      </c>
      <c r="G5605" s="3" t="s">
        <v>29</v>
      </c>
      <c r="H5605" s="2" t="s">
        <v>30</v>
      </c>
      <c r="I5605" s="2" t="s">
        <v>11138</v>
      </c>
      <c r="J5605" s="3" t="str">
        <f>HYPERLINK("https://www.boe.es/gazeta/dias/1821/11/12/pdfs/GMD-1821-323.pdf#page=6","Abrir facsímil")</f>
        <v>Abrir facsímil</v>
      </c>
      <c r="K5605" s="3" t="s">
        <v>32</v>
      </c>
    </row>
    <row r="5606" spans="1:11" ht="42" customHeight="1">
      <c r="A5606" s="2" t="s">
        <v>11139</v>
      </c>
      <c r="B5606" s="2" t="s">
        <v>11140</v>
      </c>
      <c r="C5606" s="2" t="s">
        <v>26</v>
      </c>
      <c r="D5606" s="2" t="s">
        <v>27</v>
      </c>
      <c r="E5606" s="5">
        <v>-28718</v>
      </c>
      <c r="F5606" s="3" t="s">
        <v>583</v>
      </c>
      <c r="G5606" s="3" t="s">
        <v>88</v>
      </c>
      <c r="H5606" s="2" t="s">
        <v>30</v>
      </c>
      <c r="I5606" s="2" t="s">
        <v>11141</v>
      </c>
      <c r="J5606" s="3" t="str">
        <f>HYPERLINK("https://www.boe.es/gazeta/dias/1821/05/15/pdfs/GMD-1821-137.pdf#page=4","Abrir facsímil")</f>
        <v>Abrir facsímil</v>
      </c>
      <c r="K5606" s="3" t="s">
        <v>32</v>
      </c>
    </row>
    <row r="5607" spans="1:11" ht="42" customHeight="1">
      <c r="A5607" s="2" t="s">
        <v>11142</v>
      </c>
      <c r="B5607" s="2" t="s">
        <v>11143</v>
      </c>
      <c r="C5607" s="2" t="s">
        <v>26</v>
      </c>
      <c r="D5607" s="2" t="s">
        <v>27</v>
      </c>
      <c r="E5607" s="5">
        <v>-28691</v>
      </c>
      <c r="F5607" s="3" t="s">
        <v>716</v>
      </c>
      <c r="G5607" s="3" t="s">
        <v>43</v>
      </c>
      <c r="H5607" s="2" t="s">
        <v>21</v>
      </c>
      <c r="I5607" s="2" t="s">
        <v>11144</v>
      </c>
      <c r="J5607" s="3" t="str">
        <f>HYPERLINK("https://www.boe.es/gazeta/dias/1821/06/11/pdfs/GMD-1821-164.pdf#page=1","Abrir facsímil")</f>
        <v>Abrir facsímil</v>
      </c>
      <c r="K5607" s="3" t="s">
        <v>23</v>
      </c>
    </row>
    <row r="5608" spans="1:11" ht="42" customHeight="1">
      <c r="A5608" s="2" t="s">
        <v>11145</v>
      </c>
      <c r="B5608" s="2" t="s">
        <v>11146</v>
      </c>
      <c r="C5608" s="2" t="s">
        <v>17</v>
      </c>
      <c r="D5608" s="2" t="s">
        <v>18</v>
      </c>
      <c r="E5608" s="5">
        <v>-28633</v>
      </c>
      <c r="F5608" s="3" t="s">
        <v>2601</v>
      </c>
      <c r="G5608" s="3" t="s">
        <v>88</v>
      </c>
      <c r="H5608" s="2" t="s">
        <v>21</v>
      </c>
      <c r="I5608" s="2" t="s">
        <v>11147</v>
      </c>
      <c r="J5608" s="3" t="str">
        <f>HYPERLINK("https://www.boe.es/gazeta/dias/1821/08/08/pdfs/GMD-1821-224.pdf#page=4","Abrir facsímil")</f>
        <v>Abrir facsímil</v>
      </c>
      <c r="K5608" s="3" t="s">
        <v>23</v>
      </c>
    </row>
    <row r="5609" spans="1:11" ht="42" customHeight="1">
      <c r="A5609" s="2" t="s">
        <v>11148</v>
      </c>
      <c r="B5609" s="2" t="s">
        <v>11149</v>
      </c>
      <c r="C5609" s="2" t="s">
        <v>26</v>
      </c>
      <c r="D5609" s="2" t="s">
        <v>27</v>
      </c>
      <c r="E5609" s="5">
        <v>-28738</v>
      </c>
      <c r="F5609" s="3" t="s">
        <v>359</v>
      </c>
      <c r="G5609" s="3" t="s">
        <v>88</v>
      </c>
      <c r="H5609" s="2" t="s">
        <v>21</v>
      </c>
      <c r="I5609" s="2" t="s">
        <v>11150</v>
      </c>
      <c r="J5609" s="3" t="str">
        <f>HYPERLINK("https://www.boe.es/gazeta/dias/1821/04/25/pdfs/GMD-1821-117.pdf#page=4","Abrir facsímil")</f>
        <v>Abrir facsímil</v>
      </c>
      <c r="K5609" s="3" t="s">
        <v>23</v>
      </c>
    </row>
    <row r="5610" spans="1:11" ht="42" customHeight="1">
      <c r="A5610" s="2" t="s">
        <v>11151</v>
      </c>
      <c r="B5610" s="2" t="s">
        <v>11152</v>
      </c>
      <c r="C5610" s="2" t="s">
        <v>26</v>
      </c>
      <c r="D5610" s="2" t="s">
        <v>27</v>
      </c>
      <c r="E5610" s="5">
        <v>-28547</v>
      </c>
      <c r="F5610" s="3" t="s">
        <v>247</v>
      </c>
      <c r="G5610" s="3" t="s">
        <v>248</v>
      </c>
      <c r="H5610" s="2" t="s">
        <v>21</v>
      </c>
      <c r="I5610" s="2" t="s">
        <v>11153</v>
      </c>
      <c r="J5610" s="3" t="str">
        <f>HYPERLINK("https://www.boe.es/gazeta/dias/1821/11/02/pdfs/GMD-1821-312.pdf#page=2","Abrir facsímil")</f>
        <v>Abrir facsímil</v>
      </c>
      <c r="K5610" s="3" t="s">
        <v>23</v>
      </c>
    </row>
    <row r="5611" spans="1:11" ht="42" customHeight="1">
      <c r="A5611" s="2" t="s">
        <v>11154</v>
      </c>
      <c r="B5611" s="2" t="s">
        <v>11154</v>
      </c>
      <c r="C5611" s="2" t="s">
        <v>40</v>
      </c>
      <c r="D5611" s="2" t="s">
        <v>41</v>
      </c>
      <c r="E5611" s="5">
        <v>-28785</v>
      </c>
      <c r="F5611" s="3" t="s">
        <v>1935</v>
      </c>
      <c r="G5611" s="3" t="s">
        <v>88</v>
      </c>
      <c r="H5611" s="2" t="s">
        <v>21</v>
      </c>
      <c r="I5611" s="2" t="s">
        <v>11155</v>
      </c>
      <c r="J5611" s="3" t="str">
        <f>HYPERLINK("https://www.boe.es/gazeta/dias/1821/03/09/pdfs/GGB-1821-68.pdf#page=4","Abrir facsímil")</f>
        <v>Abrir facsímil</v>
      </c>
      <c r="K5611" s="3" t="s">
        <v>23</v>
      </c>
    </row>
    <row r="5612" spans="1:11" ht="42" customHeight="1">
      <c r="A5612" s="2" t="s">
        <v>11156</v>
      </c>
      <c r="B5612" s="2" t="s">
        <v>11156</v>
      </c>
      <c r="C5612" s="2" t="s">
        <v>17</v>
      </c>
      <c r="D5612" s="2" t="s">
        <v>18</v>
      </c>
      <c r="E5612" s="5">
        <v>-28787</v>
      </c>
      <c r="F5612" s="3" t="s">
        <v>486</v>
      </c>
      <c r="G5612" s="3" t="s">
        <v>52</v>
      </c>
      <c r="H5612" s="2" t="s">
        <v>21</v>
      </c>
      <c r="I5612" s="2" t="s">
        <v>11157</v>
      </c>
      <c r="J5612" s="3" t="str">
        <f>HYPERLINK("https://www.boe.es/gazeta/dias/1821/03/07/pdfs/GGB-1821-66.pdf#page=2","Abrir facsímil")</f>
        <v>Abrir facsímil</v>
      </c>
      <c r="K5612" s="3" t="s">
        <v>23</v>
      </c>
    </row>
    <row r="5613" spans="1:11" ht="42" customHeight="1">
      <c r="A5613" s="2" t="s">
        <v>11156</v>
      </c>
      <c r="B5613" s="2" t="s">
        <v>11156</v>
      </c>
      <c r="C5613" s="2" t="s">
        <v>40</v>
      </c>
      <c r="D5613" s="2" t="s">
        <v>41</v>
      </c>
      <c r="E5613" s="5">
        <v>-28776</v>
      </c>
      <c r="F5613" s="3" t="s">
        <v>312</v>
      </c>
      <c r="G5613" s="3" t="s">
        <v>88</v>
      </c>
      <c r="H5613" s="2" t="s">
        <v>21</v>
      </c>
      <c r="I5613" s="2" t="s">
        <v>11158</v>
      </c>
      <c r="J5613" s="3" t="str">
        <f>HYPERLINK("https://www.boe.es/gazeta/dias/1821/03/18/pdfs/GMD-1821-77.pdf#page=4","Abrir facsímil")</f>
        <v>Abrir facsímil</v>
      </c>
      <c r="K5613" s="3" t="s">
        <v>23</v>
      </c>
    </row>
    <row r="5614" spans="1:11" ht="42" customHeight="1">
      <c r="A5614" s="2" t="s">
        <v>11156</v>
      </c>
      <c r="B5614" s="2" t="s">
        <v>11156</v>
      </c>
      <c r="C5614" s="2" t="s">
        <v>494</v>
      </c>
      <c r="D5614" s="2" t="s">
        <v>18</v>
      </c>
      <c r="E5614" s="5">
        <v>-28712</v>
      </c>
      <c r="F5614" s="3" t="s">
        <v>695</v>
      </c>
      <c r="G5614" s="3" t="s">
        <v>20</v>
      </c>
      <c r="H5614" s="2" t="s">
        <v>21</v>
      </c>
      <c r="I5614" s="2" t="s">
        <v>11159</v>
      </c>
      <c r="J5614" s="3" t="str">
        <f>HYPERLINK("https://www.boe.es/gazeta/dias/1821/05/21/pdfs/GMD-1821-143.pdf#page=3","Abrir facsímil")</f>
        <v>Abrir facsímil</v>
      </c>
      <c r="K5614" s="3" t="s">
        <v>23</v>
      </c>
    </row>
    <row r="5615" spans="1:11" ht="42" customHeight="1">
      <c r="A5615" s="2" t="s">
        <v>11160</v>
      </c>
      <c r="B5615" s="2" t="s">
        <v>11160</v>
      </c>
      <c r="C5615" s="2" t="s">
        <v>35</v>
      </c>
      <c r="D5615" s="2" t="s">
        <v>27</v>
      </c>
      <c r="E5615" s="5">
        <v>-28770</v>
      </c>
      <c r="F5615" s="3" t="s">
        <v>1009</v>
      </c>
      <c r="G5615" s="3" t="s">
        <v>20</v>
      </c>
      <c r="H5615" s="2" t="s">
        <v>21</v>
      </c>
      <c r="I5615" s="2" t="s">
        <v>11161</v>
      </c>
      <c r="J5615" s="3" t="str">
        <f>HYPERLINK("https://www.boe.es/gazeta/dias/1821/03/24/pdfs/GMD-1821-84.pdf#page=3","Abrir facsímil")</f>
        <v>Abrir facsímil</v>
      </c>
      <c r="K5615" s="3" t="s">
        <v>23</v>
      </c>
    </row>
    <row r="5616" spans="1:11" ht="42" customHeight="1">
      <c r="A5616" s="2" t="s">
        <v>11160</v>
      </c>
      <c r="B5616" s="2" t="s">
        <v>11160</v>
      </c>
      <c r="C5616" s="2" t="s">
        <v>494</v>
      </c>
      <c r="D5616" s="2" t="s">
        <v>18</v>
      </c>
      <c r="E5616" s="5">
        <v>-28706</v>
      </c>
      <c r="F5616" s="3" t="s">
        <v>4791</v>
      </c>
      <c r="G5616" s="3" t="s">
        <v>8867</v>
      </c>
      <c r="H5616" s="2" t="s">
        <v>21</v>
      </c>
      <c r="I5616" s="2" t="s">
        <v>11162</v>
      </c>
      <c r="J5616" s="3" t="str">
        <f>HYPERLINK("https://www.boe.es/gazeta/dias/1821/05/27/pdfs/GMD-1821-149.pdf#page=3","Abrir facsímil")</f>
        <v>Abrir facsímil</v>
      </c>
      <c r="K5616" s="3" t="s">
        <v>23</v>
      </c>
    </row>
    <row r="5617" spans="1:11" ht="42" customHeight="1">
      <c r="A5617" s="2" t="s">
        <v>11163</v>
      </c>
      <c r="B5617" s="2" t="s">
        <v>11164</v>
      </c>
      <c r="C5617" s="2" t="s">
        <v>114</v>
      </c>
      <c r="D5617" s="2" t="s">
        <v>27</v>
      </c>
      <c r="E5617" s="5">
        <v>-28644</v>
      </c>
      <c r="F5617" s="3" t="s">
        <v>1340</v>
      </c>
      <c r="G5617" s="3" t="s">
        <v>88</v>
      </c>
      <c r="H5617" s="2" t="s">
        <v>21</v>
      </c>
      <c r="I5617" s="2" t="s">
        <v>11165</v>
      </c>
      <c r="J5617" s="3" t="str">
        <f>HYPERLINK("https://www.boe.es/gazeta/dias/1821/07/28/pdfs/GMD-1821-213.pdf#page=4","Abrir facsímil")</f>
        <v>Abrir facsímil</v>
      </c>
      <c r="K5617" s="3" t="s">
        <v>23</v>
      </c>
    </row>
    <row r="5618" spans="1:11" ht="42" customHeight="1">
      <c r="A5618" s="2" t="s">
        <v>11166</v>
      </c>
      <c r="B5618" s="2" t="s">
        <v>11167</v>
      </c>
      <c r="C5618" s="2" t="s">
        <v>26</v>
      </c>
      <c r="D5618" s="2" t="s">
        <v>27</v>
      </c>
      <c r="E5618" s="5">
        <v>-28623</v>
      </c>
      <c r="F5618" s="3" t="s">
        <v>2767</v>
      </c>
      <c r="G5618" s="3" t="s">
        <v>20</v>
      </c>
      <c r="H5618" s="2" t="s">
        <v>21</v>
      </c>
      <c r="I5618" s="2" t="s">
        <v>11168</v>
      </c>
      <c r="J5618" s="3" t="str">
        <f>HYPERLINK("https://www.boe.es/gazeta/dias/1821/08/18/pdfs/GMD-1821-235.pdf#page=3","Abrir facsímil")</f>
        <v>Abrir facsímil</v>
      </c>
      <c r="K5618" s="3" t="s">
        <v>23</v>
      </c>
    </row>
    <row r="5619" spans="1:11" ht="42" customHeight="1">
      <c r="A5619" s="2" t="s">
        <v>11169</v>
      </c>
      <c r="B5619" s="2" t="s">
        <v>11170</v>
      </c>
      <c r="C5619" s="2" t="s">
        <v>35</v>
      </c>
      <c r="D5619" s="2" t="s">
        <v>27</v>
      </c>
      <c r="E5619" s="5">
        <v>-28778</v>
      </c>
      <c r="F5619" s="3" t="s">
        <v>1301</v>
      </c>
      <c r="G5619" s="3" t="s">
        <v>162</v>
      </c>
      <c r="H5619" s="2" t="s">
        <v>21</v>
      </c>
      <c r="I5619" s="2" t="s">
        <v>11171</v>
      </c>
      <c r="J5619" s="3" t="str">
        <f>HYPERLINK("https://www.boe.es/gazeta/dias/1821/03/16/pdfs/GMD-1821-75.pdf#page=5","Abrir facsímil")</f>
        <v>Abrir facsímil</v>
      </c>
      <c r="K5619" s="3" t="s">
        <v>23</v>
      </c>
    </row>
    <row r="5620" spans="1:11" ht="42" customHeight="1">
      <c r="A5620" s="2" t="s">
        <v>11172</v>
      </c>
      <c r="B5620" s="2" t="s">
        <v>11173</v>
      </c>
      <c r="C5620" s="2" t="s">
        <v>26</v>
      </c>
      <c r="D5620" s="2" t="s">
        <v>27</v>
      </c>
      <c r="E5620" s="5">
        <v>-28547</v>
      </c>
      <c r="F5620" s="3" t="s">
        <v>247</v>
      </c>
      <c r="G5620" s="3" t="s">
        <v>248</v>
      </c>
      <c r="H5620" s="2" t="s">
        <v>21</v>
      </c>
      <c r="I5620" s="2" t="s">
        <v>11174</v>
      </c>
      <c r="J5620" s="3" t="str">
        <f>HYPERLINK("https://www.boe.es/gazeta/dias/1821/11/02/pdfs/GMD-1821-312.pdf#page=2","Abrir facsímil")</f>
        <v>Abrir facsímil</v>
      </c>
      <c r="K5620" s="3" t="s">
        <v>23</v>
      </c>
    </row>
    <row r="5621" spans="1:11" ht="42" customHeight="1">
      <c r="A5621" s="2" t="s">
        <v>11175</v>
      </c>
      <c r="B5621" s="2" t="s">
        <v>11175</v>
      </c>
      <c r="C5621" s="2" t="s">
        <v>26</v>
      </c>
      <c r="D5621" s="2" t="s">
        <v>27</v>
      </c>
      <c r="E5621" s="5">
        <v>-28770</v>
      </c>
      <c r="F5621" s="3" t="s">
        <v>1009</v>
      </c>
      <c r="G5621" s="3" t="s">
        <v>88</v>
      </c>
      <c r="H5621" s="2" t="s">
        <v>21</v>
      </c>
      <c r="I5621" s="2" t="s">
        <v>11176</v>
      </c>
      <c r="J5621" s="3" t="str">
        <f>HYPERLINK("https://www.boe.es/gazeta/dias/1821/03/24/pdfs/GMD-1821-84.pdf#page=4","Abrir facsímil")</f>
        <v>Abrir facsímil</v>
      </c>
      <c r="K5621" s="3" t="s">
        <v>23</v>
      </c>
    </row>
    <row r="5622" spans="1:11" ht="42" customHeight="1">
      <c r="A5622" s="2" t="s">
        <v>11175</v>
      </c>
      <c r="B5622" s="2" t="s">
        <v>11175</v>
      </c>
      <c r="C5622" s="2" t="s">
        <v>40</v>
      </c>
      <c r="D5622" s="2" t="s">
        <v>41</v>
      </c>
      <c r="E5622" s="5">
        <v>-28760</v>
      </c>
      <c r="F5622" s="3" t="s">
        <v>170</v>
      </c>
      <c r="G5622" s="3" t="s">
        <v>52</v>
      </c>
      <c r="H5622" s="2" t="s">
        <v>21</v>
      </c>
      <c r="I5622" s="2" t="s">
        <v>11177</v>
      </c>
      <c r="J5622" s="3" t="str">
        <f>HYPERLINK("https://www.boe.es/gazeta/dias/1821/04/03/pdfs/GMD-1821-95.pdf#page=2","Abrir facsímil")</f>
        <v>Abrir facsímil</v>
      </c>
      <c r="K5622" s="3" t="s">
        <v>23</v>
      </c>
    </row>
    <row r="5623" spans="1:11" ht="42" customHeight="1">
      <c r="A5623" s="2" t="s">
        <v>11175</v>
      </c>
      <c r="B5623" s="2" t="s">
        <v>11175</v>
      </c>
      <c r="C5623" s="2" t="s">
        <v>35</v>
      </c>
      <c r="D5623" s="2" t="s">
        <v>27</v>
      </c>
      <c r="E5623" s="5">
        <v>-28749</v>
      </c>
      <c r="F5623" s="3" t="s">
        <v>832</v>
      </c>
      <c r="G5623" s="3" t="s">
        <v>20</v>
      </c>
      <c r="H5623" s="2" t="s">
        <v>21</v>
      </c>
      <c r="I5623" s="2" t="s">
        <v>11178</v>
      </c>
      <c r="J5623" s="3" t="str">
        <f>HYPERLINK("https://www.boe.es/gazeta/dias/1821/04/14/pdfs/GMD-1821-106.pdf#page=3","Abrir facsímil")</f>
        <v>Abrir facsímil</v>
      </c>
      <c r="K5623" s="3" t="s">
        <v>23</v>
      </c>
    </row>
    <row r="5624" spans="1:11" ht="42" customHeight="1">
      <c r="A5624" s="2" t="s">
        <v>11175</v>
      </c>
      <c r="B5624" s="2" t="s">
        <v>11175</v>
      </c>
      <c r="C5624" s="2" t="s">
        <v>26</v>
      </c>
      <c r="D5624" s="2" t="s">
        <v>27</v>
      </c>
      <c r="E5624" s="5">
        <v>-28741</v>
      </c>
      <c r="F5624" s="3" t="s">
        <v>1841</v>
      </c>
      <c r="G5624" s="3" t="s">
        <v>52</v>
      </c>
      <c r="H5624" s="2" t="s">
        <v>21</v>
      </c>
      <c r="I5624" s="2" t="s">
        <v>11179</v>
      </c>
      <c r="J5624" s="3" t="str">
        <f>HYPERLINK("https://www.boe.es/gazeta/dias/1821/04/22/pdfs/GMD-1821-114.pdf#page=2","Abrir facsímil")</f>
        <v>Abrir facsímil</v>
      </c>
      <c r="K5624" s="3" t="s">
        <v>23</v>
      </c>
    </row>
    <row r="5625" spans="1:11" ht="42" customHeight="1">
      <c r="A5625" s="2" t="s">
        <v>11175</v>
      </c>
      <c r="B5625" s="2" t="s">
        <v>11175</v>
      </c>
      <c r="C5625" s="2" t="s">
        <v>26</v>
      </c>
      <c r="D5625" s="2" t="s">
        <v>27</v>
      </c>
      <c r="E5625" s="5">
        <v>-28735</v>
      </c>
      <c r="F5625" s="3" t="s">
        <v>836</v>
      </c>
      <c r="G5625" s="3" t="s">
        <v>88</v>
      </c>
      <c r="H5625" s="2" t="s">
        <v>21</v>
      </c>
      <c r="I5625" s="2" t="s">
        <v>11180</v>
      </c>
      <c r="J5625" s="3" t="str">
        <f>HYPERLINK("https://www.boe.es/gazeta/dias/1821/04/28/pdfs/GMD-1821-120.pdf#page=4","Abrir facsímil")</f>
        <v>Abrir facsímil</v>
      </c>
      <c r="K5625" s="3" t="s">
        <v>23</v>
      </c>
    </row>
    <row r="5626" spans="1:11" ht="42" customHeight="1">
      <c r="A5626" s="2" t="s">
        <v>11175</v>
      </c>
      <c r="B5626" s="2" t="s">
        <v>11175</v>
      </c>
      <c r="C5626" s="2" t="s">
        <v>26</v>
      </c>
      <c r="D5626" s="2" t="s">
        <v>27</v>
      </c>
      <c r="E5626" s="5">
        <v>-28730</v>
      </c>
      <c r="F5626" s="3" t="s">
        <v>747</v>
      </c>
      <c r="G5626" s="3" t="s">
        <v>88</v>
      </c>
      <c r="H5626" s="2" t="s">
        <v>21</v>
      </c>
      <c r="I5626" s="2" t="s">
        <v>11181</v>
      </c>
      <c r="J5626" s="3" t="str">
        <f>HYPERLINK("https://www.boe.es/gazeta/dias/1821/05/03/pdfs/GMD-1821-125.pdf#page=4","Abrir facsímil")</f>
        <v>Abrir facsímil</v>
      </c>
      <c r="K5626" s="3" t="s">
        <v>23</v>
      </c>
    </row>
    <row r="5627" spans="1:11" ht="42" customHeight="1">
      <c r="A5627" s="2" t="s">
        <v>11175</v>
      </c>
      <c r="B5627" s="2" t="s">
        <v>11175</v>
      </c>
      <c r="C5627" s="2" t="s">
        <v>35</v>
      </c>
      <c r="D5627" s="2" t="s">
        <v>27</v>
      </c>
      <c r="E5627" s="5">
        <v>-28707</v>
      </c>
      <c r="F5627" s="3" t="s">
        <v>495</v>
      </c>
      <c r="G5627" s="3" t="s">
        <v>20</v>
      </c>
      <c r="H5627" s="2" t="s">
        <v>21</v>
      </c>
      <c r="I5627" s="2" t="s">
        <v>11182</v>
      </c>
      <c r="J5627" s="3" t="str">
        <f>HYPERLINK("https://www.boe.es/gazeta/dias/1821/05/26/pdfs/GMD-1821-148.pdf#page=3","Abrir facsímil")</f>
        <v>Abrir facsímil</v>
      </c>
      <c r="K5627" s="3" t="s">
        <v>23</v>
      </c>
    </row>
    <row r="5628" spans="1:11" ht="42" customHeight="1">
      <c r="A5628" s="2" t="s">
        <v>11175</v>
      </c>
      <c r="B5628" s="2" t="s">
        <v>11175</v>
      </c>
      <c r="C5628" s="2" t="s">
        <v>40</v>
      </c>
      <c r="D5628" s="2" t="s">
        <v>41</v>
      </c>
      <c r="E5628" s="5">
        <v>-28676</v>
      </c>
      <c r="F5628" s="3" t="s">
        <v>534</v>
      </c>
      <c r="G5628" s="3" t="s">
        <v>162</v>
      </c>
      <c r="H5628" s="2" t="s">
        <v>21</v>
      </c>
      <c r="I5628" s="2" t="s">
        <v>11183</v>
      </c>
      <c r="J5628" s="3" t="str">
        <f>HYPERLINK("https://www.boe.es/gazeta/dias/1821/06/26/pdfs/GMD-1821-179.pdf#page=5","Abrir facsímil")</f>
        <v>Abrir facsímil</v>
      </c>
      <c r="K5628" s="3" t="s">
        <v>23</v>
      </c>
    </row>
    <row r="5629" spans="1:11" ht="42" customHeight="1">
      <c r="A5629" s="2" t="s">
        <v>11175</v>
      </c>
      <c r="B5629" s="2" t="s">
        <v>11175</v>
      </c>
      <c r="C5629" s="2" t="s">
        <v>17</v>
      </c>
      <c r="D5629" s="2" t="s">
        <v>18</v>
      </c>
      <c r="E5629" s="5">
        <v>-28574</v>
      </c>
      <c r="F5629" s="3" t="s">
        <v>779</v>
      </c>
      <c r="G5629" s="3" t="s">
        <v>609</v>
      </c>
      <c r="H5629" s="2" t="s">
        <v>21</v>
      </c>
      <c r="I5629" s="2" t="s">
        <v>11184</v>
      </c>
      <c r="J5629" s="3" t="str">
        <f>HYPERLINK("https://www.boe.es/gazeta/dias/1821/10/06/pdfs/GMD-1821-285.pdf#page=7","Abrir facsímil")</f>
        <v>Abrir facsímil</v>
      </c>
      <c r="K5629" s="3" t="s">
        <v>23</v>
      </c>
    </row>
    <row r="5630" spans="1:11" ht="42" customHeight="1">
      <c r="A5630" s="2" t="s">
        <v>11175</v>
      </c>
      <c r="B5630" s="2" t="s">
        <v>11175</v>
      </c>
      <c r="C5630" s="2" t="s">
        <v>40</v>
      </c>
      <c r="D5630" s="2" t="s">
        <v>41</v>
      </c>
      <c r="E5630" s="5">
        <v>-28543</v>
      </c>
      <c r="F5630" s="3" t="s">
        <v>136</v>
      </c>
      <c r="G5630" s="3" t="s">
        <v>609</v>
      </c>
      <c r="H5630" s="2" t="s">
        <v>21</v>
      </c>
      <c r="I5630" s="2" t="s">
        <v>11185</v>
      </c>
      <c r="J5630" s="3" t="str">
        <f>HYPERLINK("https://www.boe.es/gazeta/dias/1821/11/06/pdfs/GMD-1821-317.pdf#page=7","Abrir facsímil")</f>
        <v>Abrir facsímil</v>
      </c>
      <c r="K5630" s="3" t="s">
        <v>23</v>
      </c>
    </row>
    <row r="5631" spans="1:11" ht="42" customHeight="1">
      <c r="A5631" s="2" t="s">
        <v>11175</v>
      </c>
      <c r="B5631" s="2" t="s">
        <v>11175</v>
      </c>
      <c r="C5631" s="2" t="s">
        <v>40</v>
      </c>
      <c r="D5631" s="2" t="s">
        <v>41</v>
      </c>
      <c r="E5631" s="5">
        <v>-28542</v>
      </c>
      <c r="F5631" s="3" t="s">
        <v>221</v>
      </c>
      <c r="G5631" s="3" t="s">
        <v>29</v>
      </c>
      <c r="H5631" s="2" t="s">
        <v>21</v>
      </c>
      <c r="I5631" s="2" t="s">
        <v>11186</v>
      </c>
      <c r="J5631" s="3" t="str">
        <f>HYPERLINK("https://www.boe.es/gazeta/dias/1821/11/07/pdfs/GMD-1821-318.pdf#page=6","Abrir facsímil")</f>
        <v>Abrir facsímil</v>
      </c>
      <c r="K5631" s="3" t="s">
        <v>23</v>
      </c>
    </row>
    <row r="5632" spans="1:11" ht="42" customHeight="1">
      <c r="A5632" s="2" t="s">
        <v>11175</v>
      </c>
      <c r="B5632" s="2" t="s">
        <v>11175</v>
      </c>
      <c r="C5632" s="2" t="s">
        <v>35</v>
      </c>
      <c r="D5632" s="2" t="s">
        <v>27</v>
      </c>
      <c r="E5632" s="5">
        <v>-28535</v>
      </c>
      <c r="F5632" s="3" t="s">
        <v>96</v>
      </c>
      <c r="G5632" s="3" t="s">
        <v>88</v>
      </c>
      <c r="H5632" s="2" t="s">
        <v>21</v>
      </c>
      <c r="I5632" s="2" t="s">
        <v>11187</v>
      </c>
      <c r="J5632" s="3" t="str">
        <f>HYPERLINK("https://www.boe.es/gazeta/dias/1821/11/14/pdfs/GMD-1821-325.pdf#page=4","Abrir facsímil")</f>
        <v>Abrir facsímil</v>
      </c>
      <c r="K5632" s="3" t="s">
        <v>23</v>
      </c>
    </row>
    <row r="5633" spans="1:11" ht="42" customHeight="1">
      <c r="A5633" s="2" t="s">
        <v>11175</v>
      </c>
      <c r="B5633" s="2" t="s">
        <v>11175</v>
      </c>
      <c r="C5633" s="2" t="s">
        <v>40</v>
      </c>
      <c r="D5633" s="2" t="s">
        <v>41</v>
      </c>
      <c r="E5633" s="5">
        <v>-28527</v>
      </c>
      <c r="F5633" s="3" t="s">
        <v>328</v>
      </c>
      <c r="G5633" s="3" t="s">
        <v>20</v>
      </c>
      <c r="H5633" s="2" t="s">
        <v>21</v>
      </c>
      <c r="I5633" s="2" t="s">
        <v>11188</v>
      </c>
      <c r="J5633" s="3" t="str">
        <f>HYPERLINK("https://www.boe.es/gazeta/dias/1821/11/22/pdfs/GMD-1821-333.pdf#page=3","Abrir facsímil")</f>
        <v>Abrir facsímil</v>
      </c>
      <c r="K5633" s="3" t="s">
        <v>23</v>
      </c>
    </row>
    <row r="5634" spans="1:11" ht="42" customHeight="1">
      <c r="A5634" s="2" t="s">
        <v>11175</v>
      </c>
      <c r="B5634" s="2" t="s">
        <v>11175</v>
      </c>
      <c r="C5634" s="2" t="s">
        <v>279</v>
      </c>
      <c r="D5634" s="2" t="s">
        <v>27</v>
      </c>
      <c r="E5634" s="5">
        <v>-28527</v>
      </c>
      <c r="F5634" s="3" t="s">
        <v>328</v>
      </c>
      <c r="G5634" s="3" t="s">
        <v>88</v>
      </c>
      <c r="H5634" s="2" t="s">
        <v>21</v>
      </c>
      <c r="I5634" s="2" t="s">
        <v>11189</v>
      </c>
      <c r="J5634" s="3" t="str">
        <f>HYPERLINK("https://www.boe.es/gazeta/dias/1821/11/22/pdfs/GMD-1821-333.pdf#page=4","Abrir facsímil")</f>
        <v>Abrir facsímil</v>
      </c>
      <c r="K5634" s="3" t="s">
        <v>23</v>
      </c>
    </row>
    <row r="5635" spans="1:11" ht="42" customHeight="1">
      <c r="A5635" s="2" t="s">
        <v>11175</v>
      </c>
      <c r="B5635" s="2" t="s">
        <v>11175</v>
      </c>
      <c r="C5635" s="2" t="s">
        <v>26</v>
      </c>
      <c r="D5635" s="2" t="s">
        <v>27</v>
      </c>
      <c r="E5635" s="5">
        <v>-28521</v>
      </c>
      <c r="F5635" s="3" t="s">
        <v>499</v>
      </c>
      <c r="G5635" s="3" t="s">
        <v>20</v>
      </c>
      <c r="H5635" s="2" t="s">
        <v>21</v>
      </c>
      <c r="I5635" s="2" t="s">
        <v>11190</v>
      </c>
      <c r="J5635" s="3" t="str">
        <f>HYPERLINK("https://www.boe.es/gazeta/dias/1821/11/28/pdfs/GMD-1821-340.pdf#page=3","Abrir facsímil")</f>
        <v>Abrir facsímil</v>
      </c>
      <c r="K5635" s="3" t="s">
        <v>23</v>
      </c>
    </row>
    <row r="5636" spans="1:11" ht="42" customHeight="1">
      <c r="A5636" s="2" t="s">
        <v>11175</v>
      </c>
      <c r="B5636" s="2" t="s">
        <v>11175</v>
      </c>
      <c r="C5636" s="2" t="s">
        <v>40</v>
      </c>
      <c r="D5636" s="2" t="s">
        <v>41</v>
      </c>
      <c r="E5636" s="5">
        <v>-28518</v>
      </c>
      <c r="F5636" s="3" t="s">
        <v>410</v>
      </c>
      <c r="G5636" s="3" t="s">
        <v>162</v>
      </c>
      <c r="H5636" s="2" t="s">
        <v>21</v>
      </c>
      <c r="I5636" s="2" t="s">
        <v>11191</v>
      </c>
      <c r="J5636" s="3" t="str">
        <f>HYPERLINK("https://www.boe.es/gazeta/dias/1821/12/01/pdfs/GMD-1821-343.pdf#page=5","Abrir facsímil")</f>
        <v>Abrir facsímil</v>
      </c>
      <c r="K5636" s="3" t="s">
        <v>23</v>
      </c>
    </row>
    <row r="5637" spans="1:11" ht="42" customHeight="1">
      <c r="A5637" s="2" t="s">
        <v>11175</v>
      </c>
      <c r="B5637" s="2" t="s">
        <v>11175</v>
      </c>
      <c r="C5637" s="2" t="s">
        <v>26</v>
      </c>
      <c r="D5637" s="2" t="s">
        <v>27</v>
      </c>
      <c r="E5637" s="5">
        <v>-28517</v>
      </c>
      <c r="F5637" s="3" t="s">
        <v>563</v>
      </c>
      <c r="G5637" s="3" t="s">
        <v>52</v>
      </c>
      <c r="H5637" s="2" t="s">
        <v>21</v>
      </c>
      <c r="I5637" s="2" t="s">
        <v>11192</v>
      </c>
      <c r="J5637" s="3" t="str">
        <f>HYPERLINK("https://www.boe.es/gazeta/dias/1821/12/02/pdfs/GMD-1821-344.pdf#page=2","Abrir facsímil")</f>
        <v>Abrir facsímil</v>
      </c>
      <c r="K5637" s="3" t="s">
        <v>23</v>
      </c>
    </row>
    <row r="5638" spans="1:11" ht="42" customHeight="1">
      <c r="A5638" s="2" t="s">
        <v>11175</v>
      </c>
      <c r="B5638" s="2" t="s">
        <v>11175</v>
      </c>
      <c r="C5638" s="2" t="s">
        <v>17</v>
      </c>
      <c r="D5638" s="2" t="s">
        <v>18</v>
      </c>
      <c r="E5638" s="5">
        <v>-28517</v>
      </c>
      <c r="F5638" s="3" t="s">
        <v>563</v>
      </c>
      <c r="G5638" s="3" t="s">
        <v>88</v>
      </c>
      <c r="H5638" s="2" t="s">
        <v>21</v>
      </c>
      <c r="I5638" s="2" t="s">
        <v>11193</v>
      </c>
      <c r="J5638" s="3" t="str">
        <f>HYPERLINK("https://www.boe.es/gazeta/dias/1821/12/02/pdfs/GMD-1821-344.pdf#page=4","Abrir facsímil")</f>
        <v>Abrir facsímil</v>
      </c>
      <c r="K5638" s="3" t="s">
        <v>23</v>
      </c>
    </row>
    <row r="5639" spans="1:11" ht="42" customHeight="1">
      <c r="A5639" s="2" t="s">
        <v>11175</v>
      </c>
      <c r="B5639" s="2" t="s">
        <v>11175</v>
      </c>
      <c r="C5639" s="2" t="s">
        <v>174</v>
      </c>
      <c r="D5639" s="2" t="s">
        <v>27</v>
      </c>
      <c r="E5639" s="5">
        <v>-28510</v>
      </c>
      <c r="F5639" s="3" t="s">
        <v>83</v>
      </c>
      <c r="G5639" s="3" t="s">
        <v>88</v>
      </c>
      <c r="H5639" s="2" t="s">
        <v>21</v>
      </c>
      <c r="I5639" s="2" t="s">
        <v>11194</v>
      </c>
      <c r="J5639" s="3" t="str">
        <f>HYPERLINK("https://www.boe.es/gazeta/dias/1821/12/09/pdfs/GMD-1821-351.pdf#page=4","Abrir facsímil")</f>
        <v>Abrir facsímil</v>
      </c>
      <c r="K5639" s="3" t="s">
        <v>23</v>
      </c>
    </row>
    <row r="5640" spans="1:11" ht="42" customHeight="1">
      <c r="A5640" s="2" t="s">
        <v>11195</v>
      </c>
      <c r="B5640" s="2" t="s">
        <v>11195</v>
      </c>
      <c r="C5640" s="2" t="s">
        <v>35</v>
      </c>
      <c r="D5640" s="2" t="s">
        <v>27</v>
      </c>
      <c r="E5640" s="5">
        <v>-28728</v>
      </c>
      <c r="F5640" s="3" t="s">
        <v>1038</v>
      </c>
      <c r="G5640" s="3" t="s">
        <v>20</v>
      </c>
      <c r="H5640" s="2" t="s">
        <v>21</v>
      </c>
      <c r="I5640" s="2" t="s">
        <v>11196</v>
      </c>
      <c r="J5640" s="3" t="str">
        <f>HYPERLINK("https://www.boe.es/gazeta/dias/1821/05/05/pdfs/GMD-1821-127.pdf#page=3","Abrir facsímil")</f>
        <v>Abrir facsímil</v>
      </c>
      <c r="K5640" s="3" t="s">
        <v>23</v>
      </c>
    </row>
    <row r="5641" spans="1:11" ht="42" customHeight="1">
      <c r="A5641" s="2" t="s">
        <v>11195</v>
      </c>
      <c r="B5641" s="2" t="s">
        <v>11195</v>
      </c>
      <c r="C5641" s="2" t="s">
        <v>40</v>
      </c>
      <c r="D5641" s="2" t="s">
        <v>41</v>
      </c>
      <c r="E5641" s="5">
        <v>-28542</v>
      </c>
      <c r="F5641" s="3" t="s">
        <v>221</v>
      </c>
      <c r="G5641" s="3" t="s">
        <v>162</v>
      </c>
      <c r="H5641" s="2" t="s">
        <v>21</v>
      </c>
      <c r="I5641" s="2" t="s">
        <v>11197</v>
      </c>
      <c r="J5641" s="3" t="str">
        <f>HYPERLINK("https://www.boe.es/gazeta/dias/1821/11/07/pdfs/GMD-1821-318.pdf#page=5","Abrir facsímil")</f>
        <v>Abrir facsímil</v>
      </c>
      <c r="K5641" s="3" t="s">
        <v>23</v>
      </c>
    </row>
    <row r="5642" spans="1:11" ht="42" customHeight="1">
      <c r="A5642" s="2" t="s">
        <v>11198</v>
      </c>
      <c r="B5642" s="2" t="s">
        <v>11198</v>
      </c>
      <c r="C5642" s="2" t="s">
        <v>40</v>
      </c>
      <c r="D5642" s="2" t="s">
        <v>41</v>
      </c>
      <c r="E5642" s="5">
        <v>-28527</v>
      </c>
      <c r="F5642" s="3" t="s">
        <v>328</v>
      </c>
      <c r="G5642" s="3" t="s">
        <v>20</v>
      </c>
      <c r="H5642" s="2" t="s">
        <v>21</v>
      </c>
      <c r="I5642" s="2" t="s">
        <v>11199</v>
      </c>
      <c r="J5642" s="3" t="str">
        <f>HYPERLINK("https://www.boe.es/gazeta/dias/1821/11/22/pdfs/GMD-1821-333.pdf#page=3","Abrir facsímil")</f>
        <v>Abrir facsímil</v>
      </c>
      <c r="K5642" s="3" t="s">
        <v>23</v>
      </c>
    </row>
    <row r="5643" spans="1:11" ht="42" customHeight="1">
      <c r="A5643" s="2" t="s">
        <v>11200</v>
      </c>
      <c r="B5643" s="2" t="s">
        <v>11200</v>
      </c>
      <c r="C5643" s="2" t="s">
        <v>26</v>
      </c>
      <c r="D5643" s="2" t="s">
        <v>27</v>
      </c>
      <c r="E5643" s="5">
        <v>-28636</v>
      </c>
      <c r="F5643" s="3" t="s">
        <v>122</v>
      </c>
      <c r="G5643" s="3" t="s">
        <v>52</v>
      </c>
      <c r="H5643" s="2" t="s">
        <v>21</v>
      </c>
      <c r="I5643" s="2" t="s">
        <v>11201</v>
      </c>
      <c r="J5643" s="3" t="str">
        <f>HYPERLINK("https://www.boe.es/gazeta/dias/1821/08/05/pdfs/GMD-1821-221.pdf#page=2","Abrir facsímil")</f>
        <v>Abrir facsímil</v>
      </c>
      <c r="K5643" s="3" t="s">
        <v>23</v>
      </c>
    </row>
    <row r="5644" spans="1:11" ht="42" customHeight="1">
      <c r="A5644" s="2" t="s">
        <v>11202</v>
      </c>
      <c r="B5644" s="2" t="s">
        <v>11202</v>
      </c>
      <c r="C5644" s="2" t="s">
        <v>174</v>
      </c>
      <c r="D5644" s="2" t="s">
        <v>27</v>
      </c>
      <c r="E5644" s="5">
        <v>-28515</v>
      </c>
      <c r="F5644" s="3" t="s">
        <v>260</v>
      </c>
      <c r="G5644" s="3" t="s">
        <v>3841</v>
      </c>
      <c r="H5644" s="2" t="s">
        <v>21</v>
      </c>
      <c r="I5644" s="2" t="s">
        <v>11203</v>
      </c>
      <c r="J5644" s="3" t="str">
        <f>HYPERLINK("https://www.boe.es/gazeta/dias/1821/12/04/pdfs/GMD-1821-346.pdf#page=6","Abrir facsímil")</f>
        <v>Abrir facsímil</v>
      </c>
      <c r="K5644" s="3" t="s">
        <v>23</v>
      </c>
    </row>
    <row r="5645" spans="1:11" ht="42" customHeight="1">
      <c r="A5645" s="2" t="s">
        <v>11204</v>
      </c>
      <c r="B5645" s="2" t="s">
        <v>11204</v>
      </c>
      <c r="C5645" s="2" t="s">
        <v>40</v>
      </c>
      <c r="D5645" s="2" t="s">
        <v>41</v>
      </c>
      <c r="E5645" s="5">
        <v>-28791</v>
      </c>
      <c r="F5645" s="3" t="s">
        <v>47</v>
      </c>
      <c r="G5645" s="3" t="s">
        <v>293</v>
      </c>
      <c r="H5645" s="2" t="s">
        <v>21</v>
      </c>
      <c r="I5645" s="2" t="s">
        <v>11205</v>
      </c>
      <c r="J5645" s="3" t="str">
        <f>HYPERLINK("https://www.boe.es/gazeta/dias/1821/03/03/pdfs/GGB-1821-62.pdf#page=2","Abrir facsímil")</f>
        <v>Abrir facsímil</v>
      </c>
      <c r="K5645" s="3" t="s">
        <v>23</v>
      </c>
    </row>
    <row r="5646" spans="1:11" ht="42" customHeight="1">
      <c r="A5646" s="2" t="s">
        <v>11204</v>
      </c>
      <c r="B5646" s="2" t="s">
        <v>11204</v>
      </c>
      <c r="C5646" s="2" t="s">
        <v>40</v>
      </c>
      <c r="D5646" s="2" t="s">
        <v>41</v>
      </c>
      <c r="E5646" s="5">
        <v>-28770</v>
      </c>
      <c r="F5646" s="3" t="s">
        <v>1009</v>
      </c>
      <c r="G5646" s="3" t="s">
        <v>3233</v>
      </c>
      <c r="H5646" s="2" t="s">
        <v>21</v>
      </c>
      <c r="I5646" s="2" t="s">
        <v>11206</v>
      </c>
      <c r="J5646" s="3" t="str">
        <f>HYPERLINK("https://www.boe.es/gazeta/dias/1821/03/24/pdfs/GMD-1821-84.pdf#page=2","Abrir facsímil")</f>
        <v>Abrir facsímil</v>
      </c>
      <c r="K5646" s="3" t="s">
        <v>23</v>
      </c>
    </row>
    <row r="5647" spans="1:11" ht="42" customHeight="1">
      <c r="A5647" s="2" t="s">
        <v>11207</v>
      </c>
      <c r="B5647" s="2" t="s">
        <v>11207</v>
      </c>
      <c r="C5647" s="2" t="s">
        <v>279</v>
      </c>
      <c r="D5647" s="2" t="s">
        <v>27</v>
      </c>
      <c r="E5647" s="5">
        <v>-28794</v>
      </c>
      <c r="F5647" s="3" t="s">
        <v>9661</v>
      </c>
      <c r="G5647" s="3" t="s">
        <v>88</v>
      </c>
      <c r="H5647" s="2" t="s">
        <v>21</v>
      </c>
      <c r="I5647" s="2" t="s">
        <v>11208</v>
      </c>
      <c r="J5647" s="3" t="str">
        <f>HYPERLINK("https://www.boe.es/gazeta/dias/1821/02/28/pdfs/GGB-1821-59.pdf#page=4","Abrir facsímil")</f>
        <v>Abrir facsímil</v>
      </c>
      <c r="K5647" s="3" t="s">
        <v>23</v>
      </c>
    </row>
    <row r="5648" spans="1:11" ht="42" customHeight="1">
      <c r="A5648" s="2" t="s">
        <v>11209</v>
      </c>
      <c r="B5648" s="2" t="s">
        <v>11209</v>
      </c>
      <c r="C5648" s="2" t="s">
        <v>26</v>
      </c>
      <c r="D5648" s="2" t="s">
        <v>27</v>
      </c>
      <c r="E5648" s="5">
        <v>-28661</v>
      </c>
      <c r="F5648" s="3" t="s">
        <v>2298</v>
      </c>
      <c r="G5648" s="3" t="s">
        <v>52</v>
      </c>
      <c r="H5648" s="2" t="s">
        <v>21</v>
      </c>
      <c r="I5648" s="2" t="s">
        <v>11210</v>
      </c>
      <c r="J5648" s="3" t="str">
        <f>HYPERLINK("https://www.boe.es/gazeta/dias/1821/07/11/pdfs/GMD-1821-196.pdf#page=2","Abrir facsímil")</f>
        <v>Abrir facsímil</v>
      </c>
      <c r="K5648" s="3" t="s">
        <v>23</v>
      </c>
    </row>
    <row r="5649" spans="1:11" ht="42" customHeight="1">
      <c r="A5649" s="2" t="s">
        <v>11211</v>
      </c>
      <c r="B5649" s="2" t="s">
        <v>11211</v>
      </c>
      <c r="C5649" s="2" t="s">
        <v>35</v>
      </c>
      <c r="D5649" s="2" t="s">
        <v>27</v>
      </c>
      <c r="E5649" s="5">
        <v>-28751</v>
      </c>
      <c r="F5649" s="3" t="s">
        <v>356</v>
      </c>
      <c r="G5649" s="3" t="s">
        <v>20</v>
      </c>
      <c r="H5649" s="2" t="s">
        <v>21</v>
      </c>
      <c r="I5649" s="2" t="s">
        <v>11212</v>
      </c>
      <c r="J5649" s="3" t="str">
        <f>HYPERLINK("https://www.boe.es/gazeta/dias/1821/04/12/pdfs/GMD-1821-104.pdf#page=3","Abrir facsímil")</f>
        <v>Abrir facsímil</v>
      </c>
      <c r="K5649" s="3" t="s">
        <v>23</v>
      </c>
    </row>
    <row r="5650" spans="1:11" ht="42" customHeight="1">
      <c r="A5650" s="2" t="s">
        <v>11211</v>
      </c>
      <c r="B5650" s="2" t="s">
        <v>11211</v>
      </c>
      <c r="C5650" s="2" t="s">
        <v>40</v>
      </c>
      <c r="D5650" s="2" t="s">
        <v>41</v>
      </c>
      <c r="E5650" s="5">
        <v>-28747</v>
      </c>
      <c r="F5650" s="3" t="s">
        <v>1016</v>
      </c>
      <c r="G5650" s="3" t="s">
        <v>20</v>
      </c>
      <c r="H5650" s="2" t="s">
        <v>21</v>
      </c>
      <c r="I5650" s="2" t="s">
        <v>11213</v>
      </c>
      <c r="J5650" s="3" t="str">
        <f>HYPERLINK("https://www.boe.es/gazeta/dias/1821/04/16/pdfs/GMD-1821-108.pdf#page=3","Abrir facsímil")</f>
        <v>Abrir facsímil</v>
      </c>
      <c r="K5650" s="3" t="s">
        <v>23</v>
      </c>
    </row>
    <row r="5651" spans="1:11" ht="42" customHeight="1">
      <c r="A5651" s="2" t="s">
        <v>11211</v>
      </c>
      <c r="B5651" s="2" t="s">
        <v>11211</v>
      </c>
      <c r="C5651" s="2" t="s">
        <v>17</v>
      </c>
      <c r="D5651" s="2" t="s">
        <v>18</v>
      </c>
      <c r="E5651" s="5">
        <v>-28746</v>
      </c>
      <c r="F5651" s="3" t="s">
        <v>687</v>
      </c>
      <c r="G5651" s="3" t="s">
        <v>162</v>
      </c>
      <c r="H5651" s="2" t="s">
        <v>21</v>
      </c>
      <c r="I5651" s="2" t="s">
        <v>11214</v>
      </c>
      <c r="J5651" s="3" t="str">
        <f>HYPERLINK("https://www.boe.es/gazeta/dias/1821/04/17/pdfs/GMD-1821-109.pdf#page=5","Abrir facsímil")</f>
        <v>Abrir facsímil</v>
      </c>
      <c r="K5651" s="3" t="s">
        <v>23</v>
      </c>
    </row>
    <row r="5652" spans="1:11" ht="42" customHeight="1">
      <c r="A5652" s="2" t="s">
        <v>11211</v>
      </c>
      <c r="B5652" s="2" t="s">
        <v>11211</v>
      </c>
      <c r="C5652" s="2" t="s">
        <v>35</v>
      </c>
      <c r="D5652" s="2" t="s">
        <v>27</v>
      </c>
      <c r="E5652" s="5">
        <v>-28572</v>
      </c>
      <c r="F5652" s="3" t="s">
        <v>1072</v>
      </c>
      <c r="G5652" s="3" t="s">
        <v>88</v>
      </c>
      <c r="H5652" s="2" t="s">
        <v>21</v>
      </c>
      <c r="I5652" s="2" t="s">
        <v>11215</v>
      </c>
      <c r="J5652" s="3" t="str">
        <f>HYPERLINK("https://www.boe.es/gazeta/dias/1821/10/08/pdfs/GMD-1821-287.pdf#page=4","Abrir facsímil")</f>
        <v>Abrir facsímil</v>
      </c>
      <c r="K5652" s="3" t="s">
        <v>23</v>
      </c>
    </row>
    <row r="5653" spans="1:11" ht="42" customHeight="1">
      <c r="A5653" s="2" t="s">
        <v>11216</v>
      </c>
      <c r="B5653" s="2" t="s">
        <v>11216</v>
      </c>
      <c r="C5653" s="2" t="s">
        <v>40</v>
      </c>
      <c r="D5653" s="2" t="s">
        <v>41</v>
      </c>
      <c r="E5653" s="5">
        <v>-28513</v>
      </c>
      <c r="F5653" s="3" t="s">
        <v>502</v>
      </c>
      <c r="G5653" s="3" t="s">
        <v>52</v>
      </c>
      <c r="H5653" s="2" t="s">
        <v>21</v>
      </c>
      <c r="I5653" s="2" t="s">
        <v>11217</v>
      </c>
      <c r="J5653" s="3" t="str">
        <f>HYPERLINK("https://www.boe.es/gazeta/dias/1821/12/06/pdfs/GMD-1821-348.pdf#page=2","Abrir facsímil")</f>
        <v>Abrir facsímil</v>
      </c>
      <c r="K5653" s="3" t="s">
        <v>23</v>
      </c>
    </row>
    <row r="5654" spans="1:11" ht="42" customHeight="1">
      <c r="A5654" s="2" t="s">
        <v>11211</v>
      </c>
      <c r="B5654" s="2" t="s">
        <v>11211</v>
      </c>
      <c r="C5654" s="2" t="s">
        <v>70</v>
      </c>
      <c r="D5654" s="2" t="s">
        <v>27</v>
      </c>
      <c r="E5654" s="5">
        <v>-28510</v>
      </c>
      <c r="F5654" s="3" t="s">
        <v>83</v>
      </c>
      <c r="G5654" s="3" t="s">
        <v>162</v>
      </c>
      <c r="H5654" s="2" t="s">
        <v>21</v>
      </c>
      <c r="I5654" s="2" t="s">
        <v>11218</v>
      </c>
      <c r="J5654" s="3" t="str">
        <f>HYPERLINK("https://www.boe.es/gazeta/dias/1821/12/09/pdfs/GMD-1821-351.pdf#page=5","Abrir facsímil")</f>
        <v>Abrir facsímil</v>
      </c>
      <c r="K5654" s="3" t="s">
        <v>23</v>
      </c>
    </row>
    <row r="5655" spans="1:11" ht="42" customHeight="1">
      <c r="A5655" s="2" t="s">
        <v>11211</v>
      </c>
      <c r="B5655" s="2" t="s">
        <v>11211</v>
      </c>
      <c r="C5655" s="2" t="s">
        <v>35</v>
      </c>
      <c r="D5655" s="2" t="s">
        <v>27</v>
      </c>
      <c r="E5655" s="5">
        <v>-28509</v>
      </c>
      <c r="F5655" s="3" t="s">
        <v>388</v>
      </c>
      <c r="G5655" s="3" t="s">
        <v>52</v>
      </c>
      <c r="H5655" s="2" t="s">
        <v>21</v>
      </c>
      <c r="I5655" s="2" t="s">
        <v>11219</v>
      </c>
      <c r="J5655" s="3" t="str">
        <f>HYPERLINK("https://www.boe.es/gazeta/dias/1821/12/10/pdfs/GMD-1821-352.pdf#page=2","Abrir facsímil")</f>
        <v>Abrir facsímil</v>
      </c>
      <c r="K5655" s="3" t="s">
        <v>23</v>
      </c>
    </row>
    <row r="5656" spans="1:11" ht="42" customHeight="1">
      <c r="A5656" s="2" t="s">
        <v>11211</v>
      </c>
      <c r="B5656" s="2" t="s">
        <v>11211</v>
      </c>
      <c r="C5656" s="2" t="s">
        <v>35</v>
      </c>
      <c r="D5656" s="2" t="s">
        <v>27</v>
      </c>
      <c r="E5656" s="5">
        <v>-28495</v>
      </c>
      <c r="F5656" s="3" t="s">
        <v>227</v>
      </c>
      <c r="G5656" s="3" t="s">
        <v>609</v>
      </c>
      <c r="H5656" s="2" t="s">
        <v>21</v>
      </c>
      <c r="I5656" s="2" t="s">
        <v>11220</v>
      </c>
      <c r="J5656" s="3" t="str">
        <f>HYPERLINK("https://www.boe.es/gazeta/dias/1821/12/24/pdfs/GMD-1821-367.pdf#page=7","Abrir facsímil")</f>
        <v>Abrir facsímil</v>
      </c>
      <c r="K5656" s="3" t="s">
        <v>23</v>
      </c>
    </row>
    <row r="5657" spans="1:11" ht="42" customHeight="1">
      <c r="A5657" s="2" t="s">
        <v>11221</v>
      </c>
      <c r="B5657" s="2" t="s">
        <v>11221</v>
      </c>
      <c r="C5657" s="2" t="s">
        <v>26</v>
      </c>
      <c r="D5657" s="2" t="s">
        <v>27</v>
      </c>
      <c r="E5657" s="5">
        <v>-28574</v>
      </c>
      <c r="F5657" s="3" t="s">
        <v>779</v>
      </c>
      <c r="G5657" s="3" t="s">
        <v>609</v>
      </c>
      <c r="H5657" s="2" t="s">
        <v>21</v>
      </c>
      <c r="I5657" s="2" t="s">
        <v>11222</v>
      </c>
      <c r="J5657" s="3" t="str">
        <f>HYPERLINK("https://www.boe.es/gazeta/dias/1821/10/06/pdfs/GMD-1821-285.pdf#page=7","Abrir facsímil")</f>
        <v>Abrir facsímil</v>
      </c>
      <c r="K5657" s="3" t="s">
        <v>23</v>
      </c>
    </row>
    <row r="5658" spans="1:11" ht="42" customHeight="1">
      <c r="A5658" s="2" t="s">
        <v>11223</v>
      </c>
      <c r="B5658" s="2" t="s">
        <v>11224</v>
      </c>
      <c r="C5658" s="2" t="s">
        <v>17</v>
      </c>
      <c r="D5658" s="2" t="s">
        <v>18</v>
      </c>
      <c r="E5658" s="5">
        <v>-28813</v>
      </c>
      <c r="F5658" s="3" t="s">
        <v>268</v>
      </c>
      <c r="G5658" s="3" t="s">
        <v>20</v>
      </c>
      <c r="H5658" s="2" t="s">
        <v>21</v>
      </c>
      <c r="I5658" s="2" t="s">
        <v>11225</v>
      </c>
      <c r="J5658" s="3" t="str">
        <f>HYPERLINK("https://www.boe.es/gazeta/dias/1821/02/09/pdfs/GGB-1821-40.pdf#page=3","Abrir facsímil")</f>
        <v>Abrir facsímil</v>
      </c>
      <c r="K5658" s="3" t="s">
        <v>23</v>
      </c>
    </row>
    <row r="5659" spans="1:11" ht="42" customHeight="1">
      <c r="A5659" s="2" t="s">
        <v>11226</v>
      </c>
      <c r="B5659" s="2" t="s">
        <v>11226</v>
      </c>
      <c r="C5659" s="2" t="s">
        <v>40</v>
      </c>
      <c r="D5659" s="2" t="s">
        <v>41</v>
      </c>
      <c r="E5659" s="5">
        <v>-28733</v>
      </c>
      <c r="F5659" s="3" t="s">
        <v>1033</v>
      </c>
      <c r="G5659" s="3" t="s">
        <v>43</v>
      </c>
      <c r="H5659" s="2" t="s">
        <v>21</v>
      </c>
      <c r="I5659" s="2" t="s">
        <v>11227</v>
      </c>
      <c r="J5659" s="3" t="str">
        <f>HYPERLINK("https://www.boe.es/gazeta/dias/1821/04/30/pdfs/GMD-1821-122.pdf#page=1","Abrir facsímil")</f>
        <v>Abrir facsímil</v>
      </c>
      <c r="K5659" s="3" t="s">
        <v>23</v>
      </c>
    </row>
    <row r="5660" spans="1:11" ht="42" customHeight="1">
      <c r="A5660" s="2" t="s">
        <v>11228</v>
      </c>
      <c r="B5660" s="2" t="s">
        <v>11228</v>
      </c>
      <c r="C5660" s="2" t="s">
        <v>40</v>
      </c>
      <c r="D5660" s="2" t="s">
        <v>41</v>
      </c>
      <c r="E5660" s="5">
        <v>-28758</v>
      </c>
      <c r="F5660" s="3" t="s">
        <v>4115</v>
      </c>
      <c r="G5660" s="3" t="s">
        <v>20</v>
      </c>
      <c r="H5660" s="2" t="s">
        <v>21</v>
      </c>
      <c r="I5660" s="2" t="s">
        <v>11229</v>
      </c>
      <c r="J5660" s="3" t="str">
        <f>HYPERLINK("https://www.boe.es/gazeta/dias/1821/04/05/pdfs/GMD-1821-97.pdf#page=3","Abrir facsímil")</f>
        <v>Abrir facsímil</v>
      </c>
      <c r="K5660" s="3" t="s">
        <v>23</v>
      </c>
    </row>
    <row r="5661" spans="1:11" ht="42" customHeight="1">
      <c r="A5661" s="2" t="s">
        <v>11230</v>
      </c>
      <c r="B5661" s="2" t="s">
        <v>11230</v>
      </c>
      <c r="C5661" s="2" t="s">
        <v>40</v>
      </c>
      <c r="D5661" s="2" t="s">
        <v>405</v>
      </c>
      <c r="E5661" s="5">
        <v>-28632</v>
      </c>
      <c r="F5661" s="3" t="s">
        <v>11231</v>
      </c>
      <c r="G5661" s="3" t="s">
        <v>43</v>
      </c>
      <c r="H5661" s="2" t="s">
        <v>21</v>
      </c>
      <c r="I5661" s="2" t="s">
        <v>11232</v>
      </c>
      <c r="J5661" s="3" t="str">
        <f>HYPERLINK("https://www.boe.es/gazeta/dias/1821/08/09/pdfs/GMD-1821-226E.pdf#page=1","Abrir facsímil")</f>
        <v>Abrir facsímil</v>
      </c>
      <c r="K5661" s="3" t="s">
        <v>23</v>
      </c>
    </row>
    <row r="5662" spans="1:11" ht="42" customHeight="1">
      <c r="A5662" s="2" t="s">
        <v>11233</v>
      </c>
      <c r="B5662" s="2" t="s">
        <v>11234</v>
      </c>
      <c r="C5662" s="2" t="s">
        <v>279</v>
      </c>
      <c r="D5662" s="2" t="s">
        <v>27</v>
      </c>
      <c r="E5662" s="5">
        <v>-28681</v>
      </c>
      <c r="F5662" s="3" t="s">
        <v>210</v>
      </c>
      <c r="G5662" s="3" t="s">
        <v>52</v>
      </c>
      <c r="H5662" s="2" t="s">
        <v>21</v>
      </c>
      <c r="I5662" s="2" t="s">
        <v>11235</v>
      </c>
      <c r="J5662" s="3" t="str">
        <f>HYPERLINK("https://www.boe.es/gazeta/dias/1821/06/21/pdfs/GMD-1821-174.pdf#page=2","Abrir facsímil")</f>
        <v>Abrir facsímil</v>
      </c>
      <c r="K5662" s="3" t="s">
        <v>23</v>
      </c>
    </row>
    <row r="5663" spans="1:11" ht="42" customHeight="1">
      <c r="A5663" s="2" t="s">
        <v>11236</v>
      </c>
      <c r="B5663" s="2" t="s">
        <v>11236</v>
      </c>
      <c r="C5663" s="2" t="s">
        <v>40</v>
      </c>
      <c r="D5663" s="2" t="s">
        <v>41</v>
      </c>
      <c r="E5663" s="5">
        <v>-28746</v>
      </c>
      <c r="F5663" s="3" t="s">
        <v>687</v>
      </c>
      <c r="G5663" s="3" t="s">
        <v>52</v>
      </c>
      <c r="H5663" s="2" t="s">
        <v>21</v>
      </c>
      <c r="I5663" s="2" t="s">
        <v>11237</v>
      </c>
      <c r="J5663" s="3" t="str">
        <f>HYPERLINK("https://www.boe.es/gazeta/dias/1821/04/17/pdfs/GMD-1821-109.pdf#page=2","Abrir facsímil")</f>
        <v>Abrir facsímil</v>
      </c>
      <c r="K5663" s="3" t="s">
        <v>23</v>
      </c>
    </row>
    <row r="5664" spans="1:11" ht="42" customHeight="1">
      <c r="A5664" s="2" t="s">
        <v>11236</v>
      </c>
      <c r="B5664" s="2" t="s">
        <v>11236</v>
      </c>
      <c r="C5664" s="2" t="s">
        <v>40</v>
      </c>
      <c r="D5664" s="2" t="s">
        <v>41</v>
      </c>
      <c r="E5664" s="5">
        <v>-28733</v>
      </c>
      <c r="F5664" s="3" t="s">
        <v>1033</v>
      </c>
      <c r="G5664" s="3" t="s">
        <v>43</v>
      </c>
      <c r="H5664" s="2" t="s">
        <v>21</v>
      </c>
      <c r="I5664" s="2" t="s">
        <v>11238</v>
      </c>
      <c r="J5664" s="3" t="str">
        <f>HYPERLINK("https://www.boe.es/gazeta/dias/1821/04/30/pdfs/GMD-1821-122.pdf#page=1","Abrir facsímil")</f>
        <v>Abrir facsímil</v>
      </c>
      <c r="K5664" s="3" t="s">
        <v>23</v>
      </c>
    </row>
    <row r="5665" spans="1:11" ht="42" customHeight="1">
      <c r="A5665" s="2" t="s">
        <v>11236</v>
      </c>
      <c r="B5665" s="2" t="s">
        <v>11236</v>
      </c>
      <c r="C5665" s="2" t="s">
        <v>40</v>
      </c>
      <c r="D5665" s="2" t="s">
        <v>41</v>
      </c>
      <c r="E5665" s="5">
        <v>-28722</v>
      </c>
      <c r="F5665" s="3" t="s">
        <v>623</v>
      </c>
      <c r="G5665" s="3" t="s">
        <v>43</v>
      </c>
      <c r="H5665" s="2" t="s">
        <v>21</v>
      </c>
      <c r="I5665" s="2" t="s">
        <v>11239</v>
      </c>
      <c r="J5665" s="3" t="str">
        <f>HYPERLINK("https://www.boe.es/gazeta/dias/1821/05/11/pdfs/GMD-1821-133.pdf#page=1","Abrir facsímil")</f>
        <v>Abrir facsímil</v>
      </c>
      <c r="K5665" s="3" t="s">
        <v>23</v>
      </c>
    </row>
    <row r="5666" spans="1:11" ht="42" customHeight="1">
      <c r="A5666" s="2" t="s">
        <v>11240</v>
      </c>
      <c r="B5666" s="2" t="s">
        <v>11240</v>
      </c>
      <c r="C5666" s="2" t="s">
        <v>26</v>
      </c>
      <c r="D5666" s="2" t="s">
        <v>27</v>
      </c>
      <c r="E5666" s="5">
        <v>-28684</v>
      </c>
      <c r="F5666" s="3" t="s">
        <v>208</v>
      </c>
      <c r="G5666" s="3" t="s">
        <v>88</v>
      </c>
      <c r="H5666" s="2" t="s">
        <v>21</v>
      </c>
      <c r="I5666" s="2" t="s">
        <v>11241</v>
      </c>
      <c r="J5666" s="3" t="str">
        <f>HYPERLINK("https://www.boe.es/gazeta/dias/1821/06/18/pdfs/GMD-1821-171.pdf#page=4","Abrir facsímil")</f>
        <v>Abrir facsímil</v>
      </c>
      <c r="K5666" s="3" t="s">
        <v>23</v>
      </c>
    </row>
    <row r="5667" spans="1:11" ht="42" customHeight="1">
      <c r="A5667" s="2" t="s">
        <v>11240</v>
      </c>
      <c r="B5667" s="2" t="s">
        <v>11240</v>
      </c>
      <c r="C5667" s="2" t="s">
        <v>26</v>
      </c>
      <c r="D5667" s="2" t="s">
        <v>27</v>
      </c>
      <c r="E5667" s="5">
        <v>-28524</v>
      </c>
      <c r="F5667" s="3" t="s">
        <v>874</v>
      </c>
      <c r="G5667" s="3" t="s">
        <v>875</v>
      </c>
      <c r="H5667" s="2" t="s">
        <v>21</v>
      </c>
      <c r="I5667" s="2" t="s">
        <v>11242</v>
      </c>
      <c r="J5667" s="3" t="str">
        <f>HYPERLINK("https://www.boe.es/gazeta/dias/1821/11/25/pdfs/GMD-1821-336.pdf#page=3","Abrir facsímil")</f>
        <v>Abrir facsímil</v>
      </c>
      <c r="K5667" s="3" t="s">
        <v>23</v>
      </c>
    </row>
    <row r="5668" spans="1:11" ht="42" customHeight="1">
      <c r="A5668" s="2" t="s">
        <v>11240</v>
      </c>
      <c r="B5668" s="2" t="s">
        <v>11240</v>
      </c>
      <c r="C5668" s="2" t="s">
        <v>40</v>
      </c>
      <c r="D5668" s="2" t="s">
        <v>41</v>
      </c>
      <c r="E5668" s="5">
        <v>-28504</v>
      </c>
      <c r="F5668" s="3" t="s">
        <v>1098</v>
      </c>
      <c r="G5668" s="3" t="s">
        <v>333</v>
      </c>
      <c r="H5668" s="2" t="s">
        <v>21</v>
      </c>
      <c r="I5668" s="2" t="s">
        <v>11243</v>
      </c>
      <c r="J5668" s="3" t="str">
        <f>HYPERLINK("https://www.boe.es/gazeta/dias/1821/12/15/pdfs/GMD-1821-358.pdf#page=8","Abrir facsímil")</f>
        <v>Abrir facsímil</v>
      </c>
      <c r="K5668" s="3" t="s">
        <v>23</v>
      </c>
    </row>
    <row r="5669" spans="1:11" ht="42" customHeight="1">
      <c r="A5669" s="2" t="s">
        <v>11240</v>
      </c>
      <c r="B5669" s="2" t="s">
        <v>11240</v>
      </c>
      <c r="C5669" s="2" t="s">
        <v>17</v>
      </c>
      <c r="D5669" s="2" t="s">
        <v>18</v>
      </c>
      <c r="E5669" s="5">
        <v>-28503</v>
      </c>
      <c r="F5669" s="3" t="s">
        <v>947</v>
      </c>
      <c r="G5669" s="3" t="s">
        <v>20</v>
      </c>
      <c r="H5669" s="2" t="s">
        <v>21</v>
      </c>
      <c r="I5669" s="2" t="s">
        <v>11244</v>
      </c>
      <c r="J5669" s="3" t="str">
        <f>HYPERLINK("https://www.boe.es/gazeta/dias/1821/12/16/pdfs/GMD-1821-359.pdf#page=3","Abrir facsímil")</f>
        <v>Abrir facsímil</v>
      </c>
      <c r="K5669" s="3" t="s">
        <v>23</v>
      </c>
    </row>
    <row r="5670" spans="1:11" ht="42" customHeight="1">
      <c r="A5670" s="2" t="s">
        <v>11245</v>
      </c>
      <c r="B5670" s="2" t="s">
        <v>11246</v>
      </c>
      <c r="C5670" s="2" t="s">
        <v>114</v>
      </c>
      <c r="D5670" s="2" t="s">
        <v>27</v>
      </c>
      <c r="E5670" s="5">
        <v>-28646</v>
      </c>
      <c r="F5670" s="3" t="s">
        <v>1457</v>
      </c>
      <c r="G5670" s="3" t="s">
        <v>20</v>
      </c>
      <c r="H5670" s="2" t="s">
        <v>30</v>
      </c>
      <c r="I5670" s="2" t="s">
        <v>11247</v>
      </c>
      <c r="J5670" s="3" t="str">
        <f>HYPERLINK("https://www.boe.es/gazeta/dias/1821/07/26/pdfs/GMD-1821-211.pdf#page=3","Abrir facsímil")</f>
        <v>Abrir facsímil</v>
      </c>
      <c r="K5670" s="3" t="s">
        <v>32</v>
      </c>
    </row>
    <row r="5671" spans="1:11" ht="42" customHeight="1">
      <c r="A5671" s="2" t="s">
        <v>11248</v>
      </c>
      <c r="B5671" s="2" t="s">
        <v>11249</v>
      </c>
      <c r="C5671" s="2" t="s">
        <v>40</v>
      </c>
      <c r="D5671" s="2" t="s">
        <v>41</v>
      </c>
      <c r="E5671" s="5">
        <v>-28750</v>
      </c>
      <c r="F5671" s="3" t="s">
        <v>917</v>
      </c>
      <c r="G5671" s="3" t="s">
        <v>88</v>
      </c>
      <c r="H5671" s="2" t="s">
        <v>21</v>
      </c>
      <c r="I5671" s="2" t="s">
        <v>11250</v>
      </c>
      <c r="J5671" s="3" t="str">
        <f>HYPERLINK("https://www.boe.es/gazeta/dias/1821/04/13/pdfs/GMD-1821-105.pdf#page=4","Abrir facsímil")</f>
        <v>Abrir facsímil</v>
      </c>
      <c r="K5671" s="3" t="s">
        <v>23</v>
      </c>
    </row>
    <row r="5672" spans="1:11" ht="42" customHeight="1">
      <c r="A5672" s="2" t="s">
        <v>11248</v>
      </c>
      <c r="B5672" s="2" t="s">
        <v>11249</v>
      </c>
      <c r="C5672" s="2" t="s">
        <v>17</v>
      </c>
      <c r="D5672" s="2" t="s">
        <v>18</v>
      </c>
      <c r="E5672" s="5">
        <v>-28684</v>
      </c>
      <c r="F5672" s="3" t="s">
        <v>208</v>
      </c>
      <c r="G5672" s="3" t="s">
        <v>88</v>
      </c>
      <c r="H5672" s="2" t="s">
        <v>21</v>
      </c>
      <c r="I5672" s="2" t="s">
        <v>11251</v>
      </c>
      <c r="J5672" s="3" t="str">
        <f>HYPERLINK("https://www.boe.es/gazeta/dias/1821/06/18/pdfs/GMD-1821-171.pdf#page=4","Abrir facsímil")</f>
        <v>Abrir facsímil</v>
      </c>
      <c r="K5672" s="3" t="s">
        <v>23</v>
      </c>
    </row>
    <row r="5673" spans="1:11" ht="42" customHeight="1">
      <c r="A5673" s="2" t="s">
        <v>11248</v>
      </c>
      <c r="B5673" s="2" t="s">
        <v>11249</v>
      </c>
      <c r="C5673" s="2" t="s">
        <v>35</v>
      </c>
      <c r="D5673" s="2" t="s">
        <v>27</v>
      </c>
      <c r="E5673" s="5">
        <v>-28646</v>
      </c>
      <c r="F5673" s="3" t="s">
        <v>1457</v>
      </c>
      <c r="G5673" s="3" t="s">
        <v>20</v>
      </c>
      <c r="H5673" s="2" t="s">
        <v>21</v>
      </c>
      <c r="I5673" s="2" t="s">
        <v>11252</v>
      </c>
      <c r="J5673" s="3" t="str">
        <f>HYPERLINK("https://www.boe.es/gazeta/dias/1821/07/26/pdfs/GMD-1821-211.pdf#page=3","Abrir facsímil")</f>
        <v>Abrir facsímil</v>
      </c>
      <c r="K5673" s="3" t="s">
        <v>23</v>
      </c>
    </row>
    <row r="5674" spans="1:11" ht="42" customHeight="1">
      <c r="A5674" s="2" t="s">
        <v>11253</v>
      </c>
      <c r="B5674" s="2" t="s">
        <v>11254</v>
      </c>
      <c r="C5674" s="2" t="s">
        <v>40</v>
      </c>
      <c r="D5674" s="2" t="s">
        <v>41</v>
      </c>
      <c r="E5674" s="5">
        <v>-28516</v>
      </c>
      <c r="F5674" s="3" t="s">
        <v>514</v>
      </c>
      <c r="G5674" s="3" t="s">
        <v>52</v>
      </c>
      <c r="H5674" s="2" t="s">
        <v>21</v>
      </c>
      <c r="I5674" s="2" t="s">
        <v>11255</v>
      </c>
      <c r="J5674" s="3" t="str">
        <f>HYPERLINK("https://www.boe.es/gazeta/dias/1821/12/03/pdfs/GMD-1821-345.pdf#page=2","Abrir facsímil")</f>
        <v>Abrir facsímil</v>
      </c>
      <c r="K5674" s="3" t="s">
        <v>23</v>
      </c>
    </row>
    <row r="5675" spans="1:11" ht="42" customHeight="1">
      <c r="A5675" s="2" t="s">
        <v>11256</v>
      </c>
      <c r="B5675" s="2" t="s">
        <v>11257</v>
      </c>
      <c r="C5675" s="2" t="s">
        <v>114</v>
      </c>
      <c r="D5675" s="2" t="s">
        <v>27</v>
      </c>
      <c r="E5675" s="5">
        <v>-28667</v>
      </c>
      <c r="F5675" s="3" t="s">
        <v>107</v>
      </c>
      <c r="G5675" s="3" t="s">
        <v>52</v>
      </c>
      <c r="H5675" s="2" t="s">
        <v>21</v>
      </c>
      <c r="I5675" s="2" t="s">
        <v>11258</v>
      </c>
      <c r="J5675" s="3" t="str">
        <f>HYPERLINK("https://www.boe.es/gazeta/dias/1821/07/05/pdfs/GMD-1821-189.pdf#page=2","Abrir facsímil")</f>
        <v>Abrir facsímil</v>
      </c>
      <c r="K5675" s="3" t="s">
        <v>23</v>
      </c>
    </row>
    <row r="5676" spans="1:11" ht="42" customHeight="1">
      <c r="A5676" s="2" t="s">
        <v>11259</v>
      </c>
      <c r="B5676" s="2" t="s">
        <v>11259</v>
      </c>
      <c r="C5676" s="2" t="s">
        <v>17</v>
      </c>
      <c r="D5676" s="2" t="s">
        <v>18</v>
      </c>
      <c r="E5676" s="5">
        <v>-28837</v>
      </c>
      <c r="F5676" s="3" t="s">
        <v>1234</v>
      </c>
      <c r="G5676" s="3" t="s">
        <v>52</v>
      </c>
      <c r="H5676" s="2" t="s">
        <v>21</v>
      </c>
      <c r="I5676" s="2" t="s">
        <v>11260</v>
      </c>
      <c r="J5676" s="3" t="str">
        <f>HYPERLINK("https://www.boe.es/gazeta/dias/1821/01/16/pdfs/GGB-1821-16.pdf#page=2","Abrir facsímil")</f>
        <v>Abrir facsímil</v>
      </c>
      <c r="K5676" s="3" t="s">
        <v>23</v>
      </c>
    </row>
    <row r="5677" spans="1:11" ht="42" customHeight="1">
      <c r="A5677" s="2" t="s">
        <v>11261</v>
      </c>
      <c r="B5677" s="2" t="s">
        <v>11261</v>
      </c>
      <c r="C5677" s="2" t="s">
        <v>40</v>
      </c>
      <c r="D5677" s="2" t="s">
        <v>41</v>
      </c>
      <c r="E5677" s="5">
        <v>-28612</v>
      </c>
      <c r="F5677" s="3" t="s">
        <v>1902</v>
      </c>
      <c r="G5677" s="3" t="s">
        <v>20</v>
      </c>
      <c r="H5677" s="2" t="s">
        <v>21</v>
      </c>
      <c r="I5677" s="2" t="s">
        <v>11262</v>
      </c>
      <c r="J5677" s="3" t="str">
        <f>HYPERLINK("https://www.boe.es/gazeta/dias/1821/08/29/pdfs/GMD-1821-246.pdf#page=3","Abrir facsímil")</f>
        <v>Abrir facsímil</v>
      </c>
      <c r="K5677" s="3" t="s">
        <v>23</v>
      </c>
    </row>
    <row r="5678" spans="1:11" ht="42" customHeight="1">
      <c r="A5678" s="2" t="s">
        <v>11263</v>
      </c>
      <c r="B5678" s="2" t="s">
        <v>11263</v>
      </c>
      <c r="C5678" s="2" t="s">
        <v>279</v>
      </c>
      <c r="D5678" s="2" t="s">
        <v>27</v>
      </c>
      <c r="E5678" s="5">
        <v>-28828</v>
      </c>
      <c r="F5678" s="3" t="s">
        <v>1864</v>
      </c>
      <c r="G5678" s="3" t="s">
        <v>88</v>
      </c>
      <c r="H5678" s="2" t="s">
        <v>21</v>
      </c>
      <c r="I5678" s="2" t="s">
        <v>11264</v>
      </c>
      <c r="J5678" s="3" t="str">
        <f>HYPERLINK("https://www.boe.es/gazeta/dias/1821/01/25/pdfs/GGB-1821-25.pdf#page=4","Abrir facsímil")</f>
        <v>Abrir facsímil</v>
      </c>
      <c r="K5678" s="3" t="s">
        <v>23</v>
      </c>
    </row>
    <row r="5679" spans="1:11" ht="42" customHeight="1">
      <c r="A5679" s="2" t="s">
        <v>11265</v>
      </c>
      <c r="B5679" s="2" t="s">
        <v>11265</v>
      </c>
      <c r="C5679" s="2" t="s">
        <v>40</v>
      </c>
      <c r="D5679" s="2" t="s">
        <v>41</v>
      </c>
      <c r="E5679" s="5">
        <v>-28783</v>
      </c>
      <c r="F5679" s="3" t="s">
        <v>198</v>
      </c>
      <c r="G5679" s="3" t="s">
        <v>52</v>
      </c>
      <c r="H5679" s="2" t="s">
        <v>21</v>
      </c>
      <c r="I5679" s="2" t="s">
        <v>11266</v>
      </c>
      <c r="J5679" s="3" t="str">
        <f>HYPERLINK("https://www.boe.es/gazeta/dias/1821/03/11/pdfs/GGB-1821-70.pdf#page=2","Abrir facsímil")</f>
        <v>Abrir facsímil</v>
      </c>
      <c r="K5679" s="3" t="s">
        <v>23</v>
      </c>
    </row>
    <row r="5680" spans="1:11" ht="42" customHeight="1">
      <c r="A5680" s="2" t="s">
        <v>11267</v>
      </c>
      <c r="B5680" s="2" t="s">
        <v>11268</v>
      </c>
      <c r="C5680" s="2" t="s">
        <v>114</v>
      </c>
      <c r="D5680" s="2" t="s">
        <v>27</v>
      </c>
      <c r="E5680" s="5">
        <v>-28550</v>
      </c>
      <c r="F5680" s="3" t="s">
        <v>546</v>
      </c>
      <c r="G5680" s="3" t="s">
        <v>29</v>
      </c>
      <c r="H5680" s="2" t="s">
        <v>21</v>
      </c>
      <c r="I5680" s="2" t="s">
        <v>11269</v>
      </c>
      <c r="J5680" s="3" t="str">
        <f>HYPERLINK("https://www.boe.es/gazeta/dias/1821/10/30/pdfs/GMD-1821-309.pdf#page=6","Abrir facsímil")</f>
        <v>Abrir facsímil</v>
      </c>
      <c r="K5680" s="3" t="s">
        <v>23</v>
      </c>
    </row>
    <row r="5681" spans="1:11" ht="42" customHeight="1">
      <c r="A5681" s="2" t="s">
        <v>11270</v>
      </c>
      <c r="B5681" s="2" t="s">
        <v>11271</v>
      </c>
      <c r="C5681" s="2" t="s">
        <v>40</v>
      </c>
      <c r="D5681" s="2" t="s">
        <v>41</v>
      </c>
      <c r="E5681" s="5">
        <v>-28852</v>
      </c>
      <c r="F5681" s="3" t="s">
        <v>5624</v>
      </c>
      <c r="G5681" s="3" t="s">
        <v>20</v>
      </c>
      <c r="H5681" s="2" t="s">
        <v>21</v>
      </c>
      <c r="I5681" s="2" t="s">
        <v>11272</v>
      </c>
      <c r="J5681" s="3" t="str">
        <f>HYPERLINK("https://www.boe.es/gazeta/dias/1821/01/01/pdfs/GGB-1821-1.pdf#page=3","Abrir facsímil")</f>
        <v>Abrir facsímil</v>
      </c>
      <c r="K5681" s="3" t="s">
        <v>23</v>
      </c>
    </row>
    <row r="5682" spans="1:11" ht="42" customHeight="1">
      <c r="A5682" s="2" t="s">
        <v>11273</v>
      </c>
      <c r="B5682" s="2" t="s">
        <v>11273</v>
      </c>
      <c r="C5682" s="2" t="s">
        <v>40</v>
      </c>
      <c r="D5682" s="2" t="s">
        <v>41</v>
      </c>
      <c r="E5682" s="5">
        <v>-28678</v>
      </c>
      <c r="F5682" s="3" t="s">
        <v>215</v>
      </c>
      <c r="G5682" s="3" t="s">
        <v>162</v>
      </c>
      <c r="H5682" s="2" t="s">
        <v>21</v>
      </c>
      <c r="I5682" s="2" t="s">
        <v>11274</v>
      </c>
      <c r="J5682" s="3" t="str">
        <f>HYPERLINK("https://www.boe.es/gazeta/dias/1821/06/24/pdfs/GMD-1821-177.pdf#page=5","Abrir facsímil")</f>
        <v>Abrir facsímil</v>
      </c>
      <c r="K5682" s="3" t="s">
        <v>23</v>
      </c>
    </row>
    <row r="5683" spans="1:11" ht="42" customHeight="1">
      <c r="A5683" s="2" t="s">
        <v>11275</v>
      </c>
      <c r="B5683" s="2" t="s">
        <v>11275</v>
      </c>
      <c r="C5683" s="2" t="s">
        <v>40</v>
      </c>
      <c r="D5683" s="2" t="s">
        <v>41</v>
      </c>
      <c r="E5683" s="5">
        <v>-28690</v>
      </c>
      <c r="F5683" s="3" t="s">
        <v>846</v>
      </c>
      <c r="G5683" s="3" t="s">
        <v>847</v>
      </c>
      <c r="H5683" s="2" t="s">
        <v>21</v>
      </c>
      <c r="I5683" s="2" t="s">
        <v>11276</v>
      </c>
      <c r="J5683" s="3" t="str">
        <f>HYPERLINK("https://www.boe.es/gazeta/dias/1821/06/12/pdfs/GMD-1821-165.pdf#page=2","Abrir facsímil")</f>
        <v>Abrir facsímil</v>
      </c>
      <c r="K5683" s="3" t="s">
        <v>23</v>
      </c>
    </row>
    <row r="5684" spans="1:11" ht="42" customHeight="1">
      <c r="A5684" s="2" t="s">
        <v>11277</v>
      </c>
      <c r="B5684" s="2" t="s">
        <v>11278</v>
      </c>
      <c r="C5684" s="2" t="s">
        <v>174</v>
      </c>
      <c r="D5684" s="2" t="s">
        <v>27</v>
      </c>
      <c r="E5684" s="5">
        <v>-28704</v>
      </c>
      <c r="F5684" s="3" t="s">
        <v>1050</v>
      </c>
      <c r="G5684" s="3" t="s">
        <v>88</v>
      </c>
      <c r="H5684" s="2" t="s">
        <v>21</v>
      </c>
      <c r="I5684" s="2" t="s">
        <v>11279</v>
      </c>
      <c r="J5684" s="3" t="str">
        <f>HYPERLINK("https://www.boe.es/gazeta/dias/1821/05/29/pdfs/GMD-1821-151.pdf#page=4","Abrir facsímil")</f>
        <v>Abrir facsímil</v>
      </c>
      <c r="K5684" s="3" t="s">
        <v>23</v>
      </c>
    </row>
    <row r="5685" spans="1:11" ht="42" customHeight="1">
      <c r="A5685" s="2" t="s">
        <v>11280</v>
      </c>
      <c r="B5685" s="2" t="s">
        <v>11281</v>
      </c>
      <c r="C5685" s="2" t="s">
        <v>40</v>
      </c>
      <c r="D5685" s="2" t="s">
        <v>41</v>
      </c>
      <c r="E5685" s="5">
        <v>-28850</v>
      </c>
      <c r="F5685" s="3" t="s">
        <v>664</v>
      </c>
      <c r="G5685" s="3" t="s">
        <v>20</v>
      </c>
      <c r="H5685" s="2" t="s">
        <v>21</v>
      </c>
      <c r="I5685" s="2" t="s">
        <v>11282</v>
      </c>
      <c r="J5685" s="3" t="str">
        <f>HYPERLINK("https://www.boe.es/gazeta/dias/1821/01/03/pdfs/GGB-1821-3.pdf#page=3","Abrir facsímil")</f>
        <v>Abrir facsímil</v>
      </c>
      <c r="K5685" s="3" t="s">
        <v>23</v>
      </c>
    </row>
    <row r="5686" spans="1:11" ht="42" customHeight="1">
      <c r="A5686" s="2" t="s">
        <v>11283</v>
      </c>
      <c r="B5686" s="2" t="s">
        <v>11283</v>
      </c>
      <c r="C5686" s="2" t="s">
        <v>35</v>
      </c>
      <c r="D5686" s="2" t="s">
        <v>27</v>
      </c>
      <c r="E5686" s="5">
        <v>-28814</v>
      </c>
      <c r="F5686" s="3" t="s">
        <v>2090</v>
      </c>
      <c r="G5686" s="3" t="s">
        <v>3053</v>
      </c>
      <c r="H5686" s="2" t="s">
        <v>21</v>
      </c>
      <c r="I5686" s="2" t="s">
        <v>11284</v>
      </c>
      <c r="J5686" s="3" t="str">
        <f>HYPERLINK("https://www.boe.es/gazeta/dias/1821/02/08/pdfs/GGB-1821-39.pdf#page=3","Abrir facsímil")</f>
        <v>Abrir facsímil</v>
      </c>
      <c r="K5686" s="3" t="s">
        <v>23</v>
      </c>
    </row>
    <row r="5687" spans="1:11" ht="42" customHeight="1">
      <c r="A5687" s="2" t="s">
        <v>11285</v>
      </c>
      <c r="B5687" s="2" t="s">
        <v>11286</v>
      </c>
      <c r="C5687" s="2" t="s">
        <v>17</v>
      </c>
      <c r="D5687" s="2" t="s">
        <v>18</v>
      </c>
      <c r="E5687" s="5">
        <v>-28838</v>
      </c>
      <c r="F5687" s="3" t="s">
        <v>7260</v>
      </c>
      <c r="G5687" s="3" t="s">
        <v>88</v>
      </c>
      <c r="H5687" s="2" t="s">
        <v>21</v>
      </c>
      <c r="I5687" s="2" t="s">
        <v>11287</v>
      </c>
      <c r="J5687" s="3" t="str">
        <f>HYPERLINK("https://www.boe.es/gazeta/dias/1821/01/15/pdfs/GGB-1821-15.pdf#page=4","Abrir facsímil")</f>
        <v>Abrir facsímil</v>
      </c>
      <c r="K5687" s="3" t="s">
        <v>23</v>
      </c>
    </row>
    <row r="5688" spans="1:11" ht="42" customHeight="1">
      <c r="A5688" s="2" t="s">
        <v>11288</v>
      </c>
      <c r="B5688" s="2" t="s">
        <v>11289</v>
      </c>
      <c r="C5688" s="2" t="s">
        <v>279</v>
      </c>
      <c r="D5688" s="2" t="s">
        <v>27</v>
      </c>
      <c r="E5688" s="5">
        <v>-28750</v>
      </c>
      <c r="F5688" s="3" t="s">
        <v>917</v>
      </c>
      <c r="G5688" s="3" t="s">
        <v>88</v>
      </c>
      <c r="H5688" s="2" t="s">
        <v>21</v>
      </c>
      <c r="I5688" s="2" t="s">
        <v>11290</v>
      </c>
      <c r="J5688" s="3" t="str">
        <f>HYPERLINK("https://www.boe.es/gazeta/dias/1821/04/13/pdfs/GMD-1821-105.pdf#page=4","Abrir facsímil")</f>
        <v>Abrir facsímil</v>
      </c>
      <c r="K5688" s="3" t="s">
        <v>23</v>
      </c>
    </row>
    <row r="5689" spans="1:11" ht="42" customHeight="1">
      <c r="A5689" s="2" t="s">
        <v>11291</v>
      </c>
      <c r="B5689" s="2" t="s">
        <v>11292</v>
      </c>
      <c r="C5689" s="2" t="s">
        <v>40</v>
      </c>
      <c r="D5689" s="2" t="s">
        <v>41</v>
      </c>
      <c r="E5689" s="5">
        <v>-28850</v>
      </c>
      <c r="F5689" s="3" t="s">
        <v>664</v>
      </c>
      <c r="G5689" s="3" t="s">
        <v>88</v>
      </c>
      <c r="H5689" s="2" t="s">
        <v>21</v>
      </c>
      <c r="I5689" s="2" t="s">
        <v>11293</v>
      </c>
      <c r="J5689" s="3" t="str">
        <f>HYPERLINK("https://www.boe.es/gazeta/dias/1821/01/03/pdfs/GGB-1821-3.pdf#page=4","Abrir facsímil")</f>
        <v>Abrir facsímil</v>
      </c>
      <c r="K5689" s="3" t="s">
        <v>23</v>
      </c>
    </row>
    <row r="5690" spans="1:11" ht="42" customHeight="1">
      <c r="A5690" s="2" t="s">
        <v>11291</v>
      </c>
      <c r="B5690" s="2" t="s">
        <v>11292</v>
      </c>
      <c r="C5690" s="2" t="s">
        <v>17</v>
      </c>
      <c r="D5690" s="2" t="s">
        <v>18</v>
      </c>
      <c r="E5690" s="5">
        <v>-28829</v>
      </c>
      <c r="F5690" s="3" t="s">
        <v>2980</v>
      </c>
      <c r="G5690" s="3" t="s">
        <v>88</v>
      </c>
      <c r="H5690" s="2" t="s">
        <v>21</v>
      </c>
      <c r="I5690" s="2" t="s">
        <v>11294</v>
      </c>
      <c r="J5690" s="3" t="str">
        <f>HYPERLINK("https://www.boe.es/gazeta/dias/1821/01/24/pdfs/GGB-1821-24.pdf#page=4","Abrir facsímil")</f>
        <v>Abrir facsímil</v>
      </c>
      <c r="K5690" s="3" t="s">
        <v>23</v>
      </c>
    </row>
    <row r="5691" spans="1:11" ht="42" customHeight="1">
      <c r="A5691" s="2" t="s">
        <v>11291</v>
      </c>
      <c r="B5691" s="2" t="s">
        <v>11292</v>
      </c>
      <c r="C5691" s="2" t="s">
        <v>114</v>
      </c>
      <c r="D5691" s="2" t="s">
        <v>27</v>
      </c>
      <c r="E5691" s="5">
        <v>-28827</v>
      </c>
      <c r="F5691" s="3" t="s">
        <v>1382</v>
      </c>
      <c r="G5691" s="3" t="s">
        <v>88</v>
      </c>
      <c r="H5691" s="2" t="s">
        <v>21</v>
      </c>
      <c r="I5691" s="2" t="s">
        <v>11295</v>
      </c>
      <c r="J5691" s="3" t="str">
        <f>HYPERLINK("https://www.boe.es/gazeta/dias/1821/01/26/pdfs/GGB-1821-26.pdf#page=4","Abrir facsímil")</f>
        <v>Abrir facsímil</v>
      </c>
      <c r="K5691" s="3" t="s">
        <v>23</v>
      </c>
    </row>
    <row r="5692" spans="1:11" ht="42" customHeight="1">
      <c r="A5692" s="2" t="s">
        <v>11291</v>
      </c>
      <c r="B5692" s="2" t="s">
        <v>11292</v>
      </c>
      <c r="C5692" s="2" t="s">
        <v>114</v>
      </c>
      <c r="D5692" s="2" t="s">
        <v>27</v>
      </c>
      <c r="E5692" s="5">
        <v>-28818</v>
      </c>
      <c r="F5692" s="3" t="s">
        <v>2337</v>
      </c>
      <c r="G5692" s="3" t="s">
        <v>4055</v>
      </c>
      <c r="H5692" s="2" t="s">
        <v>21</v>
      </c>
      <c r="I5692" s="2" t="s">
        <v>11296</v>
      </c>
      <c r="J5692" s="3" t="str">
        <f>HYPERLINK("https://www.boe.es/gazeta/dias/1821/02/04/pdfs/GGB-1821-35.pdf#page=6","Abrir facsímil")</f>
        <v>Abrir facsímil</v>
      </c>
      <c r="K5692" s="3" t="s">
        <v>23</v>
      </c>
    </row>
    <row r="5693" spans="1:11" ht="42" customHeight="1">
      <c r="A5693" s="2" t="s">
        <v>11291</v>
      </c>
      <c r="B5693" s="2" t="s">
        <v>11292</v>
      </c>
      <c r="C5693" s="2" t="s">
        <v>114</v>
      </c>
      <c r="D5693" s="2" t="s">
        <v>27</v>
      </c>
      <c r="E5693" s="5">
        <v>-28807</v>
      </c>
      <c r="F5693" s="3" t="s">
        <v>613</v>
      </c>
      <c r="G5693" s="3" t="s">
        <v>11297</v>
      </c>
      <c r="H5693" s="2" t="s">
        <v>21</v>
      </c>
      <c r="I5693" s="2" t="s">
        <v>11298</v>
      </c>
      <c r="J5693" s="3" t="str">
        <f>HYPERLINK("https://www.boe.es/gazeta/dias/1821/02/15/pdfs/GGB-1821-46.pdf#page=4","Abrir facsímil")</f>
        <v>Abrir facsímil</v>
      </c>
      <c r="K5693" s="3" t="s">
        <v>23</v>
      </c>
    </row>
    <row r="5694" spans="1:11" ht="42" customHeight="1">
      <c r="A5694" s="2" t="s">
        <v>11291</v>
      </c>
      <c r="B5694" s="2" t="s">
        <v>11292</v>
      </c>
      <c r="C5694" s="2" t="s">
        <v>174</v>
      </c>
      <c r="D5694" s="2" t="s">
        <v>27</v>
      </c>
      <c r="E5694" s="5">
        <v>-28802</v>
      </c>
      <c r="F5694" s="3" t="s">
        <v>4814</v>
      </c>
      <c r="G5694" s="3" t="s">
        <v>88</v>
      </c>
      <c r="H5694" s="2" t="s">
        <v>21</v>
      </c>
      <c r="I5694" s="2" t="s">
        <v>11299</v>
      </c>
      <c r="J5694" s="3" t="str">
        <f>HYPERLINK("https://www.boe.es/gazeta/dias/1821/02/20/pdfs/GGB-1821-51.pdf#page=4","Abrir facsímil")</f>
        <v>Abrir facsímil</v>
      </c>
      <c r="K5694" s="3" t="s">
        <v>23</v>
      </c>
    </row>
    <row r="5695" spans="1:11" ht="42" customHeight="1">
      <c r="A5695" s="2" t="s">
        <v>11300</v>
      </c>
      <c r="B5695" s="2" t="s">
        <v>11301</v>
      </c>
      <c r="C5695" s="2" t="s">
        <v>40</v>
      </c>
      <c r="D5695" s="2" t="s">
        <v>41</v>
      </c>
      <c r="E5695" s="5">
        <v>-28774</v>
      </c>
      <c r="F5695" s="3" t="s">
        <v>1221</v>
      </c>
      <c r="G5695" s="3" t="s">
        <v>29</v>
      </c>
      <c r="H5695" s="2" t="s">
        <v>21</v>
      </c>
      <c r="I5695" s="2" t="s">
        <v>11302</v>
      </c>
      <c r="J5695" s="3" t="str">
        <f>HYPERLINK("https://www.boe.es/gazeta/dias/1821/03/20/pdfs/GMD-1821-79.pdf#page=6","Abrir facsímil")</f>
        <v>Abrir facsímil</v>
      </c>
      <c r="K5695" s="3" t="s">
        <v>23</v>
      </c>
    </row>
    <row r="5696" spans="1:11" ht="42" customHeight="1">
      <c r="A5696" s="2" t="s">
        <v>11303</v>
      </c>
      <c r="B5696" s="2" t="s">
        <v>11304</v>
      </c>
      <c r="C5696" s="2" t="s">
        <v>35</v>
      </c>
      <c r="D5696" s="2" t="s">
        <v>27</v>
      </c>
      <c r="E5696" s="5">
        <v>-28781</v>
      </c>
      <c r="F5696" s="3" t="s">
        <v>149</v>
      </c>
      <c r="G5696" s="3" t="s">
        <v>29</v>
      </c>
      <c r="H5696" s="2" t="s">
        <v>21</v>
      </c>
      <c r="I5696" s="2" t="s">
        <v>11305</v>
      </c>
      <c r="J5696" s="3" t="str">
        <f>HYPERLINK("https://www.boe.es/gazeta/dias/1821/03/13/pdfs/GMD-1821-72.pdf#page=6","Abrir facsímil")</f>
        <v>Abrir facsímil</v>
      </c>
      <c r="K5696" s="3" t="s">
        <v>23</v>
      </c>
    </row>
    <row r="5697" spans="1:11" ht="42" customHeight="1">
      <c r="A5697" s="2" t="s">
        <v>11306</v>
      </c>
      <c r="B5697" s="2" t="s">
        <v>11306</v>
      </c>
      <c r="C5697" s="2" t="s">
        <v>40</v>
      </c>
      <c r="D5697" s="2" t="s">
        <v>41</v>
      </c>
      <c r="E5697" s="5">
        <v>-28631</v>
      </c>
      <c r="F5697" s="3" t="s">
        <v>751</v>
      </c>
      <c r="G5697" s="3" t="s">
        <v>20</v>
      </c>
      <c r="H5697" s="2" t="s">
        <v>21</v>
      </c>
      <c r="I5697" s="2" t="s">
        <v>11307</v>
      </c>
      <c r="J5697" s="3" t="str">
        <f>HYPERLINK("https://www.boe.es/gazeta/dias/1821/08/10/pdfs/GMD-1821-227.pdf#page=3","Abrir facsímil")</f>
        <v>Abrir facsímil</v>
      </c>
      <c r="K5697" s="3" t="s">
        <v>23</v>
      </c>
    </row>
    <row r="5698" spans="1:11" ht="42" customHeight="1">
      <c r="A5698" s="2" t="s">
        <v>11308</v>
      </c>
      <c r="B5698" s="2" t="s">
        <v>11308</v>
      </c>
      <c r="C5698" s="2" t="s">
        <v>40</v>
      </c>
      <c r="D5698" s="2" t="s">
        <v>41</v>
      </c>
      <c r="E5698" s="5">
        <v>-28561</v>
      </c>
      <c r="F5698" s="3" t="s">
        <v>240</v>
      </c>
      <c r="G5698" s="3" t="s">
        <v>20</v>
      </c>
      <c r="H5698" s="2" t="s">
        <v>21</v>
      </c>
      <c r="I5698" s="2" t="s">
        <v>11309</v>
      </c>
      <c r="J5698" s="3" t="str">
        <f>HYPERLINK("https://www.boe.es/gazeta/dias/1821/10/19/pdfs/GMD-1821-298.pdf#page=3","Abrir facsímil")</f>
        <v>Abrir facsímil</v>
      </c>
      <c r="K5698" s="3" t="s">
        <v>23</v>
      </c>
    </row>
    <row r="5699" spans="1:11" ht="42" customHeight="1">
      <c r="A5699" s="2" t="s">
        <v>11310</v>
      </c>
      <c r="B5699" s="2" t="s">
        <v>11311</v>
      </c>
      <c r="C5699" s="2" t="s">
        <v>70</v>
      </c>
      <c r="D5699" s="2" t="s">
        <v>27</v>
      </c>
      <c r="E5699" s="5">
        <v>-28531</v>
      </c>
      <c r="F5699" s="3" t="s">
        <v>365</v>
      </c>
      <c r="G5699" s="3" t="s">
        <v>88</v>
      </c>
      <c r="H5699" s="2" t="s">
        <v>21</v>
      </c>
      <c r="I5699" s="2" t="s">
        <v>11312</v>
      </c>
      <c r="J5699" s="3" t="str">
        <f>HYPERLINK("https://www.boe.es/gazeta/dias/1821/11/18/pdfs/GMD-1821-329.pdf#page=4","Abrir facsímil")</f>
        <v>Abrir facsímil</v>
      </c>
      <c r="K5699" s="3" t="s">
        <v>23</v>
      </c>
    </row>
    <row r="5700" spans="1:11" ht="42" customHeight="1">
      <c r="A5700" s="2" t="s">
        <v>11313</v>
      </c>
      <c r="B5700" s="2" t="s">
        <v>11314</v>
      </c>
      <c r="C5700" s="2" t="s">
        <v>17</v>
      </c>
      <c r="D5700" s="2" t="s">
        <v>18</v>
      </c>
      <c r="E5700" s="5">
        <v>-28776</v>
      </c>
      <c r="F5700" s="3" t="s">
        <v>312</v>
      </c>
      <c r="G5700" s="3" t="s">
        <v>88</v>
      </c>
      <c r="H5700" s="2" t="s">
        <v>21</v>
      </c>
      <c r="I5700" s="2" t="s">
        <v>11315</v>
      </c>
      <c r="J5700" s="3" t="str">
        <f>HYPERLINK("https://www.boe.es/gazeta/dias/1821/03/18/pdfs/GMD-1821-77.pdf#page=4","Abrir facsímil")</f>
        <v>Abrir facsímil</v>
      </c>
      <c r="K5700" s="3" t="s">
        <v>23</v>
      </c>
    </row>
    <row r="5701" spans="1:11" ht="42" customHeight="1">
      <c r="A5701" s="2" t="s">
        <v>11316</v>
      </c>
      <c r="B5701" s="2" t="s">
        <v>11316</v>
      </c>
      <c r="C5701" s="2" t="s">
        <v>35</v>
      </c>
      <c r="D5701" s="2" t="s">
        <v>27</v>
      </c>
      <c r="E5701" s="5">
        <v>-28754</v>
      </c>
      <c r="F5701" s="3" t="s">
        <v>1942</v>
      </c>
      <c r="G5701" s="3" t="s">
        <v>52</v>
      </c>
      <c r="H5701" s="2" t="s">
        <v>21</v>
      </c>
      <c r="I5701" s="2" t="s">
        <v>11317</v>
      </c>
      <c r="J5701" s="3" t="str">
        <f>HYPERLINK("https://www.boe.es/gazeta/dias/1821/04/09/pdfs/GMD-1821-101.pdf#page=2","Abrir facsímil")</f>
        <v>Abrir facsímil</v>
      </c>
      <c r="K5701" s="3" t="s">
        <v>23</v>
      </c>
    </row>
    <row r="5702" spans="1:11" ht="42" customHeight="1">
      <c r="A5702" s="2" t="s">
        <v>11316</v>
      </c>
      <c r="B5702" s="2" t="s">
        <v>11316</v>
      </c>
      <c r="C5702" s="2" t="s">
        <v>40</v>
      </c>
      <c r="D5702" s="2" t="s">
        <v>41</v>
      </c>
      <c r="E5702" s="5">
        <v>-28750</v>
      </c>
      <c r="F5702" s="3" t="s">
        <v>917</v>
      </c>
      <c r="G5702" s="3" t="s">
        <v>52</v>
      </c>
      <c r="H5702" s="2" t="s">
        <v>21</v>
      </c>
      <c r="I5702" s="2" t="s">
        <v>11318</v>
      </c>
      <c r="J5702" s="3" t="str">
        <f>HYPERLINK("https://www.boe.es/gazeta/dias/1821/04/13/pdfs/GMD-1821-105.pdf#page=2","Abrir facsímil")</f>
        <v>Abrir facsímil</v>
      </c>
      <c r="K5702" s="3" t="s">
        <v>23</v>
      </c>
    </row>
    <row r="5703" spans="1:11" ht="42" customHeight="1">
      <c r="A5703" s="2" t="s">
        <v>11316</v>
      </c>
      <c r="B5703" s="2" t="s">
        <v>11316</v>
      </c>
      <c r="C5703" s="2" t="s">
        <v>26</v>
      </c>
      <c r="D5703" s="2" t="s">
        <v>27</v>
      </c>
      <c r="E5703" s="5">
        <v>-28746</v>
      </c>
      <c r="F5703" s="3" t="s">
        <v>687</v>
      </c>
      <c r="G5703" s="3" t="s">
        <v>29</v>
      </c>
      <c r="H5703" s="2" t="s">
        <v>21</v>
      </c>
      <c r="I5703" s="2" t="s">
        <v>11319</v>
      </c>
      <c r="J5703" s="3" t="str">
        <f>HYPERLINK("https://www.boe.es/gazeta/dias/1821/04/17/pdfs/GMD-1821-109.pdf#page=6","Abrir facsímil")</f>
        <v>Abrir facsímil</v>
      </c>
      <c r="K5703" s="3" t="s">
        <v>23</v>
      </c>
    </row>
    <row r="5704" spans="1:11" ht="42" customHeight="1">
      <c r="A5704" s="2" t="s">
        <v>11316</v>
      </c>
      <c r="B5704" s="2" t="s">
        <v>11316</v>
      </c>
      <c r="C5704" s="2" t="s">
        <v>17</v>
      </c>
      <c r="D5704" s="2" t="s">
        <v>18</v>
      </c>
      <c r="E5704" s="5">
        <v>-28728</v>
      </c>
      <c r="F5704" s="3" t="s">
        <v>1038</v>
      </c>
      <c r="G5704" s="3" t="s">
        <v>20</v>
      </c>
      <c r="H5704" s="2" t="s">
        <v>21</v>
      </c>
      <c r="I5704" s="2" t="s">
        <v>11320</v>
      </c>
      <c r="J5704" s="3" t="str">
        <f>HYPERLINK("https://www.boe.es/gazeta/dias/1821/05/05/pdfs/GMD-1821-127.pdf#page=3","Abrir facsímil")</f>
        <v>Abrir facsímil</v>
      </c>
      <c r="K5704" s="3" t="s">
        <v>23</v>
      </c>
    </row>
    <row r="5705" spans="1:11" ht="42" customHeight="1">
      <c r="A5705" s="2" t="s">
        <v>11316</v>
      </c>
      <c r="B5705" s="2" t="s">
        <v>11316</v>
      </c>
      <c r="C5705" s="2" t="s">
        <v>35</v>
      </c>
      <c r="D5705" s="2" t="s">
        <v>27</v>
      </c>
      <c r="E5705" s="5">
        <v>-28687</v>
      </c>
      <c r="F5705" s="3" t="s">
        <v>851</v>
      </c>
      <c r="G5705" s="3" t="s">
        <v>20</v>
      </c>
      <c r="H5705" s="2" t="s">
        <v>21</v>
      </c>
      <c r="I5705" s="2" t="s">
        <v>11321</v>
      </c>
      <c r="J5705" s="3" t="str">
        <f>HYPERLINK("https://www.boe.es/gazeta/dias/1821/06/15/pdfs/GMD-1821-168.pdf#page=3","Abrir facsímil")</f>
        <v>Abrir facsímil</v>
      </c>
      <c r="K5705" s="3" t="s">
        <v>23</v>
      </c>
    </row>
    <row r="5706" spans="1:11" ht="42" customHeight="1">
      <c r="A5706" s="2" t="s">
        <v>11316</v>
      </c>
      <c r="B5706" s="2" t="s">
        <v>11316</v>
      </c>
      <c r="C5706" s="2" t="s">
        <v>17</v>
      </c>
      <c r="D5706" s="2" t="s">
        <v>18</v>
      </c>
      <c r="E5706" s="5">
        <v>-28666</v>
      </c>
      <c r="F5706" s="3" t="s">
        <v>1263</v>
      </c>
      <c r="G5706" s="3" t="s">
        <v>88</v>
      </c>
      <c r="H5706" s="2" t="s">
        <v>21</v>
      </c>
      <c r="I5706" s="2" t="s">
        <v>11322</v>
      </c>
      <c r="J5706" s="3" t="str">
        <f>HYPERLINK("https://www.boe.es/gazeta/dias/1821/07/06/pdfs/GMD-1821-190.pdf#page=4","Abrir facsímil")</f>
        <v>Abrir facsímil</v>
      </c>
      <c r="K5706" s="3" t="s">
        <v>23</v>
      </c>
    </row>
    <row r="5707" spans="1:11" ht="42" customHeight="1">
      <c r="A5707" s="2" t="s">
        <v>11316</v>
      </c>
      <c r="B5707" s="2" t="s">
        <v>11316</v>
      </c>
      <c r="C5707" s="2" t="s">
        <v>26</v>
      </c>
      <c r="D5707" s="2" t="s">
        <v>27</v>
      </c>
      <c r="E5707" s="5">
        <v>-28524</v>
      </c>
      <c r="F5707" s="3" t="s">
        <v>874</v>
      </c>
      <c r="G5707" s="3" t="s">
        <v>88</v>
      </c>
      <c r="H5707" s="2" t="s">
        <v>21</v>
      </c>
      <c r="I5707" s="2" t="s">
        <v>11323</v>
      </c>
      <c r="J5707" s="3" t="str">
        <f>HYPERLINK("https://www.boe.es/gazeta/dias/1821/11/25/pdfs/GMD-1821-336.pdf#page=4","Abrir facsímil")</f>
        <v>Abrir facsímil</v>
      </c>
      <c r="K5707" s="3" t="s">
        <v>23</v>
      </c>
    </row>
    <row r="5708" spans="1:11" ht="42" customHeight="1">
      <c r="A5708" s="2" t="s">
        <v>11324</v>
      </c>
      <c r="B5708" s="2" t="s">
        <v>11325</v>
      </c>
      <c r="C5708" s="2" t="s">
        <v>40</v>
      </c>
      <c r="D5708" s="2" t="s">
        <v>41</v>
      </c>
      <c r="E5708" s="5">
        <v>-28773</v>
      </c>
      <c r="F5708" s="3" t="s">
        <v>1755</v>
      </c>
      <c r="G5708" s="3" t="s">
        <v>29</v>
      </c>
      <c r="H5708" s="2" t="s">
        <v>21</v>
      </c>
      <c r="I5708" s="2" t="s">
        <v>11326</v>
      </c>
      <c r="J5708" s="3" t="str">
        <f>HYPERLINK("https://www.boe.es/gazeta/dias/1821/03/21/pdfs/GMD-1821-80.pdf#page=6","Abrir facsímil")</f>
        <v>Abrir facsímil</v>
      </c>
      <c r="K5708" s="3" t="s">
        <v>23</v>
      </c>
    </row>
    <row r="5709" spans="1:11" ht="42" customHeight="1">
      <c r="A5709" s="2" t="s">
        <v>11327</v>
      </c>
      <c r="B5709" s="2" t="s">
        <v>11328</v>
      </c>
      <c r="C5709" s="2" t="s">
        <v>17</v>
      </c>
      <c r="D5709" s="2" t="s">
        <v>18</v>
      </c>
      <c r="E5709" s="5">
        <v>-28612</v>
      </c>
      <c r="F5709" s="3" t="s">
        <v>1902</v>
      </c>
      <c r="G5709" s="3" t="s">
        <v>20</v>
      </c>
      <c r="H5709" s="2" t="s">
        <v>21</v>
      </c>
      <c r="I5709" s="2" t="s">
        <v>11329</v>
      </c>
      <c r="J5709" s="3" t="str">
        <f>HYPERLINK("https://www.boe.es/gazeta/dias/1821/08/29/pdfs/GMD-1821-246.pdf#page=3","Abrir facsímil")</f>
        <v>Abrir facsímil</v>
      </c>
      <c r="K5709" s="3" t="s">
        <v>23</v>
      </c>
    </row>
    <row r="5710" spans="1:11" ht="42" customHeight="1">
      <c r="A5710" s="2" t="s">
        <v>11330</v>
      </c>
      <c r="B5710" s="2" t="s">
        <v>11331</v>
      </c>
      <c r="C5710" s="2" t="s">
        <v>40</v>
      </c>
      <c r="D5710" s="2" t="s">
        <v>41</v>
      </c>
      <c r="E5710" s="5">
        <v>-28681</v>
      </c>
      <c r="F5710" s="3" t="s">
        <v>210</v>
      </c>
      <c r="G5710" s="3" t="s">
        <v>43</v>
      </c>
      <c r="H5710" s="2" t="s">
        <v>21</v>
      </c>
      <c r="I5710" s="2" t="s">
        <v>11332</v>
      </c>
      <c r="J5710" s="3" t="str">
        <f>HYPERLINK("https://www.boe.es/gazeta/dias/1821/06/21/pdfs/GMD-1821-174.pdf#page=1","Abrir facsímil")</f>
        <v>Abrir facsímil</v>
      </c>
      <c r="K5710" s="3" t="s">
        <v>23</v>
      </c>
    </row>
    <row r="5711" spans="1:11" ht="42" customHeight="1">
      <c r="A5711" s="2" t="s">
        <v>11330</v>
      </c>
      <c r="B5711" s="2" t="s">
        <v>11331</v>
      </c>
      <c r="C5711" s="2" t="s">
        <v>40</v>
      </c>
      <c r="D5711" s="2" t="s">
        <v>41</v>
      </c>
      <c r="E5711" s="5">
        <v>-28570</v>
      </c>
      <c r="F5711" s="3" t="s">
        <v>2300</v>
      </c>
      <c r="G5711" s="3" t="s">
        <v>88</v>
      </c>
      <c r="H5711" s="2" t="s">
        <v>21</v>
      </c>
      <c r="I5711" s="2" t="s">
        <v>11333</v>
      </c>
      <c r="J5711" s="3" t="str">
        <f>HYPERLINK("https://www.boe.es/gazeta/dias/1821/10/10/pdfs/GMD-1821-289.pdf#page=4","Abrir facsímil")</f>
        <v>Abrir facsímil</v>
      </c>
      <c r="K5711" s="3" t="s">
        <v>23</v>
      </c>
    </row>
    <row r="5712" spans="1:11" ht="42" customHeight="1">
      <c r="A5712" s="2" t="s">
        <v>11330</v>
      </c>
      <c r="B5712" s="2" t="s">
        <v>11331</v>
      </c>
      <c r="C5712" s="2" t="s">
        <v>26</v>
      </c>
      <c r="D5712" s="2" t="s">
        <v>27</v>
      </c>
      <c r="E5712" s="5">
        <v>-28516</v>
      </c>
      <c r="F5712" s="3" t="s">
        <v>514</v>
      </c>
      <c r="G5712" s="3" t="s">
        <v>162</v>
      </c>
      <c r="H5712" s="2" t="s">
        <v>21</v>
      </c>
      <c r="I5712" s="2" t="s">
        <v>11334</v>
      </c>
      <c r="J5712" s="3" t="str">
        <f>HYPERLINK("https://www.boe.es/gazeta/dias/1821/12/03/pdfs/GMD-1821-345.pdf#page=5","Abrir facsímil")</f>
        <v>Abrir facsímil</v>
      </c>
      <c r="K5712" s="3" t="s">
        <v>23</v>
      </c>
    </row>
    <row r="5713" spans="1:11" ht="42" customHeight="1">
      <c r="A5713" s="2" t="s">
        <v>11330</v>
      </c>
      <c r="B5713" s="2" t="s">
        <v>11331</v>
      </c>
      <c r="C5713" s="2" t="s">
        <v>26</v>
      </c>
      <c r="D5713" s="2" t="s">
        <v>27</v>
      </c>
      <c r="E5713" s="5">
        <v>-28516</v>
      </c>
      <c r="F5713" s="3" t="s">
        <v>514</v>
      </c>
      <c r="G5713" s="3" t="s">
        <v>29</v>
      </c>
      <c r="H5713" s="2" t="s">
        <v>21</v>
      </c>
      <c r="I5713" s="2" t="s">
        <v>11335</v>
      </c>
      <c r="J5713" s="3" t="str">
        <f>HYPERLINK("https://www.boe.es/gazeta/dias/1821/12/03/pdfs/GMD-1821-345.pdf#page=6","Abrir facsímil")</f>
        <v>Abrir facsímil</v>
      </c>
      <c r="K5713" s="3" t="s">
        <v>23</v>
      </c>
    </row>
    <row r="5714" spans="1:11" ht="42" customHeight="1">
      <c r="A5714" s="2" t="s">
        <v>11330</v>
      </c>
      <c r="B5714" s="2" t="s">
        <v>11331</v>
      </c>
      <c r="C5714" s="2" t="s">
        <v>40</v>
      </c>
      <c r="D5714" s="2" t="s">
        <v>41</v>
      </c>
      <c r="E5714" s="5">
        <v>-28502</v>
      </c>
      <c r="F5714" s="3" t="s">
        <v>570</v>
      </c>
      <c r="G5714" s="3" t="s">
        <v>52</v>
      </c>
      <c r="H5714" s="2" t="s">
        <v>21</v>
      </c>
      <c r="I5714" s="2" t="s">
        <v>11336</v>
      </c>
      <c r="J5714" s="3" t="str">
        <f>HYPERLINK("https://www.boe.es/gazeta/dias/1821/12/17/pdfs/GMD-1821-360.pdf#page=2","Abrir facsímil")</f>
        <v>Abrir facsímil</v>
      </c>
      <c r="K5714" s="3" t="s">
        <v>23</v>
      </c>
    </row>
    <row r="5715" spans="1:11" ht="42" customHeight="1">
      <c r="A5715" s="2" t="s">
        <v>11337</v>
      </c>
      <c r="B5715" s="2" t="s">
        <v>11338</v>
      </c>
      <c r="C5715" s="2" t="s">
        <v>40</v>
      </c>
      <c r="D5715" s="2" t="s">
        <v>41</v>
      </c>
      <c r="E5715" s="5">
        <v>-28502</v>
      </c>
      <c r="F5715" s="3" t="s">
        <v>570</v>
      </c>
      <c r="G5715" s="3" t="s">
        <v>20</v>
      </c>
      <c r="H5715" s="2" t="s">
        <v>21</v>
      </c>
      <c r="I5715" s="2" t="s">
        <v>11339</v>
      </c>
      <c r="J5715" s="3" t="str">
        <f>HYPERLINK("https://www.boe.es/gazeta/dias/1821/12/17/pdfs/GMD-1821-360.pdf#page=3","Abrir facsímil")</f>
        <v>Abrir facsímil</v>
      </c>
      <c r="K5715" s="3" t="s">
        <v>23</v>
      </c>
    </row>
    <row r="5716" spans="1:11" ht="42" customHeight="1">
      <c r="A5716" s="2" t="s">
        <v>11340</v>
      </c>
      <c r="B5716" s="2" t="s">
        <v>11341</v>
      </c>
      <c r="C5716" s="2" t="s">
        <v>26</v>
      </c>
      <c r="D5716" s="2" t="s">
        <v>27</v>
      </c>
      <c r="E5716" s="5">
        <v>-28746</v>
      </c>
      <c r="F5716" s="3" t="s">
        <v>687</v>
      </c>
      <c r="G5716" s="3" t="s">
        <v>88</v>
      </c>
      <c r="H5716" s="2" t="s">
        <v>21</v>
      </c>
      <c r="I5716" s="2" t="s">
        <v>11342</v>
      </c>
      <c r="J5716" s="3" t="str">
        <f>HYPERLINK("https://www.boe.es/gazeta/dias/1821/04/17/pdfs/GMD-1821-109.pdf#page=4","Abrir facsímil")</f>
        <v>Abrir facsímil</v>
      </c>
      <c r="K5716" s="3" t="s">
        <v>23</v>
      </c>
    </row>
    <row r="5717" spans="1:11" ht="42" customHeight="1">
      <c r="A5717" s="2" t="s">
        <v>11343</v>
      </c>
      <c r="B5717" s="2" t="s">
        <v>11343</v>
      </c>
      <c r="C5717" s="2" t="s">
        <v>17</v>
      </c>
      <c r="D5717" s="2" t="s">
        <v>18</v>
      </c>
      <c r="E5717" s="5">
        <v>-28512</v>
      </c>
      <c r="F5717" s="3" t="s">
        <v>66</v>
      </c>
      <c r="G5717" s="3" t="s">
        <v>20</v>
      </c>
      <c r="H5717" s="2" t="s">
        <v>21</v>
      </c>
      <c r="I5717" s="2" t="s">
        <v>11344</v>
      </c>
      <c r="J5717" s="3" t="str">
        <f>HYPERLINK("https://www.boe.es/gazeta/dias/1821/12/07/pdfs/GMD-1821-349.pdf#page=3","Abrir facsímil")</f>
        <v>Abrir facsímil</v>
      </c>
      <c r="K5717" s="3" t="s">
        <v>23</v>
      </c>
    </row>
    <row r="5718" spans="1:11" ht="42" customHeight="1">
      <c r="A5718" s="2" t="s">
        <v>11345</v>
      </c>
      <c r="B5718" s="2" t="s">
        <v>11345</v>
      </c>
      <c r="C5718" s="2" t="s">
        <v>17</v>
      </c>
      <c r="D5718" s="2" t="s">
        <v>18</v>
      </c>
      <c r="E5718" s="5">
        <v>-28750</v>
      </c>
      <c r="F5718" s="3" t="s">
        <v>917</v>
      </c>
      <c r="G5718" s="3" t="s">
        <v>20</v>
      </c>
      <c r="H5718" s="2" t="s">
        <v>21</v>
      </c>
      <c r="I5718" s="2" t="s">
        <v>11346</v>
      </c>
      <c r="J5718" s="3" t="str">
        <f>HYPERLINK("https://www.boe.es/gazeta/dias/1821/04/13/pdfs/GMD-1821-105.pdf#page=3","Abrir facsímil")</f>
        <v>Abrir facsímil</v>
      </c>
      <c r="K5718" s="3" t="s">
        <v>23</v>
      </c>
    </row>
    <row r="5719" spans="1:11" ht="42" customHeight="1">
      <c r="A5719" s="2" t="s">
        <v>11347</v>
      </c>
      <c r="B5719" s="2" t="s">
        <v>11348</v>
      </c>
      <c r="C5719" s="2" t="s">
        <v>26</v>
      </c>
      <c r="D5719" s="2" t="s">
        <v>27</v>
      </c>
      <c r="E5719" s="5">
        <v>-28516</v>
      </c>
      <c r="F5719" s="3" t="s">
        <v>514</v>
      </c>
      <c r="G5719" s="3" t="s">
        <v>162</v>
      </c>
      <c r="H5719" s="2" t="s">
        <v>21</v>
      </c>
      <c r="I5719" s="2" t="s">
        <v>11349</v>
      </c>
      <c r="J5719" s="3" t="str">
        <f>HYPERLINK("https://www.boe.es/gazeta/dias/1821/12/03/pdfs/GMD-1821-345.pdf#page=5","Abrir facsímil")</f>
        <v>Abrir facsímil</v>
      </c>
      <c r="K5719" s="3" t="s">
        <v>23</v>
      </c>
    </row>
    <row r="5720" spans="1:11" ht="42" customHeight="1">
      <c r="A5720" s="2" t="s">
        <v>11350</v>
      </c>
      <c r="B5720" s="2" t="s">
        <v>11350</v>
      </c>
      <c r="C5720" s="2" t="s">
        <v>35</v>
      </c>
      <c r="D5720" s="2" t="s">
        <v>27</v>
      </c>
      <c r="E5720" s="5">
        <v>-28556</v>
      </c>
      <c r="F5720" s="3" t="s">
        <v>264</v>
      </c>
      <c r="G5720" s="3" t="s">
        <v>52</v>
      </c>
      <c r="H5720" s="2" t="s">
        <v>21</v>
      </c>
      <c r="I5720" s="2" t="s">
        <v>11351</v>
      </c>
      <c r="J5720" s="3" t="str">
        <f>HYPERLINK("https://www.boe.es/gazeta/dias/1821/10/24/pdfs/GMD-1821-303.pdf#page=2","Abrir facsímil")</f>
        <v>Abrir facsímil</v>
      </c>
      <c r="K5720" s="3" t="s">
        <v>23</v>
      </c>
    </row>
    <row r="5721" spans="1:11" ht="42" customHeight="1">
      <c r="A5721" s="2" t="s">
        <v>11352</v>
      </c>
      <c r="B5721" s="2" t="s">
        <v>11353</v>
      </c>
      <c r="C5721" s="2" t="s">
        <v>174</v>
      </c>
      <c r="D5721" s="2" t="s">
        <v>27</v>
      </c>
      <c r="E5721" s="5">
        <v>-28778</v>
      </c>
      <c r="F5721" s="3" t="s">
        <v>1301</v>
      </c>
      <c r="G5721" s="3" t="s">
        <v>29</v>
      </c>
      <c r="H5721" s="2" t="s">
        <v>21</v>
      </c>
      <c r="I5721" s="2" t="s">
        <v>11354</v>
      </c>
      <c r="J5721" s="3" t="str">
        <f>HYPERLINK("https://www.boe.es/gazeta/dias/1821/03/16/pdfs/GMD-1821-75.pdf#page=6","Abrir facsímil")</f>
        <v>Abrir facsímil</v>
      </c>
      <c r="K5721" s="3" t="s">
        <v>23</v>
      </c>
    </row>
    <row r="5722" spans="1:11" ht="42" customHeight="1">
      <c r="A5722" s="2" t="s">
        <v>11355</v>
      </c>
      <c r="B5722" s="2" t="s">
        <v>11355</v>
      </c>
      <c r="C5722" s="2" t="s">
        <v>17</v>
      </c>
      <c r="D5722" s="2" t="s">
        <v>18</v>
      </c>
      <c r="E5722" s="5">
        <v>-28525</v>
      </c>
      <c r="F5722" s="3" t="s">
        <v>186</v>
      </c>
      <c r="G5722" s="3" t="s">
        <v>88</v>
      </c>
      <c r="H5722" s="2" t="s">
        <v>21</v>
      </c>
      <c r="I5722" s="2" t="s">
        <v>11356</v>
      </c>
      <c r="J5722" s="3" t="str">
        <f>HYPERLINK("https://www.boe.es/gazeta/dias/1821/11/24/pdfs/GMD-1821-335.pdf#page=4","Abrir facsímil")</f>
        <v>Abrir facsímil</v>
      </c>
      <c r="K5722" s="3" t="s">
        <v>23</v>
      </c>
    </row>
    <row r="5723" spans="1:11" ht="42" customHeight="1">
      <c r="A5723" s="2" t="s">
        <v>11357</v>
      </c>
      <c r="B5723" s="2" t="s">
        <v>11357</v>
      </c>
      <c r="C5723" s="2" t="s">
        <v>17</v>
      </c>
      <c r="D5723" s="2" t="s">
        <v>18</v>
      </c>
      <c r="E5723" s="5">
        <v>-28545</v>
      </c>
      <c r="F5723" s="3" t="s">
        <v>284</v>
      </c>
      <c r="G5723" s="3" t="s">
        <v>20</v>
      </c>
      <c r="H5723" s="2" t="s">
        <v>21</v>
      </c>
      <c r="I5723" s="2" t="s">
        <v>11358</v>
      </c>
      <c r="J5723" s="3" t="str">
        <f>HYPERLINK("https://www.boe.es/gazeta/dias/1821/11/04/pdfs/GMD-1821-315.pdf#page=3","Abrir facsímil")</f>
        <v>Abrir facsímil</v>
      </c>
      <c r="K5723" s="3" t="s">
        <v>23</v>
      </c>
    </row>
    <row r="5724" spans="1:11" ht="42" customHeight="1">
      <c r="A5724" s="2" t="s">
        <v>11359</v>
      </c>
      <c r="B5724" s="2" t="s">
        <v>11359</v>
      </c>
      <c r="C5724" s="2" t="s">
        <v>17</v>
      </c>
      <c r="D5724" s="2" t="s">
        <v>18</v>
      </c>
      <c r="E5724" s="5">
        <v>-28812</v>
      </c>
      <c r="F5724" s="3" t="s">
        <v>2610</v>
      </c>
      <c r="G5724" s="3" t="s">
        <v>52</v>
      </c>
      <c r="H5724" s="2" t="s">
        <v>21</v>
      </c>
      <c r="I5724" s="2" t="s">
        <v>11360</v>
      </c>
      <c r="J5724" s="3" t="str">
        <f>HYPERLINK("https://www.boe.es/gazeta/dias/1821/02/10/pdfs/GGB-1821-41.pdf#page=2","Abrir facsímil")</f>
        <v>Abrir facsímil</v>
      </c>
      <c r="K5724" s="3" t="s">
        <v>23</v>
      </c>
    </row>
    <row r="5725" spans="1:11" ht="42" customHeight="1">
      <c r="A5725" s="2" t="s">
        <v>11361</v>
      </c>
      <c r="B5725" s="2" t="s">
        <v>11362</v>
      </c>
      <c r="C5725" s="2" t="s">
        <v>40</v>
      </c>
      <c r="D5725" s="2" t="s">
        <v>41</v>
      </c>
      <c r="E5725" s="5">
        <v>-28665</v>
      </c>
      <c r="F5725" s="3" t="s">
        <v>789</v>
      </c>
      <c r="G5725" s="3" t="s">
        <v>790</v>
      </c>
      <c r="H5725" s="2" t="s">
        <v>21</v>
      </c>
      <c r="I5725" s="2" t="s">
        <v>11363</v>
      </c>
      <c r="J5725" s="3" t="str">
        <f>HYPERLINK("https://www.boe.es/gazeta/dias/1821/07/07/pdfs/GMD-1821-191.pdf#page=4","Abrir facsímil")</f>
        <v>Abrir facsímil</v>
      </c>
      <c r="K5725" s="3" t="s">
        <v>23</v>
      </c>
    </row>
    <row r="5726" spans="1:11" ht="42" customHeight="1">
      <c r="A5726" s="2" t="s">
        <v>11364</v>
      </c>
      <c r="B5726" s="2" t="s">
        <v>11365</v>
      </c>
      <c r="C5726" s="2" t="s">
        <v>40</v>
      </c>
      <c r="D5726" s="2" t="s">
        <v>41</v>
      </c>
      <c r="E5726" s="5">
        <v>-28758</v>
      </c>
      <c r="F5726" s="3" t="s">
        <v>4115</v>
      </c>
      <c r="G5726" s="3" t="s">
        <v>43</v>
      </c>
      <c r="H5726" s="2" t="s">
        <v>21</v>
      </c>
      <c r="I5726" s="2" t="s">
        <v>11366</v>
      </c>
      <c r="J5726" s="3" t="str">
        <f>HYPERLINK("https://www.boe.es/gazeta/dias/1821/04/05/pdfs/GMD-1821-97.pdf#page=1","Abrir facsímil")</f>
        <v>Abrir facsímil</v>
      </c>
      <c r="K5726" s="3" t="s">
        <v>23</v>
      </c>
    </row>
    <row r="5727" spans="1:11" ht="42" customHeight="1">
      <c r="A5727" s="2" t="s">
        <v>11367</v>
      </c>
      <c r="B5727" s="2" t="s">
        <v>11368</v>
      </c>
      <c r="C5727" s="2" t="s">
        <v>17</v>
      </c>
      <c r="D5727" s="2" t="s">
        <v>18</v>
      </c>
      <c r="E5727" s="5">
        <v>-28676</v>
      </c>
      <c r="F5727" s="3" t="s">
        <v>534</v>
      </c>
      <c r="G5727" s="3" t="s">
        <v>29</v>
      </c>
      <c r="H5727" s="2" t="s">
        <v>21</v>
      </c>
      <c r="I5727" s="2" t="s">
        <v>11369</v>
      </c>
      <c r="J5727" s="3" t="str">
        <f>HYPERLINK("https://www.boe.es/gazeta/dias/1821/06/26/pdfs/GMD-1821-179.pdf#page=6","Abrir facsímil")</f>
        <v>Abrir facsímil</v>
      </c>
      <c r="K5727" s="3" t="s">
        <v>23</v>
      </c>
    </row>
    <row r="5728" spans="1:11" ht="42" customHeight="1">
      <c r="A5728" s="2" t="s">
        <v>11370</v>
      </c>
      <c r="B5728" s="2" t="s">
        <v>11371</v>
      </c>
      <c r="C5728" s="2" t="s">
        <v>40</v>
      </c>
      <c r="D5728" s="2" t="s">
        <v>41</v>
      </c>
      <c r="E5728" s="5">
        <v>-28693</v>
      </c>
      <c r="F5728" s="3" t="s">
        <v>74</v>
      </c>
      <c r="G5728" s="3" t="s">
        <v>43</v>
      </c>
      <c r="H5728" s="2" t="s">
        <v>21</v>
      </c>
      <c r="I5728" s="2" t="s">
        <v>11372</v>
      </c>
      <c r="J5728" s="3" t="str">
        <f>HYPERLINK("https://www.boe.es/gazeta/dias/1821/06/09/pdfs/GMD-1821-162.pdf#page=1","Abrir facsímil")</f>
        <v>Abrir facsímil</v>
      </c>
      <c r="K5728" s="3" t="s">
        <v>23</v>
      </c>
    </row>
    <row r="5729" spans="1:11" ht="42" customHeight="1">
      <c r="A5729" s="2" t="s">
        <v>11373</v>
      </c>
      <c r="B5729" s="2" t="s">
        <v>11373</v>
      </c>
      <c r="C5729" s="2" t="s">
        <v>17</v>
      </c>
      <c r="D5729" s="2" t="s">
        <v>18</v>
      </c>
      <c r="E5729" s="5">
        <v>-28708</v>
      </c>
      <c r="F5729" s="3" t="s">
        <v>528</v>
      </c>
      <c r="G5729" s="3" t="s">
        <v>88</v>
      </c>
      <c r="H5729" s="2" t="s">
        <v>21</v>
      </c>
      <c r="I5729" s="2" t="s">
        <v>11374</v>
      </c>
      <c r="J5729" s="3" t="str">
        <f>HYPERLINK("https://www.boe.es/gazeta/dias/1821/05/25/pdfs/GMD-1821-147.pdf#page=4","Abrir facsímil")</f>
        <v>Abrir facsímil</v>
      </c>
      <c r="K5729" s="3" t="s">
        <v>23</v>
      </c>
    </row>
    <row r="5730" spans="1:11" ht="42" customHeight="1">
      <c r="A5730" s="2" t="s">
        <v>11375</v>
      </c>
      <c r="B5730" s="2" t="s">
        <v>11376</v>
      </c>
      <c r="C5730" s="2" t="s">
        <v>40</v>
      </c>
      <c r="D5730" s="2" t="s">
        <v>41</v>
      </c>
      <c r="E5730" s="5">
        <v>-28547</v>
      </c>
      <c r="F5730" s="3" t="s">
        <v>247</v>
      </c>
      <c r="G5730" s="3" t="s">
        <v>248</v>
      </c>
      <c r="H5730" s="2" t="s">
        <v>21</v>
      </c>
      <c r="I5730" s="2" t="s">
        <v>11377</v>
      </c>
      <c r="J5730" s="3" t="str">
        <f>HYPERLINK("https://www.boe.es/gazeta/dias/1821/11/02/pdfs/GMD-1821-312.pdf#page=2","Abrir facsímil")</f>
        <v>Abrir facsímil</v>
      </c>
      <c r="K5730" s="3" t="s">
        <v>23</v>
      </c>
    </row>
    <row r="5731" spans="1:11" ht="42" customHeight="1">
      <c r="A5731" s="2" t="s">
        <v>11378</v>
      </c>
      <c r="B5731" s="2" t="s">
        <v>11379</v>
      </c>
      <c r="C5731" s="2" t="s">
        <v>17</v>
      </c>
      <c r="D5731" s="2" t="s">
        <v>18</v>
      </c>
      <c r="E5731" s="5">
        <v>-28720</v>
      </c>
      <c r="F5731" s="3" t="s">
        <v>492</v>
      </c>
      <c r="G5731" s="3" t="s">
        <v>43</v>
      </c>
      <c r="H5731" s="2" t="s">
        <v>21</v>
      </c>
      <c r="I5731" s="2" t="s">
        <v>11380</v>
      </c>
      <c r="J5731" s="3" t="str">
        <f>HYPERLINK("https://www.boe.es/gazeta/dias/1821/05/13/pdfs/GMD-1821-135.pdf#page=1","Abrir facsímil")</f>
        <v>Abrir facsímil</v>
      </c>
      <c r="K5731" s="3" t="s">
        <v>23</v>
      </c>
    </row>
    <row r="5732" spans="1:11" ht="42" customHeight="1">
      <c r="A5732" s="2" t="s">
        <v>11381</v>
      </c>
      <c r="B5732" s="2" t="s">
        <v>11382</v>
      </c>
      <c r="C5732" s="2" t="s">
        <v>40</v>
      </c>
      <c r="D5732" s="2" t="s">
        <v>41</v>
      </c>
      <c r="E5732" s="5">
        <v>-28684</v>
      </c>
      <c r="F5732" s="3" t="s">
        <v>208</v>
      </c>
      <c r="G5732" s="3" t="s">
        <v>20</v>
      </c>
      <c r="H5732" s="2" t="s">
        <v>21</v>
      </c>
      <c r="I5732" s="2" t="s">
        <v>11383</v>
      </c>
      <c r="J5732" s="3" t="str">
        <f>HYPERLINK("https://www.boe.es/gazeta/dias/1821/06/18/pdfs/GMD-1821-171.pdf#page=3","Abrir facsímil")</f>
        <v>Abrir facsímil</v>
      </c>
      <c r="K5732" s="3" t="s">
        <v>23</v>
      </c>
    </row>
    <row r="5733" spans="1:11" ht="42" customHeight="1">
      <c r="A5733" s="2" t="s">
        <v>11384</v>
      </c>
      <c r="B5733" s="2" t="s">
        <v>11385</v>
      </c>
      <c r="C5733" s="2" t="s">
        <v>114</v>
      </c>
      <c r="D5733" s="2" t="s">
        <v>27</v>
      </c>
      <c r="E5733" s="5">
        <v>-28723</v>
      </c>
      <c r="F5733" s="3" t="s">
        <v>840</v>
      </c>
      <c r="G5733" s="3" t="s">
        <v>43</v>
      </c>
      <c r="H5733" s="2" t="s">
        <v>21</v>
      </c>
      <c r="I5733" s="2" t="s">
        <v>11386</v>
      </c>
      <c r="J5733" s="3" t="str">
        <f>HYPERLINK("https://www.boe.es/gazeta/dias/1821/05/10/pdfs/GMD-1821-132.pdf#page=1","Abrir facsímil")</f>
        <v>Abrir facsímil</v>
      </c>
      <c r="K5733" s="3" t="s">
        <v>23</v>
      </c>
    </row>
    <row r="5734" spans="1:11" ht="42" customHeight="1">
      <c r="A5734" s="2" t="s">
        <v>11387</v>
      </c>
      <c r="B5734" s="2" t="s">
        <v>11387</v>
      </c>
      <c r="C5734" s="2" t="s">
        <v>26</v>
      </c>
      <c r="D5734" s="2" t="s">
        <v>27</v>
      </c>
      <c r="E5734" s="5">
        <v>-28738</v>
      </c>
      <c r="F5734" s="3" t="s">
        <v>359</v>
      </c>
      <c r="G5734" s="3" t="s">
        <v>88</v>
      </c>
      <c r="H5734" s="2" t="s">
        <v>21</v>
      </c>
      <c r="I5734" s="2" t="s">
        <v>11388</v>
      </c>
      <c r="J5734" s="3" t="str">
        <f>HYPERLINK("https://www.boe.es/gazeta/dias/1821/04/25/pdfs/GMD-1821-117.pdf#page=4","Abrir facsímil")</f>
        <v>Abrir facsímil</v>
      </c>
      <c r="K5734" s="3" t="s">
        <v>23</v>
      </c>
    </row>
    <row r="5735" spans="1:11" ht="42" customHeight="1">
      <c r="A5735" s="2" t="s">
        <v>11387</v>
      </c>
      <c r="B5735" s="2" t="s">
        <v>11387</v>
      </c>
      <c r="C5735" s="2" t="s">
        <v>26</v>
      </c>
      <c r="D5735" s="2" t="s">
        <v>27</v>
      </c>
      <c r="E5735" s="5">
        <v>-28527</v>
      </c>
      <c r="F5735" s="3" t="s">
        <v>328</v>
      </c>
      <c r="G5735" s="3" t="s">
        <v>88</v>
      </c>
      <c r="H5735" s="2" t="s">
        <v>21</v>
      </c>
      <c r="I5735" s="2" t="s">
        <v>11389</v>
      </c>
      <c r="J5735" s="3" t="str">
        <f>HYPERLINK("https://www.boe.es/gazeta/dias/1821/11/22/pdfs/GMD-1821-333.pdf#page=4","Abrir facsímil")</f>
        <v>Abrir facsímil</v>
      </c>
      <c r="K5735" s="3" t="s">
        <v>23</v>
      </c>
    </row>
    <row r="5736" spans="1:11" ht="42" customHeight="1">
      <c r="A5736" s="2" t="s">
        <v>11390</v>
      </c>
      <c r="B5736" s="2" t="s">
        <v>11391</v>
      </c>
      <c r="C5736" s="2" t="s">
        <v>279</v>
      </c>
      <c r="D5736" s="2" t="s">
        <v>27</v>
      </c>
      <c r="E5736" s="5">
        <v>-28589</v>
      </c>
      <c r="F5736" s="3" t="s">
        <v>3130</v>
      </c>
      <c r="G5736" s="3" t="s">
        <v>88</v>
      </c>
      <c r="H5736" s="2" t="s">
        <v>21</v>
      </c>
      <c r="I5736" s="2" t="s">
        <v>11392</v>
      </c>
      <c r="J5736" s="3" t="str">
        <f>HYPERLINK("https://www.boe.es/gazeta/dias/1821/09/21/pdfs/GMD-1821-269.pdf#page=4","Abrir facsímil")</f>
        <v>Abrir facsímil</v>
      </c>
      <c r="K5736" s="3" t="s">
        <v>23</v>
      </c>
    </row>
    <row r="5737" spans="1:11" ht="42" customHeight="1">
      <c r="A5737" s="2" t="s">
        <v>11393</v>
      </c>
      <c r="B5737" s="2" t="s">
        <v>11394</v>
      </c>
      <c r="C5737" s="2" t="s">
        <v>70</v>
      </c>
      <c r="D5737" s="2" t="s">
        <v>27</v>
      </c>
      <c r="E5737" s="5">
        <v>-28726</v>
      </c>
      <c r="F5737" s="3" t="s">
        <v>347</v>
      </c>
      <c r="G5737" s="3" t="s">
        <v>20</v>
      </c>
      <c r="H5737" s="2" t="s">
        <v>21</v>
      </c>
      <c r="I5737" s="2" t="s">
        <v>11395</v>
      </c>
      <c r="J5737" s="3" t="str">
        <f>HYPERLINK("https://www.boe.es/gazeta/dias/1821/05/07/pdfs/GMD-1821-129.pdf#page=3","Abrir facsímil")</f>
        <v>Abrir facsímil</v>
      </c>
      <c r="K5737" s="3" t="s">
        <v>23</v>
      </c>
    </row>
    <row r="5738" spans="1:11" ht="42" customHeight="1">
      <c r="A5738" s="2" t="s">
        <v>11396</v>
      </c>
      <c r="B5738" s="2" t="s">
        <v>11396</v>
      </c>
      <c r="C5738" s="2" t="s">
        <v>26</v>
      </c>
      <c r="D5738" s="2" t="s">
        <v>27</v>
      </c>
      <c r="E5738" s="5">
        <v>-28515</v>
      </c>
      <c r="F5738" s="3" t="s">
        <v>260</v>
      </c>
      <c r="G5738" s="3" t="s">
        <v>333</v>
      </c>
      <c r="H5738" s="2" t="s">
        <v>21</v>
      </c>
      <c r="I5738" s="2" t="s">
        <v>11397</v>
      </c>
      <c r="J5738" s="3" t="str">
        <f>HYPERLINK("https://www.boe.es/gazeta/dias/1821/12/04/pdfs/GMD-1821-346.pdf#page=8","Abrir facsímil")</f>
        <v>Abrir facsímil</v>
      </c>
      <c r="K5738" s="3" t="s">
        <v>23</v>
      </c>
    </row>
    <row r="5739" spans="1:11" ht="42" customHeight="1">
      <c r="A5739" s="2" t="s">
        <v>11398</v>
      </c>
      <c r="B5739" s="2" t="s">
        <v>11398</v>
      </c>
      <c r="C5739" s="2" t="s">
        <v>174</v>
      </c>
      <c r="D5739" s="2" t="s">
        <v>27</v>
      </c>
      <c r="E5739" s="5">
        <v>-28609</v>
      </c>
      <c r="F5739" s="3" t="s">
        <v>2184</v>
      </c>
      <c r="G5739" s="3" t="s">
        <v>52</v>
      </c>
      <c r="H5739" s="2" t="s">
        <v>21</v>
      </c>
      <c r="I5739" s="2" t="s">
        <v>11399</v>
      </c>
      <c r="J5739" s="3" t="str">
        <f>HYPERLINK("https://www.boe.es/gazeta/dias/1821/09/01/pdfs/GMD-1821-249.pdf#page=2","Abrir facsímil")</f>
        <v>Abrir facsímil</v>
      </c>
      <c r="K5739" s="3" t="s">
        <v>23</v>
      </c>
    </row>
    <row r="5740" spans="1:11" ht="42" customHeight="1">
      <c r="A5740" s="2" t="s">
        <v>11400</v>
      </c>
      <c r="B5740" s="2" t="s">
        <v>11400</v>
      </c>
      <c r="C5740" s="2" t="s">
        <v>40</v>
      </c>
      <c r="D5740" s="2" t="s">
        <v>41</v>
      </c>
      <c r="E5740" s="5">
        <v>-28832</v>
      </c>
      <c r="F5740" s="3" t="s">
        <v>353</v>
      </c>
      <c r="G5740" s="3" t="s">
        <v>52</v>
      </c>
      <c r="H5740" s="2" t="s">
        <v>21</v>
      </c>
      <c r="I5740" s="2" t="s">
        <v>11401</v>
      </c>
      <c r="J5740" s="3" t="str">
        <f>HYPERLINK("https://www.boe.es/gazeta/dias/1821/01/21/pdfs/GGB-1821-21.pdf#page=2","Abrir facsímil")</f>
        <v>Abrir facsímil</v>
      </c>
      <c r="K5740" s="3" t="s">
        <v>23</v>
      </c>
    </row>
    <row r="5741" spans="1:11" ht="42" customHeight="1">
      <c r="A5741" s="2" t="s">
        <v>11402</v>
      </c>
      <c r="B5741" s="2" t="s">
        <v>11403</v>
      </c>
      <c r="C5741" s="2" t="s">
        <v>174</v>
      </c>
      <c r="D5741" s="2" t="s">
        <v>27</v>
      </c>
      <c r="E5741" s="5">
        <v>-28636</v>
      </c>
      <c r="F5741" s="3" t="s">
        <v>122</v>
      </c>
      <c r="G5741" s="3" t="s">
        <v>20</v>
      </c>
      <c r="H5741" s="2" t="s">
        <v>21</v>
      </c>
      <c r="I5741" s="2" t="s">
        <v>11404</v>
      </c>
      <c r="J5741" s="3" t="str">
        <f>HYPERLINK("https://www.boe.es/gazeta/dias/1821/08/05/pdfs/GMD-1821-221.pdf#page=3","Abrir facsímil")</f>
        <v>Abrir facsímil</v>
      </c>
      <c r="K5741" s="3" t="s">
        <v>23</v>
      </c>
    </row>
    <row r="5742" spans="1:11" ht="42" customHeight="1">
      <c r="A5742" s="2" t="s">
        <v>11405</v>
      </c>
      <c r="B5742" s="2" t="s">
        <v>11406</v>
      </c>
      <c r="C5742" s="2" t="s">
        <v>26</v>
      </c>
      <c r="D5742" s="2" t="s">
        <v>27</v>
      </c>
      <c r="E5742" s="5">
        <v>-28654</v>
      </c>
      <c r="F5742" s="3" t="s">
        <v>674</v>
      </c>
      <c r="G5742" s="3" t="s">
        <v>88</v>
      </c>
      <c r="H5742" s="2" t="s">
        <v>21</v>
      </c>
      <c r="I5742" s="2" t="s">
        <v>11407</v>
      </c>
      <c r="J5742" s="3" t="str">
        <f>HYPERLINK("https://www.boe.es/gazeta/dias/1821/07/18/pdfs/GMD-1821-203.pdf#page=4","Abrir facsímil")</f>
        <v>Abrir facsímil</v>
      </c>
      <c r="K5742" s="3" t="s">
        <v>23</v>
      </c>
    </row>
    <row r="5743" spans="1:11" ht="42" customHeight="1">
      <c r="A5743" s="2" t="s">
        <v>11408</v>
      </c>
      <c r="B5743" s="2" t="s">
        <v>11408</v>
      </c>
      <c r="C5743" s="2" t="s">
        <v>40</v>
      </c>
      <c r="D5743" s="2" t="s">
        <v>41</v>
      </c>
      <c r="E5743" s="5">
        <v>-28746</v>
      </c>
      <c r="F5743" s="3" t="s">
        <v>687</v>
      </c>
      <c r="G5743" s="3" t="s">
        <v>20</v>
      </c>
      <c r="H5743" s="2" t="s">
        <v>21</v>
      </c>
      <c r="I5743" s="2" t="s">
        <v>11409</v>
      </c>
      <c r="J5743" s="3" t="str">
        <f>HYPERLINK("https://www.boe.es/gazeta/dias/1821/04/17/pdfs/GMD-1821-109.pdf#page=3","Abrir facsímil")</f>
        <v>Abrir facsímil</v>
      </c>
      <c r="K5743" s="3" t="s">
        <v>23</v>
      </c>
    </row>
    <row r="5744" spans="1:11" ht="42" customHeight="1">
      <c r="A5744" s="2" t="s">
        <v>11410</v>
      </c>
      <c r="B5744" s="2" t="s">
        <v>11411</v>
      </c>
      <c r="C5744" s="2" t="s">
        <v>174</v>
      </c>
      <c r="D5744" s="2" t="s">
        <v>27</v>
      </c>
      <c r="E5744" s="5">
        <v>-28530</v>
      </c>
      <c r="F5744" s="3" t="s">
        <v>237</v>
      </c>
      <c r="G5744" s="3" t="s">
        <v>52</v>
      </c>
      <c r="H5744" s="2" t="s">
        <v>21</v>
      </c>
      <c r="I5744" s="2" t="s">
        <v>11412</v>
      </c>
      <c r="J5744" s="3" t="str">
        <f>HYPERLINK("https://www.boe.es/gazeta/dias/1821/11/19/pdfs/GMD-1821-330.pdf#page=2","Abrir facsímil")</f>
        <v>Abrir facsímil</v>
      </c>
      <c r="K5744" s="3" t="s">
        <v>23</v>
      </c>
    </row>
    <row r="5745" spans="1:11" ht="42" customHeight="1">
      <c r="A5745" s="2" t="s">
        <v>11413</v>
      </c>
      <c r="B5745" s="2" t="s">
        <v>11414</v>
      </c>
      <c r="C5745" s="2" t="s">
        <v>174</v>
      </c>
      <c r="D5745" s="2" t="s">
        <v>27</v>
      </c>
      <c r="E5745" s="5">
        <v>-28706</v>
      </c>
      <c r="F5745" s="3" t="s">
        <v>4791</v>
      </c>
      <c r="G5745" s="3" t="s">
        <v>52</v>
      </c>
      <c r="H5745" s="2" t="s">
        <v>21</v>
      </c>
      <c r="I5745" s="2" t="s">
        <v>11415</v>
      </c>
      <c r="J5745" s="3" t="str">
        <f>HYPERLINK("https://www.boe.es/gazeta/dias/1821/05/27/pdfs/GMD-1821-149.pdf#page=2","Abrir facsímil")</f>
        <v>Abrir facsímil</v>
      </c>
      <c r="K5745" s="3" t="s">
        <v>23</v>
      </c>
    </row>
    <row r="5746" spans="1:11" ht="42" customHeight="1">
      <c r="A5746" s="2" t="s">
        <v>11416</v>
      </c>
      <c r="B5746" s="2" t="s">
        <v>11417</v>
      </c>
      <c r="C5746" s="2" t="s">
        <v>40</v>
      </c>
      <c r="D5746" s="2" t="s">
        <v>41</v>
      </c>
      <c r="E5746" s="5">
        <v>-28742</v>
      </c>
      <c r="F5746" s="3" t="s">
        <v>324</v>
      </c>
      <c r="G5746" s="3" t="s">
        <v>43</v>
      </c>
      <c r="H5746" s="2" t="s">
        <v>21</v>
      </c>
      <c r="I5746" s="2" t="s">
        <v>11418</v>
      </c>
      <c r="J5746" s="3" t="str">
        <f>HYPERLINK("https://www.boe.es/gazeta/dias/1821/04/21/pdfs/GMD-1821-113.pdf#page=1","Abrir facsímil")</f>
        <v>Abrir facsímil</v>
      </c>
      <c r="K5746" s="3" t="s">
        <v>23</v>
      </c>
    </row>
    <row r="5747" spans="1:11" ht="42" customHeight="1">
      <c r="A5747" s="2" t="s">
        <v>11419</v>
      </c>
      <c r="B5747" s="2" t="s">
        <v>11420</v>
      </c>
      <c r="C5747" s="2" t="s">
        <v>26</v>
      </c>
      <c r="D5747" s="2" t="s">
        <v>27</v>
      </c>
      <c r="E5747" s="5">
        <v>-28528</v>
      </c>
      <c r="F5747" s="3" t="s">
        <v>1872</v>
      </c>
      <c r="G5747" s="3" t="s">
        <v>52</v>
      </c>
      <c r="H5747" s="2" t="s">
        <v>21</v>
      </c>
      <c r="I5747" s="2" t="s">
        <v>11421</v>
      </c>
      <c r="J5747" s="3" t="str">
        <f>HYPERLINK("https://www.boe.es/gazeta/dias/1821/11/21/pdfs/GMD-1821-332.pdf#page=2","Abrir facsímil")</f>
        <v>Abrir facsímil</v>
      </c>
      <c r="K5747" s="3" t="s">
        <v>23</v>
      </c>
    </row>
    <row r="5748" spans="1:11" ht="42" customHeight="1">
      <c r="A5748" s="2" t="s">
        <v>11422</v>
      </c>
      <c r="B5748" s="2" t="s">
        <v>11422</v>
      </c>
      <c r="C5748" s="2" t="s">
        <v>40</v>
      </c>
      <c r="D5748" s="2" t="s">
        <v>41</v>
      </c>
      <c r="E5748" s="5">
        <v>-28841</v>
      </c>
      <c r="F5748" s="3" t="s">
        <v>765</v>
      </c>
      <c r="G5748" s="3" t="s">
        <v>43</v>
      </c>
      <c r="H5748" s="2" t="s">
        <v>21</v>
      </c>
      <c r="I5748" s="2" t="s">
        <v>11423</v>
      </c>
      <c r="J5748" s="3" t="str">
        <f>HYPERLINK("https://www.boe.es/gazeta/dias/1821/01/12/pdfs/GGB-1821-12.pdf#page=1","Abrir facsímil")</f>
        <v>Abrir facsímil</v>
      </c>
      <c r="K5748" s="3" t="s">
        <v>23</v>
      </c>
    </row>
    <row r="5749" spans="1:11" ht="42" customHeight="1">
      <c r="A5749" s="2" t="s">
        <v>11424</v>
      </c>
      <c r="B5749" s="2" t="s">
        <v>11424</v>
      </c>
      <c r="C5749" s="2" t="s">
        <v>40</v>
      </c>
      <c r="D5749" s="2" t="s">
        <v>41</v>
      </c>
      <c r="E5749" s="5">
        <v>-28621</v>
      </c>
      <c r="F5749" s="3" t="s">
        <v>1317</v>
      </c>
      <c r="G5749" s="3" t="s">
        <v>43</v>
      </c>
      <c r="H5749" s="2" t="s">
        <v>21</v>
      </c>
      <c r="I5749" s="2" t="s">
        <v>11425</v>
      </c>
      <c r="J5749" s="3" t="str">
        <f>HYPERLINK("https://www.boe.es/gazeta/dias/1821/08/20/pdfs/GMD-1821-237.pdf#page=1","Abrir facsímil")</f>
        <v>Abrir facsímil</v>
      </c>
      <c r="K5749" s="3" t="s">
        <v>23</v>
      </c>
    </row>
    <row r="5750" spans="1:11" ht="42" customHeight="1">
      <c r="A5750" s="2" t="s">
        <v>11426</v>
      </c>
      <c r="B5750" s="2" t="s">
        <v>11427</v>
      </c>
      <c r="C5750" s="2" t="s">
        <v>40</v>
      </c>
      <c r="D5750" s="2" t="s">
        <v>41</v>
      </c>
      <c r="E5750" s="5">
        <v>-28783</v>
      </c>
      <c r="F5750" s="3" t="s">
        <v>198</v>
      </c>
      <c r="G5750" s="3" t="s">
        <v>20</v>
      </c>
      <c r="H5750" s="2" t="s">
        <v>21</v>
      </c>
      <c r="I5750" s="2" t="s">
        <v>11428</v>
      </c>
      <c r="J5750" s="3" t="str">
        <f>HYPERLINK("https://www.boe.es/gazeta/dias/1821/03/11/pdfs/GGB-1821-70.pdf#page=3","Abrir facsímil")</f>
        <v>Abrir facsímil</v>
      </c>
      <c r="K5750" s="3" t="s">
        <v>23</v>
      </c>
    </row>
    <row r="5751" spans="1:11" ht="42" customHeight="1">
      <c r="A5751" s="2" t="s">
        <v>11429</v>
      </c>
      <c r="B5751" s="2" t="s">
        <v>11430</v>
      </c>
      <c r="C5751" s="2" t="s">
        <v>17</v>
      </c>
      <c r="D5751" s="2" t="s">
        <v>18</v>
      </c>
      <c r="E5751" s="5">
        <v>-28787</v>
      </c>
      <c r="F5751" s="3" t="s">
        <v>486</v>
      </c>
      <c r="G5751" s="3" t="s">
        <v>52</v>
      </c>
      <c r="H5751" s="2" t="s">
        <v>21</v>
      </c>
      <c r="I5751" s="2" t="s">
        <v>11431</v>
      </c>
      <c r="J5751" s="3" t="str">
        <f>HYPERLINK("https://www.boe.es/gazeta/dias/1821/03/07/pdfs/GGB-1821-66.pdf#page=2","Abrir facsímil")</f>
        <v>Abrir facsímil</v>
      </c>
      <c r="K5751" s="3" t="s">
        <v>23</v>
      </c>
    </row>
    <row r="5752" spans="1:11" ht="42" customHeight="1">
      <c r="A5752" s="2" t="s">
        <v>11432</v>
      </c>
      <c r="B5752" s="2" t="s">
        <v>11432</v>
      </c>
      <c r="C5752" s="2" t="s">
        <v>35</v>
      </c>
      <c r="D5752" s="2" t="s">
        <v>27</v>
      </c>
      <c r="E5752" s="5">
        <v>-28806</v>
      </c>
      <c r="F5752" s="3" t="s">
        <v>1201</v>
      </c>
      <c r="G5752" s="3" t="s">
        <v>88</v>
      </c>
      <c r="H5752" s="2" t="s">
        <v>21</v>
      </c>
      <c r="I5752" s="2" t="s">
        <v>11433</v>
      </c>
      <c r="J5752" s="3" t="str">
        <f>HYPERLINK("https://www.boe.es/gazeta/dias/1821/02/16/pdfs/GGB-1821-47.pdf#page=4","Abrir facsímil")</f>
        <v>Abrir facsímil</v>
      </c>
      <c r="K5752" s="3" t="s">
        <v>23</v>
      </c>
    </row>
    <row r="5753" spans="1:11" ht="42" customHeight="1">
      <c r="A5753" s="2" t="s">
        <v>11432</v>
      </c>
      <c r="B5753" s="2" t="s">
        <v>11432</v>
      </c>
      <c r="C5753" s="2" t="s">
        <v>35</v>
      </c>
      <c r="D5753" s="2" t="s">
        <v>27</v>
      </c>
      <c r="E5753" s="5">
        <v>-28751</v>
      </c>
      <c r="F5753" s="3" t="s">
        <v>356</v>
      </c>
      <c r="G5753" s="3" t="s">
        <v>20</v>
      </c>
      <c r="H5753" s="2" t="s">
        <v>21</v>
      </c>
      <c r="I5753" s="2" t="s">
        <v>11434</v>
      </c>
      <c r="J5753" s="3" t="str">
        <f>HYPERLINK("https://www.boe.es/gazeta/dias/1821/04/12/pdfs/GMD-1821-104.pdf#page=3","Abrir facsímil")</f>
        <v>Abrir facsímil</v>
      </c>
      <c r="K5753" s="3" t="s">
        <v>23</v>
      </c>
    </row>
    <row r="5754" spans="1:11" ht="42" customHeight="1">
      <c r="A5754" s="2" t="s">
        <v>11432</v>
      </c>
      <c r="B5754" s="2" t="s">
        <v>11432</v>
      </c>
      <c r="C5754" s="2" t="s">
        <v>35</v>
      </c>
      <c r="D5754" s="2" t="s">
        <v>27</v>
      </c>
      <c r="E5754" s="5">
        <v>-28515</v>
      </c>
      <c r="F5754" s="3" t="s">
        <v>260</v>
      </c>
      <c r="G5754" s="3" t="s">
        <v>3841</v>
      </c>
      <c r="H5754" s="2" t="s">
        <v>21</v>
      </c>
      <c r="I5754" s="2" t="s">
        <v>11435</v>
      </c>
      <c r="J5754" s="3" t="str">
        <f>HYPERLINK("https://www.boe.es/gazeta/dias/1821/12/04/pdfs/GMD-1821-346.pdf#page=6","Abrir facsímil")</f>
        <v>Abrir facsímil</v>
      </c>
      <c r="K5754" s="3" t="s">
        <v>23</v>
      </c>
    </row>
    <row r="5755" spans="1:11" ht="42" customHeight="1">
      <c r="A5755" s="2" t="s">
        <v>11436</v>
      </c>
      <c r="B5755" s="2" t="s">
        <v>11436</v>
      </c>
      <c r="C5755" s="2" t="s">
        <v>26</v>
      </c>
      <c r="D5755" s="2" t="s">
        <v>27</v>
      </c>
      <c r="E5755" s="5">
        <v>-28540</v>
      </c>
      <c r="F5755" s="3" t="s">
        <v>2672</v>
      </c>
      <c r="G5755" s="3" t="s">
        <v>43</v>
      </c>
      <c r="H5755" s="2" t="s">
        <v>21</v>
      </c>
      <c r="I5755" s="2" t="s">
        <v>11437</v>
      </c>
      <c r="J5755" s="3" t="str">
        <f>HYPERLINK("https://www.boe.es/gazeta/dias/1821/11/09/pdfs/GMD-1821-320.pdf#page=1","Abrir facsímil")</f>
        <v>Abrir facsímil</v>
      </c>
      <c r="K5755" s="3" t="s">
        <v>23</v>
      </c>
    </row>
    <row r="5756" spans="1:11" ht="42" customHeight="1">
      <c r="A5756" s="2" t="s">
        <v>11438</v>
      </c>
      <c r="B5756" s="2" t="s">
        <v>11439</v>
      </c>
      <c r="C5756" s="2" t="s">
        <v>40</v>
      </c>
      <c r="D5756" s="2" t="s">
        <v>41</v>
      </c>
      <c r="E5756" s="5">
        <v>-28543</v>
      </c>
      <c r="F5756" s="3" t="s">
        <v>136</v>
      </c>
      <c r="G5756" s="3" t="s">
        <v>333</v>
      </c>
      <c r="H5756" s="2" t="s">
        <v>21</v>
      </c>
      <c r="I5756" s="2" t="s">
        <v>11440</v>
      </c>
      <c r="J5756" s="3" t="str">
        <f>HYPERLINK("https://www.boe.es/gazeta/dias/1821/11/06/pdfs/GMD-1821-317.pdf#page=8","Abrir facsímil")</f>
        <v>Abrir facsímil</v>
      </c>
      <c r="K5756" s="3" t="s">
        <v>23</v>
      </c>
    </row>
    <row r="5757" spans="1:11" ht="42" customHeight="1">
      <c r="A5757" s="2" t="s">
        <v>11441</v>
      </c>
      <c r="B5757" s="2" t="s">
        <v>11442</v>
      </c>
      <c r="C5757" s="2" t="s">
        <v>17</v>
      </c>
      <c r="D5757" s="2" t="s">
        <v>18</v>
      </c>
      <c r="E5757" s="5">
        <v>-28641</v>
      </c>
      <c r="F5757" s="3" t="s">
        <v>398</v>
      </c>
      <c r="G5757" s="3" t="s">
        <v>88</v>
      </c>
      <c r="H5757" s="2" t="s">
        <v>21</v>
      </c>
      <c r="I5757" s="2" t="s">
        <v>11443</v>
      </c>
      <c r="J5757" s="3" t="str">
        <f>HYPERLINK("https://www.boe.es/gazeta/dias/1821/07/31/pdfs/GMD-1821-216.pdf#page=4","Abrir facsímil")</f>
        <v>Abrir facsímil</v>
      </c>
      <c r="K5757" s="3" t="s">
        <v>23</v>
      </c>
    </row>
    <row r="5758" spans="1:11" ht="42" customHeight="1">
      <c r="A5758" s="2" t="s">
        <v>11444</v>
      </c>
      <c r="B5758" s="2" t="s">
        <v>11445</v>
      </c>
      <c r="C5758" s="2" t="s">
        <v>40</v>
      </c>
      <c r="D5758" s="2" t="s">
        <v>41</v>
      </c>
      <c r="E5758" s="5">
        <v>-28736</v>
      </c>
      <c r="F5758" s="3" t="s">
        <v>464</v>
      </c>
      <c r="G5758" s="3" t="s">
        <v>52</v>
      </c>
      <c r="H5758" s="2" t="s">
        <v>21</v>
      </c>
      <c r="I5758" s="2" t="s">
        <v>11446</v>
      </c>
      <c r="J5758" s="3" t="str">
        <f>HYPERLINK("https://www.boe.es/gazeta/dias/1821/04/27/pdfs/GMD-1821-119.pdf#page=2","Abrir facsímil")</f>
        <v>Abrir facsímil</v>
      </c>
      <c r="K5758" s="3" t="s">
        <v>23</v>
      </c>
    </row>
    <row r="5759" spans="1:11" ht="42" customHeight="1">
      <c r="A5759" s="2" t="s">
        <v>11447</v>
      </c>
      <c r="B5759" s="2" t="s">
        <v>11447</v>
      </c>
      <c r="C5759" s="2" t="s">
        <v>35</v>
      </c>
      <c r="D5759" s="2" t="s">
        <v>27</v>
      </c>
      <c r="E5759" s="5">
        <v>-28850</v>
      </c>
      <c r="F5759" s="3" t="s">
        <v>664</v>
      </c>
      <c r="G5759" s="3" t="s">
        <v>88</v>
      </c>
      <c r="H5759" s="2" t="s">
        <v>21</v>
      </c>
      <c r="I5759" s="2" t="s">
        <v>11448</v>
      </c>
      <c r="J5759" s="3" t="str">
        <f>HYPERLINK("https://www.boe.es/gazeta/dias/1821/01/03/pdfs/GGB-1821-3.pdf#page=4","Abrir facsímil")</f>
        <v>Abrir facsímil</v>
      </c>
      <c r="K5759" s="3" t="s">
        <v>23</v>
      </c>
    </row>
    <row r="5760" spans="1:11" ht="42" customHeight="1">
      <c r="A5760" s="2" t="s">
        <v>11449</v>
      </c>
      <c r="B5760" s="2" t="s">
        <v>11449</v>
      </c>
      <c r="C5760" s="2" t="s">
        <v>26</v>
      </c>
      <c r="D5760" s="2" t="s">
        <v>27</v>
      </c>
      <c r="E5760" s="5">
        <v>-28499</v>
      </c>
      <c r="F5760" s="3" t="s">
        <v>954</v>
      </c>
      <c r="G5760" s="3" t="s">
        <v>88</v>
      </c>
      <c r="H5760" s="2" t="s">
        <v>21</v>
      </c>
      <c r="I5760" s="2" t="s">
        <v>11450</v>
      </c>
      <c r="J5760" s="3" t="str">
        <f>HYPERLINK("https://www.boe.es/gazeta/dias/1821/12/20/pdfs/GMD-1821-363.pdf#page=4","Abrir facsímil")</f>
        <v>Abrir facsímil</v>
      </c>
      <c r="K5760" s="3" t="s">
        <v>23</v>
      </c>
    </row>
    <row r="5761" spans="1:11" ht="42" customHeight="1">
      <c r="A5761" s="2" t="s">
        <v>11451</v>
      </c>
      <c r="B5761" s="2" t="s">
        <v>11451</v>
      </c>
      <c r="C5761" s="2" t="s">
        <v>40</v>
      </c>
      <c r="D5761" s="2" t="s">
        <v>41</v>
      </c>
      <c r="E5761" s="5">
        <v>-28760</v>
      </c>
      <c r="F5761" s="3" t="s">
        <v>170</v>
      </c>
      <c r="G5761" s="3" t="s">
        <v>88</v>
      </c>
      <c r="H5761" s="2" t="s">
        <v>21</v>
      </c>
      <c r="I5761" s="2" t="s">
        <v>11452</v>
      </c>
      <c r="J5761" s="3" t="str">
        <f>HYPERLINK("https://www.boe.es/gazeta/dias/1821/04/03/pdfs/GMD-1821-95.pdf#page=4","Abrir facsímil")</f>
        <v>Abrir facsímil</v>
      </c>
      <c r="K5761" s="3" t="s">
        <v>23</v>
      </c>
    </row>
    <row r="5762" spans="1:11" ht="42" customHeight="1">
      <c r="A5762" s="2" t="s">
        <v>11453</v>
      </c>
      <c r="B5762" s="2" t="s">
        <v>11453</v>
      </c>
      <c r="C5762" s="2" t="s">
        <v>17</v>
      </c>
      <c r="D5762" s="2" t="s">
        <v>18</v>
      </c>
      <c r="E5762" s="5">
        <v>-28579</v>
      </c>
      <c r="F5762" s="3" t="s">
        <v>743</v>
      </c>
      <c r="G5762" s="3" t="s">
        <v>88</v>
      </c>
      <c r="H5762" s="2" t="s">
        <v>21</v>
      </c>
      <c r="I5762" s="2" t="s">
        <v>11454</v>
      </c>
      <c r="J5762" s="3" t="str">
        <f>HYPERLINK("https://www.boe.es/gazeta/dias/1821/10/01/pdfs/GMD-1821-280.pdf#page=4","Abrir facsímil")</f>
        <v>Abrir facsímil</v>
      </c>
      <c r="K5762" s="3" t="s">
        <v>23</v>
      </c>
    </row>
    <row r="5763" spans="1:11" ht="42" customHeight="1">
      <c r="A5763" s="2" t="s">
        <v>11455</v>
      </c>
      <c r="B5763" s="2" t="s">
        <v>11456</v>
      </c>
      <c r="C5763" s="2" t="s">
        <v>40</v>
      </c>
      <c r="D5763" s="2" t="s">
        <v>405</v>
      </c>
      <c r="E5763" s="5">
        <v>-28546</v>
      </c>
      <c r="F5763" s="3" t="s">
        <v>6425</v>
      </c>
      <c r="G5763" s="3" t="s">
        <v>43</v>
      </c>
      <c r="H5763" s="2" t="s">
        <v>21</v>
      </c>
      <c r="I5763" s="2" t="s">
        <v>11457</v>
      </c>
      <c r="J5763" s="3" t="str">
        <f>HYPERLINK("https://www.boe.es/gazeta/dias/1821/11/03/pdfs/GMD-1821-314E.pdf#page=1","Abrir facsímil")</f>
        <v>Abrir facsímil</v>
      </c>
      <c r="K5763" s="3" t="s">
        <v>23</v>
      </c>
    </row>
    <row r="5764" spans="1:11" ht="42" customHeight="1">
      <c r="A5764" s="2" t="s">
        <v>11458</v>
      </c>
      <c r="B5764" s="2" t="s">
        <v>11459</v>
      </c>
      <c r="C5764" s="2" t="s">
        <v>17</v>
      </c>
      <c r="D5764" s="2" t="s">
        <v>18</v>
      </c>
      <c r="E5764" s="5">
        <v>-28492</v>
      </c>
      <c r="F5764" s="3" t="s">
        <v>1550</v>
      </c>
      <c r="G5764" s="3" t="s">
        <v>88</v>
      </c>
      <c r="H5764" s="2" t="s">
        <v>21</v>
      </c>
      <c r="I5764" s="2" t="s">
        <v>11460</v>
      </c>
      <c r="J5764" s="3" t="str">
        <f>HYPERLINK("https://www.boe.es/gazeta/dias/1821/12/27/pdfs/GMD-1821-370.pdf#page=4","Abrir facsímil")</f>
        <v>Abrir facsímil</v>
      </c>
      <c r="K5764" s="3" t="s">
        <v>23</v>
      </c>
    </row>
    <row r="5765" spans="1:11" ht="42" customHeight="1">
      <c r="A5765" s="2" t="s">
        <v>11461</v>
      </c>
      <c r="B5765" s="2" t="s">
        <v>11462</v>
      </c>
      <c r="C5765" s="2" t="s">
        <v>40</v>
      </c>
      <c r="D5765" s="2" t="s">
        <v>41</v>
      </c>
      <c r="E5765" s="5">
        <v>-28679</v>
      </c>
      <c r="F5765" s="3" t="s">
        <v>213</v>
      </c>
      <c r="G5765" s="3" t="s">
        <v>162</v>
      </c>
      <c r="H5765" s="2" t="s">
        <v>21</v>
      </c>
      <c r="I5765" s="2" t="s">
        <v>11463</v>
      </c>
      <c r="J5765" s="3" t="str">
        <f>HYPERLINK("https://www.boe.es/gazeta/dias/1821/06/23/pdfs/GMD-1821-176.pdf#page=5","Abrir facsímil")</f>
        <v>Abrir facsímil</v>
      </c>
      <c r="K5765" s="3" t="s">
        <v>23</v>
      </c>
    </row>
    <row r="5766" spans="1:11" ht="42" customHeight="1">
      <c r="A5766" s="2" t="s">
        <v>11464</v>
      </c>
      <c r="B5766" s="2" t="s">
        <v>11465</v>
      </c>
      <c r="C5766" s="2" t="s">
        <v>26</v>
      </c>
      <c r="D5766" s="2" t="s">
        <v>27</v>
      </c>
      <c r="E5766" s="5">
        <v>-28565</v>
      </c>
      <c r="F5766" s="3" t="s">
        <v>326</v>
      </c>
      <c r="G5766" s="3" t="s">
        <v>162</v>
      </c>
      <c r="H5766" s="2" t="s">
        <v>21</v>
      </c>
      <c r="I5766" s="2" t="s">
        <v>11466</v>
      </c>
      <c r="J5766" s="3" t="str">
        <f>HYPERLINK("https://www.boe.es/gazeta/dias/1821/10/15/pdfs/GMD-1821-294.pdf#page=5","Abrir facsímil")</f>
        <v>Abrir facsímil</v>
      </c>
      <c r="K5766" s="3" t="s">
        <v>23</v>
      </c>
    </row>
    <row r="5767" spans="1:11" ht="42" customHeight="1">
      <c r="A5767" s="2" t="s">
        <v>11467</v>
      </c>
      <c r="B5767" s="2" t="s">
        <v>11468</v>
      </c>
      <c r="C5767" s="2" t="s">
        <v>40</v>
      </c>
      <c r="D5767" s="2" t="s">
        <v>41</v>
      </c>
      <c r="E5767" s="5">
        <v>-28734</v>
      </c>
      <c r="F5767" s="3" t="s">
        <v>1553</v>
      </c>
      <c r="G5767" s="3" t="s">
        <v>2625</v>
      </c>
      <c r="H5767" s="2" t="s">
        <v>21</v>
      </c>
      <c r="I5767" s="2" t="s">
        <v>11469</v>
      </c>
      <c r="J5767" s="3" t="str">
        <f>HYPERLINK("https://www.boe.es/gazeta/dias/1821/04/29/pdfs/GMD-1821-121.pdf#page=2","Abrir facsímil")</f>
        <v>Abrir facsímil</v>
      </c>
      <c r="K5767" s="3" t="s">
        <v>23</v>
      </c>
    </row>
    <row r="5768" spans="1:11" ht="42" customHeight="1">
      <c r="A5768" s="2" t="s">
        <v>11470</v>
      </c>
      <c r="B5768" s="2" t="s">
        <v>11470</v>
      </c>
      <c r="C5768" s="2" t="s">
        <v>17</v>
      </c>
      <c r="D5768" s="2" t="s">
        <v>18</v>
      </c>
      <c r="E5768" s="5">
        <v>-28752</v>
      </c>
      <c r="F5768" s="3" t="s">
        <v>1012</v>
      </c>
      <c r="G5768" s="3" t="s">
        <v>1013</v>
      </c>
      <c r="H5768" s="2" t="s">
        <v>21</v>
      </c>
      <c r="I5768" s="2" t="s">
        <v>11471</v>
      </c>
      <c r="J5768" s="3" t="str">
        <f>HYPERLINK("https://www.boe.es/gazeta/dias/1821/04/11/pdfs/GMD-1821-103.pdf#page=3","Abrir facsímil")</f>
        <v>Abrir facsímil</v>
      </c>
      <c r="K5768" s="3" t="s">
        <v>23</v>
      </c>
    </row>
    <row r="5769" spans="1:11" ht="42" customHeight="1">
      <c r="A5769" s="2" t="s">
        <v>11470</v>
      </c>
      <c r="B5769" s="2" t="s">
        <v>11470</v>
      </c>
      <c r="C5769" s="2" t="s">
        <v>17</v>
      </c>
      <c r="D5769" s="2" t="s">
        <v>18</v>
      </c>
      <c r="E5769" s="5">
        <v>-28751</v>
      </c>
      <c r="F5769" s="3" t="s">
        <v>356</v>
      </c>
      <c r="G5769" s="3" t="s">
        <v>20</v>
      </c>
      <c r="H5769" s="2" t="s">
        <v>21</v>
      </c>
      <c r="I5769" s="2" t="s">
        <v>11472</v>
      </c>
      <c r="J5769" s="3" t="str">
        <f>HYPERLINK("https://www.boe.es/gazeta/dias/1821/04/12/pdfs/GMD-1821-104.pdf#page=3","Abrir facsímil")</f>
        <v>Abrir facsímil</v>
      </c>
      <c r="K5769" s="3" t="s">
        <v>23</v>
      </c>
    </row>
    <row r="5770" spans="1:11" ht="42" customHeight="1">
      <c r="A5770" s="2" t="s">
        <v>11470</v>
      </c>
      <c r="B5770" s="2" t="s">
        <v>11470</v>
      </c>
      <c r="C5770" s="2" t="s">
        <v>40</v>
      </c>
      <c r="D5770" s="2" t="s">
        <v>41</v>
      </c>
      <c r="E5770" s="5">
        <v>-28747</v>
      </c>
      <c r="F5770" s="3" t="s">
        <v>1016</v>
      </c>
      <c r="G5770" s="3" t="s">
        <v>52</v>
      </c>
      <c r="H5770" s="2" t="s">
        <v>21</v>
      </c>
      <c r="I5770" s="2" t="s">
        <v>11473</v>
      </c>
      <c r="J5770" s="3" t="str">
        <f>HYPERLINK("https://www.boe.es/gazeta/dias/1821/04/16/pdfs/GMD-1821-108.pdf#page=2","Abrir facsímil")</f>
        <v>Abrir facsímil</v>
      </c>
      <c r="K5770" s="3" t="s">
        <v>23</v>
      </c>
    </row>
    <row r="5771" spans="1:11" ht="42" customHeight="1">
      <c r="A5771" s="2" t="s">
        <v>11470</v>
      </c>
      <c r="B5771" s="2" t="s">
        <v>11470</v>
      </c>
      <c r="C5771" s="2" t="s">
        <v>26</v>
      </c>
      <c r="D5771" s="2" t="s">
        <v>27</v>
      </c>
      <c r="E5771" s="5">
        <v>-28746</v>
      </c>
      <c r="F5771" s="3" t="s">
        <v>687</v>
      </c>
      <c r="G5771" s="3" t="s">
        <v>162</v>
      </c>
      <c r="H5771" s="2" t="s">
        <v>21</v>
      </c>
      <c r="I5771" s="2" t="s">
        <v>11474</v>
      </c>
      <c r="J5771" s="3" t="str">
        <f>HYPERLINK("https://www.boe.es/gazeta/dias/1821/04/17/pdfs/GMD-1821-109.pdf#page=5","Abrir facsímil")</f>
        <v>Abrir facsímil</v>
      </c>
      <c r="K5771" s="3" t="s">
        <v>23</v>
      </c>
    </row>
    <row r="5772" spans="1:11" ht="42" customHeight="1">
      <c r="A5772" s="2" t="s">
        <v>11470</v>
      </c>
      <c r="B5772" s="2" t="s">
        <v>11470</v>
      </c>
      <c r="C5772" s="2" t="s">
        <v>40</v>
      </c>
      <c r="D5772" s="2" t="s">
        <v>41</v>
      </c>
      <c r="E5772" s="5">
        <v>-28728</v>
      </c>
      <c r="F5772" s="3" t="s">
        <v>1038</v>
      </c>
      <c r="G5772" s="3" t="s">
        <v>20</v>
      </c>
      <c r="H5772" s="2" t="s">
        <v>21</v>
      </c>
      <c r="I5772" s="2" t="s">
        <v>11475</v>
      </c>
      <c r="J5772" s="3" t="str">
        <f>HYPERLINK("https://www.boe.es/gazeta/dias/1821/05/05/pdfs/GMD-1821-127.pdf#page=3","Abrir facsímil")</f>
        <v>Abrir facsímil</v>
      </c>
      <c r="K5772" s="3" t="s">
        <v>23</v>
      </c>
    </row>
    <row r="5773" spans="1:11" ht="42" customHeight="1">
      <c r="A5773" s="2" t="s">
        <v>11470</v>
      </c>
      <c r="B5773" s="2" t="s">
        <v>11470</v>
      </c>
      <c r="C5773" s="2" t="s">
        <v>40</v>
      </c>
      <c r="D5773" s="2" t="s">
        <v>41</v>
      </c>
      <c r="E5773" s="5">
        <v>-28709</v>
      </c>
      <c r="F5773" s="3" t="s">
        <v>1434</v>
      </c>
      <c r="G5773" s="3" t="s">
        <v>1435</v>
      </c>
      <c r="H5773" s="2" t="s">
        <v>21</v>
      </c>
      <c r="I5773" s="2" t="s">
        <v>11476</v>
      </c>
      <c r="J5773" s="3" t="str">
        <f>HYPERLINK("https://www.boe.es/gazeta/dias/1821/05/24/pdfs/GMD-1821-146.pdf#page=2","Abrir facsímil")</f>
        <v>Abrir facsímil</v>
      </c>
      <c r="K5773" s="3" t="s">
        <v>23</v>
      </c>
    </row>
    <row r="5774" spans="1:11" ht="42" customHeight="1">
      <c r="A5774" s="2" t="s">
        <v>11470</v>
      </c>
      <c r="B5774" s="2" t="s">
        <v>11470</v>
      </c>
      <c r="C5774" s="2" t="s">
        <v>40</v>
      </c>
      <c r="D5774" s="2" t="s">
        <v>41</v>
      </c>
      <c r="E5774" s="5">
        <v>-28706</v>
      </c>
      <c r="F5774" s="3" t="s">
        <v>4791</v>
      </c>
      <c r="G5774" s="3" t="s">
        <v>52</v>
      </c>
      <c r="H5774" s="2" t="s">
        <v>21</v>
      </c>
      <c r="I5774" s="2" t="s">
        <v>11477</v>
      </c>
      <c r="J5774" s="3" t="str">
        <f>HYPERLINK("https://www.boe.es/gazeta/dias/1821/05/27/pdfs/GMD-1821-149.pdf#page=2","Abrir facsímil")</f>
        <v>Abrir facsímil</v>
      </c>
      <c r="K5774" s="3" t="s">
        <v>23</v>
      </c>
    </row>
    <row r="5775" spans="1:11" ht="42" customHeight="1">
      <c r="A5775" s="2" t="s">
        <v>11470</v>
      </c>
      <c r="B5775" s="2" t="s">
        <v>11470</v>
      </c>
      <c r="C5775" s="2" t="s">
        <v>17</v>
      </c>
      <c r="D5775" s="2" t="s">
        <v>18</v>
      </c>
      <c r="E5775" s="5">
        <v>-28520</v>
      </c>
      <c r="F5775" s="3" t="s">
        <v>878</v>
      </c>
      <c r="G5775" s="3" t="s">
        <v>20</v>
      </c>
      <c r="H5775" s="2" t="s">
        <v>21</v>
      </c>
      <c r="I5775" s="2" t="s">
        <v>11478</v>
      </c>
      <c r="J5775" s="3" t="str">
        <f>HYPERLINK("https://www.boe.es/gazeta/dias/1821/11/29/pdfs/GMD-1821-341.pdf#page=3","Abrir facsímil")</f>
        <v>Abrir facsímil</v>
      </c>
      <c r="K5775" s="3" t="s">
        <v>23</v>
      </c>
    </row>
    <row r="5776" spans="1:11" ht="42" customHeight="1">
      <c r="A5776" s="2" t="s">
        <v>11470</v>
      </c>
      <c r="B5776" s="2" t="s">
        <v>11470</v>
      </c>
      <c r="C5776" s="2" t="s">
        <v>26</v>
      </c>
      <c r="D5776" s="2" t="s">
        <v>27</v>
      </c>
      <c r="E5776" s="5">
        <v>-28519</v>
      </c>
      <c r="F5776" s="3" t="s">
        <v>880</v>
      </c>
      <c r="G5776" s="3" t="s">
        <v>3835</v>
      </c>
      <c r="H5776" s="2" t="s">
        <v>21</v>
      </c>
      <c r="I5776" s="2" t="s">
        <v>11479</v>
      </c>
      <c r="J5776" s="3" t="str">
        <f>HYPERLINK("https://www.boe.es/gazeta/dias/1821/11/30/pdfs/GMD-1821-342.pdf#page=3","Abrir facsímil")</f>
        <v>Abrir facsímil</v>
      </c>
      <c r="K5776" s="3" t="s">
        <v>23</v>
      </c>
    </row>
    <row r="5777" spans="1:11" ht="42" customHeight="1">
      <c r="A5777" s="2" t="s">
        <v>11470</v>
      </c>
      <c r="B5777" s="2" t="s">
        <v>11470</v>
      </c>
      <c r="C5777" s="2" t="s">
        <v>174</v>
      </c>
      <c r="D5777" s="2" t="s">
        <v>27</v>
      </c>
      <c r="E5777" s="5">
        <v>-28516</v>
      </c>
      <c r="F5777" s="3" t="s">
        <v>514</v>
      </c>
      <c r="G5777" s="3" t="s">
        <v>162</v>
      </c>
      <c r="H5777" s="2" t="s">
        <v>21</v>
      </c>
      <c r="I5777" s="2" t="s">
        <v>11480</v>
      </c>
      <c r="J5777" s="3" t="str">
        <f>HYPERLINK("https://www.boe.es/gazeta/dias/1821/12/03/pdfs/GMD-1821-345.pdf#page=5","Abrir facsímil")</f>
        <v>Abrir facsímil</v>
      </c>
      <c r="K5777" s="3" t="s">
        <v>23</v>
      </c>
    </row>
    <row r="5778" spans="1:11" ht="42" customHeight="1">
      <c r="A5778" s="2" t="s">
        <v>11470</v>
      </c>
      <c r="B5778" s="2" t="s">
        <v>11470</v>
      </c>
      <c r="C5778" s="2" t="s">
        <v>26</v>
      </c>
      <c r="D5778" s="2" t="s">
        <v>27</v>
      </c>
      <c r="E5778" s="5">
        <v>-28515</v>
      </c>
      <c r="F5778" s="3" t="s">
        <v>260</v>
      </c>
      <c r="G5778" s="3" t="s">
        <v>3841</v>
      </c>
      <c r="H5778" s="2" t="s">
        <v>21</v>
      </c>
      <c r="I5778" s="2" t="s">
        <v>11481</v>
      </c>
      <c r="J5778" s="3" t="str">
        <f>HYPERLINK("https://www.boe.es/gazeta/dias/1821/12/04/pdfs/GMD-1821-346.pdf#page=6","Abrir facsímil")</f>
        <v>Abrir facsímil</v>
      </c>
      <c r="K5778" s="3" t="s">
        <v>23</v>
      </c>
    </row>
    <row r="5779" spans="1:11" ht="42" customHeight="1">
      <c r="A5779" s="2" t="s">
        <v>11470</v>
      </c>
      <c r="B5779" s="2" t="s">
        <v>11470</v>
      </c>
      <c r="C5779" s="2" t="s">
        <v>26</v>
      </c>
      <c r="D5779" s="2" t="s">
        <v>27</v>
      </c>
      <c r="E5779" s="5">
        <v>-28515</v>
      </c>
      <c r="F5779" s="3" t="s">
        <v>260</v>
      </c>
      <c r="G5779" s="3" t="s">
        <v>88</v>
      </c>
      <c r="H5779" s="2" t="s">
        <v>21</v>
      </c>
      <c r="I5779" s="2" t="s">
        <v>11482</v>
      </c>
      <c r="J5779" s="3" t="str">
        <f>HYPERLINK("https://www.boe.es/gazeta/dias/1821/12/04/pdfs/GMD-1821-346.pdf#page=4","Abrir facsímil")</f>
        <v>Abrir facsímil</v>
      </c>
      <c r="K5779" s="3" t="s">
        <v>23</v>
      </c>
    </row>
    <row r="5780" spans="1:11" ht="42" customHeight="1">
      <c r="A5780" s="2" t="s">
        <v>11470</v>
      </c>
      <c r="B5780" s="2" t="s">
        <v>11470</v>
      </c>
      <c r="C5780" s="2" t="s">
        <v>174</v>
      </c>
      <c r="D5780" s="2" t="s">
        <v>27</v>
      </c>
      <c r="E5780" s="5">
        <v>-28515</v>
      </c>
      <c r="F5780" s="3" t="s">
        <v>260</v>
      </c>
      <c r="G5780" s="3" t="s">
        <v>162</v>
      </c>
      <c r="H5780" s="2" t="s">
        <v>21</v>
      </c>
      <c r="I5780" s="2" t="s">
        <v>11483</v>
      </c>
      <c r="J5780" s="3" t="str">
        <f>HYPERLINK("https://www.boe.es/gazeta/dias/1821/12/04/pdfs/GMD-1821-346.pdf#page=5","Abrir facsímil")</f>
        <v>Abrir facsímil</v>
      </c>
      <c r="K5780" s="3" t="s">
        <v>23</v>
      </c>
    </row>
    <row r="5781" spans="1:11" ht="42" customHeight="1">
      <c r="A5781" s="2" t="s">
        <v>11470</v>
      </c>
      <c r="B5781" s="2" t="s">
        <v>11470</v>
      </c>
      <c r="C5781" s="2" t="s">
        <v>17</v>
      </c>
      <c r="D5781" s="2" t="s">
        <v>18</v>
      </c>
      <c r="E5781" s="5">
        <v>-28513</v>
      </c>
      <c r="F5781" s="3" t="s">
        <v>502</v>
      </c>
      <c r="G5781" s="3" t="s">
        <v>20</v>
      </c>
      <c r="H5781" s="2" t="s">
        <v>21</v>
      </c>
      <c r="I5781" s="2" t="s">
        <v>11484</v>
      </c>
      <c r="J5781" s="3" t="str">
        <f>HYPERLINK("https://www.boe.es/gazeta/dias/1821/12/06/pdfs/GMD-1821-348.pdf#page=3","Abrir facsímil")</f>
        <v>Abrir facsímil</v>
      </c>
      <c r="K5781" s="3" t="s">
        <v>23</v>
      </c>
    </row>
    <row r="5782" spans="1:11" ht="42" customHeight="1">
      <c r="A5782" s="2" t="s">
        <v>11470</v>
      </c>
      <c r="B5782" s="2" t="s">
        <v>11470</v>
      </c>
      <c r="C5782" s="2" t="s">
        <v>174</v>
      </c>
      <c r="D5782" s="2" t="s">
        <v>27</v>
      </c>
      <c r="E5782" s="5">
        <v>-28508</v>
      </c>
      <c r="F5782" s="3" t="s">
        <v>42</v>
      </c>
      <c r="G5782" s="3" t="s">
        <v>52</v>
      </c>
      <c r="H5782" s="2" t="s">
        <v>21</v>
      </c>
      <c r="I5782" s="2" t="s">
        <v>11485</v>
      </c>
      <c r="J5782" s="3" t="str">
        <f>HYPERLINK("https://www.boe.es/gazeta/dias/1821/12/11/pdfs/GMD-1821-353.pdf#page=2","Abrir facsímil")</f>
        <v>Abrir facsímil</v>
      </c>
      <c r="K5782" s="3" t="s">
        <v>23</v>
      </c>
    </row>
    <row r="5783" spans="1:11" ht="42" customHeight="1">
      <c r="A5783" s="2" t="s">
        <v>11470</v>
      </c>
      <c r="B5783" s="2" t="s">
        <v>11470</v>
      </c>
      <c r="C5783" s="2" t="s">
        <v>70</v>
      </c>
      <c r="D5783" s="2" t="s">
        <v>27</v>
      </c>
      <c r="E5783" s="5">
        <v>-28492</v>
      </c>
      <c r="F5783" s="3" t="s">
        <v>1550</v>
      </c>
      <c r="G5783" s="3" t="s">
        <v>20</v>
      </c>
      <c r="H5783" s="2" t="s">
        <v>21</v>
      </c>
      <c r="I5783" s="2" t="s">
        <v>11486</v>
      </c>
      <c r="J5783" s="3" t="str">
        <f>HYPERLINK("https://www.boe.es/gazeta/dias/1821/12/27/pdfs/GMD-1821-370.pdf#page=3","Abrir facsímil")</f>
        <v>Abrir facsímil</v>
      </c>
      <c r="K5783" s="3" t="s">
        <v>23</v>
      </c>
    </row>
    <row r="5784" spans="1:11" ht="42" customHeight="1">
      <c r="A5784" s="2" t="s">
        <v>11470</v>
      </c>
      <c r="B5784" s="2" t="s">
        <v>11470</v>
      </c>
      <c r="C5784" s="2" t="s">
        <v>17</v>
      </c>
      <c r="D5784" s="2" t="s">
        <v>18</v>
      </c>
      <c r="E5784" s="5">
        <v>-28492</v>
      </c>
      <c r="F5784" s="3" t="s">
        <v>1550</v>
      </c>
      <c r="G5784" s="3" t="s">
        <v>88</v>
      </c>
      <c r="H5784" s="2" t="s">
        <v>21</v>
      </c>
      <c r="I5784" s="2" t="s">
        <v>11487</v>
      </c>
      <c r="J5784" s="3" t="str">
        <f>HYPERLINK("https://www.boe.es/gazeta/dias/1821/12/27/pdfs/GMD-1821-370.pdf#page=4","Abrir facsímil")</f>
        <v>Abrir facsímil</v>
      </c>
      <c r="K5784" s="3" t="s">
        <v>23</v>
      </c>
    </row>
    <row r="5785" spans="1:11" ht="42" customHeight="1">
      <c r="A5785" s="2" t="s">
        <v>11488</v>
      </c>
      <c r="B5785" s="2" t="s">
        <v>11489</v>
      </c>
      <c r="C5785" s="2" t="s">
        <v>40</v>
      </c>
      <c r="D5785" s="2" t="s">
        <v>41</v>
      </c>
      <c r="E5785" s="5">
        <v>-28818</v>
      </c>
      <c r="F5785" s="3" t="s">
        <v>2337</v>
      </c>
      <c r="G5785" s="3" t="s">
        <v>88</v>
      </c>
      <c r="H5785" s="2" t="s">
        <v>21</v>
      </c>
      <c r="I5785" s="2" t="s">
        <v>11490</v>
      </c>
      <c r="J5785" s="3" t="str">
        <f>HYPERLINK("https://www.boe.es/gazeta/dias/1821/02/04/pdfs/GGB-1821-35.pdf#page=4","Abrir facsímil")</f>
        <v>Abrir facsímil</v>
      </c>
      <c r="K5785" s="3" t="s">
        <v>23</v>
      </c>
    </row>
    <row r="5786" spans="1:11" ht="42" customHeight="1">
      <c r="A5786" s="2" t="s">
        <v>11488</v>
      </c>
      <c r="B5786" s="2" t="s">
        <v>11489</v>
      </c>
      <c r="C5786" s="2" t="s">
        <v>40</v>
      </c>
      <c r="D5786" s="2" t="s">
        <v>41</v>
      </c>
      <c r="E5786" s="5">
        <v>-28817</v>
      </c>
      <c r="F5786" s="3" t="s">
        <v>2703</v>
      </c>
      <c r="G5786" s="3" t="s">
        <v>20</v>
      </c>
      <c r="H5786" s="2" t="s">
        <v>21</v>
      </c>
      <c r="I5786" s="2" t="s">
        <v>11491</v>
      </c>
      <c r="J5786" s="3" t="str">
        <f>HYPERLINK("https://www.boe.es/gazeta/dias/1821/02/05/pdfs/GGB-1821-36.pdf#page=3","Abrir facsímil")</f>
        <v>Abrir facsímil</v>
      </c>
      <c r="K5786" s="3" t="s">
        <v>23</v>
      </c>
    </row>
    <row r="5787" spans="1:11" ht="42" customHeight="1">
      <c r="A5787" s="2" t="s">
        <v>11492</v>
      </c>
      <c r="B5787" s="2" t="s">
        <v>11493</v>
      </c>
      <c r="C5787" s="2" t="s">
        <v>17</v>
      </c>
      <c r="D5787" s="2" t="s">
        <v>18</v>
      </c>
      <c r="E5787" s="5">
        <v>-28579</v>
      </c>
      <c r="F5787" s="3" t="s">
        <v>743</v>
      </c>
      <c r="G5787" s="3" t="s">
        <v>7128</v>
      </c>
      <c r="H5787" s="2" t="s">
        <v>21</v>
      </c>
      <c r="I5787" s="2" t="s">
        <v>11494</v>
      </c>
      <c r="J5787" s="3" t="str">
        <f>HYPERLINK("https://www.boe.es/gazeta/dias/1821/10/01/pdfs/GMD-1821-280.pdf#page=3","Abrir facsímil")</f>
        <v>Abrir facsímil</v>
      </c>
      <c r="K5787" s="3" t="s">
        <v>23</v>
      </c>
    </row>
    <row r="5788" spans="1:11" ht="42" customHeight="1">
      <c r="A5788" s="2" t="s">
        <v>11495</v>
      </c>
      <c r="B5788" s="2" t="s">
        <v>11496</v>
      </c>
      <c r="C5788" s="2" t="s">
        <v>17</v>
      </c>
      <c r="D5788" s="2" t="s">
        <v>18</v>
      </c>
      <c r="E5788" s="5">
        <v>-28730</v>
      </c>
      <c r="F5788" s="3" t="s">
        <v>747</v>
      </c>
      <c r="G5788" s="3" t="s">
        <v>20</v>
      </c>
      <c r="H5788" s="2" t="s">
        <v>21</v>
      </c>
      <c r="I5788" s="2" t="s">
        <v>11497</v>
      </c>
      <c r="J5788" s="3" t="str">
        <f>HYPERLINK("https://www.boe.es/gazeta/dias/1821/05/03/pdfs/GMD-1821-125.pdf#page=3","Abrir facsímil")</f>
        <v>Abrir facsímil</v>
      </c>
      <c r="K5788" s="3" t="s">
        <v>23</v>
      </c>
    </row>
    <row r="5789" spans="1:11" ht="42" customHeight="1">
      <c r="A5789" s="2" t="s">
        <v>11495</v>
      </c>
      <c r="B5789" s="2" t="s">
        <v>11496</v>
      </c>
      <c r="C5789" s="2" t="s">
        <v>114</v>
      </c>
      <c r="D5789" s="2" t="s">
        <v>27</v>
      </c>
      <c r="E5789" s="5">
        <v>-28722</v>
      </c>
      <c r="F5789" s="3" t="s">
        <v>623</v>
      </c>
      <c r="G5789" s="3" t="s">
        <v>52</v>
      </c>
      <c r="H5789" s="2" t="s">
        <v>21</v>
      </c>
      <c r="I5789" s="2" t="s">
        <v>11498</v>
      </c>
      <c r="J5789" s="3" t="str">
        <f>HYPERLINK("https://www.boe.es/gazeta/dias/1821/05/11/pdfs/GMD-1821-133.pdf#page=2","Abrir facsímil")</f>
        <v>Abrir facsímil</v>
      </c>
      <c r="K5789" s="3" t="s">
        <v>23</v>
      </c>
    </row>
    <row r="5790" spans="1:11" ht="42" customHeight="1">
      <c r="A5790" s="2" t="s">
        <v>11495</v>
      </c>
      <c r="B5790" s="2" t="s">
        <v>11496</v>
      </c>
      <c r="C5790" s="2" t="s">
        <v>17</v>
      </c>
      <c r="D5790" s="2" t="s">
        <v>18</v>
      </c>
      <c r="E5790" s="5">
        <v>-28715</v>
      </c>
      <c r="F5790" s="3" t="s">
        <v>1046</v>
      </c>
      <c r="G5790" s="3" t="s">
        <v>43</v>
      </c>
      <c r="H5790" s="2" t="s">
        <v>21</v>
      </c>
      <c r="I5790" s="2" t="s">
        <v>11499</v>
      </c>
      <c r="J5790" s="3" t="str">
        <f>HYPERLINK("https://www.boe.es/gazeta/dias/1821/05/18/pdfs/GMD-1821-140.pdf#page=1","Abrir facsímil")</f>
        <v>Abrir facsímil</v>
      </c>
      <c r="K5790" s="3" t="s">
        <v>23</v>
      </c>
    </row>
    <row r="5791" spans="1:11" ht="42" customHeight="1">
      <c r="A5791" s="2" t="s">
        <v>11495</v>
      </c>
      <c r="B5791" s="2" t="s">
        <v>11496</v>
      </c>
      <c r="C5791" s="2" t="s">
        <v>174</v>
      </c>
      <c r="D5791" s="2" t="s">
        <v>27</v>
      </c>
      <c r="E5791" s="5">
        <v>-28677</v>
      </c>
      <c r="F5791" s="3" t="s">
        <v>361</v>
      </c>
      <c r="G5791" s="3" t="s">
        <v>162</v>
      </c>
      <c r="H5791" s="2" t="s">
        <v>21</v>
      </c>
      <c r="I5791" s="2" t="s">
        <v>11500</v>
      </c>
      <c r="J5791" s="3" t="str">
        <f>HYPERLINK("https://www.boe.es/gazeta/dias/1821/06/25/pdfs/GMD-1821-178.pdf#page=5","Abrir facsímil")</f>
        <v>Abrir facsímil</v>
      </c>
      <c r="K5791" s="3" t="s">
        <v>23</v>
      </c>
    </row>
    <row r="5792" spans="1:11" ht="42" customHeight="1">
      <c r="A5792" s="2" t="s">
        <v>11495</v>
      </c>
      <c r="B5792" s="2" t="s">
        <v>11496</v>
      </c>
      <c r="C5792" s="2" t="s">
        <v>17</v>
      </c>
      <c r="D5792" s="2" t="s">
        <v>18</v>
      </c>
      <c r="E5792" s="5">
        <v>-28672</v>
      </c>
      <c r="F5792" s="3" t="s">
        <v>964</v>
      </c>
      <c r="G5792" s="3" t="s">
        <v>20</v>
      </c>
      <c r="H5792" s="2" t="s">
        <v>21</v>
      </c>
      <c r="I5792" s="2" t="s">
        <v>11501</v>
      </c>
      <c r="J5792" s="3" t="str">
        <f>HYPERLINK("https://www.boe.es/gazeta/dias/1821/06/30/pdfs/GMD-1821-183.pdf#page=3","Abrir facsímil")</f>
        <v>Abrir facsímil</v>
      </c>
      <c r="K5792" s="3" t="s">
        <v>23</v>
      </c>
    </row>
    <row r="5793" spans="1:11" ht="42" customHeight="1">
      <c r="A5793" s="2" t="s">
        <v>11495</v>
      </c>
      <c r="B5793" s="2" t="s">
        <v>11496</v>
      </c>
      <c r="C5793" s="2" t="s">
        <v>17</v>
      </c>
      <c r="D5793" s="2" t="s">
        <v>18</v>
      </c>
      <c r="E5793" s="5">
        <v>-28585</v>
      </c>
      <c r="F5793" s="3" t="s">
        <v>627</v>
      </c>
      <c r="G5793" s="3" t="s">
        <v>20</v>
      </c>
      <c r="H5793" s="2" t="s">
        <v>21</v>
      </c>
      <c r="I5793" s="2" t="s">
        <v>11502</v>
      </c>
      <c r="J5793" s="3" t="str">
        <f>HYPERLINK("https://www.boe.es/gazeta/dias/1821/09/25/pdfs/GMD-1821-273.pdf#page=3","Abrir facsímil")</f>
        <v>Abrir facsímil</v>
      </c>
      <c r="K5793" s="3" t="s">
        <v>23</v>
      </c>
    </row>
    <row r="5794" spans="1:11" ht="42" customHeight="1">
      <c r="A5794" s="2" t="s">
        <v>11495</v>
      </c>
      <c r="B5794" s="2" t="s">
        <v>11496</v>
      </c>
      <c r="C5794" s="2" t="s">
        <v>17</v>
      </c>
      <c r="D5794" s="2" t="s">
        <v>18</v>
      </c>
      <c r="E5794" s="5">
        <v>-28545</v>
      </c>
      <c r="F5794" s="3" t="s">
        <v>284</v>
      </c>
      <c r="G5794" s="3" t="s">
        <v>88</v>
      </c>
      <c r="H5794" s="2" t="s">
        <v>21</v>
      </c>
      <c r="I5794" s="2" t="s">
        <v>11503</v>
      </c>
      <c r="J5794" s="3" t="str">
        <f>HYPERLINK("https://www.boe.es/gazeta/dias/1821/11/04/pdfs/GMD-1821-315.pdf#page=4","Abrir facsímil")</f>
        <v>Abrir facsímil</v>
      </c>
      <c r="K5794" s="3" t="s">
        <v>23</v>
      </c>
    </row>
    <row r="5795" spans="1:11" ht="42" customHeight="1">
      <c r="A5795" s="2" t="s">
        <v>11495</v>
      </c>
      <c r="B5795" s="2" t="s">
        <v>11496</v>
      </c>
      <c r="C5795" s="2" t="s">
        <v>35</v>
      </c>
      <c r="D5795" s="2" t="s">
        <v>27</v>
      </c>
      <c r="E5795" s="5">
        <v>-28523</v>
      </c>
      <c r="F5795" s="3" t="s">
        <v>257</v>
      </c>
      <c r="G5795" s="3" t="s">
        <v>20</v>
      </c>
      <c r="H5795" s="2" t="s">
        <v>21</v>
      </c>
      <c r="I5795" s="2" t="s">
        <v>11504</v>
      </c>
      <c r="J5795" s="3" t="str">
        <f>HYPERLINK("https://www.boe.es/gazeta/dias/1821/11/26/pdfs/GMD-1821-337.pdf#page=3","Abrir facsímil")</f>
        <v>Abrir facsímil</v>
      </c>
      <c r="K5795" s="3" t="s">
        <v>23</v>
      </c>
    </row>
    <row r="5796" spans="1:11" ht="42" customHeight="1">
      <c r="A5796" s="2" t="s">
        <v>11495</v>
      </c>
      <c r="B5796" s="2" t="s">
        <v>11496</v>
      </c>
      <c r="C5796" s="2" t="s">
        <v>26</v>
      </c>
      <c r="D5796" s="2" t="s">
        <v>27</v>
      </c>
      <c r="E5796" s="5">
        <v>-28520</v>
      </c>
      <c r="F5796" s="3" t="s">
        <v>878</v>
      </c>
      <c r="G5796" s="3" t="s">
        <v>52</v>
      </c>
      <c r="H5796" s="2" t="s">
        <v>21</v>
      </c>
      <c r="I5796" s="2" t="s">
        <v>11505</v>
      </c>
      <c r="J5796" s="3" t="str">
        <f>HYPERLINK("https://www.boe.es/gazeta/dias/1821/11/29/pdfs/GMD-1821-341.pdf#page=2","Abrir facsímil")</f>
        <v>Abrir facsímil</v>
      </c>
      <c r="K5796" s="3" t="s">
        <v>23</v>
      </c>
    </row>
    <row r="5797" spans="1:11" ht="42" customHeight="1">
      <c r="A5797" s="2" t="s">
        <v>11495</v>
      </c>
      <c r="B5797" s="2" t="s">
        <v>11496</v>
      </c>
      <c r="C5797" s="2" t="s">
        <v>17</v>
      </c>
      <c r="D5797" s="2" t="s">
        <v>18</v>
      </c>
      <c r="E5797" s="5">
        <v>-28520</v>
      </c>
      <c r="F5797" s="3" t="s">
        <v>878</v>
      </c>
      <c r="G5797" s="3" t="s">
        <v>20</v>
      </c>
      <c r="H5797" s="2" t="s">
        <v>21</v>
      </c>
      <c r="I5797" s="2" t="s">
        <v>11506</v>
      </c>
      <c r="J5797" s="3" t="str">
        <f>HYPERLINK("https://www.boe.es/gazeta/dias/1821/11/29/pdfs/GMD-1821-341.pdf#page=3","Abrir facsímil")</f>
        <v>Abrir facsímil</v>
      </c>
      <c r="K5797" s="3" t="s">
        <v>23</v>
      </c>
    </row>
    <row r="5798" spans="1:11" ht="42" customHeight="1">
      <c r="A5798" s="2" t="s">
        <v>11495</v>
      </c>
      <c r="B5798" s="2" t="s">
        <v>11496</v>
      </c>
      <c r="C5798" s="2" t="s">
        <v>17</v>
      </c>
      <c r="D5798" s="2" t="s">
        <v>18</v>
      </c>
      <c r="E5798" s="5">
        <v>-28519</v>
      </c>
      <c r="F5798" s="3" t="s">
        <v>880</v>
      </c>
      <c r="G5798" s="3" t="s">
        <v>88</v>
      </c>
      <c r="H5798" s="2" t="s">
        <v>21</v>
      </c>
      <c r="I5798" s="2" t="s">
        <v>11507</v>
      </c>
      <c r="J5798" s="3" t="str">
        <f>HYPERLINK("https://www.boe.es/gazeta/dias/1821/11/30/pdfs/GMD-1821-342.pdf#page=4","Abrir facsímil")</f>
        <v>Abrir facsímil</v>
      </c>
      <c r="K5798" s="3" t="s">
        <v>23</v>
      </c>
    </row>
    <row r="5799" spans="1:11" ht="42" customHeight="1">
      <c r="A5799" s="2" t="s">
        <v>11495</v>
      </c>
      <c r="B5799" s="2" t="s">
        <v>11496</v>
      </c>
      <c r="C5799" s="2" t="s">
        <v>26</v>
      </c>
      <c r="D5799" s="2" t="s">
        <v>27</v>
      </c>
      <c r="E5799" s="5">
        <v>-28516</v>
      </c>
      <c r="F5799" s="3" t="s">
        <v>514</v>
      </c>
      <c r="G5799" s="3" t="s">
        <v>162</v>
      </c>
      <c r="H5799" s="2" t="s">
        <v>21</v>
      </c>
      <c r="I5799" s="2" t="s">
        <v>11508</v>
      </c>
      <c r="J5799" s="3" t="str">
        <f>HYPERLINK("https://www.boe.es/gazeta/dias/1821/12/03/pdfs/GMD-1821-345.pdf#page=5","Abrir facsímil")</f>
        <v>Abrir facsímil</v>
      </c>
      <c r="K5799" s="3" t="s">
        <v>23</v>
      </c>
    </row>
    <row r="5800" spans="1:11" ht="42" customHeight="1">
      <c r="A5800" s="2" t="s">
        <v>11495</v>
      </c>
      <c r="B5800" s="2" t="s">
        <v>11496</v>
      </c>
      <c r="C5800" s="2" t="s">
        <v>26</v>
      </c>
      <c r="D5800" s="2" t="s">
        <v>27</v>
      </c>
      <c r="E5800" s="5">
        <v>-28515</v>
      </c>
      <c r="F5800" s="3" t="s">
        <v>260</v>
      </c>
      <c r="G5800" s="3" t="s">
        <v>3841</v>
      </c>
      <c r="H5800" s="2" t="s">
        <v>21</v>
      </c>
      <c r="I5800" s="2" t="s">
        <v>11509</v>
      </c>
      <c r="J5800" s="3" t="str">
        <f>HYPERLINK("https://www.boe.es/gazeta/dias/1821/12/04/pdfs/GMD-1821-346.pdf#page=6","Abrir facsímil")</f>
        <v>Abrir facsímil</v>
      </c>
      <c r="K5800" s="3" t="s">
        <v>23</v>
      </c>
    </row>
    <row r="5801" spans="1:11" ht="42" customHeight="1">
      <c r="A5801" s="2" t="s">
        <v>11495</v>
      </c>
      <c r="B5801" s="2" t="s">
        <v>11496</v>
      </c>
      <c r="C5801" s="2" t="s">
        <v>174</v>
      </c>
      <c r="D5801" s="2" t="s">
        <v>27</v>
      </c>
      <c r="E5801" s="5">
        <v>-28502</v>
      </c>
      <c r="F5801" s="3" t="s">
        <v>570</v>
      </c>
      <c r="G5801" s="3" t="s">
        <v>20</v>
      </c>
      <c r="H5801" s="2" t="s">
        <v>21</v>
      </c>
      <c r="I5801" s="2" t="s">
        <v>11510</v>
      </c>
      <c r="J5801" s="3" t="str">
        <f>HYPERLINK("https://www.boe.es/gazeta/dias/1821/12/17/pdfs/GMD-1821-360.pdf#page=3","Abrir facsímil")</f>
        <v>Abrir facsímil</v>
      </c>
      <c r="K5801" s="3" t="s">
        <v>23</v>
      </c>
    </row>
    <row r="5802" spans="1:11" ht="42" customHeight="1">
      <c r="A5802" s="2" t="s">
        <v>11495</v>
      </c>
      <c r="B5802" s="2" t="s">
        <v>11496</v>
      </c>
      <c r="C5802" s="2" t="s">
        <v>35</v>
      </c>
      <c r="D5802" s="2" t="s">
        <v>27</v>
      </c>
      <c r="E5802" s="5">
        <v>-28501</v>
      </c>
      <c r="F5802" s="3" t="s">
        <v>456</v>
      </c>
      <c r="G5802" s="3" t="s">
        <v>88</v>
      </c>
      <c r="H5802" s="2" t="s">
        <v>21</v>
      </c>
      <c r="I5802" s="2" t="s">
        <v>11511</v>
      </c>
      <c r="J5802" s="3" t="str">
        <f>HYPERLINK("https://www.boe.es/gazeta/dias/1821/12/18/pdfs/GMD-1821-361.pdf#page=4","Abrir facsímil")</f>
        <v>Abrir facsímil</v>
      </c>
      <c r="K5802" s="3" t="s">
        <v>23</v>
      </c>
    </row>
    <row r="5803" spans="1:11" ht="42" customHeight="1">
      <c r="A5803" s="2" t="s">
        <v>11495</v>
      </c>
      <c r="B5803" s="2" t="s">
        <v>11496</v>
      </c>
      <c r="C5803" s="2" t="s">
        <v>26</v>
      </c>
      <c r="D5803" s="2" t="s">
        <v>27</v>
      </c>
      <c r="E5803" s="5">
        <v>-28500</v>
      </c>
      <c r="F5803" s="3" t="s">
        <v>298</v>
      </c>
      <c r="G5803" s="3" t="s">
        <v>20</v>
      </c>
      <c r="H5803" s="2" t="s">
        <v>21</v>
      </c>
      <c r="I5803" s="2" t="s">
        <v>11512</v>
      </c>
      <c r="J5803" s="3" t="str">
        <f>HYPERLINK("https://www.boe.es/gazeta/dias/1821/12/19/pdfs/GMD-1821-362.pdf#page=3","Abrir facsímil")</f>
        <v>Abrir facsímil</v>
      </c>
      <c r="K5803" s="3" t="s">
        <v>23</v>
      </c>
    </row>
    <row r="5804" spans="1:11" ht="42" customHeight="1">
      <c r="A5804" s="2" t="s">
        <v>11495</v>
      </c>
      <c r="B5804" s="2" t="s">
        <v>11496</v>
      </c>
      <c r="C5804" s="2" t="s">
        <v>17</v>
      </c>
      <c r="D5804" s="2" t="s">
        <v>18</v>
      </c>
      <c r="E5804" s="5">
        <v>-28498</v>
      </c>
      <c r="F5804" s="3" t="s">
        <v>447</v>
      </c>
      <c r="G5804" s="3" t="s">
        <v>20</v>
      </c>
      <c r="H5804" s="2" t="s">
        <v>21</v>
      </c>
      <c r="I5804" s="2" t="s">
        <v>11513</v>
      </c>
      <c r="J5804" s="3" t="str">
        <f>HYPERLINK("https://www.boe.es/gazeta/dias/1821/12/21/pdfs/GMD-1821-364.pdf#page=3","Abrir facsímil")</f>
        <v>Abrir facsímil</v>
      </c>
      <c r="K5804" s="3" t="s">
        <v>23</v>
      </c>
    </row>
    <row r="5805" spans="1:11" ht="42" customHeight="1">
      <c r="A5805" s="2" t="s">
        <v>11495</v>
      </c>
      <c r="B5805" s="2" t="s">
        <v>11496</v>
      </c>
      <c r="C5805" s="2" t="s">
        <v>26</v>
      </c>
      <c r="D5805" s="2" t="s">
        <v>27</v>
      </c>
      <c r="E5805" s="5">
        <v>-28498</v>
      </c>
      <c r="F5805" s="3" t="s">
        <v>447</v>
      </c>
      <c r="G5805" s="3" t="s">
        <v>88</v>
      </c>
      <c r="H5805" s="2" t="s">
        <v>21</v>
      </c>
      <c r="I5805" s="2" t="s">
        <v>11514</v>
      </c>
      <c r="J5805" s="3" t="str">
        <f>HYPERLINK("https://www.boe.es/gazeta/dias/1821/12/21/pdfs/GMD-1821-364.pdf#page=4","Abrir facsímil")</f>
        <v>Abrir facsímil</v>
      </c>
      <c r="K5805" s="3" t="s">
        <v>23</v>
      </c>
    </row>
    <row r="5806" spans="1:11" ht="42" customHeight="1">
      <c r="A5806" s="2" t="s">
        <v>11495</v>
      </c>
      <c r="B5806" s="2" t="s">
        <v>11496</v>
      </c>
      <c r="C5806" s="2" t="s">
        <v>26</v>
      </c>
      <c r="D5806" s="2" t="s">
        <v>27</v>
      </c>
      <c r="E5806" s="5">
        <v>-28492</v>
      </c>
      <c r="F5806" s="3" t="s">
        <v>1550</v>
      </c>
      <c r="G5806" s="3" t="s">
        <v>20</v>
      </c>
      <c r="H5806" s="2" t="s">
        <v>21</v>
      </c>
      <c r="I5806" s="2" t="s">
        <v>11515</v>
      </c>
      <c r="J5806" s="3" t="str">
        <f>HYPERLINK("https://www.boe.es/gazeta/dias/1821/12/27/pdfs/GMD-1821-370.pdf#page=3","Abrir facsímil")</f>
        <v>Abrir facsímil</v>
      </c>
      <c r="K5806" s="3" t="s">
        <v>23</v>
      </c>
    </row>
    <row r="5807" spans="1:11" ht="42" customHeight="1">
      <c r="A5807" s="2" t="s">
        <v>11495</v>
      </c>
      <c r="B5807" s="2" t="s">
        <v>11496</v>
      </c>
      <c r="C5807" s="2" t="s">
        <v>40</v>
      </c>
      <c r="D5807" s="2" t="s">
        <v>41</v>
      </c>
      <c r="E5807" s="5">
        <v>-28490</v>
      </c>
      <c r="F5807" s="3" t="s">
        <v>801</v>
      </c>
      <c r="G5807" s="3" t="s">
        <v>802</v>
      </c>
      <c r="H5807" s="2" t="s">
        <v>21</v>
      </c>
      <c r="I5807" s="2" t="s">
        <v>11516</v>
      </c>
      <c r="J5807" s="3" t="str">
        <f>HYPERLINK("https://www.boe.es/gazeta/dias/1821/12/29/pdfs/GMD-1821-372.pdf#page=3","Abrir facsímil")</f>
        <v>Abrir facsímil</v>
      </c>
      <c r="K5807" s="3" t="s">
        <v>23</v>
      </c>
    </row>
    <row r="5808" spans="1:11" ht="42" customHeight="1">
      <c r="A5808" s="2" t="s">
        <v>11517</v>
      </c>
      <c r="B5808" s="2" t="s">
        <v>11518</v>
      </c>
      <c r="C5808" s="2" t="s">
        <v>40</v>
      </c>
      <c r="D5808" s="2" t="s">
        <v>41</v>
      </c>
      <c r="E5808" s="5">
        <v>-28500</v>
      </c>
      <c r="F5808" s="3" t="s">
        <v>298</v>
      </c>
      <c r="G5808" s="3" t="s">
        <v>299</v>
      </c>
      <c r="H5808" s="2" t="s">
        <v>21</v>
      </c>
      <c r="I5808" s="2" t="s">
        <v>11519</v>
      </c>
      <c r="J5808" s="3" t="str">
        <f>HYPERLINK("https://www.boe.es/gazeta/dias/1821/12/19/pdfs/GMD-1821-362.pdf#page=4","Abrir facsímil")</f>
        <v>Abrir facsímil</v>
      </c>
      <c r="K5808" s="3" t="s">
        <v>23</v>
      </c>
    </row>
    <row r="5809" spans="1:11" ht="42" customHeight="1">
      <c r="A5809" s="2" t="s">
        <v>11520</v>
      </c>
      <c r="B5809" s="2" t="s">
        <v>11521</v>
      </c>
      <c r="C5809" s="2" t="s">
        <v>35</v>
      </c>
      <c r="D5809" s="2" t="s">
        <v>27</v>
      </c>
      <c r="E5809" s="5">
        <v>-28847</v>
      </c>
      <c r="F5809" s="3" t="s">
        <v>288</v>
      </c>
      <c r="G5809" s="3" t="s">
        <v>289</v>
      </c>
      <c r="H5809" s="2" t="s">
        <v>30</v>
      </c>
      <c r="I5809" s="2" t="s">
        <v>11522</v>
      </c>
      <c r="J5809" s="3" t="str">
        <f>HYPERLINK("https://www.boe.es/gazeta/dias/1821/01/06/pdfs/GGB-1821-6.pdf#page=4","Abrir facsímil")</f>
        <v>Abrir facsímil</v>
      </c>
      <c r="K5809" s="3" t="s">
        <v>32</v>
      </c>
    </row>
    <row r="5810" spans="1:11" ht="42" customHeight="1">
      <c r="A5810" s="2" t="s">
        <v>11523</v>
      </c>
      <c r="B5810" s="2" t="s">
        <v>11524</v>
      </c>
      <c r="C5810" s="2" t="s">
        <v>17</v>
      </c>
      <c r="D5810" s="2" t="s">
        <v>18</v>
      </c>
      <c r="E5810" s="5">
        <v>-28738</v>
      </c>
      <c r="F5810" s="3" t="s">
        <v>359</v>
      </c>
      <c r="G5810" s="3" t="s">
        <v>20</v>
      </c>
      <c r="H5810" s="2" t="s">
        <v>21</v>
      </c>
      <c r="I5810" s="2" t="s">
        <v>11525</v>
      </c>
      <c r="J5810" s="3" t="str">
        <f>HYPERLINK("https://www.boe.es/gazeta/dias/1821/04/25/pdfs/GMD-1821-117.pdf#page=3","Abrir facsímil")</f>
        <v>Abrir facsímil</v>
      </c>
      <c r="K5810" s="3" t="s">
        <v>23</v>
      </c>
    </row>
    <row r="5811" spans="1:11" ht="42" customHeight="1">
      <c r="A5811" s="2" t="s">
        <v>11526</v>
      </c>
      <c r="B5811" s="2" t="s">
        <v>11527</v>
      </c>
      <c r="C5811" s="2" t="s">
        <v>17</v>
      </c>
      <c r="D5811" s="2" t="s">
        <v>18</v>
      </c>
      <c r="E5811" s="5">
        <v>-28686</v>
      </c>
      <c r="F5811" s="3" t="s">
        <v>115</v>
      </c>
      <c r="G5811" s="3" t="s">
        <v>20</v>
      </c>
      <c r="H5811" s="2" t="s">
        <v>21</v>
      </c>
      <c r="I5811" s="2" t="s">
        <v>11528</v>
      </c>
      <c r="J5811" s="3" t="str">
        <f>HYPERLINK("https://www.boe.es/gazeta/dias/1821/06/16/pdfs/GMD-1821-169.pdf#page=3","Abrir facsímil")</f>
        <v>Abrir facsímil</v>
      </c>
      <c r="K5811" s="3" t="s">
        <v>23</v>
      </c>
    </row>
    <row r="5812" spans="1:11" ht="42" customHeight="1">
      <c r="A5812" s="2" t="s">
        <v>11526</v>
      </c>
      <c r="B5812" s="2" t="s">
        <v>11527</v>
      </c>
      <c r="C5812" s="2" t="s">
        <v>35</v>
      </c>
      <c r="D5812" s="2" t="s">
        <v>27</v>
      </c>
      <c r="E5812" s="5">
        <v>-28683</v>
      </c>
      <c r="F5812" s="3" t="s">
        <v>332</v>
      </c>
      <c r="G5812" s="3" t="s">
        <v>88</v>
      </c>
      <c r="H5812" s="2" t="s">
        <v>21</v>
      </c>
      <c r="I5812" s="2" t="s">
        <v>11529</v>
      </c>
      <c r="J5812" s="3" t="str">
        <f>HYPERLINK("https://www.boe.es/gazeta/dias/1821/06/19/pdfs/GMD-1821-172.pdf#page=4","Abrir facsímil")</f>
        <v>Abrir facsímil</v>
      </c>
      <c r="K5812" s="3" t="s">
        <v>23</v>
      </c>
    </row>
    <row r="5813" spans="1:11" ht="42" customHeight="1">
      <c r="A5813" s="2" t="s">
        <v>11530</v>
      </c>
      <c r="B5813" s="2" t="s">
        <v>11530</v>
      </c>
      <c r="C5813" s="2" t="s">
        <v>40</v>
      </c>
      <c r="D5813" s="2" t="s">
        <v>41</v>
      </c>
      <c r="E5813" s="5">
        <v>-28600</v>
      </c>
      <c r="F5813" s="3" t="s">
        <v>99</v>
      </c>
      <c r="G5813" s="3" t="s">
        <v>88</v>
      </c>
      <c r="H5813" s="2" t="s">
        <v>21</v>
      </c>
      <c r="I5813" s="2" t="s">
        <v>11531</v>
      </c>
      <c r="J5813" s="3" t="str">
        <f>HYPERLINK("https://www.boe.es/gazeta/dias/1821/09/10/pdfs/GMD-1821-258.pdf#page=4","Abrir facsímil")</f>
        <v>Abrir facsímil</v>
      </c>
      <c r="K5813" s="3" t="s">
        <v>23</v>
      </c>
    </row>
    <row r="5814" spans="1:11" ht="42" customHeight="1">
      <c r="A5814" s="2" t="s">
        <v>11532</v>
      </c>
      <c r="B5814" s="2" t="s">
        <v>11533</v>
      </c>
      <c r="C5814" s="2" t="s">
        <v>40</v>
      </c>
      <c r="D5814" s="2" t="s">
        <v>405</v>
      </c>
      <c r="E5814" s="5">
        <v>-28546</v>
      </c>
      <c r="F5814" s="3" t="s">
        <v>6425</v>
      </c>
      <c r="G5814" s="3" t="s">
        <v>43</v>
      </c>
      <c r="H5814" s="2" t="s">
        <v>21</v>
      </c>
      <c r="I5814" s="2" t="s">
        <v>11534</v>
      </c>
      <c r="J5814" s="3" t="str">
        <f>HYPERLINK("https://www.boe.es/gazeta/dias/1821/11/03/pdfs/GMD-1821-314E.pdf#page=1","Abrir facsímil")</f>
        <v>Abrir facsímil</v>
      </c>
      <c r="K5814" s="3" t="s">
        <v>23</v>
      </c>
    </row>
    <row r="5815" spans="1:11" ht="42" customHeight="1">
      <c r="A5815" s="2" t="s">
        <v>11535</v>
      </c>
      <c r="B5815" s="2" t="s">
        <v>11536</v>
      </c>
      <c r="C5815" s="2" t="s">
        <v>70</v>
      </c>
      <c r="D5815" s="2" t="s">
        <v>27</v>
      </c>
      <c r="E5815" s="5">
        <v>-28531</v>
      </c>
      <c r="F5815" s="3" t="s">
        <v>365</v>
      </c>
      <c r="G5815" s="3" t="s">
        <v>20</v>
      </c>
      <c r="H5815" s="2" t="s">
        <v>30</v>
      </c>
      <c r="I5815" s="2" t="s">
        <v>11537</v>
      </c>
      <c r="J5815" s="3" t="str">
        <f>HYPERLINK("https://www.boe.es/gazeta/dias/1821/11/18/pdfs/GMD-1821-329.pdf#page=3","Abrir facsímil")</f>
        <v>Abrir facsímil</v>
      </c>
      <c r="K5815" s="3" t="s">
        <v>32</v>
      </c>
    </row>
    <row r="5816" spans="1:11" ht="42" customHeight="1">
      <c r="A5816" s="2" t="s">
        <v>11538</v>
      </c>
      <c r="B5816" s="2" t="s">
        <v>11539</v>
      </c>
      <c r="C5816" s="2" t="s">
        <v>174</v>
      </c>
      <c r="D5816" s="2" t="s">
        <v>27</v>
      </c>
      <c r="E5816" s="5">
        <v>-28661</v>
      </c>
      <c r="F5816" s="3" t="s">
        <v>2298</v>
      </c>
      <c r="G5816" s="3" t="s">
        <v>29</v>
      </c>
      <c r="H5816" s="2" t="s">
        <v>21</v>
      </c>
      <c r="I5816" s="2" t="s">
        <v>11540</v>
      </c>
      <c r="J5816" s="3" t="str">
        <f>HYPERLINK("https://www.boe.es/gazeta/dias/1821/07/11/pdfs/GMD-1821-196.pdf#page=6","Abrir facsímil")</f>
        <v>Abrir facsímil</v>
      </c>
      <c r="K5816" s="3" t="s">
        <v>23</v>
      </c>
    </row>
    <row r="5817" spans="1:11" ht="42" customHeight="1">
      <c r="A5817" s="2" t="s">
        <v>11541</v>
      </c>
      <c r="B5817" s="2" t="s">
        <v>11542</v>
      </c>
      <c r="C5817" s="2" t="s">
        <v>40</v>
      </c>
      <c r="D5817" s="2" t="s">
        <v>41</v>
      </c>
      <c r="E5817" s="5">
        <v>-28512</v>
      </c>
      <c r="F5817" s="3" t="s">
        <v>66</v>
      </c>
      <c r="G5817" s="3" t="s">
        <v>43</v>
      </c>
      <c r="H5817" s="2" t="s">
        <v>21</v>
      </c>
      <c r="I5817" s="2" t="s">
        <v>11543</v>
      </c>
      <c r="J5817" s="3" t="str">
        <f>HYPERLINK("https://www.boe.es/gazeta/dias/1821/12/07/pdfs/GMD-1821-349.pdf#page=1","Abrir facsímil")</f>
        <v>Abrir facsímil</v>
      </c>
      <c r="K5817" s="3" t="s">
        <v>23</v>
      </c>
    </row>
    <row r="5818" spans="1:11" ht="42" customHeight="1">
      <c r="A5818" s="2" t="s">
        <v>11544</v>
      </c>
      <c r="B5818" s="2" t="s">
        <v>11545</v>
      </c>
      <c r="C5818" s="2" t="s">
        <v>35</v>
      </c>
      <c r="D5818" s="2" t="s">
        <v>27</v>
      </c>
      <c r="E5818" s="5">
        <v>-28770</v>
      </c>
      <c r="F5818" s="3" t="s">
        <v>1009</v>
      </c>
      <c r="G5818" s="3" t="s">
        <v>162</v>
      </c>
      <c r="H5818" s="2" t="s">
        <v>21</v>
      </c>
      <c r="I5818" s="2" t="s">
        <v>11546</v>
      </c>
      <c r="J5818" s="3" t="str">
        <f>HYPERLINK("https://www.boe.es/gazeta/dias/1821/03/24/pdfs/GMD-1821-84.pdf#page=5","Abrir facsímil")</f>
        <v>Abrir facsímil</v>
      </c>
      <c r="K5818" s="3" t="s">
        <v>23</v>
      </c>
    </row>
    <row r="5819" spans="1:11" ht="42" customHeight="1">
      <c r="A5819" s="2" t="s">
        <v>11547</v>
      </c>
      <c r="B5819" s="2" t="s">
        <v>11547</v>
      </c>
      <c r="C5819" s="2" t="s">
        <v>17</v>
      </c>
      <c r="D5819" s="2" t="s">
        <v>18</v>
      </c>
      <c r="E5819" s="5">
        <v>-28525</v>
      </c>
      <c r="F5819" s="3" t="s">
        <v>186</v>
      </c>
      <c r="G5819" s="3" t="s">
        <v>52</v>
      </c>
      <c r="H5819" s="2" t="s">
        <v>21</v>
      </c>
      <c r="I5819" s="2" t="s">
        <v>11548</v>
      </c>
      <c r="J5819" s="3" t="str">
        <f>HYPERLINK("https://www.boe.es/gazeta/dias/1821/11/24/pdfs/GMD-1821-335.pdf#page=2","Abrir facsímil")</f>
        <v>Abrir facsímil</v>
      </c>
      <c r="K5819" s="3" t="s">
        <v>23</v>
      </c>
    </row>
    <row r="5820" spans="1:11" ht="42" customHeight="1">
      <c r="A5820" s="2" t="s">
        <v>11549</v>
      </c>
      <c r="B5820" s="2" t="s">
        <v>11550</v>
      </c>
      <c r="C5820" s="2" t="s">
        <v>40</v>
      </c>
      <c r="D5820" s="2" t="s">
        <v>41</v>
      </c>
      <c r="E5820" s="5">
        <v>-28789</v>
      </c>
      <c r="F5820" s="3" t="s">
        <v>36</v>
      </c>
      <c r="G5820" s="3" t="s">
        <v>52</v>
      </c>
      <c r="H5820" s="2" t="s">
        <v>21</v>
      </c>
      <c r="I5820" s="2" t="s">
        <v>11551</v>
      </c>
      <c r="J5820" s="3" t="str">
        <f>HYPERLINK("https://www.boe.es/gazeta/dias/1821/03/05/pdfs/GGB-1821-64.pdf#page=2","Abrir facsímil")</f>
        <v>Abrir facsímil</v>
      </c>
      <c r="K5820" s="3" t="s">
        <v>23</v>
      </c>
    </row>
    <row r="5821" spans="1:11" ht="42" customHeight="1">
      <c r="A5821" s="2" t="s">
        <v>11552</v>
      </c>
      <c r="B5821" s="2" t="s">
        <v>11553</v>
      </c>
      <c r="C5821" s="2" t="s">
        <v>17</v>
      </c>
      <c r="D5821" s="2" t="s">
        <v>18</v>
      </c>
      <c r="E5821" s="5">
        <v>-28535</v>
      </c>
      <c r="F5821" s="3" t="s">
        <v>96</v>
      </c>
      <c r="G5821" s="3" t="s">
        <v>52</v>
      </c>
      <c r="H5821" s="2" t="s">
        <v>21</v>
      </c>
      <c r="I5821" s="2" t="s">
        <v>11554</v>
      </c>
      <c r="J5821" s="3" t="str">
        <f>HYPERLINK("https://www.boe.es/gazeta/dias/1821/11/14/pdfs/GMD-1821-325.pdf#page=2","Abrir facsímil")</f>
        <v>Abrir facsímil</v>
      </c>
      <c r="K5821" s="3" t="s">
        <v>23</v>
      </c>
    </row>
    <row r="5822" spans="1:11" ht="42" customHeight="1">
      <c r="A5822" s="2" t="s">
        <v>11555</v>
      </c>
      <c r="B5822" s="2" t="s">
        <v>11556</v>
      </c>
      <c r="C5822" s="2" t="s">
        <v>40</v>
      </c>
      <c r="D5822" s="2" t="s">
        <v>41</v>
      </c>
      <c r="E5822" s="5">
        <v>-28773</v>
      </c>
      <c r="F5822" s="3" t="s">
        <v>1755</v>
      </c>
      <c r="G5822" s="3" t="s">
        <v>52</v>
      </c>
      <c r="H5822" s="2" t="s">
        <v>21</v>
      </c>
      <c r="I5822" s="2" t="s">
        <v>11557</v>
      </c>
      <c r="J5822" s="3" t="str">
        <f>HYPERLINK("https://www.boe.es/gazeta/dias/1821/03/21/pdfs/GMD-1821-80.pdf#page=2","Abrir facsímil")</f>
        <v>Abrir facsímil</v>
      </c>
      <c r="K5822" s="3" t="s">
        <v>23</v>
      </c>
    </row>
    <row r="5823" spans="1:11" ht="42" customHeight="1">
      <c r="A5823" s="2" t="s">
        <v>11558</v>
      </c>
      <c r="B5823" s="2" t="s">
        <v>11558</v>
      </c>
      <c r="C5823" s="2" t="s">
        <v>40</v>
      </c>
      <c r="D5823" s="2" t="s">
        <v>41</v>
      </c>
      <c r="E5823" s="5">
        <v>-28629</v>
      </c>
      <c r="F5823" s="3" t="s">
        <v>235</v>
      </c>
      <c r="G5823" s="3" t="s">
        <v>8898</v>
      </c>
      <c r="H5823" s="2" t="s">
        <v>21</v>
      </c>
      <c r="I5823" s="2" t="s">
        <v>11559</v>
      </c>
      <c r="J5823" s="3" t="str">
        <f>HYPERLINK("https://www.boe.es/gazeta/dias/1821/08/12/pdfs/GMD-1821-229.pdf#page=2","Abrir facsímil")</f>
        <v>Abrir facsímil</v>
      </c>
      <c r="K5823" s="3" t="s">
        <v>23</v>
      </c>
    </row>
    <row r="5824" spans="1:11" ht="42" customHeight="1">
      <c r="A5824" s="2" t="s">
        <v>11560</v>
      </c>
      <c r="B5824" s="2" t="s">
        <v>11561</v>
      </c>
      <c r="C5824" s="2" t="s">
        <v>26</v>
      </c>
      <c r="D5824" s="2" t="s">
        <v>27</v>
      </c>
      <c r="E5824" s="5">
        <v>-28541</v>
      </c>
      <c r="F5824" s="3" t="s">
        <v>275</v>
      </c>
      <c r="G5824" s="3" t="s">
        <v>52</v>
      </c>
      <c r="H5824" s="2" t="s">
        <v>21</v>
      </c>
      <c r="I5824" s="2" t="s">
        <v>11562</v>
      </c>
      <c r="J5824" s="3" t="str">
        <f>HYPERLINK("https://www.boe.es/gazeta/dias/1821/11/08/pdfs/GMD-1821-319.pdf#page=2","Abrir facsímil")</f>
        <v>Abrir facsímil</v>
      </c>
      <c r="K5824" s="3" t="s">
        <v>23</v>
      </c>
    </row>
    <row r="5825" spans="1:11" ht="42" customHeight="1">
      <c r="A5825" s="2" t="s">
        <v>11563</v>
      </c>
      <c r="B5825" s="2" t="s">
        <v>11564</v>
      </c>
      <c r="C5825" s="2" t="s">
        <v>70</v>
      </c>
      <c r="D5825" s="2" t="s">
        <v>27</v>
      </c>
      <c r="E5825" s="5">
        <v>-28840</v>
      </c>
      <c r="F5825" s="3" t="s">
        <v>161</v>
      </c>
      <c r="G5825" s="3" t="s">
        <v>162</v>
      </c>
      <c r="H5825" s="2" t="s">
        <v>21</v>
      </c>
      <c r="I5825" s="2" t="s">
        <v>11565</v>
      </c>
      <c r="J5825" s="3" t="str">
        <f>HYPERLINK("https://www.boe.es/gazeta/dias/1821/01/13/pdfs/GGB-1821-13.pdf#page=5","Abrir facsímil")</f>
        <v>Abrir facsímil</v>
      </c>
      <c r="K5825" s="3" t="s">
        <v>23</v>
      </c>
    </row>
    <row r="5826" spans="1:11" ht="42" customHeight="1">
      <c r="A5826" s="2" t="s">
        <v>11566</v>
      </c>
      <c r="B5826" s="2" t="s">
        <v>11566</v>
      </c>
      <c r="C5826" s="2" t="s">
        <v>17</v>
      </c>
      <c r="D5826" s="2" t="s">
        <v>18</v>
      </c>
      <c r="E5826" s="5">
        <v>-28788</v>
      </c>
      <c r="F5826" s="3" t="s">
        <v>996</v>
      </c>
      <c r="G5826" s="3" t="s">
        <v>43</v>
      </c>
      <c r="H5826" s="2" t="s">
        <v>21</v>
      </c>
      <c r="I5826" s="2" t="s">
        <v>11567</v>
      </c>
      <c r="J5826" s="3" t="str">
        <f>HYPERLINK("https://www.boe.es/gazeta/dias/1821/03/06/pdfs/GGB-1821-65.pdf#page=1","Abrir facsímil")</f>
        <v>Abrir facsímil</v>
      </c>
      <c r="K5826" s="3" t="s">
        <v>23</v>
      </c>
    </row>
    <row r="5827" spans="1:11" ht="42" customHeight="1">
      <c r="A5827" s="2" t="s">
        <v>11568</v>
      </c>
      <c r="B5827" s="2" t="s">
        <v>11569</v>
      </c>
      <c r="C5827" s="2" t="s">
        <v>40</v>
      </c>
      <c r="D5827" s="2" t="s">
        <v>41</v>
      </c>
      <c r="E5827" s="5">
        <v>-28511</v>
      </c>
      <c r="F5827" s="3" t="s">
        <v>340</v>
      </c>
      <c r="G5827" s="3" t="s">
        <v>52</v>
      </c>
      <c r="H5827" s="2" t="s">
        <v>21</v>
      </c>
      <c r="I5827" s="2" t="s">
        <v>11570</v>
      </c>
      <c r="J5827" s="3" t="str">
        <f>HYPERLINK("https://www.boe.es/gazeta/dias/1821/12/08/pdfs/GMD-1821-350.pdf#page=2","Abrir facsímil")</f>
        <v>Abrir facsímil</v>
      </c>
      <c r="K5827" s="3" t="s">
        <v>23</v>
      </c>
    </row>
    <row r="5828" spans="1:11" ht="42" customHeight="1">
      <c r="A5828" s="2" t="s">
        <v>11571</v>
      </c>
      <c r="B5828" s="2" t="s">
        <v>11571</v>
      </c>
      <c r="C5828" s="2" t="s">
        <v>17</v>
      </c>
      <c r="D5828" s="2" t="s">
        <v>18</v>
      </c>
      <c r="E5828" s="5">
        <v>-28850</v>
      </c>
      <c r="F5828" s="3" t="s">
        <v>664</v>
      </c>
      <c r="G5828" s="3" t="s">
        <v>20</v>
      </c>
      <c r="H5828" s="2" t="s">
        <v>21</v>
      </c>
      <c r="I5828" s="2" t="s">
        <v>11572</v>
      </c>
      <c r="J5828" s="3" t="str">
        <f>HYPERLINK("https://www.boe.es/gazeta/dias/1821/01/03/pdfs/GGB-1821-3.pdf#page=3","Abrir facsímil")</f>
        <v>Abrir facsímil</v>
      </c>
      <c r="K5828" s="3" t="s">
        <v>23</v>
      </c>
    </row>
    <row r="5829" spans="1:11" ht="42" customHeight="1">
      <c r="A5829" s="2" t="s">
        <v>11571</v>
      </c>
      <c r="B5829" s="2" t="s">
        <v>11571</v>
      </c>
      <c r="C5829" s="2" t="s">
        <v>26</v>
      </c>
      <c r="D5829" s="2" t="s">
        <v>27</v>
      </c>
      <c r="E5829" s="5">
        <v>-28815</v>
      </c>
      <c r="F5829" s="3" t="s">
        <v>2394</v>
      </c>
      <c r="G5829" s="3" t="s">
        <v>20</v>
      </c>
      <c r="H5829" s="2" t="s">
        <v>21</v>
      </c>
      <c r="I5829" s="2" t="s">
        <v>11573</v>
      </c>
      <c r="J5829" s="3" t="str">
        <f>HYPERLINK("https://www.boe.es/gazeta/dias/1821/02/07/pdfs/GGB-1821-38.pdf#page=3","Abrir facsímil")</f>
        <v>Abrir facsímil</v>
      </c>
      <c r="K5829" s="3" t="s">
        <v>23</v>
      </c>
    </row>
    <row r="5830" spans="1:11" ht="42" customHeight="1">
      <c r="A5830" s="2" t="s">
        <v>11571</v>
      </c>
      <c r="B5830" s="2" t="s">
        <v>11571</v>
      </c>
      <c r="C5830" s="2" t="s">
        <v>35</v>
      </c>
      <c r="D5830" s="2" t="s">
        <v>27</v>
      </c>
      <c r="E5830" s="5">
        <v>-28813</v>
      </c>
      <c r="F5830" s="3" t="s">
        <v>268</v>
      </c>
      <c r="G5830" s="3" t="s">
        <v>52</v>
      </c>
      <c r="H5830" s="2" t="s">
        <v>21</v>
      </c>
      <c r="I5830" s="2" t="s">
        <v>11574</v>
      </c>
      <c r="J5830" s="3" t="str">
        <f>HYPERLINK("https://www.boe.es/gazeta/dias/1821/02/09/pdfs/GGB-1821-40.pdf#page=2","Abrir facsímil")</f>
        <v>Abrir facsímil</v>
      </c>
      <c r="K5830" s="3" t="s">
        <v>23</v>
      </c>
    </row>
    <row r="5831" spans="1:11" ht="42" customHeight="1">
      <c r="A5831" s="2" t="s">
        <v>11571</v>
      </c>
      <c r="B5831" s="2" t="s">
        <v>11571</v>
      </c>
      <c r="C5831" s="2" t="s">
        <v>35</v>
      </c>
      <c r="D5831" s="2" t="s">
        <v>27</v>
      </c>
      <c r="E5831" s="5">
        <v>-28812</v>
      </c>
      <c r="F5831" s="3" t="s">
        <v>2610</v>
      </c>
      <c r="G5831" s="3" t="s">
        <v>43</v>
      </c>
      <c r="H5831" s="2" t="s">
        <v>21</v>
      </c>
      <c r="I5831" s="2" t="s">
        <v>11575</v>
      </c>
      <c r="J5831" s="3" t="str">
        <f>HYPERLINK("https://www.boe.es/gazeta/dias/1821/02/10/pdfs/GGB-1821-41.pdf#page=1","Abrir facsímil")</f>
        <v>Abrir facsímil</v>
      </c>
      <c r="K5831" s="3" t="s">
        <v>23</v>
      </c>
    </row>
    <row r="5832" spans="1:11" ht="42" customHeight="1">
      <c r="A5832" s="2" t="s">
        <v>11571</v>
      </c>
      <c r="B5832" s="2" t="s">
        <v>11571</v>
      </c>
      <c r="C5832" s="2" t="s">
        <v>26</v>
      </c>
      <c r="D5832" s="2" t="s">
        <v>27</v>
      </c>
      <c r="E5832" s="5">
        <v>-28811</v>
      </c>
      <c r="F5832" s="3" t="s">
        <v>5734</v>
      </c>
      <c r="G5832" s="3" t="s">
        <v>6726</v>
      </c>
      <c r="H5832" s="2" t="s">
        <v>21</v>
      </c>
      <c r="I5832" s="2" t="s">
        <v>11576</v>
      </c>
      <c r="J5832" s="3" t="str">
        <f>HYPERLINK("https://www.boe.es/gazeta/dias/1821/02/11/pdfs/GGB-1821-42.pdf#page=2","Abrir facsímil")</f>
        <v>Abrir facsímil</v>
      </c>
      <c r="K5832" s="3" t="s">
        <v>23</v>
      </c>
    </row>
    <row r="5833" spans="1:11" ht="42" customHeight="1">
      <c r="A5833" s="2" t="s">
        <v>11571</v>
      </c>
      <c r="B5833" s="2" t="s">
        <v>11571</v>
      </c>
      <c r="C5833" s="2" t="s">
        <v>174</v>
      </c>
      <c r="D5833" s="2" t="s">
        <v>27</v>
      </c>
      <c r="E5833" s="5">
        <v>-28811</v>
      </c>
      <c r="F5833" s="3" t="s">
        <v>5734</v>
      </c>
      <c r="G5833" s="3" t="s">
        <v>43</v>
      </c>
      <c r="H5833" s="2" t="s">
        <v>21</v>
      </c>
      <c r="I5833" s="2" t="s">
        <v>11577</v>
      </c>
      <c r="J5833" s="3" t="str">
        <f>HYPERLINK("https://www.boe.es/gazeta/dias/1821/02/11/pdfs/GGB-1821-42.pdf#page=1","Abrir facsímil")</f>
        <v>Abrir facsímil</v>
      </c>
      <c r="K5833" s="3" t="s">
        <v>23</v>
      </c>
    </row>
    <row r="5834" spans="1:11" ht="42" customHeight="1">
      <c r="A5834" s="2" t="s">
        <v>11571</v>
      </c>
      <c r="B5834" s="2" t="s">
        <v>11571</v>
      </c>
      <c r="C5834" s="2" t="s">
        <v>17</v>
      </c>
      <c r="D5834" s="2" t="s">
        <v>18</v>
      </c>
      <c r="E5834" s="5">
        <v>-28809</v>
      </c>
      <c r="F5834" s="3" t="s">
        <v>1173</v>
      </c>
      <c r="G5834" s="3" t="s">
        <v>20</v>
      </c>
      <c r="H5834" s="2" t="s">
        <v>21</v>
      </c>
      <c r="I5834" s="2" t="s">
        <v>11578</v>
      </c>
      <c r="J5834" s="3" t="str">
        <f>HYPERLINK("https://www.boe.es/gazeta/dias/1821/02/13/pdfs/GGB-1821-44.pdf#page=3","Abrir facsímil")</f>
        <v>Abrir facsímil</v>
      </c>
      <c r="K5834" s="3" t="s">
        <v>23</v>
      </c>
    </row>
    <row r="5835" spans="1:11" ht="42" customHeight="1">
      <c r="A5835" s="2" t="s">
        <v>11571</v>
      </c>
      <c r="B5835" s="2" t="s">
        <v>11571</v>
      </c>
      <c r="C5835" s="2" t="s">
        <v>35</v>
      </c>
      <c r="D5835" s="2" t="s">
        <v>27</v>
      </c>
      <c r="E5835" s="5">
        <v>-28807</v>
      </c>
      <c r="F5835" s="3" t="s">
        <v>613</v>
      </c>
      <c r="G5835" s="3" t="s">
        <v>52</v>
      </c>
      <c r="H5835" s="2" t="s">
        <v>21</v>
      </c>
      <c r="I5835" s="2" t="s">
        <v>11579</v>
      </c>
      <c r="J5835" s="3" t="str">
        <f>HYPERLINK("https://www.boe.es/gazeta/dias/1821/02/15/pdfs/GGB-1821-46.pdf#page=2","Abrir facsímil")</f>
        <v>Abrir facsímil</v>
      </c>
      <c r="K5835" s="3" t="s">
        <v>23</v>
      </c>
    </row>
    <row r="5836" spans="1:11" ht="42" customHeight="1">
      <c r="A5836" s="2" t="s">
        <v>11571</v>
      </c>
      <c r="B5836" s="2" t="s">
        <v>11571</v>
      </c>
      <c r="C5836" s="2" t="s">
        <v>26</v>
      </c>
      <c r="D5836" s="2" t="s">
        <v>27</v>
      </c>
      <c r="E5836" s="5">
        <v>-28806</v>
      </c>
      <c r="F5836" s="3" t="s">
        <v>1201</v>
      </c>
      <c r="G5836" s="3" t="s">
        <v>43</v>
      </c>
      <c r="H5836" s="2" t="s">
        <v>21</v>
      </c>
      <c r="I5836" s="2" t="s">
        <v>11580</v>
      </c>
      <c r="J5836" s="3" t="str">
        <f>HYPERLINK("https://www.boe.es/gazeta/dias/1821/02/16/pdfs/GGB-1821-47.pdf#page=1","Abrir facsímil")</f>
        <v>Abrir facsímil</v>
      </c>
      <c r="K5836" s="3" t="s">
        <v>23</v>
      </c>
    </row>
    <row r="5837" spans="1:11" ht="42" customHeight="1">
      <c r="A5837" s="2" t="s">
        <v>11571</v>
      </c>
      <c r="B5837" s="2" t="s">
        <v>11571</v>
      </c>
      <c r="C5837" s="2" t="s">
        <v>174</v>
      </c>
      <c r="D5837" s="2" t="s">
        <v>27</v>
      </c>
      <c r="E5837" s="5">
        <v>-28806</v>
      </c>
      <c r="F5837" s="3" t="s">
        <v>1201</v>
      </c>
      <c r="G5837" s="3" t="s">
        <v>88</v>
      </c>
      <c r="H5837" s="2" t="s">
        <v>21</v>
      </c>
      <c r="I5837" s="2" t="s">
        <v>11581</v>
      </c>
      <c r="J5837" s="3" t="str">
        <f>HYPERLINK("https://www.boe.es/gazeta/dias/1821/02/16/pdfs/GGB-1821-47.pdf#page=4","Abrir facsímil")</f>
        <v>Abrir facsímil</v>
      </c>
      <c r="K5837" s="3" t="s">
        <v>23</v>
      </c>
    </row>
    <row r="5838" spans="1:11" ht="42" customHeight="1">
      <c r="A5838" s="2" t="s">
        <v>11571</v>
      </c>
      <c r="B5838" s="2" t="s">
        <v>11571</v>
      </c>
      <c r="C5838" s="2" t="s">
        <v>26</v>
      </c>
      <c r="D5838" s="2" t="s">
        <v>27</v>
      </c>
      <c r="E5838" s="5">
        <v>-28802</v>
      </c>
      <c r="F5838" s="3" t="s">
        <v>4814</v>
      </c>
      <c r="G5838" s="3" t="s">
        <v>52</v>
      </c>
      <c r="H5838" s="2" t="s">
        <v>21</v>
      </c>
      <c r="I5838" s="2" t="s">
        <v>11582</v>
      </c>
      <c r="J5838" s="3" t="str">
        <f>HYPERLINK("https://www.boe.es/gazeta/dias/1821/02/20/pdfs/GGB-1821-51.pdf#page=2","Abrir facsímil")</f>
        <v>Abrir facsímil</v>
      </c>
      <c r="K5838" s="3" t="s">
        <v>23</v>
      </c>
    </row>
    <row r="5839" spans="1:11" ht="42" customHeight="1">
      <c r="A5839" s="2" t="s">
        <v>11571</v>
      </c>
      <c r="B5839" s="2" t="s">
        <v>11571</v>
      </c>
      <c r="C5839" s="2" t="s">
        <v>26</v>
      </c>
      <c r="D5839" s="2" t="s">
        <v>27</v>
      </c>
      <c r="E5839" s="5">
        <v>-28787</v>
      </c>
      <c r="F5839" s="3" t="s">
        <v>486</v>
      </c>
      <c r="G5839" s="3" t="s">
        <v>43</v>
      </c>
      <c r="H5839" s="2" t="s">
        <v>21</v>
      </c>
      <c r="I5839" s="2" t="s">
        <v>11583</v>
      </c>
      <c r="J5839" s="3" t="str">
        <f>HYPERLINK("https://www.boe.es/gazeta/dias/1821/03/07/pdfs/GGB-1821-66.pdf#page=1","Abrir facsímil")</f>
        <v>Abrir facsímil</v>
      </c>
      <c r="K5839" s="3" t="s">
        <v>23</v>
      </c>
    </row>
    <row r="5840" spans="1:11" ht="42" customHeight="1">
      <c r="A5840" s="2" t="s">
        <v>11571</v>
      </c>
      <c r="B5840" s="2" t="s">
        <v>11571</v>
      </c>
      <c r="C5840" s="2" t="s">
        <v>17</v>
      </c>
      <c r="D5840" s="2" t="s">
        <v>18</v>
      </c>
      <c r="E5840" s="5">
        <v>-28786</v>
      </c>
      <c r="F5840" s="3" t="s">
        <v>1933</v>
      </c>
      <c r="G5840" s="3" t="s">
        <v>52</v>
      </c>
      <c r="H5840" s="2" t="s">
        <v>21</v>
      </c>
      <c r="I5840" s="2" t="s">
        <v>11584</v>
      </c>
      <c r="J5840" s="3" t="str">
        <f>HYPERLINK("https://www.boe.es/gazeta/dias/1821/03/08/pdfs/GGB-1821-67.pdf#page=2","Abrir facsímil")</f>
        <v>Abrir facsímil</v>
      </c>
      <c r="K5840" s="3" t="s">
        <v>23</v>
      </c>
    </row>
    <row r="5841" spans="1:11" ht="42" customHeight="1">
      <c r="A5841" s="2" t="s">
        <v>11571</v>
      </c>
      <c r="B5841" s="2" t="s">
        <v>11571</v>
      </c>
      <c r="C5841" s="2" t="s">
        <v>26</v>
      </c>
      <c r="D5841" s="2" t="s">
        <v>27</v>
      </c>
      <c r="E5841" s="5">
        <v>-28770</v>
      </c>
      <c r="F5841" s="3" t="s">
        <v>1009</v>
      </c>
      <c r="G5841" s="3" t="s">
        <v>43</v>
      </c>
      <c r="H5841" s="2" t="s">
        <v>21</v>
      </c>
      <c r="I5841" s="2" t="s">
        <v>11585</v>
      </c>
      <c r="J5841" s="3" t="str">
        <f>HYPERLINK("https://www.boe.es/gazeta/dias/1821/03/24/pdfs/GMD-1821-84.pdf#page=1","Abrir facsímil")</f>
        <v>Abrir facsímil</v>
      </c>
      <c r="K5841" s="3" t="s">
        <v>23</v>
      </c>
    </row>
    <row r="5842" spans="1:11" ht="42" customHeight="1">
      <c r="A5842" s="2" t="s">
        <v>11571</v>
      </c>
      <c r="B5842" s="2" t="s">
        <v>11571</v>
      </c>
      <c r="C5842" s="2" t="s">
        <v>40</v>
      </c>
      <c r="D5842" s="2" t="s">
        <v>41</v>
      </c>
      <c r="E5842" s="5">
        <v>-28747</v>
      </c>
      <c r="F5842" s="3" t="s">
        <v>1016</v>
      </c>
      <c r="G5842" s="3" t="s">
        <v>88</v>
      </c>
      <c r="H5842" s="2" t="s">
        <v>21</v>
      </c>
      <c r="I5842" s="2" t="s">
        <v>11586</v>
      </c>
      <c r="J5842" s="3" t="str">
        <f>HYPERLINK("https://www.boe.es/gazeta/dias/1821/04/16/pdfs/GMD-1821-108.pdf#page=4","Abrir facsímil")</f>
        <v>Abrir facsímil</v>
      </c>
      <c r="K5842" s="3" t="s">
        <v>23</v>
      </c>
    </row>
    <row r="5843" spans="1:11" ht="42" customHeight="1">
      <c r="A5843" s="2" t="s">
        <v>11571</v>
      </c>
      <c r="B5843" s="2" t="s">
        <v>11571</v>
      </c>
      <c r="C5843" s="2" t="s">
        <v>40</v>
      </c>
      <c r="D5843" s="2" t="s">
        <v>41</v>
      </c>
      <c r="E5843" s="5">
        <v>-28742</v>
      </c>
      <c r="F5843" s="3" t="s">
        <v>324</v>
      </c>
      <c r="G5843" s="3" t="s">
        <v>43</v>
      </c>
      <c r="H5843" s="2" t="s">
        <v>21</v>
      </c>
      <c r="I5843" s="2" t="s">
        <v>11587</v>
      </c>
      <c r="J5843" s="3" t="str">
        <f>HYPERLINK("https://www.boe.es/gazeta/dias/1821/04/21/pdfs/GMD-1821-113.pdf#page=1","Abrir facsímil")</f>
        <v>Abrir facsímil</v>
      </c>
      <c r="K5843" s="3" t="s">
        <v>23</v>
      </c>
    </row>
    <row r="5844" spans="1:11" ht="42" customHeight="1">
      <c r="A5844" s="2" t="s">
        <v>11571</v>
      </c>
      <c r="B5844" s="2" t="s">
        <v>11571</v>
      </c>
      <c r="C5844" s="2" t="s">
        <v>17</v>
      </c>
      <c r="D5844" s="2" t="s">
        <v>18</v>
      </c>
      <c r="E5844" s="5">
        <v>-28738</v>
      </c>
      <c r="F5844" s="3" t="s">
        <v>359</v>
      </c>
      <c r="G5844" s="3" t="s">
        <v>43</v>
      </c>
      <c r="H5844" s="2" t="s">
        <v>21</v>
      </c>
      <c r="I5844" s="2" t="s">
        <v>11588</v>
      </c>
      <c r="J5844" s="3" t="str">
        <f>HYPERLINK("https://www.boe.es/gazeta/dias/1821/04/25/pdfs/GMD-1821-117.pdf#page=1","Abrir facsímil")</f>
        <v>Abrir facsímil</v>
      </c>
      <c r="K5844" s="3" t="s">
        <v>23</v>
      </c>
    </row>
    <row r="5845" spans="1:11" ht="42" customHeight="1">
      <c r="A5845" s="2" t="s">
        <v>11571</v>
      </c>
      <c r="B5845" s="2" t="s">
        <v>11571</v>
      </c>
      <c r="C5845" s="2" t="s">
        <v>17</v>
      </c>
      <c r="D5845" s="2" t="s">
        <v>18</v>
      </c>
      <c r="E5845" s="5">
        <v>-28730</v>
      </c>
      <c r="F5845" s="3" t="s">
        <v>747</v>
      </c>
      <c r="G5845" s="3" t="s">
        <v>88</v>
      </c>
      <c r="H5845" s="2" t="s">
        <v>21</v>
      </c>
      <c r="I5845" s="2" t="s">
        <v>11589</v>
      </c>
      <c r="J5845" s="3" t="str">
        <f>HYPERLINK("https://www.boe.es/gazeta/dias/1821/05/03/pdfs/GMD-1821-125.pdf#page=4","Abrir facsímil")</f>
        <v>Abrir facsímil</v>
      </c>
      <c r="K5845" s="3" t="s">
        <v>23</v>
      </c>
    </row>
    <row r="5846" spans="1:11" ht="42" customHeight="1">
      <c r="A5846" s="2" t="s">
        <v>11571</v>
      </c>
      <c r="B5846" s="2" t="s">
        <v>11571</v>
      </c>
      <c r="C5846" s="2" t="s">
        <v>40</v>
      </c>
      <c r="D5846" s="2" t="s">
        <v>41</v>
      </c>
      <c r="E5846" s="5">
        <v>-28640</v>
      </c>
      <c r="F5846" s="3" t="s">
        <v>1590</v>
      </c>
      <c r="G5846" s="3" t="s">
        <v>52</v>
      </c>
      <c r="H5846" s="2" t="s">
        <v>21</v>
      </c>
      <c r="I5846" s="2" t="s">
        <v>11590</v>
      </c>
      <c r="J5846" s="3" t="str">
        <f>HYPERLINK("https://www.boe.es/gazeta/dias/1821/08/01/pdfs/GMD-1821-217.pdf#page=2","Abrir facsímil")</f>
        <v>Abrir facsímil</v>
      </c>
      <c r="K5846" s="3" t="s">
        <v>23</v>
      </c>
    </row>
    <row r="5847" spans="1:11" ht="42" customHeight="1">
      <c r="A5847" s="2" t="s">
        <v>11571</v>
      </c>
      <c r="B5847" s="2" t="s">
        <v>11571</v>
      </c>
      <c r="C5847" s="2" t="s">
        <v>26</v>
      </c>
      <c r="D5847" s="2" t="s">
        <v>27</v>
      </c>
      <c r="E5847" s="5">
        <v>-28626</v>
      </c>
      <c r="F5847" s="3" t="s">
        <v>468</v>
      </c>
      <c r="G5847" s="3" t="s">
        <v>52</v>
      </c>
      <c r="H5847" s="2" t="s">
        <v>21</v>
      </c>
      <c r="I5847" s="2" t="s">
        <v>11591</v>
      </c>
      <c r="J5847" s="3" t="str">
        <f>HYPERLINK("https://www.boe.es/gazeta/dias/1821/08/15/pdfs/GMD-1821-232.pdf#page=2","Abrir facsímil")</f>
        <v>Abrir facsímil</v>
      </c>
      <c r="K5847" s="3" t="s">
        <v>23</v>
      </c>
    </row>
    <row r="5848" spans="1:11" ht="42" customHeight="1">
      <c r="A5848" s="2" t="s">
        <v>11571</v>
      </c>
      <c r="B5848" s="2" t="s">
        <v>11571</v>
      </c>
      <c r="C5848" s="2" t="s">
        <v>40</v>
      </c>
      <c r="D5848" s="2" t="s">
        <v>41</v>
      </c>
      <c r="E5848" s="5">
        <v>-28616</v>
      </c>
      <c r="F5848" s="3" t="s">
        <v>1912</v>
      </c>
      <c r="G5848" s="3" t="s">
        <v>52</v>
      </c>
      <c r="H5848" s="2" t="s">
        <v>21</v>
      </c>
      <c r="I5848" s="2" t="s">
        <v>11592</v>
      </c>
      <c r="J5848" s="3" t="str">
        <f>HYPERLINK("https://www.boe.es/gazeta/dias/1821/08/25/pdfs/GMD-1821-242.pdf#page=2","Abrir facsímil")</f>
        <v>Abrir facsímil</v>
      </c>
      <c r="K5848" s="3" t="s">
        <v>23</v>
      </c>
    </row>
    <row r="5849" spans="1:11" ht="42" customHeight="1">
      <c r="A5849" s="2" t="s">
        <v>11571</v>
      </c>
      <c r="B5849" s="2" t="s">
        <v>11571</v>
      </c>
      <c r="C5849" s="2" t="s">
        <v>40</v>
      </c>
      <c r="D5849" s="2" t="s">
        <v>41</v>
      </c>
      <c r="E5849" s="5">
        <v>-28611</v>
      </c>
      <c r="F5849" s="3" t="s">
        <v>5777</v>
      </c>
      <c r="G5849" s="3" t="s">
        <v>52</v>
      </c>
      <c r="H5849" s="2" t="s">
        <v>21</v>
      </c>
      <c r="I5849" s="2" t="s">
        <v>11593</v>
      </c>
      <c r="J5849" s="3" t="str">
        <f>HYPERLINK("https://www.boe.es/gazeta/dias/1821/08/30/pdfs/GMD-1821-247.pdf#page=2","Abrir facsímil")</f>
        <v>Abrir facsímil</v>
      </c>
      <c r="K5849" s="3" t="s">
        <v>23</v>
      </c>
    </row>
    <row r="5850" spans="1:11" ht="42" customHeight="1">
      <c r="A5850" s="2" t="s">
        <v>11571</v>
      </c>
      <c r="B5850" s="2" t="s">
        <v>11571</v>
      </c>
      <c r="C5850" s="2" t="s">
        <v>40</v>
      </c>
      <c r="D5850" s="2" t="s">
        <v>41</v>
      </c>
      <c r="E5850" s="5">
        <v>-28610</v>
      </c>
      <c r="F5850" s="3" t="s">
        <v>190</v>
      </c>
      <c r="G5850" s="3" t="s">
        <v>52</v>
      </c>
      <c r="H5850" s="2" t="s">
        <v>21</v>
      </c>
      <c r="I5850" s="2" t="s">
        <v>11594</v>
      </c>
      <c r="J5850" s="3" t="str">
        <f>HYPERLINK("https://www.boe.es/gazeta/dias/1821/08/31/pdfs/GMD-1821-248.pdf#page=2","Abrir facsímil")</f>
        <v>Abrir facsímil</v>
      </c>
      <c r="K5850" s="3" t="s">
        <v>23</v>
      </c>
    </row>
    <row r="5851" spans="1:11" ht="42" customHeight="1">
      <c r="A5851" s="2" t="s">
        <v>11571</v>
      </c>
      <c r="B5851" s="2" t="s">
        <v>11571</v>
      </c>
      <c r="C5851" s="2" t="s">
        <v>26</v>
      </c>
      <c r="D5851" s="2" t="s">
        <v>27</v>
      </c>
      <c r="E5851" s="5">
        <v>-28604</v>
      </c>
      <c r="F5851" s="3" t="s">
        <v>729</v>
      </c>
      <c r="G5851" s="3" t="s">
        <v>43</v>
      </c>
      <c r="H5851" s="2" t="s">
        <v>21</v>
      </c>
      <c r="I5851" s="2" t="s">
        <v>11595</v>
      </c>
      <c r="J5851" s="3" t="str">
        <f>HYPERLINK("https://www.boe.es/gazeta/dias/1821/09/06/pdfs/GMD-1821-254.pdf#page=1","Abrir facsímil")</f>
        <v>Abrir facsímil</v>
      </c>
      <c r="K5851" s="3" t="s">
        <v>23</v>
      </c>
    </row>
    <row r="5852" spans="1:11" ht="42" customHeight="1">
      <c r="A5852" s="2" t="s">
        <v>11596</v>
      </c>
      <c r="B5852" s="2" t="s">
        <v>11597</v>
      </c>
      <c r="C5852" s="2" t="s">
        <v>35</v>
      </c>
      <c r="D5852" s="2" t="s">
        <v>27</v>
      </c>
      <c r="E5852" s="5">
        <v>-28666</v>
      </c>
      <c r="F5852" s="3" t="s">
        <v>1263</v>
      </c>
      <c r="G5852" s="3" t="s">
        <v>88</v>
      </c>
      <c r="H5852" s="2" t="s">
        <v>21</v>
      </c>
      <c r="I5852" s="2" t="s">
        <v>11598</v>
      </c>
      <c r="J5852" s="3" t="str">
        <f>HYPERLINK("https://www.boe.es/gazeta/dias/1821/07/06/pdfs/GMD-1821-190.pdf#page=4","Abrir facsímil")</f>
        <v>Abrir facsímil</v>
      </c>
      <c r="K5852" s="3" t="s">
        <v>23</v>
      </c>
    </row>
    <row r="5853" spans="1:11" ht="42" customHeight="1">
      <c r="A5853" s="2" t="s">
        <v>11599</v>
      </c>
      <c r="B5853" s="2" t="s">
        <v>11600</v>
      </c>
      <c r="C5853" s="2" t="s">
        <v>26</v>
      </c>
      <c r="D5853" s="2" t="s">
        <v>27</v>
      </c>
      <c r="E5853" s="5">
        <v>-28578</v>
      </c>
      <c r="F5853" s="3" t="s">
        <v>899</v>
      </c>
      <c r="G5853" s="3" t="s">
        <v>43</v>
      </c>
      <c r="H5853" s="2" t="s">
        <v>21</v>
      </c>
      <c r="I5853" s="2" t="s">
        <v>11601</v>
      </c>
      <c r="J5853" s="3" t="str">
        <f>HYPERLINK("https://www.boe.es/gazeta/dias/1821/10/02/pdfs/GMD-1821-281.pdf#page=1","Abrir facsímil")</f>
        <v>Abrir facsímil</v>
      </c>
      <c r="K5853" s="3" t="s">
        <v>23</v>
      </c>
    </row>
    <row r="5854" spans="1:11" ht="42" customHeight="1">
      <c r="A5854" s="2" t="s">
        <v>11602</v>
      </c>
      <c r="B5854" s="2" t="s">
        <v>11602</v>
      </c>
      <c r="C5854" s="2" t="s">
        <v>40</v>
      </c>
      <c r="D5854" s="2" t="s">
        <v>41</v>
      </c>
      <c r="E5854" s="5">
        <v>-28494</v>
      </c>
      <c r="F5854" s="3" t="s">
        <v>1665</v>
      </c>
      <c r="G5854" s="3" t="s">
        <v>3631</v>
      </c>
      <c r="H5854" s="2" t="s">
        <v>21</v>
      </c>
      <c r="I5854" s="2" t="s">
        <v>11603</v>
      </c>
      <c r="J5854" s="3" t="str">
        <f>HYPERLINK("https://www.boe.es/gazeta/dias/1821/12/25/pdfs/GMD-1821-368.pdf#page=4","Abrir facsímil")</f>
        <v>Abrir facsímil</v>
      </c>
      <c r="K5854" s="3" t="s">
        <v>23</v>
      </c>
    </row>
    <row r="5855" spans="1:11" ht="42" customHeight="1">
      <c r="A5855" s="2" t="s">
        <v>11604</v>
      </c>
      <c r="B5855" s="2" t="s">
        <v>11605</v>
      </c>
      <c r="C5855" s="2" t="s">
        <v>174</v>
      </c>
      <c r="D5855" s="2" t="s">
        <v>27</v>
      </c>
      <c r="E5855" s="5">
        <v>-28601</v>
      </c>
      <c r="F5855" s="3" t="s">
        <v>2924</v>
      </c>
      <c r="G5855" s="3" t="s">
        <v>88</v>
      </c>
      <c r="H5855" s="2" t="s">
        <v>21</v>
      </c>
      <c r="I5855" s="2" t="s">
        <v>11606</v>
      </c>
      <c r="J5855" s="3" t="str">
        <f>HYPERLINK("https://www.boe.es/gazeta/dias/1821/09/09/pdfs/GMD-1821-257.pdf#page=4","Abrir facsímil")</f>
        <v>Abrir facsímil</v>
      </c>
      <c r="K5855" s="3" t="s">
        <v>23</v>
      </c>
    </row>
    <row r="5856" spans="1:11" ht="42" customHeight="1">
      <c r="A5856" s="2" t="s">
        <v>11604</v>
      </c>
      <c r="B5856" s="2" t="s">
        <v>11605</v>
      </c>
      <c r="C5856" s="2" t="s">
        <v>40</v>
      </c>
      <c r="D5856" s="2" t="s">
        <v>41</v>
      </c>
      <c r="E5856" s="5">
        <v>-28498</v>
      </c>
      <c r="F5856" s="3" t="s">
        <v>447</v>
      </c>
      <c r="G5856" s="3" t="s">
        <v>88</v>
      </c>
      <c r="H5856" s="2" t="s">
        <v>21</v>
      </c>
      <c r="I5856" s="2" t="s">
        <v>11607</v>
      </c>
      <c r="J5856" s="3" t="str">
        <f>HYPERLINK("https://www.boe.es/gazeta/dias/1821/12/21/pdfs/GMD-1821-364.pdf#page=4","Abrir facsímil")</f>
        <v>Abrir facsímil</v>
      </c>
      <c r="K5856" s="3" t="s">
        <v>23</v>
      </c>
    </row>
    <row r="5857" spans="1:11" ht="42" customHeight="1">
      <c r="A5857" s="2" t="s">
        <v>11608</v>
      </c>
      <c r="B5857" s="2" t="s">
        <v>11609</v>
      </c>
      <c r="C5857" s="2" t="s">
        <v>35</v>
      </c>
      <c r="D5857" s="2" t="s">
        <v>27</v>
      </c>
      <c r="E5857" s="5">
        <v>-28703</v>
      </c>
      <c r="F5857" s="3" t="s">
        <v>231</v>
      </c>
      <c r="G5857" s="3" t="s">
        <v>43</v>
      </c>
      <c r="H5857" s="2" t="s">
        <v>21</v>
      </c>
      <c r="I5857" s="2" t="s">
        <v>11610</v>
      </c>
      <c r="J5857" s="3" t="str">
        <f>HYPERLINK("https://www.boe.es/gazeta/dias/1821/05/30/pdfs/GMD-1821-152.pdf#page=1","Abrir facsímil")</f>
        <v>Abrir facsímil</v>
      </c>
      <c r="K5857" s="3" t="s">
        <v>23</v>
      </c>
    </row>
    <row r="5858" spans="1:11" ht="42" customHeight="1">
      <c r="A5858" s="2" t="s">
        <v>11608</v>
      </c>
      <c r="B5858" s="2" t="s">
        <v>11609</v>
      </c>
      <c r="C5858" s="2" t="s">
        <v>17</v>
      </c>
      <c r="D5858" s="2" t="s">
        <v>18</v>
      </c>
      <c r="E5858" s="5">
        <v>-28682</v>
      </c>
      <c r="F5858" s="3" t="s">
        <v>1064</v>
      </c>
      <c r="G5858" s="3" t="s">
        <v>52</v>
      </c>
      <c r="H5858" s="2" t="s">
        <v>21</v>
      </c>
      <c r="I5858" s="2" t="s">
        <v>11611</v>
      </c>
      <c r="J5858" s="3" t="str">
        <f>HYPERLINK("https://www.boe.es/gazeta/dias/1821/06/20/pdfs/GMD-1821-173.pdf#page=2","Abrir facsímil")</f>
        <v>Abrir facsímil</v>
      </c>
      <c r="K5858" s="3" t="s">
        <v>23</v>
      </c>
    </row>
    <row r="5859" spans="1:11" ht="42" customHeight="1">
      <c r="A5859" s="2" t="s">
        <v>11612</v>
      </c>
      <c r="B5859" s="2" t="s">
        <v>11613</v>
      </c>
      <c r="C5859" s="2" t="s">
        <v>40</v>
      </c>
      <c r="D5859" s="2" t="s">
        <v>41</v>
      </c>
      <c r="E5859" s="5">
        <v>-28806</v>
      </c>
      <c r="F5859" s="3" t="s">
        <v>1201</v>
      </c>
      <c r="G5859" s="3" t="s">
        <v>88</v>
      </c>
      <c r="H5859" s="2" t="s">
        <v>21</v>
      </c>
      <c r="I5859" s="2" t="s">
        <v>11614</v>
      </c>
      <c r="J5859" s="3" t="str">
        <f>HYPERLINK("https://www.boe.es/gazeta/dias/1821/02/16/pdfs/GGB-1821-47.pdf#page=4","Abrir facsímil")</f>
        <v>Abrir facsímil</v>
      </c>
      <c r="K5859" s="3" t="s">
        <v>23</v>
      </c>
    </row>
    <row r="5860" spans="1:11" ht="42" customHeight="1">
      <c r="A5860" s="2" t="s">
        <v>11612</v>
      </c>
      <c r="B5860" s="2" t="s">
        <v>11613</v>
      </c>
      <c r="C5860" s="2" t="s">
        <v>114</v>
      </c>
      <c r="D5860" s="2" t="s">
        <v>27</v>
      </c>
      <c r="E5860" s="5">
        <v>-28762</v>
      </c>
      <c r="F5860" s="3" t="s">
        <v>608</v>
      </c>
      <c r="G5860" s="3" t="s">
        <v>29</v>
      </c>
      <c r="H5860" s="2" t="s">
        <v>21</v>
      </c>
      <c r="I5860" s="2" t="s">
        <v>11615</v>
      </c>
      <c r="J5860" s="3" t="str">
        <f>HYPERLINK("https://www.boe.es/gazeta/dias/1821/04/01/pdfs/GMD-1821-93.pdf#page=6","Abrir facsímil")</f>
        <v>Abrir facsímil</v>
      </c>
      <c r="K5860" s="3" t="s">
        <v>23</v>
      </c>
    </row>
    <row r="5861" spans="1:11" ht="42" customHeight="1">
      <c r="A5861" s="2" t="s">
        <v>11612</v>
      </c>
      <c r="B5861" s="2" t="s">
        <v>11613</v>
      </c>
      <c r="C5861" s="2" t="s">
        <v>17</v>
      </c>
      <c r="D5861" s="2" t="s">
        <v>18</v>
      </c>
      <c r="E5861" s="5">
        <v>-28758</v>
      </c>
      <c r="F5861" s="3" t="s">
        <v>4115</v>
      </c>
      <c r="G5861" s="3" t="s">
        <v>7429</v>
      </c>
      <c r="H5861" s="2" t="s">
        <v>21</v>
      </c>
      <c r="I5861" s="2" t="s">
        <v>11616</v>
      </c>
      <c r="J5861" s="3" t="str">
        <f>HYPERLINK("https://www.boe.es/gazeta/dias/1821/04/05/pdfs/GMD-1821-97.pdf#page=4","Abrir facsímil")</f>
        <v>Abrir facsímil</v>
      </c>
      <c r="K5861" s="3" t="s">
        <v>23</v>
      </c>
    </row>
    <row r="5862" spans="1:11" ht="42" customHeight="1">
      <c r="A5862" s="2" t="s">
        <v>11617</v>
      </c>
      <c r="B5862" s="2" t="s">
        <v>11618</v>
      </c>
      <c r="C5862" s="2" t="s">
        <v>114</v>
      </c>
      <c r="D5862" s="2" t="s">
        <v>27</v>
      </c>
      <c r="E5862" s="5">
        <v>-28718</v>
      </c>
      <c r="F5862" s="3" t="s">
        <v>583</v>
      </c>
      <c r="G5862" s="3" t="s">
        <v>88</v>
      </c>
      <c r="H5862" s="2" t="s">
        <v>21</v>
      </c>
      <c r="I5862" s="2" t="s">
        <v>11619</v>
      </c>
      <c r="J5862" s="3" t="str">
        <f>HYPERLINK("https://www.boe.es/gazeta/dias/1821/05/15/pdfs/GMD-1821-137.pdf#page=4","Abrir facsímil")</f>
        <v>Abrir facsímil</v>
      </c>
      <c r="K5862" s="3" t="s">
        <v>23</v>
      </c>
    </row>
    <row r="5863" spans="1:11" ht="42" customHeight="1">
      <c r="A5863" s="2" t="s">
        <v>11620</v>
      </c>
      <c r="B5863" s="2" t="s">
        <v>11620</v>
      </c>
      <c r="C5863" s="2" t="s">
        <v>279</v>
      </c>
      <c r="D5863" s="2" t="s">
        <v>27</v>
      </c>
      <c r="E5863" s="5">
        <v>-28646</v>
      </c>
      <c r="F5863" s="3" t="s">
        <v>1457</v>
      </c>
      <c r="G5863" s="3" t="s">
        <v>79</v>
      </c>
      <c r="H5863" s="2" t="s">
        <v>21</v>
      </c>
      <c r="I5863" s="2" t="s">
        <v>11621</v>
      </c>
      <c r="J5863" s="3" t="str">
        <f>HYPERLINK("https://www.boe.es/gazeta/dias/1821/07/26/pdfs/GMD-1821-211.pdf#page=4","Abrir facsímil")</f>
        <v>Abrir facsímil</v>
      </c>
      <c r="K5863" s="3" t="s">
        <v>23</v>
      </c>
    </row>
    <row r="5864" spans="1:11" ht="42" customHeight="1">
      <c r="A5864" s="2" t="s">
        <v>11622</v>
      </c>
      <c r="B5864" s="2" t="s">
        <v>11623</v>
      </c>
      <c r="C5864" s="2" t="s">
        <v>279</v>
      </c>
      <c r="D5864" s="2" t="s">
        <v>27</v>
      </c>
      <c r="E5864" s="5">
        <v>-28589</v>
      </c>
      <c r="F5864" s="3" t="s">
        <v>3130</v>
      </c>
      <c r="G5864" s="3" t="s">
        <v>88</v>
      </c>
      <c r="H5864" s="2" t="s">
        <v>21</v>
      </c>
      <c r="I5864" s="2" t="s">
        <v>11624</v>
      </c>
      <c r="J5864" s="3" t="str">
        <f>HYPERLINK("https://www.boe.es/gazeta/dias/1821/09/21/pdfs/GMD-1821-269.pdf#page=4","Abrir facsímil")</f>
        <v>Abrir facsímil</v>
      </c>
      <c r="K5864" s="3" t="s">
        <v>23</v>
      </c>
    </row>
    <row r="5865" spans="1:11" ht="42" customHeight="1">
      <c r="A5865" s="2" t="s">
        <v>11625</v>
      </c>
      <c r="B5865" s="2" t="s">
        <v>11626</v>
      </c>
      <c r="C5865" s="2" t="s">
        <v>40</v>
      </c>
      <c r="D5865" s="2" t="s">
        <v>41</v>
      </c>
      <c r="E5865" s="5">
        <v>-28592</v>
      </c>
      <c r="F5865" s="3" t="s">
        <v>518</v>
      </c>
      <c r="G5865" s="3" t="s">
        <v>88</v>
      </c>
      <c r="H5865" s="2" t="s">
        <v>21</v>
      </c>
      <c r="I5865" s="2" t="s">
        <v>11627</v>
      </c>
      <c r="J5865" s="3" t="str">
        <f>HYPERLINK("https://www.boe.es/gazeta/dias/1821/09/18/pdfs/GMD-1821-266.pdf#page=4","Abrir facsímil")</f>
        <v>Abrir facsímil</v>
      </c>
      <c r="K5865" s="3" t="s">
        <v>23</v>
      </c>
    </row>
    <row r="5866" spans="1:11" ht="42" customHeight="1">
      <c r="A5866" s="2" t="s">
        <v>11628</v>
      </c>
      <c r="B5866" s="2" t="s">
        <v>11629</v>
      </c>
      <c r="C5866" s="2" t="s">
        <v>26</v>
      </c>
      <c r="D5866" s="2" t="s">
        <v>27</v>
      </c>
      <c r="E5866" s="5">
        <v>-28547</v>
      </c>
      <c r="F5866" s="3" t="s">
        <v>247</v>
      </c>
      <c r="G5866" s="3" t="s">
        <v>248</v>
      </c>
      <c r="H5866" s="2" t="s">
        <v>21</v>
      </c>
      <c r="I5866" s="2" t="s">
        <v>11630</v>
      </c>
      <c r="J5866" s="3" t="str">
        <f>HYPERLINK("https://www.boe.es/gazeta/dias/1821/11/02/pdfs/GMD-1821-312.pdf#page=2","Abrir facsímil")</f>
        <v>Abrir facsímil</v>
      </c>
      <c r="K5866" s="3" t="s">
        <v>23</v>
      </c>
    </row>
    <row r="5867" spans="1:11" ht="42" customHeight="1">
      <c r="A5867" s="2" t="s">
        <v>11631</v>
      </c>
      <c r="B5867" s="2" t="s">
        <v>11632</v>
      </c>
      <c r="C5867" s="2" t="s">
        <v>40</v>
      </c>
      <c r="D5867" s="2" t="s">
        <v>41</v>
      </c>
      <c r="E5867" s="5">
        <v>-28492</v>
      </c>
      <c r="F5867" s="3" t="s">
        <v>1550</v>
      </c>
      <c r="G5867" s="3" t="s">
        <v>88</v>
      </c>
      <c r="H5867" s="2" t="s">
        <v>21</v>
      </c>
      <c r="I5867" s="2" t="s">
        <v>11633</v>
      </c>
      <c r="J5867" s="3" t="str">
        <f>HYPERLINK("https://www.boe.es/gazeta/dias/1821/12/27/pdfs/GMD-1821-370.pdf#page=4","Abrir facsímil")</f>
        <v>Abrir facsímil</v>
      </c>
      <c r="K5867" s="3" t="s">
        <v>23</v>
      </c>
    </row>
    <row r="5868" spans="1:11" ht="42" customHeight="1">
      <c r="A5868" s="2" t="s">
        <v>11634</v>
      </c>
      <c r="B5868" s="2" t="s">
        <v>11635</v>
      </c>
      <c r="C5868" s="2" t="s">
        <v>17</v>
      </c>
      <c r="D5868" s="2" t="s">
        <v>18</v>
      </c>
      <c r="E5868" s="5">
        <v>-28535</v>
      </c>
      <c r="F5868" s="3" t="s">
        <v>96</v>
      </c>
      <c r="G5868" s="3" t="s">
        <v>52</v>
      </c>
      <c r="H5868" s="2" t="s">
        <v>21</v>
      </c>
      <c r="I5868" s="2" t="s">
        <v>11636</v>
      </c>
      <c r="J5868" s="3" t="str">
        <f>HYPERLINK("https://www.boe.es/gazeta/dias/1821/11/14/pdfs/GMD-1821-325.pdf#page=2","Abrir facsímil")</f>
        <v>Abrir facsímil</v>
      </c>
      <c r="K5868" s="3" t="s">
        <v>23</v>
      </c>
    </row>
    <row r="5869" spans="1:11" ht="42" customHeight="1">
      <c r="A5869" s="2" t="s">
        <v>11637</v>
      </c>
      <c r="B5869" s="2" t="s">
        <v>11638</v>
      </c>
      <c r="C5869" s="2" t="s">
        <v>17</v>
      </c>
      <c r="D5869" s="2" t="s">
        <v>18</v>
      </c>
      <c r="E5869" s="5">
        <v>-28599</v>
      </c>
      <c r="F5869" s="3" t="s">
        <v>902</v>
      </c>
      <c r="G5869" s="3" t="s">
        <v>88</v>
      </c>
      <c r="H5869" s="2" t="s">
        <v>21</v>
      </c>
      <c r="I5869" s="2" t="s">
        <v>11639</v>
      </c>
      <c r="J5869" s="3" t="str">
        <f>HYPERLINK("https://www.boe.es/gazeta/dias/1821/09/11/pdfs/GMD-1821-259.pdf#page=4","Abrir facsímil")</f>
        <v>Abrir facsímil</v>
      </c>
      <c r="K5869" s="3" t="s">
        <v>23</v>
      </c>
    </row>
    <row r="5870" spans="1:11" ht="42" customHeight="1">
      <c r="A5870" s="2" t="s">
        <v>11640</v>
      </c>
      <c r="B5870" s="2" t="s">
        <v>11641</v>
      </c>
      <c r="C5870" s="2" t="s">
        <v>35</v>
      </c>
      <c r="D5870" s="2" t="s">
        <v>27</v>
      </c>
      <c r="E5870" s="5">
        <v>-28735</v>
      </c>
      <c r="F5870" s="3" t="s">
        <v>836</v>
      </c>
      <c r="G5870" s="3" t="s">
        <v>52</v>
      </c>
      <c r="H5870" s="2" t="s">
        <v>21</v>
      </c>
      <c r="I5870" s="2" t="s">
        <v>11642</v>
      </c>
      <c r="J5870" s="3" t="str">
        <f>HYPERLINK("https://www.boe.es/gazeta/dias/1821/04/28/pdfs/GMD-1821-120.pdf#page=2","Abrir facsímil")</f>
        <v>Abrir facsímil</v>
      </c>
      <c r="K5870" s="3" t="s">
        <v>23</v>
      </c>
    </row>
    <row r="5871" spans="1:11" ht="42" customHeight="1">
      <c r="A5871" s="2" t="s">
        <v>11643</v>
      </c>
      <c r="B5871" s="2" t="s">
        <v>11644</v>
      </c>
      <c r="C5871" s="2" t="s">
        <v>114</v>
      </c>
      <c r="D5871" s="2" t="s">
        <v>27</v>
      </c>
      <c r="E5871" s="5">
        <v>-28667</v>
      </c>
      <c r="F5871" s="3" t="s">
        <v>107</v>
      </c>
      <c r="G5871" s="3" t="s">
        <v>52</v>
      </c>
      <c r="H5871" s="2" t="s">
        <v>21</v>
      </c>
      <c r="I5871" s="2" t="s">
        <v>11645</v>
      </c>
      <c r="J5871" s="3" t="str">
        <f>HYPERLINK("https://www.boe.es/gazeta/dias/1821/07/05/pdfs/GMD-1821-189.pdf#page=2","Abrir facsímil")</f>
        <v>Abrir facsímil</v>
      </c>
      <c r="K5871" s="3" t="s">
        <v>23</v>
      </c>
    </row>
    <row r="5872" spans="1:11" ht="42" customHeight="1">
      <c r="A5872" s="2" t="s">
        <v>11646</v>
      </c>
      <c r="B5872" s="2" t="s">
        <v>11647</v>
      </c>
      <c r="C5872" s="2" t="s">
        <v>40</v>
      </c>
      <c r="D5872" s="2" t="s">
        <v>41</v>
      </c>
      <c r="E5872" s="5">
        <v>-28531</v>
      </c>
      <c r="F5872" s="3" t="s">
        <v>365</v>
      </c>
      <c r="G5872" s="3" t="s">
        <v>20</v>
      </c>
      <c r="H5872" s="2" t="s">
        <v>21</v>
      </c>
      <c r="I5872" s="2" t="s">
        <v>11648</v>
      </c>
      <c r="J5872" s="3" t="str">
        <f>HYPERLINK("https://www.boe.es/gazeta/dias/1821/11/18/pdfs/GMD-1821-329.pdf#page=3","Abrir facsímil")</f>
        <v>Abrir facsímil</v>
      </c>
      <c r="K5872" s="3" t="s">
        <v>23</v>
      </c>
    </row>
    <row r="5873" spans="1:11" ht="42" customHeight="1">
      <c r="A5873" s="2" t="s">
        <v>11646</v>
      </c>
      <c r="B5873" s="2" t="s">
        <v>11647</v>
      </c>
      <c r="C5873" s="2" t="s">
        <v>40</v>
      </c>
      <c r="D5873" s="2" t="s">
        <v>41</v>
      </c>
      <c r="E5873" s="5">
        <v>-28507</v>
      </c>
      <c r="F5873" s="3" t="s">
        <v>1158</v>
      </c>
      <c r="G5873" s="3" t="s">
        <v>20</v>
      </c>
      <c r="H5873" s="2" t="s">
        <v>21</v>
      </c>
      <c r="I5873" s="2" t="s">
        <v>11649</v>
      </c>
      <c r="J5873" s="3" t="str">
        <f>HYPERLINK("https://www.boe.es/gazeta/dias/1821/12/12/pdfs/GMD-1821-354.pdf#page=3","Abrir facsímil")</f>
        <v>Abrir facsímil</v>
      </c>
      <c r="K5873" s="3" t="s">
        <v>23</v>
      </c>
    </row>
    <row r="5874" spans="1:11" ht="42" customHeight="1">
      <c r="A5874" s="2" t="s">
        <v>11650</v>
      </c>
      <c r="B5874" s="2" t="s">
        <v>11651</v>
      </c>
      <c r="C5874" s="2" t="s">
        <v>40</v>
      </c>
      <c r="D5874" s="2" t="s">
        <v>41</v>
      </c>
      <c r="E5874" s="5">
        <v>-28683</v>
      </c>
      <c r="F5874" s="3" t="s">
        <v>332</v>
      </c>
      <c r="G5874" s="3" t="s">
        <v>333</v>
      </c>
      <c r="H5874" s="2" t="s">
        <v>21</v>
      </c>
      <c r="I5874" s="2" t="s">
        <v>11652</v>
      </c>
      <c r="J5874" s="3" t="str">
        <f>HYPERLINK("https://www.boe.es/gazeta/dias/1821/06/19/pdfs/GMD-1821-172.pdf#page=8","Abrir facsímil")</f>
        <v>Abrir facsímil</v>
      </c>
      <c r="K5874" s="3" t="s">
        <v>23</v>
      </c>
    </row>
    <row r="5875" spans="1:11" ht="42" customHeight="1">
      <c r="A5875" s="2" t="s">
        <v>11653</v>
      </c>
      <c r="B5875" s="2" t="s">
        <v>11653</v>
      </c>
      <c r="C5875" s="2" t="s">
        <v>26</v>
      </c>
      <c r="D5875" s="2" t="s">
        <v>27</v>
      </c>
      <c r="E5875" s="5">
        <v>-28558</v>
      </c>
      <c r="F5875" s="3" t="s">
        <v>758</v>
      </c>
      <c r="G5875" s="3" t="s">
        <v>20</v>
      </c>
      <c r="H5875" s="2" t="s">
        <v>21</v>
      </c>
      <c r="I5875" s="2" t="s">
        <v>11654</v>
      </c>
      <c r="J5875" s="3" t="str">
        <f>HYPERLINK("https://www.boe.es/gazeta/dias/1821/10/22/pdfs/GMD-1821-301.pdf#page=3","Abrir facsímil")</f>
        <v>Abrir facsímil</v>
      </c>
      <c r="K5875" s="3" t="s">
        <v>23</v>
      </c>
    </row>
    <row r="5876" spans="1:11" ht="42" customHeight="1">
      <c r="A5876" s="2" t="s">
        <v>11655</v>
      </c>
      <c r="B5876" s="2" t="s">
        <v>11655</v>
      </c>
      <c r="C5876" s="2" t="s">
        <v>70</v>
      </c>
      <c r="D5876" s="2" t="s">
        <v>27</v>
      </c>
      <c r="E5876" s="5">
        <v>-28660</v>
      </c>
      <c r="F5876" s="3" t="s">
        <v>7202</v>
      </c>
      <c r="G5876" s="3" t="s">
        <v>88</v>
      </c>
      <c r="H5876" s="2" t="s">
        <v>21</v>
      </c>
      <c r="I5876" s="2" t="s">
        <v>11656</v>
      </c>
      <c r="J5876" s="3" t="str">
        <f>HYPERLINK("https://www.boe.es/gazeta/dias/1821/07/12/pdfs/GMD-1821-197.pdf#page=4","Abrir facsímil")</f>
        <v>Abrir facsímil</v>
      </c>
      <c r="K5876" s="3" t="s">
        <v>23</v>
      </c>
    </row>
    <row r="5877" spans="1:11" ht="42" customHeight="1">
      <c r="A5877" s="2" t="s">
        <v>11655</v>
      </c>
      <c r="B5877" s="2" t="s">
        <v>11655</v>
      </c>
      <c r="C5877" s="2" t="s">
        <v>174</v>
      </c>
      <c r="D5877" s="2" t="s">
        <v>27</v>
      </c>
      <c r="E5877" s="5">
        <v>-28554</v>
      </c>
      <c r="F5877" s="3" t="s">
        <v>433</v>
      </c>
      <c r="G5877" s="3" t="s">
        <v>29</v>
      </c>
      <c r="H5877" s="2" t="s">
        <v>21</v>
      </c>
      <c r="I5877" s="2" t="s">
        <v>11657</v>
      </c>
      <c r="J5877" s="3" t="str">
        <f>HYPERLINK("https://www.boe.es/gazeta/dias/1821/10/26/pdfs/GMD-1821-305.pdf#page=6","Abrir facsímil")</f>
        <v>Abrir facsímil</v>
      </c>
      <c r="K5877" s="3" t="s">
        <v>23</v>
      </c>
    </row>
    <row r="5878" spans="1:11" ht="42" customHeight="1">
      <c r="A5878" s="2" t="s">
        <v>11658</v>
      </c>
      <c r="B5878" s="2" t="s">
        <v>11658</v>
      </c>
      <c r="C5878" s="2" t="s">
        <v>279</v>
      </c>
      <c r="D5878" s="2" t="s">
        <v>27</v>
      </c>
      <c r="E5878" s="5">
        <v>-28524</v>
      </c>
      <c r="F5878" s="3" t="s">
        <v>874</v>
      </c>
      <c r="G5878" s="3" t="s">
        <v>88</v>
      </c>
      <c r="H5878" s="2" t="s">
        <v>21</v>
      </c>
      <c r="I5878" s="2" t="s">
        <v>11659</v>
      </c>
      <c r="J5878" s="3" t="str">
        <f>HYPERLINK("https://www.boe.es/gazeta/dias/1821/11/25/pdfs/GMD-1821-336.pdf#page=4","Abrir facsímil")</f>
        <v>Abrir facsímil</v>
      </c>
      <c r="K5878" s="3" t="s">
        <v>23</v>
      </c>
    </row>
    <row r="5879" spans="1:11" ht="42" customHeight="1">
      <c r="A5879" s="2" t="s">
        <v>11660</v>
      </c>
      <c r="B5879" s="2" t="s">
        <v>11661</v>
      </c>
      <c r="C5879" s="2" t="s">
        <v>17</v>
      </c>
      <c r="D5879" s="2" t="s">
        <v>18</v>
      </c>
      <c r="E5879" s="5">
        <v>-28571</v>
      </c>
      <c r="F5879" s="3" t="s">
        <v>482</v>
      </c>
      <c r="G5879" s="3" t="s">
        <v>29</v>
      </c>
      <c r="H5879" s="2" t="s">
        <v>21</v>
      </c>
      <c r="I5879" s="2" t="s">
        <v>11662</v>
      </c>
      <c r="J5879" s="3" t="str">
        <f>HYPERLINK("https://www.boe.es/gazeta/dias/1821/10/09/pdfs/GMD-1821-288.pdf#page=6","Abrir facsímil")</f>
        <v>Abrir facsímil</v>
      </c>
      <c r="K5879" s="3" t="s">
        <v>23</v>
      </c>
    </row>
    <row r="5880" spans="1:11" ht="42" customHeight="1">
      <c r="A5880" s="2" t="s">
        <v>11663</v>
      </c>
      <c r="B5880" s="2" t="s">
        <v>11664</v>
      </c>
      <c r="C5880" s="2" t="s">
        <v>17</v>
      </c>
      <c r="D5880" s="2" t="s">
        <v>18</v>
      </c>
      <c r="E5880" s="5">
        <v>-28647</v>
      </c>
      <c r="F5880" s="3" t="s">
        <v>1295</v>
      </c>
      <c r="G5880" s="3" t="s">
        <v>88</v>
      </c>
      <c r="H5880" s="2" t="s">
        <v>21</v>
      </c>
      <c r="I5880" s="2" t="s">
        <v>11665</v>
      </c>
      <c r="J5880" s="3" t="str">
        <f>HYPERLINK("https://www.boe.es/gazeta/dias/1821/07/25/pdfs/GMD-1821-210.pdf#page=4","Abrir facsímil")</f>
        <v>Abrir facsímil</v>
      </c>
      <c r="K5880" s="3" t="s">
        <v>23</v>
      </c>
    </row>
    <row r="5881" spans="1:11" ht="42" customHeight="1">
      <c r="A5881" s="2" t="s">
        <v>11666</v>
      </c>
      <c r="B5881" s="2" t="s">
        <v>11667</v>
      </c>
      <c r="C5881" s="2" t="s">
        <v>35</v>
      </c>
      <c r="D5881" s="2" t="s">
        <v>27</v>
      </c>
      <c r="E5881" s="5">
        <v>-28560</v>
      </c>
      <c r="F5881" s="3" t="s">
        <v>363</v>
      </c>
      <c r="G5881" s="3" t="s">
        <v>162</v>
      </c>
      <c r="H5881" s="2" t="s">
        <v>21</v>
      </c>
      <c r="I5881" s="2" t="s">
        <v>11668</v>
      </c>
      <c r="J5881" s="3" t="str">
        <f>HYPERLINK("https://www.boe.es/gazeta/dias/1821/10/20/pdfs/GMD-1821-299.pdf#page=5","Abrir facsímil")</f>
        <v>Abrir facsímil</v>
      </c>
      <c r="K5881" s="3" t="s">
        <v>23</v>
      </c>
    </row>
    <row r="5882" spans="1:11" ht="42" customHeight="1">
      <c r="A5882" s="2" t="s">
        <v>11669</v>
      </c>
      <c r="B5882" s="2" t="s">
        <v>11670</v>
      </c>
      <c r="C5882" s="2" t="s">
        <v>35</v>
      </c>
      <c r="D5882" s="2" t="s">
        <v>27</v>
      </c>
      <c r="E5882" s="5">
        <v>-28698</v>
      </c>
      <c r="F5882" s="3" t="s">
        <v>2067</v>
      </c>
      <c r="G5882" s="3" t="s">
        <v>88</v>
      </c>
      <c r="H5882" s="2" t="s">
        <v>21</v>
      </c>
      <c r="I5882" s="2" t="s">
        <v>11671</v>
      </c>
      <c r="J5882" s="3" t="str">
        <f>HYPERLINK("https://www.boe.es/gazeta/dias/1821/06/04/pdfs/GMD-1821-157.pdf#page=4","Abrir facsímil")</f>
        <v>Abrir facsímil</v>
      </c>
      <c r="K5882" s="3" t="s">
        <v>23</v>
      </c>
    </row>
    <row r="5883" spans="1:11" ht="42" customHeight="1">
      <c r="A5883" s="2" t="s">
        <v>11672</v>
      </c>
      <c r="B5883" s="2" t="s">
        <v>11673</v>
      </c>
      <c r="C5883" s="2" t="s">
        <v>35</v>
      </c>
      <c r="D5883" s="2" t="s">
        <v>27</v>
      </c>
      <c r="E5883" s="5">
        <v>-28718</v>
      </c>
      <c r="F5883" s="3" t="s">
        <v>583</v>
      </c>
      <c r="G5883" s="3" t="s">
        <v>52</v>
      </c>
      <c r="H5883" s="2" t="s">
        <v>21</v>
      </c>
      <c r="I5883" s="2" t="s">
        <v>11674</v>
      </c>
      <c r="J5883" s="3" t="str">
        <f>HYPERLINK("https://www.boe.es/gazeta/dias/1821/05/15/pdfs/GMD-1821-137.pdf#page=2","Abrir facsímil")</f>
        <v>Abrir facsímil</v>
      </c>
      <c r="K5883" s="3" t="s">
        <v>23</v>
      </c>
    </row>
    <row r="5884" spans="1:11" ht="42" customHeight="1">
      <c r="A5884" s="2" t="s">
        <v>11675</v>
      </c>
      <c r="B5884" s="2" t="s">
        <v>11675</v>
      </c>
      <c r="C5884" s="2" t="s">
        <v>26</v>
      </c>
      <c r="D5884" s="2" t="s">
        <v>27</v>
      </c>
      <c r="E5884" s="5">
        <v>-28668</v>
      </c>
      <c r="F5884" s="3" t="s">
        <v>2130</v>
      </c>
      <c r="G5884" s="3" t="s">
        <v>88</v>
      </c>
      <c r="H5884" s="2" t="s">
        <v>21</v>
      </c>
      <c r="I5884" s="2" t="s">
        <v>11676</v>
      </c>
      <c r="J5884" s="3" t="str">
        <f>HYPERLINK("https://www.boe.es/gazeta/dias/1821/07/04/pdfs/GMD-1821-188.pdf#page=4","Abrir facsímil")</f>
        <v>Abrir facsímil</v>
      </c>
      <c r="K5884" s="3" t="s">
        <v>23</v>
      </c>
    </row>
    <row r="5885" spans="1:11" ht="42" customHeight="1">
      <c r="A5885" s="2" t="s">
        <v>11675</v>
      </c>
      <c r="B5885" s="2" t="s">
        <v>11675</v>
      </c>
      <c r="C5885" s="2" t="s">
        <v>40</v>
      </c>
      <c r="D5885" s="2" t="s">
        <v>41</v>
      </c>
      <c r="E5885" s="5">
        <v>-28641</v>
      </c>
      <c r="F5885" s="3" t="s">
        <v>398</v>
      </c>
      <c r="G5885" s="3" t="s">
        <v>52</v>
      </c>
      <c r="H5885" s="2" t="s">
        <v>21</v>
      </c>
      <c r="I5885" s="2" t="s">
        <v>11677</v>
      </c>
      <c r="J5885" s="3" t="str">
        <f>HYPERLINK("https://www.boe.es/gazeta/dias/1821/07/31/pdfs/GMD-1821-216.pdf#page=2","Abrir facsímil")</f>
        <v>Abrir facsímil</v>
      </c>
      <c r="K5885" s="3" t="s">
        <v>23</v>
      </c>
    </row>
    <row r="5886" spans="1:11" ht="42" customHeight="1">
      <c r="A5886" s="2" t="s">
        <v>11678</v>
      </c>
      <c r="B5886" s="2" t="s">
        <v>11679</v>
      </c>
      <c r="C5886" s="2" t="s">
        <v>17</v>
      </c>
      <c r="D5886" s="2" t="s">
        <v>18</v>
      </c>
      <c r="E5886" s="5">
        <v>-28760</v>
      </c>
      <c r="F5886" s="3" t="s">
        <v>170</v>
      </c>
      <c r="G5886" s="3" t="s">
        <v>88</v>
      </c>
      <c r="H5886" s="2" t="s">
        <v>21</v>
      </c>
      <c r="I5886" s="2" t="s">
        <v>11680</v>
      </c>
      <c r="J5886" s="3" t="str">
        <f>HYPERLINK("https://www.boe.es/gazeta/dias/1821/04/03/pdfs/GMD-1821-95.pdf#page=4","Abrir facsímil")</f>
        <v>Abrir facsímil</v>
      </c>
      <c r="K5886" s="3" t="s">
        <v>23</v>
      </c>
    </row>
    <row r="5887" spans="1:11" ht="42" customHeight="1">
      <c r="A5887" s="2" t="s">
        <v>11681</v>
      </c>
      <c r="B5887" s="2" t="s">
        <v>11682</v>
      </c>
      <c r="C5887" s="2" t="s">
        <v>26</v>
      </c>
      <c r="D5887" s="2" t="s">
        <v>27</v>
      </c>
      <c r="E5887" s="5">
        <v>-28617</v>
      </c>
      <c r="F5887" s="3" t="s">
        <v>436</v>
      </c>
      <c r="G5887" s="3" t="s">
        <v>88</v>
      </c>
      <c r="H5887" s="2" t="s">
        <v>30</v>
      </c>
      <c r="I5887" s="2" t="s">
        <v>11683</v>
      </c>
      <c r="J5887" s="3" t="str">
        <f>HYPERLINK("https://www.boe.es/gazeta/dias/1821/08/24/pdfs/GMD-1821-241.pdf#page=4","Abrir facsímil")</f>
        <v>Abrir facsímil</v>
      </c>
      <c r="K5887" s="3" t="s">
        <v>32</v>
      </c>
    </row>
    <row r="5888" spans="1:11" ht="42" customHeight="1">
      <c r="A5888" s="2" t="s">
        <v>11684</v>
      </c>
      <c r="B5888" s="2" t="s">
        <v>11685</v>
      </c>
      <c r="C5888" s="2" t="s">
        <v>26</v>
      </c>
      <c r="D5888" s="2" t="s">
        <v>27</v>
      </c>
      <c r="E5888" s="5">
        <v>-28654</v>
      </c>
      <c r="F5888" s="3" t="s">
        <v>674</v>
      </c>
      <c r="G5888" s="3" t="s">
        <v>88</v>
      </c>
      <c r="H5888" s="2" t="s">
        <v>21</v>
      </c>
      <c r="I5888" s="2" t="s">
        <v>11686</v>
      </c>
      <c r="J5888" s="3" t="str">
        <f>HYPERLINK("https://www.boe.es/gazeta/dias/1821/07/18/pdfs/GMD-1821-203.pdf#page=4","Abrir facsímil")</f>
        <v>Abrir facsímil</v>
      </c>
      <c r="K5888" s="3" t="s">
        <v>23</v>
      </c>
    </row>
    <row r="5889" spans="1:11" ht="42" customHeight="1">
      <c r="A5889" s="2" t="s">
        <v>11687</v>
      </c>
      <c r="B5889" s="2" t="s">
        <v>11687</v>
      </c>
      <c r="C5889" s="2" t="s">
        <v>17</v>
      </c>
      <c r="D5889" s="2" t="s">
        <v>18</v>
      </c>
      <c r="E5889" s="5">
        <v>-28785</v>
      </c>
      <c r="F5889" s="3" t="s">
        <v>1935</v>
      </c>
      <c r="G5889" s="3" t="s">
        <v>20</v>
      </c>
      <c r="H5889" s="2" t="s">
        <v>21</v>
      </c>
      <c r="I5889" s="2" t="s">
        <v>11688</v>
      </c>
      <c r="J5889" s="3" t="str">
        <f>HYPERLINK("https://www.boe.es/gazeta/dias/1821/03/09/pdfs/GGB-1821-68.pdf#page=3","Abrir facsímil")</f>
        <v>Abrir facsímil</v>
      </c>
      <c r="K5889" s="3" t="s">
        <v>23</v>
      </c>
    </row>
    <row r="5890" spans="1:11" ht="42" customHeight="1">
      <c r="A5890" s="2" t="s">
        <v>11687</v>
      </c>
      <c r="B5890" s="2" t="s">
        <v>11687</v>
      </c>
      <c r="C5890" s="2" t="s">
        <v>40</v>
      </c>
      <c r="D5890" s="2" t="s">
        <v>41</v>
      </c>
      <c r="E5890" s="5">
        <v>-28782</v>
      </c>
      <c r="F5890" s="3" t="s">
        <v>508</v>
      </c>
      <c r="G5890" s="3" t="s">
        <v>88</v>
      </c>
      <c r="H5890" s="2" t="s">
        <v>21</v>
      </c>
      <c r="I5890" s="2" t="s">
        <v>11689</v>
      </c>
      <c r="J5890" s="3" t="str">
        <f>HYPERLINK("https://www.boe.es/gazeta/dias/1821/03/12/pdfs/GMD-1821-71.pdf#page=4","Abrir facsímil")</f>
        <v>Abrir facsímil</v>
      </c>
      <c r="K5890" s="3" t="s">
        <v>23</v>
      </c>
    </row>
    <row r="5891" spans="1:11" ht="42" customHeight="1">
      <c r="A5891" s="2" t="s">
        <v>11687</v>
      </c>
      <c r="B5891" s="2" t="s">
        <v>11687</v>
      </c>
      <c r="C5891" s="2" t="s">
        <v>35</v>
      </c>
      <c r="D5891" s="2" t="s">
        <v>27</v>
      </c>
      <c r="E5891" s="5">
        <v>-28772</v>
      </c>
      <c r="F5891" s="3" t="s">
        <v>62</v>
      </c>
      <c r="G5891" s="3" t="s">
        <v>20</v>
      </c>
      <c r="H5891" s="2" t="s">
        <v>21</v>
      </c>
      <c r="I5891" s="2" t="s">
        <v>11690</v>
      </c>
      <c r="J5891" s="3" t="str">
        <f>HYPERLINK("https://www.boe.es/gazeta/dias/1821/03/22/pdfs/GMD-1821-81.pdf#page=3","Abrir facsímil")</f>
        <v>Abrir facsímil</v>
      </c>
      <c r="K5891" s="3" t="s">
        <v>23</v>
      </c>
    </row>
    <row r="5892" spans="1:11" ht="42" customHeight="1">
      <c r="A5892" s="2" t="s">
        <v>11687</v>
      </c>
      <c r="B5892" s="2" t="s">
        <v>11687</v>
      </c>
      <c r="C5892" s="2" t="s">
        <v>17</v>
      </c>
      <c r="D5892" s="2" t="s">
        <v>18</v>
      </c>
      <c r="E5892" s="5">
        <v>-28755</v>
      </c>
      <c r="F5892" s="3" t="s">
        <v>906</v>
      </c>
      <c r="G5892" s="3" t="s">
        <v>907</v>
      </c>
      <c r="H5892" s="2" t="s">
        <v>21</v>
      </c>
      <c r="I5892" s="2" t="s">
        <v>11691</v>
      </c>
      <c r="J5892" s="3" t="str">
        <f>HYPERLINK("https://www.boe.es/gazeta/dias/1821/04/08/pdfs/GMD-1821-100.pdf#page=4","Abrir facsímil")</f>
        <v>Abrir facsímil</v>
      </c>
      <c r="K5892" s="3" t="s">
        <v>23</v>
      </c>
    </row>
    <row r="5893" spans="1:11" ht="42" customHeight="1">
      <c r="A5893" s="2" t="s">
        <v>11687</v>
      </c>
      <c r="B5893" s="2" t="s">
        <v>11687</v>
      </c>
      <c r="C5893" s="2" t="s">
        <v>26</v>
      </c>
      <c r="D5893" s="2" t="s">
        <v>27</v>
      </c>
      <c r="E5893" s="5">
        <v>-28755</v>
      </c>
      <c r="F5893" s="3" t="s">
        <v>906</v>
      </c>
      <c r="G5893" s="3" t="s">
        <v>20</v>
      </c>
      <c r="H5893" s="2" t="s">
        <v>21</v>
      </c>
      <c r="I5893" s="2" t="s">
        <v>11692</v>
      </c>
      <c r="J5893" s="3" t="str">
        <f>HYPERLINK("https://www.boe.es/gazeta/dias/1821/04/08/pdfs/GMD-1821-100.pdf#page=3","Abrir facsímil")</f>
        <v>Abrir facsímil</v>
      </c>
      <c r="K5893" s="3" t="s">
        <v>23</v>
      </c>
    </row>
    <row r="5894" spans="1:11" ht="42" customHeight="1">
      <c r="A5894" s="2" t="s">
        <v>11687</v>
      </c>
      <c r="B5894" s="2" t="s">
        <v>11687</v>
      </c>
      <c r="C5894" s="2" t="s">
        <v>40</v>
      </c>
      <c r="D5894" s="2" t="s">
        <v>41</v>
      </c>
      <c r="E5894" s="5">
        <v>-28746</v>
      </c>
      <c r="F5894" s="3" t="s">
        <v>687</v>
      </c>
      <c r="G5894" s="3" t="s">
        <v>29</v>
      </c>
      <c r="H5894" s="2" t="s">
        <v>21</v>
      </c>
      <c r="I5894" s="2" t="s">
        <v>11693</v>
      </c>
      <c r="J5894" s="3" t="str">
        <f>HYPERLINK("https://www.boe.es/gazeta/dias/1821/04/17/pdfs/GMD-1821-109.pdf#page=6","Abrir facsímil")</f>
        <v>Abrir facsímil</v>
      </c>
      <c r="K5894" s="3" t="s">
        <v>23</v>
      </c>
    </row>
    <row r="5895" spans="1:11" ht="42" customHeight="1">
      <c r="A5895" s="2" t="s">
        <v>11687</v>
      </c>
      <c r="B5895" s="2" t="s">
        <v>11687</v>
      </c>
      <c r="C5895" s="2" t="s">
        <v>40</v>
      </c>
      <c r="D5895" s="2" t="s">
        <v>41</v>
      </c>
      <c r="E5895" s="5">
        <v>-28734</v>
      </c>
      <c r="F5895" s="3" t="s">
        <v>1553</v>
      </c>
      <c r="G5895" s="3" t="s">
        <v>20</v>
      </c>
      <c r="H5895" s="2" t="s">
        <v>21</v>
      </c>
      <c r="I5895" s="2" t="s">
        <v>11694</v>
      </c>
      <c r="J5895" s="3" t="str">
        <f>HYPERLINK("https://www.boe.es/gazeta/dias/1821/04/29/pdfs/GMD-1821-121.pdf#page=3","Abrir facsímil")</f>
        <v>Abrir facsímil</v>
      </c>
      <c r="K5895" s="3" t="s">
        <v>23</v>
      </c>
    </row>
    <row r="5896" spans="1:11" ht="42" customHeight="1">
      <c r="A5896" s="2" t="s">
        <v>11687</v>
      </c>
      <c r="B5896" s="2" t="s">
        <v>11687</v>
      </c>
      <c r="C5896" s="2" t="s">
        <v>35</v>
      </c>
      <c r="D5896" s="2" t="s">
        <v>27</v>
      </c>
      <c r="E5896" s="5">
        <v>-28721</v>
      </c>
      <c r="F5896" s="3" t="s">
        <v>92</v>
      </c>
      <c r="G5896" s="3" t="s">
        <v>52</v>
      </c>
      <c r="H5896" s="2" t="s">
        <v>21</v>
      </c>
      <c r="I5896" s="2" t="s">
        <v>11695</v>
      </c>
      <c r="J5896" s="3" t="str">
        <f>HYPERLINK("https://www.boe.es/gazeta/dias/1821/05/12/pdfs/GMD-1821-134.pdf#page=2","Abrir facsímil")</f>
        <v>Abrir facsímil</v>
      </c>
      <c r="K5896" s="3" t="s">
        <v>23</v>
      </c>
    </row>
    <row r="5897" spans="1:11" ht="42" customHeight="1">
      <c r="A5897" s="2" t="s">
        <v>11687</v>
      </c>
      <c r="B5897" s="2" t="s">
        <v>11687</v>
      </c>
      <c r="C5897" s="2" t="s">
        <v>35</v>
      </c>
      <c r="D5897" s="2" t="s">
        <v>27</v>
      </c>
      <c r="E5897" s="5">
        <v>-28716</v>
      </c>
      <c r="F5897" s="3" t="s">
        <v>842</v>
      </c>
      <c r="G5897" s="3" t="s">
        <v>52</v>
      </c>
      <c r="H5897" s="2" t="s">
        <v>21</v>
      </c>
      <c r="I5897" s="2" t="s">
        <v>11696</v>
      </c>
      <c r="J5897" s="3" t="str">
        <f>HYPERLINK("https://www.boe.es/gazeta/dias/1821/05/17/pdfs/GMD-1821-139.pdf#page=2","Abrir facsímil")</f>
        <v>Abrir facsímil</v>
      </c>
      <c r="K5897" s="3" t="s">
        <v>23</v>
      </c>
    </row>
    <row r="5898" spans="1:11" ht="42" customHeight="1">
      <c r="A5898" s="2" t="s">
        <v>11687</v>
      </c>
      <c r="B5898" s="2" t="s">
        <v>11687</v>
      </c>
      <c r="C5898" s="2" t="s">
        <v>26</v>
      </c>
      <c r="D5898" s="2" t="s">
        <v>27</v>
      </c>
      <c r="E5898" s="5">
        <v>-28710</v>
      </c>
      <c r="F5898" s="3" t="s">
        <v>375</v>
      </c>
      <c r="G5898" s="3" t="s">
        <v>7560</v>
      </c>
      <c r="H5898" s="2" t="s">
        <v>21</v>
      </c>
      <c r="I5898" s="2" t="s">
        <v>11697</v>
      </c>
      <c r="J5898" s="3" t="str">
        <f>HYPERLINK("https://www.boe.es/gazeta/dias/1821/05/23/pdfs/GMD-1821-145.pdf#page=3","Abrir facsímil")</f>
        <v>Abrir facsímil</v>
      </c>
      <c r="K5898" s="3" t="s">
        <v>23</v>
      </c>
    </row>
    <row r="5899" spans="1:11" ht="42" customHeight="1">
      <c r="A5899" s="2" t="s">
        <v>11687</v>
      </c>
      <c r="B5899" s="2" t="s">
        <v>11687</v>
      </c>
      <c r="C5899" s="2" t="s">
        <v>26</v>
      </c>
      <c r="D5899" s="2" t="s">
        <v>27</v>
      </c>
      <c r="E5899" s="5">
        <v>-28707</v>
      </c>
      <c r="F5899" s="3" t="s">
        <v>495</v>
      </c>
      <c r="G5899" s="3" t="s">
        <v>20</v>
      </c>
      <c r="H5899" s="2" t="s">
        <v>21</v>
      </c>
      <c r="I5899" s="2" t="s">
        <v>11698</v>
      </c>
      <c r="J5899" s="3" t="str">
        <f>HYPERLINK("https://www.boe.es/gazeta/dias/1821/05/26/pdfs/GMD-1821-148.pdf#page=3","Abrir facsímil")</f>
        <v>Abrir facsímil</v>
      </c>
      <c r="K5899" s="3" t="s">
        <v>23</v>
      </c>
    </row>
    <row r="5900" spans="1:11" ht="42" customHeight="1">
      <c r="A5900" s="2" t="s">
        <v>11687</v>
      </c>
      <c r="B5900" s="2" t="s">
        <v>11687</v>
      </c>
      <c r="C5900" s="2" t="s">
        <v>40</v>
      </c>
      <c r="D5900" s="2" t="s">
        <v>41</v>
      </c>
      <c r="E5900" s="5">
        <v>-28699</v>
      </c>
      <c r="F5900" s="3" t="s">
        <v>280</v>
      </c>
      <c r="G5900" s="3" t="s">
        <v>20</v>
      </c>
      <c r="H5900" s="2" t="s">
        <v>21</v>
      </c>
      <c r="I5900" s="2" t="s">
        <v>11699</v>
      </c>
      <c r="J5900" s="3" t="str">
        <f>HYPERLINK("https://www.boe.es/gazeta/dias/1821/06/03/pdfs/GMD-1821-156.pdf#page=3","Abrir facsímil")</f>
        <v>Abrir facsímil</v>
      </c>
      <c r="K5900" s="3" t="s">
        <v>23</v>
      </c>
    </row>
    <row r="5901" spans="1:11" ht="42" customHeight="1">
      <c r="A5901" s="2" t="s">
        <v>11687</v>
      </c>
      <c r="B5901" s="2" t="s">
        <v>11687</v>
      </c>
      <c r="C5901" s="2" t="s">
        <v>17</v>
      </c>
      <c r="D5901" s="2" t="s">
        <v>18</v>
      </c>
      <c r="E5901" s="5">
        <v>-28694</v>
      </c>
      <c r="F5901" s="3" t="s">
        <v>1057</v>
      </c>
      <c r="G5901" s="3" t="s">
        <v>20</v>
      </c>
      <c r="H5901" s="2" t="s">
        <v>21</v>
      </c>
      <c r="I5901" s="2" t="s">
        <v>11700</v>
      </c>
      <c r="J5901" s="3" t="str">
        <f>HYPERLINK("https://www.boe.es/gazeta/dias/1821/06/08/pdfs/GMD-1821-161.pdf#page=3","Abrir facsímil")</f>
        <v>Abrir facsímil</v>
      </c>
      <c r="K5901" s="3" t="s">
        <v>23</v>
      </c>
    </row>
    <row r="5902" spans="1:11" ht="42" customHeight="1">
      <c r="A5902" s="2" t="s">
        <v>11687</v>
      </c>
      <c r="B5902" s="2" t="s">
        <v>11687</v>
      </c>
      <c r="C5902" s="2" t="s">
        <v>35</v>
      </c>
      <c r="D5902" s="2" t="s">
        <v>27</v>
      </c>
      <c r="E5902" s="5">
        <v>-28687</v>
      </c>
      <c r="F5902" s="3" t="s">
        <v>851</v>
      </c>
      <c r="G5902" s="3" t="s">
        <v>20</v>
      </c>
      <c r="H5902" s="2" t="s">
        <v>21</v>
      </c>
      <c r="I5902" s="2" t="s">
        <v>11701</v>
      </c>
      <c r="J5902" s="3" t="str">
        <f>HYPERLINK("https://www.boe.es/gazeta/dias/1821/06/15/pdfs/GMD-1821-168.pdf#page=3","Abrir facsímil")</f>
        <v>Abrir facsímil</v>
      </c>
      <c r="K5902" s="3" t="s">
        <v>23</v>
      </c>
    </row>
    <row r="5903" spans="1:11" ht="42" customHeight="1">
      <c r="A5903" s="2" t="s">
        <v>11687</v>
      </c>
      <c r="B5903" s="2" t="s">
        <v>11687</v>
      </c>
      <c r="C5903" s="2" t="s">
        <v>26</v>
      </c>
      <c r="D5903" s="2" t="s">
        <v>27</v>
      </c>
      <c r="E5903" s="5">
        <v>-28684</v>
      </c>
      <c r="F5903" s="3" t="s">
        <v>208</v>
      </c>
      <c r="G5903" s="3" t="s">
        <v>52</v>
      </c>
      <c r="H5903" s="2" t="s">
        <v>21</v>
      </c>
      <c r="I5903" s="2" t="s">
        <v>11702</v>
      </c>
      <c r="J5903" s="3" t="str">
        <f>HYPERLINK("https://www.boe.es/gazeta/dias/1821/06/18/pdfs/GMD-1821-171.pdf#page=2","Abrir facsímil")</f>
        <v>Abrir facsímil</v>
      </c>
      <c r="K5903" s="3" t="s">
        <v>23</v>
      </c>
    </row>
    <row r="5904" spans="1:11" ht="42" customHeight="1">
      <c r="A5904" s="2" t="s">
        <v>11687</v>
      </c>
      <c r="B5904" s="2" t="s">
        <v>11687</v>
      </c>
      <c r="C5904" s="2" t="s">
        <v>494</v>
      </c>
      <c r="D5904" s="2" t="s">
        <v>18</v>
      </c>
      <c r="E5904" s="5">
        <v>-28684</v>
      </c>
      <c r="F5904" s="3" t="s">
        <v>208</v>
      </c>
      <c r="G5904" s="3" t="s">
        <v>20</v>
      </c>
      <c r="H5904" s="2" t="s">
        <v>21</v>
      </c>
      <c r="I5904" s="2" t="s">
        <v>11703</v>
      </c>
      <c r="J5904" s="3" t="str">
        <f>HYPERLINK("https://www.boe.es/gazeta/dias/1821/06/18/pdfs/GMD-1821-171.pdf#page=3","Abrir facsímil")</f>
        <v>Abrir facsímil</v>
      </c>
      <c r="K5904" s="3" t="s">
        <v>23</v>
      </c>
    </row>
    <row r="5905" spans="1:11" ht="42" customHeight="1">
      <c r="A5905" s="2" t="s">
        <v>11687</v>
      </c>
      <c r="B5905" s="2" t="s">
        <v>11687</v>
      </c>
      <c r="C5905" s="2" t="s">
        <v>17</v>
      </c>
      <c r="D5905" s="2" t="s">
        <v>18</v>
      </c>
      <c r="E5905" s="5">
        <v>-28657</v>
      </c>
      <c r="F5905" s="3" t="s">
        <v>5977</v>
      </c>
      <c r="G5905" s="3" t="s">
        <v>88</v>
      </c>
      <c r="H5905" s="2" t="s">
        <v>21</v>
      </c>
      <c r="I5905" s="2" t="s">
        <v>11704</v>
      </c>
      <c r="J5905" s="3" t="str">
        <f>HYPERLINK("https://www.boe.es/gazeta/dias/1821/07/15/pdfs/GMD-1821-200.pdf#page=4","Abrir facsímil")</f>
        <v>Abrir facsímil</v>
      </c>
      <c r="K5905" s="3" t="s">
        <v>23</v>
      </c>
    </row>
    <row r="5906" spans="1:11" ht="42" customHeight="1">
      <c r="A5906" s="2" t="s">
        <v>11687</v>
      </c>
      <c r="B5906" s="2" t="s">
        <v>11687</v>
      </c>
      <c r="C5906" s="2" t="s">
        <v>114</v>
      </c>
      <c r="D5906" s="2" t="s">
        <v>27</v>
      </c>
      <c r="E5906" s="5">
        <v>-28572</v>
      </c>
      <c r="F5906" s="3" t="s">
        <v>1072</v>
      </c>
      <c r="G5906" s="3" t="s">
        <v>20</v>
      </c>
      <c r="H5906" s="2" t="s">
        <v>21</v>
      </c>
      <c r="I5906" s="2" t="s">
        <v>11705</v>
      </c>
      <c r="J5906" s="3" t="str">
        <f>HYPERLINK("https://www.boe.es/gazeta/dias/1821/10/08/pdfs/GMD-1821-287.pdf#page=3","Abrir facsímil")</f>
        <v>Abrir facsímil</v>
      </c>
      <c r="K5906" s="3" t="s">
        <v>23</v>
      </c>
    </row>
    <row r="5907" spans="1:11" ht="42" customHeight="1">
      <c r="A5907" s="2" t="s">
        <v>11687</v>
      </c>
      <c r="B5907" s="2" t="s">
        <v>11687</v>
      </c>
      <c r="C5907" s="2" t="s">
        <v>35</v>
      </c>
      <c r="D5907" s="2" t="s">
        <v>27</v>
      </c>
      <c r="E5907" s="5">
        <v>-28570</v>
      </c>
      <c r="F5907" s="3" t="s">
        <v>2300</v>
      </c>
      <c r="G5907" s="3" t="s">
        <v>20</v>
      </c>
      <c r="H5907" s="2" t="s">
        <v>21</v>
      </c>
      <c r="I5907" s="2" t="s">
        <v>11706</v>
      </c>
      <c r="J5907" s="3" t="str">
        <f>HYPERLINK("https://www.boe.es/gazeta/dias/1821/10/10/pdfs/GMD-1821-289.pdf#page=3","Abrir facsímil")</f>
        <v>Abrir facsímil</v>
      </c>
      <c r="K5907" s="3" t="s">
        <v>23</v>
      </c>
    </row>
    <row r="5908" spans="1:11" ht="42" customHeight="1">
      <c r="A5908" s="2" t="s">
        <v>11687</v>
      </c>
      <c r="B5908" s="2" t="s">
        <v>11687</v>
      </c>
      <c r="C5908" s="2" t="s">
        <v>40</v>
      </c>
      <c r="D5908" s="2" t="s">
        <v>41</v>
      </c>
      <c r="E5908" s="5">
        <v>-28570</v>
      </c>
      <c r="F5908" s="3" t="s">
        <v>2300</v>
      </c>
      <c r="G5908" s="3" t="s">
        <v>88</v>
      </c>
      <c r="H5908" s="2" t="s">
        <v>21</v>
      </c>
      <c r="I5908" s="2" t="s">
        <v>11707</v>
      </c>
      <c r="J5908" s="3" t="str">
        <f>HYPERLINK("https://www.boe.es/gazeta/dias/1821/10/10/pdfs/GMD-1821-289.pdf#page=4","Abrir facsímil")</f>
        <v>Abrir facsímil</v>
      </c>
      <c r="K5908" s="3" t="s">
        <v>23</v>
      </c>
    </row>
    <row r="5909" spans="1:11" ht="42" customHeight="1">
      <c r="A5909" s="2" t="s">
        <v>11687</v>
      </c>
      <c r="B5909" s="2" t="s">
        <v>11687</v>
      </c>
      <c r="C5909" s="2" t="s">
        <v>26</v>
      </c>
      <c r="D5909" s="2" t="s">
        <v>27</v>
      </c>
      <c r="E5909" s="5">
        <v>-28566</v>
      </c>
      <c r="F5909" s="3" t="s">
        <v>1529</v>
      </c>
      <c r="G5909" s="3" t="s">
        <v>20</v>
      </c>
      <c r="H5909" s="2" t="s">
        <v>21</v>
      </c>
      <c r="I5909" s="2" t="s">
        <v>11708</v>
      </c>
      <c r="J5909" s="3" t="str">
        <f>HYPERLINK("https://www.boe.es/gazeta/dias/1821/10/14/pdfs/GMD-1821-293.pdf#page=3","Abrir facsímil")</f>
        <v>Abrir facsímil</v>
      </c>
      <c r="K5909" s="3" t="s">
        <v>23</v>
      </c>
    </row>
    <row r="5910" spans="1:11" ht="42" customHeight="1">
      <c r="A5910" s="2" t="s">
        <v>11687</v>
      </c>
      <c r="B5910" s="2" t="s">
        <v>11687</v>
      </c>
      <c r="C5910" s="2" t="s">
        <v>35</v>
      </c>
      <c r="D5910" s="2" t="s">
        <v>27</v>
      </c>
      <c r="E5910" s="5">
        <v>-28535</v>
      </c>
      <c r="F5910" s="3" t="s">
        <v>96</v>
      </c>
      <c r="G5910" s="3" t="s">
        <v>20</v>
      </c>
      <c r="H5910" s="2" t="s">
        <v>21</v>
      </c>
      <c r="I5910" s="2" t="s">
        <v>11709</v>
      </c>
      <c r="J5910" s="3" t="str">
        <f>HYPERLINK("https://www.boe.es/gazeta/dias/1821/11/14/pdfs/GMD-1821-325.pdf#page=3","Abrir facsímil")</f>
        <v>Abrir facsímil</v>
      </c>
      <c r="K5910" s="3" t="s">
        <v>23</v>
      </c>
    </row>
    <row r="5911" spans="1:11" ht="42" customHeight="1">
      <c r="A5911" s="2" t="s">
        <v>11687</v>
      </c>
      <c r="B5911" s="2" t="s">
        <v>11687</v>
      </c>
      <c r="C5911" s="2" t="s">
        <v>35</v>
      </c>
      <c r="D5911" s="2" t="s">
        <v>27</v>
      </c>
      <c r="E5911" s="5">
        <v>-28535</v>
      </c>
      <c r="F5911" s="3" t="s">
        <v>96</v>
      </c>
      <c r="G5911" s="3" t="s">
        <v>88</v>
      </c>
      <c r="H5911" s="2" t="s">
        <v>21</v>
      </c>
      <c r="I5911" s="2" t="s">
        <v>11710</v>
      </c>
      <c r="J5911" s="3" t="str">
        <f>HYPERLINK("https://www.boe.es/gazeta/dias/1821/11/14/pdfs/GMD-1821-325.pdf#page=4","Abrir facsímil")</f>
        <v>Abrir facsímil</v>
      </c>
      <c r="K5911" s="3" t="s">
        <v>23</v>
      </c>
    </row>
    <row r="5912" spans="1:11" ht="42" customHeight="1">
      <c r="A5912" s="2" t="s">
        <v>11687</v>
      </c>
      <c r="B5912" s="2" t="s">
        <v>11687</v>
      </c>
      <c r="C5912" s="2" t="s">
        <v>26</v>
      </c>
      <c r="D5912" s="2" t="s">
        <v>27</v>
      </c>
      <c r="E5912" s="5">
        <v>-28534</v>
      </c>
      <c r="F5912" s="3" t="s">
        <v>414</v>
      </c>
      <c r="G5912" s="3" t="s">
        <v>20</v>
      </c>
      <c r="H5912" s="2" t="s">
        <v>21</v>
      </c>
      <c r="I5912" s="2" t="s">
        <v>11711</v>
      </c>
      <c r="J5912" s="3" t="str">
        <f>HYPERLINK("https://www.boe.es/gazeta/dias/1821/11/15/pdfs/GMD-1821-326.pdf#page=3","Abrir facsímil")</f>
        <v>Abrir facsímil</v>
      </c>
      <c r="K5912" s="3" t="s">
        <v>23</v>
      </c>
    </row>
    <row r="5913" spans="1:11" ht="42" customHeight="1">
      <c r="A5913" s="2" t="s">
        <v>11687</v>
      </c>
      <c r="B5913" s="2" t="s">
        <v>11687</v>
      </c>
      <c r="C5913" s="2" t="s">
        <v>26</v>
      </c>
      <c r="D5913" s="2" t="s">
        <v>27</v>
      </c>
      <c r="E5913" s="5">
        <v>-28515</v>
      </c>
      <c r="F5913" s="3" t="s">
        <v>260</v>
      </c>
      <c r="G5913" s="3" t="s">
        <v>3841</v>
      </c>
      <c r="H5913" s="2" t="s">
        <v>21</v>
      </c>
      <c r="I5913" s="2" t="s">
        <v>11712</v>
      </c>
      <c r="J5913" s="3" t="str">
        <f>HYPERLINK("https://www.boe.es/gazeta/dias/1821/12/04/pdfs/GMD-1821-346.pdf#page=6","Abrir facsímil")</f>
        <v>Abrir facsímil</v>
      </c>
      <c r="K5913" s="3" t="s">
        <v>23</v>
      </c>
    </row>
    <row r="5914" spans="1:11" ht="42" customHeight="1">
      <c r="A5914" s="2" t="s">
        <v>11687</v>
      </c>
      <c r="B5914" s="2" t="s">
        <v>11687</v>
      </c>
      <c r="C5914" s="2" t="s">
        <v>26</v>
      </c>
      <c r="D5914" s="2" t="s">
        <v>27</v>
      </c>
      <c r="E5914" s="5">
        <v>-28502</v>
      </c>
      <c r="F5914" s="3" t="s">
        <v>570</v>
      </c>
      <c r="G5914" s="3" t="s">
        <v>20</v>
      </c>
      <c r="H5914" s="2" t="s">
        <v>21</v>
      </c>
      <c r="I5914" s="2" t="s">
        <v>11713</v>
      </c>
      <c r="J5914" s="3" t="str">
        <f>HYPERLINK("https://www.boe.es/gazeta/dias/1821/12/17/pdfs/GMD-1821-360.pdf#page=3","Abrir facsímil")</f>
        <v>Abrir facsímil</v>
      </c>
      <c r="K5914" s="3" t="s">
        <v>23</v>
      </c>
    </row>
    <row r="5915" spans="1:11" ht="42" customHeight="1">
      <c r="A5915" s="2" t="s">
        <v>11714</v>
      </c>
      <c r="B5915" s="2" t="s">
        <v>11715</v>
      </c>
      <c r="C5915" s="2" t="s">
        <v>17</v>
      </c>
      <c r="D5915" s="2" t="s">
        <v>18</v>
      </c>
      <c r="E5915" s="5">
        <v>-28699</v>
      </c>
      <c r="F5915" s="3" t="s">
        <v>280</v>
      </c>
      <c r="G5915" s="3" t="s">
        <v>52</v>
      </c>
      <c r="H5915" s="2" t="s">
        <v>21</v>
      </c>
      <c r="I5915" s="2" t="s">
        <v>11716</v>
      </c>
      <c r="J5915" s="3" t="str">
        <f>HYPERLINK("https://www.boe.es/gazeta/dias/1821/06/03/pdfs/GMD-1821-156.pdf#page=2","Abrir facsímil")</f>
        <v>Abrir facsímil</v>
      </c>
      <c r="K5915" s="3" t="s">
        <v>23</v>
      </c>
    </row>
    <row r="5916" spans="1:11" ht="42" customHeight="1">
      <c r="A5916" s="2" t="s">
        <v>11717</v>
      </c>
      <c r="B5916" s="2" t="s">
        <v>11718</v>
      </c>
      <c r="C5916" s="2" t="s">
        <v>40</v>
      </c>
      <c r="D5916" s="2" t="s">
        <v>41</v>
      </c>
      <c r="E5916" s="5">
        <v>-28579</v>
      </c>
      <c r="F5916" s="3" t="s">
        <v>743</v>
      </c>
      <c r="G5916" s="3" t="s">
        <v>52</v>
      </c>
      <c r="H5916" s="2" t="s">
        <v>21</v>
      </c>
      <c r="I5916" s="2" t="s">
        <v>11719</v>
      </c>
      <c r="J5916" s="3" t="str">
        <f>HYPERLINK("https://www.boe.es/gazeta/dias/1821/10/01/pdfs/GMD-1821-280.pdf#page=2","Abrir facsímil")</f>
        <v>Abrir facsímil</v>
      </c>
      <c r="K5916" s="3" t="s">
        <v>23</v>
      </c>
    </row>
    <row r="5917" spans="1:11" ht="42" customHeight="1">
      <c r="A5917" s="2" t="s">
        <v>11720</v>
      </c>
      <c r="B5917" s="2" t="s">
        <v>11721</v>
      </c>
      <c r="C5917" s="2" t="s">
        <v>26</v>
      </c>
      <c r="D5917" s="2" t="s">
        <v>27</v>
      </c>
      <c r="E5917" s="5">
        <v>-28515</v>
      </c>
      <c r="F5917" s="3" t="s">
        <v>260</v>
      </c>
      <c r="G5917" s="3" t="s">
        <v>333</v>
      </c>
      <c r="H5917" s="2" t="s">
        <v>21</v>
      </c>
      <c r="I5917" s="2" t="s">
        <v>11722</v>
      </c>
      <c r="J5917" s="3" t="str">
        <f>HYPERLINK("https://www.boe.es/gazeta/dias/1821/12/04/pdfs/GMD-1821-346.pdf#page=8","Abrir facsímil")</f>
        <v>Abrir facsímil</v>
      </c>
      <c r="K5917" s="3" t="s">
        <v>23</v>
      </c>
    </row>
    <row r="5918" spans="1:11" ht="42" customHeight="1">
      <c r="A5918" s="2" t="s">
        <v>11723</v>
      </c>
      <c r="B5918" s="2" t="s">
        <v>11724</v>
      </c>
      <c r="C5918" s="2" t="s">
        <v>26</v>
      </c>
      <c r="D5918" s="2" t="s">
        <v>27</v>
      </c>
      <c r="E5918" s="5">
        <v>-28699</v>
      </c>
      <c r="F5918" s="3" t="s">
        <v>280</v>
      </c>
      <c r="G5918" s="3" t="s">
        <v>52</v>
      </c>
      <c r="H5918" s="2" t="s">
        <v>21</v>
      </c>
      <c r="I5918" s="2" t="s">
        <v>11725</v>
      </c>
      <c r="J5918" s="3" t="str">
        <f>HYPERLINK("https://www.boe.es/gazeta/dias/1821/06/03/pdfs/GMD-1821-156.pdf#page=2","Abrir facsímil")</f>
        <v>Abrir facsímil</v>
      </c>
      <c r="K5918" s="3" t="s">
        <v>23</v>
      </c>
    </row>
    <row r="5919" spans="1:11" ht="42" customHeight="1">
      <c r="A5919" s="2" t="s">
        <v>11726</v>
      </c>
      <c r="B5919" s="2" t="s">
        <v>11726</v>
      </c>
      <c r="C5919" s="2" t="s">
        <v>40</v>
      </c>
      <c r="D5919" s="2" t="s">
        <v>41</v>
      </c>
      <c r="E5919" s="5">
        <v>-28660</v>
      </c>
      <c r="F5919" s="3" t="s">
        <v>7202</v>
      </c>
      <c r="G5919" s="3" t="s">
        <v>52</v>
      </c>
      <c r="H5919" s="2" t="s">
        <v>21</v>
      </c>
      <c r="I5919" s="2" t="s">
        <v>11727</v>
      </c>
      <c r="J5919" s="3" t="str">
        <f>HYPERLINK("https://www.boe.es/gazeta/dias/1821/07/12/pdfs/GMD-1821-197.pdf#page=2","Abrir facsímil")</f>
        <v>Abrir facsímil</v>
      </c>
      <c r="K5919" s="3" t="s">
        <v>23</v>
      </c>
    </row>
    <row r="5920" spans="1:11" ht="42" customHeight="1">
      <c r="A5920" s="2" t="s">
        <v>11728</v>
      </c>
      <c r="B5920" s="2" t="s">
        <v>11728</v>
      </c>
      <c r="C5920" s="2" t="s">
        <v>70</v>
      </c>
      <c r="D5920" s="2" t="s">
        <v>27</v>
      </c>
      <c r="E5920" s="5">
        <v>-28707</v>
      </c>
      <c r="F5920" s="3" t="s">
        <v>495</v>
      </c>
      <c r="G5920" s="3" t="s">
        <v>52</v>
      </c>
      <c r="H5920" s="2" t="s">
        <v>21</v>
      </c>
      <c r="I5920" s="2" t="s">
        <v>11729</v>
      </c>
      <c r="J5920" s="3" t="str">
        <f>HYPERLINK("https://www.boe.es/gazeta/dias/1821/05/26/pdfs/GMD-1821-148.pdf#page=2","Abrir facsímil")</f>
        <v>Abrir facsímil</v>
      </c>
      <c r="K5920" s="3" t="s">
        <v>23</v>
      </c>
    </row>
    <row r="5921" spans="1:11" ht="42" customHeight="1">
      <c r="A5921" s="2" t="s">
        <v>11730</v>
      </c>
      <c r="B5921" s="2" t="s">
        <v>11731</v>
      </c>
      <c r="C5921" s="2" t="s">
        <v>40</v>
      </c>
      <c r="D5921" s="2" t="s">
        <v>41</v>
      </c>
      <c r="E5921" s="5">
        <v>-28511</v>
      </c>
      <c r="F5921" s="3" t="s">
        <v>340</v>
      </c>
      <c r="G5921" s="3" t="s">
        <v>52</v>
      </c>
      <c r="H5921" s="2" t="s">
        <v>21</v>
      </c>
      <c r="I5921" s="2" t="s">
        <v>11732</v>
      </c>
      <c r="J5921" s="3" t="str">
        <f>HYPERLINK("https://www.boe.es/gazeta/dias/1821/12/08/pdfs/GMD-1821-350.pdf#page=2","Abrir facsímil")</f>
        <v>Abrir facsímil</v>
      </c>
      <c r="K5921" s="3" t="s">
        <v>23</v>
      </c>
    </row>
    <row r="5922" spans="1:11" ht="42" customHeight="1">
      <c r="A5922" s="2" t="s">
        <v>11733</v>
      </c>
      <c r="B5922" s="2" t="s">
        <v>11733</v>
      </c>
      <c r="C5922" s="2" t="s">
        <v>40</v>
      </c>
      <c r="D5922" s="2" t="s">
        <v>41</v>
      </c>
      <c r="E5922" s="5">
        <v>-28679</v>
      </c>
      <c r="F5922" s="3" t="s">
        <v>213</v>
      </c>
      <c r="G5922" s="3" t="s">
        <v>43</v>
      </c>
      <c r="H5922" s="2" t="s">
        <v>21</v>
      </c>
      <c r="I5922" s="2" t="s">
        <v>11734</v>
      </c>
      <c r="J5922" s="3" t="str">
        <f>HYPERLINK("https://www.boe.es/gazeta/dias/1821/06/23/pdfs/GMD-1821-176.pdf#page=1","Abrir facsímil")</f>
        <v>Abrir facsímil</v>
      </c>
      <c r="K5922" s="3" t="s">
        <v>23</v>
      </c>
    </row>
    <row r="5923" spans="1:11" ht="42" customHeight="1">
      <c r="A5923" s="2" t="s">
        <v>11735</v>
      </c>
      <c r="B5923" s="2" t="s">
        <v>11736</v>
      </c>
      <c r="C5923" s="2" t="s">
        <v>17</v>
      </c>
      <c r="D5923" s="2" t="s">
        <v>18</v>
      </c>
      <c r="E5923" s="5">
        <v>-28762</v>
      </c>
      <c r="F5923" s="3" t="s">
        <v>608</v>
      </c>
      <c r="G5923" s="3" t="s">
        <v>333</v>
      </c>
      <c r="H5923" s="2" t="s">
        <v>30</v>
      </c>
      <c r="I5923" s="2" t="s">
        <v>11737</v>
      </c>
      <c r="J5923" s="3" t="str">
        <f>HYPERLINK("https://www.boe.es/gazeta/dias/1821/04/01/pdfs/GMD-1821-93.pdf#page=8","Abrir facsímil")</f>
        <v>Abrir facsímil</v>
      </c>
      <c r="K5923" s="3" t="s">
        <v>32</v>
      </c>
    </row>
    <row r="5924" spans="1:11" ht="42" customHeight="1">
      <c r="A5924" s="2" t="s">
        <v>11735</v>
      </c>
      <c r="B5924" s="2" t="s">
        <v>11736</v>
      </c>
      <c r="C5924" s="2" t="s">
        <v>26</v>
      </c>
      <c r="D5924" s="2" t="s">
        <v>27</v>
      </c>
      <c r="E5924" s="5">
        <v>-28718</v>
      </c>
      <c r="F5924" s="3" t="s">
        <v>583</v>
      </c>
      <c r="G5924" s="3" t="s">
        <v>88</v>
      </c>
      <c r="H5924" s="2" t="s">
        <v>30</v>
      </c>
      <c r="I5924" s="2" t="s">
        <v>11738</v>
      </c>
      <c r="J5924" s="3" t="str">
        <f>HYPERLINK("https://www.boe.es/gazeta/dias/1821/05/15/pdfs/GMD-1821-137.pdf#page=4","Abrir facsímil")</f>
        <v>Abrir facsímil</v>
      </c>
      <c r="K5924" s="3" t="s">
        <v>32</v>
      </c>
    </row>
    <row r="5925" spans="1:11" ht="42" customHeight="1">
      <c r="A5925" s="2" t="s">
        <v>11735</v>
      </c>
      <c r="B5925" s="2" t="s">
        <v>11736</v>
      </c>
      <c r="C5925" s="2" t="s">
        <v>40</v>
      </c>
      <c r="D5925" s="2" t="s">
        <v>41</v>
      </c>
      <c r="E5925" s="5">
        <v>-28716</v>
      </c>
      <c r="F5925" s="3" t="s">
        <v>842</v>
      </c>
      <c r="G5925" s="3" t="s">
        <v>88</v>
      </c>
      <c r="H5925" s="2" t="s">
        <v>30</v>
      </c>
      <c r="I5925" s="2" t="s">
        <v>11739</v>
      </c>
      <c r="J5925" s="3" t="str">
        <f>HYPERLINK("https://www.boe.es/gazeta/dias/1821/05/17/pdfs/GMD-1821-139.pdf#page=4","Abrir facsímil")</f>
        <v>Abrir facsímil</v>
      </c>
      <c r="K5925" s="3" t="s">
        <v>32</v>
      </c>
    </row>
    <row r="5926" spans="1:11" ht="42" customHeight="1">
      <c r="A5926" s="2" t="s">
        <v>11735</v>
      </c>
      <c r="B5926" s="2" t="s">
        <v>11736</v>
      </c>
      <c r="C5926" s="2" t="s">
        <v>17</v>
      </c>
      <c r="D5926" s="2" t="s">
        <v>18</v>
      </c>
      <c r="E5926" s="5">
        <v>-28707</v>
      </c>
      <c r="F5926" s="3" t="s">
        <v>495</v>
      </c>
      <c r="G5926" s="3" t="s">
        <v>88</v>
      </c>
      <c r="H5926" s="2" t="s">
        <v>30</v>
      </c>
      <c r="I5926" s="2" t="s">
        <v>11740</v>
      </c>
      <c r="J5926" s="3" t="str">
        <f>HYPERLINK("https://www.boe.es/gazeta/dias/1821/05/26/pdfs/GMD-1821-148.pdf#page=4","Abrir facsímil")</f>
        <v>Abrir facsímil</v>
      </c>
      <c r="K5926" s="3" t="s">
        <v>32</v>
      </c>
    </row>
    <row r="5927" spans="1:11" ht="42" customHeight="1">
      <c r="A5927" s="2" t="s">
        <v>11735</v>
      </c>
      <c r="B5927" s="2" t="s">
        <v>11736</v>
      </c>
      <c r="C5927" s="2" t="s">
        <v>17</v>
      </c>
      <c r="D5927" s="2" t="s">
        <v>18</v>
      </c>
      <c r="E5927" s="5">
        <v>-28644</v>
      </c>
      <c r="F5927" s="3" t="s">
        <v>1340</v>
      </c>
      <c r="G5927" s="3" t="s">
        <v>88</v>
      </c>
      <c r="H5927" s="2" t="s">
        <v>30</v>
      </c>
      <c r="I5927" s="2" t="s">
        <v>11741</v>
      </c>
      <c r="J5927" s="3" t="str">
        <f>HYPERLINK("https://www.boe.es/gazeta/dias/1821/07/28/pdfs/GMD-1821-213.pdf#page=4","Abrir facsímil")</f>
        <v>Abrir facsímil</v>
      </c>
      <c r="K5927" s="3" t="s">
        <v>32</v>
      </c>
    </row>
    <row r="5928" spans="1:11" ht="42" customHeight="1">
      <c r="A5928" s="2" t="s">
        <v>11735</v>
      </c>
      <c r="B5928" s="2" t="s">
        <v>11736</v>
      </c>
      <c r="C5928" s="2" t="s">
        <v>26</v>
      </c>
      <c r="D5928" s="2" t="s">
        <v>27</v>
      </c>
      <c r="E5928" s="5">
        <v>-28640</v>
      </c>
      <c r="F5928" s="3" t="s">
        <v>1590</v>
      </c>
      <c r="G5928" s="3" t="s">
        <v>29</v>
      </c>
      <c r="H5928" s="2" t="s">
        <v>30</v>
      </c>
      <c r="I5928" s="2" t="s">
        <v>11742</v>
      </c>
      <c r="J5928" s="3" t="str">
        <f>HYPERLINK("https://www.boe.es/gazeta/dias/1821/08/01/pdfs/GMD-1821-217.pdf#page=6","Abrir facsímil")</f>
        <v>Abrir facsímil</v>
      </c>
      <c r="K5928" s="3" t="s">
        <v>32</v>
      </c>
    </row>
    <row r="5929" spans="1:11" ht="42" customHeight="1">
      <c r="A5929" s="2" t="s">
        <v>11735</v>
      </c>
      <c r="B5929" s="2" t="s">
        <v>11736</v>
      </c>
      <c r="C5929" s="2" t="s">
        <v>17</v>
      </c>
      <c r="D5929" s="2" t="s">
        <v>18</v>
      </c>
      <c r="E5929" s="5">
        <v>-28535</v>
      </c>
      <c r="F5929" s="3" t="s">
        <v>96</v>
      </c>
      <c r="G5929" s="3" t="s">
        <v>29</v>
      </c>
      <c r="H5929" s="2" t="s">
        <v>30</v>
      </c>
      <c r="I5929" s="2" t="s">
        <v>11743</v>
      </c>
      <c r="J5929" s="3" t="str">
        <f>HYPERLINK("https://www.boe.es/gazeta/dias/1821/11/14/pdfs/GMD-1821-325.pdf#page=6","Abrir facsímil")</f>
        <v>Abrir facsímil</v>
      </c>
      <c r="K5929" s="3" t="s">
        <v>32</v>
      </c>
    </row>
    <row r="5930" spans="1:11" ht="42" customHeight="1">
      <c r="A5930" s="2" t="s">
        <v>11735</v>
      </c>
      <c r="B5930" s="2" t="s">
        <v>11736</v>
      </c>
      <c r="C5930" s="2" t="s">
        <v>17</v>
      </c>
      <c r="D5930" s="2" t="s">
        <v>18</v>
      </c>
      <c r="E5930" s="5">
        <v>-28494</v>
      </c>
      <c r="F5930" s="3" t="s">
        <v>1665</v>
      </c>
      <c r="G5930" s="3" t="s">
        <v>3631</v>
      </c>
      <c r="H5930" s="2" t="s">
        <v>30</v>
      </c>
      <c r="I5930" s="2" t="s">
        <v>11744</v>
      </c>
      <c r="J5930" s="3" t="str">
        <f>HYPERLINK("https://www.boe.es/gazeta/dias/1821/12/25/pdfs/GMD-1821-368.pdf#page=4","Abrir facsímil")</f>
        <v>Abrir facsímil</v>
      </c>
      <c r="K5930" s="3" t="s">
        <v>32</v>
      </c>
    </row>
    <row r="5931" spans="1:11" ht="42" customHeight="1">
      <c r="A5931" s="2" t="s">
        <v>11745</v>
      </c>
      <c r="B5931" s="2" t="s">
        <v>11746</v>
      </c>
      <c r="C5931" s="2" t="s">
        <v>26</v>
      </c>
      <c r="D5931" s="2" t="s">
        <v>27</v>
      </c>
      <c r="E5931" s="5">
        <v>-28716</v>
      </c>
      <c r="F5931" s="3" t="s">
        <v>842</v>
      </c>
      <c r="G5931" s="3" t="s">
        <v>88</v>
      </c>
      <c r="H5931" s="2" t="s">
        <v>21</v>
      </c>
      <c r="I5931" s="2" t="s">
        <v>11747</v>
      </c>
      <c r="J5931" s="3" t="str">
        <f>HYPERLINK("https://www.boe.es/gazeta/dias/1821/05/17/pdfs/GMD-1821-139.pdf#page=4","Abrir facsímil")</f>
        <v>Abrir facsímil</v>
      </c>
      <c r="K5931" s="3" t="s">
        <v>23</v>
      </c>
    </row>
    <row r="5932" spans="1:11" ht="42" customHeight="1">
      <c r="A5932" s="2" t="s">
        <v>11748</v>
      </c>
      <c r="B5932" s="2" t="s">
        <v>11748</v>
      </c>
      <c r="C5932" s="2" t="s">
        <v>40</v>
      </c>
      <c r="D5932" s="2" t="s">
        <v>41</v>
      </c>
      <c r="E5932" s="5">
        <v>-28778</v>
      </c>
      <c r="F5932" s="3" t="s">
        <v>1301</v>
      </c>
      <c r="G5932" s="3" t="s">
        <v>43</v>
      </c>
      <c r="H5932" s="2" t="s">
        <v>21</v>
      </c>
      <c r="I5932" s="2" t="s">
        <v>11749</v>
      </c>
      <c r="J5932" s="3" t="str">
        <f>HYPERLINK("https://www.boe.es/gazeta/dias/1821/03/16/pdfs/GMD-1821-75.pdf#page=1","Abrir facsímil")</f>
        <v>Abrir facsímil</v>
      </c>
      <c r="K5932" s="3" t="s">
        <v>23</v>
      </c>
    </row>
    <row r="5933" spans="1:11" ht="42" customHeight="1">
      <c r="A5933" s="2" t="s">
        <v>11750</v>
      </c>
      <c r="B5933" s="2" t="s">
        <v>11750</v>
      </c>
      <c r="C5933" s="2" t="s">
        <v>40</v>
      </c>
      <c r="D5933" s="2" t="s">
        <v>41</v>
      </c>
      <c r="E5933" s="5">
        <v>-28683</v>
      </c>
      <c r="F5933" s="3" t="s">
        <v>332</v>
      </c>
      <c r="G5933" s="3" t="s">
        <v>20</v>
      </c>
      <c r="H5933" s="2" t="s">
        <v>21</v>
      </c>
      <c r="I5933" s="2" t="s">
        <v>11751</v>
      </c>
      <c r="J5933" s="3" t="str">
        <f>HYPERLINK("https://www.boe.es/gazeta/dias/1821/06/19/pdfs/GMD-1821-172.pdf#page=3","Abrir facsímil")</f>
        <v>Abrir facsímil</v>
      </c>
      <c r="K5933" s="3" t="s">
        <v>23</v>
      </c>
    </row>
    <row r="5934" spans="1:11" ht="42" customHeight="1">
      <c r="A5934" s="2" t="s">
        <v>11752</v>
      </c>
      <c r="B5934" s="2" t="s">
        <v>11752</v>
      </c>
      <c r="C5934" s="2" t="s">
        <v>40</v>
      </c>
      <c r="D5934" s="2" t="s">
        <v>41</v>
      </c>
      <c r="E5934" s="5">
        <v>-28722</v>
      </c>
      <c r="F5934" s="3" t="s">
        <v>623</v>
      </c>
      <c r="G5934" s="3" t="s">
        <v>20</v>
      </c>
      <c r="H5934" s="2" t="s">
        <v>21</v>
      </c>
      <c r="I5934" s="2" t="s">
        <v>11753</v>
      </c>
      <c r="J5934" s="3" t="str">
        <f>HYPERLINK("https://www.boe.es/gazeta/dias/1821/05/11/pdfs/GMD-1821-133.pdf#page=3","Abrir facsímil")</f>
        <v>Abrir facsímil</v>
      </c>
      <c r="K5934" s="3" t="s">
        <v>23</v>
      </c>
    </row>
    <row r="5935" spans="1:11" ht="42" customHeight="1">
      <c r="A5935" s="2" t="s">
        <v>11752</v>
      </c>
      <c r="B5935" s="2" t="s">
        <v>11752</v>
      </c>
      <c r="C5935" s="2" t="s">
        <v>174</v>
      </c>
      <c r="D5935" s="2" t="s">
        <v>27</v>
      </c>
      <c r="E5935" s="5">
        <v>-28569</v>
      </c>
      <c r="F5935" s="3" t="s">
        <v>512</v>
      </c>
      <c r="G5935" s="3" t="s">
        <v>29</v>
      </c>
      <c r="H5935" s="2" t="s">
        <v>21</v>
      </c>
      <c r="I5935" s="2" t="s">
        <v>11754</v>
      </c>
      <c r="J5935" s="3" t="str">
        <f>HYPERLINK("https://www.boe.es/gazeta/dias/1821/10/11/pdfs/GMD-1821-290.pdf#page=6","Abrir facsímil")</f>
        <v>Abrir facsímil</v>
      </c>
      <c r="K5935" s="3" t="s">
        <v>23</v>
      </c>
    </row>
    <row r="5936" spans="1:11" ht="42" customHeight="1">
      <c r="A5936" s="2" t="s">
        <v>11752</v>
      </c>
      <c r="B5936" s="2" t="s">
        <v>11752</v>
      </c>
      <c r="C5936" s="2" t="s">
        <v>40</v>
      </c>
      <c r="D5936" s="2" t="s">
        <v>41</v>
      </c>
      <c r="E5936" s="5">
        <v>-28568</v>
      </c>
      <c r="F5936" s="3" t="s">
        <v>539</v>
      </c>
      <c r="G5936" s="3" t="s">
        <v>162</v>
      </c>
      <c r="H5936" s="2" t="s">
        <v>21</v>
      </c>
      <c r="I5936" s="2" t="s">
        <v>11755</v>
      </c>
      <c r="J5936" s="3" t="str">
        <f>HYPERLINK("https://www.boe.es/gazeta/dias/1821/10/12/pdfs/GMD-1821-291.pdf#page=5","Abrir facsímil")</f>
        <v>Abrir facsímil</v>
      </c>
      <c r="K5936" s="3" t="s">
        <v>23</v>
      </c>
    </row>
    <row r="5937" spans="1:11" ht="42" customHeight="1">
      <c r="A5937" s="2" t="s">
        <v>11752</v>
      </c>
      <c r="B5937" s="2" t="s">
        <v>11752</v>
      </c>
      <c r="C5937" s="2" t="s">
        <v>40</v>
      </c>
      <c r="D5937" s="2" t="s">
        <v>41</v>
      </c>
      <c r="E5937" s="5">
        <v>-28561</v>
      </c>
      <c r="F5937" s="3" t="s">
        <v>240</v>
      </c>
      <c r="G5937" s="3" t="s">
        <v>88</v>
      </c>
      <c r="H5937" s="2" t="s">
        <v>21</v>
      </c>
      <c r="I5937" s="2" t="s">
        <v>11756</v>
      </c>
      <c r="J5937" s="3" t="str">
        <f>HYPERLINK("https://www.boe.es/gazeta/dias/1821/10/19/pdfs/GMD-1821-298.pdf#page=4","Abrir facsímil")</f>
        <v>Abrir facsímil</v>
      </c>
      <c r="K5937" s="3" t="s">
        <v>23</v>
      </c>
    </row>
    <row r="5938" spans="1:11" ht="42" customHeight="1">
      <c r="A5938" s="2" t="s">
        <v>11757</v>
      </c>
      <c r="B5938" s="2" t="s">
        <v>11757</v>
      </c>
      <c r="C5938" s="2" t="s">
        <v>17</v>
      </c>
      <c r="D5938" s="2" t="s">
        <v>18</v>
      </c>
      <c r="E5938" s="5">
        <v>-28561</v>
      </c>
      <c r="F5938" s="3" t="s">
        <v>240</v>
      </c>
      <c r="G5938" s="3" t="s">
        <v>88</v>
      </c>
      <c r="H5938" s="2" t="s">
        <v>21</v>
      </c>
      <c r="I5938" s="2" t="s">
        <v>11758</v>
      </c>
      <c r="J5938" s="3" t="str">
        <f>HYPERLINK("https://www.boe.es/gazeta/dias/1821/10/19/pdfs/GMD-1821-298.pdf#page=4","Abrir facsímil")</f>
        <v>Abrir facsímil</v>
      </c>
      <c r="K5938" s="3" t="s">
        <v>23</v>
      </c>
    </row>
    <row r="5939" spans="1:11" ht="42" customHeight="1">
      <c r="A5939" s="2" t="s">
        <v>11759</v>
      </c>
      <c r="B5939" s="2" t="s">
        <v>11759</v>
      </c>
      <c r="C5939" s="2" t="s">
        <v>17</v>
      </c>
      <c r="D5939" s="2" t="s">
        <v>18</v>
      </c>
      <c r="E5939" s="5">
        <v>-28679</v>
      </c>
      <c r="F5939" s="3" t="s">
        <v>213</v>
      </c>
      <c r="G5939" s="3" t="s">
        <v>43</v>
      </c>
      <c r="H5939" s="2" t="s">
        <v>21</v>
      </c>
      <c r="I5939" s="2" t="s">
        <v>11760</v>
      </c>
      <c r="J5939" s="3" t="str">
        <f>HYPERLINK("https://www.boe.es/gazeta/dias/1821/06/23/pdfs/GMD-1821-176.pdf#page=1","Abrir facsímil")</f>
        <v>Abrir facsímil</v>
      </c>
      <c r="K5939" s="3" t="s">
        <v>23</v>
      </c>
    </row>
    <row r="5940" spans="1:11" ht="42" customHeight="1">
      <c r="A5940" s="2" t="s">
        <v>11761</v>
      </c>
      <c r="B5940" s="2" t="s">
        <v>11761</v>
      </c>
      <c r="C5940" s="2" t="s">
        <v>17</v>
      </c>
      <c r="D5940" s="2" t="s">
        <v>18</v>
      </c>
      <c r="E5940" s="5">
        <v>-28614</v>
      </c>
      <c r="F5940" s="3" t="s">
        <v>4451</v>
      </c>
      <c r="G5940" s="3" t="s">
        <v>52</v>
      </c>
      <c r="H5940" s="2" t="s">
        <v>21</v>
      </c>
      <c r="I5940" s="2" t="s">
        <v>11762</v>
      </c>
      <c r="J5940" s="3" t="str">
        <f>HYPERLINK("https://www.boe.es/gazeta/dias/1821/08/27/pdfs/GMD-1821-244.pdf#page=2","Abrir facsímil")</f>
        <v>Abrir facsímil</v>
      </c>
      <c r="K5940" s="3" t="s">
        <v>23</v>
      </c>
    </row>
    <row r="5941" spans="1:11" ht="42" customHeight="1">
      <c r="A5941" s="2" t="s">
        <v>11763</v>
      </c>
      <c r="B5941" s="2" t="s">
        <v>11763</v>
      </c>
      <c r="C5941" s="2" t="s">
        <v>35</v>
      </c>
      <c r="D5941" s="2" t="s">
        <v>27</v>
      </c>
      <c r="E5941" s="5">
        <v>-28715</v>
      </c>
      <c r="F5941" s="3" t="s">
        <v>1046</v>
      </c>
      <c r="G5941" s="3" t="s">
        <v>20</v>
      </c>
      <c r="H5941" s="2" t="s">
        <v>21</v>
      </c>
      <c r="I5941" s="2" t="s">
        <v>11764</v>
      </c>
      <c r="J5941" s="3" t="str">
        <f>HYPERLINK("https://www.boe.es/gazeta/dias/1821/05/18/pdfs/GMD-1821-140.pdf#page=3","Abrir facsímil")</f>
        <v>Abrir facsímil</v>
      </c>
      <c r="K5941" s="3" t="s">
        <v>23</v>
      </c>
    </row>
    <row r="5942" spans="1:11" ht="42" customHeight="1">
      <c r="A5942" s="2" t="s">
        <v>11763</v>
      </c>
      <c r="B5942" s="2" t="s">
        <v>11763</v>
      </c>
      <c r="C5942" s="2" t="s">
        <v>26</v>
      </c>
      <c r="D5942" s="2" t="s">
        <v>27</v>
      </c>
      <c r="E5942" s="5">
        <v>-28666</v>
      </c>
      <c r="F5942" s="3" t="s">
        <v>1263</v>
      </c>
      <c r="G5942" s="3" t="s">
        <v>20</v>
      </c>
      <c r="H5942" s="2" t="s">
        <v>21</v>
      </c>
      <c r="I5942" s="2" t="s">
        <v>11765</v>
      </c>
      <c r="J5942" s="3" t="str">
        <f>HYPERLINK("https://www.boe.es/gazeta/dias/1821/07/06/pdfs/GMD-1821-190.pdf#page=3","Abrir facsímil")</f>
        <v>Abrir facsímil</v>
      </c>
      <c r="K5942" s="3" t="s">
        <v>23</v>
      </c>
    </row>
    <row r="5943" spans="1:11" ht="42" customHeight="1">
      <c r="A5943" s="2" t="s">
        <v>11763</v>
      </c>
      <c r="B5943" s="2" t="s">
        <v>11763</v>
      </c>
      <c r="C5943" s="2" t="s">
        <v>26</v>
      </c>
      <c r="D5943" s="2" t="s">
        <v>27</v>
      </c>
      <c r="E5943" s="5">
        <v>-28524</v>
      </c>
      <c r="F5943" s="3" t="s">
        <v>874</v>
      </c>
      <c r="G5943" s="3" t="s">
        <v>52</v>
      </c>
      <c r="H5943" s="2" t="s">
        <v>21</v>
      </c>
      <c r="I5943" s="2" t="s">
        <v>11766</v>
      </c>
      <c r="J5943" s="3" t="str">
        <f>HYPERLINK("https://www.boe.es/gazeta/dias/1821/11/25/pdfs/GMD-1821-336.pdf#page=2","Abrir facsímil")</f>
        <v>Abrir facsímil</v>
      </c>
      <c r="K5943" s="3" t="s">
        <v>23</v>
      </c>
    </row>
    <row r="5944" spans="1:11" ht="42" customHeight="1">
      <c r="A5944" s="2" t="s">
        <v>11767</v>
      </c>
      <c r="B5944" s="2" t="s">
        <v>11767</v>
      </c>
      <c r="C5944" s="2" t="s">
        <v>17</v>
      </c>
      <c r="D5944" s="2" t="s">
        <v>18</v>
      </c>
      <c r="E5944" s="5">
        <v>-28803</v>
      </c>
      <c r="F5944" s="3" t="s">
        <v>320</v>
      </c>
      <c r="G5944" s="3" t="s">
        <v>52</v>
      </c>
      <c r="H5944" s="2" t="s">
        <v>21</v>
      </c>
      <c r="I5944" s="2" t="s">
        <v>11768</v>
      </c>
      <c r="J5944" s="3" t="str">
        <f>HYPERLINK("https://www.boe.es/gazeta/dias/1821/02/19/pdfs/GGB-1821-50.pdf#page=2","Abrir facsímil")</f>
        <v>Abrir facsímil</v>
      </c>
      <c r="K5944" s="3" t="s">
        <v>23</v>
      </c>
    </row>
    <row r="5945" spans="1:11" ht="42" customHeight="1">
      <c r="A5945" s="2" t="s">
        <v>11769</v>
      </c>
      <c r="B5945" s="2" t="s">
        <v>11770</v>
      </c>
      <c r="C5945" s="2" t="s">
        <v>17</v>
      </c>
      <c r="D5945" s="2" t="s">
        <v>18</v>
      </c>
      <c r="E5945" s="5">
        <v>-28611</v>
      </c>
      <c r="F5945" s="3" t="s">
        <v>5777</v>
      </c>
      <c r="G5945" s="3" t="s">
        <v>88</v>
      </c>
      <c r="H5945" s="2" t="s">
        <v>21</v>
      </c>
      <c r="I5945" s="2" t="s">
        <v>11771</v>
      </c>
      <c r="J5945" s="3" t="str">
        <f>HYPERLINK("https://www.boe.es/gazeta/dias/1821/08/30/pdfs/GMD-1821-247.pdf#page=4","Abrir facsímil")</f>
        <v>Abrir facsímil</v>
      </c>
      <c r="K5945" s="3" t="s">
        <v>23</v>
      </c>
    </row>
    <row r="5946" spans="1:11" ht="42" customHeight="1">
      <c r="A5946" s="2" t="s">
        <v>11772</v>
      </c>
      <c r="B5946" s="2" t="s">
        <v>11773</v>
      </c>
      <c r="C5946" s="2" t="s">
        <v>40</v>
      </c>
      <c r="D5946" s="2" t="s">
        <v>41</v>
      </c>
      <c r="E5946" s="5">
        <v>-28505</v>
      </c>
      <c r="F5946" s="3" t="s">
        <v>567</v>
      </c>
      <c r="G5946" s="3" t="s">
        <v>43</v>
      </c>
      <c r="H5946" s="2" t="s">
        <v>21</v>
      </c>
      <c r="I5946" s="2" t="s">
        <v>11774</v>
      </c>
      <c r="J5946" s="3" t="str">
        <f>HYPERLINK("https://www.boe.es/gazeta/dias/1821/12/14/pdfs/GMD-1821-357.pdf#page=1","Abrir facsímil")</f>
        <v>Abrir facsímil</v>
      </c>
      <c r="K5946" s="3" t="s">
        <v>23</v>
      </c>
    </row>
    <row r="5947" spans="1:11" ht="42" customHeight="1">
      <c r="A5947" s="2" t="s">
        <v>11775</v>
      </c>
      <c r="B5947" s="2" t="s">
        <v>11776</v>
      </c>
      <c r="C5947" s="2" t="s">
        <v>40</v>
      </c>
      <c r="D5947" s="2" t="s">
        <v>41</v>
      </c>
      <c r="E5947" s="5">
        <v>-28528</v>
      </c>
      <c r="F5947" s="3" t="s">
        <v>1872</v>
      </c>
      <c r="G5947" s="3" t="s">
        <v>52</v>
      </c>
      <c r="H5947" s="2" t="s">
        <v>21</v>
      </c>
      <c r="I5947" s="2" t="s">
        <v>11777</v>
      </c>
      <c r="J5947" s="3" t="str">
        <f>HYPERLINK("https://www.boe.es/gazeta/dias/1821/11/21/pdfs/GMD-1821-332.pdf#page=2","Abrir facsímil")</f>
        <v>Abrir facsímil</v>
      </c>
      <c r="K5947" s="3" t="s">
        <v>23</v>
      </c>
    </row>
    <row r="5948" spans="1:11" ht="42" customHeight="1">
      <c r="A5948" s="2" t="s">
        <v>11778</v>
      </c>
      <c r="B5948" s="2" t="s">
        <v>11778</v>
      </c>
      <c r="C5948" s="2" t="s">
        <v>70</v>
      </c>
      <c r="D5948" s="2" t="s">
        <v>27</v>
      </c>
      <c r="E5948" s="5">
        <v>-28643</v>
      </c>
      <c r="F5948" s="3" t="s">
        <v>1569</v>
      </c>
      <c r="G5948" s="3" t="s">
        <v>43</v>
      </c>
      <c r="H5948" s="2" t="s">
        <v>21</v>
      </c>
      <c r="I5948" s="2" t="s">
        <v>11779</v>
      </c>
      <c r="J5948" s="3" t="str">
        <f>HYPERLINK("https://www.boe.es/gazeta/dias/1821/07/29/pdfs/GMD-1821-214.pdf#page=1","Abrir facsímil")</f>
        <v>Abrir facsímil</v>
      </c>
      <c r="K5948" s="3" t="s">
        <v>23</v>
      </c>
    </row>
    <row r="5949" spans="1:11" ht="42" customHeight="1">
      <c r="A5949" s="2" t="s">
        <v>11780</v>
      </c>
      <c r="B5949" s="2" t="s">
        <v>11781</v>
      </c>
      <c r="C5949" s="2" t="s">
        <v>114</v>
      </c>
      <c r="D5949" s="2" t="s">
        <v>27</v>
      </c>
      <c r="E5949" s="5">
        <v>-28836</v>
      </c>
      <c r="F5949" s="3" t="s">
        <v>601</v>
      </c>
      <c r="G5949" s="3" t="s">
        <v>20</v>
      </c>
      <c r="H5949" s="2" t="s">
        <v>21</v>
      </c>
      <c r="I5949" s="2" t="s">
        <v>11782</v>
      </c>
      <c r="J5949" s="3" t="str">
        <f>HYPERLINK("https://www.boe.es/gazeta/dias/1821/01/17/pdfs/GGB-1821-17.pdf#page=3","Abrir facsímil")</f>
        <v>Abrir facsímil</v>
      </c>
      <c r="K5949" s="3" t="s">
        <v>23</v>
      </c>
    </row>
    <row r="5950" spans="1:11" ht="42" customHeight="1">
      <c r="A5950" s="2" t="s">
        <v>11783</v>
      </c>
      <c r="B5950" s="2" t="s">
        <v>11783</v>
      </c>
      <c r="C5950" s="2" t="s">
        <v>35</v>
      </c>
      <c r="D5950" s="2" t="s">
        <v>27</v>
      </c>
      <c r="E5950" s="5">
        <v>-28787</v>
      </c>
      <c r="F5950" s="3" t="s">
        <v>486</v>
      </c>
      <c r="G5950" s="3" t="s">
        <v>52</v>
      </c>
      <c r="H5950" s="2" t="s">
        <v>21</v>
      </c>
      <c r="I5950" s="2" t="s">
        <v>11784</v>
      </c>
      <c r="J5950" s="3" t="str">
        <f>HYPERLINK("https://www.boe.es/gazeta/dias/1821/03/07/pdfs/GGB-1821-66.pdf#page=2","Abrir facsímil")</f>
        <v>Abrir facsímil</v>
      </c>
      <c r="K5950" s="3" t="s">
        <v>23</v>
      </c>
    </row>
    <row r="5951" spans="1:11" ht="42" customHeight="1">
      <c r="A5951" s="2" t="s">
        <v>11783</v>
      </c>
      <c r="B5951" s="2" t="s">
        <v>11783</v>
      </c>
      <c r="C5951" s="2" t="s">
        <v>35</v>
      </c>
      <c r="D5951" s="2" t="s">
        <v>27</v>
      </c>
      <c r="E5951" s="5">
        <v>-28785</v>
      </c>
      <c r="F5951" s="3" t="s">
        <v>1935</v>
      </c>
      <c r="G5951" s="3" t="s">
        <v>20</v>
      </c>
      <c r="H5951" s="2" t="s">
        <v>21</v>
      </c>
      <c r="I5951" s="2" t="s">
        <v>11785</v>
      </c>
      <c r="J5951" s="3" t="str">
        <f>HYPERLINK("https://www.boe.es/gazeta/dias/1821/03/09/pdfs/GGB-1821-68.pdf#page=3","Abrir facsímil")</f>
        <v>Abrir facsímil</v>
      </c>
      <c r="K5951" s="3" t="s">
        <v>23</v>
      </c>
    </row>
    <row r="5952" spans="1:11" ht="42" customHeight="1">
      <c r="A5952" s="2" t="s">
        <v>11783</v>
      </c>
      <c r="B5952" s="2" t="s">
        <v>11783</v>
      </c>
      <c r="C5952" s="2" t="s">
        <v>40</v>
      </c>
      <c r="D5952" s="2" t="s">
        <v>41</v>
      </c>
      <c r="E5952" s="5">
        <v>-28781</v>
      </c>
      <c r="F5952" s="3" t="s">
        <v>149</v>
      </c>
      <c r="G5952" s="3" t="s">
        <v>88</v>
      </c>
      <c r="H5952" s="2" t="s">
        <v>21</v>
      </c>
      <c r="I5952" s="2" t="s">
        <v>11786</v>
      </c>
      <c r="J5952" s="3" t="str">
        <f>HYPERLINK("https://www.boe.es/gazeta/dias/1821/03/13/pdfs/GMD-1821-72.pdf#page=4","Abrir facsímil")</f>
        <v>Abrir facsímil</v>
      </c>
      <c r="K5952" s="3" t="s">
        <v>23</v>
      </c>
    </row>
    <row r="5953" spans="1:11" ht="42" customHeight="1">
      <c r="A5953" s="2" t="s">
        <v>11783</v>
      </c>
      <c r="B5953" s="2" t="s">
        <v>11783</v>
      </c>
      <c r="C5953" s="2" t="s">
        <v>40</v>
      </c>
      <c r="D5953" s="2" t="s">
        <v>41</v>
      </c>
      <c r="E5953" s="5">
        <v>-28780</v>
      </c>
      <c r="F5953" s="3" t="s">
        <v>143</v>
      </c>
      <c r="G5953" s="3" t="s">
        <v>52</v>
      </c>
      <c r="H5953" s="2" t="s">
        <v>21</v>
      </c>
      <c r="I5953" s="2" t="s">
        <v>11787</v>
      </c>
      <c r="J5953" s="3" t="str">
        <f>HYPERLINK("https://www.boe.es/gazeta/dias/1821/03/14/pdfs/GMD-1821-73.pdf#page=2","Abrir facsímil")</f>
        <v>Abrir facsímil</v>
      </c>
      <c r="K5953" s="3" t="s">
        <v>23</v>
      </c>
    </row>
    <row r="5954" spans="1:11" ht="42" customHeight="1">
      <c r="A5954" s="2" t="s">
        <v>11783</v>
      </c>
      <c r="B5954" s="2" t="s">
        <v>11783</v>
      </c>
      <c r="C5954" s="2" t="s">
        <v>17</v>
      </c>
      <c r="D5954" s="2" t="s">
        <v>18</v>
      </c>
      <c r="E5954" s="5">
        <v>-28776</v>
      </c>
      <c r="F5954" s="3" t="s">
        <v>312</v>
      </c>
      <c r="G5954" s="3" t="s">
        <v>88</v>
      </c>
      <c r="H5954" s="2" t="s">
        <v>21</v>
      </c>
      <c r="I5954" s="2" t="s">
        <v>11788</v>
      </c>
      <c r="J5954" s="3" t="str">
        <f>HYPERLINK("https://www.boe.es/gazeta/dias/1821/03/18/pdfs/GMD-1821-77.pdf#page=4","Abrir facsímil")</f>
        <v>Abrir facsímil</v>
      </c>
      <c r="K5954" s="3" t="s">
        <v>23</v>
      </c>
    </row>
    <row r="5955" spans="1:11" ht="42" customHeight="1">
      <c r="A5955" s="2" t="s">
        <v>11783</v>
      </c>
      <c r="B5955" s="2" t="s">
        <v>11783</v>
      </c>
      <c r="C5955" s="2" t="s">
        <v>40</v>
      </c>
      <c r="D5955" s="2" t="s">
        <v>41</v>
      </c>
      <c r="E5955" s="5">
        <v>-28772</v>
      </c>
      <c r="F5955" s="3" t="s">
        <v>62</v>
      </c>
      <c r="G5955" s="3" t="s">
        <v>20</v>
      </c>
      <c r="H5955" s="2" t="s">
        <v>21</v>
      </c>
      <c r="I5955" s="2" t="s">
        <v>11789</v>
      </c>
      <c r="J5955" s="3" t="str">
        <f>HYPERLINK("https://www.boe.es/gazeta/dias/1821/03/22/pdfs/GMD-1821-81.pdf#page=3","Abrir facsímil")</f>
        <v>Abrir facsímil</v>
      </c>
      <c r="K5955" s="3" t="s">
        <v>23</v>
      </c>
    </row>
    <row r="5956" spans="1:11" ht="42" customHeight="1">
      <c r="A5956" s="2" t="s">
        <v>11783</v>
      </c>
      <c r="B5956" s="2" t="s">
        <v>11783</v>
      </c>
      <c r="C5956" s="2" t="s">
        <v>35</v>
      </c>
      <c r="D5956" s="2" t="s">
        <v>27</v>
      </c>
      <c r="E5956" s="5">
        <v>-28768</v>
      </c>
      <c r="F5956" s="3" t="s">
        <v>1114</v>
      </c>
      <c r="G5956" s="3" t="s">
        <v>20</v>
      </c>
      <c r="H5956" s="2" t="s">
        <v>21</v>
      </c>
      <c r="I5956" s="2" t="s">
        <v>11790</v>
      </c>
      <c r="J5956" s="3" t="str">
        <f>HYPERLINK("https://www.boe.es/gazeta/dias/1821/03/26/pdfs/GMD-1821-86.pdf#page=3","Abrir facsímil")</f>
        <v>Abrir facsímil</v>
      </c>
      <c r="K5956" s="3" t="s">
        <v>23</v>
      </c>
    </row>
    <row r="5957" spans="1:11" ht="42" customHeight="1">
      <c r="A5957" s="2" t="s">
        <v>11783</v>
      </c>
      <c r="B5957" s="2" t="s">
        <v>11783</v>
      </c>
      <c r="C5957" s="2" t="s">
        <v>40</v>
      </c>
      <c r="D5957" s="2" t="s">
        <v>41</v>
      </c>
      <c r="E5957" s="5">
        <v>-28763</v>
      </c>
      <c r="F5957" s="3" t="s">
        <v>1145</v>
      </c>
      <c r="G5957" s="3" t="s">
        <v>88</v>
      </c>
      <c r="H5957" s="2" t="s">
        <v>21</v>
      </c>
      <c r="I5957" s="2" t="s">
        <v>11791</v>
      </c>
      <c r="J5957" s="3" t="str">
        <f>HYPERLINK("https://www.boe.es/gazeta/dias/1821/03/31/pdfs/GMD-1821-92.pdf#page=4","Abrir facsímil")</f>
        <v>Abrir facsímil</v>
      </c>
      <c r="K5957" s="3" t="s">
        <v>23</v>
      </c>
    </row>
    <row r="5958" spans="1:11" ht="42" customHeight="1">
      <c r="A5958" s="2" t="s">
        <v>11783</v>
      </c>
      <c r="B5958" s="2" t="s">
        <v>11783</v>
      </c>
      <c r="C5958" s="2" t="s">
        <v>17</v>
      </c>
      <c r="D5958" s="2" t="s">
        <v>18</v>
      </c>
      <c r="E5958" s="5">
        <v>-28757</v>
      </c>
      <c r="F5958" s="3" t="s">
        <v>472</v>
      </c>
      <c r="G5958" s="3" t="s">
        <v>20</v>
      </c>
      <c r="H5958" s="2" t="s">
        <v>21</v>
      </c>
      <c r="I5958" s="2" t="s">
        <v>11792</v>
      </c>
      <c r="J5958" s="3" t="str">
        <f>HYPERLINK("https://www.boe.es/gazeta/dias/1821/04/06/pdfs/GMD-1821-98.pdf#page=3","Abrir facsímil")</f>
        <v>Abrir facsímil</v>
      </c>
      <c r="K5958" s="3" t="s">
        <v>23</v>
      </c>
    </row>
    <row r="5959" spans="1:11" ht="42" customHeight="1">
      <c r="A5959" s="2" t="s">
        <v>11783</v>
      </c>
      <c r="B5959" s="2" t="s">
        <v>11783</v>
      </c>
      <c r="C5959" s="2" t="s">
        <v>40</v>
      </c>
      <c r="D5959" s="2" t="s">
        <v>41</v>
      </c>
      <c r="E5959" s="5">
        <v>-28754</v>
      </c>
      <c r="F5959" s="3" t="s">
        <v>1942</v>
      </c>
      <c r="G5959" s="3" t="s">
        <v>20</v>
      </c>
      <c r="H5959" s="2" t="s">
        <v>21</v>
      </c>
      <c r="I5959" s="2" t="s">
        <v>11793</v>
      </c>
      <c r="J5959" s="3" t="str">
        <f>HYPERLINK("https://www.boe.es/gazeta/dias/1821/04/09/pdfs/GMD-1821-101.pdf#page=3","Abrir facsímil")</f>
        <v>Abrir facsímil</v>
      </c>
      <c r="K5959" s="3" t="s">
        <v>23</v>
      </c>
    </row>
    <row r="5960" spans="1:11" ht="42" customHeight="1">
      <c r="A5960" s="2" t="s">
        <v>11783</v>
      </c>
      <c r="B5960" s="2" t="s">
        <v>11783</v>
      </c>
      <c r="C5960" s="2" t="s">
        <v>35</v>
      </c>
      <c r="D5960" s="2" t="s">
        <v>27</v>
      </c>
      <c r="E5960" s="5">
        <v>-28745</v>
      </c>
      <c r="F5960" s="3" t="s">
        <v>1020</v>
      </c>
      <c r="G5960" s="3" t="s">
        <v>52</v>
      </c>
      <c r="H5960" s="2" t="s">
        <v>21</v>
      </c>
      <c r="I5960" s="2" t="s">
        <v>11794</v>
      </c>
      <c r="J5960" s="3" t="str">
        <f>HYPERLINK("https://www.boe.es/gazeta/dias/1821/04/18/pdfs/GMD-1821-110.pdf#page=2","Abrir facsímil")</f>
        <v>Abrir facsímil</v>
      </c>
      <c r="K5960" s="3" t="s">
        <v>23</v>
      </c>
    </row>
    <row r="5961" spans="1:11" ht="42" customHeight="1">
      <c r="A5961" s="2" t="s">
        <v>11783</v>
      </c>
      <c r="B5961" s="2" t="s">
        <v>11783</v>
      </c>
      <c r="C5961" s="2" t="s">
        <v>70</v>
      </c>
      <c r="D5961" s="2" t="s">
        <v>27</v>
      </c>
      <c r="E5961" s="5">
        <v>-28741</v>
      </c>
      <c r="F5961" s="3" t="s">
        <v>1841</v>
      </c>
      <c r="G5961" s="3" t="s">
        <v>52</v>
      </c>
      <c r="H5961" s="2" t="s">
        <v>21</v>
      </c>
      <c r="I5961" s="2" t="s">
        <v>11795</v>
      </c>
      <c r="J5961" s="3" t="str">
        <f>HYPERLINK("https://www.boe.es/gazeta/dias/1821/04/22/pdfs/GMD-1821-114.pdf#page=2","Abrir facsímil")</f>
        <v>Abrir facsímil</v>
      </c>
      <c r="K5961" s="3" t="s">
        <v>23</v>
      </c>
    </row>
    <row r="5962" spans="1:11" ht="42" customHeight="1">
      <c r="A5962" s="2" t="s">
        <v>11783</v>
      </c>
      <c r="B5962" s="2" t="s">
        <v>11783</v>
      </c>
      <c r="C5962" s="2" t="s">
        <v>40</v>
      </c>
      <c r="D5962" s="2" t="s">
        <v>41</v>
      </c>
      <c r="E5962" s="5">
        <v>-28738</v>
      </c>
      <c r="F5962" s="3" t="s">
        <v>359</v>
      </c>
      <c r="G5962" s="3" t="s">
        <v>20</v>
      </c>
      <c r="H5962" s="2" t="s">
        <v>21</v>
      </c>
      <c r="I5962" s="2" t="s">
        <v>11796</v>
      </c>
      <c r="J5962" s="3" t="str">
        <f>HYPERLINK("https://www.boe.es/gazeta/dias/1821/04/25/pdfs/GMD-1821-117.pdf#page=3","Abrir facsímil")</f>
        <v>Abrir facsímil</v>
      </c>
      <c r="K5962" s="3" t="s">
        <v>23</v>
      </c>
    </row>
    <row r="5963" spans="1:11" ht="42" customHeight="1">
      <c r="A5963" s="2" t="s">
        <v>11783</v>
      </c>
      <c r="B5963" s="2" t="s">
        <v>11783</v>
      </c>
      <c r="C5963" s="2" t="s">
        <v>17</v>
      </c>
      <c r="D5963" s="2" t="s">
        <v>18</v>
      </c>
      <c r="E5963" s="5">
        <v>-28730</v>
      </c>
      <c r="F5963" s="3" t="s">
        <v>747</v>
      </c>
      <c r="G5963" s="3" t="s">
        <v>20</v>
      </c>
      <c r="H5963" s="2" t="s">
        <v>21</v>
      </c>
      <c r="I5963" s="2" t="s">
        <v>11797</v>
      </c>
      <c r="J5963" s="3" t="str">
        <f>HYPERLINK("https://www.boe.es/gazeta/dias/1821/05/03/pdfs/GMD-1821-125.pdf#page=3","Abrir facsímil")</f>
        <v>Abrir facsímil</v>
      </c>
      <c r="K5963" s="3" t="s">
        <v>23</v>
      </c>
    </row>
    <row r="5964" spans="1:11" ht="42" customHeight="1">
      <c r="A5964" s="2" t="s">
        <v>11783</v>
      </c>
      <c r="B5964" s="2" t="s">
        <v>11783</v>
      </c>
      <c r="C5964" s="2" t="s">
        <v>35</v>
      </c>
      <c r="D5964" s="2" t="s">
        <v>27</v>
      </c>
      <c r="E5964" s="5">
        <v>-28727</v>
      </c>
      <c r="F5964" s="3" t="s">
        <v>200</v>
      </c>
      <c r="G5964" s="3" t="s">
        <v>52</v>
      </c>
      <c r="H5964" s="2" t="s">
        <v>21</v>
      </c>
      <c r="I5964" s="2" t="s">
        <v>11798</v>
      </c>
      <c r="J5964" s="3" t="str">
        <f>HYPERLINK("https://www.boe.es/gazeta/dias/1821/05/06/pdfs/GMD-1821-128.pdf#page=2","Abrir facsímil")</f>
        <v>Abrir facsímil</v>
      </c>
      <c r="K5964" s="3" t="s">
        <v>23</v>
      </c>
    </row>
    <row r="5965" spans="1:11" ht="42" customHeight="1">
      <c r="A5965" s="2" t="s">
        <v>11783</v>
      </c>
      <c r="B5965" s="2" t="s">
        <v>11783</v>
      </c>
      <c r="C5965" s="2" t="s">
        <v>40</v>
      </c>
      <c r="D5965" s="2" t="s">
        <v>41</v>
      </c>
      <c r="E5965" s="5">
        <v>-28726</v>
      </c>
      <c r="F5965" s="3" t="s">
        <v>347</v>
      </c>
      <c r="G5965" s="3" t="s">
        <v>52</v>
      </c>
      <c r="H5965" s="2" t="s">
        <v>21</v>
      </c>
      <c r="I5965" s="2" t="s">
        <v>11799</v>
      </c>
      <c r="J5965" s="3" t="str">
        <f>HYPERLINK("https://www.boe.es/gazeta/dias/1821/05/07/pdfs/GMD-1821-129.pdf#page=2","Abrir facsímil")</f>
        <v>Abrir facsímil</v>
      </c>
      <c r="K5965" s="3" t="s">
        <v>23</v>
      </c>
    </row>
    <row r="5966" spans="1:11" ht="42" customHeight="1">
      <c r="A5966" s="2" t="s">
        <v>11783</v>
      </c>
      <c r="B5966" s="2" t="s">
        <v>11783</v>
      </c>
      <c r="C5966" s="2" t="s">
        <v>40</v>
      </c>
      <c r="D5966" s="2" t="s">
        <v>41</v>
      </c>
      <c r="E5966" s="5">
        <v>-28725</v>
      </c>
      <c r="F5966" s="3" t="s">
        <v>440</v>
      </c>
      <c r="G5966" s="3" t="s">
        <v>88</v>
      </c>
      <c r="H5966" s="2" t="s">
        <v>21</v>
      </c>
      <c r="I5966" s="2" t="s">
        <v>11800</v>
      </c>
      <c r="J5966" s="3" t="str">
        <f>HYPERLINK("https://www.boe.es/gazeta/dias/1821/05/08/pdfs/GMD-1821-130.pdf#page=4","Abrir facsímil")</f>
        <v>Abrir facsímil</v>
      </c>
      <c r="K5966" s="3" t="s">
        <v>23</v>
      </c>
    </row>
    <row r="5967" spans="1:11" ht="42" customHeight="1">
      <c r="A5967" s="2" t="s">
        <v>11783</v>
      </c>
      <c r="B5967" s="2" t="s">
        <v>11783</v>
      </c>
      <c r="C5967" s="2" t="s">
        <v>17</v>
      </c>
      <c r="D5967" s="2" t="s">
        <v>18</v>
      </c>
      <c r="E5967" s="5">
        <v>-28723</v>
      </c>
      <c r="F5967" s="3" t="s">
        <v>840</v>
      </c>
      <c r="G5967" s="3" t="s">
        <v>52</v>
      </c>
      <c r="H5967" s="2" t="s">
        <v>21</v>
      </c>
      <c r="I5967" s="2" t="s">
        <v>11801</v>
      </c>
      <c r="J5967" s="3" t="str">
        <f>HYPERLINK("https://www.boe.es/gazeta/dias/1821/05/10/pdfs/GMD-1821-132.pdf#page=2","Abrir facsímil")</f>
        <v>Abrir facsímil</v>
      </c>
      <c r="K5967" s="3" t="s">
        <v>23</v>
      </c>
    </row>
    <row r="5968" spans="1:11" ht="42" customHeight="1">
      <c r="A5968" s="2" t="s">
        <v>11783</v>
      </c>
      <c r="B5968" s="2" t="s">
        <v>11783</v>
      </c>
      <c r="C5968" s="2" t="s">
        <v>40</v>
      </c>
      <c r="D5968" s="2" t="s">
        <v>41</v>
      </c>
      <c r="E5968" s="5">
        <v>-28722</v>
      </c>
      <c r="F5968" s="3" t="s">
        <v>623</v>
      </c>
      <c r="G5968" s="3" t="s">
        <v>52</v>
      </c>
      <c r="H5968" s="2" t="s">
        <v>21</v>
      </c>
      <c r="I5968" s="2" t="s">
        <v>11802</v>
      </c>
      <c r="J5968" s="3" t="str">
        <f>HYPERLINK("https://www.boe.es/gazeta/dias/1821/05/11/pdfs/GMD-1821-133.pdf#page=2","Abrir facsímil")</f>
        <v>Abrir facsímil</v>
      </c>
      <c r="K5968" s="3" t="s">
        <v>23</v>
      </c>
    </row>
    <row r="5969" spans="1:11" ht="42" customHeight="1">
      <c r="A5969" s="2" t="s">
        <v>11783</v>
      </c>
      <c r="B5969" s="2" t="s">
        <v>11783</v>
      </c>
      <c r="C5969" s="2" t="s">
        <v>17</v>
      </c>
      <c r="D5969" s="2" t="s">
        <v>18</v>
      </c>
      <c r="E5969" s="5">
        <v>-28721</v>
      </c>
      <c r="F5969" s="3" t="s">
        <v>92</v>
      </c>
      <c r="G5969" s="3" t="s">
        <v>3795</v>
      </c>
      <c r="H5969" s="2" t="s">
        <v>21</v>
      </c>
      <c r="I5969" s="2" t="s">
        <v>11803</v>
      </c>
      <c r="J5969" s="3" t="str">
        <f>HYPERLINK("https://www.boe.es/gazeta/dias/1821/05/12/pdfs/GMD-1821-134.pdf#page=3","Abrir facsímil")</f>
        <v>Abrir facsímil</v>
      </c>
      <c r="K5969" s="3" t="s">
        <v>23</v>
      </c>
    </row>
    <row r="5970" spans="1:11" ht="42" customHeight="1">
      <c r="A5970" s="2" t="s">
        <v>11783</v>
      </c>
      <c r="B5970" s="2" t="s">
        <v>11783</v>
      </c>
      <c r="C5970" s="2" t="s">
        <v>17</v>
      </c>
      <c r="D5970" s="2" t="s">
        <v>18</v>
      </c>
      <c r="E5970" s="5">
        <v>-28721</v>
      </c>
      <c r="F5970" s="3" t="s">
        <v>92</v>
      </c>
      <c r="G5970" s="3" t="s">
        <v>52</v>
      </c>
      <c r="H5970" s="2" t="s">
        <v>21</v>
      </c>
      <c r="I5970" s="2" t="s">
        <v>11804</v>
      </c>
      <c r="J5970" s="3" t="str">
        <f>HYPERLINK("https://www.boe.es/gazeta/dias/1821/05/12/pdfs/GMD-1821-134.pdf#page=2","Abrir facsímil")</f>
        <v>Abrir facsímil</v>
      </c>
      <c r="K5970" s="3" t="s">
        <v>23</v>
      </c>
    </row>
    <row r="5971" spans="1:11" ht="42" customHeight="1">
      <c r="A5971" s="2" t="s">
        <v>11783</v>
      </c>
      <c r="B5971" s="2" t="s">
        <v>11783</v>
      </c>
      <c r="C5971" s="2" t="s">
        <v>35</v>
      </c>
      <c r="D5971" s="2" t="s">
        <v>27</v>
      </c>
      <c r="E5971" s="5">
        <v>-28707</v>
      </c>
      <c r="F5971" s="3" t="s">
        <v>495</v>
      </c>
      <c r="G5971" s="3" t="s">
        <v>52</v>
      </c>
      <c r="H5971" s="2" t="s">
        <v>21</v>
      </c>
      <c r="I5971" s="2" t="s">
        <v>11805</v>
      </c>
      <c r="J5971" s="3" t="str">
        <f>HYPERLINK("https://www.boe.es/gazeta/dias/1821/05/26/pdfs/GMD-1821-148.pdf#page=2","Abrir facsímil")</f>
        <v>Abrir facsímil</v>
      </c>
      <c r="K5971" s="3" t="s">
        <v>23</v>
      </c>
    </row>
    <row r="5972" spans="1:11" ht="42" customHeight="1">
      <c r="A5972" s="2" t="s">
        <v>11783</v>
      </c>
      <c r="B5972" s="2" t="s">
        <v>11783</v>
      </c>
      <c r="C5972" s="2" t="s">
        <v>17</v>
      </c>
      <c r="D5972" s="2" t="s">
        <v>18</v>
      </c>
      <c r="E5972" s="5">
        <v>-28701</v>
      </c>
      <c r="F5972" s="3" t="s">
        <v>202</v>
      </c>
      <c r="G5972" s="3" t="s">
        <v>52</v>
      </c>
      <c r="H5972" s="2" t="s">
        <v>21</v>
      </c>
      <c r="I5972" s="2" t="s">
        <v>11806</v>
      </c>
      <c r="J5972" s="3" t="str">
        <f>HYPERLINK("https://www.boe.es/gazeta/dias/1821/06/01/pdfs/GMD-1821-154.pdf#page=2","Abrir facsímil")</f>
        <v>Abrir facsímil</v>
      </c>
      <c r="K5972" s="3" t="s">
        <v>23</v>
      </c>
    </row>
    <row r="5973" spans="1:11" ht="42" customHeight="1">
      <c r="A5973" s="2" t="s">
        <v>11783</v>
      </c>
      <c r="B5973" s="2" t="s">
        <v>11783</v>
      </c>
      <c r="C5973" s="2" t="s">
        <v>40</v>
      </c>
      <c r="D5973" s="2" t="s">
        <v>41</v>
      </c>
      <c r="E5973" s="5">
        <v>-28700</v>
      </c>
      <c r="F5973" s="3" t="s">
        <v>701</v>
      </c>
      <c r="G5973" s="3" t="s">
        <v>88</v>
      </c>
      <c r="H5973" s="2" t="s">
        <v>21</v>
      </c>
      <c r="I5973" s="2" t="s">
        <v>11807</v>
      </c>
      <c r="J5973" s="3" t="str">
        <f>HYPERLINK("https://www.boe.es/gazeta/dias/1821/06/02/pdfs/GMD-1821-155.pdf#page=4","Abrir facsímil")</f>
        <v>Abrir facsímil</v>
      </c>
      <c r="K5973" s="3" t="s">
        <v>23</v>
      </c>
    </row>
    <row r="5974" spans="1:11" ht="42" customHeight="1">
      <c r="A5974" s="2" t="s">
        <v>11783</v>
      </c>
      <c r="B5974" s="2" t="s">
        <v>11783</v>
      </c>
      <c r="C5974" s="2" t="s">
        <v>26</v>
      </c>
      <c r="D5974" s="2" t="s">
        <v>27</v>
      </c>
      <c r="E5974" s="5">
        <v>-28690</v>
      </c>
      <c r="F5974" s="3" t="s">
        <v>846</v>
      </c>
      <c r="G5974" s="3" t="s">
        <v>20</v>
      </c>
      <c r="H5974" s="2" t="s">
        <v>21</v>
      </c>
      <c r="I5974" s="2" t="s">
        <v>11808</v>
      </c>
      <c r="J5974" s="3" t="str">
        <f>HYPERLINK("https://www.boe.es/gazeta/dias/1821/06/12/pdfs/GMD-1821-165.pdf#page=3","Abrir facsímil")</f>
        <v>Abrir facsímil</v>
      </c>
      <c r="K5974" s="3" t="s">
        <v>23</v>
      </c>
    </row>
    <row r="5975" spans="1:11" ht="42" customHeight="1">
      <c r="A5975" s="2" t="s">
        <v>11783</v>
      </c>
      <c r="B5975" s="2" t="s">
        <v>11783</v>
      </c>
      <c r="C5975" s="2" t="s">
        <v>35</v>
      </c>
      <c r="D5975" s="2" t="s">
        <v>27</v>
      </c>
      <c r="E5975" s="5">
        <v>-28689</v>
      </c>
      <c r="F5975" s="3" t="s">
        <v>194</v>
      </c>
      <c r="G5975" s="3" t="s">
        <v>20</v>
      </c>
      <c r="H5975" s="2" t="s">
        <v>21</v>
      </c>
      <c r="I5975" s="2" t="s">
        <v>11809</v>
      </c>
      <c r="J5975" s="3" t="str">
        <f>HYPERLINK("https://www.boe.es/gazeta/dias/1821/06/13/pdfs/GMD-1821-166.pdf#page=3","Abrir facsímil")</f>
        <v>Abrir facsímil</v>
      </c>
      <c r="K5975" s="3" t="s">
        <v>23</v>
      </c>
    </row>
    <row r="5976" spans="1:11" ht="42" customHeight="1">
      <c r="A5976" s="2" t="s">
        <v>11783</v>
      </c>
      <c r="B5976" s="2" t="s">
        <v>11783</v>
      </c>
      <c r="C5976" s="2" t="s">
        <v>40</v>
      </c>
      <c r="D5976" s="2" t="s">
        <v>41</v>
      </c>
      <c r="E5976" s="5">
        <v>-28689</v>
      </c>
      <c r="F5976" s="3" t="s">
        <v>194</v>
      </c>
      <c r="G5976" s="3" t="s">
        <v>88</v>
      </c>
      <c r="H5976" s="2" t="s">
        <v>21</v>
      </c>
      <c r="I5976" s="2" t="s">
        <v>11810</v>
      </c>
      <c r="J5976" s="3" t="str">
        <f>HYPERLINK("https://www.boe.es/gazeta/dias/1821/06/13/pdfs/GMD-1821-166.pdf#page=4","Abrir facsímil")</f>
        <v>Abrir facsímil</v>
      </c>
      <c r="K5976" s="3" t="s">
        <v>23</v>
      </c>
    </row>
    <row r="5977" spans="1:11" ht="42" customHeight="1">
      <c r="A5977" s="2" t="s">
        <v>11783</v>
      </c>
      <c r="B5977" s="2" t="s">
        <v>11783</v>
      </c>
      <c r="C5977" s="2" t="s">
        <v>35</v>
      </c>
      <c r="D5977" s="2" t="s">
        <v>27</v>
      </c>
      <c r="E5977" s="5">
        <v>-28688</v>
      </c>
      <c r="F5977" s="3" t="s">
        <v>1504</v>
      </c>
      <c r="G5977" s="3" t="s">
        <v>20</v>
      </c>
      <c r="H5977" s="2" t="s">
        <v>21</v>
      </c>
      <c r="I5977" s="2" t="s">
        <v>11811</v>
      </c>
      <c r="J5977" s="3" t="str">
        <f>HYPERLINK("https://www.boe.es/gazeta/dias/1821/06/14/pdfs/GMD-1821-167.pdf#page=3","Abrir facsímil")</f>
        <v>Abrir facsímil</v>
      </c>
      <c r="K5977" s="3" t="s">
        <v>23</v>
      </c>
    </row>
    <row r="5978" spans="1:11" ht="42" customHeight="1">
      <c r="A5978" s="2" t="s">
        <v>11783</v>
      </c>
      <c r="B5978" s="2" t="s">
        <v>11783</v>
      </c>
      <c r="C5978" s="2" t="s">
        <v>35</v>
      </c>
      <c r="D5978" s="2" t="s">
        <v>27</v>
      </c>
      <c r="E5978" s="5">
        <v>-28686</v>
      </c>
      <c r="F5978" s="3" t="s">
        <v>115</v>
      </c>
      <c r="G5978" s="3" t="s">
        <v>20</v>
      </c>
      <c r="H5978" s="2" t="s">
        <v>21</v>
      </c>
      <c r="I5978" s="2" t="s">
        <v>11812</v>
      </c>
      <c r="J5978" s="3" t="str">
        <f>HYPERLINK("https://www.boe.es/gazeta/dias/1821/06/16/pdfs/GMD-1821-169.pdf#page=3","Abrir facsímil")</f>
        <v>Abrir facsímil</v>
      </c>
      <c r="K5978" s="3" t="s">
        <v>23</v>
      </c>
    </row>
    <row r="5979" spans="1:11" ht="42" customHeight="1">
      <c r="A5979" s="2" t="s">
        <v>11783</v>
      </c>
      <c r="B5979" s="2" t="s">
        <v>11783</v>
      </c>
      <c r="C5979" s="2" t="s">
        <v>17</v>
      </c>
      <c r="D5979" s="2" t="s">
        <v>18</v>
      </c>
      <c r="E5979" s="5">
        <v>-28682</v>
      </c>
      <c r="F5979" s="3" t="s">
        <v>1064</v>
      </c>
      <c r="G5979" s="3" t="s">
        <v>162</v>
      </c>
      <c r="H5979" s="2" t="s">
        <v>21</v>
      </c>
      <c r="I5979" s="2" t="s">
        <v>11813</v>
      </c>
      <c r="J5979" s="3" t="str">
        <f>HYPERLINK("https://www.boe.es/gazeta/dias/1821/06/20/pdfs/GMD-1821-173.pdf#page=5","Abrir facsímil")</f>
        <v>Abrir facsímil</v>
      </c>
      <c r="K5979" s="3" t="s">
        <v>23</v>
      </c>
    </row>
    <row r="5980" spans="1:11" ht="42" customHeight="1">
      <c r="A5980" s="2" t="s">
        <v>11783</v>
      </c>
      <c r="B5980" s="2" t="s">
        <v>11783</v>
      </c>
      <c r="C5980" s="2" t="s">
        <v>26</v>
      </c>
      <c r="D5980" s="2" t="s">
        <v>27</v>
      </c>
      <c r="E5980" s="5">
        <v>-28678</v>
      </c>
      <c r="F5980" s="3" t="s">
        <v>215</v>
      </c>
      <c r="G5980" s="3" t="s">
        <v>88</v>
      </c>
      <c r="H5980" s="2" t="s">
        <v>21</v>
      </c>
      <c r="I5980" s="2" t="s">
        <v>11814</v>
      </c>
      <c r="J5980" s="3" t="str">
        <f>HYPERLINK("https://www.boe.es/gazeta/dias/1821/06/24/pdfs/GMD-1821-177.pdf#page=4","Abrir facsímil")</f>
        <v>Abrir facsímil</v>
      </c>
      <c r="K5980" s="3" t="s">
        <v>23</v>
      </c>
    </row>
    <row r="5981" spans="1:11" ht="42" customHeight="1">
      <c r="A5981" s="2" t="s">
        <v>11783</v>
      </c>
      <c r="B5981" s="2" t="s">
        <v>11783</v>
      </c>
      <c r="C5981" s="2" t="s">
        <v>70</v>
      </c>
      <c r="D5981" s="2" t="s">
        <v>27</v>
      </c>
      <c r="E5981" s="5">
        <v>-28677</v>
      </c>
      <c r="F5981" s="3" t="s">
        <v>361</v>
      </c>
      <c r="G5981" s="3" t="s">
        <v>20</v>
      </c>
      <c r="H5981" s="2" t="s">
        <v>21</v>
      </c>
      <c r="I5981" s="2" t="s">
        <v>11815</v>
      </c>
      <c r="J5981" s="3" t="str">
        <f>HYPERLINK("https://www.boe.es/gazeta/dias/1821/06/25/pdfs/GMD-1821-178.pdf#page=3","Abrir facsímil")</f>
        <v>Abrir facsímil</v>
      </c>
      <c r="K5981" s="3" t="s">
        <v>23</v>
      </c>
    </row>
    <row r="5982" spans="1:11" ht="42" customHeight="1">
      <c r="A5982" s="2" t="s">
        <v>11783</v>
      </c>
      <c r="B5982" s="2" t="s">
        <v>11783</v>
      </c>
      <c r="C5982" s="2" t="s">
        <v>114</v>
      </c>
      <c r="D5982" s="2" t="s">
        <v>27</v>
      </c>
      <c r="E5982" s="5">
        <v>-28675</v>
      </c>
      <c r="F5982" s="3" t="s">
        <v>943</v>
      </c>
      <c r="G5982" s="3" t="s">
        <v>162</v>
      </c>
      <c r="H5982" s="2" t="s">
        <v>21</v>
      </c>
      <c r="I5982" s="2" t="s">
        <v>11816</v>
      </c>
      <c r="J5982" s="3" t="str">
        <f>HYPERLINK("https://www.boe.es/gazeta/dias/1821/06/27/pdfs/GMD-1821-180.pdf#page=5","Abrir facsímil")</f>
        <v>Abrir facsímil</v>
      </c>
      <c r="K5982" s="3" t="s">
        <v>23</v>
      </c>
    </row>
    <row r="5983" spans="1:11" ht="42" customHeight="1">
      <c r="A5983" s="2" t="s">
        <v>11783</v>
      </c>
      <c r="B5983" s="2" t="s">
        <v>11783</v>
      </c>
      <c r="C5983" s="2" t="s">
        <v>35</v>
      </c>
      <c r="D5983" s="2" t="s">
        <v>27</v>
      </c>
      <c r="E5983" s="5">
        <v>-28674</v>
      </c>
      <c r="F5983" s="3" t="s">
        <v>536</v>
      </c>
      <c r="G5983" s="3" t="s">
        <v>20</v>
      </c>
      <c r="H5983" s="2" t="s">
        <v>21</v>
      </c>
      <c r="I5983" s="2" t="s">
        <v>11817</v>
      </c>
      <c r="J5983" s="3" t="str">
        <f>HYPERLINK("https://www.boe.es/gazeta/dias/1821/06/28/pdfs/GMD-1821-181.pdf#page=3","Abrir facsímil")</f>
        <v>Abrir facsímil</v>
      </c>
      <c r="K5983" s="3" t="s">
        <v>23</v>
      </c>
    </row>
    <row r="5984" spans="1:11" ht="42" customHeight="1">
      <c r="A5984" s="2" t="s">
        <v>11783</v>
      </c>
      <c r="B5984" s="2" t="s">
        <v>11783</v>
      </c>
      <c r="C5984" s="2" t="s">
        <v>40</v>
      </c>
      <c r="D5984" s="2" t="s">
        <v>41</v>
      </c>
      <c r="E5984" s="5">
        <v>-28674</v>
      </c>
      <c r="F5984" s="3" t="s">
        <v>536</v>
      </c>
      <c r="G5984" s="3" t="s">
        <v>88</v>
      </c>
      <c r="H5984" s="2" t="s">
        <v>21</v>
      </c>
      <c r="I5984" s="2" t="s">
        <v>11818</v>
      </c>
      <c r="J5984" s="3" t="str">
        <f>HYPERLINK("https://www.boe.es/gazeta/dias/1821/06/28/pdfs/GMD-1821-181.pdf#page=4","Abrir facsímil")</f>
        <v>Abrir facsímil</v>
      </c>
      <c r="K5984" s="3" t="s">
        <v>23</v>
      </c>
    </row>
    <row r="5985" spans="1:11" ht="42" customHeight="1">
      <c r="A5985" s="2" t="s">
        <v>11783</v>
      </c>
      <c r="B5985" s="2" t="s">
        <v>11783</v>
      </c>
      <c r="C5985" s="2" t="s">
        <v>40</v>
      </c>
      <c r="D5985" s="2" t="s">
        <v>41</v>
      </c>
      <c r="E5985" s="5">
        <v>-28673</v>
      </c>
      <c r="F5985" s="3" t="s">
        <v>1069</v>
      </c>
      <c r="G5985" s="3" t="s">
        <v>52</v>
      </c>
      <c r="H5985" s="2" t="s">
        <v>21</v>
      </c>
      <c r="I5985" s="2" t="s">
        <v>11819</v>
      </c>
      <c r="J5985" s="3" t="str">
        <f>HYPERLINK("https://www.boe.es/gazeta/dias/1821/06/29/pdfs/GMD-1821-182.pdf#page=2","Abrir facsímil")</f>
        <v>Abrir facsímil</v>
      </c>
      <c r="K5985" s="3" t="s">
        <v>23</v>
      </c>
    </row>
    <row r="5986" spans="1:11" ht="42" customHeight="1">
      <c r="A5986" s="2" t="s">
        <v>11783</v>
      </c>
      <c r="B5986" s="2" t="s">
        <v>11783</v>
      </c>
      <c r="C5986" s="2" t="s">
        <v>40</v>
      </c>
      <c r="D5986" s="2" t="s">
        <v>41</v>
      </c>
      <c r="E5986" s="5">
        <v>-28672</v>
      </c>
      <c r="F5986" s="3" t="s">
        <v>964</v>
      </c>
      <c r="G5986" s="3" t="s">
        <v>88</v>
      </c>
      <c r="H5986" s="2" t="s">
        <v>21</v>
      </c>
      <c r="I5986" s="2" t="s">
        <v>11820</v>
      </c>
      <c r="J5986" s="3" t="str">
        <f>HYPERLINK("https://www.boe.es/gazeta/dias/1821/06/30/pdfs/GMD-1821-183.pdf#page=4","Abrir facsímil")</f>
        <v>Abrir facsímil</v>
      </c>
      <c r="K5986" s="3" t="s">
        <v>23</v>
      </c>
    </row>
    <row r="5987" spans="1:11" ht="42" customHeight="1">
      <c r="A5987" s="2" t="s">
        <v>11783</v>
      </c>
      <c r="B5987" s="2" t="s">
        <v>11783</v>
      </c>
      <c r="C5987" s="2" t="s">
        <v>17</v>
      </c>
      <c r="D5987" s="2" t="s">
        <v>18</v>
      </c>
      <c r="E5987" s="5">
        <v>-28671</v>
      </c>
      <c r="F5987" s="3" t="s">
        <v>5059</v>
      </c>
      <c r="G5987" s="3" t="s">
        <v>52</v>
      </c>
      <c r="H5987" s="2" t="s">
        <v>21</v>
      </c>
      <c r="I5987" s="2" t="s">
        <v>11821</v>
      </c>
      <c r="J5987" s="3" t="str">
        <f>HYPERLINK("https://www.boe.es/gazeta/dias/1821/07/01/pdfs/GMD-1821-185.pdf#page=2","Abrir facsímil")</f>
        <v>Abrir facsímil</v>
      </c>
      <c r="K5987" s="3" t="s">
        <v>23</v>
      </c>
    </row>
    <row r="5988" spans="1:11" ht="42" customHeight="1">
      <c r="A5988" s="2" t="s">
        <v>11783</v>
      </c>
      <c r="B5988" s="2" t="s">
        <v>11783</v>
      </c>
      <c r="C5988" s="2" t="s">
        <v>70</v>
      </c>
      <c r="D5988" s="2" t="s">
        <v>27</v>
      </c>
      <c r="E5988" s="5">
        <v>-28580</v>
      </c>
      <c r="F5988" s="3" t="s">
        <v>175</v>
      </c>
      <c r="G5988" s="3" t="s">
        <v>20</v>
      </c>
      <c r="H5988" s="2" t="s">
        <v>21</v>
      </c>
      <c r="I5988" s="2" t="s">
        <v>11822</v>
      </c>
      <c r="J5988" s="3" t="str">
        <f>HYPERLINK("https://www.boe.es/gazeta/dias/1821/09/30/pdfs/GMD-1821-279.pdf#page=3","Abrir facsímil")</f>
        <v>Abrir facsímil</v>
      </c>
      <c r="K5988" s="3" t="s">
        <v>23</v>
      </c>
    </row>
    <row r="5989" spans="1:11" ht="42" customHeight="1">
      <c r="A5989" s="2" t="s">
        <v>11783</v>
      </c>
      <c r="B5989" s="2" t="s">
        <v>11783</v>
      </c>
      <c r="C5989" s="2" t="s">
        <v>35</v>
      </c>
      <c r="D5989" s="2" t="s">
        <v>27</v>
      </c>
      <c r="E5989" s="5">
        <v>-28580</v>
      </c>
      <c r="F5989" s="3" t="s">
        <v>175</v>
      </c>
      <c r="G5989" s="3" t="s">
        <v>88</v>
      </c>
      <c r="H5989" s="2" t="s">
        <v>21</v>
      </c>
      <c r="I5989" s="2" t="s">
        <v>11823</v>
      </c>
      <c r="J5989" s="3" t="str">
        <f>HYPERLINK("https://www.boe.es/gazeta/dias/1821/09/30/pdfs/GMD-1821-279.pdf#page=4","Abrir facsímil")</f>
        <v>Abrir facsímil</v>
      </c>
      <c r="K5989" s="3" t="s">
        <v>23</v>
      </c>
    </row>
    <row r="5990" spans="1:11" ht="42" customHeight="1">
      <c r="A5990" s="2" t="s">
        <v>11783</v>
      </c>
      <c r="B5990" s="2" t="s">
        <v>11783</v>
      </c>
      <c r="C5990" s="2" t="s">
        <v>26</v>
      </c>
      <c r="D5990" s="2" t="s">
        <v>27</v>
      </c>
      <c r="E5990" s="5">
        <v>-28579</v>
      </c>
      <c r="F5990" s="3" t="s">
        <v>743</v>
      </c>
      <c r="G5990" s="3" t="s">
        <v>88</v>
      </c>
      <c r="H5990" s="2" t="s">
        <v>21</v>
      </c>
      <c r="I5990" s="2" t="s">
        <v>11824</v>
      </c>
      <c r="J5990" s="3" t="str">
        <f>HYPERLINK("https://www.boe.es/gazeta/dias/1821/10/01/pdfs/GMD-1821-280.pdf#page=4","Abrir facsímil")</f>
        <v>Abrir facsímil</v>
      </c>
      <c r="K5990" s="3" t="s">
        <v>23</v>
      </c>
    </row>
    <row r="5991" spans="1:11" ht="42" customHeight="1">
      <c r="A5991" s="2" t="s">
        <v>11783</v>
      </c>
      <c r="B5991" s="2" t="s">
        <v>11783</v>
      </c>
      <c r="C5991" s="2" t="s">
        <v>174</v>
      </c>
      <c r="D5991" s="2" t="s">
        <v>27</v>
      </c>
      <c r="E5991" s="5">
        <v>-28578</v>
      </c>
      <c r="F5991" s="3" t="s">
        <v>899</v>
      </c>
      <c r="G5991" s="3" t="s">
        <v>52</v>
      </c>
      <c r="H5991" s="2" t="s">
        <v>21</v>
      </c>
      <c r="I5991" s="2" t="s">
        <v>11825</v>
      </c>
      <c r="J5991" s="3" t="str">
        <f>HYPERLINK("https://www.boe.es/gazeta/dias/1821/10/02/pdfs/GMD-1821-281.pdf#page=2","Abrir facsímil")</f>
        <v>Abrir facsímil</v>
      </c>
      <c r="K5991" s="3" t="s">
        <v>23</v>
      </c>
    </row>
    <row r="5992" spans="1:11" ht="42" customHeight="1">
      <c r="A5992" s="2" t="s">
        <v>11783</v>
      </c>
      <c r="B5992" s="2" t="s">
        <v>11783</v>
      </c>
      <c r="C5992" s="2" t="s">
        <v>35</v>
      </c>
      <c r="D5992" s="2" t="s">
        <v>27</v>
      </c>
      <c r="E5992" s="5">
        <v>-28578</v>
      </c>
      <c r="F5992" s="3" t="s">
        <v>899</v>
      </c>
      <c r="G5992" s="3" t="s">
        <v>20</v>
      </c>
      <c r="H5992" s="2" t="s">
        <v>21</v>
      </c>
      <c r="I5992" s="2" t="s">
        <v>11826</v>
      </c>
      <c r="J5992" s="3" t="str">
        <f>HYPERLINK("https://www.boe.es/gazeta/dias/1821/10/02/pdfs/GMD-1821-281.pdf#page=3","Abrir facsímil")</f>
        <v>Abrir facsímil</v>
      </c>
      <c r="K5992" s="3" t="s">
        <v>23</v>
      </c>
    </row>
    <row r="5993" spans="1:11" ht="42" customHeight="1">
      <c r="A5993" s="2" t="s">
        <v>11783</v>
      </c>
      <c r="B5993" s="2" t="s">
        <v>11783</v>
      </c>
      <c r="C5993" s="2" t="s">
        <v>26</v>
      </c>
      <c r="D5993" s="2" t="s">
        <v>27</v>
      </c>
      <c r="E5993" s="5">
        <v>-28578</v>
      </c>
      <c r="F5993" s="3" t="s">
        <v>899</v>
      </c>
      <c r="G5993" s="3" t="s">
        <v>88</v>
      </c>
      <c r="H5993" s="2" t="s">
        <v>21</v>
      </c>
      <c r="I5993" s="2" t="s">
        <v>11827</v>
      </c>
      <c r="J5993" s="3" t="str">
        <f>HYPERLINK("https://www.boe.es/gazeta/dias/1821/10/02/pdfs/GMD-1821-281.pdf#page=4","Abrir facsímil")</f>
        <v>Abrir facsímil</v>
      </c>
      <c r="K5993" s="3" t="s">
        <v>23</v>
      </c>
    </row>
    <row r="5994" spans="1:11" ht="42" customHeight="1">
      <c r="A5994" s="2" t="s">
        <v>11783</v>
      </c>
      <c r="B5994" s="2" t="s">
        <v>11783</v>
      </c>
      <c r="C5994" s="2" t="s">
        <v>26</v>
      </c>
      <c r="D5994" s="2" t="s">
        <v>27</v>
      </c>
      <c r="E5994" s="5">
        <v>-28576</v>
      </c>
      <c r="F5994" s="3" t="s">
        <v>1924</v>
      </c>
      <c r="G5994" s="3" t="s">
        <v>52</v>
      </c>
      <c r="H5994" s="2" t="s">
        <v>21</v>
      </c>
      <c r="I5994" s="2" t="s">
        <v>11828</v>
      </c>
      <c r="J5994" s="3" t="str">
        <f>HYPERLINK("https://www.boe.es/gazeta/dias/1821/10/04/pdfs/GMD-1821-283.pdf#page=2","Abrir facsímil")</f>
        <v>Abrir facsímil</v>
      </c>
      <c r="K5994" s="3" t="s">
        <v>23</v>
      </c>
    </row>
    <row r="5995" spans="1:11" ht="42" customHeight="1">
      <c r="A5995" s="2" t="s">
        <v>11783</v>
      </c>
      <c r="B5995" s="2" t="s">
        <v>11783</v>
      </c>
      <c r="C5995" s="2" t="s">
        <v>70</v>
      </c>
      <c r="D5995" s="2" t="s">
        <v>27</v>
      </c>
      <c r="E5995" s="5">
        <v>-28576</v>
      </c>
      <c r="F5995" s="3" t="s">
        <v>1924</v>
      </c>
      <c r="G5995" s="3" t="s">
        <v>20</v>
      </c>
      <c r="H5995" s="2" t="s">
        <v>21</v>
      </c>
      <c r="I5995" s="2" t="s">
        <v>11829</v>
      </c>
      <c r="J5995" s="3" t="str">
        <f>HYPERLINK("https://www.boe.es/gazeta/dias/1821/10/04/pdfs/GMD-1821-283.pdf#page=3","Abrir facsímil")</f>
        <v>Abrir facsímil</v>
      </c>
      <c r="K5995" s="3" t="s">
        <v>23</v>
      </c>
    </row>
    <row r="5996" spans="1:11" ht="42" customHeight="1">
      <c r="A5996" s="2" t="s">
        <v>11783</v>
      </c>
      <c r="B5996" s="2" t="s">
        <v>11783</v>
      </c>
      <c r="C5996" s="2" t="s">
        <v>17</v>
      </c>
      <c r="D5996" s="2" t="s">
        <v>18</v>
      </c>
      <c r="E5996" s="5">
        <v>-28573</v>
      </c>
      <c r="F5996" s="3" t="s">
        <v>19</v>
      </c>
      <c r="G5996" s="3" t="s">
        <v>20</v>
      </c>
      <c r="H5996" s="2" t="s">
        <v>21</v>
      </c>
      <c r="I5996" s="2" t="s">
        <v>11830</v>
      </c>
      <c r="J5996" s="3" t="str">
        <f>HYPERLINK("https://www.boe.es/gazeta/dias/1821/10/07/pdfs/GMD-1821-286.pdf#page=3","Abrir facsímil")</f>
        <v>Abrir facsímil</v>
      </c>
      <c r="K5996" s="3" t="s">
        <v>23</v>
      </c>
    </row>
    <row r="5997" spans="1:11" ht="42" customHeight="1">
      <c r="A5997" s="2" t="s">
        <v>11783</v>
      </c>
      <c r="B5997" s="2" t="s">
        <v>11783</v>
      </c>
      <c r="C5997" s="2" t="s">
        <v>26</v>
      </c>
      <c r="D5997" s="2" t="s">
        <v>27</v>
      </c>
      <c r="E5997" s="5">
        <v>-28572</v>
      </c>
      <c r="F5997" s="3" t="s">
        <v>1072</v>
      </c>
      <c r="G5997" s="3" t="s">
        <v>88</v>
      </c>
      <c r="H5997" s="2" t="s">
        <v>21</v>
      </c>
      <c r="I5997" s="2" t="s">
        <v>11831</v>
      </c>
      <c r="J5997" s="3" t="str">
        <f>HYPERLINK("https://www.boe.es/gazeta/dias/1821/10/08/pdfs/GMD-1821-287.pdf#page=4","Abrir facsímil")</f>
        <v>Abrir facsímil</v>
      </c>
      <c r="K5997" s="3" t="s">
        <v>23</v>
      </c>
    </row>
    <row r="5998" spans="1:11" ht="42" customHeight="1">
      <c r="A5998" s="2" t="s">
        <v>11783</v>
      </c>
      <c r="B5998" s="2" t="s">
        <v>11783</v>
      </c>
      <c r="C5998" s="2" t="s">
        <v>26</v>
      </c>
      <c r="D5998" s="2" t="s">
        <v>27</v>
      </c>
      <c r="E5998" s="5">
        <v>-28571</v>
      </c>
      <c r="F5998" s="3" t="s">
        <v>482</v>
      </c>
      <c r="G5998" s="3" t="s">
        <v>162</v>
      </c>
      <c r="H5998" s="2" t="s">
        <v>21</v>
      </c>
      <c r="I5998" s="2" t="s">
        <v>11832</v>
      </c>
      <c r="J5998" s="3" t="str">
        <f>HYPERLINK("https://www.boe.es/gazeta/dias/1821/10/09/pdfs/GMD-1821-288.pdf#page=5","Abrir facsímil")</f>
        <v>Abrir facsímil</v>
      </c>
      <c r="K5998" s="3" t="s">
        <v>23</v>
      </c>
    </row>
    <row r="5999" spans="1:11" ht="42" customHeight="1">
      <c r="A5999" s="2" t="s">
        <v>11783</v>
      </c>
      <c r="B5999" s="2" t="s">
        <v>11783</v>
      </c>
      <c r="C5999" s="2" t="s">
        <v>35</v>
      </c>
      <c r="D5999" s="2" t="s">
        <v>27</v>
      </c>
      <c r="E5999" s="5">
        <v>-28569</v>
      </c>
      <c r="F5999" s="3" t="s">
        <v>512</v>
      </c>
      <c r="G5999" s="3" t="s">
        <v>88</v>
      </c>
      <c r="H5999" s="2" t="s">
        <v>21</v>
      </c>
      <c r="I5999" s="2" t="s">
        <v>11833</v>
      </c>
      <c r="J5999" s="3" t="str">
        <f>HYPERLINK("https://www.boe.es/gazeta/dias/1821/10/11/pdfs/GMD-1821-290.pdf#page=4","Abrir facsímil")</f>
        <v>Abrir facsímil</v>
      </c>
      <c r="K5999" s="3" t="s">
        <v>23</v>
      </c>
    </row>
    <row r="6000" spans="1:11" ht="42" customHeight="1">
      <c r="A6000" s="2" t="s">
        <v>11783</v>
      </c>
      <c r="B6000" s="2" t="s">
        <v>11783</v>
      </c>
      <c r="C6000" s="2" t="s">
        <v>26</v>
      </c>
      <c r="D6000" s="2" t="s">
        <v>27</v>
      </c>
      <c r="E6000" s="5">
        <v>-28563</v>
      </c>
      <c r="F6000" s="3" t="s">
        <v>118</v>
      </c>
      <c r="G6000" s="3" t="s">
        <v>162</v>
      </c>
      <c r="H6000" s="2" t="s">
        <v>21</v>
      </c>
      <c r="I6000" s="2" t="s">
        <v>11834</v>
      </c>
      <c r="J6000" s="3" t="str">
        <f>HYPERLINK("https://www.boe.es/gazeta/dias/1821/10/17/pdfs/GMD-1821-296.pdf#page=5","Abrir facsímil")</f>
        <v>Abrir facsímil</v>
      </c>
      <c r="K6000" s="3" t="s">
        <v>23</v>
      </c>
    </row>
    <row r="6001" spans="1:11" ht="42" customHeight="1">
      <c r="A6001" s="2" t="s">
        <v>11783</v>
      </c>
      <c r="B6001" s="2" t="s">
        <v>11783</v>
      </c>
      <c r="C6001" s="2" t="s">
        <v>17</v>
      </c>
      <c r="D6001" s="2" t="s">
        <v>18</v>
      </c>
      <c r="E6001" s="5">
        <v>-28562</v>
      </c>
      <c r="F6001" s="3" t="s">
        <v>3093</v>
      </c>
      <c r="G6001" s="3" t="s">
        <v>88</v>
      </c>
      <c r="H6001" s="2" t="s">
        <v>21</v>
      </c>
      <c r="I6001" s="2" t="s">
        <v>11835</v>
      </c>
      <c r="J6001" s="3" t="str">
        <f>HYPERLINK("https://www.boe.es/gazeta/dias/1821/10/18/pdfs/GMD-1821-297.pdf#page=4","Abrir facsímil")</f>
        <v>Abrir facsímil</v>
      </c>
      <c r="K6001" s="3" t="s">
        <v>23</v>
      </c>
    </row>
    <row r="6002" spans="1:11" ht="42" customHeight="1">
      <c r="A6002" s="2" t="s">
        <v>11783</v>
      </c>
      <c r="B6002" s="2" t="s">
        <v>11783</v>
      </c>
      <c r="C6002" s="2" t="s">
        <v>17</v>
      </c>
      <c r="D6002" s="2" t="s">
        <v>18</v>
      </c>
      <c r="E6002" s="5">
        <v>-28562</v>
      </c>
      <c r="F6002" s="3" t="s">
        <v>3093</v>
      </c>
      <c r="G6002" s="3" t="s">
        <v>162</v>
      </c>
      <c r="H6002" s="2" t="s">
        <v>21</v>
      </c>
      <c r="I6002" s="2" t="s">
        <v>11836</v>
      </c>
      <c r="J6002" s="3" t="str">
        <f>HYPERLINK("https://www.boe.es/gazeta/dias/1821/10/18/pdfs/GMD-1821-297.pdf#page=5","Abrir facsímil")</f>
        <v>Abrir facsímil</v>
      </c>
      <c r="K6002" s="3" t="s">
        <v>23</v>
      </c>
    </row>
    <row r="6003" spans="1:11" ht="42" customHeight="1">
      <c r="A6003" s="2" t="s">
        <v>11783</v>
      </c>
      <c r="B6003" s="2" t="s">
        <v>11783</v>
      </c>
      <c r="C6003" s="2" t="s">
        <v>17</v>
      </c>
      <c r="D6003" s="2" t="s">
        <v>18</v>
      </c>
      <c r="E6003" s="5">
        <v>-28560</v>
      </c>
      <c r="F6003" s="3" t="s">
        <v>363</v>
      </c>
      <c r="G6003" s="3" t="s">
        <v>88</v>
      </c>
      <c r="H6003" s="2" t="s">
        <v>21</v>
      </c>
      <c r="I6003" s="2" t="s">
        <v>11837</v>
      </c>
      <c r="J6003" s="3" t="str">
        <f>HYPERLINK("https://www.boe.es/gazeta/dias/1821/10/20/pdfs/GMD-1821-299.pdf#page=4","Abrir facsímil")</f>
        <v>Abrir facsímil</v>
      </c>
      <c r="K6003" s="3" t="s">
        <v>23</v>
      </c>
    </row>
    <row r="6004" spans="1:11" ht="42" customHeight="1">
      <c r="A6004" s="2" t="s">
        <v>11783</v>
      </c>
      <c r="B6004" s="2" t="s">
        <v>11783</v>
      </c>
      <c r="C6004" s="2" t="s">
        <v>26</v>
      </c>
      <c r="D6004" s="2" t="s">
        <v>27</v>
      </c>
      <c r="E6004" s="5">
        <v>-28559</v>
      </c>
      <c r="F6004" s="3" t="s">
        <v>1078</v>
      </c>
      <c r="G6004" s="3" t="s">
        <v>88</v>
      </c>
      <c r="H6004" s="2" t="s">
        <v>21</v>
      </c>
      <c r="I6004" s="2" t="s">
        <v>11838</v>
      </c>
      <c r="J6004" s="3" t="str">
        <f>HYPERLINK("https://www.boe.es/gazeta/dias/1821/10/21/pdfs/GMD-1821-300.pdf#page=4","Abrir facsímil")</f>
        <v>Abrir facsímil</v>
      </c>
      <c r="K6004" s="3" t="s">
        <v>23</v>
      </c>
    </row>
    <row r="6005" spans="1:11" ht="42" customHeight="1">
      <c r="A6005" s="2" t="s">
        <v>11783</v>
      </c>
      <c r="B6005" s="2" t="s">
        <v>11783</v>
      </c>
      <c r="C6005" s="2" t="s">
        <v>26</v>
      </c>
      <c r="D6005" s="2" t="s">
        <v>27</v>
      </c>
      <c r="E6005" s="5">
        <v>-28558</v>
      </c>
      <c r="F6005" s="3" t="s">
        <v>758</v>
      </c>
      <c r="G6005" s="3" t="s">
        <v>20</v>
      </c>
      <c r="H6005" s="2" t="s">
        <v>21</v>
      </c>
      <c r="I6005" s="2" t="s">
        <v>11839</v>
      </c>
      <c r="J6005" s="3" t="str">
        <f>HYPERLINK("https://www.boe.es/gazeta/dias/1821/10/22/pdfs/GMD-1821-301.pdf#page=3","Abrir facsímil")</f>
        <v>Abrir facsímil</v>
      </c>
      <c r="K6005" s="3" t="s">
        <v>23</v>
      </c>
    </row>
    <row r="6006" spans="1:11" ht="42" customHeight="1">
      <c r="A6006" s="2" t="s">
        <v>11783</v>
      </c>
      <c r="B6006" s="2" t="s">
        <v>11783</v>
      </c>
      <c r="C6006" s="2" t="s">
        <v>70</v>
      </c>
      <c r="D6006" s="2" t="s">
        <v>27</v>
      </c>
      <c r="E6006" s="5">
        <v>-28552</v>
      </c>
      <c r="F6006" s="3" t="s">
        <v>28</v>
      </c>
      <c r="G6006" s="3" t="s">
        <v>2457</v>
      </c>
      <c r="H6006" s="2" t="s">
        <v>21</v>
      </c>
      <c r="I6006" s="2" t="s">
        <v>11840</v>
      </c>
      <c r="J6006" s="3" t="str">
        <f>HYPERLINK("https://www.boe.es/gazeta/dias/1821/10/28/pdfs/GMD-1821-307.pdf#page=4","Abrir facsímil")</f>
        <v>Abrir facsímil</v>
      </c>
      <c r="K6006" s="3" t="s">
        <v>23</v>
      </c>
    </row>
    <row r="6007" spans="1:11" ht="42" customHeight="1">
      <c r="A6007" s="2" t="s">
        <v>11783</v>
      </c>
      <c r="B6007" s="2" t="s">
        <v>11783</v>
      </c>
      <c r="C6007" s="2" t="s">
        <v>26</v>
      </c>
      <c r="D6007" s="2" t="s">
        <v>27</v>
      </c>
      <c r="E6007" s="5">
        <v>-28548</v>
      </c>
      <c r="F6007" s="3" t="s">
        <v>782</v>
      </c>
      <c r="G6007" s="3" t="s">
        <v>20</v>
      </c>
      <c r="H6007" s="2" t="s">
        <v>21</v>
      </c>
      <c r="I6007" s="2" t="s">
        <v>11841</v>
      </c>
      <c r="J6007" s="3" t="str">
        <f>HYPERLINK("https://www.boe.es/gazeta/dias/1821/11/01/pdfs/GMD-1821-311.pdf#page=3","Abrir facsímil")</f>
        <v>Abrir facsímil</v>
      </c>
      <c r="K6007" s="3" t="s">
        <v>23</v>
      </c>
    </row>
    <row r="6008" spans="1:11" ht="42" customHeight="1">
      <c r="A6008" s="2" t="s">
        <v>11783</v>
      </c>
      <c r="B6008" s="2" t="s">
        <v>11783</v>
      </c>
      <c r="C6008" s="2" t="s">
        <v>40</v>
      </c>
      <c r="D6008" s="2" t="s">
        <v>41</v>
      </c>
      <c r="E6008" s="5">
        <v>-28547</v>
      </c>
      <c r="F6008" s="3" t="s">
        <v>247</v>
      </c>
      <c r="G6008" s="3" t="s">
        <v>162</v>
      </c>
      <c r="H6008" s="2" t="s">
        <v>21</v>
      </c>
      <c r="I6008" s="2" t="s">
        <v>11842</v>
      </c>
      <c r="J6008" s="3" t="str">
        <f>HYPERLINK("https://www.boe.es/gazeta/dias/1821/11/02/pdfs/GMD-1821-312.pdf#page=5","Abrir facsímil")</f>
        <v>Abrir facsímil</v>
      </c>
      <c r="K6008" s="3" t="s">
        <v>23</v>
      </c>
    </row>
    <row r="6009" spans="1:11" ht="42" customHeight="1">
      <c r="A6009" s="2" t="s">
        <v>11783</v>
      </c>
      <c r="B6009" s="2" t="s">
        <v>11783</v>
      </c>
      <c r="C6009" s="2" t="s">
        <v>114</v>
      </c>
      <c r="D6009" s="2" t="s">
        <v>27</v>
      </c>
      <c r="E6009" s="5">
        <v>-28547</v>
      </c>
      <c r="F6009" s="3" t="s">
        <v>247</v>
      </c>
      <c r="G6009" s="3" t="s">
        <v>29</v>
      </c>
      <c r="H6009" s="2" t="s">
        <v>21</v>
      </c>
      <c r="I6009" s="2" t="s">
        <v>11843</v>
      </c>
      <c r="J6009" s="3" t="str">
        <f>HYPERLINK("https://www.boe.es/gazeta/dias/1821/11/02/pdfs/GMD-1821-312.pdf#page=6","Abrir facsímil")</f>
        <v>Abrir facsímil</v>
      </c>
      <c r="K6009" s="3" t="s">
        <v>23</v>
      </c>
    </row>
    <row r="6010" spans="1:11" ht="42" customHeight="1">
      <c r="A6010" s="2" t="s">
        <v>11783</v>
      </c>
      <c r="B6010" s="2" t="s">
        <v>11783</v>
      </c>
      <c r="C6010" s="2" t="s">
        <v>17</v>
      </c>
      <c r="D6010" s="2" t="s">
        <v>18</v>
      </c>
      <c r="E6010" s="5">
        <v>-28545</v>
      </c>
      <c r="F6010" s="3" t="s">
        <v>284</v>
      </c>
      <c r="G6010" s="3" t="s">
        <v>88</v>
      </c>
      <c r="H6010" s="2" t="s">
        <v>21</v>
      </c>
      <c r="I6010" s="2" t="s">
        <v>11844</v>
      </c>
      <c r="J6010" s="3" t="str">
        <f>HYPERLINK("https://www.boe.es/gazeta/dias/1821/11/04/pdfs/GMD-1821-315.pdf#page=4","Abrir facsímil")</f>
        <v>Abrir facsímil</v>
      </c>
      <c r="K6010" s="3" t="s">
        <v>23</v>
      </c>
    </row>
    <row r="6011" spans="1:11" ht="42" customHeight="1">
      <c r="A6011" s="2" t="s">
        <v>11783</v>
      </c>
      <c r="B6011" s="2" t="s">
        <v>11783</v>
      </c>
      <c r="C6011" s="2" t="s">
        <v>17</v>
      </c>
      <c r="D6011" s="2" t="s">
        <v>18</v>
      </c>
      <c r="E6011" s="5">
        <v>-28545</v>
      </c>
      <c r="F6011" s="3" t="s">
        <v>284</v>
      </c>
      <c r="G6011" s="3" t="s">
        <v>162</v>
      </c>
      <c r="H6011" s="2" t="s">
        <v>21</v>
      </c>
      <c r="I6011" s="2" t="s">
        <v>11845</v>
      </c>
      <c r="J6011" s="3" t="str">
        <f>HYPERLINK("https://www.boe.es/gazeta/dias/1821/11/04/pdfs/GMD-1821-315.pdf#page=5","Abrir facsímil")</f>
        <v>Abrir facsímil</v>
      </c>
      <c r="K6011" s="3" t="s">
        <v>23</v>
      </c>
    </row>
    <row r="6012" spans="1:11" ht="42" customHeight="1">
      <c r="A6012" s="2" t="s">
        <v>11783</v>
      </c>
      <c r="B6012" s="2" t="s">
        <v>11783</v>
      </c>
      <c r="C6012" s="2" t="s">
        <v>26</v>
      </c>
      <c r="D6012" s="2" t="s">
        <v>27</v>
      </c>
      <c r="E6012" s="5">
        <v>-28543</v>
      </c>
      <c r="F6012" s="3" t="s">
        <v>136</v>
      </c>
      <c r="G6012" s="3" t="s">
        <v>609</v>
      </c>
      <c r="H6012" s="2" t="s">
        <v>21</v>
      </c>
      <c r="I6012" s="2" t="s">
        <v>11846</v>
      </c>
      <c r="J6012" s="3" t="str">
        <f>HYPERLINK("https://www.boe.es/gazeta/dias/1821/11/06/pdfs/GMD-1821-317.pdf#page=7","Abrir facsímil")</f>
        <v>Abrir facsímil</v>
      </c>
      <c r="K6012" s="3" t="s">
        <v>23</v>
      </c>
    </row>
    <row r="6013" spans="1:11" ht="42" customHeight="1">
      <c r="A6013" s="2" t="s">
        <v>11783</v>
      </c>
      <c r="B6013" s="2" t="s">
        <v>11783</v>
      </c>
      <c r="C6013" s="2" t="s">
        <v>40</v>
      </c>
      <c r="D6013" s="2" t="s">
        <v>41</v>
      </c>
      <c r="E6013" s="5">
        <v>-28539</v>
      </c>
      <c r="F6013" s="3" t="s">
        <v>153</v>
      </c>
      <c r="G6013" s="3" t="s">
        <v>162</v>
      </c>
      <c r="H6013" s="2" t="s">
        <v>21</v>
      </c>
      <c r="I6013" s="2" t="s">
        <v>11847</v>
      </c>
      <c r="J6013" s="3" t="str">
        <f>HYPERLINK("https://www.boe.es/gazeta/dias/1821/11/10/pdfs/GMD-1821-321.pdf#page=5","Abrir facsímil")</f>
        <v>Abrir facsímil</v>
      </c>
      <c r="K6013" s="3" t="s">
        <v>23</v>
      </c>
    </row>
    <row r="6014" spans="1:11" ht="42" customHeight="1">
      <c r="A6014" s="2" t="s">
        <v>11783</v>
      </c>
      <c r="B6014" s="2" t="s">
        <v>11783</v>
      </c>
      <c r="C6014" s="2" t="s">
        <v>26</v>
      </c>
      <c r="D6014" s="2" t="s">
        <v>27</v>
      </c>
      <c r="E6014" s="5">
        <v>-28539</v>
      </c>
      <c r="F6014" s="3" t="s">
        <v>153</v>
      </c>
      <c r="G6014" s="3" t="s">
        <v>29</v>
      </c>
      <c r="H6014" s="2" t="s">
        <v>21</v>
      </c>
      <c r="I6014" s="2" t="s">
        <v>11848</v>
      </c>
      <c r="J6014" s="3" t="str">
        <f>HYPERLINK("https://www.boe.es/gazeta/dias/1821/11/10/pdfs/GMD-1821-321.pdf#page=6","Abrir facsímil")</f>
        <v>Abrir facsímil</v>
      </c>
      <c r="K6014" s="3" t="s">
        <v>23</v>
      </c>
    </row>
    <row r="6015" spans="1:11" ht="42" customHeight="1">
      <c r="A6015" s="2" t="s">
        <v>11783</v>
      </c>
      <c r="B6015" s="2" t="s">
        <v>11783</v>
      </c>
      <c r="C6015" s="2" t="s">
        <v>26</v>
      </c>
      <c r="D6015" s="2" t="s">
        <v>27</v>
      </c>
      <c r="E6015" s="5">
        <v>-28538</v>
      </c>
      <c r="F6015" s="3" t="s">
        <v>395</v>
      </c>
      <c r="G6015" s="3" t="s">
        <v>20</v>
      </c>
      <c r="H6015" s="2" t="s">
        <v>21</v>
      </c>
      <c r="I6015" s="2" t="s">
        <v>11849</v>
      </c>
      <c r="J6015" s="3" t="str">
        <f>HYPERLINK("https://www.boe.es/gazeta/dias/1821/11/11/pdfs/GMD-1821-322.pdf#page=3","Abrir facsímil")</f>
        <v>Abrir facsímil</v>
      </c>
      <c r="K6015" s="3" t="s">
        <v>23</v>
      </c>
    </row>
    <row r="6016" spans="1:11" ht="42" customHeight="1">
      <c r="A6016" s="2" t="s">
        <v>11783</v>
      </c>
      <c r="B6016" s="2" t="s">
        <v>11783</v>
      </c>
      <c r="C6016" s="2" t="s">
        <v>35</v>
      </c>
      <c r="D6016" s="2" t="s">
        <v>27</v>
      </c>
      <c r="E6016" s="5">
        <v>-28537</v>
      </c>
      <c r="F6016" s="3" t="s">
        <v>56</v>
      </c>
      <c r="G6016" s="3" t="s">
        <v>20</v>
      </c>
      <c r="H6016" s="2" t="s">
        <v>21</v>
      </c>
      <c r="I6016" s="2" t="s">
        <v>11850</v>
      </c>
      <c r="J6016" s="3" t="str">
        <f>HYPERLINK("https://www.boe.es/gazeta/dias/1821/11/12/pdfs/GMD-1821-323.pdf#page=3","Abrir facsímil")</f>
        <v>Abrir facsímil</v>
      </c>
      <c r="K6016" s="3" t="s">
        <v>23</v>
      </c>
    </row>
    <row r="6017" spans="1:11" ht="42" customHeight="1">
      <c r="A6017" s="2" t="s">
        <v>11783</v>
      </c>
      <c r="B6017" s="2" t="s">
        <v>11783</v>
      </c>
      <c r="C6017" s="2" t="s">
        <v>17</v>
      </c>
      <c r="D6017" s="2" t="s">
        <v>18</v>
      </c>
      <c r="E6017" s="5">
        <v>-28537</v>
      </c>
      <c r="F6017" s="3" t="s">
        <v>56</v>
      </c>
      <c r="G6017" s="3" t="s">
        <v>162</v>
      </c>
      <c r="H6017" s="2" t="s">
        <v>21</v>
      </c>
      <c r="I6017" s="2" t="s">
        <v>11851</v>
      </c>
      <c r="J6017" s="3" t="str">
        <f>HYPERLINK("https://www.boe.es/gazeta/dias/1821/11/12/pdfs/GMD-1821-323.pdf#page=5","Abrir facsímil")</f>
        <v>Abrir facsímil</v>
      </c>
      <c r="K6017" s="3" t="s">
        <v>23</v>
      </c>
    </row>
    <row r="6018" spans="1:11" ht="42" customHeight="1">
      <c r="A6018" s="2" t="s">
        <v>11783</v>
      </c>
      <c r="B6018" s="2" t="s">
        <v>11783</v>
      </c>
      <c r="C6018" s="2" t="s">
        <v>114</v>
      </c>
      <c r="D6018" s="2" t="s">
        <v>27</v>
      </c>
      <c r="E6018" s="5">
        <v>-28536</v>
      </c>
      <c r="F6018" s="3" t="s">
        <v>553</v>
      </c>
      <c r="G6018" s="3" t="s">
        <v>88</v>
      </c>
      <c r="H6018" s="2" t="s">
        <v>21</v>
      </c>
      <c r="I6018" s="2" t="s">
        <v>11852</v>
      </c>
      <c r="J6018" s="3" t="str">
        <f>HYPERLINK("https://www.boe.es/gazeta/dias/1821/11/13/pdfs/GMD-1821-324.pdf#page=4","Abrir facsímil")</f>
        <v>Abrir facsímil</v>
      </c>
      <c r="K6018" s="3" t="s">
        <v>23</v>
      </c>
    </row>
    <row r="6019" spans="1:11" ht="42" customHeight="1">
      <c r="A6019" s="2" t="s">
        <v>11783</v>
      </c>
      <c r="B6019" s="2" t="s">
        <v>11783</v>
      </c>
      <c r="C6019" s="2" t="s">
        <v>35</v>
      </c>
      <c r="D6019" s="2" t="s">
        <v>27</v>
      </c>
      <c r="E6019" s="5">
        <v>-28536</v>
      </c>
      <c r="F6019" s="3" t="s">
        <v>553</v>
      </c>
      <c r="G6019" s="3" t="s">
        <v>162</v>
      </c>
      <c r="H6019" s="2" t="s">
        <v>21</v>
      </c>
      <c r="I6019" s="2" t="s">
        <v>11853</v>
      </c>
      <c r="J6019" s="3" t="str">
        <f>HYPERLINK("https://www.boe.es/gazeta/dias/1821/11/13/pdfs/GMD-1821-324.pdf#page=5","Abrir facsímil")</f>
        <v>Abrir facsímil</v>
      </c>
      <c r="K6019" s="3" t="s">
        <v>23</v>
      </c>
    </row>
    <row r="6020" spans="1:11" ht="42" customHeight="1">
      <c r="A6020" s="2" t="s">
        <v>11783</v>
      </c>
      <c r="B6020" s="2" t="s">
        <v>11783</v>
      </c>
      <c r="C6020" s="2" t="s">
        <v>114</v>
      </c>
      <c r="D6020" s="2" t="s">
        <v>27</v>
      </c>
      <c r="E6020" s="5">
        <v>-28535</v>
      </c>
      <c r="F6020" s="3" t="s">
        <v>96</v>
      </c>
      <c r="G6020" s="3" t="s">
        <v>88</v>
      </c>
      <c r="H6020" s="2" t="s">
        <v>21</v>
      </c>
      <c r="I6020" s="2" t="s">
        <v>11854</v>
      </c>
      <c r="J6020" s="3" t="str">
        <f>HYPERLINK("https://www.boe.es/gazeta/dias/1821/11/14/pdfs/GMD-1821-325.pdf#page=4","Abrir facsímil")</f>
        <v>Abrir facsímil</v>
      </c>
      <c r="K6020" s="3" t="s">
        <v>23</v>
      </c>
    </row>
    <row r="6021" spans="1:11" ht="42" customHeight="1">
      <c r="A6021" s="2" t="s">
        <v>11783</v>
      </c>
      <c r="B6021" s="2" t="s">
        <v>11783</v>
      </c>
      <c r="C6021" s="2" t="s">
        <v>17</v>
      </c>
      <c r="D6021" s="2" t="s">
        <v>18</v>
      </c>
      <c r="E6021" s="5">
        <v>-28533</v>
      </c>
      <c r="F6021" s="3" t="s">
        <v>559</v>
      </c>
      <c r="G6021" s="3" t="s">
        <v>162</v>
      </c>
      <c r="H6021" s="2" t="s">
        <v>21</v>
      </c>
      <c r="I6021" s="2" t="s">
        <v>11855</v>
      </c>
      <c r="J6021" s="3" t="str">
        <f>HYPERLINK("https://www.boe.es/gazeta/dias/1821/11/16/pdfs/GMD-1821-327.pdf#page=5","Abrir facsímil")</f>
        <v>Abrir facsímil</v>
      </c>
      <c r="K6021" s="3" t="s">
        <v>23</v>
      </c>
    </row>
    <row r="6022" spans="1:11" ht="42" customHeight="1">
      <c r="A6022" s="2" t="s">
        <v>11783</v>
      </c>
      <c r="B6022" s="2" t="s">
        <v>11783</v>
      </c>
      <c r="C6022" s="2" t="s">
        <v>40</v>
      </c>
      <c r="D6022" s="2" t="s">
        <v>41</v>
      </c>
      <c r="E6022" s="5">
        <v>-28533</v>
      </c>
      <c r="F6022" s="3" t="s">
        <v>559</v>
      </c>
      <c r="G6022" s="3" t="s">
        <v>29</v>
      </c>
      <c r="H6022" s="2" t="s">
        <v>21</v>
      </c>
      <c r="I6022" s="2" t="s">
        <v>11856</v>
      </c>
      <c r="J6022" s="3" t="str">
        <f>HYPERLINK("https://www.boe.es/gazeta/dias/1821/11/16/pdfs/GMD-1821-327.pdf#page=6","Abrir facsímil")</f>
        <v>Abrir facsímil</v>
      </c>
      <c r="K6022" s="3" t="s">
        <v>23</v>
      </c>
    </row>
    <row r="6023" spans="1:11" ht="42" customHeight="1">
      <c r="A6023" s="2" t="s">
        <v>11783</v>
      </c>
      <c r="B6023" s="2" t="s">
        <v>11783</v>
      </c>
      <c r="C6023" s="2" t="s">
        <v>35</v>
      </c>
      <c r="D6023" s="2" t="s">
        <v>27</v>
      </c>
      <c r="E6023" s="5">
        <v>-28525</v>
      </c>
      <c r="F6023" s="3" t="s">
        <v>186</v>
      </c>
      <c r="G6023" s="3" t="s">
        <v>20</v>
      </c>
      <c r="H6023" s="2" t="s">
        <v>21</v>
      </c>
      <c r="I6023" s="2" t="s">
        <v>11857</v>
      </c>
      <c r="J6023" s="3" t="str">
        <f>HYPERLINK("https://www.boe.es/gazeta/dias/1821/11/24/pdfs/GMD-1821-335.pdf#page=3","Abrir facsímil")</f>
        <v>Abrir facsímil</v>
      </c>
      <c r="K6023" s="3" t="s">
        <v>23</v>
      </c>
    </row>
    <row r="6024" spans="1:11" ht="42" customHeight="1">
      <c r="A6024" s="2" t="s">
        <v>11783</v>
      </c>
      <c r="B6024" s="2" t="s">
        <v>11783</v>
      </c>
      <c r="C6024" s="2" t="s">
        <v>35</v>
      </c>
      <c r="D6024" s="2" t="s">
        <v>27</v>
      </c>
      <c r="E6024" s="5">
        <v>-28524</v>
      </c>
      <c r="F6024" s="3" t="s">
        <v>874</v>
      </c>
      <c r="G6024" s="3" t="s">
        <v>88</v>
      </c>
      <c r="H6024" s="2" t="s">
        <v>21</v>
      </c>
      <c r="I6024" s="2" t="s">
        <v>11858</v>
      </c>
      <c r="J6024" s="3" t="str">
        <f>HYPERLINK("https://www.boe.es/gazeta/dias/1821/11/25/pdfs/GMD-1821-336.pdf#page=4","Abrir facsímil")</f>
        <v>Abrir facsímil</v>
      </c>
      <c r="K6024" s="3" t="s">
        <v>23</v>
      </c>
    </row>
    <row r="6025" spans="1:11" ht="42" customHeight="1">
      <c r="A6025" s="2" t="s">
        <v>11783</v>
      </c>
      <c r="B6025" s="2" t="s">
        <v>11783</v>
      </c>
      <c r="C6025" s="2" t="s">
        <v>26</v>
      </c>
      <c r="D6025" s="2" t="s">
        <v>27</v>
      </c>
      <c r="E6025" s="5">
        <v>-28519</v>
      </c>
      <c r="F6025" s="3" t="s">
        <v>880</v>
      </c>
      <c r="G6025" s="3" t="s">
        <v>52</v>
      </c>
      <c r="H6025" s="2" t="s">
        <v>21</v>
      </c>
      <c r="I6025" s="2" t="s">
        <v>11859</v>
      </c>
      <c r="J6025" s="3" t="str">
        <f>HYPERLINK("https://www.boe.es/gazeta/dias/1821/11/30/pdfs/GMD-1821-342.pdf#page=2","Abrir facsímil")</f>
        <v>Abrir facsímil</v>
      </c>
      <c r="K6025" s="3" t="s">
        <v>23</v>
      </c>
    </row>
    <row r="6026" spans="1:11" ht="42" customHeight="1">
      <c r="A6026" s="2" t="s">
        <v>11783</v>
      </c>
      <c r="B6026" s="2" t="s">
        <v>11783</v>
      </c>
      <c r="C6026" s="2" t="s">
        <v>17</v>
      </c>
      <c r="D6026" s="2" t="s">
        <v>18</v>
      </c>
      <c r="E6026" s="5">
        <v>-28517</v>
      </c>
      <c r="F6026" s="3" t="s">
        <v>563</v>
      </c>
      <c r="G6026" s="3" t="s">
        <v>52</v>
      </c>
      <c r="H6026" s="2" t="s">
        <v>21</v>
      </c>
      <c r="I6026" s="2" t="s">
        <v>11860</v>
      </c>
      <c r="J6026" s="3" t="str">
        <f>HYPERLINK("https://www.boe.es/gazeta/dias/1821/12/02/pdfs/GMD-1821-344.pdf#page=2","Abrir facsímil")</f>
        <v>Abrir facsímil</v>
      </c>
      <c r="K6026" s="3" t="s">
        <v>23</v>
      </c>
    </row>
    <row r="6027" spans="1:11" ht="42" customHeight="1">
      <c r="A6027" s="2" t="s">
        <v>11783</v>
      </c>
      <c r="B6027" s="2" t="s">
        <v>11783</v>
      </c>
      <c r="C6027" s="2" t="s">
        <v>114</v>
      </c>
      <c r="D6027" s="2" t="s">
        <v>27</v>
      </c>
      <c r="E6027" s="5">
        <v>-28517</v>
      </c>
      <c r="F6027" s="3" t="s">
        <v>563</v>
      </c>
      <c r="G6027" s="3" t="s">
        <v>20</v>
      </c>
      <c r="H6027" s="2" t="s">
        <v>21</v>
      </c>
      <c r="I6027" s="2" t="s">
        <v>11861</v>
      </c>
      <c r="J6027" s="3" t="str">
        <f>HYPERLINK("https://www.boe.es/gazeta/dias/1821/12/02/pdfs/GMD-1821-344.pdf#page=3","Abrir facsímil")</f>
        <v>Abrir facsímil</v>
      </c>
      <c r="K6027" s="3" t="s">
        <v>23</v>
      </c>
    </row>
    <row r="6028" spans="1:11" ht="42" customHeight="1">
      <c r="A6028" s="2" t="s">
        <v>11783</v>
      </c>
      <c r="B6028" s="2" t="s">
        <v>11783</v>
      </c>
      <c r="C6028" s="2" t="s">
        <v>26</v>
      </c>
      <c r="D6028" s="2" t="s">
        <v>27</v>
      </c>
      <c r="E6028" s="5">
        <v>-28516</v>
      </c>
      <c r="F6028" s="3" t="s">
        <v>514</v>
      </c>
      <c r="G6028" s="3" t="s">
        <v>162</v>
      </c>
      <c r="H6028" s="2" t="s">
        <v>21</v>
      </c>
      <c r="I6028" s="2" t="s">
        <v>11862</v>
      </c>
      <c r="J6028" s="3" t="str">
        <f>HYPERLINK("https://www.boe.es/gazeta/dias/1821/12/03/pdfs/GMD-1821-345.pdf#page=5","Abrir facsímil")</f>
        <v>Abrir facsímil</v>
      </c>
      <c r="K6028" s="3" t="s">
        <v>23</v>
      </c>
    </row>
    <row r="6029" spans="1:11" ht="42" customHeight="1">
      <c r="A6029" s="2" t="s">
        <v>11783</v>
      </c>
      <c r="B6029" s="2" t="s">
        <v>11783</v>
      </c>
      <c r="C6029" s="2" t="s">
        <v>17</v>
      </c>
      <c r="D6029" s="2" t="s">
        <v>18</v>
      </c>
      <c r="E6029" s="5">
        <v>-28515</v>
      </c>
      <c r="F6029" s="3" t="s">
        <v>260</v>
      </c>
      <c r="G6029" s="3" t="s">
        <v>3841</v>
      </c>
      <c r="H6029" s="2" t="s">
        <v>21</v>
      </c>
      <c r="I6029" s="2" t="s">
        <v>11863</v>
      </c>
      <c r="J6029" s="3" t="str">
        <f>HYPERLINK("https://www.boe.es/gazeta/dias/1821/12/04/pdfs/GMD-1821-346.pdf#page=6","Abrir facsímil")</f>
        <v>Abrir facsímil</v>
      </c>
      <c r="K6029" s="3" t="s">
        <v>23</v>
      </c>
    </row>
    <row r="6030" spans="1:11" ht="42" customHeight="1">
      <c r="A6030" s="2" t="s">
        <v>11783</v>
      </c>
      <c r="B6030" s="2" t="s">
        <v>11783</v>
      </c>
      <c r="C6030" s="2" t="s">
        <v>26</v>
      </c>
      <c r="D6030" s="2" t="s">
        <v>27</v>
      </c>
      <c r="E6030" s="5">
        <v>-28514</v>
      </c>
      <c r="F6030" s="3" t="s">
        <v>103</v>
      </c>
      <c r="G6030" s="3" t="s">
        <v>52</v>
      </c>
      <c r="H6030" s="2" t="s">
        <v>21</v>
      </c>
      <c r="I6030" s="2" t="s">
        <v>11864</v>
      </c>
      <c r="J6030" s="3" t="str">
        <f>HYPERLINK("https://www.boe.es/gazeta/dias/1821/12/05/pdfs/GMD-1821-347.pdf#page=2","Abrir facsímil")</f>
        <v>Abrir facsímil</v>
      </c>
      <c r="K6030" s="3" t="s">
        <v>23</v>
      </c>
    </row>
    <row r="6031" spans="1:11" ht="42" customHeight="1">
      <c r="A6031" s="2" t="s">
        <v>11783</v>
      </c>
      <c r="B6031" s="2" t="s">
        <v>11783</v>
      </c>
      <c r="C6031" s="2" t="s">
        <v>35</v>
      </c>
      <c r="D6031" s="2" t="s">
        <v>27</v>
      </c>
      <c r="E6031" s="5">
        <v>-28512</v>
      </c>
      <c r="F6031" s="3" t="s">
        <v>66</v>
      </c>
      <c r="G6031" s="3" t="s">
        <v>52</v>
      </c>
      <c r="H6031" s="2" t="s">
        <v>21</v>
      </c>
      <c r="I6031" s="2" t="s">
        <v>11865</v>
      </c>
      <c r="J6031" s="3" t="str">
        <f>HYPERLINK("https://www.boe.es/gazeta/dias/1821/12/07/pdfs/GMD-1821-349.pdf#page=2","Abrir facsímil")</f>
        <v>Abrir facsímil</v>
      </c>
      <c r="K6031" s="3" t="s">
        <v>23</v>
      </c>
    </row>
    <row r="6032" spans="1:11" ht="42" customHeight="1">
      <c r="A6032" s="2" t="s">
        <v>11783</v>
      </c>
      <c r="B6032" s="2" t="s">
        <v>11783</v>
      </c>
      <c r="C6032" s="2" t="s">
        <v>17</v>
      </c>
      <c r="D6032" s="2" t="s">
        <v>18</v>
      </c>
      <c r="E6032" s="5">
        <v>-28505</v>
      </c>
      <c r="F6032" s="3" t="s">
        <v>567</v>
      </c>
      <c r="G6032" s="3" t="s">
        <v>88</v>
      </c>
      <c r="H6032" s="2" t="s">
        <v>21</v>
      </c>
      <c r="I6032" s="2" t="s">
        <v>11866</v>
      </c>
      <c r="J6032" s="3" t="str">
        <f>HYPERLINK("https://www.boe.es/gazeta/dias/1821/12/14/pdfs/GMD-1821-357.pdf#page=4","Abrir facsímil")</f>
        <v>Abrir facsímil</v>
      </c>
      <c r="K6032" s="3" t="s">
        <v>23</v>
      </c>
    </row>
    <row r="6033" spans="1:11" ht="42" customHeight="1">
      <c r="A6033" s="2" t="s">
        <v>11783</v>
      </c>
      <c r="B6033" s="2" t="s">
        <v>11783</v>
      </c>
      <c r="C6033" s="2" t="s">
        <v>26</v>
      </c>
      <c r="D6033" s="2" t="s">
        <v>27</v>
      </c>
      <c r="E6033" s="5">
        <v>-28505</v>
      </c>
      <c r="F6033" s="3" t="s">
        <v>567</v>
      </c>
      <c r="G6033" s="3" t="s">
        <v>162</v>
      </c>
      <c r="H6033" s="2" t="s">
        <v>21</v>
      </c>
      <c r="I6033" s="2" t="s">
        <v>11867</v>
      </c>
      <c r="J6033" s="3" t="str">
        <f>HYPERLINK("https://www.boe.es/gazeta/dias/1821/12/14/pdfs/GMD-1821-357.pdf#page=5","Abrir facsímil")</f>
        <v>Abrir facsímil</v>
      </c>
      <c r="K6033" s="3" t="s">
        <v>23</v>
      </c>
    </row>
    <row r="6034" spans="1:11" ht="42" customHeight="1">
      <c r="A6034" s="2" t="s">
        <v>11783</v>
      </c>
      <c r="B6034" s="2" t="s">
        <v>11783</v>
      </c>
      <c r="C6034" s="2" t="s">
        <v>26</v>
      </c>
      <c r="D6034" s="2" t="s">
        <v>27</v>
      </c>
      <c r="E6034" s="5">
        <v>-28502</v>
      </c>
      <c r="F6034" s="3" t="s">
        <v>570</v>
      </c>
      <c r="G6034" s="3" t="s">
        <v>52</v>
      </c>
      <c r="H6034" s="2" t="s">
        <v>21</v>
      </c>
      <c r="I6034" s="2" t="s">
        <v>11868</v>
      </c>
      <c r="J6034" s="3" t="str">
        <f>HYPERLINK("https://www.boe.es/gazeta/dias/1821/12/17/pdfs/GMD-1821-360.pdf#page=2","Abrir facsímil")</f>
        <v>Abrir facsímil</v>
      </c>
      <c r="K6034" s="3" t="s">
        <v>23</v>
      </c>
    </row>
    <row r="6035" spans="1:11" ht="42" customHeight="1">
      <c r="A6035" s="2" t="s">
        <v>11783</v>
      </c>
      <c r="B6035" s="2" t="s">
        <v>11783</v>
      </c>
      <c r="C6035" s="2" t="s">
        <v>35</v>
      </c>
      <c r="D6035" s="2" t="s">
        <v>27</v>
      </c>
      <c r="E6035" s="5">
        <v>-28502</v>
      </c>
      <c r="F6035" s="3" t="s">
        <v>570</v>
      </c>
      <c r="G6035" s="3" t="s">
        <v>20</v>
      </c>
      <c r="H6035" s="2" t="s">
        <v>21</v>
      </c>
      <c r="I6035" s="2" t="s">
        <v>11869</v>
      </c>
      <c r="J6035" s="3" t="str">
        <f>HYPERLINK("https://www.boe.es/gazeta/dias/1821/12/17/pdfs/GMD-1821-360.pdf#page=3","Abrir facsímil")</f>
        <v>Abrir facsímil</v>
      </c>
      <c r="K6035" s="3" t="s">
        <v>23</v>
      </c>
    </row>
    <row r="6036" spans="1:11" ht="42" customHeight="1">
      <c r="A6036" s="2" t="s">
        <v>11783</v>
      </c>
      <c r="B6036" s="2" t="s">
        <v>11783</v>
      </c>
      <c r="C6036" s="2" t="s">
        <v>26</v>
      </c>
      <c r="D6036" s="2" t="s">
        <v>27</v>
      </c>
      <c r="E6036" s="5">
        <v>-28501</v>
      </c>
      <c r="F6036" s="3" t="s">
        <v>456</v>
      </c>
      <c r="G6036" s="3" t="s">
        <v>457</v>
      </c>
      <c r="H6036" s="2" t="s">
        <v>21</v>
      </c>
      <c r="I6036" s="2" t="s">
        <v>11870</v>
      </c>
      <c r="J6036" s="3" t="str">
        <f>HYPERLINK("https://www.boe.es/gazeta/dias/1821/12/18/pdfs/GMD-1821-361.pdf#page=5","Abrir facsímil")</f>
        <v>Abrir facsímil</v>
      </c>
      <c r="K6036" s="3" t="s">
        <v>23</v>
      </c>
    </row>
    <row r="6037" spans="1:11" ht="42" customHeight="1">
      <c r="A6037" s="2" t="s">
        <v>11783</v>
      </c>
      <c r="B6037" s="2" t="s">
        <v>11783</v>
      </c>
      <c r="C6037" s="2" t="s">
        <v>17</v>
      </c>
      <c r="D6037" s="2" t="s">
        <v>18</v>
      </c>
      <c r="E6037" s="5">
        <v>-28500</v>
      </c>
      <c r="F6037" s="3" t="s">
        <v>298</v>
      </c>
      <c r="G6037" s="3" t="s">
        <v>20</v>
      </c>
      <c r="H6037" s="2" t="s">
        <v>21</v>
      </c>
      <c r="I6037" s="2" t="s">
        <v>11871</v>
      </c>
      <c r="J6037" s="3" t="str">
        <f>HYPERLINK("https://www.boe.es/gazeta/dias/1821/12/19/pdfs/GMD-1821-362.pdf#page=3","Abrir facsímil")</f>
        <v>Abrir facsímil</v>
      </c>
      <c r="K6037" s="3" t="s">
        <v>23</v>
      </c>
    </row>
    <row r="6038" spans="1:11" ht="42" customHeight="1">
      <c r="A6038" s="2" t="s">
        <v>11783</v>
      </c>
      <c r="B6038" s="2" t="s">
        <v>11783</v>
      </c>
      <c r="C6038" s="2" t="s">
        <v>40</v>
      </c>
      <c r="D6038" s="2" t="s">
        <v>41</v>
      </c>
      <c r="E6038" s="5">
        <v>-28498</v>
      </c>
      <c r="F6038" s="3" t="s">
        <v>447</v>
      </c>
      <c r="G6038" s="3" t="s">
        <v>1547</v>
      </c>
      <c r="H6038" s="2" t="s">
        <v>21</v>
      </c>
      <c r="I6038" s="2" t="s">
        <v>11872</v>
      </c>
      <c r="J6038" s="3" t="str">
        <f>HYPERLINK("https://www.boe.es/gazeta/dias/1821/12/21/pdfs/GMD-1821-364.pdf#page=2","Abrir facsímil")</f>
        <v>Abrir facsímil</v>
      </c>
      <c r="K6038" s="3" t="s">
        <v>23</v>
      </c>
    </row>
    <row r="6039" spans="1:11" ht="42" customHeight="1">
      <c r="A6039" s="2" t="s">
        <v>11783</v>
      </c>
      <c r="B6039" s="2" t="s">
        <v>11783</v>
      </c>
      <c r="C6039" s="2" t="s">
        <v>26</v>
      </c>
      <c r="D6039" s="2" t="s">
        <v>27</v>
      </c>
      <c r="E6039" s="5">
        <v>-28498</v>
      </c>
      <c r="F6039" s="3" t="s">
        <v>447</v>
      </c>
      <c r="G6039" s="3" t="s">
        <v>20</v>
      </c>
      <c r="H6039" s="2" t="s">
        <v>21</v>
      </c>
      <c r="I6039" s="2" t="s">
        <v>11873</v>
      </c>
      <c r="J6039" s="3" t="str">
        <f>HYPERLINK("https://www.boe.es/gazeta/dias/1821/12/21/pdfs/GMD-1821-364.pdf#page=3","Abrir facsímil")</f>
        <v>Abrir facsímil</v>
      </c>
      <c r="K6039" s="3" t="s">
        <v>23</v>
      </c>
    </row>
    <row r="6040" spans="1:11" ht="42" customHeight="1">
      <c r="A6040" s="2" t="s">
        <v>11783</v>
      </c>
      <c r="B6040" s="2" t="s">
        <v>11783</v>
      </c>
      <c r="C6040" s="2" t="s">
        <v>35</v>
      </c>
      <c r="D6040" s="2" t="s">
        <v>27</v>
      </c>
      <c r="E6040" s="5">
        <v>-28498</v>
      </c>
      <c r="F6040" s="3" t="s">
        <v>447</v>
      </c>
      <c r="G6040" s="3" t="s">
        <v>88</v>
      </c>
      <c r="H6040" s="2" t="s">
        <v>21</v>
      </c>
      <c r="I6040" s="2" t="s">
        <v>11874</v>
      </c>
      <c r="J6040" s="3" t="str">
        <f>HYPERLINK("https://www.boe.es/gazeta/dias/1821/12/21/pdfs/GMD-1821-364.pdf#page=4","Abrir facsímil")</f>
        <v>Abrir facsímil</v>
      </c>
      <c r="K6040" s="3" t="s">
        <v>23</v>
      </c>
    </row>
    <row r="6041" spans="1:11" ht="42" customHeight="1">
      <c r="A6041" s="2" t="s">
        <v>11783</v>
      </c>
      <c r="B6041" s="2" t="s">
        <v>11783</v>
      </c>
      <c r="C6041" s="2" t="s">
        <v>26</v>
      </c>
      <c r="D6041" s="2" t="s">
        <v>27</v>
      </c>
      <c r="E6041" s="5">
        <v>-28497</v>
      </c>
      <c r="F6041" s="3" t="s">
        <v>225</v>
      </c>
      <c r="G6041" s="3" t="s">
        <v>20</v>
      </c>
      <c r="H6041" s="2" t="s">
        <v>21</v>
      </c>
      <c r="I6041" s="2" t="s">
        <v>11875</v>
      </c>
      <c r="J6041" s="3" t="str">
        <f>HYPERLINK("https://www.boe.es/gazeta/dias/1821/12/22/pdfs/GMD-1821-365.pdf#page=3","Abrir facsímil")</f>
        <v>Abrir facsímil</v>
      </c>
      <c r="K6041" s="3" t="s">
        <v>23</v>
      </c>
    </row>
    <row r="6042" spans="1:11" ht="42" customHeight="1">
      <c r="A6042" s="2" t="s">
        <v>11783</v>
      </c>
      <c r="B6042" s="2" t="s">
        <v>11783</v>
      </c>
      <c r="C6042" s="2" t="s">
        <v>17</v>
      </c>
      <c r="D6042" s="2" t="s">
        <v>18</v>
      </c>
      <c r="E6042" s="5">
        <v>-28496</v>
      </c>
      <c r="F6042" s="3" t="s">
        <v>785</v>
      </c>
      <c r="G6042" s="3" t="s">
        <v>886</v>
      </c>
      <c r="H6042" s="2" t="s">
        <v>21</v>
      </c>
      <c r="I6042" s="2" t="s">
        <v>11876</v>
      </c>
      <c r="J6042" s="3" t="str">
        <f>HYPERLINK("https://www.boe.es/gazeta/dias/1821/12/23/pdfs/GMD-1821-366.pdf#page=5","Abrir facsímil")</f>
        <v>Abrir facsímil</v>
      </c>
      <c r="K6042" s="3" t="s">
        <v>23</v>
      </c>
    </row>
    <row r="6043" spans="1:11" ht="42" customHeight="1">
      <c r="A6043" s="2" t="s">
        <v>11783</v>
      </c>
      <c r="B6043" s="2" t="s">
        <v>11783</v>
      </c>
      <c r="C6043" s="2" t="s">
        <v>17</v>
      </c>
      <c r="D6043" s="2" t="s">
        <v>18</v>
      </c>
      <c r="E6043" s="5">
        <v>-28495</v>
      </c>
      <c r="F6043" s="3" t="s">
        <v>227</v>
      </c>
      <c r="G6043" s="3" t="s">
        <v>88</v>
      </c>
      <c r="H6043" s="2" t="s">
        <v>21</v>
      </c>
      <c r="I6043" s="2" t="s">
        <v>11877</v>
      </c>
      <c r="J6043" s="3" t="str">
        <f>HYPERLINK("https://www.boe.es/gazeta/dias/1821/12/24/pdfs/GMD-1821-367.pdf#page=4","Abrir facsímil")</f>
        <v>Abrir facsímil</v>
      </c>
      <c r="K6043" s="3" t="s">
        <v>23</v>
      </c>
    </row>
    <row r="6044" spans="1:11" ht="42" customHeight="1">
      <c r="A6044" s="2" t="s">
        <v>11783</v>
      </c>
      <c r="B6044" s="2" t="s">
        <v>11783</v>
      </c>
      <c r="C6044" s="2" t="s">
        <v>70</v>
      </c>
      <c r="D6044" s="2" t="s">
        <v>27</v>
      </c>
      <c r="E6044" s="5">
        <v>-28495</v>
      </c>
      <c r="F6044" s="3" t="s">
        <v>227</v>
      </c>
      <c r="G6044" s="3" t="s">
        <v>29</v>
      </c>
      <c r="H6044" s="2" t="s">
        <v>21</v>
      </c>
      <c r="I6044" s="2" t="s">
        <v>11878</v>
      </c>
      <c r="J6044" s="3" t="str">
        <f>HYPERLINK("https://www.boe.es/gazeta/dias/1821/12/24/pdfs/GMD-1821-367.pdf#page=6","Abrir facsímil")</f>
        <v>Abrir facsímil</v>
      </c>
      <c r="K6044" s="3" t="s">
        <v>23</v>
      </c>
    </row>
    <row r="6045" spans="1:11" ht="42" customHeight="1">
      <c r="A6045" s="2" t="s">
        <v>11783</v>
      </c>
      <c r="B6045" s="2" t="s">
        <v>11783</v>
      </c>
      <c r="C6045" s="2" t="s">
        <v>26</v>
      </c>
      <c r="D6045" s="2" t="s">
        <v>27</v>
      </c>
      <c r="E6045" s="5">
        <v>-28491</v>
      </c>
      <c r="F6045" s="3" t="s">
        <v>573</v>
      </c>
      <c r="G6045" s="3" t="s">
        <v>3891</v>
      </c>
      <c r="H6045" s="2" t="s">
        <v>21</v>
      </c>
      <c r="I6045" s="2" t="s">
        <v>11879</v>
      </c>
      <c r="J6045" s="3" t="str">
        <f>HYPERLINK("https://www.boe.es/gazeta/dias/1821/12/28/pdfs/GMD-1821-371.pdf#page=2","Abrir facsímil")</f>
        <v>Abrir facsímil</v>
      </c>
      <c r="K6045" s="3" t="s">
        <v>23</v>
      </c>
    </row>
    <row r="6046" spans="1:11" ht="42" customHeight="1">
      <c r="A6046" s="2" t="s">
        <v>11783</v>
      </c>
      <c r="B6046" s="2" t="s">
        <v>11783</v>
      </c>
      <c r="C6046" s="2" t="s">
        <v>17</v>
      </c>
      <c r="D6046" s="2" t="s">
        <v>18</v>
      </c>
      <c r="E6046" s="5">
        <v>-28491</v>
      </c>
      <c r="F6046" s="3" t="s">
        <v>573</v>
      </c>
      <c r="G6046" s="3" t="s">
        <v>88</v>
      </c>
      <c r="H6046" s="2" t="s">
        <v>21</v>
      </c>
      <c r="I6046" s="2" t="s">
        <v>11880</v>
      </c>
      <c r="J6046" s="3" t="str">
        <f>HYPERLINK("https://www.boe.es/gazeta/dias/1821/12/28/pdfs/GMD-1821-371.pdf#page=4","Abrir facsímil")</f>
        <v>Abrir facsímil</v>
      </c>
      <c r="K6046" s="3" t="s">
        <v>23</v>
      </c>
    </row>
    <row r="6047" spans="1:11" ht="42" customHeight="1">
      <c r="A6047" s="2" t="s">
        <v>11783</v>
      </c>
      <c r="B6047" s="2" t="s">
        <v>11783</v>
      </c>
      <c r="C6047" s="2" t="s">
        <v>26</v>
      </c>
      <c r="D6047" s="2" t="s">
        <v>27</v>
      </c>
      <c r="E6047" s="5">
        <v>-28490</v>
      </c>
      <c r="F6047" s="3" t="s">
        <v>801</v>
      </c>
      <c r="G6047" s="3" t="s">
        <v>802</v>
      </c>
      <c r="H6047" s="2" t="s">
        <v>21</v>
      </c>
      <c r="I6047" s="2" t="s">
        <v>11881</v>
      </c>
      <c r="J6047" s="3" t="str">
        <f>HYPERLINK("https://www.boe.es/gazeta/dias/1821/12/29/pdfs/GMD-1821-372.pdf#page=3","Abrir facsímil")</f>
        <v>Abrir facsímil</v>
      </c>
      <c r="K6047" s="3" t="s">
        <v>23</v>
      </c>
    </row>
    <row r="6048" spans="1:11" ht="42" customHeight="1">
      <c r="A6048" s="2" t="s">
        <v>11783</v>
      </c>
      <c r="B6048" s="2" t="s">
        <v>11783</v>
      </c>
      <c r="C6048" s="2" t="s">
        <v>35</v>
      </c>
      <c r="D6048" s="2" t="s">
        <v>27</v>
      </c>
      <c r="E6048" s="5">
        <v>-28490</v>
      </c>
      <c r="F6048" s="3" t="s">
        <v>801</v>
      </c>
      <c r="G6048" s="3" t="s">
        <v>52</v>
      </c>
      <c r="H6048" s="2" t="s">
        <v>21</v>
      </c>
      <c r="I6048" s="2" t="s">
        <v>11882</v>
      </c>
      <c r="J6048" s="3" t="str">
        <f>HYPERLINK("https://www.boe.es/gazeta/dias/1821/12/29/pdfs/GMD-1821-372.pdf#page=2","Abrir facsímil")</f>
        <v>Abrir facsímil</v>
      </c>
      <c r="K6048" s="3" t="s">
        <v>23</v>
      </c>
    </row>
    <row r="6049" spans="1:11" ht="42" customHeight="1">
      <c r="A6049" s="2" t="s">
        <v>11883</v>
      </c>
      <c r="B6049" s="2" t="s">
        <v>11884</v>
      </c>
      <c r="C6049" s="2" t="s">
        <v>40</v>
      </c>
      <c r="D6049" s="2" t="s">
        <v>41</v>
      </c>
      <c r="E6049" s="5">
        <v>-28711</v>
      </c>
      <c r="F6049" s="3" t="s">
        <v>1048</v>
      </c>
      <c r="G6049" s="3" t="s">
        <v>88</v>
      </c>
      <c r="H6049" s="2" t="s">
        <v>30</v>
      </c>
      <c r="I6049" s="2" t="s">
        <v>11885</v>
      </c>
      <c r="J6049" s="3" t="str">
        <f>HYPERLINK("https://www.boe.es/gazeta/dias/1821/05/22/pdfs/GMD-1821-144.pdf#page=4","Abrir facsímil")</f>
        <v>Abrir facsímil</v>
      </c>
      <c r="K6049" s="3" t="s">
        <v>32</v>
      </c>
    </row>
    <row r="6050" spans="1:11" ht="42" customHeight="1">
      <c r="A6050" s="2" t="s">
        <v>11886</v>
      </c>
      <c r="B6050" s="2" t="s">
        <v>11886</v>
      </c>
      <c r="C6050" s="2" t="s">
        <v>35</v>
      </c>
      <c r="D6050" s="2" t="s">
        <v>27</v>
      </c>
      <c r="E6050" s="5">
        <v>-28519</v>
      </c>
      <c r="F6050" s="3" t="s">
        <v>880</v>
      </c>
      <c r="G6050" s="3" t="s">
        <v>52</v>
      </c>
      <c r="H6050" s="2" t="s">
        <v>21</v>
      </c>
      <c r="I6050" s="2" t="s">
        <v>11887</v>
      </c>
      <c r="J6050" s="3" t="str">
        <f>HYPERLINK("https://www.boe.es/gazeta/dias/1821/11/30/pdfs/GMD-1821-342.pdf#page=2","Abrir facsímil")</f>
        <v>Abrir facsímil</v>
      </c>
      <c r="K6050" s="3" t="s">
        <v>23</v>
      </c>
    </row>
    <row r="6051" spans="1:11" ht="42" customHeight="1">
      <c r="A6051" s="2" t="s">
        <v>11888</v>
      </c>
      <c r="B6051" s="2" t="s">
        <v>11889</v>
      </c>
      <c r="C6051" s="2" t="s">
        <v>40</v>
      </c>
      <c r="D6051" s="2" t="s">
        <v>41</v>
      </c>
      <c r="E6051" s="5">
        <v>-28512</v>
      </c>
      <c r="F6051" s="3" t="s">
        <v>66</v>
      </c>
      <c r="G6051" s="3" t="s">
        <v>43</v>
      </c>
      <c r="H6051" s="2" t="s">
        <v>21</v>
      </c>
      <c r="I6051" s="2" t="s">
        <v>11890</v>
      </c>
      <c r="J6051" s="3" t="str">
        <f>HYPERLINK("https://www.boe.es/gazeta/dias/1821/12/07/pdfs/GMD-1821-349.pdf#page=1","Abrir facsímil")</f>
        <v>Abrir facsímil</v>
      </c>
      <c r="K6051" s="3" t="s">
        <v>23</v>
      </c>
    </row>
    <row r="6052" spans="1:11" ht="42" customHeight="1">
      <c r="A6052" s="2" t="s">
        <v>11891</v>
      </c>
      <c r="B6052" s="2" t="s">
        <v>11892</v>
      </c>
      <c r="C6052" s="2" t="s">
        <v>17</v>
      </c>
      <c r="D6052" s="2" t="s">
        <v>18</v>
      </c>
      <c r="E6052" s="5">
        <v>-28747</v>
      </c>
      <c r="F6052" s="3" t="s">
        <v>1016</v>
      </c>
      <c r="G6052" s="3" t="s">
        <v>43</v>
      </c>
      <c r="H6052" s="2" t="s">
        <v>21</v>
      </c>
      <c r="I6052" s="2" t="s">
        <v>11893</v>
      </c>
      <c r="J6052" s="3" t="str">
        <f>HYPERLINK("https://www.boe.es/gazeta/dias/1821/04/16/pdfs/GMD-1821-108.pdf#page=1","Abrir facsímil")</f>
        <v>Abrir facsímil</v>
      </c>
      <c r="K6052" s="3" t="s">
        <v>23</v>
      </c>
    </row>
    <row r="6053" spans="1:11" ht="42" customHeight="1">
      <c r="A6053" s="2" t="s">
        <v>11894</v>
      </c>
      <c r="B6053" s="2" t="s">
        <v>11895</v>
      </c>
      <c r="C6053" s="2" t="s">
        <v>70</v>
      </c>
      <c r="D6053" s="2" t="s">
        <v>27</v>
      </c>
      <c r="E6053" s="5">
        <v>-28563</v>
      </c>
      <c r="F6053" s="3" t="s">
        <v>118</v>
      </c>
      <c r="G6053" s="3" t="s">
        <v>29</v>
      </c>
      <c r="H6053" s="2" t="s">
        <v>21</v>
      </c>
      <c r="I6053" s="2" t="s">
        <v>11896</v>
      </c>
      <c r="J6053" s="3" t="str">
        <f>HYPERLINK("https://www.boe.es/gazeta/dias/1821/10/17/pdfs/GMD-1821-296.pdf#page=6","Abrir facsímil")</f>
        <v>Abrir facsímil</v>
      </c>
      <c r="K6053" s="3" t="s">
        <v>23</v>
      </c>
    </row>
    <row r="6054" spans="1:11" ht="42" customHeight="1">
      <c r="A6054" s="2" t="s">
        <v>11897</v>
      </c>
      <c r="B6054" s="2" t="s">
        <v>11898</v>
      </c>
      <c r="C6054" s="2" t="s">
        <v>114</v>
      </c>
      <c r="D6054" s="2" t="s">
        <v>27</v>
      </c>
      <c r="E6054" s="5">
        <v>-28760</v>
      </c>
      <c r="F6054" s="3" t="s">
        <v>170</v>
      </c>
      <c r="G6054" s="3" t="s">
        <v>52</v>
      </c>
      <c r="H6054" s="2" t="s">
        <v>21</v>
      </c>
      <c r="I6054" s="2" t="s">
        <v>11899</v>
      </c>
      <c r="J6054" s="3" t="str">
        <f>HYPERLINK("https://www.boe.es/gazeta/dias/1821/04/03/pdfs/GMD-1821-95.pdf#page=2","Abrir facsímil")</f>
        <v>Abrir facsímil</v>
      </c>
      <c r="K6054" s="3" t="s">
        <v>23</v>
      </c>
    </row>
    <row r="6055" spans="1:11" ht="42" customHeight="1">
      <c r="A6055" s="2" t="s">
        <v>11900</v>
      </c>
      <c r="B6055" s="2" t="s">
        <v>11901</v>
      </c>
      <c r="C6055" s="2" t="s">
        <v>17</v>
      </c>
      <c r="D6055" s="2" t="s">
        <v>18</v>
      </c>
      <c r="E6055" s="5">
        <v>-28676</v>
      </c>
      <c r="F6055" s="3" t="s">
        <v>534</v>
      </c>
      <c r="G6055" s="3" t="s">
        <v>29</v>
      </c>
      <c r="H6055" s="2" t="s">
        <v>30</v>
      </c>
      <c r="I6055" s="2" t="s">
        <v>11902</v>
      </c>
      <c r="J6055" s="3" t="str">
        <f>HYPERLINK("https://www.boe.es/gazeta/dias/1821/06/26/pdfs/GMD-1821-179.pdf#page=6","Abrir facsímil")</f>
        <v>Abrir facsímil</v>
      </c>
      <c r="K6055" s="3" t="s">
        <v>32</v>
      </c>
    </row>
    <row r="6056" spans="1:11" ht="42" customHeight="1">
      <c r="A6056" s="2" t="s">
        <v>11903</v>
      </c>
      <c r="B6056" s="2" t="s">
        <v>11904</v>
      </c>
      <c r="C6056" s="2" t="s">
        <v>40</v>
      </c>
      <c r="D6056" s="2" t="s">
        <v>41</v>
      </c>
      <c r="E6056" s="5">
        <v>-28720</v>
      </c>
      <c r="F6056" s="3" t="s">
        <v>492</v>
      </c>
      <c r="G6056" s="3" t="s">
        <v>43</v>
      </c>
      <c r="H6056" s="2" t="s">
        <v>21</v>
      </c>
      <c r="I6056" s="2" t="s">
        <v>11905</v>
      </c>
      <c r="J6056" s="3" t="str">
        <f>HYPERLINK("https://www.boe.es/gazeta/dias/1821/05/13/pdfs/GMD-1821-135.pdf#page=1","Abrir facsímil")</f>
        <v>Abrir facsímil</v>
      </c>
      <c r="K6056" s="3" t="s">
        <v>23</v>
      </c>
    </row>
    <row r="6057" spans="1:11" ht="42" customHeight="1">
      <c r="A6057" s="2" t="s">
        <v>11903</v>
      </c>
      <c r="B6057" s="2" t="s">
        <v>11904</v>
      </c>
      <c r="C6057" s="2" t="s">
        <v>279</v>
      </c>
      <c r="D6057" s="2" t="s">
        <v>27</v>
      </c>
      <c r="E6057" s="5">
        <v>-28574</v>
      </c>
      <c r="F6057" s="3" t="s">
        <v>779</v>
      </c>
      <c r="G6057" s="3" t="s">
        <v>29</v>
      </c>
      <c r="H6057" s="2" t="s">
        <v>21</v>
      </c>
      <c r="I6057" s="2" t="s">
        <v>11906</v>
      </c>
      <c r="J6057" s="3" t="str">
        <f>HYPERLINK("https://www.boe.es/gazeta/dias/1821/10/06/pdfs/GMD-1821-285.pdf#page=6","Abrir facsímil")</f>
        <v>Abrir facsímil</v>
      </c>
      <c r="K6057" s="3" t="s">
        <v>23</v>
      </c>
    </row>
    <row r="6058" spans="1:11" ht="42" customHeight="1">
      <c r="A6058" s="2" t="s">
        <v>11907</v>
      </c>
      <c r="B6058" s="2" t="s">
        <v>11908</v>
      </c>
      <c r="C6058" s="2" t="s">
        <v>26</v>
      </c>
      <c r="D6058" s="2" t="s">
        <v>27</v>
      </c>
      <c r="E6058" s="5">
        <v>-28807</v>
      </c>
      <c r="F6058" s="3" t="s">
        <v>613</v>
      </c>
      <c r="G6058" s="3" t="s">
        <v>20</v>
      </c>
      <c r="H6058" s="2" t="s">
        <v>21</v>
      </c>
      <c r="I6058" s="2" t="s">
        <v>11909</v>
      </c>
      <c r="J6058" s="3" t="str">
        <f>HYPERLINK("https://www.boe.es/gazeta/dias/1821/02/15/pdfs/GGB-1821-46.pdf#page=3","Abrir facsímil")</f>
        <v>Abrir facsímil</v>
      </c>
      <c r="K6058" s="3" t="s">
        <v>23</v>
      </c>
    </row>
    <row r="6059" spans="1:11" ht="42" customHeight="1">
      <c r="A6059" s="2" t="s">
        <v>11910</v>
      </c>
      <c r="B6059" s="2" t="s">
        <v>11911</v>
      </c>
      <c r="C6059" s="2" t="s">
        <v>40</v>
      </c>
      <c r="D6059" s="2" t="s">
        <v>41</v>
      </c>
      <c r="E6059" s="5">
        <v>-28717</v>
      </c>
      <c r="F6059" s="3" t="s">
        <v>1044</v>
      </c>
      <c r="G6059" s="3" t="s">
        <v>52</v>
      </c>
      <c r="H6059" s="2" t="s">
        <v>21</v>
      </c>
      <c r="I6059" s="2" t="s">
        <v>11912</v>
      </c>
      <c r="J6059" s="3" t="str">
        <f>HYPERLINK("https://www.boe.es/gazeta/dias/1821/05/16/pdfs/GMD-1821-138.pdf#page=2","Abrir facsímil")</f>
        <v>Abrir facsímil</v>
      </c>
      <c r="K6059" s="3" t="s">
        <v>23</v>
      </c>
    </row>
    <row r="6060" spans="1:11" ht="42" customHeight="1">
      <c r="A6060" s="2" t="s">
        <v>11913</v>
      </c>
      <c r="B6060" s="2" t="s">
        <v>11914</v>
      </c>
      <c r="C6060" s="2" t="s">
        <v>174</v>
      </c>
      <c r="D6060" s="2" t="s">
        <v>27</v>
      </c>
      <c r="E6060" s="5">
        <v>-28834</v>
      </c>
      <c r="F6060" s="3" t="s">
        <v>369</v>
      </c>
      <c r="G6060" s="3" t="s">
        <v>88</v>
      </c>
      <c r="H6060" s="2" t="s">
        <v>21</v>
      </c>
      <c r="I6060" s="2" t="s">
        <v>11915</v>
      </c>
      <c r="J6060" s="3" t="str">
        <f>HYPERLINK("https://www.boe.es/gazeta/dias/1821/01/19/pdfs/GGB-1821-19.pdf#page=4","Abrir facsímil")</f>
        <v>Abrir facsímil</v>
      </c>
      <c r="K6060" s="3" t="s">
        <v>23</v>
      </c>
    </row>
    <row r="6061" spans="1:11" ht="42" customHeight="1">
      <c r="A6061" s="2" t="s">
        <v>11913</v>
      </c>
      <c r="B6061" s="2" t="s">
        <v>11914</v>
      </c>
      <c r="C6061" s="2" t="s">
        <v>40</v>
      </c>
      <c r="D6061" s="2" t="s">
        <v>41</v>
      </c>
      <c r="E6061" s="5">
        <v>-28721</v>
      </c>
      <c r="F6061" s="3" t="s">
        <v>92</v>
      </c>
      <c r="G6061" s="3" t="s">
        <v>88</v>
      </c>
      <c r="H6061" s="2" t="s">
        <v>21</v>
      </c>
      <c r="I6061" s="2" t="s">
        <v>11916</v>
      </c>
      <c r="J6061" s="3" t="str">
        <f>HYPERLINK("https://www.boe.es/gazeta/dias/1821/05/12/pdfs/GMD-1821-134.pdf#page=4","Abrir facsímil")</f>
        <v>Abrir facsímil</v>
      </c>
      <c r="K6061" s="3" t="s">
        <v>23</v>
      </c>
    </row>
    <row r="6062" spans="1:11" ht="42" customHeight="1">
      <c r="A6062" s="2" t="s">
        <v>11913</v>
      </c>
      <c r="B6062" s="2" t="s">
        <v>11914</v>
      </c>
      <c r="C6062" s="2" t="s">
        <v>40</v>
      </c>
      <c r="D6062" s="2" t="s">
        <v>41</v>
      </c>
      <c r="E6062" s="5">
        <v>-28654</v>
      </c>
      <c r="F6062" s="3" t="s">
        <v>674</v>
      </c>
      <c r="G6062" s="3" t="s">
        <v>88</v>
      </c>
      <c r="H6062" s="2" t="s">
        <v>21</v>
      </c>
      <c r="I6062" s="2" t="s">
        <v>11917</v>
      </c>
      <c r="J6062" s="3" t="str">
        <f>HYPERLINK("https://www.boe.es/gazeta/dias/1821/07/18/pdfs/GMD-1821-203.pdf#page=4","Abrir facsímil")</f>
        <v>Abrir facsímil</v>
      </c>
      <c r="K6062" s="3" t="s">
        <v>23</v>
      </c>
    </row>
    <row r="6063" spans="1:11" ht="42" customHeight="1">
      <c r="A6063" s="2" t="s">
        <v>11918</v>
      </c>
      <c r="B6063" s="2" t="s">
        <v>11919</v>
      </c>
      <c r="C6063" s="2" t="s">
        <v>17</v>
      </c>
      <c r="D6063" s="2" t="s">
        <v>18</v>
      </c>
      <c r="E6063" s="5">
        <v>-28741</v>
      </c>
      <c r="F6063" s="3" t="s">
        <v>1841</v>
      </c>
      <c r="G6063" s="3" t="s">
        <v>52</v>
      </c>
      <c r="H6063" s="2" t="s">
        <v>21</v>
      </c>
      <c r="I6063" s="2" t="s">
        <v>11920</v>
      </c>
      <c r="J6063" s="3" t="str">
        <f>HYPERLINK("https://www.boe.es/gazeta/dias/1821/04/22/pdfs/GMD-1821-114.pdf#page=2","Abrir facsímil")</f>
        <v>Abrir facsímil</v>
      </c>
      <c r="K6063" s="3" t="s">
        <v>23</v>
      </c>
    </row>
    <row r="6064" spans="1:11" ht="42" customHeight="1">
      <c r="A6064" s="2" t="s">
        <v>11921</v>
      </c>
      <c r="B6064" s="2" t="s">
        <v>11922</v>
      </c>
      <c r="C6064" s="2" t="s">
        <v>40</v>
      </c>
      <c r="D6064" s="2" t="s">
        <v>41</v>
      </c>
      <c r="E6064" s="5">
        <v>-28711</v>
      </c>
      <c r="F6064" s="3" t="s">
        <v>1048</v>
      </c>
      <c r="G6064" s="3" t="s">
        <v>88</v>
      </c>
      <c r="H6064" s="2" t="s">
        <v>21</v>
      </c>
      <c r="I6064" s="2" t="s">
        <v>11923</v>
      </c>
      <c r="J6064" s="3" t="str">
        <f>HYPERLINK("https://www.boe.es/gazeta/dias/1821/05/22/pdfs/GMD-1821-144.pdf#page=4","Abrir facsímil")</f>
        <v>Abrir facsímil</v>
      </c>
      <c r="K6064" s="3" t="s">
        <v>23</v>
      </c>
    </row>
    <row r="6065" spans="1:11" ht="42" customHeight="1">
      <c r="A6065" s="2" t="s">
        <v>11924</v>
      </c>
      <c r="B6065" s="2" t="s">
        <v>11925</v>
      </c>
      <c r="C6065" s="2" t="s">
        <v>17</v>
      </c>
      <c r="D6065" s="2" t="s">
        <v>18</v>
      </c>
      <c r="E6065" s="5">
        <v>-28636</v>
      </c>
      <c r="F6065" s="3" t="s">
        <v>122</v>
      </c>
      <c r="G6065" s="3" t="s">
        <v>20</v>
      </c>
      <c r="H6065" s="2" t="s">
        <v>21</v>
      </c>
      <c r="I6065" s="2" t="s">
        <v>11926</v>
      </c>
      <c r="J6065" s="3" t="str">
        <f>HYPERLINK("https://www.boe.es/gazeta/dias/1821/08/05/pdfs/GMD-1821-221.pdf#page=3","Abrir facsímil")</f>
        <v>Abrir facsímil</v>
      </c>
      <c r="K6065" s="3" t="s">
        <v>23</v>
      </c>
    </row>
    <row r="6066" spans="1:11" ht="42" customHeight="1">
      <c r="A6066" s="2" t="s">
        <v>11927</v>
      </c>
      <c r="B6066" s="2" t="s">
        <v>11928</v>
      </c>
      <c r="C6066" s="2" t="s">
        <v>70</v>
      </c>
      <c r="D6066" s="2" t="s">
        <v>27</v>
      </c>
      <c r="E6066" s="5">
        <v>-28787</v>
      </c>
      <c r="F6066" s="3" t="s">
        <v>486</v>
      </c>
      <c r="G6066" s="3" t="s">
        <v>52</v>
      </c>
      <c r="H6066" s="2" t="s">
        <v>21</v>
      </c>
      <c r="I6066" s="2" t="s">
        <v>11929</v>
      </c>
      <c r="J6066" s="3" t="str">
        <f>HYPERLINK("https://www.boe.es/gazeta/dias/1821/03/07/pdfs/GGB-1821-66.pdf#page=2","Abrir facsímil")</f>
        <v>Abrir facsímil</v>
      </c>
      <c r="K6066" s="3" t="s">
        <v>23</v>
      </c>
    </row>
    <row r="6067" spans="1:11" ht="42" customHeight="1">
      <c r="A6067" s="2" t="s">
        <v>11927</v>
      </c>
      <c r="B6067" s="2" t="s">
        <v>11928</v>
      </c>
      <c r="C6067" s="2" t="s">
        <v>35</v>
      </c>
      <c r="D6067" s="2" t="s">
        <v>27</v>
      </c>
      <c r="E6067" s="5">
        <v>-28751</v>
      </c>
      <c r="F6067" s="3" t="s">
        <v>356</v>
      </c>
      <c r="G6067" s="3" t="s">
        <v>52</v>
      </c>
      <c r="H6067" s="2" t="s">
        <v>21</v>
      </c>
      <c r="I6067" s="2" t="s">
        <v>11930</v>
      </c>
      <c r="J6067" s="3" t="str">
        <f>HYPERLINK("https://www.boe.es/gazeta/dias/1821/04/12/pdfs/GMD-1821-104.pdf#page=2","Abrir facsímil")</f>
        <v>Abrir facsímil</v>
      </c>
      <c r="K6067" s="3" t="s">
        <v>23</v>
      </c>
    </row>
    <row r="6068" spans="1:11" ht="42" customHeight="1">
      <c r="A6068" s="2" t="s">
        <v>11931</v>
      </c>
      <c r="B6068" s="2" t="s">
        <v>11932</v>
      </c>
      <c r="C6068" s="2" t="s">
        <v>26</v>
      </c>
      <c r="D6068" s="2" t="s">
        <v>27</v>
      </c>
      <c r="E6068" s="5">
        <v>-28547</v>
      </c>
      <c r="F6068" s="3" t="s">
        <v>247</v>
      </c>
      <c r="G6068" s="3" t="s">
        <v>248</v>
      </c>
      <c r="H6068" s="2" t="s">
        <v>21</v>
      </c>
      <c r="I6068" s="2" t="s">
        <v>11933</v>
      </c>
      <c r="J6068" s="3" t="str">
        <f>HYPERLINK("https://www.boe.es/gazeta/dias/1821/11/02/pdfs/GMD-1821-312.pdf#page=2","Abrir facsímil")</f>
        <v>Abrir facsímil</v>
      </c>
      <c r="K6068" s="3" t="s">
        <v>23</v>
      </c>
    </row>
    <row r="6069" spans="1:11" ht="42" customHeight="1">
      <c r="A6069" s="2" t="s">
        <v>11934</v>
      </c>
      <c r="B6069" s="2" t="s">
        <v>11935</v>
      </c>
      <c r="C6069" s="2" t="s">
        <v>17</v>
      </c>
      <c r="D6069" s="2" t="s">
        <v>18</v>
      </c>
      <c r="E6069" s="5">
        <v>-28778</v>
      </c>
      <c r="F6069" s="3" t="s">
        <v>1301</v>
      </c>
      <c r="G6069" s="3" t="s">
        <v>162</v>
      </c>
      <c r="H6069" s="2" t="s">
        <v>21</v>
      </c>
      <c r="I6069" s="2" t="s">
        <v>11936</v>
      </c>
      <c r="J6069" s="3" t="str">
        <f>HYPERLINK("https://www.boe.es/gazeta/dias/1821/03/16/pdfs/GMD-1821-75.pdf#page=5","Abrir facsímil")</f>
        <v>Abrir facsímil</v>
      </c>
      <c r="K6069" s="3" t="s">
        <v>23</v>
      </c>
    </row>
    <row r="6070" spans="1:11" ht="42" customHeight="1">
      <c r="A6070" s="2" t="s">
        <v>11937</v>
      </c>
      <c r="B6070" s="2" t="s">
        <v>11938</v>
      </c>
      <c r="C6070" s="2" t="s">
        <v>40</v>
      </c>
      <c r="D6070" s="2" t="s">
        <v>41</v>
      </c>
      <c r="E6070" s="5">
        <v>-28755</v>
      </c>
      <c r="F6070" s="3" t="s">
        <v>906</v>
      </c>
      <c r="G6070" s="3" t="s">
        <v>52</v>
      </c>
      <c r="H6070" s="2" t="s">
        <v>21</v>
      </c>
      <c r="I6070" s="2" t="s">
        <v>11939</v>
      </c>
      <c r="J6070" s="3" t="str">
        <f>HYPERLINK("https://www.boe.es/gazeta/dias/1821/04/08/pdfs/GMD-1821-100.pdf#page=2","Abrir facsímil")</f>
        <v>Abrir facsímil</v>
      </c>
      <c r="K6070" s="3" t="s">
        <v>23</v>
      </c>
    </row>
    <row r="6071" spans="1:11" ht="42" customHeight="1">
      <c r="A6071" s="2" t="s">
        <v>11937</v>
      </c>
      <c r="B6071" s="2" t="s">
        <v>11938</v>
      </c>
      <c r="C6071" s="2" t="s">
        <v>17</v>
      </c>
      <c r="D6071" s="2" t="s">
        <v>18</v>
      </c>
      <c r="E6071" s="5">
        <v>-28739</v>
      </c>
      <c r="F6071" s="3" t="s">
        <v>1024</v>
      </c>
      <c r="G6071" s="3" t="s">
        <v>52</v>
      </c>
      <c r="H6071" s="2" t="s">
        <v>21</v>
      </c>
      <c r="I6071" s="2" t="s">
        <v>11940</v>
      </c>
      <c r="J6071" s="3" t="str">
        <f>HYPERLINK("https://www.boe.es/gazeta/dias/1821/04/24/pdfs/GMD-1821-116.pdf#page=2","Abrir facsímil")</f>
        <v>Abrir facsímil</v>
      </c>
      <c r="K6071" s="3" t="s">
        <v>23</v>
      </c>
    </row>
    <row r="6072" spans="1:11" ht="42" customHeight="1">
      <c r="A6072" s="2" t="s">
        <v>11937</v>
      </c>
      <c r="B6072" s="2" t="s">
        <v>11938</v>
      </c>
      <c r="C6072" s="2" t="s">
        <v>26</v>
      </c>
      <c r="D6072" s="2" t="s">
        <v>27</v>
      </c>
      <c r="E6072" s="5">
        <v>-28665</v>
      </c>
      <c r="F6072" s="3" t="s">
        <v>789</v>
      </c>
      <c r="G6072" s="3" t="s">
        <v>790</v>
      </c>
      <c r="H6072" s="2" t="s">
        <v>21</v>
      </c>
      <c r="I6072" s="2" t="s">
        <v>11941</v>
      </c>
      <c r="J6072" s="3" t="str">
        <f>HYPERLINK("https://www.boe.es/gazeta/dias/1821/07/07/pdfs/GMD-1821-191.pdf#page=4","Abrir facsímil")</f>
        <v>Abrir facsímil</v>
      </c>
      <c r="K6072" s="3" t="s">
        <v>23</v>
      </c>
    </row>
    <row r="6073" spans="1:11" ht="42" customHeight="1">
      <c r="A6073" s="2" t="s">
        <v>11942</v>
      </c>
      <c r="B6073" s="2" t="s">
        <v>11943</v>
      </c>
      <c r="C6073" s="2" t="s">
        <v>26</v>
      </c>
      <c r="D6073" s="2" t="s">
        <v>27</v>
      </c>
      <c r="E6073" s="5">
        <v>-28699</v>
      </c>
      <c r="F6073" s="3" t="s">
        <v>280</v>
      </c>
      <c r="G6073" s="3" t="s">
        <v>20</v>
      </c>
      <c r="H6073" s="2" t="s">
        <v>21</v>
      </c>
      <c r="I6073" s="2" t="s">
        <v>11944</v>
      </c>
      <c r="J6073" s="3" t="str">
        <f>HYPERLINK("https://www.boe.es/gazeta/dias/1821/06/03/pdfs/GMD-1821-156.pdf#page=3","Abrir facsímil")</f>
        <v>Abrir facsímil</v>
      </c>
      <c r="K6073" s="3" t="s">
        <v>23</v>
      </c>
    </row>
    <row r="6074" spans="1:11" ht="42" customHeight="1">
      <c r="A6074" s="2" t="s">
        <v>11942</v>
      </c>
      <c r="B6074" s="2" t="s">
        <v>11943</v>
      </c>
      <c r="C6074" s="2" t="s">
        <v>26</v>
      </c>
      <c r="D6074" s="2" t="s">
        <v>27</v>
      </c>
      <c r="E6074" s="5">
        <v>-28693</v>
      </c>
      <c r="F6074" s="3" t="s">
        <v>74</v>
      </c>
      <c r="G6074" s="3" t="s">
        <v>52</v>
      </c>
      <c r="H6074" s="2" t="s">
        <v>21</v>
      </c>
      <c r="I6074" s="2" t="s">
        <v>11945</v>
      </c>
      <c r="J6074" s="3" t="str">
        <f>HYPERLINK("https://www.boe.es/gazeta/dias/1821/06/09/pdfs/GMD-1821-162.pdf#page=2","Abrir facsímil")</f>
        <v>Abrir facsímil</v>
      </c>
      <c r="K6074" s="3" t="s">
        <v>23</v>
      </c>
    </row>
    <row r="6075" spans="1:11" ht="42" customHeight="1">
      <c r="A6075" s="2" t="s">
        <v>11942</v>
      </c>
      <c r="B6075" s="2" t="s">
        <v>11943</v>
      </c>
      <c r="C6075" s="2" t="s">
        <v>17</v>
      </c>
      <c r="D6075" s="2" t="s">
        <v>18</v>
      </c>
      <c r="E6075" s="5">
        <v>-28547</v>
      </c>
      <c r="F6075" s="3" t="s">
        <v>247</v>
      </c>
      <c r="G6075" s="3" t="s">
        <v>29</v>
      </c>
      <c r="H6075" s="2" t="s">
        <v>21</v>
      </c>
      <c r="I6075" s="2" t="s">
        <v>11946</v>
      </c>
      <c r="J6075" s="3" t="str">
        <f>HYPERLINK("https://www.boe.es/gazeta/dias/1821/11/02/pdfs/GMD-1821-312.pdf#page=6","Abrir facsímil")</f>
        <v>Abrir facsímil</v>
      </c>
      <c r="K6075" s="3" t="s">
        <v>23</v>
      </c>
    </row>
    <row r="6076" spans="1:11" ht="42" customHeight="1">
      <c r="A6076" s="2" t="s">
        <v>11942</v>
      </c>
      <c r="B6076" s="2" t="s">
        <v>11943</v>
      </c>
      <c r="C6076" s="2" t="s">
        <v>17</v>
      </c>
      <c r="D6076" s="2" t="s">
        <v>18</v>
      </c>
      <c r="E6076" s="5">
        <v>-28543</v>
      </c>
      <c r="F6076" s="3" t="s">
        <v>136</v>
      </c>
      <c r="G6076" s="3" t="s">
        <v>609</v>
      </c>
      <c r="H6076" s="2" t="s">
        <v>21</v>
      </c>
      <c r="I6076" s="2" t="s">
        <v>11947</v>
      </c>
      <c r="J6076" s="3" t="str">
        <f>HYPERLINK("https://www.boe.es/gazeta/dias/1821/11/06/pdfs/GMD-1821-317.pdf#page=7","Abrir facsímil")</f>
        <v>Abrir facsímil</v>
      </c>
      <c r="K6076" s="3" t="s">
        <v>23</v>
      </c>
    </row>
    <row r="6077" spans="1:11" ht="42" customHeight="1">
      <c r="A6077" s="2" t="s">
        <v>11942</v>
      </c>
      <c r="B6077" s="2" t="s">
        <v>11943</v>
      </c>
      <c r="C6077" s="2" t="s">
        <v>17</v>
      </c>
      <c r="D6077" s="2" t="s">
        <v>18</v>
      </c>
      <c r="E6077" s="5">
        <v>-28524</v>
      </c>
      <c r="F6077" s="3" t="s">
        <v>874</v>
      </c>
      <c r="G6077" s="3" t="s">
        <v>88</v>
      </c>
      <c r="H6077" s="2" t="s">
        <v>21</v>
      </c>
      <c r="I6077" s="2" t="s">
        <v>11948</v>
      </c>
      <c r="J6077" s="3" t="str">
        <f>HYPERLINK("https://www.boe.es/gazeta/dias/1821/11/25/pdfs/GMD-1821-336.pdf#page=4","Abrir facsímil")</f>
        <v>Abrir facsímil</v>
      </c>
      <c r="K6077" s="3" t="s">
        <v>23</v>
      </c>
    </row>
    <row r="6078" spans="1:11" ht="42" customHeight="1">
      <c r="A6078" s="2" t="s">
        <v>11942</v>
      </c>
      <c r="B6078" s="2" t="s">
        <v>11943</v>
      </c>
      <c r="C6078" s="2" t="s">
        <v>17</v>
      </c>
      <c r="D6078" s="2" t="s">
        <v>18</v>
      </c>
      <c r="E6078" s="5">
        <v>-28490</v>
      </c>
      <c r="F6078" s="3" t="s">
        <v>801</v>
      </c>
      <c r="G6078" s="3" t="s">
        <v>802</v>
      </c>
      <c r="H6078" s="2" t="s">
        <v>21</v>
      </c>
      <c r="I6078" s="2" t="s">
        <v>11949</v>
      </c>
      <c r="J6078" s="3" t="str">
        <f>HYPERLINK("https://www.boe.es/gazeta/dias/1821/12/29/pdfs/GMD-1821-372.pdf#page=3","Abrir facsímil")</f>
        <v>Abrir facsímil</v>
      </c>
      <c r="K6078" s="3" t="s">
        <v>23</v>
      </c>
    </row>
    <row r="6079" spans="1:11" ht="42" customHeight="1">
      <c r="A6079" s="2" t="s">
        <v>11950</v>
      </c>
      <c r="B6079" s="2" t="s">
        <v>11951</v>
      </c>
      <c r="C6079" s="2" t="s">
        <v>17</v>
      </c>
      <c r="D6079" s="2" t="s">
        <v>18</v>
      </c>
      <c r="E6079" s="5">
        <v>-28805</v>
      </c>
      <c r="F6079" s="3" t="s">
        <v>382</v>
      </c>
      <c r="G6079" s="3" t="s">
        <v>88</v>
      </c>
      <c r="H6079" s="2" t="s">
        <v>21</v>
      </c>
      <c r="I6079" s="2" t="s">
        <v>11952</v>
      </c>
      <c r="J6079" s="3" t="str">
        <f>HYPERLINK("https://www.boe.es/gazeta/dias/1821/02/17/pdfs/GGB-1821-48.pdf#page=4","Abrir facsímil")</f>
        <v>Abrir facsímil</v>
      </c>
      <c r="K6079" s="3" t="s">
        <v>23</v>
      </c>
    </row>
    <row r="6080" spans="1:11" ht="42" customHeight="1">
      <c r="A6080" s="2" t="s">
        <v>11950</v>
      </c>
      <c r="B6080" s="2" t="s">
        <v>11951</v>
      </c>
      <c r="C6080" s="2" t="s">
        <v>17</v>
      </c>
      <c r="D6080" s="2" t="s">
        <v>18</v>
      </c>
      <c r="E6080" s="5">
        <v>-28730</v>
      </c>
      <c r="F6080" s="3" t="s">
        <v>747</v>
      </c>
      <c r="G6080" s="3" t="s">
        <v>88</v>
      </c>
      <c r="H6080" s="2" t="s">
        <v>21</v>
      </c>
      <c r="I6080" s="2" t="s">
        <v>11953</v>
      </c>
      <c r="J6080" s="3" t="str">
        <f>HYPERLINK("https://www.boe.es/gazeta/dias/1821/05/03/pdfs/GMD-1821-125.pdf#page=4","Abrir facsímil")</f>
        <v>Abrir facsímil</v>
      </c>
      <c r="K6080" s="3" t="s">
        <v>23</v>
      </c>
    </row>
    <row r="6081" spans="1:11" ht="42" customHeight="1">
      <c r="A6081" s="2" t="s">
        <v>11950</v>
      </c>
      <c r="B6081" s="2" t="s">
        <v>11951</v>
      </c>
      <c r="C6081" s="2" t="s">
        <v>40</v>
      </c>
      <c r="D6081" s="2" t="s">
        <v>41</v>
      </c>
      <c r="E6081" s="5">
        <v>-28684</v>
      </c>
      <c r="F6081" s="3" t="s">
        <v>208</v>
      </c>
      <c r="G6081" s="3" t="s">
        <v>20</v>
      </c>
      <c r="H6081" s="2" t="s">
        <v>21</v>
      </c>
      <c r="I6081" s="2" t="s">
        <v>11954</v>
      </c>
      <c r="J6081" s="3" t="str">
        <f>HYPERLINK("https://www.boe.es/gazeta/dias/1821/06/18/pdfs/GMD-1821-171.pdf#page=3","Abrir facsímil")</f>
        <v>Abrir facsímil</v>
      </c>
      <c r="K6081" s="3" t="s">
        <v>23</v>
      </c>
    </row>
    <row r="6082" spans="1:11" ht="42" customHeight="1">
      <c r="A6082" s="2" t="s">
        <v>11950</v>
      </c>
      <c r="B6082" s="2" t="s">
        <v>11951</v>
      </c>
      <c r="C6082" s="2" t="s">
        <v>17</v>
      </c>
      <c r="D6082" s="2" t="s">
        <v>18</v>
      </c>
      <c r="E6082" s="5">
        <v>-28678</v>
      </c>
      <c r="F6082" s="3" t="s">
        <v>215</v>
      </c>
      <c r="G6082" s="3" t="s">
        <v>1445</v>
      </c>
      <c r="H6082" s="2" t="s">
        <v>21</v>
      </c>
      <c r="I6082" s="2" t="s">
        <v>11955</v>
      </c>
      <c r="J6082" s="3" t="str">
        <f>HYPERLINK("https://www.boe.es/gazeta/dias/1821/06/24/pdfs/GMD-1821-177.pdf#page=3","Abrir facsímil")</f>
        <v>Abrir facsímil</v>
      </c>
      <c r="K6082" s="3" t="s">
        <v>23</v>
      </c>
    </row>
    <row r="6083" spans="1:11" ht="42" customHeight="1">
      <c r="A6083" s="2" t="s">
        <v>11950</v>
      </c>
      <c r="B6083" s="2" t="s">
        <v>11951</v>
      </c>
      <c r="C6083" s="2" t="s">
        <v>40</v>
      </c>
      <c r="D6083" s="2" t="s">
        <v>41</v>
      </c>
      <c r="E6083" s="5">
        <v>-28572</v>
      </c>
      <c r="F6083" s="3" t="s">
        <v>1072</v>
      </c>
      <c r="G6083" s="3" t="s">
        <v>88</v>
      </c>
      <c r="H6083" s="2" t="s">
        <v>21</v>
      </c>
      <c r="I6083" s="2" t="s">
        <v>11956</v>
      </c>
      <c r="J6083" s="3" t="str">
        <f>HYPERLINK("https://www.boe.es/gazeta/dias/1821/10/08/pdfs/GMD-1821-287.pdf#page=4","Abrir facsímil")</f>
        <v>Abrir facsímil</v>
      </c>
      <c r="K6083" s="3" t="s">
        <v>23</v>
      </c>
    </row>
    <row r="6084" spans="1:11" ht="42" customHeight="1">
      <c r="A6084" s="2" t="s">
        <v>11950</v>
      </c>
      <c r="B6084" s="2" t="s">
        <v>11951</v>
      </c>
      <c r="C6084" s="2" t="s">
        <v>17</v>
      </c>
      <c r="D6084" s="2" t="s">
        <v>18</v>
      </c>
      <c r="E6084" s="5">
        <v>-28492</v>
      </c>
      <c r="F6084" s="3" t="s">
        <v>1550</v>
      </c>
      <c r="G6084" s="3" t="s">
        <v>88</v>
      </c>
      <c r="H6084" s="2" t="s">
        <v>21</v>
      </c>
      <c r="I6084" s="2" t="s">
        <v>11957</v>
      </c>
      <c r="J6084" s="3" t="str">
        <f>HYPERLINK("https://www.boe.es/gazeta/dias/1821/12/27/pdfs/GMD-1821-370.pdf#page=4","Abrir facsímil")</f>
        <v>Abrir facsímil</v>
      </c>
      <c r="K6084" s="3" t="s">
        <v>23</v>
      </c>
    </row>
    <row r="6085" spans="1:11" ht="42" customHeight="1">
      <c r="A6085" s="2" t="s">
        <v>11958</v>
      </c>
      <c r="B6085" s="2" t="s">
        <v>11959</v>
      </c>
      <c r="C6085" s="2" t="s">
        <v>17</v>
      </c>
      <c r="D6085" s="2" t="s">
        <v>18</v>
      </c>
      <c r="E6085" s="5">
        <v>-28751</v>
      </c>
      <c r="F6085" s="3" t="s">
        <v>356</v>
      </c>
      <c r="G6085" s="3" t="s">
        <v>88</v>
      </c>
      <c r="H6085" s="2" t="s">
        <v>21</v>
      </c>
      <c r="I6085" s="2" t="s">
        <v>11960</v>
      </c>
      <c r="J6085" s="3" t="str">
        <f>HYPERLINK("https://www.boe.es/gazeta/dias/1821/04/12/pdfs/GMD-1821-104.pdf#page=4","Abrir facsímil")</f>
        <v>Abrir facsímil</v>
      </c>
      <c r="K6085" s="3" t="s">
        <v>23</v>
      </c>
    </row>
    <row r="6086" spans="1:11" ht="42" customHeight="1">
      <c r="A6086" s="2" t="s">
        <v>11961</v>
      </c>
      <c r="B6086" s="2" t="s">
        <v>11962</v>
      </c>
      <c r="C6086" s="2" t="s">
        <v>26</v>
      </c>
      <c r="D6086" s="2" t="s">
        <v>27</v>
      </c>
      <c r="E6086" s="5">
        <v>-28528</v>
      </c>
      <c r="F6086" s="3" t="s">
        <v>1872</v>
      </c>
      <c r="G6086" s="3" t="s">
        <v>52</v>
      </c>
      <c r="H6086" s="2" t="s">
        <v>21</v>
      </c>
      <c r="I6086" s="2" t="s">
        <v>11963</v>
      </c>
      <c r="J6086" s="3" t="str">
        <f>HYPERLINK("https://www.boe.es/gazeta/dias/1821/11/21/pdfs/GMD-1821-332.pdf#page=2","Abrir facsímil")</f>
        <v>Abrir facsímil</v>
      </c>
      <c r="K6086" s="3" t="s">
        <v>23</v>
      </c>
    </row>
    <row r="6087" spans="1:11" ht="42" customHeight="1">
      <c r="A6087" s="2" t="s">
        <v>11964</v>
      </c>
      <c r="B6087" s="2" t="s">
        <v>11965</v>
      </c>
      <c r="C6087" s="2" t="s">
        <v>40</v>
      </c>
      <c r="D6087" s="2" t="s">
        <v>41</v>
      </c>
      <c r="E6087" s="5">
        <v>-28746</v>
      </c>
      <c r="F6087" s="3" t="s">
        <v>687</v>
      </c>
      <c r="G6087" s="3" t="s">
        <v>162</v>
      </c>
      <c r="H6087" s="2" t="s">
        <v>21</v>
      </c>
      <c r="I6087" s="2" t="s">
        <v>11966</v>
      </c>
      <c r="J6087" s="3" t="str">
        <f>HYPERLINK("https://www.boe.es/gazeta/dias/1821/04/17/pdfs/GMD-1821-109.pdf#page=5","Abrir facsímil")</f>
        <v>Abrir facsímil</v>
      </c>
      <c r="K6087" s="3" t="s">
        <v>23</v>
      </c>
    </row>
    <row r="6088" spans="1:11" ht="42" customHeight="1">
      <c r="A6088" s="2" t="s">
        <v>11967</v>
      </c>
      <c r="B6088" s="2" t="s">
        <v>11968</v>
      </c>
      <c r="C6088" s="2" t="s">
        <v>40</v>
      </c>
      <c r="D6088" s="2" t="s">
        <v>41</v>
      </c>
      <c r="E6088" s="5">
        <v>-28692</v>
      </c>
      <c r="F6088" s="3" t="s">
        <v>3807</v>
      </c>
      <c r="G6088" s="3" t="s">
        <v>3808</v>
      </c>
      <c r="H6088" s="2" t="s">
        <v>30</v>
      </c>
      <c r="I6088" s="2" t="s">
        <v>11969</v>
      </c>
      <c r="J6088" s="3" t="str">
        <f>HYPERLINK("https://www.boe.es/gazeta/dias/1821/06/10/pdfs/GMD-1821-163.pdf#page=3","Abrir facsímil")</f>
        <v>Abrir facsímil</v>
      </c>
      <c r="K6088" s="3" t="s">
        <v>32</v>
      </c>
    </row>
    <row r="6089" spans="1:11" ht="42" customHeight="1">
      <c r="A6089" s="2" t="s">
        <v>11970</v>
      </c>
      <c r="B6089" s="2" t="s">
        <v>11971</v>
      </c>
      <c r="C6089" s="2" t="s">
        <v>17</v>
      </c>
      <c r="D6089" s="2" t="s">
        <v>18</v>
      </c>
      <c r="E6089" s="5">
        <v>-28746</v>
      </c>
      <c r="F6089" s="3" t="s">
        <v>687</v>
      </c>
      <c r="G6089" s="3" t="s">
        <v>20</v>
      </c>
      <c r="H6089" s="2" t="s">
        <v>21</v>
      </c>
      <c r="I6089" s="2" t="s">
        <v>11972</v>
      </c>
      <c r="J6089" s="3" t="str">
        <f>HYPERLINK("https://www.boe.es/gazeta/dias/1821/04/17/pdfs/GMD-1821-109.pdf#page=3","Abrir facsímil")</f>
        <v>Abrir facsímil</v>
      </c>
      <c r="K6089" s="3" t="s">
        <v>23</v>
      </c>
    </row>
    <row r="6090" spans="1:11" ht="42" customHeight="1">
      <c r="A6090" s="2" t="s">
        <v>11970</v>
      </c>
      <c r="B6090" s="2" t="s">
        <v>11971</v>
      </c>
      <c r="C6090" s="2" t="s">
        <v>17</v>
      </c>
      <c r="D6090" s="2" t="s">
        <v>18</v>
      </c>
      <c r="E6090" s="5">
        <v>-28720</v>
      </c>
      <c r="F6090" s="3" t="s">
        <v>492</v>
      </c>
      <c r="G6090" s="3" t="s">
        <v>52</v>
      </c>
      <c r="H6090" s="2" t="s">
        <v>21</v>
      </c>
      <c r="I6090" s="2" t="s">
        <v>11973</v>
      </c>
      <c r="J6090" s="3" t="str">
        <f>HYPERLINK("https://www.boe.es/gazeta/dias/1821/05/13/pdfs/GMD-1821-135.pdf#page=2","Abrir facsímil")</f>
        <v>Abrir facsímil</v>
      </c>
      <c r="K6090" s="3" t="s">
        <v>23</v>
      </c>
    </row>
    <row r="6091" spans="1:11" ht="42" customHeight="1">
      <c r="A6091" s="2" t="s">
        <v>11974</v>
      </c>
      <c r="B6091" s="2" t="s">
        <v>11975</v>
      </c>
      <c r="C6091" s="2" t="s">
        <v>17</v>
      </c>
      <c r="D6091" s="2" t="s">
        <v>18</v>
      </c>
      <c r="E6091" s="5">
        <v>-28522</v>
      </c>
      <c r="F6091" s="3" t="s">
        <v>1083</v>
      </c>
      <c r="G6091" s="3" t="s">
        <v>29</v>
      </c>
      <c r="H6091" s="2" t="s">
        <v>21</v>
      </c>
      <c r="I6091" s="2" t="s">
        <v>11976</v>
      </c>
      <c r="J6091" s="3" t="str">
        <f>HYPERLINK("https://www.boe.es/gazeta/dias/1821/11/27/pdfs/GMD-1821-339.pdf#page=6","Abrir facsímil")</f>
        <v>Abrir facsímil</v>
      </c>
      <c r="K6091" s="3" t="s">
        <v>23</v>
      </c>
    </row>
    <row r="6092" spans="1:11" ht="42" customHeight="1">
      <c r="A6092" s="2" t="s">
        <v>11977</v>
      </c>
      <c r="B6092" s="2" t="s">
        <v>11978</v>
      </c>
      <c r="C6092" s="2" t="s">
        <v>40</v>
      </c>
      <c r="D6092" s="2" t="s">
        <v>41</v>
      </c>
      <c r="E6092" s="5">
        <v>-28591</v>
      </c>
      <c r="F6092" s="3" t="s">
        <v>3638</v>
      </c>
      <c r="G6092" s="3" t="s">
        <v>88</v>
      </c>
      <c r="H6092" s="2" t="s">
        <v>21</v>
      </c>
      <c r="I6092" s="2" t="s">
        <v>11979</v>
      </c>
      <c r="J6092" s="3" t="str">
        <f>HYPERLINK("https://www.boe.es/gazeta/dias/1821/09/19/pdfs/GMD-1821-267.pdf#page=4","Abrir facsímil")</f>
        <v>Abrir facsímil</v>
      </c>
      <c r="K6092" s="3" t="s">
        <v>23</v>
      </c>
    </row>
    <row r="6093" spans="1:11" ht="42" customHeight="1">
      <c r="A6093" s="2" t="s">
        <v>11980</v>
      </c>
      <c r="B6093" s="2" t="s">
        <v>11981</v>
      </c>
      <c r="C6093" s="2" t="s">
        <v>26</v>
      </c>
      <c r="D6093" s="2" t="s">
        <v>27</v>
      </c>
      <c r="E6093" s="5">
        <v>-28729</v>
      </c>
      <c r="F6093" s="3" t="s">
        <v>838</v>
      </c>
      <c r="G6093" s="3" t="s">
        <v>52</v>
      </c>
      <c r="H6093" s="2" t="s">
        <v>21</v>
      </c>
      <c r="I6093" s="2" t="s">
        <v>11982</v>
      </c>
      <c r="J6093" s="3" t="str">
        <f>HYPERLINK("https://www.boe.es/gazeta/dias/1821/05/04/pdfs/GMD-1821-126.pdf#page=2","Abrir facsímil")</f>
        <v>Abrir facsímil</v>
      </c>
      <c r="K6093" s="3" t="s">
        <v>23</v>
      </c>
    </row>
    <row r="6094" spans="1:11" ht="42" customHeight="1">
      <c r="A6094" s="2" t="s">
        <v>11983</v>
      </c>
      <c r="B6094" s="2" t="s">
        <v>11983</v>
      </c>
      <c r="C6094" s="2" t="s">
        <v>40</v>
      </c>
      <c r="D6094" s="2" t="s">
        <v>41</v>
      </c>
      <c r="E6094" s="5">
        <v>-28490</v>
      </c>
      <c r="F6094" s="3" t="s">
        <v>801</v>
      </c>
      <c r="G6094" s="3" t="s">
        <v>52</v>
      </c>
      <c r="H6094" s="2" t="s">
        <v>21</v>
      </c>
      <c r="I6094" s="2" t="s">
        <v>11984</v>
      </c>
      <c r="J6094" s="3" t="str">
        <f>HYPERLINK("https://www.boe.es/gazeta/dias/1821/12/29/pdfs/GMD-1821-372.pdf#page=2","Abrir facsímil")</f>
        <v>Abrir facsímil</v>
      </c>
      <c r="K6094" s="3" t="s">
        <v>23</v>
      </c>
    </row>
    <row r="6095" spans="1:11" ht="42" customHeight="1">
      <c r="A6095" s="2" t="s">
        <v>11985</v>
      </c>
      <c r="B6095" s="2" t="s">
        <v>11986</v>
      </c>
      <c r="C6095" s="2" t="s">
        <v>17</v>
      </c>
      <c r="D6095" s="2" t="s">
        <v>18</v>
      </c>
      <c r="E6095" s="5">
        <v>-28667</v>
      </c>
      <c r="F6095" s="3" t="s">
        <v>107</v>
      </c>
      <c r="G6095" s="3" t="s">
        <v>3069</v>
      </c>
      <c r="H6095" s="2" t="s">
        <v>21</v>
      </c>
      <c r="I6095" s="2" t="s">
        <v>11987</v>
      </c>
      <c r="J6095" s="3" t="str">
        <f>HYPERLINK("https://www.boe.es/gazeta/dias/1821/07/05/pdfs/GMD-1821-189.pdf#page=4","Abrir facsímil")</f>
        <v>Abrir facsímil</v>
      </c>
      <c r="K6095" s="3" t="s">
        <v>23</v>
      </c>
    </row>
    <row r="6096" spans="1:11" ht="42" customHeight="1">
      <c r="A6096" s="2" t="s">
        <v>11988</v>
      </c>
      <c r="B6096" s="2" t="s">
        <v>11989</v>
      </c>
      <c r="C6096" s="2" t="s">
        <v>35</v>
      </c>
      <c r="D6096" s="2" t="s">
        <v>27</v>
      </c>
      <c r="E6096" s="5">
        <v>-28541</v>
      </c>
      <c r="F6096" s="3" t="s">
        <v>275</v>
      </c>
      <c r="G6096" s="3" t="s">
        <v>52</v>
      </c>
      <c r="H6096" s="2" t="s">
        <v>21</v>
      </c>
      <c r="I6096" s="2" t="s">
        <v>11990</v>
      </c>
      <c r="J6096" s="3" t="str">
        <f>HYPERLINK("https://www.boe.es/gazeta/dias/1821/11/08/pdfs/GMD-1821-319.pdf#page=2","Abrir facsímil")</f>
        <v>Abrir facsímil</v>
      </c>
      <c r="K6096" s="3" t="s">
        <v>23</v>
      </c>
    </row>
    <row r="6097" spans="1:11" ht="42" customHeight="1">
      <c r="A6097" s="2" t="s">
        <v>11991</v>
      </c>
      <c r="B6097" s="2" t="s">
        <v>11991</v>
      </c>
      <c r="C6097" s="2" t="s">
        <v>17</v>
      </c>
      <c r="D6097" s="2" t="s">
        <v>18</v>
      </c>
      <c r="E6097" s="5">
        <v>-28789</v>
      </c>
      <c r="F6097" s="3" t="s">
        <v>36</v>
      </c>
      <c r="G6097" s="3" t="s">
        <v>993</v>
      </c>
      <c r="H6097" s="2" t="s">
        <v>21</v>
      </c>
      <c r="I6097" s="2" t="s">
        <v>11992</v>
      </c>
      <c r="J6097" s="3" t="str">
        <f>HYPERLINK("https://www.boe.es/gazeta/dias/1821/03/05/pdfs/GGB-1821-64.pdf#page=4","Abrir facsímil")</f>
        <v>Abrir facsímil</v>
      </c>
      <c r="K6097" s="3" t="s">
        <v>23</v>
      </c>
    </row>
    <row r="6098" spans="1:11" ht="42" customHeight="1">
      <c r="A6098" s="2" t="s">
        <v>11991</v>
      </c>
      <c r="B6098" s="2" t="s">
        <v>11991</v>
      </c>
      <c r="C6098" s="2" t="s">
        <v>40</v>
      </c>
      <c r="D6098" s="2" t="s">
        <v>41</v>
      </c>
      <c r="E6098" s="5">
        <v>-28576</v>
      </c>
      <c r="F6098" s="3" t="s">
        <v>1924</v>
      </c>
      <c r="G6098" s="3" t="s">
        <v>88</v>
      </c>
      <c r="H6098" s="2" t="s">
        <v>21</v>
      </c>
      <c r="I6098" s="2" t="s">
        <v>11993</v>
      </c>
      <c r="J6098" s="3" t="str">
        <f>HYPERLINK("https://www.boe.es/gazeta/dias/1821/10/04/pdfs/GMD-1821-283.pdf#page=4","Abrir facsímil")</f>
        <v>Abrir facsímil</v>
      </c>
      <c r="K6098" s="3" t="s">
        <v>23</v>
      </c>
    </row>
    <row r="6099" spans="1:11" ht="42" customHeight="1">
      <c r="A6099" s="2" t="s">
        <v>11994</v>
      </c>
      <c r="B6099" s="2" t="s">
        <v>11995</v>
      </c>
      <c r="C6099" s="2" t="s">
        <v>17</v>
      </c>
      <c r="D6099" s="2" t="s">
        <v>18</v>
      </c>
      <c r="E6099" s="5">
        <v>-28697</v>
      </c>
      <c r="F6099" s="3" t="s">
        <v>166</v>
      </c>
      <c r="G6099" s="3" t="s">
        <v>52</v>
      </c>
      <c r="H6099" s="2" t="s">
        <v>21</v>
      </c>
      <c r="I6099" s="2" t="s">
        <v>11996</v>
      </c>
      <c r="J6099" s="3" t="str">
        <f>HYPERLINK("https://www.boe.es/gazeta/dias/1821/06/05/pdfs/GMD-1821-158.pdf#page=2","Abrir facsímil")</f>
        <v>Abrir facsímil</v>
      </c>
      <c r="K6099" s="3" t="s">
        <v>23</v>
      </c>
    </row>
    <row r="6100" spans="1:11" ht="42" customHeight="1">
      <c r="A6100" s="2" t="s">
        <v>11997</v>
      </c>
      <c r="B6100" s="2" t="s">
        <v>11998</v>
      </c>
      <c r="C6100" s="2" t="s">
        <v>17</v>
      </c>
      <c r="D6100" s="2" t="s">
        <v>18</v>
      </c>
      <c r="E6100" s="5">
        <v>-28782</v>
      </c>
      <c r="F6100" s="3" t="s">
        <v>508</v>
      </c>
      <c r="G6100" s="3" t="s">
        <v>88</v>
      </c>
      <c r="H6100" s="2" t="s">
        <v>21</v>
      </c>
      <c r="I6100" s="2" t="s">
        <v>11999</v>
      </c>
      <c r="J6100" s="3" t="str">
        <f>HYPERLINK("https://www.boe.es/gazeta/dias/1821/03/12/pdfs/GMD-1821-71.pdf#page=4","Abrir facsímil")</f>
        <v>Abrir facsímil</v>
      </c>
      <c r="K6100" s="3" t="s">
        <v>23</v>
      </c>
    </row>
    <row r="6101" spans="1:11" ht="42" customHeight="1">
      <c r="A6101" s="2" t="s">
        <v>12000</v>
      </c>
      <c r="B6101" s="2" t="s">
        <v>12001</v>
      </c>
      <c r="C6101" s="2" t="s">
        <v>40</v>
      </c>
      <c r="D6101" s="2" t="s">
        <v>41</v>
      </c>
      <c r="E6101" s="5">
        <v>-28738</v>
      </c>
      <c r="F6101" s="3" t="s">
        <v>359</v>
      </c>
      <c r="G6101" s="3" t="s">
        <v>88</v>
      </c>
      <c r="H6101" s="2" t="s">
        <v>21</v>
      </c>
      <c r="I6101" s="2" t="s">
        <v>12002</v>
      </c>
      <c r="J6101" s="3" t="str">
        <f>HYPERLINK("https://www.boe.es/gazeta/dias/1821/04/25/pdfs/GMD-1821-117.pdf#page=4","Abrir facsímil")</f>
        <v>Abrir facsímil</v>
      </c>
      <c r="K6101" s="3" t="s">
        <v>23</v>
      </c>
    </row>
    <row r="6102" spans="1:11" ht="42" customHeight="1">
      <c r="A6102" s="2" t="s">
        <v>12003</v>
      </c>
      <c r="B6102" s="2" t="s">
        <v>12004</v>
      </c>
      <c r="C6102" s="2" t="s">
        <v>174</v>
      </c>
      <c r="D6102" s="2" t="s">
        <v>27</v>
      </c>
      <c r="E6102" s="5">
        <v>-28522</v>
      </c>
      <c r="F6102" s="3" t="s">
        <v>1083</v>
      </c>
      <c r="G6102" s="3" t="s">
        <v>29</v>
      </c>
      <c r="H6102" s="2" t="s">
        <v>21</v>
      </c>
      <c r="I6102" s="2" t="s">
        <v>12005</v>
      </c>
      <c r="J6102" s="3" t="str">
        <f>HYPERLINK("https://www.boe.es/gazeta/dias/1821/11/27/pdfs/GMD-1821-339.pdf#page=6","Abrir facsímil")</f>
        <v>Abrir facsímil</v>
      </c>
      <c r="K6102" s="3" t="s">
        <v>23</v>
      </c>
    </row>
    <row r="6103" spans="1:11" ht="42" customHeight="1">
      <c r="A6103" s="2" t="s">
        <v>12006</v>
      </c>
      <c r="B6103" s="2" t="s">
        <v>12006</v>
      </c>
      <c r="C6103" s="2" t="s">
        <v>40</v>
      </c>
      <c r="D6103" s="2" t="s">
        <v>41</v>
      </c>
      <c r="E6103" s="5">
        <v>-28754</v>
      </c>
      <c r="F6103" s="3" t="s">
        <v>1942</v>
      </c>
      <c r="G6103" s="3" t="s">
        <v>20</v>
      </c>
      <c r="H6103" s="2" t="s">
        <v>21</v>
      </c>
      <c r="I6103" s="2" t="s">
        <v>12007</v>
      </c>
      <c r="J6103" s="3" t="str">
        <f>HYPERLINK("https://www.boe.es/gazeta/dias/1821/04/09/pdfs/GMD-1821-101.pdf#page=3","Abrir facsímil")</f>
        <v>Abrir facsímil</v>
      </c>
      <c r="K6103" s="3" t="s">
        <v>23</v>
      </c>
    </row>
    <row r="6104" spans="1:11" ht="42" customHeight="1">
      <c r="A6104" s="2" t="s">
        <v>12006</v>
      </c>
      <c r="B6104" s="2" t="s">
        <v>12006</v>
      </c>
      <c r="C6104" s="2" t="s">
        <v>17</v>
      </c>
      <c r="D6104" s="2" t="s">
        <v>18</v>
      </c>
      <c r="E6104" s="5">
        <v>-28721</v>
      </c>
      <c r="F6104" s="3" t="s">
        <v>92</v>
      </c>
      <c r="G6104" s="3" t="s">
        <v>43</v>
      </c>
      <c r="H6104" s="2" t="s">
        <v>21</v>
      </c>
      <c r="I6104" s="2" t="s">
        <v>12008</v>
      </c>
      <c r="J6104" s="3" t="str">
        <f>HYPERLINK("https://www.boe.es/gazeta/dias/1821/05/12/pdfs/GMD-1821-134.pdf#page=1","Abrir facsímil")</f>
        <v>Abrir facsímil</v>
      </c>
      <c r="K6104" s="3" t="s">
        <v>23</v>
      </c>
    </row>
    <row r="6105" spans="1:11" ht="42" customHeight="1">
      <c r="A6105" s="2" t="s">
        <v>12006</v>
      </c>
      <c r="B6105" s="2" t="s">
        <v>12006</v>
      </c>
      <c r="C6105" s="2" t="s">
        <v>17</v>
      </c>
      <c r="D6105" s="2" t="s">
        <v>18</v>
      </c>
      <c r="E6105" s="5">
        <v>-28517</v>
      </c>
      <c r="F6105" s="3" t="s">
        <v>563</v>
      </c>
      <c r="G6105" s="3" t="s">
        <v>88</v>
      </c>
      <c r="H6105" s="2" t="s">
        <v>21</v>
      </c>
      <c r="I6105" s="2" t="s">
        <v>12009</v>
      </c>
      <c r="J6105" s="3" t="str">
        <f>HYPERLINK("https://www.boe.es/gazeta/dias/1821/12/02/pdfs/GMD-1821-344.pdf#page=4","Abrir facsímil")</f>
        <v>Abrir facsímil</v>
      </c>
      <c r="K6105" s="3" t="s">
        <v>23</v>
      </c>
    </row>
    <row r="6106" spans="1:11" ht="42" customHeight="1">
      <c r="A6106" s="2" t="s">
        <v>12010</v>
      </c>
      <c r="B6106" s="2" t="s">
        <v>12011</v>
      </c>
      <c r="C6106" s="2" t="s">
        <v>26</v>
      </c>
      <c r="D6106" s="2" t="s">
        <v>27</v>
      </c>
      <c r="E6106" s="5">
        <v>-28741</v>
      </c>
      <c r="F6106" s="3" t="s">
        <v>1841</v>
      </c>
      <c r="G6106" s="3" t="s">
        <v>88</v>
      </c>
      <c r="H6106" s="2" t="s">
        <v>21</v>
      </c>
      <c r="I6106" s="2" t="s">
        <v>12012</v>
      </c>
      <c r="J6106" s="3" t="str">
        <f>HYPERLINK("https://www.boe.es/gazeta/dias/1821/04/22/pdfs/GMD-1821-114.pdf#page=4","Abrir facsímil")</f>
        <v>Abrir facsímil</v>
      </c>
      <c r="K6106" s="3" t="s">
        <v>23</v>
      </c>
    </row>
    <row r="6107" spans="1:11" ht="42" customHeight="1">
      <c r="A6107" s="2" t="s">
        <v>12013</v>
      </c>
      <c r="B6107" s="2" t="s">
        <v>12014</v>
      </c>
      <c r="C6107" s="2" t="s">
        <v>40</v>
      </c>
      <c r="D6107" s="2" t="s">
        <v>41</v>
      </c>
      <c r="E6107" s="5">
        <v>-28563</v>
      </c>
      <c r="F6107" s="3" t="s">
        <v>118</v>
      </c>
      <c r="G6107" s="3" t="s">
        <v>52</v>
      </c>
      <c r="H6107" s="2" t="s">
        <v>21</v>
      </c>
      <c r="I6107" s="2" t="s">
        <v>12015</v>
      </c>
      <c r="J6107" s="3" t="str">
        <f>HYPERLINK("https://www.boe.es/gazeta/dias/1821/10/17/pdfs/GMD-1821-296.pdf#page=2","Abrir facsímil")</f>
        <v>Abrir facsímil</v>
      </c>
      <c r="K6107" s="3" t="s">
        <v>23</v>
      </c>
    </row>
    <row r="6108" spans="1:11" ht="42" customHeight="1">
      <c r="A6108" s="2" t="s">
        <v>12016</v>
      </c>
      <c r="B6108" s="2" t="s">
        <v>12016</v>
      </c>
      <c r="C6108" s="2" t="s">
        <v>40</v>
      </c>
      <c r="D6108" s="2" t="s">
        <v>41</v>
      </c>
      <c r="E6108" s="5">
        <v>-28770</v>
      </c>
      <c r="F6108" s="3" t="s">
        <v>1009</v>
      </c>
      <c r="G6108" s="3" t="s">
        <v>3233</v>
      </c>
      <c r="H6108" s="2" t="s">
        <v>21</v>
      </c>
      <c r="I6108" s="2" t="s">
        <v>12017</v>
      </c>
      <c r="J6108" s="3" t="str">
        <f>HYPERLINK("https://www.boe.es/gazeta/dias/1821/03/24/pdfs/GMD-1821-84.pdf#page=2","Abrir facsímil")</f>
        <v>Abrir facsímil</v>
      </c>
      <c r="K6108" s="3" t="s">
        <v>23</v>
      </c>
    </row>
    <row r="6109" spans="1:11" ht="42" customHeight="1">
      <c r="A6109" s="2" t="s">
        <v>12018</v>
      </c>
      <c r="B6109" s="2" t="s">
        <v>12018</v>
      </c>
      <c r="C6109" s="2" t="s">
        <v>17</v>
      </c>
      <c r="D6109" s="2" t="s">
        <v>18</v>
      </c>
      <c r="E6109" s="5">
        <v>-28679</v>
      </c>
      <c r="F6109" s="3" t="s">
        <v>213</v>
      </c>
      <c r="G6109" s="3" t="s">
        <v>88</v>
      </c>
      <c r="H6109" s="2" t="s">
        <v>21</v>
      </c>
      <c r="I6109" s="2" t="s">
        <v>12019</v>
      </c>
      <c r="J6109" s="3" t="str">
        <f>HYPERLINK("https://www.boe.es/gazeta/dias/1821/06/23/pdfs/GMD-1821-176.pdf#page=4","Abrir facsímil")</f>
        <v>Abrir facsímil</v>
      </c>
      <c r="K6109" s="3" t="s">
        <v>23</v>
      </c>
    </row>
    <row r="6110" spans="1:11" ht="42" customHeight="1">
      <c r="A6110" s="2" t="s">
        <v>12018</v>
      </c>
      <c r="B6110" s="2" t="s">
        <v>12018</v>
      </c>
      <c r="C6110" s="2" t="s">
        <v>40</v>
      </c>
      <c r="D6110" s="2" t="s">
        <v>41</v>
      </c>
      <c r="E6110" s="5">
        <v>-28517</v>
      </c>
      <c r="F6110" s="3" t="s">
        <v>563</v>
      </c>
      <c r="G6110" s="3" t="s">
        <v>20</v>
      </c>
      <c r="H6110" s="2" t="s">
        <v>21</v>
      </c>
      <c r="I6110" s="2" t="s">
        <v>12020</v>
      </c>
      <c r="J6110" s="3" t="str">
        <f>HYPERLINK("https://www.boe.es/gazeta/dias/1821/12/02/pdfs/GMD-1821-344.pdf#page=3","Abrir facsímil")</f>
        <v>Abrir facsímil</v>
      </c>
      <c r="K6110" s="3" t="s">
        <v>23</v>
      </c>
    </row>
    <row r="6111" spans="1:11" ht="42" customHeight="1">
      <c r="A6111" s="2" t="s">
        <v>12021</v>
      </c>
      <c r="B6111" s="2" t="s">
        <v>12022</v>
      </c>
      <c r="C6111" s="2" t="s">
        <v>40</v>
      </c>
      <c r="D6111" s="2" t="s">
        <v>405</v>
      </c>
      <c r="E6111" s="5">
        <v>-28546</v>
      </c>
      <c r="F6111" s="3" t="s">
        <v>6425</v>
      </c>
      <c r="G6111" s="3" t="s">
        <v>43</v>
      </c>
      <c r="H6111" s="2" t="s">
        <v>21</v>
      </c>
      <c r="I6111" s="2" t="s">
        <v>12023</v>
      </c>
      <c r="J6111" s="3" t="str">
        <f>HYPERLINK("https://www.boe.es/gazeta/dias/1821/11/03/pdfs/GMD-1821-314E.pdf#page=1","Abrir facsímil")</f>
        <v>Abrir facsímil</v>
      </c>
      <c r="K6111" s="3" t="s">
        <v>23</v>
      </c>
    </row>
    <row r="6112" spans="1:11" ht="42" customHeight="1">
      <c r="A6112" s="2" t="s">
        <v>12024</v>
      </c>
      <c r="B6112" s="2" t="s">
        <v>12025</v>
      </c>
      <c r="C6112" s="2" t="s">
        <v>114</v>
      </c>
      <c r="D6112" s="2" t="s">
        <v>27</v>
      </c>
      <c r="E6112" s="5">
        <v>-28667</v>
      </c>
      <c r="F6112" s="3" t="s">
        <v>107</v>
      </c>
      <c r="G6112" s="3" t="s">
        <v>52</v>
      </c>
      <c r="H6112" s="2" t="s">
        <v>21</v>
      </c>
      <c r="I6112" s="2" t="s">
        <v>12026</v>
      </c>
      <c r="J6112" s="3" t="str">
        <f>HYPERLINK("https://www.boe.es/gazeta/dias/1821/07/05/pdfs/GMD-1821-189.pdf#page=2","Abrir facsímil")</f>
        <v>Abrir facsímil</v>
      </c>
      <c r="K6112" s="3" t="s">
        <v>23</v>
      </c>
    </row>
    <row r="6113" spans="1:11" ht="42" customHeight="1">
      <c r="A6113" s="2" t="s">
        <v>12027</v>
      </c>
      <c r="B6113" s="2" t="s">
        <v>12028</v>
      </c>
      <c r="C6113" s="2" t="s">
        <v>40</v>
      </c>
      <c r="D6113" s="2" t="s">
        <v>41</v>
      </c>
      <c r="E6113" s="5">
        <v>-28531</v>
      </c>
      <c r="F6113" s="3" t="s">
        <v>365</v>
      </c>
      <c r="G6113" s="3" t="s">
        <v>20</v>
      </c>
      <c r="H6113" s="2" t="s">
        <v>21</v>
      </c>
      <c r="I6113" s="2" t="s">
        <v>12029</v>
      </c>
      <c r="J6113" s="3" t="str">
        <f>HYPERLINK("https://www.boe.es/gazeta/dias/1821/11/18/pdfs/GMD-1821-329.pdf#page=3","Abrir facsímil")</f>
        <v>Abrir facsímil</v>
      </c>
      <c r="K6113" s="3" t="s">
        <v>23</v>
      </c>
    </row>
    <row r="6114" spans="1:11" ht="42" customHeight="1">
      <c r="A6114" s="2" t="s">
        <v>12030</v>
      </c>
      <c r="B6114" s="2" t="s">
        <v>12031</v>
      </c>
      <c r="C6114" s="2" t="s">
        <v>26</v>
      </c>
      <c r="D6114" s="2" t="s">
        <v>27</v>
      </c>
      <c r="E6114" s="5">
        <v>-28586</v>
      </c>
      <c r="F6114" s="3" t="s">
        <v>587</v>
      </c>
      <c r="G6114" s="3" t="s">
        <v>52</v>
      </c>
      <c r="H6114" s="2" t="s">
        <v>21</v>
      </c>
      <c r="I6114" s="2" t="s">
        <v>12032</v>
      </c>
      <c r="J6114" s="3" t="str">
        <f>HYPERLINK("https://www.boe.es/gazeta/dias/1821/09/24/pdfs/GMD-1821-272.pdf#page=2","Abrir facsímil")</f>
        <v>Abrir facsímil</v>
      </c>
      <c r="K6114" s="3" t="s">
        <v>23</v>
      </c>
    </row>
    <row r="6115" spans="1:11" ht="42" customHeight="1">
      <c r="A6115" s="2" t="s">
        <v>12033</v>
      </c>
      <c r="B6115" s="2" t="s">
        <v>12034</v>
      </c>
      <c r="C6115" s="2" t="s">
        <v>17</v>
      </c>
      <c r="D6115" s="2" t="s">
        <v>18</v>
      </c>
      <c r="E6115" s="5">
        <v>-28520</v>
      </c>
      <c r="F6115" s="3" t="s">
        <v>878</v>
      </c>
      <c r="G6115" s="3" t="s">
        <v>88</v>
      </c>
      <c r="H6115" s="2" t="s">
        <v>21</v>
      </c>
      <c r="I6115" s="2" t="s">
        <v>12035</v>
      </c>
      <c r="J6115" s="3" t="str">
        <f>HYPERLINK("https://www.boe.es/gazeta/dias/1821/11/29/pdfs/GMD-1821-341.pdf#page=4","Abrir facsímil")</f>
        <v>Abrir facsímil</v>
      </c>
      <c r="K6115" s="3" t="s">
        <v>23</v>
      </c>
    </row>
    <row r="6116" spans="1:11" ht="42" customHeight="1">
      <c r="A6116" s="2" t="s">
        <v>12036</v>
      </c>
      <c r="B6116" s="2" t="s">
        <v>12036</v>
      </c>
      <c r="C6116" s="2" t="s">
        <v>40</v>
      </c>
      <c r="D6116" s="2" t="s">
        <v>41</v>
      </c>
      <c r="E6116" s="5">
        <v>-28763</v>
      </c>
      <c r="F6116" s="3" t="s">
        <v>1145</v>
      </c>
      <c r="G6116" s="3" t="s">
        <v>88</v>
      </c>
      <c r="H6116" s="2" t="s">
        <v>21</v>
      </c>
      <c r="I6116" s="2" t="s">
        <v>12037</v>
      </c>
      <c r="J6116" s="3" t="str">
        <f>HYPERLINK("https://www.boe.es/gazeta/dias/1821/03/31/pdfs/GMD-1821-92.pdf#page=4","Abrir facsímil")</f>
        <v>Abrir facsímil</v>
      </c>
      <c r="K6116" s="3" t="s">
        <v>23</v>
      </c>
    </row>
    <row r="6117" spans="1:11" ht="42" customHeight="1">
      <c r="A6117" s="2" t="s">
        <v>12036</v>
      </c>
      <c r="B6117" s="2" t="s">
        <v>12036</v>
      </c>
      <c r="C6117" s="2" t="s">
        <v>40</v>
      </c>
      <c r="D6117" s="2" t="s">
        <v>41</v>
      </c>
      <c r="E6117" s="5">
        <v>-28596</v>
      </c>
      <c r="F6117" s="3" t="s">
        <v>1275</v>
      </c>
      <c r="G6117" s="3" t="s">
        <v>20</v>
      </c>
      <c r="H6117" s="2" t="s">
        <v>21</v>
      </c>
      <c r="I6117" s="2" t="s">
        <v>12038</v>
      </c>
      <c r="J6117" s="3" t="str">
        <f>HYPERLINK("https://www.boe.es/gazeta/dias/1821/09/14/pdfs/GMD-1821-262.pdf#page=3","Abrir facsímil")</f>
        <v>Abrir facsímil</v>
      </c>
      <c r="K6117" s="3" t="s">
        <v>23</v>
      </c>
    </row>
    <row r="6118" spans="1:11" ht="42" customHeight="1">
      <c r="A6118" s="2" t="s">
        <v>12039</v>
      </c>
      <c r="B6118" s="2" t="s">
        <v>12040</v>
      </c>
      <c r="C6118" s="2" t="s">
        <v>40</v>
      </c>
      <c r="D6118" s="2" t="s">
        <v>41</v>
      </c>
      <c r="E6118" s="5">
        <v>-28577</v>
      </c>
      <c r="F6118" s="3" t="s">
        <v>858</v>
      </c>
      <c r="G6118" s="3" t="s">
        <v>88</v>
      </c>
      <c r="H6118" s="2" t="s">
        <v>21</v>
      </c>
      <c r="I6118" s="2" t="s">
        <v>12041</v>
      </c>
      <c r="J6118" s="3" t="str">
        <f>HYPERLINK("https://www.boe.es/gazeta/dias/1821/10/03/pdfs/GMD-1821-282.pdf#page=4","Abrir facsímil")</f>
        <v>Abrir facsímil</v>
      </c>
      <c r="K6118" s="3" t="s">
        <v>23</v>
      </c>
    </row>
    <row r="6119" spans="1:11" ht="42" customHeight="1">
      <c r="A6119" s="2" t="s">
        <v>12042</v>
      </c>
      <c r="B6119" s="2" t="s">
        <v>12043</v>
      </c>
      <c r="C6119" s="2" t="s">
        <v>40</v>
      </c>
      <c r="D6119" s="2" t="s">
        <v>41</v>
      </c>
      <c r="E6119" s="5">
        <v>-28650</v>
      </c>
      <c r="F6119" s="3" t="s">
        <v>3285</v>
      </c>
      <c r="G6119" s="3" t="s">
        <v>88</v>
      </c>
      <c r="H6119" s="2" t="s">
        <v>30</v>
      </c>
      <c r="I6119" s="2" t="s">
        <v>12044</v>
      </c>
      <c r="J6119" s="3" t="str">
        <f>HYPERLINK("https://www.boe.es/gazeta/dias/1821/07/22/pdfs/GMD-1821-207.pdf#page=4","Abrir facsímil")</f>
        <v>Abrir facsímil</v>
      </c>
      <c r="K6119" s="3" t="s">
        <v>32</v>
      </c>
    </row>
    <row r="6120" spans="1:11" ht="42" customHeight="1">
      <c r="A6120" s="2" t="s">
        <v>12045</v>
      </c>
      <c r="B6120" s="2" t="s">
        <v>12046</v>
      </c>
      <c r="C6120" s="2" t="s">
        <v>17</v>
      </c>
      <c r="D6120" s="2" t="s">
        <v>18</v>
      </c>
      <c r="E6120" s="5">
        <v>-28745</v>
      </c>
      <c r="F6120" s="3" t="s">
        <v>1020</v>
      </c>
      <c r="G6120" s="3" t="s">
        <v>52</v>
      </c>
      <c r="H6120" s="2" t="s">
        <v>21</v>
      </c>
      <c r="I6120" s="2" t="s">
        <v>12047</v>
      </c>
      <c r="J6120" s="3" t="str">
        <f>HYPERLINK("https://www.boe.es/gazeta/dias/1821/04/18/pdfs/GMD-1821-110.pdf#page=2","Abrir facsímil")</f>
        <v>Abrir facsímil</v>
      </c>
      <c r="K6120" s="3" t="s">
        <v>23</v>
      </c>
    </row>
    <row r="6121" spans="1:11" ht="42" customHeight="1">
      <c r="A6121" s="2" t="s">
        <v>12048</v>
      </c>
      <c r="B6121" s="2" t="s">
        <v>12048</v>
      </c>
      <c r="C6121" s="2" t="s">
        <v>70</v>
      </c>
      <c r="D6121" s="2" t="s">
        <v>27</v>
      </c>
      <c r="E6121" s="5">
        <v>-28517</v>
      </c>
      <c r="F6121" s="3" t="s">
        <v>563</v>
      </c>
      <c r="G6121" s="3" t="s">
        <v>20</v>
      </c>
      <c r="H6121" s="2" t="s">
        <v>21</v>
      </c>
      <c r="I6121" s="2" t="s">
        <v>12049</v>
      </c>
      <c r="J6121" s="3" t="str">
        <f>HYPERLINK("https://www.boe.es/gazeta/dias/1821/12/02/pdfs/GMD-1821-344.pdf#page=3","Abrir facsímil")</f>
        <v>Abrir facsímil</v>
      </c>
      <c r="K6121" s="3" t="s">
        <v>23</v>
      </c>
    </row>
    <row r="6122" spans="1:11" ht="42" customHeight="1">
      <c r="A6122" s="2" t="s">
        <v>12050</v>
      </c>
      <c r="B6122" s="2" t="s">
        <v>12050</v>
      </c>
      <c r="C6122" s="2" t="s">
        <v>174</v>
      </c>
      <c r="D6122" s="2" t="s">
        <v>27</v>
      </c>
      <c r="E6122" s="5">
        <v>-28802</v>
      </c>
      <c r="F6122" s="3" t="s">
        <v>4814</v>
      </c>
      <c r="G6122" s="3" t="s">
        <v>88</v>
      </c>
      <c r="H6122" s="2" t="s">
        <v>21</v>
      </c>
      <c r="I6122" s="2" t="s">
        <v>12051</v>
      </c>
      <c r="J6122" s="3" t="str">
        <f>HYPERLINK("https://www.boe.es/gazeta/dias/1821/02/20/pdfs/GGB-1821-51.pdf#page=4","Abrir facsímil")</f>
        <v>Abrir facsímil</v>
      </c>
      <c r="K6122" s="3" t="s">
        <v>23</v>
      </c>
    </row>
    <row r="6123" spans="1:11" ht="42" customHeight="1">
      <c r="A6123" s="2" t="s">
        <v>12052</v>
      </c>
      <c r="B6123" s="2" t="s">
        <v>12053</v>
      </c>
      <c r="C6123" s="2" t="s">
        <v>40</v>
      </c>
      <c r="D6123" s="2" t="s">
        <v>41</v>
      </c>
      <c r="E6123" s="5">
        <v>-28756</v>
      </c>
      <c r="F6123" s="3" t="s">
        <v>3145</v>
      </c>
      <c r="G6123" s="3" t="s">
        <v>20</v>
      </c>
      <c r="H6123" s="2" t="s">
        <v>21</v>
      </c>
      <c r="I6123" s="2" t="s">
        <v>12054</v>
      </c>
      <c r="J6123" s="3" t="str">
        <f>HYPERLINK("https://www.boe.es/gazeta/dias/1821/04/07/pdfs/GMD-1821-99.pdf#page=3","Abrir facsímil")</f>
        <v>Abrir facsímil</v>
      </c>
      <c r="K6123" s="3" t="s">
        <v>23</v>
      </c>
    </row>
    <row r="6124" spans="1:11" ht="42" customHeight="1">
      <c r="A6124" s="2" t="s">
        <v>12055</v>
      </c>
      <c r="B6124" s="2" t="s">
        <v>12056</v>
      </c>
      <c r="C6124" s="2" t="s">
        <v>40</v>
      </c>
      <c r="D6124" s="2" t="s">
        <v>41</v>
      </c>
      <c r="E6124" s="5">
        <v>-28508</v>
      </c>
      <c r="F6124" s="3" t="s">
        <v>42</v>
      </c>
      <c r="G6124" s="3" t="s">
        <v>52</v>
      </c>
      <c r="H6124" s="2" t="s">
        <v>21</v>
      </c>
      <c r="I6124" s="2" t="s">
        <v>12057</v>
      </c>
      <c r="J6124" s="3" t="str">
        <f>HYPERLINK("https://www.boe.es/gazeta/dias/1821/12/11/pdfs/GMD-1821-353.pdf#page=2","Abrir facsímil")</f>
        <v>Abrir facsímil</v>
      </c>
      <c r="K6124" s="3" t="s">
        <v>23</v>
      </c>
    </row>
    <row r="6125" spans="1:11" ht="42" customHeight="1">
      <c r="A6125" s="2" t="s">
        <v>12058</v>
      </c>
      <c r="B6125" s="2" t="s">
        <v>12058</v>
      </c>
      <c r="C6125" s="2" t="s">
        <v>35</v>
      </c>
      <c r="D6125" s="2" t="s">
        <v>27</v>
      </c>
      <c r="E6125" s="5">
        <v>-28691</v>
      </c>
      <c r="F6125" s="3" t="s">
        <v>716</v>
      </c>
      <c r="G6125" s="3" t="s">
        <v>88</v>
      </c>
      <c r="H6125" s="2" t="s">
        <v>21</v>
      </c>
      <c r="I6125" s="2" t="s">
        <v>12059</v>
      </c>
      <c r="J6125" s="3" t="str">
        <f>HYPERLINK("https://www.boe.es/gazeta/dias/1821/06/11/pdfs/GMD-1821-164.pdf#page=4","Abrir facsímil")</f>
        <v>Abrir facsímil</v>
      </c>
      <c r="K6125" s="3" t="s">
        <v>23</v>
      </c>
    </row>
    <row r="6126" spans="1:11" ht="42" customHeight="1">
      <c r="A6126" s="2" t="s">
        <v>12060</v>
      </c>
      <c r="B6126" s="2" t="s">
        <v>12060</v>
      </c>
      <c r="C6126" s="2" t="s">
        <v>40</v>
      </c>
      <c r="D6126" s="2" t="s">
        <v>41</v>
      </c>
      <c r="E6126" s="5">
        <v>-28563</v>
      </c>
      <c r="F6126" s="3" t="s">
        <v>118</v>
      </c>
      <c r="G6126" s="3" t="s">
        <v>20</v>
      </c>
      <c r="H6126" s="2" t="s">
        <v>21</v>
      </c>
      <c r="I6126" s="2" t="s">
        <v>12061</v>
      </c>
      <c r="J6126" s="3" t="str">
        <f>HYPERLINK("https://www.boe.es/gazeta/dias/1821/10/17/pdfs/GMD-1821-296.pdf#page=3","Abrir facsímil")</f>
        <v>Abrir facsímil</v>
      </c>
      <c r="K6126" s="3" t="s">
        <v>23</v>
      </c>
    </row>
    <row r="6127" spans="1:11" ht="42" customHeight="1">
      <c r="A6127" s="2" t="s">
        <v>12062</v>
      </c>
      <c r="B6127" s="2" t="s">
        <v>12062</v>
      </c>
      <c r="C6127" s="2" t="s">
        <v>17</v>
      </c>
      <c r="D6127" s="2" t="s">
        <v>18</v>
      </c>
      <c r="E6127" s="5">
        <v>-28775</v>
      </c>
      <c r="F6127" s="3" t="s">
        <v>132</v>
      </c>
      <c r="G6127" s="3" t="s">
        <v>20</v>
      </c>
      <c r="H6127" s="2" t="s">
        <v>21</v>
      </c>
      <c r="I6127" s="2" t="s">
        <v>12063</v>
      </c>
      <c r="J6127" s="3" t="str">
        <f>HYPERLINK("https://www.boe.es/gazeta/dias/1821/03/19/pdfs/GMD-1821-78.pdf#page=3","Abrir facsímil")</f>
        <v>Abrir facsímil</v>
      </c>
      <c r="K6127" s="3" t="s">
        <v>23</v>
      </c>
    </row>
    <row r="6128" spans="1:11" ht="42" customHeight="1">
      <c r="A6128" s="2" t="s">
        <v>12064</v>
      </c>
      <c r="B6128" s="2" t="s">
        <v>12064</v>
      </c>
      <c r="C6128" s="2" t="s">
        <v>40</v>
      </c>
      <c r="D6128" s="2" t="s">
        <v>41</v>
      </c>
      <c r="E6128" s="5">
        <v>-28673</v>
      </c>
      <c r="F6128" s="3" t="s">
        <v>1069</v>
      </c>
      <c r="G6128" s="3" t="s">
        <v>88</v>
      </c>
      <c r="H6128" s="2" t="s">
        <v>21</v>
      </c>
      <c r="I6128" s="2" t="s">
        <v>12065</v>
      </c>
      <c r="J6128" s="3" t="str">
        <f>HYPERLINK("https://www.boe.es/gazeta/dias/1821/06/29/pdfs/GMD-1821-182.pdf#page=4","Abrir facsímil")</f>
        <v>Abrir facsímil</v>
      </c>
      <c r="K6128" s="3" t="s">
        <v>23</v>
      </c>
    </row>
    <row r="6129" spans="1:11" ht="42" customHeight="1">
      <c r="A6129" s="2" t="s">
        <v>12066</v>
      </c>
      <c r="B6129" s="2" t="s">
        <v>12066</v>
      </c>
      <c r="C6129" s="2" t="s">
        <v>40</v>
      </c>
      <c r="D6129" s="2" t="s">
        <v>41</v>
      </c>
      <c r="E6129" s="5">
        <v>-28750</v>
      </c>
      <c r="F6129" s="3" t="s">
        <v>917</v>
      </c>
      <c r="G6129" s="3" t="s">
        <v>20</v>
      </c>
      <c r="H6129" s="2" t="s">
        <v>21</v>
      </c>
      <c r="I6129" s="2" t="s">
        <v>12067</v>
      </c>
      <c r="J6129" s="3" t="str">
        <f>HYPERLINK("https://www.boe.es/gazeta/dias/1821/04/13/pdfs/GMD-1821-105.pdf#page=3","Abrir facsímil")</f>
        <v>Abrir facsímil</v>
      </c>
      <c r="K6129" s="3" t="s">
        <v>23</v>
      </c>
    </row>
    <row r="6130" spans="1:11" ht="42" customHeight="1">
      <c r="A6130" s="2" t="s">
        <v>12068</v>
      </c>
      <c r="B6130" s="2" t="s">
        <v>12068</v>
      </c>
      <c r="C6130" s="2" t="s">
        <v>17</v>
      </c>
      <c r="D6130" s="2" t="s">
        <v>18</v>
      </c>
      <c r="E6130" s="5">
        <v>-28832</v>
      </c>
      <c r="F6130" s="3" t="s">
        <v>353</v>
      </c>
      <c r="G6130" s="3" t="s">
        <v>12069</v>
      </c>
      <c r="H6130" s="2" t="s">
        <v>21</v>
      </c>
      <c r="I6130" s="2" t="s">
        <v>12070</v>
      </c>
      <c r="J6130" s="3" t="str">
        <f>HYPERLINK("https://www.boe.es/gazeta/dias/1821/01/21/pdfs/GGB-1821-21.pdf#page=1","Abrir facsímil")</f>
        <v>Abrir facsímil</v>
      </c>
      <c r="K6130" s="3" t="s">
        <v>23</v>
      </c>
    </row>
    <row r="6131" spans="1:11" ht="42" customHeight="1">
      <c r="A6131" s="2" t="s">
        <v>12071</v>
      </c>
      <c r="B6131" s="2" t="s">
        <v>12071</v>
      </c>
      <c r="C6131" s="2" t="s">
        <v>17</v>
      </c>
      <c r="D6131" s="2" t="s">
        <v>18</v>
      </c>
      <c r="E6131" s="5">
        <v>-28773</v>
      </c>
      <c r="F6131" s="3" t="s">
        <v>1755</v>
      </c>
      <c r="G6131" s="3" t="s">
        <v>43</v>
      </c>
      <c r="H6131" s="2" t="s">
        <v>21</v>
      </c>
      <c r="I6131" s="2" t="s">
        <v>12072</v>
      </c>
      <c r="J6131" s="3" t="str">
        <f>HYPERLINK("https://www.boe.es/gazeta/dias/1821/03/21/pdfs/GMD-1821-80.pdf#page=1","Abrir facsímil")</f>
        <v>Abrir facsímil</v>
      </c>
      <c r="K6131" s="3" t="s">
        <v>23</v>
      </c>
    </row>
    <row r="6132" spans="1:11" ht="42" customHeight="1">
      <c r="A6132" s="2" t="s">
        <v>12073</v>
      </c>
      <c r="B6132" s="2" t="s">
        <v>12074</v>
      </c>
      <c r="C6132" s="2" t="s">
        <v>40</v>
      </c>
      <c r="D6132" s="2" t="s">
        <v>41</v>
      </c>
      <c r="E6132" s="5">
        <v>-28721</v>
      </c>
      <c r="F6132" s="3" t="s">
        <v>92</v>
      </c>
      <c r="G6132" s="3" t="s">
        <v>88</v>
      </c>
      <c r="H6132" s="2" t="s">
        <v>21</v>
      </c>
      <c r="I6132" s="2" t="s">
        <v>12075</v>
      </c>
      <c r="J6132" s="3" t="str">
        <f>HYPERLINK("https://www.boe.es/gazeta/dias/1821/05/12/pdfs/GMD-1821-134.pdf#page=4","Abrir facsímil")</f>
        <v>Abrir facsímil</v>
      </c>
      <c r="K6132" s="3" t="s">
        <v>23</v>
      </c>
    </row>
    <row r="6133" spans="1:11" ht="42" customHeight="1">
      <c r="A6133" s="2" t="s">
        <v>12073</v>
      </c>
      <c r="B6133" s="2" t="s">
        <v>12074</v>
      </c>
      <c r="C6133" s="2" t="s">
        <v>40</v>
      </c>
      <c r="D6133" s="2" t="s">
        <v>41</v>
      </c>
      <c r="E6133" s="5">
        <v>-28654</v>
      </c>
      <c r="F6133" s="3" t="s">
        <v>674</v>
      </c>
      <c r="G6133" s="3" t="s">
        <v>88</v>
      </c>
      <c r="H6133" s="2" t="s">
        <v>21</v>
      </c>
      <c r="I6133" s="2" t="s">
        <v>12076</v>
      </c>
      <c r="J6133" s="3" t="str">
        <f>HYPERLINK("https://www.boe.es/gazeta/dias/1821/07/18/pdfs/GMD-1821-203.pdf#page=4","Abrir facsímil")</f>
        <v>Abrir facsímil</v>
      </c>
      <c r="K6133" s="3" t="s">
        <v>23</v>
      </c>
    </row>
    <row r="6134" spans="1:11" ht="42" customHeight="1">
      <c r="A6134" s="2" t="s">
        <v>12077</v>
      </c>
      <c r="B6134" s="2" t="s">
        <v>12078</v>
      </c>
      <c r="C6134" s="2" t="s">
        <v>35</v>
      </c>
      <c r="D6134" s="2" t="s">
        <v>27</v>
      </c>
      <c r="E6134" s="5">
        <v>-28678</v>
      </c>
      <c r="F6134" s="3" t="s">
        <v>215</v>
      </c>
      <c r="G6134" s="3" t="s">
        <v>1445</v>
      </c>
      <c r="H6134" s="2" t="s">
        <v>21</v>
      </c>
      <c r="I6134" s="2" t="s">
        <v>12079</v>
      </c>
      <c r="J6134" s="3" t="str">
        <f>HYPERLINK("https://www.boe.es/gazeta/dias/1821/06/24/pdfs/GMD-1821-177.pdf#page=3","Abrir facsímil")</f>
        <v>Abrir facsímil</v>
      </c>
      <c r="K6134" s="3" t="s">
        <v>23</v>
      </c>
    </row>
    <row r="6135" spans="1:11" ht="42" customHeight="1">
      <c r="A6135" s="2" t="s">
        <v>12080</v>
      </c>
      <c r="B6135" s="2" t="s">
        <v>12080</v>
      </c>
      <c r="C6135" s="2" t="s">
        <v>40</v>
      </c>
      <c r="D6135" s="2" t="s">
        <v>41</v>
      </c>
      <c r="E6135" s="5">
        <v>-28834</v>
      </c>
      <c r="F6135" s="3" t="s">
        <v>369</v>
      </c>
      <c r="G6135" s="3" t="s">
        <v>20</v>
      </c>
      <c r="H6135" s="2" t="s">
        <v>21</v>
      </c>
      <c r="I6135" s="2" t="s">
        <v>12081</v>
      </c>
      <c r="J6135" s="3" t="str">
        <f>HYPERLINK("https://www.boe.es/gazeta/dias/1821/01/19/pdfs/GGB-1821-19.pdf#page=3","Abrir facsímil")</f>
        <v>Abrir facsímil</v>
      </c>
      <c r="K6135" s="3" t="s">
        <v>23</v>
      </c>
    </row>
    <row r="6136" spans="1:11" ht="42" customHeight="1">
      <c r="A6136" s="2" t="s">
        <v>12080</v>
      </c>
      <c r="B6136" s="2" t="s">
        <v>12080</v>
      </c>
      <c r="C6136" s="2" t="s">
        <v>40</v>
      </c>
      <c r="D6136" s="2" t="s">
        <v>41</v>
      </c>
      <c r="E6136" s="5">
        <v>-28750</v>
      </c>
      <c r="F6136" s="3" t="s">
        <v>917</v>
      </c>
      <c r="G6136" s="3" t="s">
        <v>52</v>
      </c>
      <c r="H6136" s="2" t="s">
        <v>21</v>
      </c>
      <c r="I6136" s="2" t="s">
        <v>12082</v>
      </c>
      <c r="J6136" s="3" t="str">
        <f>HYPERLINK("https://www.boe.es/gazeta/dias/1821/04/13/pdfs/GMD-1821-105.pdf#page=2","Abrir facsímil")</f>
        <v>Abrir facsímil</v>
      </c>
      <c r="K6136" s="3" t="s">
        <v>23</v>
      </c>
    </row>
    <row r="6137" spans="1:11" ht="42" customHeight="1">
      <c r="A6137" s="2" t="s">
        <v>12083</v>
      </c>
      <c r="B6137" s="2" t="s">
        <v>12083</v>
      </c>
      <c r="C6137" s="2" t="s">
        <v>114</v>
      </c>
      <c r="D6137" s="2" t="s">
        <v>27</v>
      </c>
      <c r="E6137" s="5">
        <v>-28709</v>
      </c>
      <c r="F6137" s="3" t="s">
        <v>1434</v>
      </c>
      <c r="G6137" s="3" t="s">
        <v>1435</v>
      </c>
      <c r="H6137" s="2" t="s">
        <v>21</v>
      </c>
      <c r="I6137" s="2" t="s">
        <v>12084</v>
      </c>
      <c r="J6137" s="3" t="str">
        <f>HYPERLINK("https://www.boe.es/gazeta/dias/1821/05/24/pdfs/GMD-1821-146.pdf#page=2","Abrir facsímil")</f>
        <v>Abrir facsímil</v>
      </c>
      <c r="K6137" s="3" t="s">
        <v>23</v>
      </c>
    </row>
    <row r="6138" spans="1:11" ht="42" customHeight="1">
      <c r="A6138" s="2" t="s">
        <v>12080</v>
      </c>
      <c r="B6138" s="2" t="s">
        <v>12080</v>
      </c>
      <c r="C6138" s="2" t="s">
        <v>17</v>
      </c>
      <c r="D6138" s="2" t="s">
        <v>18</v>
      </c>
      <c r="E6138" s="5">
        <v>-28704</v>
      </c>
      <c r="F6138" s="3" t="s">
        <v>1050</v>
      </c>
      <c r="G6138" s="3" t="s">
        <v>52</v>
      </c>
      <c r="H6138" s="2" t="s">
        <v>21</v>
      </c>
      <c r="I6138" s="2" t="s">
        <v>12085</v>
      </c>
      <c r="J6138" s="3" t="str">
        <f>HYPERLINK("https://www.boe.es/gazeta/dias/1821/05/29/pdfs/GMD-1821-151.pdf#page=2","Abrir facsímil")</f>
        <v>Abrir facsímil</v>
      </c>
      <c r="K6138" s="3" t="s">
        <v>23</v>
      </c>
    </row>
    <row r="6139" spans="1:11" ht="42" customHeight="1">
      <c r="A6139" s="2" t="s">
        <v>12080</v>
      </c>
      <c r="B6139" s="2" t="s">
        <v>12080</v>
      </c>
      <c r="C6139" s="2" t="s">
        <v>40</v>
      </c>
      <c r="D6139" s="2" t="s">
        <v>41</v>
      </c>
      <c r="E6139" s="5">
        <v>-28697</v>
      </c>
      <c r="F6139" s="3" t="s">
        <v>166</v>
      </c>
      <c r="G6139" s="3" t="s">
        <v>52</v>
      </c>
      <c r="H6139" s="2" t="s">
        <v>21</v>
      </c>
      <c r="I6139" s="2" t="s">
        <v>12086</v>
      </c>
      <c r="J6139" s="3" t="str">
        <f>HYPERLINK("https://www.boe.es/gazeta/dias/1821/06/05/pdfs/GMD-1821-158.pdf#page=2","Abrir facsímil")</f>
        <v>Abrir facsímil</v>
      </c>
      <c r="K6139" s="3" t="s">
        <v>23</v>
      </c>
    </row>
    <row r="6140" spans="1:11" ht="42" customHeight="1">
      <c r="A6140" s="2" t="s">
        <v>12080</v>
      </c>
      <c r="B6140" s="2" t="s">
        <v>12080</v>
      </c>
      <c r="C6140" s="2" t="s">
        <v>279</v>
      </c>
      <c r="D6140" s="2" t="s">
        <v>27</v>
      </c>
      <c r="E6140" s="5">
        <v>-28683</v>
      </c>
      <c r="F6140" s="3" t="s">
        <v>332</v>
      </c>
      <c r="G6140" s="3" t="s">
        <v>333</v>
      </c>
      <c r="H6140" s="2" t="s">
        <v>21</v>
      </c>
      <c r="I6140" s="2" t="s">
        <v>12087</v>
      </c>
      <c r="J6140" s="3" t="str">
        <f>HYPERLINK("https://www.boe.es/gazeta/dias/1821/06/19/pdfs/GMD-1821-172.pdf#page=8","Abrir facsímil")</f>
        <v>Abrir facsímil</v>
      </c>
      <c r="K6140" s="3" t="s">
        <v>23</v>
      </c>
    </row>
    <row r="6141" spans="1:11" ht="42" customHeight="1">
      <c r="A6141" s="2" t="s">
        <v>12080</v>
      </c>
      <c r="B6141" s="2" t="s">
        <v>12080</v>
      </c>
      <c r="C6141" s="2" t="s">
        <v>17</v>
      </c>
      <c r="D6141" s="2" t="s">
        <v>18</v>
      </c>
      <c r="E6141" s="5">
        <v>-28669</v>
      </c>
      <c r="F6141" s="3" t="s">
        <v>2816</v>
      </c>
      <c r="G6141" s="3" t="s">
        <v>88</v>
      </c>
      <c r="H6141" s="2" t="s">
        <v>21</v>
      </c>
      <c r="I6141" s="2" t="s">
        <v>12088</v>
      </c>
      <c r="J6141" s="3" t="str">
        <f>HYPERLINK("https://www.boe.es/gazeta/dias/1821/07/03/pdfs/GMD-1821-187.pdf#page=4","Abrir facsímil")</f>
        <v>Abrir facsímil</v>
      </c>
      <c r="K6141" s="3" t="s">
        <v>23</v>
      </c>
    </row>
    <row r="6142" spans="1:11" ht="42" customHeight="1">
      <c r="A6142" s="2" t="s">
        <v>12080</v>
      </c>
      <c r="B6142" s="2" t="s">
        <v>12080</v>
      </c>
      <c r="C6142" s="2" t="s">
        <v>40</v>
      </c>
      <c r="D6142" s="2" t="s">
        <v>41</v>
      </c>
      <c r="E6142" s="5">
        <v>-28641</v>
      </c>
      <c r="F6142" s="3" t="s">
        <v>398</v>
      </c>
      <c r="G6142" s="3" t="s">
        <v>20</v>
      </c>
      <c r="H6142" s="2" t="s">
        <v>21</v>
      </c>
      <c r="I6142" s="2" t="s">
        <v>12089</v>
      </c>
      <c r="J6142" s="3" t="str">
        <f>HYPERLINK("https://www.boe.es/gazeta/dias/1821/07/31/pdfs/GMD-1821-216.pdf#page=3","Abrir facsímil")</f>
        <v>Abrir facsímil</v>
      </c>
      <c r="K6142" s="3" t="s">
        <v>23</v>
      </c>
    </row>
    <row r="6143" spans="1:11" ht="42" customHeight="1">
      <c r="A6143" s="2" t="s">
        <v>12080</v>
      </c>
      <c r="B6143" s="2" t="s">
        <v>12080</v>
      </c>
      <c r="C6143" s="2" t="s">
        <v>35</v>
      </c>
      <c r="D6143" s="2" t="s">
        <v>27</v>
      </c>
      <c r="E6143" s="5">
        <v>-28574</v>
      </c>
      <c r="F6143" s="3" t="s">
        <v>779</v>
      </c>
      <c r="G6143" s="3" t="s">
        <v>333</v>
      </c>
      <c r="H6143" s="2" t="s">
        <v>21</v>
      </c>
      <c r="I6143" s="2" t="s">
        <v>12090</v>
      </c>
      <c r="J6143" s="3" t="str">
        <f>HYPERLINK("https://www.boe.es/gazeta/dias/1821/10/06/pdfs/GMD-1821-285.pdf#page=8","Abrir facsímil")</f>
        <v>Abrir facsímil</v>
      </c>
      <c r="K6143" s="3" t="s">
        <v>23</v>
      </c>
    </row>
    <row r="6144" spans="1:11" ht="42" customHeight="1">
      <c r="A6144" s="2" t="s">
        <v>12080</v>
      </c>
      <c r="B6144" s="2" t="s">
        <v>12080</v>
      </c>
      <c r="C6144" s="2" t="s">
        <v>40</v>
      </c>
      <c r="D6144" s="2" t="s">
        <v>41</v>
      </c>
      <c r="E6144" s="5">
        <v>-28541</v>
      </c>
      <c r="F6144" s="3" t="s">
        <v>275</v>
      </c>
      <c r="G6144" s="3" t="s">
        <v>52</v>
      </c>
      <c r="H6144" s="2" t="s">
        <v>21</v>
      </c>
      <c r="I6144" s="2" t="s">
        <v>12091</v>
      </c>
      <c r="J6144" s="3" t="str">
        <f>HYPERLINK("https://www.boe.es/gazeta/dias/1821/11/08/pdfs/GMD-1821-319.pdf#page=2","Abrir facsímil")</f>
        <v>Abrir facsímil</v>
      </c>
      <c r="K6144" s="3" t="s">
        <v>23</v>
      </c>
    </row>
    <row r="6145" spans="1:11" ht="42" customHeight="1">
      <c r="A6145" s="2" t="s">
        <v>12092</v>
      </c>
      <c r="B6145" s="2" t="s">
        <v>12093</v>
      </c>
      <c r="C6145" s="2" t="s">
        <v>26</v>
      </c>
      <c r="D6145" s="2" t="s">
        <v>27</v>
      </c>
      <c r="E6145" s="5">
        <v>-28531</v>
      </c>
      <c r="F6145" s="3" t="s">
        <v>365</v>
      </c>
      <c r="G6145" s="3" t="s">
        <v>20</v>
      </c>
      <c r="H6145" s="2" t="s">
        <v>21</v>
      </c>
      <c r="I6145" s="2" t="s">
        <v>12094</v>
      </c>
      <c r="J6145" s="3" t="str">
        <f>HYPERLINK("https://www.boe.es/gazeta/dias/1821/11/18/pdfs/GMD-1821-329.pdf#page=3","Abrir facsímil")</f>
        <v>Abrir facsímil</v>
      </c>
      <c r="K6145" s="3" t="s">
        <v>23</v>
      </c>
    </row>
    <row r="6146" spans="1:11" ht="42" customHeight="1">
      <c r="A6146" s="2" t="s">
        <v>12095</v>
      </c>
      <c r="B6146" s="2" t="s">
        <v>12096</v>
      </c>
      <c r="C6146" s="2" t="s">
        <v>35</v>
      </c>
      <c r="D6146" s="2" t="s">
        <v>27</v>
      </c>
      <c r="E6146" s="5">
        <v>-28509</v>
      </c>
      <c r="F6146" s="3" t="s">
        <v>388</v>
      </c>
      <c r="G6146" s="3" t="s">
        <v>20</v>
      </c>
      <c r="H6146" s="2" t="s">
        <v>21</v>
      </c>
      <c r="I6146" s="2" t="s">
        <v>12097</v>
      </c>
      <c r="J6146" s="3" t="str">
        <f>HYPERLINK("https://www.boe.es/gazeta/dias/1821/12/10/pdfs/GMD-1821-352.pdf#page=3","Abrir facsímil")</f>
        <v>Abrir facsímil</v>
      </c>
      <c r="K6146" s="3" t="s">
        <v>23</v>
      </c>
    </row>
    <row r="6147" spans="1:11" ht="42" customHeight="1">
      <c r="A6147" s="2" t="s">
        <v>12095</v>
      </c>
      <c r="B6147" s="2" t="s">
        <v>12096</v>
      </c>
      <c r="C6147" s="2" t="s">
        <v>35</v>
      </c>
      <c r="D6147" s="2" t="s">
        <v>27</v>
      </c>
      <c r="E6147" s="5">
        <v>-28495</v>
      </c>
      <c r="F6147" s="3" t="s">
        <v>227</v>
      </c>
      <c r="G6147" s="3" t="s">
        <v>20</v>
      </c>
      <c r="H6147" s="2" t="s">
        <v>21</v>
      </c>
      <c r="I6147" s="2" t="s">
        <v>12098</v>
      </c>
      <c r="J6147" s="3" t="str">
        <f>HYPERLINK("https://www.boe.es/gazeta/dias/1821/12/24/pdfs/GMD-1821-367.pdf#page=3","Abrir facsímil")</f>
        <v>Abrir facsímil</v>
      </c>
      <c r="K6147" s="3" t="s">
        <v>23</v>
      </c>
    </row>
    <row r="6148" spans="1:11" ht="42" customHeight="1">
      <c r="A6148" s="2" t="s">
        <v>12099</v>
      </c>
      <c r="B6148" s="2" t="s">
        <v>12100</v>
      </c>
      <c r="C6148" s="2" t="s">
        <v>35</v>
      </c>
      <c r="D6148" s="2" t="s">
        <v>27</v>
      </c>
      <c r="E6148" s="5">
        <v>-28537</v>
      </c>
      <c r="F6148" s="3" t="s">
        <v>56</v>
      </c>
      <c r="G6148" s="3" t="s">
        <v>52</v>
      </c>
      <c r="H6148" s="2" t="s">
        <v>21</v>
      </c>
      <c r="I6148" s="2" t="s">
        <v>12101</v>
      </c>
      <c r="J6148" s="3" t="str">
        <f>HYPERLINK("https://www.boe.es/gazeta/dias/1821/11/12/pdfs/GMD-1821-323.pdf#page=2","Abrir facsímil")</f>
        <v>Abrir facsímil</v>
      </c>
      <c r="K6148" s="3" t="s">
        <v>23</v>
      </c>
    </row>
    <row r="6149" spans="1:11" ht="42" customHeight="1">
      <c r="A6149" s="2" t="s">
        <v>12102</v>
      </c>
      <c r="B6149" s="2" t="s">
        <v>12103</v>
      </c>
      <c r="C6149" s="2" t="s">
        <v>174</v>
      </c>
      <c r="D6149" s="2" t="s">
        <v>27</v>
      </c>
      <c r="E6149" s="5">
        <v>-28515</v>
      </c>
      <c r="F6149" s="3" t="s">
        <v>260</v>
      </c>
      <c r="G6149" s="3" t="s">
        <v>52</v>
      </c>
      <c r="H6149" s="2" t="s">
        <v>21</v>
      </c>
      <c r="I6149" s="2" t="s">
        <v>12104</v>
      </c>
      <c r="J6149" s="3" t="str">
        <f>HYPERLINK("https://www.boe.es/gazeta/dias/1821/12/04/pdfs/GMD-1821-346.pdf#page=2","Abrir facsímil")</f>
        <v>Abrir facsímil</v>
      </c>
      <c r="K6149" s="3" t="s">
        <v>23</v>
      </c>
    </row>
    <row r="6150" spans="1:11" ht="42" customHeight="1">
      <c r="A6150" s="2" t="s">
        <v>12105</v>
      </c>
      <c r="B6150" s="2" t="s">
        <v>12105</v>
      </c>
      <c r="C6150" s="2" t="s">
        <v>26</v>
      </c>
      <c r="D6150" s="2" t="s">
        <v>27</v>
      </c>
      <c r="E6150" s="5">
        <v>-28608</v>
      </c>
      <c r="F6150" s="3" t="s">
        <v>805</v>
      </c>
      <c r="G6150" s="3" t="s">
        <v>43</v>
      </c>
      <c r="H6150" s="2" t="s">
        <v>21</v>
      </c>
      <c r="I6150" s="2" t="s">
        <v>12106</v>
      </c>
      <c r="J6150" s="3" t="str">
        <f>HYPERLINK("https://www.boe.es/gazeta/dias/1821/09/02/pdfs/GMD-1821-250.pdf#page=1","Abrir facsímil")</f>
        <v>Abrir facsímil</v>
      </c>
      <c r="K6150" s="3" t="s">
        <v>23</v>
      </c>
    </row>
    <row r="6151" spans="1:11" ht="42" customHeight="1">
      <c r="A6151" s="2" t="s">
        <v>12107</v>
      </c>
      <c r="B6151" s="2" t="s">
        <v>12108</v>
      </c>
      <c r="C6151" s="2" t="s">
        <v>40</v>
      </c>
      <c r="D6151" s="2" t="s">
        <v>41</v>
      </c>
      <c r="E6151" s="5">
        <v>-28631</v>
      </c>
      <c r="F6151" s="3" t="s">
        <v>751</v>
      </c>
      <c r="G6151" s="3" t="s">
        <v>88</v>
      </c>
      <c r="H6151" s="2" t="s">
        <v>21</v>
      </c>
      <c r="I6151" s="2" t="s">
        <v>12109</v>
      </c>
      <c r="J6151" s="3" t="str">
        <f>HYPERLINK("https://www.boe.es/gazeta/dias/1821/08/10/pdfs/GMD-1821-227.pdf#page=4","Abrir facsímil")</f>
        <v>Abrir facsímil</v>
      </c>
      <c r="K6151" s="3" t="s">
        <v>23</v>
      </c>
    </row>
    <row r="6152" spans="1:11" ht="42" customHeight="1">
      <c r="A6152" s="2" t="s">
        <v>12110</v>
      </c>
      <c r="B6152" s="2" t="s">
        <v>12110</v>
      </c>
      <c r="C6152" s="2" t="s">
        <v>17</v>
      </c>
      <c r="D6152" s="2" t="s">
        <v>18</v>
      </c>
      <c r="E6152" s="5">
        <v>-28754</v>
      </c>
      <c r="F6152" s="3" t="s">
        <v>1942</v>
      </c>
      <c r="G6152" s="3" t="s">
        <v>43</v>
      </c>
      <c r="H6152" s="2" t="s">
        <v>21</v>
      </c>
      <c r="I6152" s="2" t="s">
        <v>12111</v>
      </c>
      <c r="J6152" s="3" t="str">
        <f>HYPERLINK("https://www.boe.es/gazeta/dias/1821/04/09/pdfs/GMD-1821-101.pdf#page=1","Abrir facsímil")</f>
        <v>Abrir facsímil</v>
      </c>
      <c r="K6152" s="3" t="s">
        <v>23</v>
      </c>
    </row>
    <row r="6153" spans="1:11" ht="42" customHeight="1">
      <c r="A6153" s="2" t="s">
        <v>12110</v>
      </c>
      <c r="B6153" s="2" t="s">
        <v>12110</v>
      </c>
      <c r="C6153" s="2" t="s">
        <v>26</v>
      </c>
      <c r="D6153" s="2" t="s">
        <v>27</v>
      </c>
      <c r="E6153" s="5">
        <v>-28747</v>
      </c>
      <c r="F6153" s="3" t="s">
        <v>1016</v>
      </c>
      <c r="G6153" s="3" t="s">
        <v>43</v>
      </c>
      <c r="H6153" s="2" t="s">
        <v>21</v>
      </c>
      <c r="I6153" s="2" t="s">
        <v>12112</v>
      </c>
      <c r="J6153" s="3" t="str">
        <f>HYPERLINK("https://www.boe.es/gazeta/dias/1821/04/16/pdfs/GMD-1821-108.pdf#page=1","Abrir facsímil")</f>
        <v>Abrir facsímil</v>
      </c>
      <c r="K6153" s="3" t="s">
        <v>23</v>
      </c>
    </row>
    <row r="6154" spans="1:11" ht="42" customHeight="1">
      <c r="A6154" s="2" t="s">
        <v>12110</v>
      </c>
      <c r="B6154" s="2" t="s">
        <v>12110</v>
      </c>
      <c r="C6154" s="2" t="s">
        <v>26</v>
      </c>
      <c r="D6154" s="2" t="s">
        <v>27</v>
      </c>
      <c r="E6154" s="5">
        <v>-28726</v>
      </c>
      <c r="F6154" s="3" t="s">
        <v>347</v>
      </c>
      <c r="G6154" s="3" t="s">
        <v>43</v>
      </c>
      <c r="H6154" s="2" t="s">
        <v>21</v>
      </c>
      <c r="I6154" s="2" t="s">
        <v>12113</v>
      </c>
      <c r="J6154" s="3" t="str">
        <f>HYPERLINK("https://www.boe.es/gazeta/dias/1821/05/07/pdfs/GMD-1821-129.pdf#page=1","Abrir facsímil")</f>
        <v>Abrir facsímil</v>
      </c>
      <c r="K6154" s="3" t="s">
        <v>23</v>
      </c>
    </row>
    <row r="6155" spans="1:11" ht="42" customHeight="1">
      <c r="A6155" s="2" t="s">
        <v>12110</v>
      </c>
      <c r="B6155" s="2" t="s">
        <v>12110</v>
      </c>
      <c r="C6155" s="2" t="s">
        <v>26</v>
      </c>
      <c r="D6155" s="2" t="s">
        <v>27</v>
      </c>
      <c r="E6155" s="5">
        <v>-28586</v>
      </c>
      <c r="F6155" s="3" t="s">
        <v>587</v>
      </c>
      <c r="G6155" s="3" t="s">
        <v>43</v>
      </c>
      <c r="H6155" s="2" t="s">
        <v>21</v>
      </c>
      <c r="I6155" s="2" t="s">
        <v>12114</v>
      </c>
      <c r="J6155" s="3" t="str">
        <f>HYPERLINK("https://www.boe.es/gazeta/dias/1821/09/24/pdfs/GMD-1821-272.pdf#page=1","Abrir facsímil")</f>
        <v>Abrir facsímil</v>
      </c>
      <c r="K6155" s="3" t="s">
        <v>23</v>
      </c>
    </row>
    <row r="6156" spans="1:11" ht="42" customHeight="1">
      <c r="A6156" s="2" t="s">
        <v>12110</v>
      </c>
      <c r="B6156" s="2" t="s">
        <v>12110</v>
      </c>
      <c r="C6156" s="2" t="s">
        <v>26</v>
      </c>
      <c r="D6156" s="2" t="s">
        <v>27</v>
      </c>
      <c r="E6156" s="5">
        <v>-28495</v>
      </c>
      <c r="F6156" s="3" t="s">
        <v>227</v>
      </c>
      <c r="G6156" s="3" t="s">
        <v>43</v>
      </c>
      <c r="H6156" s="2" t="s">
        <v>21</v>
      </c>
      <c r="I6156" s="2" t="s">
        <v>12115</v>
      </c>
      <c r="J6156" s="3" t="str">
        <f>HYPERLINK("https://www.boe.es/gazeta/dias/1821/12/24/pdfs/GMD-1821-367.pdf#page=1","Abrir facsímil")</f>
        <v>Abrir facsímil</v>
      </c>
      <c r="K6156" s="3" t="s">
        <v>23</v>
      </c>
    </row>
    <row r="6157" spans="1:11" ht="42" customHeight="1">
      <c r="A6157" s="2" t="s">
        <v>12116</v>
      </c>
      <c r="B6157" s="2" t="s">
        <v>12117</v>
      </c>
      <c r="C6157" s="2" t="s">
        <v>40</v>
      </c>
      <c r="D6157" s="2" t="s">
        <v>41</v>
      </c>
      <c r="E6157" s="5">
        <v>-28641</v>
      </c>
      <c r="F6157" s="3" t="s">
        <v>398</v>
      </c>
      <c r="G6157" s="3" t="s">
        <v>20</v>
      </c>
      <c r="H6157" s="2" t="s">
        <v>21</v>
      </c>
      <c r="I6157" s="2" t="s">
        <v>12118</v>
      </c>
      <c r="J6157" s="3" t="str">
        <f>HYPERLINK("https://www.boe.es/gazeta/dias/1821/07/31/pdfs/GMD-1821-216.pdf#page=3","Abrir facsímil")</f>
        <v>Abrir facsímil</v>
      </c>
      <c r="K6157" s="3" t="s">
        <v>23</v>
      </c>
    </row>
    <row r="6158" spans="1:11" ht="42" customHeight="1">
      <c r="A6158" s="2" t="s">
        <v>12119</v>
      </c>
      <c r="B6158" s="2" t="s">
        <v>12120</v>
      </c>
      <c r="C6158" s="2" t="s">
        <v>26</v>
      </c>
      <c r="D6158" s="2" t="s">
        <v>27</v>
      </c>
      <c r="E6158" s="5">
        <v>-28738</v>
      </c>
      <c r="F6158" s="3" t="s">
        <v>359</v>
      </c>
      <c r="G6158" s="3" t="s">
        <v>88</v>
      </c>
      <c r="H6158" s="2" t="s">
        <v>21</v>
      </c>
      <c r="I6158" s="2" t="s">
        <v>12121</v>
      </c>
      <c r="J6158" s="3" t="str">
        <f>HYPERLINK("https://www.boe.es/gazeta/dias/1821/04/25/pdfs/GMD-1821-117.pdf#page=4","Abrir facsímil")</f>
        <v>Abrir facsímil</v>
      </c>
      <c r="K6158" s="3" t="s">
        <v>23</v>
      </c>
    </row>
    <row r="6159" spans="1:11" ht="42" customHeight="1">
      <c r="A6159" s="2" t="s">
        <v>12122</v>
      </c>
      <c r="B6159" s="2" t="s">
        <v>12122</v>
      </c>
      <c r="C6159" s="2" t="s">
        <v>279</v>
      </c>
      <c r="D6159" s="2" t="s">
        <v>27</v>
      </c>
      <c r="E6159" s="5">
        <v>-28604</v>
      </c>
      <c r="F6159" s="3" t="s">
        <v>729</v>
      </c>
      <c r="G6159" s="3" t="s">
        <v>43</v>
      </c>
      <c r="H6159" s="2" t="s">
        <v>21</v>
      </c>
      <c r="I6159" s="2" t="s">
        <v>12123</v>
      </c>
      <c r="J6159" s="3" t="str">
        <f>HYPERLINK("https://www.boe.es/gazeta/dias/1821/09/06/pdfs/GMD-1821-254.pdf#page=1","Abrir facsímil")</f>
        <v>Abrir facsímil</v>
      </c>
      <c r="K6159" s="3" t="s">
        <v>23</v>
      </c>
    </row>
    <row r="6160" spans="1:11" ht="42" customHeight="1">
      <c r="A6160" s="2" t="s">
        <v>12124</v>
      </c>
      <c r="B6160" s="2" t="s">
        <v>12124</v>
      </c>
      <c r="C6160" s="2" t="s">
        <v>17</v>
      </c>
      <c r="D6160" s="2" t="s">
        <v>18</v>
      </c>
      <c r="E6160" s="5">
        <v>-28673</v>
      </c>
      <c r="F6160" s="3" t="s">
        <v>1069</v>
      </c>
      <c r="G6160" s="3" t="s">
        <v>20</v>
      </c>
      <c r="H6160" s="2" t="s">
        <v>21</v>
      </c>
      <c r="I6160" s="2" t="s">
        <v>12125</v>
      </c>
      <c r="J6160" s="3" t="str">
        <f>HYPERLINK("https://www.boe.es/gazeta/dias/1821/06/29/pdfs/GMD-1821-182.pdf#page=3","Abrir facsímil")</f>
        <v>Abrir facsímil</v>
      </c>
      <c r="K6160" s="3" t="s">
        <v>23</v>
      </c>
    </row>
    <row r="6161" spans="1:11" ht="42" customHeight="1">
      <c r="A6161" s="2" t="s">
        <v>12126</v>
      </c>
      <c r="B6161" s="2" t="s">
        <v>12126</v>
      </c>
      <c r="C6161" s="2" t="s">
        <v>26</v>
      </c>
      <c r="D6161" s="2" t="s">
        <v>27</v>
      </c>
      <c r="E6161" s="5">
        <v>-28611</v>
      </c>
      <c r="F6161" s="3" t="s">
        <v>5777</v>
      </c>
      <c r="G6161" s="3" t="s">
        <v>43</v>
      </c>
      <c r="H6161" s="2" t="s">
        <v>21</v>
      </c>
      <c r="I6161" s="2" t="s">
        <v>12127</v>
      </c>
      <c r="J6161" s="3" t="str">
        <f>HYPERLINK("https://www.boe.es/gazeta/dias/1821/08/30/pdfs/GMD-1821-247.pdf#page=1","Abrir facsímil")</f>
        <v>Abrir facsímil</v>
      </c>
      <c r="K6161" s="3" t="s">
        <v>23</v>
      </c>
    </row>
    <row r="6162" spans="1:11" ht="42" customHeight="1">
      <c r="A6162" s="2" t="s">
        <v>12126</v>
      </c>
      <c r="B6162" s="2" t="s">
        <v>12126</v>
      </c>
      <c r="C6162" s="2" t="s">
        <v>40</v>
      </c>
      <c r="D6162" s="2" t="s">
        <v>41</v>
      </c>
      <c r="E6162" s="5">
        <v>-28611</v>
      </c>
      <c r="F6162" s="3" t="s">
        <v>5777</v>
      </c>
      <c r="G6162" s="3" t="s">
        <v>52</v>
      </c>
      <c r="H6162" s="2" t="s">
        <v>21</v>
      </c>
      <c r="I6162" s="2" t="s">
        <v>12128</v>
      </c>
      <c r="J6162" s="3" t="str">
        <f>HYPERLINK("https://www.boe.es/gazeta/dias/1821/08/30/pdfs/GMD-1821-247.pdf#page=2","Abrir facsímil")</f>
        <v>Abrir facsímil</v>
      </c>
      <c r="K6162" s="3" t="s">
        <v>23</v>
      </c>
    </row>
    <row r="6163" spans="1:11" ht="42" customHeight="1">
      <c r="A6163" s="2" t="s">
        <v>12129</v>
      </c>
      <c r="B6163" s="2" t="s">
        <v>12129</v>
      </c>
      <c r="C6163" s="2" t="s">
        <v>40</v>
      </c>
      <c r="D6163" s="2" t="s">
        <v>41</v>
      </c>
      <c r="E6163" s="5">
        <v>-28599</v>
      </c>
      <c r="F6163" s="3" t="s">
        <v>902</v>
      </c>
      <c r="G6163" s="3" t="s">
        <v>43</v>
      </c>
      <c r="H6163" s="2" t="s">
        <v>21</v>
      </c>
      <c r="I6163" s="2" t="s">
        <v>12130</v>
      </c>
      <c r="J6163" s="3" t="str">
        <f>HYPERLINK("https://www.boe.es/gazeta/dias/1821/09/11/pdfs/GMD-1821-259.pdf#page=1","Abrir facsímil")</f>
        <v>Abrir facsímil</v>
      </c>
      <c r="K6163" s="3" t="s">
        <v>23</v>
      </c>
    </row>
    <row r="6164" spans="1:11" ht="42" customHeight="1">
      <c r="A6164" s="2" t="s">
        <v>12131</v>
      </c>
      <c r="B6164" s="2" t="s">
        <v>12131</v>
      </c>
      <c r="C6164" s="2" t="s">
        <v>40</v>
      </c>
      <c r="D6164" s="2" t="s">
        <v>41</v>
      </c>
      <c r="E6164" s="5">
        <v>-28606</v>
      </c>
      <c r="F6164" s="3" t="s">
        <v>1799</v>
      </c>
      <c r="G6164" s="3" t="s">
        <v>52</v>
      </c>
      <c r="H6164" s="2" t="s">
        <v>21</v>
      </c>
      <c r="I6164" s="2" t="s">
        <v>12132</v>
      </c>
      <c r="J6164" s="3" t="str">
        <f>HYPERLINK("https://www.boe.es/gazeta/dias/1821/09/04/pdfs/GMD-1821-252.pdf#page=2","Abrir facsímil")</f>
        <v>Abrir facsímil</v>
      </c>
      <c r="K6164" s="3" t="s">
        <v>23</v>
      </c>
    </row>
    <row r="6165" spans="1:11" ht="42" customHeight="1">
      <c r="A6165" s="2" t="s">
        <v>12133</v>
      </c>
      <c r="B6165" s="2" t="s">
        <v>12133</v>
      </c>
      <c r="C6165" s="2" t="s">
        <v>35</v>
      </c>
      <c r="D6165" s="2" t="s">
        <v>27</v>
      </c>
      <c r="E6165" s="5">
        <v>-28512</v>
      </c>
      <c r="F6165" s="3" t="s">
        <v>66</v>
      </c>
      <c r="G6165" s="3" t="s">
        <v>52</v>
      </c>
      <c r="H6165" s="2" t="s">
        <v>21</v>
      </c>
      <c r="I6165" s="2" t="s">
        <v>12134</v>
      </c>
      <c r="J6165" s="3" t="str">
        <f>HYPERLINK("https://www.boe.es/gazeta/dias/1821/12/07/pdfs/GMD-1821-349.pdf#page=2","Abrir facsímil")</f>
        <v>Abrir facsímil</v>
      </c>
      <c r="K6165" s="3" t="s">
        <v>23</v>
      </c>
    </row>
    <row r="6166" spans="1:11" ht="42" customHeight="1">
      <c r="A6166" s="2" t="s">
        <v>12135</v>
      </c>
      <c r="B6166" s="2" t="s">
        <v>12136</v>
      </c>
      <c r="C6166" s="2" t="s">
        <v>17</v>
      </c>
      <c r="D6166" s="2" t="s">
        <v>18</v>
      </c>
      <c r="E6166" s="5">
        <v>-28606</v>
      </c>
      <c r="F6166" s="3" t="s">
        <v>1799</v>
      </c>
      <c r="G6166" s="3" t="s">
        <v>88</v>
      </c>
      <c r="H6166" s="2" t="s">
        <v>21</v>
      </c>
      <c r="I6166" s="2" t="s">
        <v>12137</v>
      </c>
      <c r="J6166" s="3" t="str">
        <f>HYPERLINK("https://www.boe.es/gazeta/dias/1821/09/04/pdfs/GMD-1821-252.pdf#page=4","Abrir facsímil")</f>
        <v>Abrir facsímil</v>
      </c>
      <c r="K6166" s="3" t="s">
        <v>23</v>
      </c>
    </row>
    <row r="6167" spans="1:11" ht="42" customHeight="1">
      <c r="A6167" s="2" t="s">
        <v>12138</v>
      </c>
      <c r="B6167" s="2" t="s">
        <v>12139</v>
      </c>
      <c r="C6167" s="2" t="s">
        <v>40</v>
      </c>
      <c r="D6167" s="2" t="s">
        <v>41</v>
      </c>
      <c r="E6167" s="5">
        <v>-28644</v>
      </c>
      <c r="F6167" s="3" t="s">
        <v>1340</v>
      </c>
      <c r="G6167" s="3" t="s">
        <v>88</v>
      </c>
      <c r="H6167" s="2" t="s">
        <v>21</v>
      </c>
      <c r="I6167" s="2" t="s">
        <v>12140</v>
      </c>
      <c r="J6167" s="3" t="str">
        <f>HYPERLINK("https://www.boe.es/gazeta/dias/1821/07/28/pdfs/GMD-1821-213.pdf#page=4","Abrir facsímil")</f>
        <v>Abrir facsímil</v>
      </c>
      <c r="K6167" s="3" t="s">
        <v>23</v>
      </c>
    </row>
    <row r="6168" spans="1:11" ht="42" customHeight="1">
      <c r="A6168" s="2" t="s">
        <v>12141</v>
      </c>
      <c r="B6168" s="2" t="s">
        <v>12142</v>
      </c>
      <c r="C6168" s="2" t="s">
        <v>17</v>
      </c>
      <c r="D6168" s="2" t="s">
        <v>18</v>
      </c>
      <c r="E6168" s="5">
        <v>-28547</v>
      </c>
      <c r="F6168" s="3" t="s">
        <v>247</v>
      </c>
      <c r="G6168" s="3" t="s">
        <v>248</v>
      </c>
      <c r="H6168" s="2" t="s">
        <v>21</v>
      </c>
      <c r="I6168" s="2" t="s">
        <v>12143</v>
      </c>
      <c r="J6168" s="3" t="str">
        <f>HYPERLINK("https://www.boe.es/gazeta/dias/1821/11/02/pdfs/GMD-1821-312.pdf#page=2","Abrir facsímil")</f>
        <v>Abrir facsímil</v>
      </c>
      <c r="K6168" s="3" t="s">
        <v>23</v>
      </c>
    </row>
    <row r="6169" spans="1:11" ht="42" customHeight="1">
      <c r="A6169" s="2" t="s">
        <v>12141</v>
      </c>
      <c r="B6169" s="2" t="s">
        <v>12142</v>
      </c>
      <c r="C6169" s="2" t="s">
        <v>26</v>
      </c>
      <c r="D6169" s="2" t="s">
        <v>27</v>
      </c>
      <c r="E6169" s="5">
        <v>-28543</v>
      </c>
      <c r="F6169" s="3" t="s">
        <v>136</v>
      </c>
      <c r="G6169" s="3" t="s">
        <v>52</v>
      </c>
      <c r="H6169" s="2" t="s">
        <v>21</v>
      </c>
      <c r="I6169" s="2" t="s">
        <v>12144</v>
      </c>
      <c r="J6169" s="3" t="str">
        <f>HYPERLINK("https://www.boe.es/gazeta/dias/1821/11/06/pdfs/GMD-1821-317.pdf#page=2","Abrir facsímil")</f>
        <v>Abrir facsímil</v>
      </c>
      <c r="K6169" s="3" t="s">
        <v>23</v>
      </c>
    </row>
    <row r="6170" spans="1:11" ht="42" customHeight="1">
      <c r="A6170" s="2" t="s">
        <v>12145</v>
      </c>
      <c r="B6170" s="2" t="s">
        <v>12146</v>
      </c>
      <c r="C6170" s="2" t="s">
        <v>17</v>
      </c>
      <c r="D6170" s="2" t="s">
        <v>18</v>
      </c>
      <c r="E6170" s="5">
        <v>-28565</v>
      </c>
      <c r="F6170" s="3" t="s">
        <v>326</v>
      </c>
      <c r="G6170" s="3" t="s">
        <v>162</v>
      </c>
      <c r="H6170" s="2" t="s">
        <v>30</v>
      </c>
      <c r="I6170" s="2" t="s">
        <v>12147</v>
      </c>
      <c r="J6170" s="3" t="str">
        <f>HYPERLINK("https://www.boe.es/gazeta/dias/1821/10/15/pdfs/GMD-1821-294.pdf#page=5","Abrir facsímil")</f>
        <v>Abrir facsímil</v>
      </c>
      <c r="K6170" s="3" t="s">
        <v>32</v>
      </c>
    </row>
    <row r="6171" spans="1:11" ht="42" customHeight="1">
      <c r="A6171" s="2" t="s">
        <v>12148</v>
      </c>
      <c r="B6171" s="2" t="s">
        <v>12149</v>
      </c>
      <c r="C6171" s="2" t="s">
        <v>17</v>
      </c>
      <c r="D6171" s="2" t="s">
        <v>18</v>
      </c>
      <c r="E6171" s="5">
        <v>-28703</v>
      </c>
      <c r="F6171" s="3" t="s">
        <v>231</v>
      </c>
      <c r="G6171" s="3" t="s">
        <v>52</v>
      </c>
      <c r="H6171" s="2" t="s">
        <v>30</v>
      </c>
      <c r="I6171" s="2" t="s">
        <v>12150</v>
      </c>
      <c r="J6171" s="3" t="str">
        <f>HYPERLINK("https://www.boe.es/gazeta/dias/1821/05/30/pdfs/GMD-1821-152.pdf#page=2","Abrir facsímil")</f>
        <v>Abrir facsímil</v>
      </c>
      <c r="K6171" s="3" t="s">
        <v>32</v>
      </c>
    </row>
    <row r="6172" spans="1:11" ht="42" customHeight="1">
      <c r="A6172" s="2" t="s">
        <v>12151</v>
      </c>
      <c r="B6172" s="2" t="s">
        <v>12152</v>
      </c>
      <c r="C6172" s="2" t="s">
        <v>35</v>
      </c>
      <c r="D6172" s="2" t="s">
        <v>27</v>
      </c>
      <c r="E6172" s="5">
        <v>-28787</v>
      </c>
      <c r="F6172" s="3" t="s">
        <v>486</v>
      </c>
      <c r="G6172" s="3" t="s">
        <v>52</v>
      </c>
      <c r="H6172" s="2" t="s">
        <v>30</v>
      </c>
      <c r="I6172" s="2" t="s">
        <v>12153</v>
      </c>
      <c r="J6172" s="3" t="str">
        <f>HYPERLINK("https://www.boe.es/gazeta/dias/1821/03/07/pdfs/GGB-1821-66.pdf#page=2","Abrir facsímil")</f>
        <v>Abrir facsímil</v>
      </c>
      <c r="K6172" s="3" t="s">
        <v>32</v>
      </c>
    </row>
    <row r="6173" spans="1:11" ht="42" customHeight="1">
      <c r="A6173" s="2" t="s">
        <v>12154</v>
      </c>
      <c r="B6173" s="2" t="s">
        <v>12155</v>
      </c>
      <c r="C6173" s="2" t="s">
        <v>40</v>
      </c>
      <c r="D6173" s="2" t="s">
        <v>41</v>
      </c>
      <c r="E6173" s="5">
        <v>-28562</v>
      </c>
      <c r="F6173" s="3" t="s">
        <v>3093</v>
      </c>
      <c r="G6173" s="3" t="s">
        <v>43</v>
      </c>
      <c r="H6173" s="2" t="s">
        <v>30</v>
      </c>
      <c r="I6173" s="2" t="s">
        <v>12156</v>
      </c>
      <c r="J6173" s="3" t="str">
        <f>HYPERLINK("https://www.boe.es/gazeta/dias/1821/10/18/pdfs/GMD-1821-297.pdf#page=1","Abrir facsímil")</f>
        <v>Abrir facsímil</v>
      </c>
      <c r="K6173" s="3" t="s">
        <v>32</v>
      </c>
    </row>
    <row r="6174" spans="1:11" ht="42" customHeight="1">
      <c r="A6174" s="2" t="s">
        <v>12157</v>
      </c>
      <c r="B6174" s="2" t="s">
        <v>12158</v>
      </c>
      <c r="C6174" s="2" t="s">
        <v>40</v>
      </c>
      <c r="D6174" s="2" t="s">
        <v>41</v>
      </c>
      <c r="E6174" s="5">
        <v>-28698</v>
      </c>
      <c r="F6174" s="3" t="s">
        <v>2067</v>
      </c>
      <c r="G6174" s="3" t="s">
        <v>88</v>
      </c>
      <c r="H6174" s="2" t="s">
        <v>30</v>
      </c>
      <c r="I6174" s="2" t="s">
        <v>12159</v>
      </c>
      <c r="J6174" s="3" t="str">
        <f>HYPERLINK("https://www.boe.es/gazeta/dias/1821/06/04/pdfs/GMD-1821-157.pdf#page=4","Abrir facsímil")</f>
        <v>Abrir facsímil</v>
      </c>
      <c r="K6174" s="3" t="s">
        <v>32</v>
      </c>
    </row>
    <row r="6175" spans="1:11" ht="42" customHeight="1">
      <c r="A6175" s="2" t="s">
        <v>12160</v>
      </c>
      <c r="B6175" s="2" t="s">
        <v>12160</v>
      </c>
      <c r="C6175" s="2" t="s">
        <v>17</v>
      </c>
      <c r="D6175" s="2" t="s">
        <v>18</v>
      </c>
      <c r="E6175" s="5">
        <v>-28777</v>
      </c>
      <c r="F6175" s="3" t="s">
        <v>1004</v>
      </c>
      <c r="G6175" s="3" t="s">
        <v>20</v>
      </c>
      <c r="H6175" s="2" t="s">
        <v>21</v>
      </c>
      <c r="I6175" s="2" t="s">
        <v>12161</v>
      </c>
      <c r="J6175" s="3" t="str">
        <f>HYPERLINK("https://www.boe.es/gazeta/dias/1821/03/17/pdfs/GMD-1821-76.pdf#page=3","Abrir facsímil")</f>
        <v>Abrir facsímil</v>
      </c>
      <c r="K6175" s="3" t="s">
        <v>23</v>
      </c>
    </row>
    <row r="6176" spans="1:11" ht="42" customHeight="1">
      <c r="A6176" s="2" t="s">
        <v>12162</v>
      </c>
      <c r="B6176" s="2" t="s">
        <v>12163</v>
      </c>
      <c r="C6176" s="2" t="s">
        <v>174</v>
      </c>
      <c r="D6176" s="2" t="s">
        <v>27</v>
      </c>
      <c r="E6176" s="5">
        <v>-28530</v>
      </c>
      <c r="F6176" s="3" t="s">
        <v>237</v>
      </c>
      <c r="G6176" s="3" t="s">
        <v>88</v>
      </c>
      <c r="H6176" s="2" t="s">
        <v>30</v>
      </c>
      <c r="I6176" s="2" t="s">
        <v>12164</v>
      </c>
      <c r="J6176" s="3" t="str">
        <f>HYPERLINK("https://www.boe.es/gazeta/dias/1821/11/19/pdfs/GMD-1821-330.pdf#page=4","Abrir facsímil")</f>
        <v>Abrir facsímil</v>
      </c>
      <c r="K6176" s="3" t="s">
        <v>32</v>
      </c>
    </row>
    <row r="6177" spans="1:11" ht="42" customHeight="1">
      <c r="A6177" s="2" t="s">
        <v>12165</v>
      </c>
      <c r="B6177" s="2" t="s">
        <v>12166</v>
      </c>
      <c r="C6177" s="2" t="s">
        <v>174</v>
      </c>
      <c r="D6177" s="2" t="s">
        <v>27</v>
      </c>
      <c r="E6177" s="5">
        <v>-28558</v>
      </c>
      <c r="F6177" s="3" t="s">
        <v>758</v>
      </c>
      <c r="G6177" s="3" t="s">
        <v>29</v>
      </c>
      <c r="H6177" s="2" t="s">
        <v>30</v>
      </c>
      <c r="I6177" s="2" t="s">
        <v>12167</v>
      </c>
      <c r="J6177" s="3" t="str">
        <f>HYPERLINK("https://www.boe.es/gazeta/dias/1821/10/22/pdfs/GMD-1821-301.pdf#page=6","Abrir facsímil")</f>
        <v>Abrir facsímil</v>
      </c>
      <c r="K6177" s="3" t="s">
        <v>32</v>
      </c>
    </row>
    <row r="6178" spans="1:11" ht="42" customHeight="1">
      <c r="A6178" s="2" t="s">
        <v>12168</v>
      </c>
      <c r="B6178" s="2" t="s">
        <v>12168</v>
      </c>
      <c r="C6178" s="2" t="s">
        <v>17</v>
      </c>
      <c r="D6178" s="2" t="s">
        <v>18</v>
      </c>
      <c r="E6178" s="5">
        <v>-28830</v>
      </c>
      <c r="F6178" s="3" t="s">
        <v>3230</v>
      </c>
      <c r="G6178" s="3" t="s">
        <v>20</v>
      </c>
      <c r="H6178" s="2" t="s">
        <v>21</v>
      </c>
      <c r="I6178" s="2" t="s">
        <v>12169</v>
      </c>
      <c r="J6178" s="3" t="str">
        <f>HYPERLINK("https://www.boe.es/gazeta/dias/1821/01/23/pdfs/GGB-1821-23.pdf#page=3","Abrir facsímil")</f>
        <v>Abrir facsímil</v>
      </c>
      <c r="K6178" s="3" t="s">
        <v>23</v>
      </c>
    </row>
    <row r="6179" spans="1:11" ht="42" customHeight="1">
      <c r="A6179" s="2" t="s">
        <v>12168</v>
      </c>
      <c r="B6179" s="2" t="s">
        <v>12168</v>
      </c>
      <c r="C6179" s="2" t="s">
        <v>174</v>
      </c>
      <c r="D6179" s="2" t="s">
        <v>27</v>
      </c>
      <c r="E6179" s="5">
        <v>-28820</v>
      </c>
      <c r="F6179" s="3" t="s">
        <v>1430</v>
      </c>
      <c r="G6179" s="3" t="s">
        <v>20</v>
      </c>
      <c r="H6179" s="2" t="s">
        <v>21</v>
      </c>
      <c r="I6179" s="2" t="s">
        <v>12170</v>
      </c>
      <c r="J6179" s="3" t="str">
        <f>HYPERLINK("https://www.boe.es/gazeta/dias/1821/02/02/pdfs/GGB-1821-33.pdf#page=3","Abrir facsímil")</f>
        <v>Abrir facsímil</v>
      </c>
      <c r="K6179" s="3" t="s">
        <v>23</v>
      </c>
    </row>
    <row r="6180" spans="1:11" ht="42" customHeight="1">
      <c r="A6180" s="2" t="s">
        <v>12168</v>
      </c>
      <c r="B6180" s="2" t="s">
        <v>12168</v>
      </c>
      <c r="C6180" s="2" t="s">
        <v>26</v>
      </c>
      <c r="D6180" s="2" t="s">
        <v>27</v>
      </c>
      <c r="E6180" s="5">
        <v>-28810</v>
      </c>
      <c r="F6180" s="3" t="s">
        <v>308</v>
      </c>
      <c r="G6180" s="3" t="s">
        <v>88</v>
      </c>
      <c r="H6180" s="2" t="s">
        <v>21</v>
      </c>
      <c r="I6180" s="2" t="s">
        <v>12171</v>
      </c>
      <c r="J6180" s="3" t="str">
        <f>HYPERLINK("https://www.boe.es/gazeta/dias/1821/02/12/pdfs/GGB-1821-43.pdf#page=4","Abrir facsímil")</f>
        <v>Abrir facsímil</v>
      </c>
      <c r="K6180" s="3" t="s">
        <v>23</v>
      </c>
    </row>
    <row r="6181" spans="1:11" ht="42" customHeight="1">
      <c r="A6181" s="2" t="s">
        <v>12168</v>
      </c>
      <c r="B6181" s="2" t="s">
        <v>12168</v>
      </c>
      <c r="C6181" s="2" t="s">
        <v>17</v>
      </c>
      <c r="D6181" s="2" t="s">
        <v>18</v>
      </c>
      <c r="E6181" s="5">
        <v>-28796</v>
      </c>
      <c r="F6181" s="3" t="s">
        <v>1421</v>
      </c>
      <c r="G6181" s="3" t="s">
        <v>1422</v>
      </c>
      <c r="H6181" s="2" t="s">
        <v>21</v>
      </c>
      <c r="I6181" s="2" t="s">
        <v>12172</v>
      </c>
      <c r="J6181" s="3" t="str">
        <f>HYPERLINK("https://www.boe.es/gazeta/dias/1821/02/26/pdfs/GGB-1821-57.pdf#page=3","Abrir facsímil")</f>
        <v>Abrir facsímil</v>
      </c>
      <c r="K6181" s="3" t="s">
        <v>23</v>
      </c>
    </row>
    <row r="6182" spans="1:11" ht="42" customHeight="1">
      <c r="A6182" s="2" t="s">
        <v>12168</v>
      </c>
      <c r="B6182" s="2" t="s">
        <v>12168</v>
      </c>
      <c r="C6182" s="2" t="s">
        <v>40</v>
      </c>
      <c r="D6182" s="2" t="s">
        <v>41</v>
      </c>
      <c r="E6182" s="5">
        <v>-28793</v>
      </c>
      <c r="F6182" s="3" t="s">
        <v>157</v>
      </c>
      <c r="G6182" s="3" t="s">
        <v>29</v>
      </c>
      <c r="H6182" s="2" t="s">
        <v>21</v>
      </c>
      <c r="I6182" s="2" t="s">
        <v>12173</v>
      </c>
      <c r="J6182" s="3" t="str">
        <f>HYPERLINK("https://www.boe.es/gazeta/dias/1821/03/01/pdfs/GGB-1821-60.pdf#page=6","Abrir facsímil")</f>
        <v>Abrir facsímil</v>
      </c>
      <c r="K6182" s="3" t="s">
        <v>23</v>
      </c>
    </row>
    <row r="6183" spans="1:11" ht="42" customHeight="1">
      <c r="A6183" s="2" t="s">
        <v>12168</v>
      </c>
      <c r="B6183" s="2" t="s">
        <v>12168</v>
      </c>
      <c r="C6183" s="2" t="s">
        <v>26</v>
      </c>
      <c r="D6183" s="2" t="s">
        <v>27</v>
      </c>
      <c r="E6183" s="5">
        <v>-28747</v>
      </c>
      <c r="F6183" s="3" t="s">
        <v>1016</v>
      </c>
      <c r="G6183" s="3" t="s">
        <v>43</v>
      </c>
      <c r="H6183" s="2" t="s">
        <v>21</v>
      </c>
      <c r="I6183" s="2" t="s">
        <v>12174</v>
      </c>
      <c r="J6183" s="3" t="str">
        <f>HYPERLINK("https://www.boe.es/gazeta/dias/1821/04/16/pdfs/GMD-1821-108.pdf#page=1","Abrir facsímil")</f>
        <v>Abrir facsímil</v>
      </c>
      <c r="K6183" s="3" t="s">
        <v>23</v>
      </c>
    </row>
    <row r="6184" spans="1:11" ht="42" customHeight="1">
      <c r="A6184" s="2" t="s">
        <v>12168</v>
      </c>
      <c r="B6184" s="2" t="s">
        <v>12168</v>
      </c>
      <c r="C6184" s="2" t="s">
        <v>40</v>
      </c>
      <c r="D6184" s="2" t="s">
        <v>41</v>
      </c>
      <c r="E6184" s="5">
        <v>-28745</v>
      </c>
      <c r="F6184" s="3" t="s">
        <v>1020</v>
      </c>
      <c r="G6184" s="3" t="s">
        <v>52</v>
      </c>
      <c r="H6184" s="2" t="s">
        <v>21</v>
      </c>
      <c r="I6184" s="2" t="s">
        <v>12175</v>
      </c>
      <c r="J6184" s="3" t="str">
        <f>HYPERLINK("https://www.boe.es/gazeta/dias/1821/04/18/pdfs/GMD-1821-110.pdf#page=2","Abrir facsímil")</f>
        <v>Abrir facsímil</v>
      </c>
      <c r="K6184" s="3" t="s">
        <v>23</v>
      </c>
    </row>
    <row r="6185" spans="1:11" ht="42" customHeight="1">
      <c r="A6185" s="2" t="s">
        <v>12168</v>
      </c>
      <c r="B6185" s="2" t="s">
        <v>12168</v>
      </c>
      <c r="C6185" s="2" t="s">
        <v>35</v>
      </c>
      <c r="D6185" s="2" t="s">
        <v>27</v>
      </c>
      <c r="E6185" s="5">
        <v>-28727</v>
      </c>
      <c r="F6185" s="3" t="s">
        <v>200</v>
      </c>
      <c r="G6185" s="3" t="s">
        <v>20</v>
      </c>
      <c r="H6185" s="2" t="s">
        <v>21</v>
      </c>
      <c r="I6185" s="2" t="s">
        <v>12176</v>
      </c>
      <c r="J6185" s="3" t="str">
        <f>HYPERLINK("https://www.boe.es/gazeta/dias/1821/05/06/pdfs/GMD-1821-128.pdf#page=3","Abrir facsímil")</f>
        <v>Abrir facsímil</v>
      </c>
      <c r="K6185" s="3" t="s">
        <v>23</v>
      </c>
    </row>
    <row r="6186" spans="1:11" ht="42" customHeight="1">
      <c r="A6186" s="2" t="s">
        <v>12168</v>
      </c>
      <c r="B6186" s="2" t="s">
        <v>12168</v>
      </c>
      <c r="C6186" s="2" t="s">
        <v>17</v>
      </c>
      <c r="D6186" s="2" t="s">
        <v>18</v>
      </c>
      <c r="E6186" s="5">
        <v>-28724</v>
      </c>
      <c r="F6186" s="3" t="s">
        <v>1305</v>
      </c>
      <c r="G6186" s="3" t="s">
        <v>20</v>
      </c>
      <c r="H6186" s="2" t="s">
        <v>21</v>
      </c>
      <c r="I6186" s="2" t="s">
        <v>12177</v>
      </c>
      <c r="J6186" s="3" t="str">
        <f>HYPERLINK("https://www.boe.es/gazeta/dias/1821/05/09/pdfs/GMD-1821-131.pdf#page=3","Abrir facsímil")</f>
        <v>Abrir facsímil</v>
      </c>
      <c r="K6186" s="3" t="s">
        <v>23</v>
      </c>
    </row>
    <row r="6187" spans="1:11" ht="42" customHeight="1">
      <c r="A6187" s="2" t="s">
        <v>12168</v>
      </c>
      <c r="B6187" s="2" t="s">
        <v>12168</v>
      </c>
      <c r="C6187" s="2" t="s">
        <v>35</v>
      </c>
      <c r="D6187" s="2" t="s">
        <v>27</v>
      </c>
      <c r="E6187" s="5">
        <v>-28716</v>
      </c>
      <c r="F6187" s="3" t="s">
        <v>842</v>
      </c>
      <c r="G6187" s="3" t="s">
        <v>88</v>
      </c>
      <c r="H6187" s="2" t="s">
        <v>21</v>
      </c>
      <c r="I6187" s="2" t="s">
        <v>12178</v>
      </c>
      <c r="J6187" s="3" t="str">
        <f>HYPERLINK("https://www.boe.es/gazeta/dias/1821/05/17/pdfs/GMD-1821-139.pdf#page=4","Abrir facsímil")</f>
        <v>Abrir facsímil</v>
      </c>
      <c r="K6187" s="3" t="s">
        <v>23</v>
      </c>
    </row>
    <row r="6188" spans="1:11" ht="42" customHeight="1">
      <c r="A6188" s="2" t="s">
        <v>12168</v>
      </c>
      <c r="B6188" s="2" t="s">
        <v>12168</v>
      </c>
      <c r="C6188" s="2" t="s">
        <v>40</v>
      </c>
      <c r="D6188" s="2" t="s">
        <v>41</v>
      </c>
      <c r="E6188" s="5">
        <v>-28691</v>
      </c>
      <c r="F6188" s="3" t="s">
        <v>716</v>
      </c>
      <c r="G6188" s="3" t="s">
        <v>52</v>
      </c>
      <c r="H6188" s="2" t="s">
        <v>21</v>
      </c>
      <c r="I6188" s="2" t="s">
        <v>12179</v>
      </c>
      <c r="J6188" s="3" t="str">
        <f>HYPERLINK("https://www.boe.es/gazeta/dias/1821/06/11/pdfs/GMD-1821-164.pdf#page=2","Abrir facsímil")</f>
        <v>Abrir facsímil</v>
      </c>
      <c r="K6188" s="3" t="s">
        <v>23</v>
      </c>
    </row>
    <row r="6189" spans="1:11" ht="42" customHeight="1">
      <c r="A6189" s="2" t="s">
        <v>12168</v>
      </c>
      <c r="B6189" s="2" t="s">
        <v>12168</v>
      </c>
      <c r="C6189" s="2" t="s">
        <v>40</v>
      </c>
      <c r="D6189" s="2" t="s">
        <v>41</v>
      </c>
      <c r="E6189" s="5">
        <v>-28668</v>
      </c>
      <c r="F6189" s="3" t="s">
        <v>2130</v>
      </c>
      <c r="G6189" s="3" t="s">
        <v>20</v>
      </c>
      <c r="H6189" s="2" t="s">
        <v>21</v>
      </c>
      <c r="I6189" s="2" t="s">
        <v>12180</v>
      </c>
      <c r="J6189" s="3" t="str">
        <f>HYPERLINK("https://www.boe.es/gazeta/dias/1821/07/04/pdfs/GMD-1821-188.pdf#page=3","Abrir facsímil")</f>
        <v>Abrir facsímil</v>
      </c>
      <c r="K6189" s="3" t="s">
        <v>23</v>
      </c>
    </row>
    <row r="6190" spans="1:11" ht="42" customHeight="1">
      <c r="A6190" s="2" t="s">
        <v>12168</v>
      </c>
      <c r="B6190" s="2" t="s">
        <v>12168</v>
      </c>
      <c r="C6190" s="2" t="s">
        <v>40</v>
      </c>
      <c r="D6190" s="2" t="s">
        <v>41</v>
      </c>
      <c r="E6190" s="5">
        <v>-28666</v>
      </c>
      <c r="F6190" s="3" t="s">
        <v>1263</v>
      </c>
      <c r="G6190" s="3" t="s">
        <v>88</v>
      </c>
      <c r="H6190" s="2" t="s">
        <v>21</v>
      </c>
      <c r="I6190" s="2" t="s">
        <v>12181</v>
      </c>
      <c r="J6190" s="3" t="str">
        <f>HYPERLINK("https://www.boe.es/gazeta/dias/1821/07/06/pdfs/GMD-1821-190.pdf#page=4","Abrir facsímil")</f>
        <v>Abrir facsímil</v>
      </c>
      <c r="K6190" s="3" t="s">
        <v>23</v>
      </c>
    </row>
    <row r="6191" spans="1:11" ht="42" customHeight="1">
      <c r="A6191" s="2" t="s">
        <v>12168</v>
      </c>
      <c r="B6191" s="2" t="s">
        <v>12168</v>
      </c>
      <c r="C6191" s="2" t="s">
        <v>40</v>
      </c>
      <c r="D6191" s="2" t="s">
        <v>41</v>
      </c>
      <c r="E6191" s="5">
        <v>-28659</v>
      </c>
      <c r="F6191" s="3" t="s">
        <v>2850</v>
      </c>
      <c r="G6191" s="3" t="s">
        <v>52</v>
      </c>
      <c r="H6191" s="2" t="s">
        <v>21</v>
      </c>
      <c r="I6191" s="2" t="s">
        <v>12182</v>
      </c>
      <c r="J6191" s="3" t="str">
        <f>HYPERLINK("https://www.boe.es/gazeta/dias/1821/07/13/pdfs/GMD-1821-198.pdf#page=2","Abrir facsímil")</f>
        <v>Abrir facsímil</v>
      </c>
      <c r="K6191" s="3" t="s">
        <v>23</v>
      </c>
    </row>
    <row r="6192" spans="1:11" ht="42" customHeight="1">
      <c r="A6192" s="2" t="s">
        <v>12168</v>
      </c>
      <c r="B6192" s="2" t="s">
        <v>12168</v>
      </c>
      <c r="C6192" s="2" t="s">
        <v>17</v>
      </c>
      <c r="D6192" s="2" t="s">
        <v>18</v>
      </c>
      <c r="E6192" s="5">
        <v>-28658</v>
      </c>
      <c r="F6192" s="3" t="s">
        <v>2528</v>
      </c>
      <c r="G6192" s="3" t="s">
        <v>20</v>
      </c>
      <c r="H6192" s="2" t="s">
        <v>21</v>
      </c>
      <c r="I6192" s="2" t="s">
        <v>12183</v>
      </c>
      <c r="J6192" s="3" t="str">
        <f>HYPERLINK("https://www.boe.es/gazeta/dias/1821/07/14/pdfs/GMD-1821-199.pdf#page=3","Abrir facsímil")</f>
        <v>Abrir facsímil</v>
      </c>
      <c r="K6192" s="3" t="s">
        <v>23</v>
      </c>
    </row>
    <row r="6193" spans="1:11" ht="42" customHeight="1">
      <c r="A6193" s="2" t="s">
        <v>12168</v>
      </c>
      <c r="B6193" s="2" t="s">
        <v>12168</v>
      </c>
      <c r="C6193" s="2" t="s">
        <v>26</v>
      </c>
      <c r="D6193" s="2" t="s">
        <v>27</v>
      </c>
      <c r="E6193" s="5">
        <v>-28620</v>
      </c>
      <c r="F6193" s="3" t="s">
        <v>87</v>
      </c>
      <c r="G6193" s="3" t="s">
        <v>88</v>
      </c>
      <c r="H6193" s="2" t="s">
        <v>21</v>
      </c>
      <c r="I6193" s="2" t="s">
        <v>12184</v>
      </c>
      <c r="J6193" s="3" t="str">
        <f>HYPERLINK("https://www.boe.es/gazeta/dias/1821/08/21/pdfs/GMD-1821-238.pdf#page=4","Abrir facsímil")</f>
        <v>Abrir facsímil</v>
      </c>
      <c r="K6193" s="3" t="s">
        <v>23</v>
      </c>
    </row>
    <row r="6194" spans="1:11" ht="42" customHeight="1">
      <c r="A6194" s="2" t="s">
        <v>12168</v>
      </c>
      <c r="B6194" s="2" t="s">
        <v>12168</v>
      </c>
      <c r="C6194" s="2" t="s">
        <v>70</v>
      </c>
      <c r="D6194" s="2" t="s">
        <v>27</v>
      </c>
      <c r="E6194" s="5">
        <v>-28576</v>
      </c>
      <c r="F6194" s="3" t="s">
        <v>1924</v>
      </c>
      <c r="G6194" s="3" t="s">
        <v>88</v>
      </c>
      <c r="H6194" s="2" t="s">
        <v>21</v>
      </c>
      <c r="I6194" s="2" t="s">
        <v>12185</v>
      </c>
      <c r="J6194" s="3" t="str">
        <f>HYPERLINK("https://www.boe.es/gazeta/dias/1821/10/04/pdfs/GMD-1821-283.pdf#page=4","Abrir facsímil")</f>
        <v>Abrir facsímil</v>
      </c>
      <c r="K6194" s="3" t="s">
        <v>23</v>
      </c>
    </row>
    <row r="6195" spans="1:11" ht="42" customHeight="1">
      <c r="A6195" s="2" t="s">
        <v>12168</v>
      </c>
      <c r="B6195" s="2" t="s">
        <v>12168</v>
      </c>
      <c r="C6195" s="2" t="s">
        <v>26</v>
      </c>
      <c r="D6195" s="2" t="s">
        <v>27</v>
      </c>
      <c r="E6195" s="5">
        <v>-28539</v>
      </c>
      <c r="F6195" s="3" t="s">
        <v>153</v>
      </c>
      <c r="G6195" s="3" t="s">
        <v>52</v>
      </c>
      <c r="H6195" s="2" t="s">
        <v>21</v>
      </c>
      <c r="I6195" s="2" t="s">
        <v>12186</v>
      </c>
      <c r="J6195" s="3" t="str">
        <f>HYPERLINK("https://www.boe.es/gazeta/dias/1821/11/10/pdfs/GMD-1821-321.pdf#page=2","Abrir facsímil")</f>
        <v>Abrir facsímil</v>
      </c>
      <c r="K6195" s="3" t="s">
        <v>23</v>
      </c>
    </row>
    <row r="6196" spans="1:11" ht="42" customHeight="1">
      <c r="A6196" s="2" t="s">
        <v>12168</v>
      </c>
      <c r="B6196" s="2" t="s">
        <v>12168</v>
      </c>
      <c r="C6196" s="2" t="s">
        <v>35</v>
      </c>
      <c r="D6196" s="2" t="s">
        <v>27</v>
      </c>
      <c r="E6196" s="5">
        <v>-28535</v>
      </c>
      <c r="F6196" s="3" t="s">
        <v>96</v>
      </c>
      <c r="G6196" s="3" t="s">
        <v>20</v>
      </c>
      <c r="H6196" s="2" t="s">
        <v>21</v>
      </c>
      <c r="I6196" s="2" t="s">
        <v>12187</v>
      </c>
      <c r="J6196" s="3" t="str">
        <f>HYPERLINK("https://www.boe.es/gazeta/dias/1821/11/14/pdfs/GMD-1821-325.pdf#page=3","Abrir facsímil")</f>
        <v>Abrir facsímil</v>
      </c>
      <c r="K6196" s="3" t="s">
        <v>23</v>
      </c>
    </row>
    <row r="6197" spans="1:11" ht="42" customHeight="1">
      <c r="A6197" s="2" t="s">
        <v>12168</v>
      </c>
      <c r="B6197" s="2" t="s">
        <v>12168</v>
      </c>
      <c r="C6197" s="2" t="s">
        <v>26</v>
      </c>
      <c r="D6197" s="2" t="s">
        <v>27</v>
      </c>
      <c r="E6197" s="5">
        <v>-28515</v>
      </c>
      <c r="F6197" s="3" t="s">
        <v>260</v>
      </c>
      <c r="G6197" s="3" t="s">
        <v>333</v>
      </c>
      <c r="H6197" s="2" t="s">
        <v>21</v>
      </c>
      <c r="I6197" s="2" t="s">
        <v>12188</v>
      </c>
      <c r="J6197" s="3" t="str">
        <f>HYPERLINK("https://www.boe.es/gazeta/dias/1821/12/04/pdfs/GMD-1821-346.pdf#page=8","Abrir facsímil")</f>
        <v>Abrir facsímil</v>
      </c>
      <c r="K6197" s="3" t="s">
        <v>23</v>
      </c>
    </row>
    <row r="6198" spans="1:11" ht="42" customHeight="1">
      <c r="A6198" s="2" t="s">
        <v>12168</v>
      </c>
      <c r="B6198" s="2" t="s">
        <v>12168</v>
      </c>
      <c r="C6198" s="2" t="s">
        <v>114</v>
      </c>
      <c r="D6198" s="2" t="s">
        <v>27</v>
      </c>
      <c r="E6198" s="5">
        <v>-28492</v>
      </c>
      <c r="F6198" s="3" t="s">
        <v>1550</v>
      </c>
      <c r="G6198" s="3" t="s">
        <v>88</v>
      </c>
      <c r="H6198" s="2" t="s">
        <v>21</v>
      </c>
      <c r="I6198" s="2" t="s">
        <v>12189</v>
      </c>
      <c r="J6198" s="3" t="str">
        <f>HYPERLINK("https://www.boe.es/gazeta/dias/1821/12/27/pdfs/GMD-1821-370.pdf#page=4","Abrir facsímil")</f>
        <v>Abrir facsímil</v>
      </c>
      <c r="K6198" s="3" t="s">
        <v>23</v>
      </c>
    </row>
    <row r="6199" spans="1:11" ht="42" customHeight="1">
      <c r="A6199" s="2" t="s">
        <v>12190</v>
      </c>
      <c r="B6199" s="2" t="s">
        <v>12191</v>
      </c>
      <c r="C6199" s="2" t="s">
        <v>17</v>
      </c>
      <c r="D6199" s="2" t="s">
        <v>18</v>
      </c>
      <c r="E6199" s="5">
        <v>-28592</v>
      </c>
      <c r="F6199" s="3" t="s">
        <v>518</v>
      </c>
      <c r="G6199" s="3" t="s">
        <v>88</v>
      </c>
      <c r="H6199" s="2" t="s">
        <v>30</v>
      </c>
      <c r="I6199" s="2" t="s">
        <v>12192</v>
      </c>
      <c r="J6199" s="3" t="str">
        <f>HYPERLINK("https://www.boe.es/gazeta/dias/1821/09/18/pdfs/GMD-1821-266.pdf#page=4","Abrir facsímil")</f>
        <v>Abrir facsímil</v>
      </c>
      <c r="K6199" s="3" t="s">
        <v>32</v>
      </c>
    </row>
    <row r="6200" spans="1:11" ht="42" customHeight="1">
      <c r="A6200" s="2" t="s">
        <v>12193</v>
      </c>
      <c r="B6200" s="2" t="s">
        <v>12194</v>
      </c>
      <c r="C6200" s="2" t="s">
        <v>17</v>
      </c>
      <c r="D6200" s="2" t="s">
        <v>18</v>
      </c>
      <c r="E6200" s="5">
        <v>-28712</v>
      </c>
      <c r="F6200" s="3" t="s">
        <v>695</v>
      </c>
      <c r="G6200" s="3" t="s">
        <v>52</v>
      </c>
      <c r="H6200" s="2" t="s">
        <v>21</v>
      </c>
      <c r="I6200" s="2" t="s">
        <v>12195</v>
      </c>
      <c r="J6200" s="3" t="str">
        <f>HYPERLINK("https://www.boe.es/gazeta/dias/1821/05/21/pdfs/GMD-1821-143.pdf#page=2","Abrir facsímil")</f>
        <v>Abrir facsímil</v>
      </c>
      <c r="K6200" s="3" t="s">
        <v>23</v>
      </c>
    </row>
    <row r="6201" spans="1:11" ht="42" customHeight="1">
      <c r="A6201" s="2" t="s">
        <v>12196</v>
      </c>
      <c r="B6201" s="2" t="s">
        <v>12197</v>
      </c>
      <c r="C6201" s="2" t="s">
        <v>17</v>
      </c>
      <c r="D6201" s="2" t="s">
        <v>18</v>
      </c>
      <c r="E6201" s="5">
        <v>-28712</v>
      </c>
      <c r="F6201" s="3" t="s">
        <v>695</v>
      </c>
      <c r="G6201" s="3" t="s">
        <v>20</v>
      </c>
      <c r="H6201" s="2" t="s">
        <v>21</v>
      </c>
      <c r="I6201" s="2" t="s">
        <v>12198</v>
      </c>
      <c r="J6201" s="3" t="str">
        <f>HYPERLINK("https://www.boe.es/gazeta/dias/1821/05/21/pdfs/GMD-1821-143.pdf#page=3","Abrir facsímil")</f>
        <v>Abrir facsímil</v>
      </c>
      <c r="K6201" s="3" t="s">
        <v>23</v>
      </c>
    </row>
    <row r="6202" spans="1:11" ht="42" customHeight="1">
      <c r="A6202" s="2" t="s">
        <v>12196</v>
      </c>
      <c r="B6202" s="2" t="s">
        <v>12197</v>
      </c>
      <c r="C6202" s="2" t="s">
        <v>35</v>
      </c>
      <c r="D6202" s="2" t="s">
        <v>27</v>
      </c>
      <c r="E6202" s="5">
        <v>-28676</v>
      </c>
      <c r="F6202" s="3" t="s">
        <v>534</v>
      </c>
      <c r="G6202" s="3" t="s">
        <v>88</v>
      </c>
      <c r="H6202" s="2" t="s">
        <v>21</v>
      </c>
      <c r="I6202" s="2" t="s">
        <v>12199</v>
      </c>
      <c r="J6202" s="3" t="str">
        <f>HYPERLINK("https://www.boe.es/gazeta/dias/1821/06/26/pdfs/GMD-1821-179.pdf#page=4","Abrir facsímil")</f>
        <v>Abrir facsímil</v>
      </c>
      <c r="K6202" s="3" t="s">
        <v>23</v>
      </c>
    </row>
    <row r="6203" spans="1:11" ht="42" customHeight="1">
      <c r="A6203" s="2" t="s">
        <v>12200</v>
      </c>
      <c r="B6203" s="2" t="s">
        <v>12201</v>
      </c>
      <c r="C6203" s="2" t="s">
        <v>26</v>
      </c>
      <c r="D6203" s="2" t="s">
        <v>27</v>
      </c>
      <c r="E6203" s="5">
        <v>-28705</v>
      </c>
      <c r="F6203" s="3" t="s">
        <v>1844</v>
      </c>
      <c r="G6203" s="3" t="s">
        <v>43</v>
      </c>
      <c r="H6203" s="2" t="s">
        <v>21</v>
      </c>
      <c r="I6203" s="2" t="s">
        <v>12202</v>
      </c>
      <c r="J6203" s="3" t="str">
        <f>HYPERLINK("https://www.boe.es/gazeta/dias/1821/05/28/pdfs/GMD-1821-150.pdf#page=1","Abrir facsímil")</f>
        <v>Abrir facsímil</v>
      </c>
      <c r="K6203" s="3" t="s">
        <v>23</v>
      </c>
    </row>
    <row r="6204" spans="1:11" ht="42" customHeight="1">
      <c r="A6204" s="2" t="s">
        <v>12203</v>
      </c>
      <c r="B6204" s="2" t="s">
        <v>12204</v>
      </c>
      <c r="C6204" s="2" t="s">
        <v>17</v>
      </c>
      <c r="D6204" s="2" t="s">
        <v>18</v>
      </c>
      <c r="E6204" s="5">
        <v>-28668</v>
      </c>
      <c r="F6204" s="3" t="s">
        <v>2130</v>
      </c>
      <c r="G6204" s="3" t="s">
        <v>20</v>
      </c>
      <c r="H6204" s="2" t="s">
        <v>21</v>
      </c>
      <c r="I6204" s="2" t="s">
        <v>12205</v>
      </c>
      <c r="J6204" s="3" t="str">
        <f>HYPERLINK("https://www.boe.es/gazeta/dias/1821/07/04/pdfs/GMD-1821-188.pdf#page=3","Abrir facsímil")</f>
        <v>Abrir facsímil</v>
      </c>
      <c r="K6204" s="3" t="s">
        <v>23</v>
      </c>
    </row>
    <row r="6205" spans="1:11" ht="42" customHeight="1">
      <c r="A6205" s="2" t="s">
        <v>12206</v>
      </c>
      <c r="B6205" s="2" t="s">
        <v>12207</v>
      </c>
      <c r="C6205" s="2" t="s">
        <v>35</v>
      </c>
      <c r="D6205" s="2" t="s">
        <v>27</v>
      </c>
      <c r="E6205" s="5">
        <v>-28541</v>
      </c>
      <c r="F6205" s="3" t="s">
        <v>275</v>
      </c>
      <c r="G6205" s="3" t="s">
        <v>52</v>
      </c>
      <c r="H6205" s="2" t="s">
        <v>21</v>
      </c>
      <c r="I6205" s="2" t="s">
        <v>12208</v>
      </c>
      <c r="J6205" s="3" t="str">
        <f>HYPERLINK("https://www.boe.es/gazeta/dias/1821/11/08/pdfs/GMD-1821-319.pdf#page=2","Abrir facsímil")</f>
        <v>Abrir facsímil</v>
      </c>
      <c r="K6205" s="3" t="s">
        <v>23</v>
      </c>
    </row>
    <row r="6206" spans="1:11" ht="42" customHeight="1">
      <c r="A6206" s="2" t="s">
        <v>12206</v>
      </c>
      <c r="B6206" s="2" t="s">
        <v>12207</v>
      </c>
      <c r="C6206" s="2" t="s">
        <v>40</v>
      </c>
      <c r="D6206" s="2" t="s">
        <v>41</v>
      </c>
      <c r="E6206" s="5">
        <v>-28515</v>
      </c>
      <c r="F6206" s="3" t="s">
        <v>260</v>
      </c>
      <c r="G6206" s="3" t="s">
        <v>52</v>
      </c>
      <c r="H6206" s="2" t="s">
        <v>21</v>
      </c>
      <c r="I6206" s="2" t="s">
        <v>12209</v>
      </c>
      <c r="J6206" s="3" t="str">
        <f>HYPERLINK("https://www.boe.es/gazeta/dias/1821/12/04/pdfs/GMD-1821-346.pdf#page=2","Abrir facsímil")</f>
        <v>Abrir facsímil</v>
      </c>
      <c r="K6206" s="3" t="s">
        <v>23</v>
      </c>
    </row>
    <row r="6207" spans="1:11" ht="42" customHeight="1">
      <c r="A6207" s="2" t="s">
        <v>12210</v>
      </c>
      <c r="B6207" s="2" t="s">
        <v>12211</v>
      </c>
      <c r="C6207" s="2" t="s">
        <v>114</v>
      </c>
      <c r="D6207" s="2" t="s">
        <v>27</v>
      </c>
      <c r="E6207" s="5">
        <v>-28709</v>
      </c>
      <c r="F6207" s="3" t="s">
        <v>1434</v>
      </c>
      <c r="G6207" s="3" t="s">
        <v>1435</v>
      </c>
      <c r="H6207" s="2" t="s">
        <v>21</v>
      </c>
      <c r="I6207" s="2" t="s">
        <v>12212</v>
      </c>
      <c r="J6207" s="3" t="str">
        <f>HYPERLINK("https://www.boe.es/gazeta/dias/1821/05/24/pdfs/GMD-1821-146.pdf#page=2","Abrir facsímil")</f>
        <v>Abrir facsímil</v>
      </c>
      <c r="K6207" s="3" t="s">
        <v>23</v>
      </c>
    </row>
    <row r="6208" spans="1:11" ht="42" customHeight="1">
      <c r="A6208" s="2" t="s">
        <v>12213</v>
      </c>
      <c r="B6208" s="2" t="s">
        <v>12214</v>
      </c>
      <c r="C6208" s="2" t="s">
        <v>114</v>
      </c>
      <c r="D6208" s="2" t="s">
        <v>27</v>
      </c>
      <c r="E6208" s="5">
        <v>-28616</v>
      </c>
      <c r="F6208" s="3" t="s">
        <v>1912</v>
      </c>
      <c r="G6208" s="3" t="s">
        <v>6462</v>
      </c>
      <c r="H6208" s="2" t="s">
        <v>21</v>
      </c>
      <c r="I6208" s="2" t="s">
        <v>12215</v>
      </c>
      <c r="J6208" s="3" t="str">
        <f>HYPERLINK("https://www.boe.es/gazeta/dias/1821/08/25/pdfs/GMD-1821-242.pdf#page=4","Abrir facsímil")</f>
        <v>Abrir facsímil</v>
      </c>
      <c r="K6208" s="3" t="s">
        <v>23</v>
      </c>
    </row>
    <row r="6209" spans="1:11" ht="42" customHeight="1">
      <c r="A6209" s="2" t="s">
        <v>12216</v>
      </c>
      <c r="B6209" s="2" t="s">
        <v>12217</v>
      </c>
      <c r="C6209" s="2" t="s">
        <v>174</v>
      </c>
      <c r="D6209" s="2" t="s">
        <v>27</v>
      </c>
      <c r="E6209" s="5">
        <v>-28810</v>
      </c>
      <c r="F6209" s="3" t="s">
        <v>308</v>
      </c>
      <c r="G6209" s="3" t="s">
        <v>88</v>
      </c>
      <c r="H6209" s="2" t="s">
        <v>21</v>
      </c>
      <c r="I6209" s="2" t="s">
        <v>12218</v>
      </c>
      <c r="J6209" s="3" t="str">
        <f>HYPERLINK("https://www.boe.es/gazeta/dias/1821/02/12/pdfs/GGB-1821-43.pdf#page=4","Abrir facsímil")</f>
        <v>Abrir facsímil</v>
      </c>
      <c r="K6209" s="3" t="s">
        <v>23</v>
      </c>
    </row>
    <row r="6210" spans="1:11" ht="42" customHeight="1">
      <c r="A6210" s="2" t="s">
        <v>12219</v>
      </c>
      <c r="B6210" s="2" t="s">
        <v>12219</v>
      </c>
      <c r="C6210" s="2" t="s">
        <v>26</v>
      </c>
      <c r="D6210" s="2" t="s">
        <v>27</v>
      </c>
      <c r="E6210" s="5">
        <v>-28771</v>
      </c>
      <c r="F6210" s="3" t="s">
        <v>110</v>
      </c>
      <c r="G6210" s="3" t="s">
        <v>43</v>
      </c>
      <c r="H6210" s="2" t="s">
        <v>21</v>
      </c>
      <c r="I6210" s="2" t="s">
        <v>12220</v>
      </c>
      <c r="J6210" s="3" t="str">
        <f>HYPERLINK("https://www.boe.es/gazeta/dias/1821/03/23/pdfs/GMD-1821-83.pdf#page=1","Abrir facsímil")</f>
        <v>Abrir facsímil</v>
      </c>
      <c r="K6210" s="3" t="s">
        <v>23</v>
      </c>
    </row>
    <row r="6211" spans="1:11" ht="42" customHeight="1">
      <c r="A6211" s="2" t="s">
        <v>12221</v>
      </c>
      <c r="B6211" s="2" t="s">
        <v>12222</v>
      </c>
      <c r="C6211" s="2" t="s">
        <v>26</v>
      </c>
      <c r="D6211" s="2" t="s">
        <v>27</v>
      </c>
      <c r="E6211" s="5">
        <v>-28709</v>
      </c>
      <c r="F6211" s="3" t="s">
        <v>1434</v>
      </c>
      <c r="G6211" s="3" t="s">
        <v>88</v>
      </c>
      <c r="H6211" s="2" t="s">
        <v>21</v>
      </c>
      <c r="I6211" s="2" t="s">
        <v>12223</v>
      </c>
      <c r="J6211" s="3" t="str">
        <f>HYPERLINK("https://www.boe.es/gazeta/dias/1821/05/24/pdfs/GMD-1821-146.pdf#page=4","Abrir facsímil")</f>
        <v>Abrir facsímil</v>
      </c>
      <c r="K6211" s="3" t="s">
        <v>23</v>
      </c>
    </row>
    <row r="6212" spans="1:11" ht="42" customHeight="1">
      <c r="A6212" s="2" t="s">
        <v>12224</v>
      </c>
      <c r="B6212" s="2" t="s">
        <v>12225</v>
      </c>
      <c r="C6212" s="2" t="s">
        <v>114</v>
      </c>
      <c r="D6212" s="2" t="s">
        <v>27</v>
      </c>
      <c r="E6212" s="5">
        <v>-28629</v>
      </c>
      <c r="F6212" s="3" t="s">
        <v>235</v>
      </c>
      <c r="G6212" s="3" t="s">
        <v>88</v>
      </c>
      <c r="H6212" s="2" t="s">
        <v>21</v>
      </c>
      <c r="I6212" s="2" t="s">
        <v>12226</v>
      </c>
      <c r="J6212" s="3" t="str">
        <f>HYPERLINK("https://www.boe.es/gazeta/dias/1821/08/12/pdfs/GMD-1821-229.pdf#page=4","Abrir facsímil")</f>
        <v>Abrir facsímil</v>
      </c>
      <c r="K6212" s="3" t="s">
        <v>23</v>
      </c>
    </row>
    <row r="6213" spans="1:11" ht="42" customHeight="1">
      <c r="A6213" s="2" t="s">
        <v>12227</v>
      </c>
      <c r="B6213" s="2" t="s">
        <v>12227</v>
      </c>
      <c r="C6213" s="2" t="s">
        <v>17</v>
      </c>
      <c r="D6213" s="2" t="s">
        <v>18</v>
      </c>
      <c r="E6213" s="5">
        <v>-28776</v>
      </c>
      <c r="F6213" s="3" t="s">
        <v>312</v>
      </c>
      <c r="G6213" s="3" t="s">
        <v>20</v>
      </c>
      <c r="H6213" s="2" t="s">
        <v>21</v>
      </c>
      <c r="I6213" s="2" t="s">
        <v>12228</v>
      </c>
      <c r="J6213" s="3" t="str">
        <f>HYPERLINK("https://www.boe.es/gazeta/dias/1821/03/18/pdfs/GMD-1821-77.pdf#page=3","Abrir facsímil")</f>
        <v>Abrir facsímil</v>
      </c>
      <c r="K6213" s="3" t="s">
        <v>23</v>
      </c>
    </row>
    <row r="6214" spans="1:11" ht="42" customHeight="1">
      <c r="A6214" s="2" t="s">
        <v>12229</v>
      </c>
      <c r="B6214" s="2" t="s">
        <v>12229</v>
      </c>
      <c r="C6214" s="2" t="s">
        <v>17</v>
      </c>
      <c r="D6214" s="2" t="s">
        <v>18</v>
      </c>
      <c r="E6214" s="5">
        <v>-28820</v>
      </c>
      <c r="F6214" s="3" t="s">
        <v>1430</v>
      </c>
      <c r="G6214" s="3" t="s">
        <v>52</v>
      </c>
      <c r="H6214" s="2" t="s">
        <v>21</v>
      </c>
      <c r="I6214" s="2" t="s">
        <v>12230</v>
      </c>
      <c r="J6214" s="3" t="str">
        <f>HYPERLINK("https://www.boe.es/gazeta/dias/1821/02/02/pdfs/GGB-1821-33.pdf#page=2","Abrir facsímil")</f>
        <v>Abrir facsímil</v>
      </c>
      <c r="K6214" s="3" t="s">
        <v>23</v>
      </c>
    </row>
    <row r="6215" spans="1:11" ht="42" customHeight="1">
      <c r="A6215" s="2" t="s">
        <v>12229</v>
      </c>
      <c r="B6215" s="2" t="s">
        <v>12229</v>
      </c>
      <c r="C6215" s="2" t="s">
        <v>40</v>
      </c>
      <c r="D6215" s="2" t="s">
        <v>41</v>
      </c>
      <c r="E6215" s="5">
        <v>-28771</v>
      </c>
      <c r="F6215" s="3" t="s">
        <v>110</v>
      </c>
      <c r="G6215" s="3" t="s">
        <v>43</v>
      </c>
      <c r="H6215" s="2" t="s">
        <v>21</v>
      </c>
      <c r="I6215" s="2" t="s">
        <v>12231</v>
      </c>
      <c r="J6215" s="3" t="str">
        <f>HYPERLINK("https://www.boe.es/gazeta/dias/1821/03/23/pdfs/GMD-1821-83.pdf#page=1","Abrir facsímil")</f>
        <v>Abrir facsímil</v>
      </c>
      <c r="K6215" s="3" t="s">
        <v>23</v>
      </c>
    </row>
    <row r="6216" spans="1:11" ht="42" customHeight="1">
      <c r="A6216" s="2" t="s">
        <v>12232</v>
      </c>
      <c r="B6216" s="2" t="s">
        <v>12232</v>
      </c>
      <c r="C6216" s="2" t="s">
        <v>40</v>
      </c>
      <c r="D6216" s="2" t="s">
        <v>41</v>
      </c>
      <c r="E6216" s="5">
        <v>-28746</v>
      </c>
      <c r="F6216" s="3" t="s">
        <v>687</v>
      </c>
      <c r="G6216" s="3" t="s">
        <v>20</v>
      </c>
      <c r="H6216" s="2" t="s">
        <v>21</v>
      </c>
      <c r="I6216" s="2" t="s">
        <v>12233</v>
      </c>
      <c r="J6216" s="3" t="str">
        <f>HYPERLINK("https://www.boe.es/gazeta/dias/1821/04/17/pdfs/GMD-1821-109.pdf#page=3","Abrir facsímil")</f>
        <v>Abrir facsímil</v>
      </c>
      <c r="K6216" s="3" t="s">
        <v>23</v>
      </c>
    </row>
    <row r="6217" spans="1:11" ht="42" customHeight="1">
      <c r="A6217" s="2" t="s">
        <v>12232</v>
      </c>
      <c r="B6217" s="2" t="s">
        <v>12232</v>
      </c>
      <c r="C6217" s="2" t="s">
        <v>17</v>
      </c>
      <c r="D6217" s="2" t="s">
        <v>18</v>
      </c>
      <c r="E6217" s="5">
        <v>-28738</v>
      </c>
      <c r="F6217" s="3" t="s">
        <v>359</v>
      </c>
      <c r="G6217" s="3" t="s">
        <v>52</v>
      </c>
      <c r="H6217" s="2" t="s">
        <v>21</v>
      </c>
      <c r="I6217" s="2" t="s">
        <v>12234</v>
      </c>
      <c r="J6217" s="3" t="str">
        <f>HYPERLINK("https://www.boe.es/gazeta/dias/1821/04/25/pdfs/GMD-1821-117.pdf#page=2","Abrir facsímil")</f>
        <v>Abrir facsímil</v>
      </c>
      <c r="K6217" s="3" t="s">
        <v>23</v>
      </c>
    </row>
    <row r="6218" spans="1:11" ht="42" customHeight="1">
      <c r="A6218" s="2" t="s">
        <v>12232</v>
      </c>
      <c r="B6218" s="2" t="s">
        <v>12232</v>
      </c>
      <c r="C6218" s="2" t="s">
        <v>40</v>
      </c>
      <c r="D6218" s="2" t="s">
        <v>41</v>
      </c>
      <c r="E6218" s="5">
        <v>-28651</v>
      </c>
      <c r="F6218" s="3" t="s">
        <v>1518</v>
      </c>
      <c r="G6218" s="3" t="s">
        <v>52</v>
      </c>
      <c r="H6218" s="2" t="s">
        <v>21</v>
      </c>
      <c r="I6218" s="2" t="s">
        <v>12235</v>
      </c>
      <c r="J6218" s="3" t="str">
        <f>HYPERLINK("https://www.boe.es/gazeta/dias/1821/07/21/pdfs/GMD-1821-206.pdf#page=2","Abrir facsímil")</f>
        <v>Abrir facsímil</v>
      </c>
      <c r="K6218" s="3" t="s">
        <v>23</v>
      </c>
    </row>
    <row r="6219" spans="1:11" ht="42" customHeight="1">
      <c r="A6219" s="2" t="s">
        <v>12232</v>
      </c>
      <c r="B6219" s="2" t="s">
        <v>12232</v>
      </c>
      <c r="C6219" s="2" t="s">
        <v>17</v>
      </c>
      <c r="D6219" s="2" t="s">
        <v>18</v>
      </c>
      <c r="E6219" s="5">
        <v>-28606</v>
      </c>
      <c r="F6219" s="3" t="s">
        <v>1799</v>
      </c>
      <c r="G6219" s="3" t="s">
        <v>52</v>
      </c>
      <c r="H6219" s="2" t="s">
        <v>21</v>
      </c>
      <c r="I6219" s="2" t="s">
        <v>12236</v>
      </c>
      <c r="J6219" s="3" t="str">
        <f>HYPERLINK("https://www.boe.es/gazeta/dias/1821/09/04/pdfs/GMD-1821-252.pdf#page=2","Abrir facsímil")</f>
        <v>Abrir facsímil</v>
      </c>
      <c r="K6219" s="3" t="s">
        <v>23</v>
      </c>
    </row>
    <row r="6220" spans="1:11" ht="42" customHeight="1">
      <c r="A6220" s="2" t="s">
        <v>12237</v>
      </c>
      <c r="B6220" s="2" t="s">
        <v>12237</v>
      </c>
      <c r="C6220" s="2" t="s">
        <v>279</v>
      </c>
      <c r="D6220" s="2" t="s">
        <v>27</v>
      </c>
      <c r="E6220" s="5">
        <v>-28803</v>
      </c>
      <c r="F6220" s="3" t="s">
        <v>320</v>
      </c>
      <c r="G6220" s="3" t="s">
        <v>20</v>
      </c>
      <c r="H6220" s="2" t="s">
        <v>21</v>
      </c>
      <c r="I6220" s="2" t="s">
        <v>12238</v>
      </c>
      <c r="J6220" s="3" t="str">
        <f>HYPERLINK("https://www.boe.es/gazeta/dias/1821/02/19/pdfs/GGB-1821-50.pdf#page=3","Abrir facsímil")</f>
        <v>Abrir facsímil</v>
      </c>
      <c r="K6220" s="3" t="s">
        <v>23</v>
      </c>
    </row>
    <row r="6221" spans="1:11" ht="42" customHeight="1">
      <c r="A6221" s="2" t="s">
        <v>12237</v>
      </c>
      <c r="B6221" s="2" t="s">
        <v>12237</v>
      </c>
      <c r="C6221" s="2" t="s">
        <v>26</v>
      </c>
      <c r="D6221" s="2" t="s">
        <v>27</v>
      </c>
      <c r="E6221" s="5">
        <v>-28699</v>
      </c>
      <c r="F6221" s="3" t="s">
        <v>280</v>
      </c>
      <c r="G6221" s="3" t="s">
        <v>52</v>
      </c>
      <c r="H6221" s="2" t="s">
        <v>21</v>
      </c>
      <c r="I6221" s="2" t="s">
        <v>12239</v>
      </c>
      <c r="J6221" s="3" t="str">
        <f>HYPERLINK("https://www.boe.es/gazeta/dias/1821/06/03/pdfs/GMD-1821-156.pdf#page=2","Abrir facsímil")</f>
        <v>Abrir facsímil</v>
      </c>
      <c r="K6221" s="3" t="s">
        <v>23</v>
      </c>
    </row>
    <row r="6222" spans="1:11" ht="42" customHeight="1">
      <c r="A6222" s="2" t="s">
        <v>12240</v>
      </c>
      <c r="B6222" s="2" t="s">
        <v>12241</v>
      </c>
      <c r="C6222" s="2" t="s">
        <v>35</v>
      </c>
      <c r="D6222" s="2" t="s">
        <v>27</v>
      </c>
      <c r="E6222" s="5">
        <v>-28499</v>
      </c>
      <c r="F6222" s="3" t="s">
        <v>954</v>
      </c>
      <c r="G6222" s="3" t="s">
        <v>88</v>
      </c>
      <c r="H6222" s="2" t="s">
        <v>30</v>
      </c>
      <c r="I6222" s="2" t="s">
        <v>12242</v>
      </c>
      <c r="J6222" s="3" t="str">
        <f>HYPERLINK("https://www.boe.es/gazeta/dias/1821/12/20/pdfs/GMD-1821-363.pdf#page=4","Abrir facsímil")</f>
        <v>Abrir facsímil</v>
      </c>
      <c r="K6222" s="3" t="s">
        <v>32</v>
      </c>
    </row>
    <row r="6223" spans="1:11" ht="42" customHeight="1">
      <c r="A6223" s="2" t="s">
        <v>12243</v>
      </c>
      <c r="B6223" s="2" t="s">
        <v>12244</v>
      </c>
      <c r="C6223" s="2" t="s">
        <v>40</v>
      </c>
      <c r="D6223" s="2" t="s">
        <v>41</v>
      </c>
      <c r="E6223" s="5">
        <v>-28599</v>
      </c>
      <c r="F6223" s="3" t="s">
        <v>902</v>
      </c>
      <c r="G6223" s="3" t="s">
        <v>20</v>
      </c>
      <c r="H6223" s="2" t="s">
        <v>21</v>
      </c>
      <c r="I6223" s="2" t="s">
        <v>12245</v>
      </c>
      <c r="J6223" s="3" t="str">
        <f>HYPERLINK("https://www.boe.es/gazeta/dias/1821/09/11/pdfs/GMD-1821-259.pdf#page=3","Abrir facsímil")</f>
        <v>Abrir facsímil</v>
      </c>
      <c r="K6223" s="3" t="s">
        <v>23</v>
      </c>
    </row>
    <row r="6224" spans="1:11" ht="42" customHeight="1">
      <c r="A6224" s="2" t="s">
        <v>12246</v>
      </c>
      <c r="B6224" s="2" t="s">
        <v>12246</v>
      </c>
      <c r="C6224" s="2" t="s">
        <v>17</v>
      </c>
      <c r="D6224" s="2" t="s">
        <v>18</v>
      </c>
      <c r="E6224" s="5">
        <v>-28750</v>
      </c>
      <c r="F6224" s="3" t="s">
        <v>917</v>
      </c>
      <c r="G6224" s="3" t="s">
        <v>20</v>
      </c>
      <c r="H6224" s="2" t="s">
        <v>21</v>
      </c>
      <c r="I6224" s="2" t="s">
        <v>12247</v>
      </c>
      <c r="J6224" s="3" t="str">
        <f>HYPERLINK("https://www.boe.es/gazeta/dias/1821/04/13/pdfs/GMD-1821-105.pdf#page=3","Abrir facsímil")</f>
        <v>Abrir facsímil</v>
      </c>
      <c r="K6224" s="3" t="s">
        <v>23</v>
      </c>
    </row>
    <row r="6225" spans="1:11" ht="42" customHeight="1">
      <c r="A6225" s="2" t="s">
        <v>12248</v>
      </c>
      <c r="B6225" s="2" t="s">
        <v>12248</v>
      </c>
      <c r="C6225" s="2" t="s">
        <v>17</v>
      </c>
      <c r="D6225" s="2" t="s">
        <v>18</v>
      </c>
      <c r="E6225" s="5">
        <v>-28820</v>
      </c>
      <c r="F6225" s="3" t="s">
        <v>1430</v>
      </c>
      <c r="G6225" s="3" t="s">
        <v>43</v>
      </c>
      <c r="H6225" s="2" t="s">
        <v>21</v>
      </c>
      <c r="I6225" s="2" t="s">
        <v>12249</v>
      </c>
      <c r="J6225" s="3" t="str">
        <f>HYPERLINK("https://www.boe.es/gazeta/dias/1821/02/02/pdfs/GGB-1821-33.pdf#page=1","Abrir facsímil")</f>
        <v>Abrir facsímil</v>
      </c>
      <c r="K6225" s="3" t="s">
        <v>23</v>
      </c>
    </row>
    <row r="6226" spans="1:11" ht="42" customHeight="1">
      <c r="A6226" s="2" t="s">
        <v>12250</v>
      </c>
      <c r="B6226" s="2" t="s">
        <v>12251</v>
      </c>
      <c r="C6226" s="2" t="s">
        <v>174</v>
      </c>
      <c r="D6226" s="2" t="s">
        <v>27</v>
      </c>
      <c r="E6226" s="5">
        <v>-28642</v>
      </c>
      <c r="F6226" s="3" t="s">
        <v>734</v>
      </c>
      <c r="G6226" s="3" t="s">
        <v>88</v>
      </c>
      <c r="H6226" s="2" t="s">
        <v>21</v>
      </c>
      <c r="I6226" s="2" t="s">
        <v>12252</v>
      </c>
      <c r="J6226" s="3" t="str">
        <f>HYPERLINK("https://www.boe.es/gazeta/dias/1821/07/30/pdfs/GMD-1821-215.pdf#page=4","Abrir facsímil")</f>
        <v>Abrir facsímil</v>
      </c>
      <c r="K6226" s="3" t="s">
        <v>23</v>
      </c>
    </row>
    <row r="6227" spans="1:11" ht="42" customHeight="1">
      <c r="A6227" s="2" t="s">
        <v>12253</v>
      </c>
      <c r="B6227" s="2" t="s">
        <v>12254</v>
      </c>
      <c r="C6227" s="2" t="s">
        <v>70</v>
      </c>
      <c r="D6227" s="2" t="s">
        <v>27</v>
      </c>
      <c r="E6227" s="5">
        <v>-28666</v>
      </c>
      <c r="F6227" s="3" t="s">
        <v>1263</v>
      </c>
      <c r="G6227" s="3" t="s">
        <v>88</v>
      </c>
      <c r="H6227" s="2" t="s">
        <v>21</v>
      </c>
      <c r="I6227" s="2" t="s">
        <v>12255</v>
      </c>
      <c r="J6227" s="3" t="str">
        <f>HYPERLINK("https://www.boe.es/gazeta/dias/1821/07/06/pdfs/GMD-1821-190.pdf#page=4","Abrir facsímil")</f>
        <v>Abrir facsímil</v>
      </c>
      <c r="K6227" s="3" t="s">
        <v>23</v>
      </c>
    </row>
    <row r="6228" spans="1:11" ht="42" customHeight="1">
      <c r="A6228" s="2" t="s">
        <v>12256</v>
      </c>
      <c r="B6228" s="2" t="s">
        <v>12257</v>
      </c>
      <c r="C6228" s="2" t="s">
        <v>35</v>
      </c>
      <c r="D6228" s="2" t="s">
        <v>27</v>
      </c>
      <c r="E6228" s="5">
        <v>-28560</v>
      </c>
      <c r="F6228" s="3" t="s">
        <v>363</v>
      </c>
      <c r="G6228" s="3" t="s">
        <v>162</v>
      </c>
      <c r="H6228" s="2" t="s">
        <v>21</v>
      </c>
      <c r="I6228" s="2" t="s">
        <v>12258</v>
      </c>
      <c r="J6228" s="3" t="str">
        <f>HYPERLINK("https://www.boe.es/gazeta/dias/1821/10/20/pdfs/GMD-1821-299.pdf#page=5","Abrir facsímil")</f>
        <v>Abrir facsímil</v>
      </c>
      <c r="K6228" s="3" t="s">
        <v>23</v>
      </c>
    </row>
    <row r="6229" spans="1:11" ht="42" customHeight="1">
      <c r="A6229" s="2" t="s">
        <v>12259</v>
      </c>
      <c r="B6229" s="2" t="s">
        <v>12260</v>
      </c>
      <c r="C6229" s="2" t="s">
        <v>26</v>
      </c>
      <c r="D6229" s="2" t="s">
        <v>27</v>
      </c>
      <c r="E6229" s="5">
        <v>-28528</v>
      </c>
      <c r="F6229" s="3" t="s">
        <v>1872</v>
      </c>
      <c r="G6229" s="3" t="s">
        <v>52</v>
      </c>
      <c r="H6229" s="2" t="s">
        <v>21</v>
      </c>
      <c r="I6229" s="2" t="s">
        <v>12261</v>
      </c>
      <c r="J6229" s="3" t="str">
        <f>HYPERLINK("https://www.boe.es/gazeta/dias/1821/11/21/pdfs/GMD-1821-332.pdf#page=2","Abrir facsímil")</f>
        <v>Abrir facsímil</v>
      </c>
      <c r="K6229" s="3" t="s">
        <v>23</v>
      </c>
    </row>
    <row r="6230" spans="1:11" ht="42" customHeight="1">
      <c r="A6230" s="2" t="s">
        <v>12262</v>
      </c>
      <c r="B6230" s="2" t="s">
        <v>12263</v>
      </c>
      <c r="C6230" s="2" t="s">
        <v>26</v>
      </c>
      <c r="D6230" s="2" t="s">
        <v>27</v>
      </c>
      <c r="E6230" s="5">
        <v>-28565</v>
      </c>
      <c r="F6230" s="3" t="s">
        <v>326</v>
      </c>
      <c r="G6230" s="3" t="s">
        <v>162</v>
      </c>
      <c r="H6230" s="2" t="s">
        <v>21</v>
      </c>
      <c r="I6230" s="2" t="s">
        <v>12264</v>
      </c>
      <c r="J6230" s="3" t="str">
        <f>HYPERLINK("https://www.boe.es/gazeta/dias/1821/10/15/pdfs/GMD-1821-294.pdf#page=5","Abrir facsímil")</f>
        <v>Abrir facsímil</v>
      </c>
      <c r="K6230" s="3" t="s">
        <v>23</v>
      </c>
    </row>
    <row r="6231" spans="1:11" ht="42" customHeight="1">
      <c r="A6231" s="2" t="s">
        <v>12265</v>
      </c>
      <c r="B6231" s="2" t="s">
        <v>12266</v>
      </c>
      <c r="C6231" s="2" t="s">
        <v>26</v>
      </c>
      <c r="D6231" s="2" t="s">
        <v>27</v>
      </c>
      <c r="E6231" s="5">
        <v>-28747</v>
      </c>
      <c r="F6231" s="3" t="s">
        <v>1016</v>
      </c>
      <c r="G6231" s="3" t="s">
        <v>43</v>
      </c>
      <c r="H6231" s="2" t="s">
        <v>21</v>
      </c>
      <c r="I6231" s="2" t="s">
        <v>12267</v>
      </c>
      <c r="J6231" s="3" t="str">
        <f>HYPERLINK("https://www.boe.es/gazeta/dias/1821/04/16/pdfs/GMD-1821-108.pdf#page=1","Abrir facsímil")</f>
        <v>Abrir facsímil</v>
      </c>
      <c r="K6231" s="3" t="s">
        <v>23</v>
      </c>
    </row>
    <row r="6232" spans="1:11" ht="42" customHeight="1">
      <c r="A6232" s="2" t="s">
        <v>12268</v>
      </c>
      <c r="B6232" s="2" t="s">
        <v>12269</v>
      </c>
      <c r="C6232" s="2" t="s">
        <v>174</v>
      </c>
      <c r="D6232" s="2" t="s">
        <v>27</v>
      </c>
      <c r="E6232" s="5">
        <v>-28653</v>
      </c>
      <c r="F6232" s="3" t="s">
        <v>1179</v>
      </c>
      <c r="G6232" s="3" t="s">
        <v>20</v>
      </c>
      <c r="H6232" s="2" t="s">
        <v>21</v>
      </c>
      <c r="I6232" s="2" t="s">
        <v>12270</v>
      </c>
      <c r="J6232" s="3" t="str">
        <f>HYPERLINK("https://www.boe.es/gazeta/dias/1821/07/19/pdfs/GMD-1821-204.pdf#page=3","Abrir facsímil")</f>
        <v>Abrir facsímil</v>
      </c>
      <c r="K6232" s="3" t="s">
        <v>23</v>
      </c>
    </row>
    <row r="6233" spans="1:11" ht="42" customHeight="1">
      <c r="A6233" s="2" t="s">
        <v>12271</v>
      </c>
      <c r="B6233" s="2" t="s">
        <v>12271</v>
      </c>
      <c r="C6233" s="2" t="s">
        <v>17</v>
      </c>
      <c r="D6233" s="2" t="s">
        <v>18</v>
      </c>
      <c r="E6233" s="5">
        <v>-28804</v>
      </c>
      <c r="F6233" s="3" t="s">
        <v>1580</v>
      </c>
      <c r="G6233" s="3" t="s">
        <v>20</v>
      </c>
      <c r="H6233" s="2" t="s">
        <v>21</v>
      </c>
      <c r="I6233" s="2" t="s">
        <v>12272</v>
      </c>
      <c r="J6233" s="3" t="str">
        <f>HYPERLINK("https://www.boe.es/gazeta/dias/1821/02/18/pdfs/GGB-1821-49.pdf#page=3","Abrir facsímil")</f>
        <v>Abrir facsímil</v>
      </c>
      <c r="K6233" s="3" t="s">
        <v>23</v>
      </c>
    </row>
    <row r="6234" spans="1:11" ht="42" customHeight="1">
      <c r="A6234" s="2" t="s">
        <v>12273</v>
      </c>
      <c r="B6234" s="2" t="s">
        <v>12274</v>
      </c>
      <c r="C6234" s="2" t="s">
        <v>17</v>
      </c>
      <c r="D6234" s="2" t="s">
        <v>18</v>
      </c>
      <c r="E6234" s="5">
        <v>-28724</v>
      </c>
      <c r="F6234" s="3" t="s">
        <v>1305</v>
      </c>
      <c r="G6234" s="3" t="s">
        <v>52</v>
      </c>
      <c r="H6234" s="2" t="s">
        <v>21</v>
      </c>
      <c r="I6234" s="2" t="s">
        <v>12275</v>
      </c>
      <c r="J6234" s="3" t="str">
        <f>HYPERLINK("https://www.boe.es/gazeta/dias/1821/05/09/pdfs/GMD-1821-131.pdf#page=2","Abrir facsímil")</f>
        <v>Abrir facsímil</v>
      </c>
      <c r="K6234" s="3" t="s">
        <v>23</v>
      </c>
    </row>
    <row r="6235" spans="1:11" ht="42" customHeight="1">
      <c r="A6235" s="2" t="s">
        <v>12276</v>
      </c>
      <c r="B6235" s="2" t="s">
        <v>12277</v>
      </c>
      <c r="C6235" s="2" t="s">
        <v>174</v>
      </c>
      <c r="D6235" s="2" t="s">
        <v>27</v>
      </c>
      <c r="E6235" s="5">
        <v>-28558</v>
      </c>
      <c r="F6235" s="3" t="s">
        <v>758</v>
      </c>
      <c r="G6235" s="3" t="s">
        <v>52</v>
      </c>
      <c r="H6235" s="2" t="s">
        <v>21</v>
      </c>
      <c r="I6235" s="2" t="s">
        <v>12278</v>
      </c>
      <c r="J6235" s="3" t="str">
        <f>HYPERLINK("https://www.boe.es/gazeta/dias/1821/10/22/pdfs/GMD-1821-301.pdf#page=2","Abrir facsímil")</f>
        <v>Abrir facsímil</v>
      </c>
      <c r="K6235" s="3" t="s">
        <v>23</v>
      </c>
    </row>
    <row r="6236" spans="1:11" ht="42" customHeight="1">
      <c r="A6236" s="2" t="s">
        <v>12276</v>
      </c>
      <c r="B6236" s="2" t="s">
        <v>12277</v>
      </c>
      <c r="C6236" s="2" t="s">
        <v>26</v>
      </c>
      <c r="D6236" s="2" t="s">
        <v>27</v>
      </c>
      <c r="E6236" s="5">
        <v>-28541</v>
      </c>
      <c r="F6236" s="3" t="s">
        <v>275</v>
      </c>
      <c r="G6236" s="3" t="s">
        <v>43</v>
      </c>
      <c r="H6236" s="2" t="s">
        <v>21</v>
      </c>
      <c r="I6236" s="2" t="s">
        <v>12279</v>
      </c>
      <c r="J6236" s="3" t="str">
        <f>HYPERLINK("https://www.boe.es/gazeta/dias/1821/11/08/pdfs/GMD-1821-319.pdf#page=1","Abrir facsímil")</f>
        <v>Abrir facsímil</v>
      </c>
      <c r="K6236" s="3" t="s">
        <v>23</v>
      </c>
    </row>
    <row r="6237" spans="1:11" ht="42" customHeight="1">
      <c r="A6237" s="2" t="s">
        <v>12280</v>
      </c>
      <c r="B6237" s="2" t="s">
        <v>12281</v>
      </c>
      <c r="C6237" s="2" t="s">
        <v>26</v>
      </c>
      <c r="D6237" s="2" t="s">
        <v>27</v>
      </c>
      <c r="E6237" s="5">
        <v>-28728</v>
      </c>
      <c r="F6237" s="3" t="s">
        <v>1038</v>
      </c>
      <c r="G6237" s="3" t="s">
        <v>52</v>
      </c>
      <c r="H6237" s="2" t="s">
        <v>21</v>
      </c>
      <c r="I6237" s="2" t="s">
        <v>12282</v>
      </c>
      <c r="J6237" s="3" t="str">
        <f>HYPERLINK("https://www.boe.es/gazeta/dias/1821/05/05/pdfs/GMD-1821-127.pdf#page=2","Abrir facsímil")</f>
        <v>Abrir facsímil</v>
      </c>
      <c r="K6237" s="3" t="s">
        <v>23</v>
      </c>
    </row>
    <row r="6238" spans="1:11" ht="42" customHeight="1">
      <c r="A6238" s="2" t="s">
        <v>12280</v>
      </c>
      <c r="B6238" s="2" t="s">
        <v>12281</v>
      </c>
      <c r="C6238" s="2" t="s">
        <v>26</v>
      </c>
      <c r="D6238" s="2" t="s">
        <v>27</v>
      </c>
      <c r="E6238" s="5">
        <v>-28621</v>
      </c>
      <c r="F6238" s="3" t="s">
        <v>1317</v>
      </c>
      <c r="G6238" s="3" t="s">
        <v>20</v>
      </c>
      <c r="H6238" s="2" t="s">
        <v>21</v>
      </c>
      <c r="I6238" s="2" t="s">
        <v>12283</v>
      </c>
      <c r="J6238" s="3" t="str">
        <f>HYPERLINK("https://www.boe.es/gazeta/dias/1821/08/20/pdfs/GMD-1821-237.pdf#page=3","Abrir facsímil")</f>
        <v>Abrir facsímil</v>
      </c>
      <c r="K6238" s="3" t="s">
        <v>23</v>
      </c>
    </row>
    <row r="6239" spans="1:11" ht="42" customHeight="1">
      <c r="A6239" s="2" t="s">
        <v>12284</v>
      </c>
      <c r="B6239" s="2" t="s">
        <v>12285</v>
      </c>
      <c r="C6239" s="2" t="s">
        <v>40</v>
      </c>
      <c r="D6239" s="2" t="s">
        <v>41</v>
      </c>
      <c r="E6239" s="5">
        <v>-28563</v>
      </c>
      <c r="F6239" s="3" t="s">
        <v>118</v>
      </c>
      <c r="G6239" s="3" t="s">
        <v>43</v>
      </c>
      <c r="H6239" s="2" t="s">
        <v>21</v>
      </c>
      <c r="I6239" s="2" t="s">
        <v>12286</v>
      </c>
      <c r="J6239" s="3" t="str">
        <f>HYPERLINK("https://www.boe.es/gazeta/dias/1821/10/17/pdfs/GMD-1821-296.pdf#page=1","Abrir facsímil")</f>
        <v>Abrir facsímil</v>
      </c>
      <c r="K6239" s="3" t="s">
        <v>23</v>
      </c>
    </row>
    <row r="6240" spans="1:11" ht="42" customHeight="1">
      <c r="A6240" s="2" t="s">
        <v>12287</v>
      </c>
      <c r="B6240" s="2" t="s">
        <v>12288</v>
      </c>
      <c r="C6240" s="2" t="s">
        <v>40</v>
      </c>
      <c r="D6240" s="2" t="s">
        <v>41</v>
      </c>
      <c r="E6240" s="5">
        <v>-28641</v>
      </c>
      <c r="F6240" s="3" t="s">
        <v>398</v>
      </c>
      <c r="G6240" s="3" t="s">
        <v>52</v>
      </c>
      <c r="H6240" s="2" t="s">
        <v>21</v>
      </c>
      <c r="I6240" s="2" t="s">
        <v>12289</v>
      </c>
      <c r="J6240" s="3" t="str">
        <f>HYPERLINK("https://www.boe.es/gazeta/dias/1821/07/31/pdfs/GMD-1821-216.pdf#page=2","Abrir facsímil")</f>
        <v>Abrir facsímil</v>
      </c>
      <c r="K6240" s="3" t="s">
        <v>23</v>
      </c>
    </row>
    <row r="6241" spans="1:11" ht="42" customHeight="1">
      <c r="A6241" s="2" t="s">
        <v>12290</v>
      </c>
      <c r="B6241" s="2" t="s">
        <v>12290</v>
      </c>
      <c r="C6241" s="2" t="s">
        <v>17</v>
      </c>
      <c r="D6241" s="2" t="s">
        <v>18</v>
      </c>
      <c r="E6241" s="5">
        <v>-28755</v>
      </c>
      <c r="F6241" s="3" t="s">
        <v>906</v>
      </c>
      <c r="G6241" s="3" t="s">
        <v>52</v>
      </c>
      <c r="H6241" s="2" t="s">
        <v>21</v>
      </c>
      <c r="I6241" s="2" t="s">
        <v>12291</v>
      </c>
      <c r="J6241" s="3" t="str">
        <f>HYPERLINK("https://www.boe.es/gazeta/dias/1821/04/08/pdfs/GMD-1821-100.pdf#page=2","Abrir facsímil")</f>
        <v>Abrir facsímil</v>
      </c>
      <c r="K6241" s="3" t="s">
        <v>23</v>
      </c>
    </row>
    <row r="6242" spans="1:11" ht="42" customHeight="1">
      <c r="A6242" s="2" t="s">
        <v>12292</v>
      </c>
      <c r="B6242" s="2" t="s">
        <v>12292</v>
      </c>
      <c r="C6242" s="2" t="s">
        <v>35</v>
      </c>
      <c r="D6242" s="2" t="s">
        <v>27</v>
      </c>
      <c r="E6242" s="5">
        <v>-28750</v>
      </c>
      <c r="F6242" s="3" t="s">
        <v>917</v>
      </c>
      <c r="G6242" s="3" t="s">
        <v>52</v>
      </c>
      <c r="H6242" s="2" t="s">
        <v>21</v>
      </c>
      <c r="I6242" s="2" t="s">
        <v>12293</v>
      </c>
      <c r="J6242" s="3" t="str">
        <f>HYPERLINK("https://www.boe.es/gazeta/dias/1821/04/13/pdfs/GMD-1821-105.pdf#page=2","Abrir facsímil")</f>
        <v>Abrir facsímil</v>
      </c>
      <c r="K6242" s="3" t="s">
        <v>23</v>
      </c>
    </row>
    <row r="6243" spans="1:11" ht="42" customHeight="1">
      <c r="A6243" s="2" t="s">
        <v>12292</v>
      </c>
      <c r="B6243" s="2" t="s">
        <v>12292</v>
      </c>
      <c r="C6243" s="2" t="s">
        <v>17</v>
      </c>
      <c r="D6243" s="2" t="s">
        <v>18</v>
      </c>
      <c r="E6243" s="5">
        <v>-28716</v>
      </c>
      <c r="F6243" s="3" t="s">
        <v>842</v>
      </c>
      <c r="G6243" s="3" t="s">
        <v>52</v>
      </c>
      <c r="H6243" s="2" t="s">
        <v>21</v>
      </c>
      <c r="I6243" s="2" t="s">
        <v>12294</v>
      </c>
      <c r="J6243" s="3" t="str">
        <f>HYPERLINK("https://www.boe.es/gazeta/dias/1821/05/17/pdfs/GMD-1821-139.pdf#page=2","Abrir facsímil")</f>
        <v>Abrir facsímil</v>
      </c>
      <c r="K6243" s="3" t="s">
        <v>23</v>
      </c>
    </row>
    <row r="6244" spans="1:11" ht="42" customHeight="1">
      <c r="A6244" s="2" t="s">
        <v>12295</v>
      </c>
      <c r="B6244" s="2" t="s">
        <v>12296</v>
      </c>
      <c r="C6244" s="2" t="s">
        <v>40</v>
      </c>
      <c r="D6244" s="2" t="s">
        <v>41</v>
      </c>
      <c r="E6244" s="5">
        <v>-28576</v>
      </c>
      <c r="F6244" s="3" t="s">
        <v>1924</v>
      </c>
      <c r="G6244" s="3" t="s">
        <v>52</v>
      </c>
      <c r="H6244" s="2" t="s">
        <v>21</v>
      </c>
      <c r="I6244" s="2" t="s">
        <v>12297</v>
      </c>
      <c r="J6244" s="3" t="str">
        <f>HYPERLINK("https://www.boe.es/gazeta/dias/1821/10/04/pdfs/GMD-1821-283.pdf#page=2","Abrir facsímil")</f>
        <v>Abrir facsímil</v>
      </c>
      <c r="K6244" s="3" t="s">
        <v>23</v>
      </c>
    </row>
    <row r="6245" spans="1:11" ht="42" customHeight="1">
      <c r="A6245" s="2" t="s">
        <v>12298</v>
      </c>
      <c r="B6245" s="2" t="s">
        <v>12299</v>
      </c>
      <c r="C6245" s="2" t="s">
        <v>40</v>
      </c>
      <c r="D6245" s="2" t="s">
        <v>41</v>
      </c>
      <c r="E6245" s="5">
        <v>-28501</v>
      </c>
      <c r="F6245" s="3" t="s">
        <v>456</v>
      </c>
      <c r="G6245" s="3" t="s">
        <v>20</v>
      </c>
      <c r="H6245" s="2" t="s">
        <v>21</v>
      </c>
      <c r="I6245" s="2" t="s">
        <v>12300</v>
      </c>
      <c r="J6245" s="3" t="str">
        <f>HYPERLINK("https://www.boe.es/gazeta/dias/1821/12/18/pdfs/GMD-1821-361.pdf#page=3","Abrir facsímil")</f>
        <v>Abrir facsímil</v>
      </c>
      <c r="K6245" s="3" t="s">
        <v>23</v>
      </c>
    </row>
    <row r="6246" spans="1:11" ht="42" customHeight="1">
      <c r="A6246" s="2" t="s">
        <v>12301</v>
      </c>
      <c r="B6246" s="2" t="s">
        <v>12301</v>
      </c>
      <c r="C6246" s="2" t="s">
        <v>40</v>
      </c>
      <c r="D6246" s="2" t="s">
        <v>41</v>
      </c>
      <c r="E6246" s="5">
        <v>-28726</v>
      </c>
      <c r="F6246" s="3" t="s">
        <v>347</v>
      </c>
      <c r="G6246" s="3" t="s">
        <v>52</v>
      </c>
      <c r="H6246" s="2" t="s">
        <v>21</v>
      </c>
      <c r="I6246" s="2" t="s">
        <v>12302</v>
      </c>
      <c r="J6246" s="3" t="str">
        <f>HYPERLINK("https://www.boe.es/gazeta/dias/1821/05/07/pdfs/GMD-1821-129.pdf#page=2","Abrir facsímil")</f>
        <v>Abrir facsímil</v>
      </c>
      <c r="K6246" s="3" t="s">
        <v>23</v>
      </c>
    </row>
    <row r="6247" spans="1:11" ht="42" customHeight="1">
      <c r="A6247" s="2" t="s">
        <v>12303</v>
      </c>
      <c r="B6247" s="2" t="s">
        <v>12303</v>
      </c>
      <c r="C6247" s="2" t="s">
        <v>40</v>
      </c>
      <c r="D6247" s="2" t="s">
        <v>41</v>
      </c>
      <c r="E6247" s="5">
        <v>-28725</v>
      </c>
      <c r="F6247" s="3" t="s">
        <v>440</v>
      </c>
      <c r="G6247" s="3" t="s">
        <v>52</v>
      </c>
      <c r="H6247" s="2" t="s">
        <v>21</v>
      </c>
      <c r="I6247" s="2" t="s">
        <v>12304</v>
      </c>
      <c r="J6247" s="3" t="str">
        <f>HYPERLINK("https://www.boe.es/gazeta/dias/1821/05/08/pdfs/GMD-1821-130.pdf#page=2","Abrir facsímil")</f>
        <v>Abrir facsímil</v>
      </c>
      <c r="K6247" s="3" t="s">
        <v>23</v>
      </c>
    </row>
    <row r="6248" spans="1:11" ht="42" customHeight="1">
      <c r="A6248" s="2" t="s">
        <v>12305</v>
      </c>
      <c r="B6248" s="2" t="s">
        <v>12305</v>
      </c>
      <c r="C6248" s="2" t="s">
        <v>114</v>
      </c>
      <c r="D6248" s="2" t="s">
        <v>27</v>
      </c>
      <c r="E6248" s="5">
        <v>-28539</v>
      </c>
      <c r="F6248" s="3" t="s">
        <v>153</v>
      </c>
      <c r="G6248" s="3" t="s">
        <v>20</v>
      </c>
      <c r="H6248" s="2" t="s">
        <v>21</v>
      </c>
      <c r="I6248" s="2" t="s">
        <v>12306</v>
      </c>
      <c r="J6248" s="3" t="str">
        <f>HYPERLINK("https://www.boe.es/gazeta/dias/1821/11/10/pdfs/GMD-1821-321.pdf#page=3","Abrir facsímil")</f>
        <v>Abrir facsímil</v>
      </c>
      <c r="K6248" s="3" t="s">
        <v>23</v>
      </c>
    </row>
    <row r="6249" spans="1:11" ht="42" customHeight="1">
      <c r="A6249" s="2" t="s">
        <v>12307</v>
      </c>
      <c r="B6249" s="2" t="s">
        <v>12307</v>
      </c>
      <c r="C6249" s="2" t="s">
        <v>40</v>
      </c>
      <c r="D6249" s="2" t="s">
        <v>41</v>
      </c>
      <c r="E6249" s="5">
        <v>-28558</v>
      </c>
      <c r="F6249" s="3" t="s">
        <v>758</v>
      </c>
      <c r="G6249" s="3" t="s">
        <v>43</v>
      </c>
      <c r="H6249" s="2" t="s">
        <v>21</v>
      </c>
      <c r="I6249" s="2" t="s">
        <v>12308</v>
      </c>
      <c r="J6249" s="3" t="str">
        <f>HYPERLINK("https://www.boe.es/gazeta/dias/1821/10/22/pdfs/GMD-1821-301.pdf#page=1","Abrir facsímil")</f>
        <v>Abrir facsímil</v>
      </c>
      <c r="K6249" s="3" t="s">
        <v>23</v>
      </c>
    </row>
    <row r="6250" spans="1:11" ht="42" customHeight="1">
      <c r="A6250" s="2" t="s">
        <v>12309</v>
      </c>
      <c r="B6250" s="2" t="s">
        <v>12309</v>
      </c>
      <c r="C6250" s="2" t="s">
        <v>40</v>
      </c>
      <c r="D6250" s="2" t="s">
        <v>41</v>
      </c>
      <c r="E6250" s="5">
        <v>-28717</v>
      </c>
      <c r="F6250" s="3" t="s">
        <v>1044</v>
      </c>
      <c r="G6250" s="3" t="s">
        <v>43</v>
      </c>
      <c r="H6250" s="2" t="s">
        <v>21</v>
      </c>
      <c r="I6250" s="2" t="s">
        <v>12310</v>
      </c>
      <c r="J6250" s="3" t="str">
        <f>HYPERLINK("https://www.boe.es/gazeta/dias/1821/05/16/pdfs/GMD-1821-138.pdf#page=1","Abrir facsímil")</f>
        <v>Abrir facsímil</v>
      </c>
      <c r="K6250" s="3" t="s">
        <v>23</v>
      </c>
    </row>
    <row r="6251" spans="1:11" ht="42" customHeight="1">
      <c r="A6251" s="2" t="s">
        <v>12309</v>
      </c>
      <c r="B6251" s="2" t="s">
        <v>12309</v>
      </c>
      <c r="C6251" s="2" t="s">
        <v>40</v>
      </c>
      <c r="D6251" s="2" t="s">
        <v>41</v>
      </c>
      <c r="E6251" s="5">
        <v>-28671</v>
      </c>
      <c r="F6251" s="3" t="s">
        <v>5059</v>
      </c>
      <c r="G6251" s="3" t="s">
        <v>43</v>
      </c>
      <c r="H6251" s="2" t="s">
        <v>21</v>
      </c>
      <c r="I6251" s="2" t="s">
        <v>12311</v>
      </c>
      <c r="J6251" s="3" t="str">
        <f>HYPERLINK("https://www.boe.es/gazeta/dias/1821/07/01/pdfs/GMD-1821-185.pdf#page=1","Abrir facsímil")</f>
        <v>Abrir facsímil</v>
      </c>
      <c r="K6251" s="3" t="s">
        <v>23</v>
      </c>
    </row>
    <row r="6252" spans="1:11" ht="42" customHeight="1">
      <c r="A6252" s="2" t="s">
        <v>12312</v>
      </c>
      <c r="B6252" s="2" t="s">
        <v>12312</v>
      </c>
      <c r="C6252" s="2" t="s">
        <v>26</v>
      </c>
      <c r="D6252" s="2" t="s">
        <v>27</v>
      </c>
      <c r="E6252" s="5">
        <v>-28763</v>
      </c>
      <c r="F6252" s="3" t="s">
        <v>1145</v>
      </c>
      <c r="G6252" s="3" t="s">
        <v>20</v>
      </c>
      <c r="H6252" s="2" t="s">
        <v>21</v>
      </c>
      <c r="I6252" s="2" t="s">
        <v>12313</v>
      </c>
      <c r="J6252" s="3" t="str">
        <f>HYPERLINK("https://www.boe.es/gazeta/dias/1821/03/31/pdfs/GMD-1821-92.pdf#page=3","Abrir facsímil")</f>
        <v>Abrir facsímil</v>
      </c>
      <c r="K6252" s="3" t="s">
        <v>23</v>
      </c>
    </row>
    <row r="6253" spans="1:11" ht="42" customHeight="1">
      <c r="A6253" s="2" t="s">
        <v>12314</v>
      </c>
      <c r="B6253" s="2" t="s">
        <v>12314</v>
      </c>
      <c r="C6253" s="2" t="s">
        <v>40</v>
      </c>
      <c r="D6253" s="2" t="s">
        <v>41</v>
      </c>
      <c r="E6253" s="5">
        <v>-28586</v>
      </c>
      <c r="F6253" s="3" t="s">
        <v>587</v>
      </c>
      <c r="G6253" s="3" t="s">
        <v>88</v>
      </c>
      <c r="H6253" s="2" t="s">
        <v>21</v>
      </c>
      <c r="I6253" s="2" t="s">
        <v>12315</v>
      </c>
      <c r="J6253" s="3" t="str">
        <f>HYPERLINK("https://www.boe.es/gazeta/dias/1821/09/24/pdfs/GMD-1821-272.pdf#page=4","Abrir facsímil")</f>
        <v>Abrir facsímil</v>
      </c>
      <c r="K6253" s="3" t="s">
        <v>23</v>
      </c>
    </row>
    <row r="6254" spans="1:11" ht="42" customHeight="1">
      <c r="A6254" s="2" t="s">
        <v>12316</v>
      </c>
      <c r="B6254" s="2" t="s">
        <v>12316</v>
      </c>
      <c r="C6254" s="2" t="s">
        <v>40</v>
      </c>
      <c r="D6254" s="2" t="s">
        <v>41</v>
      </c>
      <c r="E6254" s="5">
        <v>-28629</v>
      </c>
      <c r="F6254" s="3" t="s">
        <v>235</v>
      </c>
      <c r="G6254" s="3" t="s">
        <v>43</v>
      </c>
      <c r="H6254" s="2" t="s">
        <v>21</v>
      </c>
      <c r="I6254" s="2" t="s">
        <v>12317</v>
      </c>
      <c r="J6254" s="3" t="str">
        <f>HYPERLINK("https://www.boe.es/gazeta/dias/1821/08/12/pdfs/GMD-1821-229.pdf#page=1","Abrir facsímil")</f>
        <v>Abrir facsímil</v>
      </c>
      <c r="K6254" s="3" t="s">
        <v>23</v>
      </c>
    </row>
    <row r="6255" spans="1:11" ht="42" customHeight="1">
      <c r="A6255" s="2" t="s">
        <v>12318</v>
      </c>
      <c r="B6255" s="2" t="s">
        <v>12319</v>
      </c>
      <c r="C6255" s="2" t="s">
        <v>40</v>
      </c>
      <c r="D6255" s="2" t="s">
        <v>41</v>
      </c>
      <c r="E6255" s="5">
        <v>-28705</v>
      </c>
      <c r="F6255" s="3" t="s">
        <v>1844</v>
      </c>
      <c r="G6255" s="3" t="s">
        <v>43</v>
      </c>
      <c r="H6255" s="2" t="s">
        <v>21</v>
      </c>
      <c r="I6255" s="2" t="s">
        <v>12320</v>
      </c>
      <c r="J6255" s="3" t="str">
        <f>HYPERLINK("https://www.boe.es/gazeta/dias/1821/05/28/pdfs/GMD-1821-150.pdf#page=1","Abrir facsímil")</f>
        <v>Abrir facsímil</v>
      </c>
      <c r="K6255" s="3" t="s">
        <v>23</v>
      </c>
    </row>
    <row r="6256" spans="1:11" ht="42" customHeight="1">
      <c r="A6256" s="2" t="s">
        <v>12321</v>
      </c>
      <c r="B6256" s="2" t="s">
        <v>12322</v>
      </c>
      <c r="C6256" s="2" t="s">
        <v>26</v>
      </c>
      <c r="D6256" s="2" t="s">
        <v>27</v>
      </c>
      <c r="E6256" s="5">
        <v>-28662</v>
      </c>
      <c r="F6256" s="3" t="s">
        <v>3289</v>
      </c>
      <c r="G6256" s="3" t="s">
        <v>20</v>
      </c>
      <c r="H6256" s="2" t="s">
        <v>21</v>
      </c>
      <c r="I6256" s="2" t="s">
        <v>12323</v>
      </c>
      <c r="J6256" s="3" t="str">
        <f>HYPERLINK("https://www.boe.es/gazeta/dias/1821/07/10/pdfs/GMD-1821-195.pdf#page=3","Abrir facsímil")</f>
        <v>Abrir facsímil</v>
      </c>
      <c r="K6256" s="3" t="s">
        <v>23</v>
      </c>
    </row>
    <row r="6257" spans="1:11" ht="42" customHeight="1">
      <c r="A6257" s="2" t="s">
        <v>12324</v>
      </c>
      <c r="B6257" s="2" t="s">
        <v>12325</v>
      </c>
      <c r="C6257" s="2" t="s">
        <v>40</v>
      </c>
      <c r="D6257" s="2" t="s">
        <v>41</v>
      </c>
      <c r="E6257" s="5">
        <v>-28598</v>
      </c>
      <c r="F6257" s="3" t="s">
        <v>1206</v>
      </c>
      <c r="G6257" s="3" t="s">
        <v>52</v>
      </c>
      <c r="H6257" s="2" t="s">
        <v>21</v>
      </c>
      <c r="I6257" s="2" t="s">
        <v>12326</v>
      </c>
      <c r="J6257" s="3" t="str">
        <f>HYPERLINK("https://www.boe.es/gazeta/dias/1821/09/12/pdfs/GMD-1821-260.pdf#page=2","Abrir facsímil")</f>
        <v>Abrir facsímil</v>
      </c>
      <c r="K6257" s="3" t="s">
        <v>23</v>
      </c>
    </row>
    <row r="6258" spans="1:11" ht="42" customHeight="1">
      <c r="A6258" s="2" t="s">
        <v>12327</v>
      </c>
      <c r="B6258" s="2" t="s">
        <v>12328</v>
      </c>
      <c r="C6258" s="2" t="s">
        <v>17</v>
      </c>
      <c r="D6258" s="2" t="s">
        <v>18</v>
      </c>
      <c r="E6258" s="5">
        <v>-28798</v>
      </c>
      <c r="F6258" s="3" t="s">
        <v>60</v>
      </c>
      <c r="G6258" s="3" t="s">
        <v>20</v>
      </c>
      <c r="H6258" s="2" t="s">
        <v>21</v>
      </c>
      <c r="I6258" s="2" t="s">
        <v>12329</v>
      </c>
      <c r="J6258" s="3" t="str">
        <f>HYPERLINK("https://www.boe.es/gazeta/dias/1821/02/24/pdfs/GGB-1821-55.pdf#page=3","Abrir facsímil")</f>
        <v>Abrir facsímil</v>
      </c>
      <c r="K6258" s="3" t="s">
        <v>23</v>
      </c>
    </row>
    <row r="6259" spans="1:11" ht="42" customHeight="1">
      <c r="A6259" s="2" t="s">
        <v>12330</v>
      </c>
      <c r="B6259" s="2" t="s">
        <v>12331</v>
      </c>
      <c r="C6259" s="2" t="s">
        <v>40</v>
      </c>
      <c r="D6259" s="2" t="s">
        <v>41</v>
      </c>
      <c r="E6259" s="5">
        <v>-28654</v>
      </c>
      <c r="F6259" s="3" t="s">
        <v>674</v>
      </c>
      <c r="G6259" s="3" t="s">
        <v>43</v>
      </c>
      <c r="H6259" s="2" t="s">
        <v>21</v>
      </c>
      <c r="I6259" s="2" t="s">
        <v>12332</v>
      </c>
      <c r="J6259" s="3" t="str">
        <f>HYPERLINK("https://www.boe.es/gazeta/dias/1821/07/18/pdfs/GMD-1821-203.pdf#page=1","Abrir facsímil")</f>
        <v>Abrir facsímil</v>
      </c>
      <c r="K6259" s="3" t="s">
        <v>23</v>
      </c>
    </row>
    <row r="6260" spans="1:11" ht="42" customHeight="1">
      <c r="A6260" s="2" t="s">
        <v>12333</v>
      </c>
      <c r="B6260" s="2" t="s">
        <v>12333</v>
      </c>
      <c r="C6260" s="2" t="s">
        <v>40</v>
      </c>
      <c r="D6260" s="2" t="s">
        <v>41</v>
      </c>
      <c r="E6260" s="5">
        <v>-28510</v>
      </c>
      <c r="F6260" s="3" t="s">
        <v>83</v>
      </c>
      <c r="G6260" s="3" t="s">
        <v>43</v>
      </c>
      <c r="H6260" s="2" t="s">
        <v>21</v>
      </c>
      <c r="I6260" s="2" t="s">
        <v>12334</v>
      </c>
      <c r="J6260" s="3" t="str">
        <f>HYPERLINK("https://www.boe.es/gazeta/dias/1821/12/09/pdfs/GMD-1821-351.pdf#page=1","Abrir facsímil")</f>
        <v>Abrir facsímil</v>
      </c>
      <c r="K6260" s="3" t="s">
        <v>23</v>
      </c>
    </row>
    <row r="6261" spans="1:11" ht="42" customHeight="1">
      <c r="A6261" s="2" t="s">
        <v>12333</v>
      </c>
      <c r="B6261" s="2" t="s">
        <v>12333</v>
      </c>
      <c r="C6261" s="2" t="s">
        <v>40</v>
      </c>
      <c r="D6261" s="2" t="s">
        <v>41</v>
      </c>
      <c r="E6261" s="5">
        <v>-28494</v>
      </c>
      <c r="F6261" s="3" t="s">
        <v>1665</v>
      </c>
      <c r="G6261" s="3" t="s">
        <v>2803</v>
      </c>
      <c r="H6261" s="2" t="s">
        <v>21</v>
      </c>
      <c r="I6261" s="2" t="s">
        <v>12335</v>
      </c>
      <c r="J6261" s="3" t="str">
        <f>HYPERLINK("https://www.boe.es/gazeta/dias/1821/12/25/pdfs/GMD-1821-368.pdf#page=2","Abrir facsímil")</f>
        <v>Abrir facsímil</v>
      </c>
      <c r="K6261" s="3" t="s">
        <v>23</v>
      </c>
    </row>
    <row r="6262" spans="1:11" ht="42" customHeight="1">
      <c r="A6262" s="2" t="s">
        <v>12336</v>
      </c>
      <c r="B6262" s="2" t="s">
        <v>12337</v>
      </c>
      <c r="C6262" s="2" t="s">
        <v>70</v>
      </c>
      <c r="D6262" s="2" t="s">
        <v>27</v>
      </c>
      <c r="E6262" s="5">
        <v>-28607</v>
      </c>
      <c r="F6262" s="3" t="s">
        <v>740</v>
      </c>
      <c r="G6262" s="3" t="s">
        <v>52</v>
      </c>
      <c r="H6262" s="2" t="s">
        <v>21</v>
      </c>
      <c r="I6262" s="2" t="s">
        <v>12338</v>
      </c>
      <c r="J6262" s="3" t="str">
        <f>HYPERLINK("https://www.boe.es/gazeta/dias/1821/09/03/pdfs/GMD-1821-251.pdf#page=2","Abrir facsímil")</f>
        <v>Abrir facsímil</v>
      </c>
      <c r="K6262" s="3" t="s">
        <v>23</v>
      </c>
    </row>
    <row r="6263" spans="1:11" ht="42" customHeight="1">
      <c r="A6263" s="2" t="s">
        <v>12339</v>
      </c>
      <c r="B6263" s="2" t="s">
        <v>12340</v>
      </c>
      <c r="C6263" s="2" t="s">
        <v>40</v>
      </c>
      <c r="D6263" s="2" t="s">
        <v>41</v>
      </c>
      <c r="E6263" s="5">
        <v>-28791</v>
      </c>
      <c r="F6263" s="3" t="s">
        <v>47</v>
      </c>
      <c r="G6263" s="3" t="s">
        <v>88</v>
      </c>
      <c r="H6263" s="2" t="s">
        <v>21</v>
      </c>
      <c r="I6263" s="2" t="s">
        <v>12341</v>
      </c>
      <c r="J6263" s="3" t="str">
        <f>HYPERLINK("https://www.boe.es/gazeta/dias/1821/03/03/pdfs/GGB-1821-62.pdf#page=4","Abrir facsímil")</f>
        <v>Abrir facsímil</v>
      </c>
      <c r="K6263" s="3" t="s">
        <v>23</v>
      </c>
    </row>
    <row r="6264" spans="1:11" ht="42" customHeight="1">
      <c r="A6264" s="2" t="s">
        <v>12342</v>
      </c>
      <c r="B6264" s="2" t="s">
        <v>12343</v>
      </c>
      <c r="C6264" s="2" t="s">
        <v>17</v>
      </c>
      <c r="D6264" s="2" t="s">
        <v>18</v>
      </c>
      <c r="E6264" s="5">
        <v>-28587</v>
      </c>
      <c r="F6264" s="3" t="s">
        <v>392</v>
      </c>
      <c r="G6264" s="3" t="s">
        <v>20</v>
      </c>
      <c r="H6264" s="2" t="s">
        <v>21</v>
      </c>
      <c r="I6264" s="2" t="s">
        <v>12344</v>
      </c>
      <c r="J6264" s="3" t="str">
        <f>HYPERLINK("https://www.boe.es/gazeta/dias/1821/09/23/pdfs/GMD-1821-271.pdf#page=3","Abrir facsímil")</f>
        <v>Abrir facsímil</v>
      </c>
      <c r="K6264" s="3" t="s">
        <v>23</v>
      </c>
    </row>
    <row r="6265" spans="1:11" ht="42" customHeight="1">
      <c r="A6265" s="2" t="s">
        <v>12345</v>
      </c>
      <c r="B6265" s="2" t="s">
        <v>12346</v>
      </c>
      <c r="C6265" s="2" t="s">
        <v>40</v>
      </c>
      <c r="D6265" s="2" t="s">
        <v>41</v>
      </c>
      <c r="E6265" s="5">
        <v>-28640</v>
      </c>
      <c r="F6265" s="3" t="s">
        <v>1590</v>
      </c>
      <c r="G6265" s="3" t="s">
        <v>12347</v>
      </c>
      <c r="H6265" s="2" t="s">
        <v>21</v>
      </c>
      <c r="I6265" s="2" t="s">
        <v>12348</v>
      </c>
      <c r="J6265" s="3" t="str">
        <f>HYPERLINK("https://www.boe.es/gazeta/dias/1821/08/01/pdfs/GMD-1821-217.pdf#page=4","Abrir facsímil")</f>
        <v>Abrir facsímil</v>
      </c>
      <c r="K6265" s="3" t="s">
        <v>23</v>
      </c>
    </row>
    <row r="6266" spans="1:11" ht="42" customHeight="1">
      <c r="A6266" s="2" t="s">
        <v>12349</v>
      </c>
      <c r="B6266" s="2" t="s">
        <v>12349</v>
      </c>
      <c r="C6266" s="2" t="s">
        <v>26</v>
      </c>
      <c r="D6266" s="2" t="s">
        <v>27</v>
      </c>
      <c r="E6266" s="5">
        <v>-28626</v>
      </c>
      <c r="F6266" s="3" t="s">
        <v>468</v>
      </c>
      <c r="G6266" s="3" t="s">
        <v>52</v>
      </c>
      <c r="H6266" s="2" t="s">
        <v>21</v>
      </c>
      <c r="I6266" s="2" t="s">
        <v>12350</v>
      </c>
      <c r="J6266" s="3" t="str">
        <f>HYPERLINK("https://www.boe.es/gazeta/dias/1821/08/15/pdfs/GMD-1821-232.pdf#page=2","Abrir facsímil")</f>
        <v>Abrir facsímil</v>
      </c>
      <c r="K6266" s="3" t="s">
        <v>23</v>
      </c>
    </row>
    <row r="6267" spans="1:11" ht="42" customHeight="1">
      <c r="A6267" s="2" t="s">
        <v>12351</v>
      </c>
      <c r="B6267" s="2" t="s">
        <v>12351</v>
      </c>
      <c r="C6267" s="2" t="s">
        <v>26</v>
      </c>
      <c r="D6267" s="2" t="s">
        <v>27</v>
      </c>
      <c r="E6267" s="5">
        <v>-28810</v>
      </c>
      <c r="F6267" s="3" t="s">
        <v>308</v>
      </c>
      <c r="G6267" s="3" t="s">
        <v>20</v>
      </c>
      <c r="H6267" s="2" t="s">
        <v>21</v>
      </c>
      <c r="I6267" s="2" t="s">
        <v>12352</v>
      </c>
      <c r="J6267" s="3" t="str">
        <f>HYPERLINK("https://www.boe.es/gazeta/dias/1821/02/12/pdfs/GGB-1821-43.pdf#page=3","Abrir facsímil")</f>
        <v>Abrir facsímil</v>
      </c>
      <c r="K6267" s="3" t="s">
        <v>23</v>
      </c>
    </row>
    <row r="6268" spans="1:11" ht="42" customHeight="1">
      <c r="A6268" s="2" t="s">
        <v>12351</v>
      </c>
      <c r="B6268" s="2" t="s">
        <v>12351</v>
      </c>
      <c r="C6268" s="2" t="s">
        <v>70</v>
      </c>
      <c r="D6268" s="2" t="s">
        <v>27</v>
      </c>
      <c r="E6268" s="5">
        <v>-28805</v>
      </c>
      <c r="F6268" s="3" t="s">
        <v>382</v>
      </c>
      <c r="G6268" s="3" t="s">
        <v>20</v>
      </c>
      <c r="H6268" s="2" t="s">
        <v>21</v>
      </c>
      <c r="I6268" s="2" t="s">
        <v>12353</v>
      </c>
      <c r="J6268" s="3" t="str">
        <f>HYPERLINK("https://www.boe.es/gazeta/dias/1821/02/17/pdfs/GGB-1821-48.pdf#page=3","Abrir facsímil")</f>
        <v>Abrir facsímil</v>
      </c>
      <c r="K6268" s="3" t="s">
        <v>23</v>
      </c>
    </row>
    <row r="6269" spans="1:11" ht="42" customHeight="1">
      <c r="A6269" s="2" t="s">
        <v>12351</v>
      </c>
      <c r="B6269" s="2" t="s">
        <v>12351</v>
      </c>
      <c r="C6269" s="2" t="s">
        <v>40</v>
      </c>
      <c r="D6269" s="2" t="s">
        <v>41</v>
      </c>
      <c r="E6269" s="5">
        <v>-28804</v>
      </c>
      <c r="F6269" s="3" t="s">
        <v>1580</v>
      </c>
      <c r="G6269" s="3" t="s">
        <v>52</v>
      </c>
      <c r="H6269" s="2" t="s">
        <v>21</v>
      </c>
      <c r="I6269" s="2" t="s">
        <v>12354</v>
      </c>
      <c r="J6269" s="3" t="str">
        <f>HYPERLINK("https://www.boe.es/gazeta/dias/1821/02/18/pdfs/GGB-1821-49.pdf#page=2","Abrir facsímil")</f>
        <v>Abrir facsímil</v>
      </c>
      <c r="K6269" s="3" t="s">
        <v>23</v>
      </c>
    </row>
    <row r="6270" spans="1:11" ht="42" customHeight="1">
      <c r="A6270" s="2" t="s">
        <v>12355</v>
      </c>
      <c r="B6270" s="2" t="s">
        <v>12355</v>
      </c>
      <c r="C6270" s="2" t="s">
        <v>26</v>
      </c>
      <c r="D6270" s="2" t="s">
        <v>27</v>
      </c>
      <c r="E6270" s="5">
        <v>-28792</v>
      </c>
      <c r="F6270" s="3" t="s">
        <v>2289</v>
      </c>
      <c r="G6270" s="3" t="s">
        <v>2290</v>
      </c>
      <c r="H6270" s="2" t="s">
        <v>21</v>
      </c>
      <c r="I6270" s="2" t="s">
        <v>12356</v>
      </c>
      <c r="J6270" s="3" t="str">
        <f>HYPERLINK("https://www.boe.es/gazeta/dias/1821/03/02/pdfs/GGB-1821-61.pdf#page=2","Abrir facsímil")</f>
        <v>Abrir facsímil</v>
      </c>
      <c r="K6270" s="3" t="s">
        <v>23</v>
      </c>
    </row>
    <row r="6271" spans="1:11" ht="42" customHeight="1">
      <c r="A6271" s="2" t="s">
        <v>12351</v>
      </c>
      <c r="B6271" s="2" t="s">
        <v>12351</v>
      </c>
      <c r="C6271" s="2" t="s">
        <v>17</v>
      </c>
      <c r="D6271" s="2" t="s">
        <v>18</v>
      </c>
      <c r="E6271" s="5">
        <v>-28783</v>
      </c>
      <c r="F6271" s="3" t="s">
        <v>198</v>
      </c>
      <c r="G6271" s="3" t="s">
        <v>52</v>
      </c>
      <c r="H6271" s="2" t="s">
        <v>21</v>
      </c>
      <c r="I6271" s="2" t="s">
        <v>12357</v>
      </c>
      <c r="J6271" s="3" t="str">
        <f>HYPERLINK("https://www.boe.es/gazeta/dias/1821/03/11/pdfs/GGB-1821-70.pdf#page=2","Abrir facsímil")</f>
        <v>Abrir facsímil</v>
      </c>
      <c r="K6271" s="3" t="s">
        <v>23</v>
      </c>
    </row>
    <row r="6272" spans="1:11" ht="42" customHeight="1">
      <c r="A6272" s="2" t="s">
        <v>12351</v>
      </c>
      <c r="B6272" s="2" t="s">
        <v>12351</v>
      </c>
      <c r="C6272" s="2" t="s">
        <v>70</v>
      </c>
      <c r="D6272" s="2" t="s">
        <v>27</v>
      </c>
      <c r="E6272" s="5">
        <v>-28708</v>
      </c>
      <c r="F6272" s="3" t="s">
        <v>528</v>
      </c>
      <c r="G6272" s="3" t="s">
        <v>1716</v>
      </c>
      <c r="H6272" s="2" t="s">
        <v>21</v>
      </c>
      <c r="I6272" s="2" t="s">
        <v>12358</v>
      </c>
      <c r="J6272" s="3" t="str">
        <f>HYPERLINK("https://www.boe.es/gazeta/dias/1821/05/25/pdfs/GMD-1821-147.pdf#page=2","Abrir facsímil")</f>
        <v>Abrir facsímil</v>
      </c>
      <c r="K6272" s="3" t="s">
        <v>23</v>
      </c>
    </row>
    <row r="6273" spans="1:11" ht="42" customHeight="1">
      <c r="A6273" s="2" t="s">
        <v>12351</v>
      </c>
      <c r="B6273" s="2" t="s">
        <v>12351</v>
      </c>
      <c r="C6273" s="2" t="s">
        <v>26</v>
      </c>
      <c r="D6273" s="2" t="s">
        <v>27</v>
      </c>
      <c r="E6273" s="5">
        <v>-28687</v>
      </c>
      <c r="F6273" s="3" t="s">
        <v>851</v>
      </c>
      <c r="G6273" s="3" t="s">
        <v>43</v>
      </c>
      <c r="H6273" s="2" t="s">
        <v>21</v>
      </c>
      <c r="I6273" s="2" t="s">
        <v>12359</v>
      </c>
      <c r="J6273" s="3" t="str">
        <f>HYPERLINK("https://www.boe.es/gazeta/dias/1821/06/15/pdfs/GMD-1821-168.pdf#page=1","Abrir facsímil")</f>
        <v>Abrir facsímil</v>
      </c>
      <c r="K6273" s="3" t="s">
        <v>23</v>
      </c>
    </row>
    <row r="6274" spans="1:11" ht="42" customHeight="1">
      <c r="A6274" s="2" t="s">
        <v>12351</v>
      </c>
      <c r="B6274" s="2" t="s">
        <v>12351</v>
      </c>
      <c r="C6274" s="2" t="s">
        <v>35</v>
      </c>
      <c r="D6274" s="2" t="s">
        <v>27</v>
      </c>
      <c r="E6274" s="5">
        <v>-28663</v>
      </c>
      <c r="F6274" s="3" t="s">
        <v>3032</v>
      </c>
      <c r="G6274" s="3" t="s">
        <v>20</v>
      </c>
      <c r="H6274" s="2" t="s">
        <v>21</v>
      </c>
      <c r="I6274" s="2" t="s">
        <v>12360</v>
      </c>
      <c r="J6274" s="3" t="str">
        <f>HYPERLINK("https://www.boe.es/gazeta/dias/1821/07/09/pdfs/GMD-1821-194.pdf#page=3","Abrir facsímil")</f>
        <v>Abrir facsímil</v>
      </c>
      <c r="K6274" s="3" t="s">
        <v>23</v>
      </c>
    </row>
    <row r="6275" spans="1:11" ht="42" customHeight="1">
      <c r="A6275" s="2" t="s">
        <v>12351</v>
      </c>
      <c r="B6275" s="2" t="s">
        <v>12351</v>
      </c>
      <c r="C6275" s="2" t="s">
        <v>26</v>
      </c>
      <c r="D6275" s="2" t="s">
        <v>27</v>
      </c>
      <c r="E6275" s="5">
        <v>-28657</v>
      </c>
      <c r="F6275" s="3" t="s">
        <v>5977</v>
      </c>
      <c r="G6275" s="3" t="s">
        <v>20</v>
      </c>
      <c r="H6275" s="2" t="s">
        <v>21</v>
      </c>
      <c r="I6275" s="2" t="s">
        <v>12361</v>
      </c>
      <c r="J6275" s="3" t="str">
        <f>HYPERLINK("https://www.boe.es/gazeta/dias/1821/07/15/pdfs/GMD-1821-200.pdf#page=3","Abrir facsímil")</f>
        <v>Abrir facsímil</v>
      </c>
      <c r="K6275" s="3" t="s">
        <v>23</v>
      </c>
    </row>
    <row r="6276" spans="1:11" ht="42" customHeight="1">
      <c r="A6276" s="2" t="s">
        <v>12351</v>
      </c>
      <c r="B6276" s="2" t="s">
        <v>12351</v>
      </c>
      <c r="C6276" s="2" t="s">
        <v>35</v>
      </c>
      <c r="D6276" s="2" t="s">
        <v>27</v>
      </c>
      <c r="E6276" s="5">
        <v>-28639</v>
      </c>
      <c r="F6276" s="3" t="s">
        <v>3316</v>
      </c>
      <c r="G6276" s="3" t="s">
        <v>52</v>
      </c>
      <c r="H6276" s="2" t="s">
        <v>21</v>
      </c>
      <c r="I6276" s="2" t="s">
        <v>12362</v>
      </c>
      <c r="J6276" s="3" t="str">
        <f>HYPERLINK("https://www.boe.es/gazeta/dias/1821/08/02/pdfs/GMD-1821-218.pdf#page=2","Abrir facsímil")</f>
        <v>Abrir facsímil</v>
      </c>
      <c r="K6276" s="3" t="s">
        <v>23</v>
      </c>
    </row>
    <row r="6277" spans="1:11" ht="42" customHeight="1">
      <c r="A6277" s="2" t="s">
        <v>12351</v>
      </c>
      <c r="B6277" s="2" t="s">
        <v>12351</v>
      </c>
      <c r="C6277" s="2" t="s">
        <v>35</v>
      </c>
      <c r="D6277" s="2" t="s">
        <v>27</v>
      </c>
      <c r="E6277" s="5">
        <v>-28623</v>
      </c>
      <c r="F6277" s="3" t="s">
        <v>2767</v>
      </c>
      <c r="G6277" s="3" t="s">
        <v>52</v>
      </c>
      <c r="H6277" s="2" t="s">
        <v>21</v>
      </c>
      <c r="I6277" s="2" t="s">
        <v>12363</v>
      </c>
      <c r="J6277" s="3" t="str">
        <f>HYPERLINK("https://www.boe.es/gazeta/dias/1821/08/18/pdfs/GMD-1821-235.pdf#page=2","Abrir facsímil")</f>
        <v>Abrir facsímil</v>
      </c>
      <c r="K6277" s="3" t="s">
        <v>23</v>
      </c>
    </row>
    <row r="6278" spans="1:11" ht="42" customHeight="1">
      <c r="A6278" s="2" t="s">
        <v>12351</v>
      </c>
      <c r="B6278" s="2" t="s">
        <v>12351</v>
      </c>
      <c r="C6278" s="2" t="s">
        <v>35</v>
      </c>
      <c r="D6278" s="2" t="s">
        <v>27</v>
      </c>
      <c r="E6278" s="5">
        <v>-28618</v>
      </c>
      <c r="F6278" s="3" t="s">
        <v>4041</v>
      </c>
      <c r="G6278" s="3" t="s">
        <v>52</v>
      </c>
      <c r="H6278" s="2" t="s">
        <v>21</v>
      </c>
      <c r="I6278" s="2" t="s">
        <v>12364</v>
      </c>
      <c r="J6278" s="3" t="str">
        <f>HYPERLINK("https://www.boe.es/gazeta/dias/1821/08/23/pdfs/GMD-1821-240.pdf#page=2","Abrir facsímil")</f>
        <v>Abrir facsímil</v>
      </c>
      <c r="K6278" s="3" t="s">
        <v>23</v>
      </c>
    </row>
    <row r="6279" spans="1:11" ht="42" customHeight="1">
      <c r="A6279" s="2" t="s">
        <v>12355</v>
      </c>
      <c r="B6279" s="2" t="s">
        <v>12355</v>
      </c>
      <c r="C6279" s="2" t="s">
        <v>26</v>
      </c>
      <c r="D6279" s="2" t="s">
        <v>27</v>
      </c>
      <c r="E6279" s="5">
        <v>-28613</v>
      </c>
      <c r="F6279" s="3" t="s">
        <v>178</v>
      </c>
      <c r="G6279" s="3" t="s">
        <v>52</v>
      </c>
      <c r="H6279" s="2" t="s">
        <v>21</v>
      </c>
      <c r="I6279" s="2" t="s">
        <v>12365</v>
      </c>
      <c r="J6279" s="3" t="str">
        <f>HYPERLINK("https://www.boe.es/gazeta/dias/1821/08/28/pdfs/GMD-1821-245.pdf#page=2","Abrir facsímil")</f>
        <v>Abrir facsímil</v>
      </c>
      <c r="K6279" s="3" t="s">
        <v>23</v>
      </c>
    </row>
    <row r="6280" spans="1:11" ht="42" customHeight="1">
      <c r="A6280" s="2" t="s">
        <v>12351</v>
      </c>
      <c r="B6280" s="2" t="s">
        <v>12351</v>
      </c>
      <c r="C6280" s="2" t="s">
        <v>35</v>
      </c>
      <c r="D6280" s="2" t="s">
        <v>27</v>
      </c>
      <c r="E6280" s="5">
        <v>-28606</v>
      </c>
      <c r="F6280" s="3" t="s">
        <v>1799</v>
      </c>
      <c r="G6280" s="3" t="s">
        <v>52</v>
      </c>
      <c r="H6280" s="2" t="s">
        <v>21</v>
      </c>
      <c r="I6280" s="2" t="s">
        <v>12366</v>
      </c>
      <c r="J6280" s="3" t="str">
        <f>HYPERLINK("https://www.boe.es/gazeta/dias/1821/09/04/pdfs/GMD-1821-252.pdf#page=2","Abrir facsímil")</f>
        <v>Abrir facsímil</v>
      </c>
      <c r="K6280" s="3" t="s">
        <v>23</v>
      </c>
    </row>
    <row r="6281" spans="1:11" ht="42" customHeight="1">
      <c r="A6281" s="2" t="s">
        <v>12367</v>
      </c>
      <c r="B6281" s="2" t="s">
        <v>12368</v>
      </c>
      <c r="C6281" s="2" t="s">
        <v>35</v>
      </c>
      <c r="D6281" s="2" t="s">
        <v>27</v>
      </c>
      <c r="E6281" s="5">
        <v>-28749</v>
      </c>
      <c r="F6281" s="3" t="s">
        <v>832</v>
      </c>
      <c r="G6281" s="3" t="s">
        <v>20</v>
      </c>
      <c r="H6281" s="2" t="s">
        <v>21</v>
      </c>
      <c r="I6281" s="2" t="s">
        <v>12369</v>
      </c>
      <c r="J6281" s="3" t="str">
        <f>HYPERLINK("https://www.boe.es/gazeta/dias/1821/04/14/pdfs/GMD-1821-106.pdf#page=3","Abrir facsímil")</f>
        <v>Abrir facsímil</v>
      </c>
      <c r="K6281" s="3" t="s">
        <v>23</v>
      </c>
    </row>
    <row r="6282" spans="1:11" ht="42" customHeight="1">
      <c r="A6282" s="2" t="s">
        <v>12370</v>
      </c>
      <c r="B6282" s="2" t="s">
        <v>12371</v>
      </c>
      <c r="C6282" s="2" t="s">
        <v>17</v>
      </c>
      <c r="D6282" s="2" t="s">
        <v>18</v>
      </c>
      <c r="E6282" s="5">
        <v>-28806</v>
      </c>
      <c r="F6282" s="3" t="s">
        <v>1201</v>
      </c>
      <c r="G6282" s="3" t="s">
        <v>52</v>
      </c>
      <c r="H6282" s="2" t="s">
        <v>21</v>
      </c>
      <c r="I6282" s="2" t="s">
        <v>12372</v>
      </c>
      <c r="J6282" s="3" t="str">
        <f>HYPERLINK("https://www.boe.es/gazeta/dias/1821/02/16/pdfs/GGB-1821-47.pdf#page=2","Abrir facsímil")</f>
        <v>Abrir facsímil</v>
      </c>
      <c r="K6282" s="3" t="s">
        <v>23</v>
      </c>
    </row>
    <row r="6283" spans="1:11" ht="42" customHeight="1">
      <c r="A6283" s="2" t="s">
        <v>12373</v>
      </c>
      <c r="B6283" s="2" t="s">
        <v>12373</v>
      </c>
      <c r="C6283" s="2" t="s">
        <v>35</v>
      </c>
      <c r="D6283" s="2" t="s">
        <v>27</v>
      </c>
      <c r="E6283" s="5">
        <v>-28613</v>
      </c>
      <c r="F6283" s="3" t="s">
        <v>178</v>
      </c>
      <c r="G6283" s="3" t="s">
        <v>20</v>
      </c>
      <c r="H6283" s="2" t="s">
        <v>21</v>
      </c>
      <c r="I6283" s="2" t="s">
        <v>12374</v>
      </c>
      <c r="J6283" s="3" t="str">
        <f>HYPERLINK("https://www.boe.es/gazeta/dias/1821/08/28/pdfs/GMD-1821-245.pdf#page=3","Abrir facsímil")</f>
        <v>Abrir facsímil</v>
      </c>
      <c r="K6283" s="3" t="s">
        <v>23</v>
      </c>
    </row>
    <row r="6284" spans="1:11" ht="42" customHeight="1">
      <c r="A6284" s="2" t="s">
        <v>12375</v>
      </c>
      <c r="B6284" s="2" t="s">
        <v>12375</v>
      </c>
      <c r="C6284" s="2" t="s">
        <v>70</v>
      </c>
      <c r="D6284" s="2" t="s">
        <v>27</v>
      </c>
      <c r="E6284" s="5">
        <v>-28798</v>
      </c>
      <c r="F6284" s="3" t="s">
        <v>60</v>
      </c>
      <c r="G6284" s="3" t="s">
        <v>52</v>
      </c>
      <c r="H6284" s="2" t="s">
        <v>21</v>
      </c>
      <c r="I6284" s="2" t="s">
        <v>12376</v>
      </c>
      <c r="J6284" s="3" t="str">
        <f>HYPERLINK("https://www.boe.es/gazeta/dias/1821/02/24/pdfs/GGB-1821-55.pdf#page=2","Abrir facsímil")</f>
        <v>Abrir facsímil</v>
      </c>
      <c r="K6284" s="3" t="s">
        <v>23</v>
      </c>
    </row>
    <row r="6285" spans="1:11" ht="42" customHeight="1">
      <c r="A6285" s="2" t="s">
        <v>12377</v>
      </c>
      <c r="B6285" s="2" t="s">
        <v>12378</v>
      </c>
      <c r="C6285" s="2" t="s">
        <v>40</v>
      </c>
      <c r="D6285" s="2" t="s">
        <v>41</v>
      </c>
      <c r="E6285" s="5">
        <v>-28706</v>
      </c>
      <c r="F6285" s="3" t="s">
        <v>4791</v>
      </c>
      <c r="G6285" s="3" t="s">
        <v>88</v>
      </c>
      <c r="H6285" s="2" t="s">
        <v>21</v>
      </c>
      <c r="I6285" s="2" t="s">
        <v>12379</v>
      </c>
      <c r="J6285" s="3" t="str">
        <f>HYPERLINK("https://www.boe.es/gazeta/dias/1821/05/27/pdfs/GMD-1821-149.pdf#page=4","Abrir facsímil")</f>
        <v>Abrir facsímil</v>
      </c>
      <c r="K6285" s="3" t="s">
        <v>23</v>
      </c>
    </row>
    <row r="6286" spans="1:11" ht="42" customHeight="1">
      <c r="A6286" s="2" t="s">
        <v>12380</v>
      </c>
      <c r="B6286" s="2" t="s">
        <v>12381</v>
      </c>
      <c r="C6286" s="2" t="s">
        <v>40</v>
      </c>
      <c r="D6286" s="2" t="s">
        <v>41</v>
      </c>
      <c r="E6286" s="5">
        <v>-28511</v>
      </c>
      <c r="F6286" s="3" t="s">
        <v>340</v>
      </c>
      <c r="G6286" s="3" t="s">
        <v>52</v>
      </c>
      <c r="H6286" s="2" t="s">
        <v>30</v>
      </c>
      <c r="I6286" s="2" t="s">
        <v>12382</v>
      </c>
      <c r="J6286" s="3" t="str">
        <f>HYPERLINK("https://www.boe.es/gazeta/dias/1821/12/08/pdfs/GMD-1821-350.pdf#page=2","Abrir facsímil")</f>
        <v>Abrir facsímil</v>
      </c>
      <c r="K6286" s="3" t="s">
        <v>32</v>
      </c>
    </row>
    <row r="6287" spans="1:11" ht="42" customHeight="1">
      <c r="A6287" s="2" t="s">
        <v>12383</v>
      </c>
      <c r="B6287" s="2" t="s">
        <v>12384</v>
      </c>
      <c r="C6287" s="2" t="s">
        <v>279</v>
      </c>
      <c r="D6287" s="2" t="s">
        <v>27</v>
      </c>
      <c r="E6287" s="5">
        <v>-28715</v>
      </c>
      <c r="F6287" s="3" t="s">
        <v>1046</v>
      </c>
      <c r="G6287" s="3" t="s">
        <v>43</v>
      </c>
      <c r="H6287" s="2" t="s">
        <v>30</v>
      </c>
      <c r="I6287" s="2" t="s">
        <v>12385</v>
      </c>
      <c r="J6287" s="3" t="str">
        <f>HYPERLINK("https://www.boe.es/gazeta/dias/1821/05/18/pdfs/GMD-1821-140.pdf#page=1","Abrir facsímil")</f>
        <v>Abrir facsímil</v>
      </c>
      <c r="K6287" s="3" t="s">
        <v>32</v>
      </c>
    </row>
    <row r="6288" spans="1:11" ht="42" customHeight="1">
      <c r="A6288" s="2" t="s">
        <v>12386</v>
      </c>
      <c r="B6288" s="2" t="s">
        <v>12387</v>
      </c>
      <c r="C6288" s="2" t="s">
        <v>40</v>
      </c>
      <c r="D6288" s="2" t="s">
        <v>41</v>
      </c>
      <c r="E6288" s="5">
        <v>-28492</v>
      </c>
      <c r="F6288" s="3" t="s">
        <v>1550</v>
      </c>
      <c r="G6288" s="3" t="s">
        <v>88</v>
      </c>
      <c r="H6288" s="2" t="s">
        <v>21</v>
      </c>
      <c r="I6288" s="2" t="s">
        <v>12388</v>
      </c>
      <c r="J6288" s="3" t="str">
        <f>HYPERLINK("https://www.boe.es/gazeta/dias/1821/12/27/pdfs/GMD-1821-370.pdf#page=4","Abrir facsímil")</f>
        <v>Abrir facsímil</v>
      </c>
      <c r="K6288" s="3" t="s">
        <v>23</v>
      </c>
    </row>
    <row r="6289" spans="1:11" ht="42" customHeight="1">
      <c r="A6289" s="2" t="s">
        <v>12389</v>
      </c>
      <c r="B6289" s="2" t="s">
        <v>12389</v>
      </c>
      <c r="C6289" s="2" t="s">
        <v>40</v>
      </c>
      <c r="D6289" s="2" t="s">
        <v>41</v>
      </c>
      <c r="E6289" s="5">
        <v>-28757</v>
      </c>
      <c r="F6289" s="3" t="s">
        <v>472</v>
      </c>
      <c r="G6289" s="3" t="s">
        <v>88</v>
      </c>
      <c r="H6289" s="2" t="s">
        <v>21</v>
      </c>
      <c r="I6289" s="2" t="s">
        <v>12390</v>
      </c>
      <c r="J6289" s="3" t="str">
        <f>HYPERLINK("https://www.boe.es/gazeta/dias/1821/04/06/pdfs/GMD-1821-98.pdf#page=4","Abrir facsímil")</f>
        <v>Abrir facsímil</v>
      </c>
      <c r="K6289" s="3" t="s">
        <v>23</v>
      </c>
    </row>
    <row r="6290" spans="1:11" ht="42" customHeight="1">
      <c r="A6290" s="2" t="s">
        <v>12391</v>
      </c>
      <c r="B6290" s="2" t="s">
        <v>12391</v>
      </c>
      <c r="C6290" s="2" t="s">
        <v>40</v>
      </c>
      <c r="D6290" s="2" t="s">
        <v>41</v>
      </c>
      <c r="E6290" s="5">
        <v>-28787</v>
      </c>
      <c r="F6290" s="3" t="s">
        <v>486</v>
      </c>
      <c r="G6290" s="3" t="s">
        <v>52</v>
      </c>
      <c r="H6290" s="2" t="s">
        <v>21</v>
      </c>
      <c r="I6290" s="2" t="s">
        <v>12392</v>
      </c>
      <c r="J6290" s="3" t="str">
        <f>HYPERLINK("https://www.boe.es/gazeta/dias/1821/03/07/pdfs/GGB-1821-66.pdf#page=2","Abrir facsímil")</f>
        <v>Abrir facsímil</v>
      </c>
      <c r="K6290" s="3" t="s">
        <v>23</v>
      </c>
    </row>
    <row r="6291" spans="1:11" ht="42" customHeight="1">
      <c r="A6291" s="2" t="s">
        <v>12393</v>
      </c>
      <c r="B6291" s="2" t="s">
        <v>12393</v>
      </c>
      <c r="C6291" s="2" t="s">
        <v>17</v>
      </c>
      <c r="D6291" s="2" t="s">
        <v>18</v>
      </c>
      <c r="E6291" s="5">
        <v>-28786</v>
      </c>
      <c r="F6291" s="3" t="s">
        <v>1933</v>
      </c>
      <c r="G6291" s="3" t="s">
        <v>88</v>
      </c>
      <c r="H6291" s="2" t="s">
        <v>21</v>
      </c>
      <c r="I6291" s="2" t="s">
        <v>12394</v>
      </c>
      <c r="J6291" s="3" t="str">
        <f>HYPERLINK("https://www.boe.es/gazeta/dias/1821/03/08/pdfs/GGB-1821-67.pdf#page=4","Abrir facsímil")</f>
        <v>Abrir facsímil</v>
      </c>
      <c r="K6291" s="3" t="s">
        <v>23</v>
      </c>
    </row>
    <row r="6292" spans="1:11" ht="42" customHeight="1">
      <c r="A6292" s="2" t="s">
        <v>12395</v>
      </c>
      <c r="B6292" s="2" t="s">
        <v>12396</v>
      </c>
      <c r="C6292" s="2" t="s">
        <v>70</v>
      </c>
      <c r="D6292" s="2" t="s">
        <v>27</v>
      </c>
      <c r="E6292" s="5">
        <v>-28654</v>
      </c>
      <c r="F6292" s="3" t="s">
        <v>674</v>
      </c>
      <c r="G6292" s="3" t="s">
        <v>88</v>
      </c>
      <c r="H6292" s="2" t="s">
        <v>21</v>
      </c>
      <c r="I6292" s="2" t="s">
        <v>12397</v>
      </c>
      <c r="J6292" s="3" t="str">
        <f>HYPERLINK("https://www.boe.es/gazeta/dias/1821/07/18/pdfs/GMD-1821-203.pdf#page=4","Abrir facsímil")</f>
        <v>Abrir facsímil</v>
      </c>
      <c r="K6292" s="3" t="s">
        <v>23</v>
      </c>
    </row>
    <row r="6293" spans="1:11" ht="42" customHeight="1">
      <c r="A6293" s="2" t="s">
        <v>12398</v>
      </c>
      <c r="B6293" s="2" t="s">
        <v>12399</v>
      </c>
      <c r="C6293" s="2" t="s">
        <v>17</v>
      </c>
      <c r="D6293" s="2" t="s">
        <v>18</v>
      </c>
      <c r="E6293" s="5">
        <v>-28613</v>
      </c>
      <c r="F6293" s="3" t="s">
        <v>178</v>
      </c>
      <c r="G6293" s="3" t="s">
        <v>88</v>
      </c>
      <c r="H6293" s="2" t="s">
        <v>21</v>
      </c>
      <c r="I6293" s="2" t="s">
        <v>12400</v>
      </c>
      <c r="J6293" s="3" t="str">
        <f>HYPERLINK("https://www.boe.es/gazeta/dias/1821/08/28/pdfs/GMD-1821-245.pdf#page=4","Abrir facsímil")</f>
        <v>Abrir facsímil</v>
      </c>
      <c r="K6293" s="3" t="s">
        <v>23</v>
      </c>
    </row>
    <row r="6294" spans="1:11" ht="42" customHeight="1">
      <c r="A6294" s="2" t="s">
        <v>12401</v>
      </c>
      <c r="B6294" s="2" t="s">
        <v>12402</v>
      </c>
      <c r="C6294" s="2" t="s">
        <v>17</v>
      </c>
      <c r="D6294" s="2" t="s">
        <v>18</v>
      </c>
      <c r="E6294" s="5">
        <v>-28801</v>
      </c>
      <c r="F6294" s="3" t="s">
        <v>378</v>
      </c>
      <c r="G6294" s="3" t="s">
        <v>20</v>
      </c>
      <c r="H6294" s="2" t="s">
        <v>21</v>
      </c>
      <c r="I6294" s="2" t="s">
        <v>12403</v>
      </c>
      <c r="J6294" s="3" t="str">
        <f>HYPERLINK("https://www.boe.es/gazeta/dias/1821/02/21/pdfs/GGB-1821-52.pdf#page=3","Abrir facsímil")</f>
        <v>Abrir facsímil</v>
      </c>
      <c r="K6294" s="3" t="s">
        <v>23</v>
      </c>
    </row>
    <row r="6295" spans="1:11" ht="42" customHeight="1">
      <c r="A6295" s="2" t="s">
        <v>12404</v>
      </c>
      <c r="B6295" s="2" t="s">
        <v>12404</v>
      </c>
      <c r="C6295" s="2" t="s">
        <v>17</v>
      </c>
      <c r="D6295" s="2" t="s">
        <v>18</v>
      </c>
      <c r="E6295" s="5">
        <v>-28782</v>
      </c>
      <c r="F6295" s="3" t="s">
        <v>508</v>
      </c>
      <c r="G6295" s="3" t="s">
        <v>20</v>
      </c>
      <c r="H6295" s="2" t="s">
        <v>21</v>
      </c>
      <c r="I6295" s="2" t="s">
        <v>12405</v>
      </c>
      <c r="J6295" s="3" t="str">
        <f>HYPERLINK("https://www.boe.es/gazeta/dias/1821/03/12/pdfs/GMD-1821-71.pdf#page=3","Abrir facsímil")</f>
        <v>Abrir facsímil</v>
      </c>
      <c r="K6295" s="3" t="s">
        <v>23</v>
      </c>
    </row>
    <row r="6296" spans="1:11" ht="42" customHeight="1">
      <c r="A6296" s="2" t="s">
        <v>12406</v>
      </c>
      <c r="B6296" s="2" t="s">
        <v>12407</v>
      </c>
      <c r="C6296" s="2" t="s">
        <v>17</v>
      </c>
      <c r="D6296" s="2" t="s">
        <v>18</v>
      </c>
      <c r="E6296" s="5">
        <v>-28731</v>
      </c>
      <c r="F6296" s="3" t="s">
        <v>577</v>
      </c>
      <c r="G6296" s="3" t="s">
        <v>88</v>
      </c>
      <c r="H6296" s="2" t="s">
        <v>21</v>
      </c>
      <c r="I6296" s="2" t="s">
        <v>12408</v>
      </c>
      <c r="J6296" s="3" t="str">
        <f>HYPERLINK("https://www.boe.es/gazeta/dias/1821/05/02/pdfs/GMD-1821-124.pdf#page=4","Abrir facsímil")</f>
        <v>Abrir facsímil</v>
      </c>
      <c r="K6296" s="3" t="s">
        <v>23</v>
      </c>
    </row>
    <row r="6297" spans="1:11" ht="42" customHeight="1">
      <c r="A6297" s="2" t="s">
        <v>12409</v>
      </c>
      <c r="B6297" s="2" t="s">
        <v>12410</v>
      </c>
      <c r="C6297" s="2" t="s">
        <v>35</v>
      </c>
      <c r="D6297" s="2" t="s">
        <v>27</v>
      </c>
      <c r="E6297" s="5">
        <v>-28666</v>
      </c>
      <c r="F6297" s="3" t="s">
        <v>1263</v>
      </c>
      <c r="G6297" s="3" t="s">
        <v>88</v>
      </c>
      <c r="H6297" s="2" t="s">
        <v>21</v>
      </c>
      <c r="I6297" s="2" t="s">
        <v>12411</v>
      </c>
      <c r="J6297" s="3" t="str">
        <f>HYPERLINK("https://www.boe.es/gazeta/dias/1821/07/06/pdfs/GMD-1821-190.pdf#page=4","Abrir facsímil")</f>
        <v>Abrir facsímil</v>
      </c>
      <c r="K6297" s="3" t="s">
        <v>23</v>
      </c>
    </row>
    <row r="6298" spans="1:11" ht="42" customHeight="1">
      <c r="A6298" s="2" t="s">
        <v>12412</v>
      </c>
      <c r="B6298" s="2" t="s">
        <v>12413</v>
      </c>
      <c r="C6298" s="2" t="s">
        <v>17</v>
      </c>
      <c r="D6298" s="2" t="s">
        <v>18</v>
      </c>
      <c r="E6298" s="5">
        <v>-28776</v>
      </c>
      <c r="F6298" s="3" t="s">
        <v>312</v>
      </c>
      <c r="G6298" s="3" t="s">
        <v>162</v>
      </c>
      <c r="H6298" s="2" t="s">
        <v>21</v>
      </c>
      <c r="I6298" s="2" t="s">
        <v>12414</v>
      </c>
      <c r="J6298" s="3" t="str">
        <f>HYPERLINK("https://www.boe.es/gazeta/dias/1821/03/18/pdfs/GMD-1821-77.pdf#page=5","Abrir facsímil")</f>
        <v>Abrir facsímil</v>
      </c>
      <c r="K6298" s="3" t="s">
        <v>23</v>
      </c>
    </row>
    <row r="6299" spans="1:11" ht="42" customHeight="1">
      <c r="A6299" s="2" t="s">
        <v>12415</v>
      </c>
      <c r="B6299" s="2" t="s">
        <v>12416</v>
      </c>
      <c r="C6299" s="2" t="s">
        <v>26</v>
      </c>
      <c r="D6299" s="2" t="s">
        <v>27</v>
      </c>
      <c r="E6299" s="5">
        <v>-28751</v>
      </c>
      <c r="F6299" s="3" t="s">
        <v>356</v>
      </c>
      <c r="G6299" s="3" t="s">
        <v>43</v>
      </c>
      <c r="H6299" s="2" t="s">
        <v>21</v>
      </c>
      <c r="I6299" s="2" t="s">
        <v>12417</v>
      </c>
      <c r="J6299" s="3" t="str">
        <f>HYPERLINK("https://www.boe.es/gazeta/dias/1821/04/12/pdfs/GMD-1821-104.pdf#page=1","Abrir facsímil")</f>
        <v>Abrir facsímil</v>
      </c>
      <c r="K6299" s="3" t="s">
        <v>23</v>
      </c>
    </row>
    <row r="6300" spans="1:11" ht="42" customHeight="1">
      <c r="A6300" s="2" t="s">
        <v>12418</v>
      </c>
      <c r="B6300" s="2" t="s">
        <v>12418</v>
      </c>
      <c r="C6300" s="2" t="s">
        <v>40</v>
      </c>
      <c r="D6300" s="2" t="s">
        <v>41</v>
      </c>
      <c r="E6300" s="5">
        <v>-28497</v>
      </c>
      <c r="F6300" s="3" t="s">
        <v>225</v>
      </c>
      <c r="G6300" s="3" t="s">
        <v>43</v>
      </c>
      <c r="H6300" s="2" t="s">
        <v>21</v>
      </c>
      <c r="I6300" s="2" t="s">
        <v>12419</v>
      </c>
      <c r="J6300" s="3" t="str">
        <f>HYPERLINK("https://www.boe.es/gazeta/dias/1821/12/22/pdfs/GMD-1821-365.pdf#page=1","Abrir facsímil")</f>
        <v>Abrir facsímil</v>
      </c>
      <c r="K6300" s="3" t="s">
        <v>23</v>
      </c>
    </row>
    <row r="6301" spans="1:11" ht="42" customHeight="1">
      <c r="A6301" s="2" t="s">
        <v>12420</v>
      </c>
      <c r="B6301" s="2" t="s">
        <v>12421</v>
      </c>
      <c r="C6301" s="2" t="s">
        <v>114</v>
      </c>
      <c r="D6301" s="2" t="s">
        <v>27</v>
      </c>
      <c r="E6301" s="5">
        <v>-28641</v>
      </c>
      <c r="F6301" s="3" t="s">
        <v>398</v>
      </c>
      <c r="G6301" s="3" t="s">
        <v>88</v>
      </c>
      <c r="H6301" s="2" t="s">
        <v>21</v>
      </c>
      <c r="I6301" s="2" t="s">
        <v>12422</v>
      </c>
      <c r="J6301" s="3" t="str">
        <f>HYPERLINK("https://www.boe.es/gazeta/dias/1821/07/31/pdfs/GMD-1821-216.pdf#page=4","Abrir facsímil")</f>
        <v>Abrir facsímil</v>
      </c>
      <c r="K6301" s="3" t="s">
        <v>23</v>
      </c>
    </row>
    <row r="6302" spans="1:11" ht="42" customHeight="1">
      <c r="A6302" s="2" t="s">
        <v>12423</v>
      </c>
      <c r="B6302" s="2" t="s">
        <v>12424</v>
      </c>
      <c r="C6302" s="2" t="s">
        <v>26</v>
      </c>
      <c r="D6302" s="2" t="s">
        <v>27</v>
      </c>
      <c r="E6302" s="5">
        <v>-28496</v>
      </c>
      <c r="F6302" s="3" t="s">
        <v>785</v>
      </c>
      <c r="G6302" s="3" t="s">
        <v>52</v>
      </c>
      <c r="H6302" s="2" t="s">
        <v>21</v>
      </c>
      <c r="I6302" s="2" t="s">
        <v>12425</v>
      </c>
      <c r="J6302" s="3" t="str">
        <f>HYPERLINK("https://www.boe.es/gazeta/dias/1821/12/23/pdfs/GMD-1821-366.pdf#page=2","Abrir facsímil")</f>
        <v>Abrir facsímil</v>
      </c>
      <c r="K6302" s="3" t="s">
        <v>23</v>
      </c>
    </row>
    <row r="6303" spans="1:11" ht="42" customHeight="1">
      <c r="A6303" s="2" t="s">
        <v>12426</v>
      </c>
      <c r="B6303" s="2" t="s">
        <v>12426</v>
      </c>
      <c r="C6303" s="2" t="s">
        <v>40</v>
      </c>
      <c r="D6303" s="2" t="s">
        <v>41</v>
      </c>
      <c r="E6303" s="5">
        <v>-28759</v>
      </c>
      <c r="F6303" s="3" t="s">
        <v>71</v>
      </c>
      <c r="G6303" s="3" t="s">
        <v>52</v>
      </c>
      <c r="H6303" s="2" t="s">
        <v>21</v>
      </c>
      <c r="I6303" s="2" t="s">
        <v>12427</v>
      </c>
      <c r="J6303" s="3" t="str">
        <f>HYPERLINK("https://www.boe.es/gazeta/dias/1821/04/04/pdfs/GMD-1821-96.pdf#page=2","Abrir facsímil")</f>
        <v>Abrir facsímil</v>
      </c>
      <c r="K6303" s="3" t="s">
        <v>23</v>
      </c>
    </row>
    <row r="6304" spans="1:11" ht="42" customHeight="1">
      <c r="A6304" s="2" t="s">
        <v>12428</v>
      </c>
      <c r="B6304" s="2" t="s">
        <v>12429</v>
      </c>
      <c r="C6304" s="2" t="s">
        <v>17</v>
      </c>
      <c r="D6304" s="2" t="s">
        <v>18</v>
      </c>
      <c r="E6304" s="5">
        <v>-28660</v>
      </c>
      <c r="F6304" s="3" t="s">
        <v>7202</v>
      </c>
      <c r="G6304" s="3" t="s">
        <v>88</v>
      </c>
      <c r="H6304" s="2" t="s">
        <v>21</v>
      </c>
      <c r="I6304" s="2" t="s">
        <v>12430</v>
      </c>
      <c r="J6304" s="3" t="str">
        <f>HYPERLINK("https://www.boe.es/gazeta/dias/1821/07/12/pdfs/GMD-1821-197.pdf#page=4","Abrir facsímil")</f>
        <v>Abrir facsímil</v>
      </c>
      <c r="K6304" s="3" t="s">
        <v>23</v>
      </c>
    </row>
    <row r="6305" spans="1:11" ht="42" customHeight="1">
      <c r="A6305" s="2" t="s">
        <v>12431</v>
      </c>
      <c r="B6305" s="2" t="s">
        <v>12432</v>
      </c>
      <c r="C6305" s="2" t="s">
        <v>40</v>
      </c>
      <c r="D6305" s="2" t="s">
        <v>41</v>
      </c>
      <c r="E6305" s="5">
        <v>-28667</v>
      </c>
      <c r="F6305" s="3" t="s">
        <v>107</v>
      </c>
      <c r="G6305" s="3" t="s">
        <v>52</v>
      </c>
      <c r="H6305" s="2" t="s">
        <v>21</v>
      </c>
      <c r="I6305" s="2" t="s">
        <v>12433</v>
      </c>
      <c r="J6305" s="3" t="str">
        <f>HYPERLINK("https://www.boe.es/gazeta/dias/1821/07/05/pdfs/GMD-1821-189.pdf#page=2","Abrir facsímil")</f>
        <v>Abrir facsímil</v>
      </c>
      <c r="K6305" s="3" t="s">
        <v>23</v>
      </c>
    </row>
    <row r="6306" spans="1:11" ht="42" customHeight="1">
      <c r="A6306" s="2" t="s">
        <v>12434</v>
      </c>
      <c r="B6306" s="2" t="s">
        <v>12435</v>
      </c>
      <c r="C6306" s="2" t="s">
        <v>40</v>
      </c>
      <c r="D6306" s="2" t="s">
        <v>41</v>
      </c>
      <c r="E6306" s="5">
        <v>-28510</v>
      </c>
      <c r="F6306" s="3" t="s">
        <v>83</v>
      </c>
      <c r="G6306" s="3" t="s">
        <v>52</v>
      </c>
      <c r="H6306" s="2" t="s">
        <v>21</v>
      </c>
      <c r="I6306" s="2" t="s">
        <v>12436</v>
      </c>
      <c r="J6306" s="3" t="str">
        <f>HYPERLINK("https://www.boe.es/gazeta/dias/1821/12/09/pdfs/GMD-1821-351.pdf#page=2","Abrir facsímil")</f>
        <v>Abrir facsímil</v>
      </c>
      <c r="K6306" s="3" t="s">
        <v>23</v>
      </c>
    </row>
    <row r="6307" spans="1:11" ht="42" customHeight="1">
      <c r="A6307" s="2" t="s">
        <v>12437</v>
      </c>
      <c r="B6307" s="2" t="s">
        <v>12438</v>
      </c>
      <c r="C6307" s="2" t="s">
        <v>279</v>
      </c>
      <c r="D6307" s="2" t="s">
        <v>27</v>
      </c>
      <c r="E6307" s="5">
        <v>-28641</v>
      </c>
      <c r="F6307" s="3" t="s">
        <v>398</v>
      </c>
      <c r="G6307" s="3" t="s">
        <v>88</v>
      </c>
      <c r="H6307" s="2" t="s">
        <v>21</v>
      </c>
      <c r="I6307" s="2" t="s">
        <v>12439</v>
      </c>
      <c r="J6307" s="3" t="str">
        <f>HYPERLINK("https://www.boe.es/gazeta/dias/1821/07/31/pdfs/GMD-1821-216.pdf#page=4","Abrir facsímil")</f>
        <v>Abrir facsímil</v>
      </c>
      <c r="K6307" s="3" t="s">
        <v>23</v>
      </c>
    </row>
    <row r="6308" spans="1:11" ht="42" customHeight="1">
      <c r="A6308" s="2" t="s">
        <v>12440</v>
      </c>
      <c r="B6308" s="2" t="s">
        <v>12440</v>
      </c>
      <c r="C6308" s="2" t="s">
        <v>40</v>
      </c>
      <c r="D6308" s="2" t="s">
        <v>41</v>
      </c>
      <c r="E6308" s="5">
        <v>-28732</v>
      </c>
      <c r="F6308" s="3" t="s">
        <v>2628</v>
      </c>
      <c r="G6308" s="3" t="s">
        <v>43</v>
      </c>
      <c r="H6308" s="2" t="s">
        <v>21</v>
      </c>
      <c r="I6308" s="2" t="s">
        <v>12441</v>
      </c>
      <c r="J6308" s="3" t="str">
        <f>HYPERLINK("https://www.boe.es/gazeta/dias/1821/05/01/pdfs/GMD-1821-123.pdf#page=1","Abrir facsímil")</f>
        <v>Abrir facsímil</v>
      </c>
      <c r="K6308" s="3" t="s">
        <v>23</v>
      </c>
    </row>
    <row r="6309" spans="1:11" ht="42" customHeight="1">
      <c r="A6309" s="2" t="s">
        <v>12442</v>
      </c>
      <c r="B6309" s="2" t="s">
        <v>12442</v>
      </c>
      <c r="C6309" s="2" t="s">
        <v>174</v>
      </c>
      <c r="D6309" s="2" t="s">
        <v>27</v>
      </c>
      <c r="E6309" s="5">
        <v>-28842</v>
      </c>
      <c r="F6309" s="3" t="s">
        <v>660</v>
      </c>
      <c r="G6309" s="3" t="s">
        <v>88</v>
      </c>
      <c r="H6309" s="2" t="s">
        <v>21</v>
      </c>
      <c r="I6309" s="2" t="s">
        <v>12443</v>
      </c>
      <c r="J6309" s="3" t="str">
        <f>HYPERLINK("https://www.boe.es/gazeta/dias/1821/01/11/pdfs/GGB-1821-11.pdf#page=4","Abrir facsímil")</f>
        <v>Abrir facsímil</v>
      </c>
      <c r="K6309" s="3" t="s">
        <v>23</v>
      </c>
    </row>
    <row r="6310" spans="1:11" ht="42" customHeight="1">
      <c r="A6310" s="2" t="s">
        <v>12442</v>
      </c>
      <c r="B6310" s="2" t="s">
        <v>12442</v>
      </c>
      <c r="C6310" s="2" t="s">
        <v>114</v>
      </c>
      <c r="D6310" s="2" t="s">
        <v>27</v>
      </c>
      <c r="E6310" s="5">
        <v>-28810</v>
      </c>
      <c r="F6310" s="3" t="s">
        <v>308</v>
      </c>
      <c r="G6310" s="3" t="s">
        <v>88</v>
      </c>
      <c r="H6310" s="2" t="s">
        <v>21</v>
      </c>
      <c r="I6310" s="2" t="s">
        <v>12444</v>
      </c>
      <c r="J6310" s="3" t="str">
        <f>HYPERLINK("https://www.boe.es/gazeta/dias/1821/02/12/pdfs/GGB-1821-43.pdf#page=4","Abrir facsímil")</f>
        <v>Abrir facsímil</v>
      </c>
      <c r="K6310" s="3" t="s">
        <v>23</v>
      </c>
    </row>
    <row r="6311" spans="1:11" ht="42" customHeight="1">
      <c r="A6311" s="2" t="s">
        <v>12442</v>
      </c>
      <c r="B6311" s="2" t="s">
        <v>12442</v>
      </c>
      <c r="C6311" s="2" t="s">
        <v>17</v>
      </c>
      <c r="D6311" s="2" t="s">
        <v>18</v>
      </c>
      <c r="E6311" s="5">
        <v>-28800</v>
      </c>
      <c r="F6311" s="3" t="s">
        <v>1753</v>
      </c>
      <c r="G6311" s="3" t="s">
        <v>88</v>
      </c>
      <c r="H6311" s="2" t="s">
        <v>21</v>
      </c>
      <c r="I6311" s="2" t="s">
        <v>12445</v>
      </c>
      <c r="J6311" s="3" t="str">
        <f>HYPERLINK("https://www.boe.es/gazeta/dias/1821/02/22/pdfs/GGB-1821-53.pdf#page=4","Abrir facsímil")</f>
        <v>Abrir facsímil</v>
      </c>
      <c r="K6311" s="3" t="s">
        <v>23</v>
      </c>
    </row>
    <row r="6312" spans="1:11" ht="42" customHeight="1">
      <c r="A6312" s="2" t="s">
        <v>12442</v>
      </c>
      <c r="B6312" s="2" t="s">
        <v>12442</v>
      </c>
      <c r="C6312" s="2" t="s">
        <v>40</v>
      </c>
      <c r="D6312" s="2" t="s">
        <v>41</v>
      </c>
      <c r="E6312" s="5">
        <v>-28775</v>
      </c>
      <c r="F6312" s="3" t="s">
        <v>132</v>
      </c>
      <c r="G6312" s="3" t="s">
        <v>20</v>
      </c>
      <c r="H6312" s="2" t="s">
        <v>21</v>
      </c>
      <c r="I6312" s="2" t="s">
        <v>12446</v>
      </c>
      <c r="J6312" s="3" t="str">
        <f>HYPERLINK("https://www.boe.es/gazeta/dias/1821/03/19/pdfs/GMD-1821-78.pdf#page=3","Abrir facsímil")</f>
        <v>Abrir facsímil</v>
      </c>
      <c r="K6312" s="3" t="s">
        <v>23</v>
      </c>
    </row>
    <row r="6313" spans="1:11" ht="42" customHeight="1">
      <c r="A6313" s="2" t="s">
        <v>12442</v>
      </c>
      <c r="B6313" s="2" t="s">
        <v>12442</v>
      </c>
      <c r="C6313" s="2" t="s">
        <v>40</v>
      </c>
      <c r="D6313" s="2" t="s">
        <v>41</v>
      </c>
      <c r="E6313" s="5">
        <v>-28767</v>
      </c>
      <c r="F6313" s="3" t="s">
        <v>1439</v>
      </c>
      <c r="G6313" s="3" t="s">
        <v>1440</v>
      </c>
      <c r="H6313" s="2" t="s">
        <v>21</v>
      </c>
      <c r="I6313" s="2" t="s">
        <v>12447</v>
      </c>
      <c r="J6313" s="3" t="str">
        <f>HYPERLINK("https://www.boe.es/gazeta/dias/1821/03/27/pdfs/GMD-1821-87.pdf#page=3","Abrir facsímil")</f>
        <v>Abrir facsímil</v>
      </c>
      <c r="K6313" s="3" t="s">
        <v>23</v>
      </c>
    </row>
    <row r="6314" spans="1:11" ht="42" customHeight="1">
      <c r="A6314" s="2" t="s">
        <v>12442</v>
      </c>
      <c r="B6314" s="2" t="s">
        <v>12442</v>
      </c>
      <c r="C6314" s="2" t="s">
        <v>40</v>
      </c>
      <c r="D6314" s="2" t="s">
        <v>41</v>
      </c>
      <c r="E6314" s="5">
        <v>-28758</v>
      </c>
      <c r="F6314" s="3" t="s">
        <v>4115</v>
      </c>
      <c r="G6314" s="3" t="s">
        <v>52</v>
      </c>
      <c r="H6314" s="2" t="s">
        <v>21</v>
      </c>
      <c r="I6314" s="2" t="s">
        <v>12448</v>
      </c>
      <c r="J6314" s="3" t="str">
        <f>HYPERLINK("https://www.boe.es/gazeta/dias/1821/04/05/pdfs/GMD-1821-97.pdf#page=2","Abrir facsímil")</f>
        <v>Abrir facsímil</v>
      </c>
      <c r="K6314" s="3" t="s">
        <v>23</v>
      </c>
    </row>
    <row r="6315" spans="1:11" ht="42" customHeight="1">
      <c r="A6315" s="2" t="s">
        <v>12442</v>
      </c>
      <c r="B6315" s="2" t="s">
        <v>12442</v>
      </c>
      <c r="C6315" s="2" t="s">
        <v>40</v>
      </c>
      <c r="D6315" s="2" t="s">
        <v>41</v>
      </c>
      <c r="E6315" s="5">
        <v>-28750</v>
      </c>
      <c r="F6315" s="3" t="s">
        <v>917</v>
      </c>
      <c r="G6315" s="3" t="s">
        <v>88</v>
      </c>
      <c r="H6315" s="2" t="s">
        <v>21</v>
      </c>
      <c r="I6315" s="2" t="s">
        <v>12449</v>
      </c>
      <c r="J6315" s="3" t="str">
        <f>HYPERLINK("https://www.boe.es/gazeta/dias/1821/04/13/pdfs/GMD-1821-105.pdf#page=4","Abrir facsímil")</f>
        <v>Abrir facsímil</v>
      </c>
      <c r="K6315" s="3" t="s">
        <v>23</v>
      </c>
    </row>
    <row r="6316" spans="1:11" ht="42" customHeight="1">
      <c r="A6316" s="2" t="s">
        <v>12442</v>
      </c>
      <c r="B6316" s="2" t="s">
        <v>12442</v>
      </c>
      <c r="C6316" s="2" t="s">
        <v>17</v>
      </c>
      <c r="D6316" s="2" t="s">
        <v>18</v>
      </c>
      <c r="E6316" s="5">
        <v>-28746</v>
      </c>
      <c r="F6316" s="3" t="s">
        <v>687</v>
      </c>
      <c r="G6316" s="3" t="s">
        <v>88</v>
      </c>
      <c r="H6316" s="2" t="s">
        <v>21</v>
      </c>
      <c r="I6316" s="2" t="s">
        <v>12450</v>
      </c>
      <c r="J6316" s="3" t="str">
        <f>HYPERLINK("https://www.boe.es/gazeta/dias/1821/04/17/pdfs/GMD-1821-109.pdf#page=4","Abrir facsímil")</f>
        <v>Abrir facsímil</v>
      </c>
      <c r="K6316" s="3" t="s">
        <v>23</v>
      </c>
    </row>
    <row r="6317" spans="1:11" ht="42" customHeight="1">
      <c r="A6317" s="2" t="s">
        <v>12442</v>
      </c>
      <c r="B6317" s="2" t="s">
        <v>12442</v>
      </c>
      <c r="C6317" s="2" t="s">
        <v>114</v>
      </c>
      <c r="D6317" s="2" t="s">
        <v>27</v>
      </c>
      <c r="E6317" s="5">
        <v>-28746</v>
      </c>
      <c r="F6317" s="3" t="s">
        <v>687</v>
      </c>
      <c r="G6317" s="3" t="s">
        <v>333</v>
      </c>
      <c r="H6317" s="2" t="s">
        <v>21</v>
      </c>
      <c r="I6317" s="2" t="s">
        <v>12451</v>
      </c>
      <c r="J6317" s="3" t="str">
        <f>HYPERLINK("https://www.boe.es/gazeta/dias/1821/04/17/pdfs/GMD-1821-109.pdf#page=8","Abrir facsímil")</f>
        <v>Abrir facsímil</v>
      </c>
      <c r="K6317" s="3" t="s">
        <v>23</v>
      </c>
    </row>
    <row r="6318" spans="1:11" ht="42" customHeight="1">
      <c r="A6318" s="2" t="s">
        <v>12442</v>
      </c>
      <c r="B6318" s="2" t="s">
        <v>12442</v>
      </c>
      <c r="C6318" s="2" t="s">
        <v>26</v>
      </c>
      <c r="D6318" s="2" t="s">
        <v>27</v>
      </c>
      <c r="E6318" s="5">
        <v>-28743</v>
      </c>
      <c r="F6318" s="3" t="s">
        <v>51</v>
      </c>
      <c r="G6318" s="3" t="s">
        <v>88</v>
      </c>
      <c r="H6318" s="2" t="s">
        <v>21</v>
      </c>
      <c r="I6318" s="2" t="s">
        <v>12452</v>
      </c>
      <c r="J6318" s="3" t="str">
        <f>HYPERLINK("https://www.boe.es/gazeta/dias/1821/04/20/pdfs/GMD-1821-112.pdf#page=4","Abrir facsímil")</f>
        <v>Abrir facsímil</v>
      </c>
      <c r="K6318" s="3" t="s">
        <v>23</v>
      </c>
    </row>
    <row r="6319" spans="1:11" ht="42" customHeight="1">
      <c r="A6319" s="2" t="s">
        <v>12442</v>
      </c>
      <c r="B6319" s="2" t="s">
        <v>12442</v>
      </c>
      <c r="C6319" s="2" t="s">
        <v>35</v>
      </c>
      <c r="D6319" s="2" t="s">
        <v>27</v>
      </c>
      <c r="E6319" s="5">
        <v>-28731</v>
      </c>
      <c r="F6319" s="3" t="s">
        <v>577</v>
      </c>
      <c r="G6319" s="3" t="s">
        <v>88</v>
      </c>
      <c r="H6319" s="2" t="s">
        <v>21</v>
      </c>
      <c r="I6319" s="2" t="s">
        <v>12453</v>
      </c>
      <c r="J6319" s="3" t="str">
        <f>HYPERLINK("https://www.boe.es/gazeta/dias/1821/05/02/pdfs/GMD-1821-124.pdf#page=4","Abrir facsímil")</f>
        <v>Abrir facsímil</v>
      </c>
      <c r="K6319" s="3" t="s">
        <v>23</v>
      </c>
    </row>
    <row r="6320" spans="1:11" ht="42" customHeight="1">
      <c r="A6320" s="2" t="s">
        <v>12442</v>
      </c>
      <c r="B6320" s="2" t="s">
        <v>12442</v>
      </c>
      <c r="C6320" s="2" t="s">
        <v>17</v>
      </c>
      <c r="D6320" s="2" t="s">
        <v>18</v>
      </c>
      <c r="E6320" s="5">
        <v>-28728</v>
      </c>
      <c r="F6320" s="3" t="s">
        <v>1038</v>
      </c>
      <c r="G6320" s="3" t="s">
        <v>20</v>
      </c>
      <c r="H6320" s="2" t="s">
        <v>21</v>
      </c>
      <c r="I6320" s="2" t="s">
        <v>12454</v>
      </c>
      <c r="J6320" s="3" t="str">
        <f>HYPERLINK("https://www.boe.es/gazeta/dias/1821/05/05/pdfs/GMD-1821-127.pdf#page=3","Abrir facsímil")</f>
        <v>Abrir facsímil</v>
      </c>
      <c r="K6320" s="3" t="s">
        <v>23</v>
      </c>
    </row>
    <row r="6321" spans="1:11" ht="42" customHeight="1">
      <c r="A6321" s="2" t="s">
        <v>12442</v>
      </c>
      <c r="B6321" s="2" t="s">
        <v>12442</v>
      </c>
      <c r="C6321" s="2" t="s">
        <v>26</v>
      </c>
      <c r="D6321" s="2" t="s">
        <v>27</v>
      </c>
      <c r="E6321" s="5">
        <v>-28725</v>
      </c>
      <c r="F6321" s="3" t="s">
        <v>440</v>
      </c>
      <c r="G6321" s="3" t="s">
        <v>88</v>
      </c>
      <c r="H6321" s="2" t="s">
        <v>21</v>
      </c>
      <c r="I6321" s="2" t="s">
        <v>12455</v>
      </c>
      <c r="J6321" s="3" t="str">
        <f>HYPERLINK("https://www.boe.es/gazeta/dias/1821/05/08/pdfs/GMD-1821-130.pdf#page=4","Abrir facsímil")</f>
        <v>Abrir facsímil</v>
      </c>
      <c r="K6321" s="3" t="s">
        <v>23</v>
      </c>
    </row>
    <row r="6322" spans="1:11" ht="42" customHeight="1">
      <c r="A6322" s="2" t="s">
        <v>12442</v>
      </c>
      <c r="B6322" s="2" t="s">
        <v>12442</v>
      </c>
      <c r="C6322" s="2" t="s">
        <v>70</v>
      </c>
      <c r="D6322" s="2" t="s">
        <v>27</v>
      </c>
      <c r="E6322" s="5">
        <v>-28712</v>
      </c>
      <c r="F6322" s="3" t="s">
        <v>695</v>
      </c>
      <c r="G6322" s="3" t="s">
        <v>52</v>
      </c>
      <c r="H6322" s="2" t="s">
        <v>21</v>
      </c>
      <c r="I6322" s="2" t="s">
        <v>12456</v>
      </c>
      <c r="J6322" s="3" t="str">
        <f>HYPERLINK("https://www.boe.es/gazeta/dias/1821/05/21/pdfs/GMD-1821-143.pdf#page=2","Abrir facsímil")</f>
        <v>Abrir facsímil</v>
      </c>
      <c r="K6322" s="3" t="s">
        <v>23</v>
      </c>
    </row>
    <row r="6323" spans="1:11" ht="42" customHeight="1">
      <c r="A6323" s="2" t="s">
        <v>12442</v>
      </c>
      <c r="B6323" s="2" t="s">
        <v>12442</v>
      </c>
      <c r="C6323" s="2" t="s">
        <v>35</v>
      </c>
      <c r="D6323" s="2" t="s">
        <v>27</v>
      </c>
      <c r="E6323" s="5">
        <v>-28707</v>
      </c>
      <c r="F6323" s="3" t="s">
        <v>495</v>
      </c>
      <c r="G6323" s="3" t="s">
        <v>52</v>
      </c>
      <c r="H6323" s="2" t="s">
        <v>21</v>
      </c>
      <c r="I6323" s="2" t="s">
        <v>12457</v>
      </c>
      <c r="J6323" s="3" t="str">
        <f>HYPERLINK("https://www.boe.es/gazeta/dias/1821/05/26/pdfs/GMD-1821-148.pdf#page=2","Abrir facsímil")</f>
        <v>Abrir facsímil</v>
      </c>
      <c r="K6323" s="3" t="s">
        <v>23</v>
      </c>
    </row>
    <row r="6324" spans="1:11" ht="42" customHeight="1">
      <c r="A6324" s="2" t="s">
        <v>12442</v>
      </c>
      <c r="B6324" s="2" t="s">
        <v>12442</v>
      </c>
      <c r="C6324" s="2" t="s">
        <v>40</v>
      </c>
      <c r="D6324" s="2" t="s">
        <v>41</v>
      </c>
      <c r="E6324" s="5">
        <v>-28705</v>
      </c>
      <c r="F6324" s="3" t="s">
        <v>1844</v>
      </c>
      <c r="G6324" s="3" t="s">
        <v>52</v>
      </c>
      <c r="H6324" s="2" t="s">
        <v>21</v>
      </c>
      <c r="I6324" s="2" t="s">
        <v>12458</v>
      </c>
      <c r="J6324" s="3" t="str">
        <f>HYPERLINK("https://www.boe.es/gazeta/dias/1821/05/28/pdfs/GMD-1821-150.pdf#page=2","Abrir facsímil")</f>
        <v>Abrir facsímil</v>
      </c>
      <c r="K6324" s="3" t="s">
        <v>23</v>
      </c>
    </row>
    <row r="6325" spans="1:11" ht="42" customHeight="1">
      <c r="A6325" s="2" t="s">
        <v>12442</v>
      </c>
      <c r="B6325" s="2" t="s">
        <v>12442</v>
      </c>
      <c r="C6325" s="2" t="s">
        <v>17</v>
      </c>
      <c r="D6325" s="2" t="s">
        <v>18</v>
      </c>
      <c r="E6325" s="5">
        <v>-28696</v>
      </c>
      <c r="F6325" s="3" t="s">
        <v>497</v>
      </c>
      <c r="G6325" s="3" t="s">
        <v>88</v>
      </c>
      <c r="H6325" s="2" t="s">
        <v>21</v>
      </c>
      <c r="I6325" s="2" t="s">
        <v>12459</v>
      </c>
      <c r="J6325" s="3" t="str">
        <f>HYPERLINK("https://www.boe.es/gazeta/dias/1821/06/06/pdfs/GMD-1821-159.pdf#page=4","Abrir facsímil")</f>
        <v>Abrir facsímil</v>
      </c>
      <c r="K6325" s="3" t="s">
        <v>23</v>
      </c>
    </row>
    <row r="6326" spans="1:11" ht="42" customHeight="1">
      <c r="A6326" s="2" t="s">
        <v>12442</v>
      </c>
      <c r="B6326" s="2" t="s">
        <v>12442</v>
      </c>
      <c r="C6326" s="2" t="s">
        <v>17</v>
      </c>
      <c r="D6326" s="2" t="s">
        <v>18</v>
      </c>
      <c r="E6326" s="5">
        <v>-28682</v>
      </c>
      <c r="F6326" s="3" t="s">
        <v>1064</v>
      </c>
      <c r="G6326" s="3" t="s">
        <v>52</v>
      </c>
      <c r="H6326" s="2" t="s">
        <v>21</v>
      </c>
      <c r="I6326" s="2" t="s">
        <v>12460</v>
      </c>
      <c r="J6326" s="3" t="str">
        <f>HYPERLINK("https://www.boe.es/gazeta/dias/1821/06/20/pdfs/GMD-1821-173.pdf#page=2","Abrir facsímil")</f>
        <v>Abrir facsímil</v>
      </c>
      <c r="K6326" s="3" t="s">
        <v>23</v>
      </c>
    </row>
    <row r="6327" spans="1:11" ht="42" customHeight="1">
      <c r="A6327" s="2" t="s">
        <v>12442</v>
      </c>
      <c r="B6327" s="2" t="s">
        <v>12442</v>
      </c>
      <c r="C6327" s="2" t="s">
        <v>40</v>
      </c>
      <c r="D6327" s="2" t="s">
        <v>41</v>
      </c>
      <c r="E6327" s="5">
        <v>-28672</v>
      </c>
      <c r="F6327" s="3" t="s">
        <v>964</v>
      </c>
      <c r="G6327" s="3" t="s">
        <v>20</v>
      </c>
      <c r="H6327" s="2" t="s">
        <v>21</v>
      </c>
      <c r="I6327" s="2" t="s">
        <v>12461</v>
      </c>
      <c r="J6327" s="3" t="str">
        <f>HYPERLINK("https://www.boe.es/gazeta/dias/1821/06/30/pdfs/GMD-1821-183.pdf#page=3","Abrir facsímil")</f>
        <v>Abrir facsímil</v>
      </c>
      <c r="K6327" s="3" t="s">
        <v>23</v>
      </c>
    </row>
    <row r="6328" spans="1:11" ht="42" customHeight="1">
      <c r="A6328" s="2" t="s">
        <v>12442</v>
      </c>
      <c r="B6328" s="2" t="s">
        <v>12442</v>
      </c>
      <c r="C6328" s="2" t="s">
        <v>17</v>
      </c>
      <c r="D6328" s="2" t="s">
        <v>18</v>
      </c>
      <c r="E6328" s="5">
        <v>-28653</v>
      </c>
      <c r="F6328" s="3" t="s">
        <v>1179</v>
      </c>
      <c r="G6328" s="3" t="s">
        <v>29</v>
      </c>
      <c r="H6328" s="2" t="s">
        <v>21</v>
      </c>
      <c r="I6328" s="2" t="s">
        <v>12462</v>
      </c>
      <c r="J6328" s="3" t="str">
        <f>HYPERLINK("https://www.boe.es/gazeta/dias/1821/07/19/pdfs/GMD-1821-204.pdf#page=6","Abrir facsímil")</f>
        <v>Abrir facsímil</v>
      </c>
      <c r="K6328" s="3" t="s">
        <v>23</v>
      </c>
    </row>
    <row r="6329" spans="1:11" ht="42" customHeight="1">
      <c r="A6329" s="2" t="s">
        <v>12442</v>
      </c>
      <c r="B6329" s="2" t="s">
        <v>12442</v>
      </c>
      <c r="C6329" s="2" t="s">
        <v>26</v>
      </c>
      <c r="D6329" s="2" t="s">
        <v>27</v>
      </c>
      <c r="E6329" s="5">
        <v>-28652</v>
      </c>
      <c r="F6329" s="3" t="s">
        <v>1314</v>
      </c>
      <c r="G6329" s="3" t="s">
        <v>1315</v>
      </c>
      <c r="H6329" s="2" t="s">
        <v>21</v>
      </c>
      <c r="I6329" s="2" t="s">
        <v>12463</v>
      </c>
      <c r="J6329" s="3" t="str">
        <f>HYPERLINK("https://www.boe.es/gazeta/dias/1821/07/20/pdfs/GMD-1821-205.pdf#page=4","Abrir facsímil")</f>
        <v>Abrir facsímil</v>
      </c>
      <c r="K6329" s="3" t="s">
        <v>23</v>
      </c>
    </row>
    <row r="6330" spans="1:11" ht="42" customHeight="1">
      <c r="A6330" s="2" t="s">
        <v>12442</v>
      </c>
      <c r="B6330" s="2" t="s">
        <v>12442</v>
      </c>
      <c r="C6330" s="2" t="s">
        <v>174</v>
      </c>
      <c r="D6330" s="2" t="s">
        <v>27</v>
      </c>
      <c r="E6330" s="5">
        <v>-28644</v>
      </c>
      <c r="F6330" s="3" t="s">
        <v>1340</v>
      </c>
      <c r="G6330" s="3" t="s">
        <v>20</v>
      </c>
      <c r="H6330" s="2" t="s">
        <v>21</v>
      </c>
      <c r="I6330" s="2" t="s">
        <v>12464</v>
      </c>
      <c r="J6330" s="3" t="str">
        <f>HYPERLINK("https://www.boe.es/gazeta/dias/1821/07/28/pdfs/GMD-1821-213.pdf#page=3","Abrir facsímil")</f>
        <v>Abrir facsímil</v>
      </c>
      <c r="K6330" s="3" t="s">
        <v>23</v>
      </c>
    </row>
    <row r="6331" spans="1:11" ht="42" customHeight="1">
      <c r="A6331" s="2" t="s">
        <v>12442</v>
      </c>
      <c r="B6331" s="2" t="s">
        <v>12442</v>
      </c>
      <c r="C6331" s="2" t="s">
        <v>35</v>
      </c>
      <c r="D6331" s="2" t="s">
        <v>27</v>
      </c>
      <c r="E6331" s="5">
        <v>-28641</v>
      </c>
      <c r="F6331" s="3" t="s">
        <v>398</v>
      </c>
      <c r="G6331" s="3" t="s">
        <v>88</v>
      </c>
      <c r="H6331" s="2" t="s">
        <v>21</v>
      </c>
      <c r="I6331" s="2" t="s">
        <v>12465</v>
      </c>
      <c r="J6331" s="3" t="str">
        <f>HYPERLINK("https://www.boe.es/gazeta/dias/1821/07/31/pdfs/GMD-1821-216.pdf#page=4","Abrir facsímil")</f>
        <v>Abrir facsímil</v>
      </c>
      <c r="K6331" s="3" t="s">
        <v>23</v>
      </c>
    </row>
    <row r="6332" spans="1:11" ht="42" customHeight="1">
      <c r="A6332" s="2" t="s">
        <v>12442</v>
      </c>
      <c r="B6332" s="2" t="s">
        <v>12442</v>
      </c>
      <c r="C6332" s="2" t="s">
        <v>17</v>
      </c>
      <c r="D6332" s="2" t="s">
        <v>18</v>
      </c>
      <c r="E6332" s="5">
        <v>-28625</v>
      </c>
      <c r="F6332" s="3" t="s">
        <v>738</v>
      </c>
      <c r="G6332" s="3" t="s">
        <v>88</v>
      </c>
      <c r="H6332" s="2" t="s">
        <v>21</v>
      </c>
      <c r="I6332" s="2" t="s">
        <v>12466</v>
      </c>
      <c r="J6332" s="3" t="str">
        <f>HYPERLINK("https://www.boe.es/gazeta/dias/1821/08/16/pdfs/GMD-1821-233.pdf#page=4","Abrir facsímil")</f>
        <v>Abrir facsímil</v>
      </c>
      <c r="K6332" s="3" t="s">
        <v>23</v>
      </c>
    </row>
    <row r="6333" spans="1:11" ht="42" customHeight="1">
      <c r="A6333" s="2" t="s">
        <v>12442</v>
      </c>
      <c r="B6333" s="2" t="s">
        <v>12442</v>
      </c>
      <c r="C6333" s="2" t="s">
        <v>174</v>
      </c>
      <c r="D6333" s="2" t="s">
        <v>27</v>
      </c>
      <c r="E6333" s="5">
        <v>-28613</v>
      </c>
      <c r="F6333" s="3" t="s">
        <v>178</v>
      </c>
      <c r="G6333" s="3" t="s">
        <v>88</v>
      </c>
      <c r="H6333" s="2" t="s">
        <v>21</v>
      </c>
      <c r="I6333" s="2" t="s">
        <v>12467</v>
      </c>
      <c r="J6333" s="3" t="str">
        <f>HYPERLINK("https://www.boe.es/gazeta/dias/1821/08/28/pdfs/GMD-1821-245.pdf#page=4","Abrir facsímil")</f>
        <v>Abrir facsímil</v>
      </c>
      <c r="K6333" s="3" t="s">
        <v>23</v>
      </c>
    </row>
    <row r="6334" spans="1:11" ht="42" customHeight="1">
      <c r="A6334" s="2" t="s">
        <v>12442</v>
      </c>
      <c r="B6334" s="2" t="s">
        <v>12442</v>
      </c>
      <c r="C6334" s="2" t="s">
        <v>17</v>
      </c>
      <c r="D6334" s="2" t="s">
        <v>18</v>
      </c>
      <c r="E6334" s="5">
        <v>-28607</v>
      </c>
      <c r="F6334" s="3" t="s">
        <v>740</v>
      </c>
      <c r="G6334" s="3" t="s">
        <v>88</v>
      </c>
      <c r="H6334" s="2" t="s">
        <v>21</v>
      </c>
      <c r="I6334" s="2" t="s">
        <v>12468</v>
      </c>
      <c r="J6334" s="3" t="str">
        <f>HYPERLINK("https://www.boe.es/gazeta/dias/1821/09/03/pdfs/GMD-1821-251.pdf#page=4","Abrir facsímil")</f>
        <v>Abrir facsímil</v>
      </c>
      <c r="K6334" s="3" t="s">
        <v>23</v>
      </c>
    </row>
    <row r="6335" spans="1:11" ht="42" customHeight="1">
      <c r="A6335" s="2" t="s">
        <v>12442</v>
      </c>
      <c r="B6335" s="2" t="s">
        <v>12442</v>
      </c>
      <c r="C6335" s="2" t="s">
        <v>26</v>
      </c>
      <c r="D6335" s="2" t="s">
        <v>27</v>
      </c>
      <c r="E6335" s="5">
        <v>-28602</v>
      </c>
      <c r="F6335" s="3" t="s">
        <v>1526</v>
      </c>
      <c r="G6335" s="3" t="s">
        <v>88</v>
      </c>
      <c r="H6335" s="2" t="s">
        <v>21</v>
      </c>
      <c r="I6335" s="2" t="s">
        <v>12469</v>
      </c>
      <c r="J6335" s="3" t="str">
        <f>HYPERLINK("https://www.boe.es/gazeta/dias/1821/09/08/pdfs/GMD-1821-256.pdf#page=4","Abrir facsímil")</f>
        <v>Abrir facsímil</v>
      </c>
      <c r="K6335" s="3" t="s">
        <v>23</v>
      </c>
    </row>
    <row r="6336" spans="1:11" ht="42" customHeight="1">
      <c r="A6336" s="2" t="s">
        <v>12442</v>
      </c>
      <c r="B6336" s="2" t="s">
        <v>12442</v>
      </c>
      <c r="C6336" s="2" t="s">
        <v>114</v>
      </c>
      <c r="D6336" s="2" t="s">
        <v>27</v>
      </c>
      <c r="E6336" s="5">
        <v>-28593</v>
      </c>
      <c r="F6336" s="3" t="s">
        <v>1635</v>
      </c>
      <c r="G6336" s="3" t="s">
        <v>88</v>
      </c>
      <c r="H6336" s="2" t="s">
        <v>21</v>
      </c>
      <c r="I6336" s="2" t="s">
        <v>12470</v>
      </c>
      <c r="J6336" s="3" t="str">
        <f>HYPERLINK("https://www.boe.es/gazeta/dias/1821/09/17/pdfs/GMD-1821-265.pdf#page=4","Abrir facsímil")</f>
        <v>Abrir facsímil</v>
      </c>
      <c r="K6336" s="3" t="s">
        <v>23</v>
      </c>
    </row>
    <row r="6337" spans="1:11" ht="42" customHeight="1">
      <c r="A6337" s="2" t="s">
        <v>12442</v>
      </c>
      <c r="B6337" s="2" t="s">
        <v>12442</v>
      </c>
      <c r="C6337" s="2" t="s">
        <v>26</v>
      </c>
      <c r="D6337" s="2" t="s">
        <v>27</v>
      </c>
      <c r="E6337" s="5">
        <v>-28547</v>
      </c>
      <c r="F6337" s="3" t="s">
        <v>247</v>
      </c>
      <c r="G6337" s="3" t="s">
        <v>248</v>
      </c>
      <c r="H6337" s="2" t="s">
        <v>21</v>
      </c>
      <c r="I6337" s="2" t="s">
        <v>12471</v>
      </c>
      <c r="J6337" s="3" t="str">
        <f>HYPERLINK("https://www.boe.es/gazeta/dias/1821/11/02/pdfs/GMD-1821-312.pdf#page=2","Abrir facsímil")</f>
        <v>Abrir facsímil</v>
      </c>
      <c r="K6337" s="3" t="s">
        <v>23</v>
      </c>
    </row>
    <row r="6338" spans="1:11" ht="42" customHeight="1">
      <c r="A6338" s="2" t="s">
        <v>12442</v>
      </c>
      <c r="B6338" s="2" t="s">
        <v>12442</v>
      </c>
      <c r="C6338" s="2" t="s">
        <v>35</v>
      </c>
      <c r="D6338" s="2" t="s">
        <v>27</v>
      </c>
      <c r="E6338" s="5">
        <v>-28541</v>
      </c>
      <c r="F6338" s="3" t="s">
        <v>275</v>
      </c>
      <c r="G6338" s="3" t="s">
        <v>52</v>
      </c>
      <c r="H6338" s="2" t="s">
        <v>21</v>
      </c>
      <c r="I6338" s="2" t="s">
        <v>12472</v>
      </c>
      <c r="J6338" s="3" t="str">
        <f>HYPERLINK("https://www.boe.es/gazeta/dias/1821/11/08/pdfs/GMD-1821-319.pdf#page=2","Abrir facsímil")</f>
        <v>Abrir facsímil</v>
      </c>
      <c r="K6338" s="3" t="s">
        <v>23</v>
      </c>
    </row>
    <row r="6339" spans="1:11" ht="42" customHeight="1">
      <c r="A6339" s="2" t="s">
        <v>12442</v>
      </c>
      <c r="B6339" s="2" t="s">
        <v>12442</v>
      </c>
      <c r="C6339" s="2" t="s">
        <v>17</v>
      </c>
      <c r="D6339" s="2" t="s">
        <v>18</v>
      </c>
      <c r="E6339" s="5">
        <v>-28532</v>
      </c>
      <c r="F6339" s="3" t="s">
        <v>1415</v>
      </c>
      <c r="G6339" s="3" t="s">
        <v>52</v>
      </c>
      <c r="H6339" s="2" t="s">
        <v>21</v>
      </c>
      <c r="I6339" s="2" t="s">
        <v>12473</v>
      </c>
      <c r="J6339" s="3" t="str">
        <f>HYPERLINK("https://www.boe.es/gazeta/dias/1821/11/17/pdfs/GMD-1821-328.pdf#page=2","Abrir facsímil")</f>
        <v>Abrir facsímil</v>
      </c>
      <c r="K6339" s="3" t="s">
        <v>23</v>
      </c>
    </row>
    <row r="6340" spans="1:11" ht="42" customHeight="1">
      <c r="A6340" s="2" t="s">
        <v>12442</v>
      </c>
      <c r="B6340" s="2" t="s">
        <v>12442</v>
      </c>
      <c r="C6340" s="2" t="s">
        <v>114</v>
      </c>
      <c r="D6340" s="2" t="s">
        <v>27</v>
      </c>
      <c r="E6340" s="5">
        <v>-28514</v>
      </c>
      <c r="F6340" s="3" t="s">
        <v>103</v>
      </c>
      <c r="G6340" s="3" t="s">
        <v>52</v>
      </c>
      <c r="H6340" s="2" t="s">
        <v>21</v>
      </c>
      <c r="I6340" s="2" t="s">
        <v>12474</v>
      </c>
      <c r="J6340" s="3" t="str">
        <f>HYPERLINK("https://www.boe.es/gazeta/dias/1821/12/05/pdfs/GMD-1821-347.pdf#page=2","Abrir facsímil")</f>
        <v>Abrir facsímil</v>
      </c>
      <c r="K6340" s="3" t="s">
        <v>23</v>
      </c>
    </row>
    <row r="6341" spans="1:11" ht="42" customHeight="1">
      <c r="A6341" s="2" t="s">
        <v>12442</v>
      </c>
      <c r="B6341" s="2" t="s">
        <v>12442</v>
      </c>
      <c r="C6341" s="2" t="s">
        <v>35</v>
      </c>
      <c r="D6341" s="2" t="s">
        <v>27</v>
      </c>
      <c r="E6341" s="5">
        <v>-28509</v>
      </c>
      <c r="F6341" s="3" t="s">
        <v>388</v>
      </c>
      <c r="G6341" s="3" t="s">
        <v>20</v>
      </c>
      <c r="H6341" s="2" t="s">
        <v>21</v>
      </c>
      <c r="I6341" s="2" t="s">
        <v>12475</v>
      </c>
      <c r="J6341" s="3" t="str">
        <f>HYPERLINK("https://www.boe.es/gazeta/dias/1821/12/10/pdfs/GMD-1821-352.pdf#page=3","Abrir facsímil")</f>
        <v>Abrir facsímil</v>
      </c>
      <c r="K6341" s="3" t="s">
        <v>23</v>
      </c>
    </row>
    <row r="6342" spans="1:11" ht="42" customHeight="1">
      <c r="A6342" s="2" t="s">
        <v>12442</v>
      </c>
      <c r="B6342" s="2" t="s">
        <v>12442</v>
      </c>
      <c r="C6342" s="2" t="s">
        <v>40</v>
      </c>
      <c r="D6342" s="2" t="s">
        <v>41</v>
      </c>
      <c r="E6342" s="5">
        <v>-28509</v>
      </c>
      <c r="F6342" s="3" t="s">
        <v>388</v>
      </c>
      <c r="G6342" s="3" t="s">
        <v>333</v>
      </c>
      <c r="H6342" s="2" t="s">
        <v>21</v>
      </c>
      <c r="I6342" s="2" t="s">
        <v>12476</v>
      </c>
      <c r="J6342" s="3" t="str">
        <f>HYPERLINK("https://www.boe.es/gazeta/dias/1821/12/10/pdfs/GMD-1821-352.pdf#page=8","Abrir facsímil")</f>
        <v>Abrir facsímil</v>
      </c>
      <c r="K6342" s="3" t="s">
        <v>23</v>
      </c>
    </row>
    <row r="6343" spans="1:11" ht="42" customHeight="1">
      <c r="A6343" s="2" t="s">
        <v>12442</v>
      </c>
      <c r="B6343" s="2" t="s">
        <v>12442</v>
      </c>
      <c r="C6343" s="2" t="s">
        <v>40</v>
      </c>
      <c r="D6343" s="2" t="s">
        <v>41</v>
      </c>
      <c r="E6343" s="5">
        <v>-28508</v>
      </c>
      <c r="F6343" s="3" t="s">
        <v>42</v>
      </c>
      <c r="G6343" s="3" t="s">
        <v>43</v>
      </c>
      <c r="H6343" s="2" t="s">
        <v>21</v>
      </c>
      <c r="I6343" s="2" t="s">
        <v>12477</v>
      </c>
      <c r="J6343" s="3" t="str">
        <f>HYPERLINK("https://www.boe.es/gazeta/dias/1821/12/11/pdfs/GMD-1821-353.pdf#page=1","Abrir facsímil")</f>
        <v>Abrir facsímil</v>
      </c>
      <c r="K6343" s="3" t="s">
        <v>23</v>
      </c>
    </row>
    <row r="6344" spans="1:11" ht="42" customHeight="1">
      <c r="A6344" s="2" t="s">
        <v>12442</v>
      </c>
      <c r="B6344" s="2" t="s">
        <v>12442</v>
      </c>
      <c r="C6344" s="2" t="s">
        <v>35</v>
      </c>
      <c r="D6344" s="2" t="s">
        <v>27</v>
      </c>
      <c r="E6344" s="5">
        <v>-28495</v>
      </c>
      <c r="F6344" s="3" t="s">
        <v>227</v>
      </c>
      <c r="G6344" s="3" t="s">
        <v>20</v>
      </c>
      <c r="H6344" s="2" t="s">
        <v>21</v>
      </c>
      <c r="I6344" s="2" t="s">
        <v>12478</v>
      </c>
      <c r="J6344" s="3" t="str">
        <f>HYPERLINK("https://www.boe.es/gazeta/dias/1821/12/24/pdfs/GMD-1821-367.pdf#page=3","Abrir facsímil")</f>
        <v>Abrir facsímil</v>
      </c>
      <c r="K6344" s="3" t="s">
        <v>23</v>
      </c>
    </row>
    <row r="6345" spans="1:11" ht="42" customHeight="1">
      <c r="A6345" s="2" t="s">
        <v>12442</v>
      </c>
      <c r="B6345" s="2" t="s">
        <v>12442</v>
      </c>
      <c r="C6345" s="2" t="s">
        <v>114</v>
      </c>
      <c r="D6345" s="2" t="s">
        <v>27</v>
      </c>
      <c r="E6345" s="5">
        <v>-28492</v>
      </c>
      <c r="F6345" s="3" t="s">
        <v>1550</v>
      </c>
      <c r="G6345" s="3" t="s">
        <v>88</v>
      </c>
      <c r="H6345" s="2" t="s">
        <v>21</v>
      </c>
      <c r="I6345" s="2" t="s">
        <v>12479</v>
      </c>
      <c r="J6345" s="3" t="str">
        <f>HYPERLINK("https://www.boe.es/gazeta/dias/1821/12/27/pdfs/GMD-1821-370.pdf#page=4","Abrir facsímil")</f>
        <v>Abrir facsímil</v>
      </c>
      <c r="K6345" s="3" t="s">
        <v>23</v>
      </c>
    </row>
    <row r="6346" spans="1:11" ht="42" customHeight="1">
      <c r="A6346" s="2" t="s">
        <v>12480</v>
      </c>
      <c r="B6346" s="2" t="s">
        <v>12481</v>
      </c>
      <c r="C6346" s="2" t="s">
        <v>17</v>
      </c>
      <c r="D6346" s="2" t="s">
        <v>18</v>
      </c>
      <c r="E6346" s="5">
        <v>-28680</v>
      </c>
      <c r="F6346" s="3" t="s">
        <v>531</v>
      </c>
      <c r="G6346" s="3" t="s">
        <v>88</v>
      </c>
      <c r="H6346" s="2" t="s">
        <v>21</v>
      </c>
      <c r="I6346" s="2" t="s">
        <v>12482</v>
      </c>
      <c r="J6346" s="3" t="str">
        <f>HYPERLINK("https://www.boe.es/gazeta/dias/1821/06/22/pdfs/GMD-1821-175.pdf#page=4","Abrir facsímil")</f>
        <v>Abrir facsímil</v>
      </c>
      <c r="K6346" s="3" t="s">
        <v>23</v>
      </c>
    </row>
    <row r="6347" spans="1:11" ht="42" customHeight="1">
      <c r="A6347" s="2" t="s">
        <v>12483</v>
      </c>
      <c r="B6347" s="2" t="s">
        <v>12484</v>
      </c>
      <c r="C6347" s="2" t="s">
        <v>17</v>
      </c>
      <c r="D6347" s="2" t="s">
        <v>18</v>
      </c>
      <c r="E6347" s="5">
        <v>-28796</v>
      </c>
      <c r="F6347" s="3" t="s">
        <v>1421</v>
      </c>
      <c r="G6347" s="3" t="s">
        <v>1422</v>
      </c>
      <c r="H6347" s="2" t="s">
        <v>21</v>
      </c>
      <c r="I6347" s="2" t="s">
        <v>12485</v>
      </c>
      <c r="J6347" s="3" t="str">
        <f>HYPERLINK("https://www.boe.es/gazeta/dias/1821/02/26/pdfs/GGB-1821-57.pdf#page=3","Abrir facsímil")</f>
        <v>Abrir facsímil</v>
      </c>
      <c r="K6347" s="3" t="s">
        <v>23</v>
      </c>
    </row>
    <row r="6348" spans="1:11" ht="42" customHeight="1">
      <c r="A6348" s="2" t="s">
        <v>12486</v>
      </c>
      <c r="B6348" s="2" t="s">
        <v>12487</v>
      </c>
      <c r="C6348" s="2" t="s">
        <v>40</v>
      </c>
      <c r="D6348" s="2" t="s">
        <v>41</v>
      </c>
      <c r="E6348" s="5">
        <v>-28754</v>
      </c>
      <c r="F6348" s="3" t="s">
        <v>1942</v>
      </c>
      <c r="G6348" s="3" t="s">
        <v>88</v>
      </c>
      <c r="H6348" s="2" t="s">
        <v>21</v>
      </c>
      <c r="I6348" s="2" t="s">
        <v>12488</v>
      </c>
      <c r="J6348" s="3" t="str">
        <f>HYPERLINK("https://www.boe.es/gazeta/dias/1821/04/09/pdfs/GMD-1821-101.pdf#page=4","Abrir facsímil")</f>
        <v>Abrir facsímil</v>
      </c>
      <c r="K6348" s="3" t="s">
        <v>23</v>
      </c>
    </row>
    <row r="6349" spans="1:11" ht="42" customHeight="1">
      <c r="A6349" s="2" t="s">
        <v>12486</v>
      </c>
      <c r="B6349" s="2" t="s">
        <v>12487</v>
      </c>
      <c r="C6349" s="2" t="s">
        <v>26</v>
      </c>
      <c r="D6349" s="2" t="s">
        <v>27</v>
      </c>
      <c r="E6349" s="5">
        <v>-28753</v>
      </c>
      <c r="F6349" s="3" t="s">
        <v>720</v>
      </c>
      <c r="G6349" s="3" t="s">
        <v>20</v>
      </c>
      <c r="H6349" s="2" t="s">
        <v>21</v>
      </c>
      <c r="I6349" s="2" t="s">
        <v>12489</v>
      </c>
      <c r="J6349" s="3" t="str">
        <f>HYPERLINK("https://www.boe.es/gazeta/dias/1821/04/10/pdfs/GMD-1821-102.pdf#page=3","Abrir facsímil")</f>
        <v>Abrir facsímil</v>
      </c>
      <c r="K6349" s="3" t="s">
        <v>23</v>
      </c>
    </row>
    <row r="6350" spans="1:11" ht="42" customHeight="1">
      <c r="A6350" s="2" t="s">
        <v>12486</v>
      </c>
      <c r="B6350" s="2" t="s">
        <v>12487</v>
      </c>
      <c r="C6350" s="2" t="s">
        <v>26</v>
      </c>
      <c r="D6350" s="2" t="s">
        <v>27</v>
      </c>
      <c r="E6350" s="5">
        <v>-28752</v>
      </c>
      <c r="F6350" s="3" t="s">
        <v>1012</v>
      </c>
      <c r="G6350" s="3" t="s">
        <v>1013</v>
      </c>
      <c r="H6350" s="2" t="s">
        <v>21</v>
      </c>
      <c r="I6350" s="2" t="s">
        <v>12490</v>
      </c>
      <c r="J6350" s="3" t="str">
        <f>HYPERLINK("https://www.boe.es/gazeta/dias/1821/04/11/pdfs/GMD-1821-103.pdf#page=3","Abrir facsímil")</f>
        <v>Abrir facsímil</v>
      </c>
      <c r="K6350" s="3" t="s">
        <v>23</v>
      </c>
    </row>
    <row r="6351" spans="1:11" ht="42" customHeight="1">
      <c r="A6351" s="2" t="s">
        <v>12486</v>
      </c>
      <c r="B6351" s="2" t="s">
        <v>12487</v>
      </c>
      <c r="C6351" s="2" t="s">
        <v>35</v>
      </c>
      <c r="D6351" s="2" t="s">
        <v>27</v>
      </c>
      <c r="E6351" s="5">
        <v>-28751</v>
      </c>
      <c r="F6351" s="3" t="s">
        <v>356</v>
      </c>
      <c r="G6351" s="3" t="s">
        <v>20</v>
      </c>
      <c r="H6351" s="2" t="s">
        <v>21</v>
      </c>
      <c r="I6351" s="2" t="s">
        <v>12491</v>
      </c>
      <c r="J6351" s="3" t="str">
        <f>HYPERLINK("https://www.boe.es/gazeta/dias/1821/04/12/pdfs/GMD-1821-104.pdf#page=3","Abrir facsímil")</f>
        <v>Abrir facsímil</v>
      </c>
      <c r="K6351" s="3" t="s">
        <v>23</v>
      </c>
    </row>
    <row r="6352" spans="1:11" ht="42" customHeight="1">
      <c r="A6352" s="2" t="s">
        <v>12486</v>
      </c>
      <c r="B6352" s="2" t="s">
        <v>12487</v>
      </c>
      <c r="C6352" s="2" t="s">
        <v>35</v>
      </c>
      <c r="D6352" s="2" t="s">
        <v>27</v>
      </c>
      <c r="E6352" s="5">
        <v>-28749</v>
      </c>
      <c r="F6352" s="3" t="s">
        <v>832</v>
      </c>
      <c r="G6352" s="3" t="s">
        <v>52</v>
      </c>
      <c r="H6352" s="2" t="s">
        <v>21</v>
      </c>
      <c r="I6352" s="2" t="s">
        <v>12492</v>
      </c>
      <c r="J6352" s="3" t="str">
        <f>HYPERLINK("https://www.boe.es/gazeta/dias/1821/04/14/pdfs/GMD-1821-106.pdf#page=2","Abrir facsímil")</f>
        <v>Abrir facsímil</v>
      </c>
      <c r="K6352" s="3" t="s">
        <v>23</v>
      </c>
    </row>
    <row r="6353" spans="1:11" ht="42" customHeight="1">
      <c r="A6353" s="2" t="s">
        <v>12486</v>
      </c>
      <c r="B6353" s="2" t="s">
        <v>12487</v>
      </c>
      <c r="C6353" s="2" t="s">
        <v>17</v>
      </c>
      <c r="D6353" s="2" t="s">
        <v>18</v>
      </c>
      <c r="E6353" s="5">
        <v>-28748</v>
      </c>
      <c r="F6353" s="3" t="s">
        <v>634</v>
      </c>
      <c r="G6353" s="3" t="s">
        <v>20</v>
      </c>
      <c r="H6353" s="2" t="s">
        <v>21</v>
      </c>
      <c r="I6353" s="2" t="s">
        <v>12493</v>
      </c>
      <c r="J6353" s="3" t="str">
        <f>HYPERLINK("https://www.boe.es/gazeta/dias/1821/04/15/pdfs/GMD-1821-107.pdf#page=3","Abrir facsímil")</f>
        <v>Abrir facsímil</v>
      </c>
      <c r="K6353" s="3" t="s">
        <v>23</v>
      </c>
    </row>
    <row r="6354" spans="1:11" ht="42" customHeight="1">
      <c r="A6354" s="2" t="s">
        <v>12486</v>
      </c>
      <c r="B6354" s="2" t="s">
        <v>12487</v>
      </c>
      <c r="C6354" s="2" t="s">
        <v>40</v>
      </c>
      <c r="D6354" s="2" t="s">
        <v>41</v>
      </c>
      <c r="E6354" s="5">
        <v>-28747</v>
      </c>
      <c r="F6354" s="3" t="s">
        <v>1016</v>
      </c>
      <c r="G6354" s="3" t="s">
        <v>20</v>
      </c>
      <c r="H6354" s="2" t="s">
        <v>21</v>
      </c>
      <c r="I6354" s="2" t="s">
        <v>12494</v>
      </c>
      <c r="J6354" s="3" t="str">
        <f>HYPERLINK("https://www.boe.es/gazeta/dias/1821/04/16/pdfs/GMD-1821-108.pdf#page=3","Abrir facsímil")</f>
        <v>Abrir facsímil</v>
      </c>
      <c r="K6354" s="3" t="s">
        <v>23</v>
      </c>
    </row>
    <row r="6355" spans="1:11" ht="42" customHeight="1">
      <c r="A6355" s="2" t="s">
        <v>12486</v>
      </c>
      <c r="B6355" s="2" t="s">
        <v>12487</v>
      </c>
      <c r="C6355" s="2" t="s">
        <v>40</v>
      </c>
      <c r="D6355" s="2" t="s">
        <v>41</v>
      </c>
      <c r="E6355" s="5">
        <v>-28747</v>
      </c>
      <c r="F6355" s="3" t="s">
        <v>1016</v>
      </c>
      <c r="G6355" s="3" t="s">
        <v>88</v>
      </c>
      <c r="H6355" s="2" t="s">
        <v>21</v>
      </c>
      <c r="I6355" s="2" t="s">
        <v>12495</v>
      </c>
      <c r="J6355" s="3" t="str">
        <f>HYPERLINK("https://www.boe.es/gazeta/dias/1821/04/16/pdfs/GMD-1821-108.pdf#page=4","Abrir facsímil")</f>
        <v>Abrir facsímil</v>
      </c>
      <c r="K6355" s="3" t="s">
        <v>23</v>
      </c>
    </row>
    <row r="6356" spans="1:11" ht="42" customHeight="1">
      <c r="A6356" s="2" t="s">
        <v>12486</v>
      </c>
      <c r="B6356" s="2" t="s">
        <v>12487</v>
      </c>
      <c r="C6356" s="2" t="s">
        <v>40</v>
      </c>
      <c r="D6356" s="2" t="s">
        <v>41</v>
      </c>
      <c r="E6356" s="5">
        <v>-28746</v>
      </c>
      <c r="F6356" s="3" t="s">
        <v>687</v>
      </c>
      <c r="G6356" s="3" t="s">
        <v>88</v>
      </c>
      <c r="H6356" s="2" t="s">
        <v>21</v>
      </c>
      <c r="I6356" s="2" t="s">
        <v>12496</v>
      </c>
      <c r="J6356" s="3" t="str">
        <f>HYPERLINK("https://www.boe.es/gazeta/dias/1821/04/17/pdfs/GMD-1821-109.pdf#page=4","Abrir facsímil")</f>
        <v>Abrir facsímil</v>
      </c>
      <c r="K6356" s="3" t="s">
        <v>23</v>
      </c>
    </row>
    <row r="6357" spans="1:11" ht="42" customHeight="1">
      <c r="A6357" s="2" t="s">
        <v>12486</v>
      </c>
      <c r="B6357" s="2" t="s">
        <v>12487</v>
      </c>
      <c r="C6357" s="2" t="s">
        <v>40</v>
      </c>
      <c r="D6357" s="2" t="s">
        <v>41</v>
      </c>
      <c r="E6357" s="5">
        <v>-28746</v>
      </c>
      <c r="F6357" s="3" t="s">
        <v>687</v>
      </c>
      <c r="G6357" s="3" t="s">
        <v>162</v>
      </c>
      <c r="H6357" s="2" t="s">
        <v>21</v>
      </c>
      <c r="I6357" s="2" t="s">
        <v>12497</v>
      </c>
      <c r="J6357" s="3" t="str">
        <f>HYPERLINK("https://www.boe.es/gazeta/dias/1821/04/17/pdfs/GMD-1821-109.pdf#page=5","Abrir facsímil")</f>
        <v>Abrir facsímil</v>
      </c>
      <c r="K6357" s="3" t="s">
        <v>23</v>
      </c>
    </row>
    <row r="6358" spans="1:11" ht="42" customHeight="1">
      <c r="A6358" s="2" t="s">
        <v>12486</v>
      </c>
      <c r="B6358" s="2" t="s">
        <v>12487</v>
      </c>
      <c r="C6358" s="2" t="s">
        <v>17</v>
      </c>
      <c r="D6358" s="2" t="s">
        <v>18</v>
      </c>
      <c r="E6358" s="5">
        <v>-28744</v>
      </c>
      <c r="F6358" s="3" t="s">
        <v>834</v>
      </c>
      <c r="G6358" s="3" t="s">
        <v>88</v>
      </c>
      <c r="H6358" s="2" t="s">
        <v>21</v>
      </c>
      <c r="I6358" s="2" t="s">
        <v>12498</v>
      </c>
      <c r="J6358" s="3" t="str">
        <f>HYPERLINK("https://www.boe.es/gazeta/dias/1821/04/19/pdfs/GMD-1821-111.pdf#page=4","Abrir facsímil")</f>
        <v>Abrir facsímil</v>
      </c>
      <c r="K6358" s="3" t="s">
        <v>23</v>
      </c>
    </row>
    <row r="6359" spans="1:11" ht="42" customHeight="1">
      <c r="A6359" s="2" t="s">
        <v>12486</v>
      </c>
      <c r="B6359" s="2" t="s">
        <v>12487</v>
      </c>
      <c r="C6359" s="2" t="s">
        <v>26</v>
      </c>
      <c r="D6359" s="2" t="s">
        <v>27</v>
      </c>
      <c r="E6359" s="5">
        <v>-28719</v>
      </c>
      <c r="F6359" s="3" t="s">
        <v>647</v>
      </c>
      <c r="G6359" s="3" t="s">
        <v>88</v>
      </c>
      <c r="H6359" s="2" t="s">
        <v>21</v>
      </c>
      <c r="I6359" s="2" t="s">
        <v>12499</v>
      </c>
      <c r="J6359" s="3" t="str">
        <f>HYPERLINK("https://www.boe.es/gazeta/dias/1821/05/14/pdfs/GMD-1821-136.pdf#page=4","Abrir facsímil")</f>
        <v>Abrir facsímil</v>
      </c>
      <c r="K6359" s="3" t="s">
        <v>23</v>
      </c>
    </row>
    <row r="6360" spans="1:11" ht="42" customHeight="1">
      <c r="A6360" s="2" t="s">
        <v>12486</v>
      </c>
      <c r="B6360" s="2" t="s">
        <v>12487</v>
      </c>
      <c r="C6360" s="2" t="s">
        <v>70</v>
      </c>
      <c r="D6360" s="2" t="s">
        <v>27</v>
      </c>
      <c r="E6360" s="5">
        <v>-28706</v>
      </c>
      <c r="F6360" s="3" t="s">
        <v>4791</v>
      </c>
      <c r="G6360" s="3" t="s">
        <v>43</v>
      </c>
      <c r="H6360" s="2" t="s">
        <v>21</v>
      </c>
      <c r="I6360" s="2" t="s">
        <v>12500</v>
      </c>
      <c r="J6360" s="3" t="str">
        <f>HYPERLINK("https://www.boe.es/gazeta/dias/1821/05/27/pdfs/GMD-1821-149.pdf#page=1","Abrir facsímil")</f>
        <v>Abrir facsímil</v>
      </c>
      <c r="K6360" s="3" t="s">
        <v>23</v>
      </c>
    </row>
    <row r="6361" spans="1:11" ht="42" customHeight="1">
      <c r="A6361" s="2" t="s">
        <v>12486</v>
      </c>
      <c r="B6361" s="2" t="s">
        <v>12487</v>
      </c>
      <c r="C6361" s="2" t="s">
        <v>17</v>
      </c>
      <c r="D6361" s="2" t="s">
        <v>18</v>
      </c>
      <c r="E6361" s="5">
        <v>-28684</v>
      </c>
      <c r="F6361" s="3" t="s">
        <v>208</v>
      </c>
      <c r="G6361" s="3" t="s">
        <v>88</v>
      </c>
      <c r="H6361" s="2" t="s">
        <v>21</v>
      </c>
      <c r="I6361" s="2" t="s">
        <v>12501</v>
      </c>
      <c r="J6361" s="3" t="str">
        <f>HYPERLINK("https://www.boe.es/gazeta/dias/1821/06/18/pdfs/GMD-1821-171.pdf#page=4","Abrir facsímil")</f>
        <v>Abrir facsímil</v>
      </c>
      <c r="K6361" s="3" t="s">
        <v>23</v>
      </c>
    </row>
    <row r="6362" spans="1:11" ht="42" customHeight="1">
      <c r="A6362" s="2" t="s">
        <v>12486</v>
      </c>
      <c r="B6362" s="2" t="s">
        <v>12487</v>
      </c>
      <c r="C6362" s="2" t="s">
        <v>114</v>
      </c>
      <c r="D6362" s="2" t="s">
        <v>27</v>
      </c>
      <c r="E6362" s="5">
        <v>-28567</v>
      </c>
      <c r="F6362" s="3" t="s">
        <v>217</v>
      </c>
      <c r="G6362" s="3" t="s">
        <v>20</v>
      </c>
      <c r="H6362" s="2" t="s">
        <v>21</v>
      </c>
      <c r="I6362" s="2" t="s">
        <v>12502</v>
      </c>
      <c r="J6362" s="3" t="str">
        <f>HYPERLINK("https://www.boe.es/gazeta/dias/1821/10/13/pdfs/GMD-1821-292.pdf#page=3","Abrir facsímil")</f>
        <v>Abrir facsímil</v>
      </c>
      <c r="K6362" s="3" t="s">
        <v>23</v>
      </c>
    </row>
    <row r="6363" spans="1:11" ht="42" customHeight="1">
      <c r="A6363" s="2" t="s">
        <v>12486</v>
      </c>
      <c r="B6363" s="2" t="s">
        <v>12487</v>
      </c>
      <c r="C6363" s="2" t="s">
        <v>114</v>
      </c>
      <c r="D6363" s="2" t="s">
        <v>27</v>
      </c>
      <c r="E6363" s="5">
        <v>-28566</v>
      </c>
      <c r="F6363" s="3" t="s">
        <v>1529</v>
      </c>
      <c r="G6363" s="3" t="s">
        <v>52</v>
      </c>
      <c r="H6363" s="2" t="s">
        <v>21</v>
      </c>
      <c r="I6363" s="2" t="s">
        <v>12503</v>
      </c>
      <c r="J6363" s="3" t="str">
        <f>HYPERLINK("https://www.boe.es/gazeta/dias/1821/10/14/pdfs/GMD-1821-293.pdf#page=2","Abrir facsímil")</f>
        <v>Abrir facsímil</v>
      </c>
      <c r="K6363" s="3" t="s">
        <v>23</v>
      </c>
    </row>
    <row r="6364" spans="1:11" ht="42" customHeight="1">
      <c r="A6364" s="2" t="s">
        <v>12486</v>
      </c>
      <c r="B6364" s="2" t="s">
        <v>12487</v>
      </c>
      <c r="C6364" s="2" t="s">
        <v>26</v>
      </c>
      <c r="D6364" s="2" t="s">
        <v>27</v>
      </c>
      <c r="E6364" s="5">
        <v>-28523</v>
      </c>
      <c r="F6364" s="3" t="s">
        <v>257</v>
      </c>
      <c r="G6364" s="3" t="s">
        <v>52</v>
      </c>
      <c r="H6364" s="2" t="s">
        <v>21</v>
      </c>
      <c r="I6364" s="2" t="s">
        <v>12504</v>
      </c>
      <c r="J6364" s="3" t="str">
        <f>HYPERLINK("https://www.boe.es/gazeta/dias/1821/11/26/pdfs/GMD-1821-337.pdf#page=2","Abrir facsímil")</f>
        <v>Abrir facsímil</v>
      </c>
      <c r="K6364" s="3" t="s">
        <v>23</v>
      </c>
    </row>
    <row r="6365" spans="1:11" ht="42" customHeight="1">
      <c r="A6365" s="2" t="s">
        <v>12486</v>
      </c>
      <c r="B6365" s="2" t="s">
        <v>12487</v>
      </c>
      <c r="C6365" s="2" t="s">
        <v>35</v>
      </c>
      <c r="D6365" s="2" t="s">
        <v>27</v>
      </c>
      <c r="E6365" s="5">
        <v>-28519</v>
      </c>
      <c r="F6365" s="3" t="s">
        <v>880</v>
      </c>
      <c r="G6365" s="3" t="s">
        <v>88</v>
      </c>
      <c r="H6365" s="2" t="s">
        <v>21</v>
      </c>
      <c r="I6365" s="2" t="s">
        <v>12505</v>
      </c>
      <c r="J6365" s="3" t="str">
        <f>HYPERLINK("https://www.boe.es/gazeta/dias/1821/11/30/pdfs/GMD-1821-342.pdf#page=4","Abrir facsímil")</f>
        <v>Abrir facsímil</v>
      </c>
      <c r="K6365" s="3" t="s">
        <v>23</v>
      </c>
    </row>
    <row r="6366" spans="1:11" ht="42" customHeight="1">
      <c r="A6366" s="2" t="s">
        <v>12486</v>
      </c>
      <c r="B6366" s="2" t="s">
        <v>12487</v>
      </c>
      <c r="C6366" s="2" t="s">
        <v>35</v>
      </c>
      <c r="D6366" s="2" t="s">
        <v>27</v>
      </c>
      <c r="E6366" s="5">
        <v>-28508</v>
      </c>
      <c r="F6366" s="3" t="s">
        <v>42</v>
      </c>
      <c r="G6366" s="3" t="s">
        <v>52</v>
      </c>
      <c r="H6366" s="2" t="s">
        <v>21</v>
      </c>
      <c r="I6366" s="2" t="s">
        <v>12506</v>
      </c>
      <c r="J6366" s="3" t="str">
        <f>HYPERLINK("https://www.boe.es/gazeta/dias/1821/12/11/pdfs/GMD-1821-353.pdf#page=2","Abrir facsímil")</f>
        <v>Abrir facsímil</v>
      </c>
      <c r="K6366" s="3" t="s">
        <v>23</v>
      </c>
    </row>
    <row r="6367" spans="1:11" ht="42" customHeight="1">
      <c r="A6367" s="2" t="s">
        <v>12486</v>
      </c>
      <c r="B6367" s="2" t="s">
        <v>12487</v>
      </c>
      <c r="C6367" s="2" t="s">
        <v>279</v>
      </c>
      <c r="D6367" s="2" t="s">
        <v>27</v>
      </c>
      <c r="E6367" s="5">
        <v>-28497</v>
      </c>
      <c r="F6367" s="3" t="s">
        <v>225</v>
      </c>
      <c r="G6367" s="3" t="s">
        <v>52</v>
      </c>
      <c r="H6367" s="2" t="s">
        <v>21</v>
      </c>
      <c r="I6367" s="2" t="s">
        <v>12507</v>
      </c>
      <c r="J6367" s="3" t="str">
        <f>HYPERLINK("https://www.boe.es/gazeta/dias/1821/12/22/pdfs/GMD-1821-365.pdf#page=2","Abrir facsímil")</f>
        <v>Abrir facsímil</v>
      </c>
      <c r="K6367" s="3" t="s">
        <v>23</v>
      </c>
    </row>
    <row r="6368" spans="1:11" ht="42" customHeight="1">
      <c r="A6368" s="2" t="s">
        <v>12508</v>
      </c>
      <c r="B6368" s="2" t="s">
        <v>12509</v>
      </c>
      <c r="C6368" s="2" t="s">
        <v>26</v>
      </c>
      <c r="D6368" s="2" t="s">
        <v>27</v>
      </c>
      <c r="E6368" s="5">
        <v>-28510</v>
      </c>
      <c r="F6368" s="3" t="s">
        <v>83</v>
      </c>
      <c r="G6368" s="3" t="s">
        <v>20</v>
      </c>
      <c r="H6368" s="2" t="s">
        <v>21</v>
      </c>
      <c r="I6368" s="2" t="s">
        <v>12510</v>
      </c>
      <c r="J6368" s="3" t="str">
        <f>HYPERLINK("https://www.boe.es/gazeta/dias/1821/12/09/pdfs/GMD-1821-351.pdf#page=3","Abrir facsímil")</f>
        <v>Abrir facsímil</v>
      </c>
      <c r="K6368" s="3" t="s">
        <v>23</v>
      </c>
    </row>
    <row r="6369" spans="1:11" ht="42" customHeight="1">
      <c r="A6369" s="2" t="s">
        <v>12511</v>
      </c>
      <c r="B6369" s="2" t="s">
        <v>12512</v>
      </c>
      <c r="C6369" s="2" t="s">
        <v>17</v>
      </c>
      <c r="D6369" s="2" t="s">
        <v>18</v>
      </c>
      <c r="E6369" s="5">
        <v>-28796</v>
      </c>
      <c r="F6369" s="3" t="s">
        <v>1421</v>
      </c>
      <c r="G6369" s="3" t="s">
        <v>1422</v>
      </c>
      <c r="H6369" s="2" t="s">
        <v>21</v>
      </c>
      <c r="I6369" s="2" t="s">
        <v>12513</v>
      </c>
      <c r="J6369" s="3" t="str">
        <f>HYPERLINK("https://www.boe.es/gazeta/dias/1821/02/26/pdfs/GGB-1821-57.pdf#page=3","Abrir facsímil")</f>
        <v>Abrir facsímil</v>
      </c>
      <c r="K6369" s="3" t="s">
        <v>23</v>
      </c>
    </row>
    <row r="6370" spans="1:11" ht="42" customHeight="1">
      <c r="A6370" s="2" t="s">
        <v>12514</v>
      </c>
      <c r="B6370" s="2" t="s">
        <v>12515</v>
      </c>
      <c r="C6370" s="2" t="s">
        <v>40</v>
      </c>
      <c r="D6370" s="2" t="s">
        <v>41</v>
      </c>
      <c r="E6370" s="5">
        <v>-28557</v>
      </c>
      <c r="F6370" s="3" t="s">
        <v>316</v>
      </c>
      <c r="G6370" s="3" t="s">
        <v>29</v>
      </c>
      <c r="H6370" s="2" t="s">
        <v>21</v>
      </c>
      <c r="I6370" s="2" t="s">
        <v>12516</v>
      </c>
      <c r="J6370" s="3" t="str">
        <f>HYPERLINK("https://www.boe.es/gazeta/dias/1821/10/23/pdfs/GMD-1821-302.pdf#page=6","Abrir facsímil")</f>
        <v>Abrir facsímil</v>
      </c>
      <c r="K6370" s="3" t="s">
        <v>23</v>
      </c>
    </row>
    <row r="6371" spans="1:11" ht="42" customHeight="1">
      <c r="A6371" s="2" t="s">
        <v>12517</v>
      </c>
      <c r="B6371" s="2" t="s">
        <v>12518</v>
      </c>
      <c r="C6371" s="2" t="s">
        <v>40</v>
      </c>
      <c r="D6371" s="2" t="s">
        <v>41</v>
      </c>
      <c r="E6371" s="5">
        <v>-28788</v>
      </c>
      <c r="F6371" s="3" t="s">
        <v>996</v>
      </c>
      <c r="G6371" s="3" t="s">
        <v>88</v>
      </c>
      <c r="H6371" s="2" t="s">
        <v>21</v>
      </c>
      <c r="I6371" s="2" t="s">
        <v>12519</v>
      </c>
      <c r="J6371" s="3" t="str">
        <f>HYPERLINK("https://www.boe.es/gazeta/dias/1821/03/06/pdfs/GGB-1821-65.pdf#page=4","Abrir facsímil")</f>
        <v>Abrir facsímil</v>
      </c>
      <c r="K6371" s="3" t="s">
        <v>23</v>
      </c>
    </row>
    <row r="6372" spans="1:11" ht="42" customHeight="1">
      <c r="A6372" s="2" t="s">
        <v>12517</v>
      </c>
      <c r="B6372" s="2" t="s">
        <v>12518</v>
      </c>
      <c r="C6372" s="2" t="s">
        <v>70</v>
      </c>
      <c r="D6372" s="2" t="s">
        <v>27</v>
      </c>
      <c r="E6372" s="5">
        <v>-28774</v>
      </c>
      <c r="F6372" s="3" t="s">
        <v>1221</v>
      </c>
      <c r="G6372" s="3" t="s">
        <v>88</v>
      </c>
      <c r="H6372" s="2" t="s">
        <v>21</v>
      </c>
      <c r="I6372" s="2" t="s">
        <v>12520</v>
      </c>
      <c r="J6372" s="3" t="str">
        <f>HYPERLINK("https://www.boe.es/gazeta/dias/1821/03/20/pdfs/GMD-1821-79.pdf#page=4","Abrir facsímil")</f>
        <v>Abrir facsímil</v>
      </c>
      <c r="K6372" s="3" t="s">
        <v>23</v>
      </c>
    </row>
    <row r="6373" spans="1:11" ht="42" customHeight="1">
      <c r="A6373" s="2" t="s">
        <v>12517</v>
      </c>
      <c r="B6373" s="2" t="s">
        <v>12518</v>
      </c>
      <c r="C6373" s="2" t="s">
        <v>70</v>
      </c>
      <c r="D6373" s="2" t="s">
        <v>27</v>
      </c>
      <c r="E6373" s="5">
        <v>-28705</v>
      </c>
      <c r="F6373" s="3" t="s">
        <v>1844</v>
      </c>
      <c r="G6373" s="3" t="s">
        <v>88</v>
      </c>
      <c r="H6373" s="2" t="s">
        <v>21</v>
      </c>
      <c r="I6373" s="2" t="s">
        <v>12521</v>
      </c>
      <c r="J6373" s="3" t="str">
        <f>HYPERLINK("https://www.boe.es/gazeta/dias/1821/05/28/pdfs/GMD-1821-150.pdf#page=4","Abrir facsímil")</f>
        <v>Abrir facsímil</v>
      </c>
      <c r="K6373" s="3" t="s">
        <v>23</v>
      </c>
    </row>
    <row r="6374" spans="1:11" ht="42" customHeight="1">
      <c r="A6374" s="2" t="s">
        <v>12517</v>
      </c>
      <c r="B6374" s="2" t="s">
        <v>12518</v>
      </c>
      <c r="C6374" s="2" t="s">
        <v>35</v>
      </c>
      <c r="D6374" s="2" t="s">
        <v>27</v>
      </c>
      <c r="E6374" s="5">
        <v>-28684</v>
      </c>
      <c r="F6374" s="3" t="s">
        <v>208</v>
      </c>
      <c r="G6374" s="3" t="s">
        <v>88</v>
      </c>
      <c r="H6374" s="2" t="s">
        <v>21</v>
      </c>
      <c r="I6374" s="2" t="s">
        <v>12522</v>
      </c>
      <c r="J6374" s="3" t="str">
        <f>HYPERLINK("https://www.boe.es/gazeta/dias/1821/06/18/pdfs/GMD-1821-171.pdf#page=4","Abrir facsímil")</f>
        <v>Abrir facsímil</v>
      </c>
      <c r="K6374" s="3" t="s">
        <v>23</v>
      </c>
    </row>
    <row r="6375" spans="1:11" ht="42" customHeight="1">
      <c r="A6375" s="2" t="s">
        <v>12517</v>
      </c>
      <c r="B6375" s="2" t="s">
        <v>12518</v>
      </c>
      <c r="C6375" s="2" t="s">
        <v>26</v>
      </c>
      <c r="D6375" s="2" t="s">
        <v>27</v>
      </c>
      <c r="E6375" s="5">
        <v>-28656</v>
      </c>
      <c r="F6375" s="3" t="s">
        <v>2399</v>
      </c>
      <c r="G6375" s="3" t="s">
        <v>88</v>
      </c>
      <c r="H6375" s="2" t="s">
        <v>21</v>
      </c>
      <c r="I6375" s="2" t="s">
        <v>12523</v>
      </c>
      <c r="J6375" s="3" t="str">
        <f>HYPERLINK("https://www.boe.es/gazeta/dias/1821/07/16/pdfs/GMD-1821-201.pdf#page=4","Abrir facsímil")</f>
        <v>Abrir facsímil</v>
      </c>
      <c r="K6375" s="3" t="s">
        <v>23</v>
      </c>
    </row>
    <row r="6376" spans="1:11" ht="42" customHeight="1">
      <c r="A6376" s="2" t="s">
        <v>12517</v>
      </c>
      <c r="B6376" s="2" t="s">
        <v>12518</v>
      </c>
      <c r="C6376" s="2" t="s">
        <v>17</v>
      </c>
      <c r="D6376" s="2" t="s">
        <v>18</v>
      </c>
      <c r="E6376" s="5">
        <v>-28647</v>
      </c>
      <c r="F6376" s="3" t="s">
        <v>1295</v>
      </c>
      <c r="G6376" s="3" t="s">
        <v>88</v>
      </c>
      <c r="H6376" s="2" t="s">
        <v>21</v>
      </c>
      <c r="I6376" s="2" t="s">
        <v>12524</v>
      </c>
      <c r="J6376" s="3" t="str">
        <f>HYPERLINK("https://www.boe.es/gazeta/dias/1821/07/25/pdfs/GMD-1821-210.pdf#page=4","Abrir facsímil")</f>
        <v>Abrir facsímil</v>
      </c>
      <c r="K6376" s="3" t="s">
        <v>23</v>
      </c>
    </row>
    <row r="6377" spans="1:11" ht="42" customHeight="1">
      <c r="A6377" s="2" t="s">
        <v>12517</v>
      </c>
      <c r="B6377" s="2" t="s">
        <v>12518</v>
      </c>
      <c r="C6377" s="2" t="s">
        <v>26</v>
      </c>
      <c r="D6377" s="2" t="s">
        <v>27</v>
      </c>
      <c r="E6377" s="5">
        <v>-28604</v>
      </c>
      <c r="F6377" s="3" t="s">
        <v>729</v>
      </c>
      <c r="G6377" s="3" t="s">
        <v>29</v>
      </c>
      <c r="H6377" s="2" t="s">
        <v>21</v>
      </c>
      <c r="I6377" s="2" t="s">
        <v>12525</v>
      </c>
      <c r="J6377" s="3" t="str">
        <f>HYPERLINK("https://www.boe.es/gazeta/dias/1821/09/06/pdfs/GMD-1821-254.pdf#page=6","Abrir facsímil")</f>
        <v>Abrir facsímil</v>
      </c>
      <c r="K6377" s="3" t="s">
        <v>23</v>
      </c>
    </row>
    <row r="6378" spans="1:11" ht="42" customHeight="1">
      <c r="A6378" s="2" t="s">
        <v>12526</v>
      </c>
      <c r="B6378" s="2" t="s">
        <v>12527</v>
      </c>
      <c r="C6378" s="2" t="s">
        <v>17</v>
      </c>
      <c r="D6378" s="2" t="s">
        <v>18</v>
      </c>
      <c r="E6378" s="5">
        <v>-28800</v>
      </c>
      <c r="F6378" s="3" t="s">
        <v>1753</v>
      </c>
      <c r="G6378" s="3" t="s">
        <v>88</v>
      </c>
      <c r="H6378" s="2" t="s">
        <v>21</v>
      </c>
      <c r="I6378" s="2" t="s">
        <v>12528</v>
      </c>
      <c r="J6378" s="3" t="str">
        <f>HYPERLINK("https://www.boe.es/gazeta/dias/1821/02/22/pdfs/GGB-1821-53.pdf#page=4","Abrir facsímil")</f>
        <v>Abrir facsímil</v>
      </c>
      <c r="K6378" s="3" t="s">
        <v>23</v>
      </c>
    </row>
    <row r="6379" spans="1:11" ht="42" customHeight="1">
      <c r="A6379" s="2" t="s">
        <v>12529</v>
      </c>
      <c r="B6379" s="2" t="s">
        <v>12529</v>
      </c>
      <c r="C6379" s="2" t="s">
        <v>40</v>
      </c>
      <c r="D6379" s="2" t="s">
        <v>41</v>
      </c>
      <c r="E6379" s="5">
        <v>-28762</v>
      </c>
      <c r="F6379" s="3" t="s">
        <v>608</v>
      </c>
      <c r="G6379" s="3" t="s">
        <v>162</v>
      </c>
      <c r="H6379" s="2" t="s">
        <v>21</v>
      </c>
      <c r="I6379" s="2" t="s">
        <v>12530</v>
      </c>
      <c r="J6379" s="3" t="str">
        <f>HYPERLINK("https://www.boe.es/gazeta/dias/1821/04/01/pdfs/GMD-1821-93.pdf#page=5","Abrir facsímil")</f>
        <v>Abrir facsímil</v>
      </c>
      <c r="K6379" s="3" t="s">
        <v>23</v>
      </c>
    </row>
    <row r="6380" spans="1:11" ht="42" customHeight="1">
      <c r="A6380" s="2" t="s">
        <v>12531</v>
      </c>
      <c r="B6380" s="2" t="s">
        <v>12532</v>
      </c>
      <c r="C6380" s="2" t="s">
        <v>26</v>
      </c>
      <c r="D6380" s="2" t="s">
        <v>27</v>
      </c>
      <c r="E6380" s="5">
        <v>-28577</v>
      </c>
      <c r="F6380" s="3" t="s">
        <v>858</v>
      </c>
      <c r="G6380" s="3" t="s">
        <v>88</v>
      </c>
      <c r="H6380" s="2" t="s">
        <v>21</v>
      </c>
      <c r="I6380" s="2" t="s">
        <v>12533</v>
      </c>
      <c r="J6380" s="3" t="str">
        <f>HYPERLINK("https://www.boe.es/gazeta/dias/1821/10/03/pdfs/GMD-1821-282.pdf#page=4","Abrir facsímil")</f>
        <v>Abrir facsímil</v>
      </c>
      <c r="K6380" s="3" t="s">
        <v>23</v>
      </c>
    </row>
    <row r="6381" spans="1:11" ht="42" customHeight="1">
      <c r="A6381" s="2" t="s">
        <v>12534</v>
      </c>
      <c r="B6381" s="2" t="s">
        <v>12534</v>
      </c>
      <c r="C6381" s="2" t="s">
        <v>40</v>
      </c>
      <c r="D6381" s="2" t="s">
        <v>41</v>
      </c>
      <c r="E6381" s="5">
        <v>-28753</v>
      </c>
      <c r="F6381" s="3" t="s">
        <v>720</v>
      </c>
      <c r="G6381" s="3" t="s">
        <v>88</v>
      </c>
      <c r="H6381" s="2" t="s">
        <v>21</v>
      </c>
      <c r="I6381" s="2" t="s">
        <v>12535</v>
      </c>
      <c r="J6381" s="3" t="str">
        <f>HYPERLINK("https://www.boe.es/gazeta/dias/1821/04/10/pdfs/GMD-1821-102.pdf#page=4","Abrir facsímil")</f>
        <v>Abrir facsímil</v>
      </c>
      <c r="K6381" s="3" t="s">
        <v>23</v>
      </c>
    </row>
    <row r="6382" spans="1:11" ht="42" customHeight="1">
      <c r="A6382" s="2" t="s">
        <v>12536</v>
      </c>
      <c r="B6382" s="2" t="s">
        <v>12536</v>
      </c>
      <c r="C6382" s="2" t="s">
        <v>17</v>
      </c>
      <c r="D6382" s="2" t="s">
        <v>18</v>
      </c>
      <c r="E6382" s="5">
        <v>-28622</v>
      </c>
      <c r="F6382" s="3" t="s">
        <v>2771</v>
      </c>
      <c r="G6382" s="3" t="s">
        <v>88</v>
      </c>
      <c r="H6382" s="2" t="s">
        <v>21</v>
      </c>
      <c r="I6382" s="2" t="s">
        <v>12537</v>
      </c>
      <c r="J6382" s="3" t="str">
        <f>HYPERLINK("https://www.boe.es/gazeta/dias/1821/08/19/pdfs/GMD-1821-236.pdf#page=4","Abrir facsímil")</f>
        <v>Abrir facsímil</v>
      </c>
      <c r="K6382" s="3" t="s">
        <v>23</v>
      </c>
    </row>
    <row r="6383" spans="1:11" ht="42" customHeight="1">
      <c r="A6383" s="2" t="s">
        <v>12538</v>
      </c>
      <c r="B6383" s="2" t="s">
        <v>12538</v>
      </c>
      <c r="C6383" s="2" t="s">
        <v>40</v>
      </c>
      <c r="D6383" s="2" t="s">
        <v>41</v>
      </c>
      <c r="E6383" s="5">
        <v>-28510</v>
      </c>
      <c r="F6383" s="3" t="s">
        <v>83</v>
      </c>
      <c r="G6383" s="3" t="s">
        <v>52</v>
      </c>
      <c r="H6383" s="2" t="s">
        <v>21</v>
      </c>
      <c r="I6383" s="2" t="s">
        <v>12539</v>
      </c>
      <c r="J6383" s="3" t="str">
        <f>HYPERLINK("https://www.boe.es/gazeta/dias/1821/12/09/pdfs/GMD-1821-351.pdf#page=2","Abrir facsímil")</f>
        <v>Abrir facsímil</v>
      </c>
      <c r="K6383" s="3" t="s">
        <v>23</v>
      </c>
    </row>
    <row r="6384" spans="1:11" ht="42" customHeight="1">
      <c r="A6384" s="2" t="s">
        <v>12540</v>
      </c>
      <c r="B6384" s="2" t="s">
        <v>12540</v>
      </c>
      <c r="C6384" s="2" t="s">
        <v>26</v>
      </c>
      <c r="D6384" s="2" t="s">
        <v>27</v>
      </c>
      <c r="E6384" s="5">
        <v>-28717</v>
      </c>
      <c r="F6384" s="3" t="s">
        <v>1044</v>
      </c>
      <c r="G6384" s="3" t="s">
        <v>52</v>
      </c>
      <c r="H6384" s="2" t="s">
        <v>21</v>
      </c>
      <c r="I6384" s="2" t="s">
        <v>12541</v>
      </c>
      <c r="J6384" s="3" t="str">
        <f>HYPERLINK("https://www.boe.es/gazeta/dias/1821/05/16/pdfs/GMD-1821-138.pdf#page=2","Abrir facsímil")</f>
        <v>Abrir facsímil</v>
      </c>
      <c r="K6384" s="3" t="s">
        <v>23</v>
      </c>
    </row>
    <row r="6385" spans="1:11" ht="42" customHeight="1">
      <c r="A6385" s="2" t="s">
        <v>12542</v>
      </c>
      <c r="B6385" s="2" t="s">
        <v>12542</v>
      </c>
      <c r="C6385" s="2" t="s">
        <v>70</v>
      </c>
      <c r="D6385" s="2" t="s">
        <v>27</v>
      </c>
      <c r="E6385" s="5">
        <v>-28781</v>
      </c>
      <c r="F6385" s="3" t="s">
        <v>149</v>
      </c>
      <c r="G6385" s="3" t="s">
        <v>20</v>
      </c>
      <c r="H6385" s="2" t="s">
        <v>21</v>
      </c>
      <c r="I6385" s="2" t="s">
        <v>12543</v>
      </c>
      <c r="J6385" s="3" t="str">
        <f>HYPERLINK("https://www.boe.es/gazeta/dias/1821/03/13/pdfs/GMD-1821-72.pdf#page=3","Abrir facsímil")</f>
        <v>Abrir facsímil</v>
      </c>
      <c r="K6385" s="3" t="s">
        <v>23</v>
      </c>
    </row>
    <row r="6386" spans="1:11" ht="42" customHeight="1">
      <c r="A6386" s="2" t="s">
        <v>12544</v>
      </c>
      <c r="B6386" s="2" t="s">
        <v>12545</v>
      </c>
      <c r="C6386" s="2" t="s">
        <v>174</v>
      </c>
      <c r="D6386" s="2" t="s">
        <v>27</v>
      </c>
      <c r="E6386" s="5">
        <v>-28697</v>
      </c>
      <c r="F6386" s="3" t="s">
        <v>166</v>
      </c>
      <c r="G6386" s="3" t="s">
        <v>1357</v>
      </c>
      <c r="H6386" s="2" t="s">
        <v>21</v>
      </c>
      <c r="I6386" s="2" t="s">
        <v>12546</v>
      </c>
      <c r="J6386" s="3" t="str">
        <f>HYPERLINK("https://www.boe.es/gazeta/dias/1821/06/05/pdfs/GMD-1821-158.pdf#page=4","Abrir facsímil")</f>
        <v>Abrir facsímil</v>
      </c>
      <c r="K6386" s="3" t="s">
        <v>23</v>
      </c>
    </row>
    <row r="6387" spans="1:11" ht="42" customHeight="1">
      <c r="A6387" s="2" t="s">
        <v>12547</v>
      </c>
      <c r="B6387" s="2" t="s">
        <v>12548</v>
      </c>
      <c r="C6387" s="2" t="s">
        <v>17</v>
      </c>
      <c r="D6387" s="2" t="s">
        <v>18</v>
      </c>
      <c r="E6387" s="5">
        <v>-28606</v>
      </c>
      <c r="F6387" s="3" t="s">
        <v>1799</v>
      </c>
      <c r="G6387" s="3" t="s">
        <v>88</v>
      </c>
      <c r="H6387" s="2" t="s">
        <v>21</v>
      </c>
      <c r="I6387" s="2" t="s">
        <v>12549</v>
      </c>
      <c r="J6387" s="3" t="str">
        <f>HYPERLINK("https://www.boe.es/gazeta/dias/1821/09/04/pdfs/GMD-1821-252.pdf#page=4","Abrir facsímil")</f>
        <v>Abrir facsímil</v>
      </c>
      <c r="K6387" s="3" t="s">
        <v>23</v>
      </c>
    </row>
    <row r="6388" spans="1:11" ht="42" customHeight="1">
      <c r="A6388" s="2" t="s">
        <v>12550</v>
      </c>
      <c r="B6388" s="2" t="s">
        <v>12551</v>
      </c>
      <c r="C6388" s="2" t="s">
        <v>17</v>
      </c>
      <c r="D6388" s="2" t="s">
        <v>18</v>
      </c>
      <c r="E6388" s="5">
        <v>-28802</v>
      </c>
      <c r="F6388" s="3" t="s">
        <v>4814</v>
      </c>
      <c r="G6388" s="3" t="s">
        <v>20</v>
      </c>
      <c r="H6388" s="2" t="s">
        <v>21</v>
      </c>
      <c r="I6388" s="2" t="s">
        <v>12552</v>
      </c>
      <c r="J6388" s="3" t="str">
        <f>HYPERLINK("https://www.boe.es/gazeta/dias/1821/02/20/pdfs/GGB-1821-51.pdf#page=3","Abrir facsímil")</f>
        <v>Abrir facsímil</v>
      </c>
      <c r="K6388" s="3" t="s">
        <v>23</v>
      </c>
    </row>
    <row r="6389" spans="1:11" ht="42" customHeight="1">
      <c r="A6389" s="2" t="s">
        <v>12553</v>
      </c>
      <c r="B6389" s="2" t="s">
        <v>12554</v>
      </c>
      <c r="C6389" s="2" t="s">
        <v>114</v>
      </c>
      <c r="D6389" s="2" t="s">
        <v>27</v>
      </c>
      <c r="E6389" s="5">
        <v>-28776</v>
      </c>
      <c r="F6389" s="3" t="s">
        <v>312</v>
      </c>
      <c r="G6389" s="3" t="s">
        <v>162</v>
      </c>
      <c r="H6389" s="2" t="s">
        <v>21</v>
      </c>
      <c r="I6389" s="2" t="s">
        <v>12555</v>
      </c>
      <c r="J6389" s="3" t="str">
        <f>HYPERLINK("https://www.boe.es/gazeta/dias/1821/03/18/pdfs/GMD-1821-77.pdf#page=5","Abrir facsímil")</f>
        <v>Abrir facsímil</v>
      </c>
      <c r="K6389" s="3" t="s">
        <v>23</v>
      </c>
    </row>
    <row r="6390" spans="1:11" ht="42" customHeight="1">
      <c r="A6390" s="2" t="s">
        <v>12556</v>
      </c>
      <c r="B6390" s="2" t="s">
        <v>12556</v>
      </c>
      <c r="C6390" s="2" t="s">
        <v>40</v>
      </c>
      <c r="D6390" s="2" t="s">
        <v>41</v>
      </c>
      <c r="E6390" s="5">
        <v>-28791</v>
      </c>
      <c r="F6390" s="3" t="s">
        <v>47</v>
      </c>
      <c r="G6390" s="3" t="s">
        <v>20</v>
      </c>
      <c r="H6390" s="2" t="s">
        <v>21</v>
      </c>
      <c r="I6390" s="2" t="s">
        <v>12557</v>
      </c>
      <c r="J6390" s="3" t="str">
        <f>HYPERLINK("https://www.boe.es/gazeta/dias/1821/03/03/pdfs/GGB-1821-62.pdf#page=3","Abrir facsímil")</f>
        <v>Abrir facsímil</v>
      </c>
      <c r="K6390" s="3" t="s">
        <v>23</v>
      </c>
    </row>
    <row r="6391" spans="1:11" ht="42" customHeight="1">
      <c r="A6391" s="2" t="s">
        <v>12556</v>
      </c>
      <c r="B6391" s="2" t="s">
        <v>12556</v>
      </c>
      <c r="C6391" s="2" t="s">
        <v>17</v>
      </c>
      <c r="D6391" s="2" t="s">
        <v>18</v>
      </c>
      <c r="E6391" s="5">
        <v>-28733</v>
      </c>
      <c r="F6391" s="3" t="s">
        <v>1033</v>
      </c>
      <c r="G6391" s="3" t="s">
        <v>7434</v>
      </c>
      <c r="H6391" s="2" t="s">
        <v>21</v>
      </c>
      <c r="I6391" s="2" t="s">
        <v>12558</v>
      </c>
      <c r="J6391" s="3" t="str">
        <f>HYPERLINK("https://www.boe.es/gazeta/dias/1821/04/30/pdfs/GMD-1821-122.pdf#page=4","Abrir facsímil")</f>
        <v>Abrir facsímil</v>
      </c>
      <c r="K6391" s="3" t="s">
        <v>23</v>
      </c>
    </row>
    <row r="6392" spans="1:11" ht="42" customHeight="1">
      <c r="A6392" s="2" t="s">
        <v>12556</v>
      </c>
      <c r="B6392" s="2" t="s">
        <v>12556</v>
      </c>
      <c r="C6392" s="2" t="s">
        <v>26</v>
      </c>
      <c r="D6392" s="2" t="s">
        <v>27</v>
      </c>
      <c r="E6392" s="5">
        <v>-28721</v>
      </c>
      <c r="F6392" s="3" t="s">
        <v>92</v>
      </c>
      <c r="G6392" s="3" t="s">
        <v>88</v>
      </c>
      <c r="H6392" s="2" t="s">
        <v>21</v>
      </c>
      <c r="I6392" s="2" t="s">
        <v>12559</v>
      </c>
      <c r="J6392" s="3" t="str">
        <f>HYPERLINK("https://www.boe.es/gazeta/dias/1821/05/12/pdfs/GMD-1821-134.pdf#page=4","Abrir facsímil")</f>
        <v>Abrir facsímil</v>
      </c>
      <c r="K6392" s="3" t="s">
        <v>23</v>
      </c>
    </row>
    <row r="6393" spans="1:11" ht="42" customHeight="1">
      <c r="A6393" s="2" t="s">
        <v>12556</v>
      </c>
      <c r="B6393" s="2" t="s">
        <v>12556</v>
      </c>
      <c r="C6393" s="2" t="s">
        <v>17</v>
      </c>
      <c r="D6393" s="2" t="s">
        <v>18</v>
      </c>
      <c r="E6393" s="5">
        <v>-28683</v>
      </c>
      <c r="F6393" s="3" t="s">
        <v>332</v>
      </c>
      <c r="G6393" s="3" t="s">
        <v>29</v>
      </c>
      <c r="H6393" s="2" t="s">
        <v>21</v>
      </c>
      <c r="I6393" s="2" t="s">
        <v>12560</v>
      </c>
      <c r="J6393" s="3" t="str">
        <f>HYPERLINK("https://www.boe.es/gazeta/dias/1821/06/19/pdfs/GMD-1821-172.pdf#page=6","Abrir facsímil")</f>
        <v>Abrir facsímil</v>
      </c>
      <c r="K6393" s="3" t="s">
        <v>23</v>
      </c>
    </row>
    <row r="6394" spans="1:11" ht="42" customHeight="1">
      <c r="A6394" s="2" t="s">
        <v>12556</v>
      </c>
      <c r="B6394" s="2" t="s">
        <v>12556</v>
      </c>
      <c r="C6394" s="2" t="s">
        <v>40</v>
      </c>
      <c r="D6394" s="2" t="s">
        <v>41</v>
      </c>
      <c r="E6394" s="5">
        <v>-28511</v>
      </c>
      <c r="F6394" s="3" t="s">
        <v>340</v>
      </c>
      <c r="G6394" s="3" t="s">
        <v>52</v>
      </c>
      <c r="H6394" s="2" t="s">
        <v>21</v>
      </c>
      <c r="I6394" s="2" t="s">
        <v>12561</v>
      </c>
      <c r="J6394" s="3" t="str">
        <f>HYPERLINK("https://www.boe.es/gazeta/dias/1821/12/08/pdfs/GMD-1821-350.pdf#page=2","Abrir facsímil")</f>
        <v>Abrir facsímil</v>
      </c>
      <c r="K6394" s="3" t="s">
        <v>23</v>
      </c>
    </row>
    <row r="6395" spans="1:11" ht="42" customHeight="1">
      <c r="A6395" s="2" t="s">
        <v>12556</v>
      </c>
      <c r="B6395" s="2" t="s">
        <v>12556</v>
      </c>
      <c r="C6395" s="2" t="s">
        <v>35</v>
      </c>
      <c r="D6395" s="2" t="s">
        <v>27</v>
      </c>
      <c r="E6395" s="5">
        <v>-28496</v>
      </c>
      <c r="F6395" s="3" t="s">
        <v>785</v>
      </c>
      <c r="G6395" s="3" t="s">
        <v>88</v>
      </c>
      <c r="H6395" s="2" t="s">
        <v>21</v>
      </c>
      <c r="I6395" s="2" t="s">
        <v>12562</v>
      </c>
      <c r="J6395" s="3" t="str">
        <f>HYPERLINK("https://www.boe.es/gazeta/dias/1821/12/23/pdfs/GMD-1821-366.pdf#page=4","Abrir facsímil")</f>
        <v>Abrir facsímil</v>
      </c>
      <c r="K6395" s="3" t="s">
        <v>23</v>
      </c>
    </row>
    <row r="6396" spans="1:11" ht="42" customHeight="1">
      <c r="A6396" s="2" t="s">
        <v>12563</v>
      </c>
      <c r="B6396" s="2" t="s">
        <v>12564</v>
      </c>
      <c r="C6396" s="2" t="s">
        <v>70</v>
      </c>
      <c r="D6396" s="2" t="s">
        <v>27</v>
      </c>
      <c r="E6396" s="5">
        <v>-28694</v>
      </c>
      <c r="F6396" s="3" t="s">
        <v>1057</v>
      </c>
      <c r="G6396" s="3" t="s">
        <v>20</v>
      </c>
      <c r="H6396" s="2" t="s">
        <v>21</v>
      </c>
      <c r="I6396" s="2" t="s">
        <v>12565</v>
      </c>
      <c r="J6396" s="3" t="str">
        <f>HYPERLINK("https://www.boe.es/gazeta/dias/1821/06/08/pdfs/GMD-1821-161.pdf#page=3","Abrir facsímil")</f>
        <v>Abrir facsímil</v>
      </c>
      <c r="K6396" s="3" t="s">
        <v>23</v>
      </c>
    </row>
    <row r="6397" spans="1:11" ht="42" customHeight="1">
      <c r="A6397" s="2" t="s">
        <v>12566</v>
      </c>
      <c r="B6397" s="2" t="s">
        <v>12567</v>
      </c>
      <c r="C6397" s="2" t="s">
        <v>40</v>
      </c>
      <c r="D6397" s="2" t="s">
        <v>41</v>
      </c>
      <c r="E6397" s="5">
        <v>-28718</v>
      </c>
      <c r="F6397" s="3" t="s">
        <v>583</v>
      </c>
      <c r="G6397" s="3" t="s">
        <v>88</v>
      </c>
      <c r="H6397" s="2" t="s">
        <v>21</v>
      </c>
      <c r="I6397" s="2" t="s">
        <v>12568</v>
      </c>
      <c r="J6397" s="3" t="str">
        <f>HYPERLINK("https://www.boe.es/gazeta/dias/1821/05/15/pdfs/GMD-1821-137.pdf#page=4","Abrir facsímil")</f>
        <v>Abrir facsímil</v>
      </c>
      <c r="K6397" s="3" t="s">
        <v>23</v>
      </c>
    </row>
    <row r="6398" spans="1:11" ht="42" customHeight="1">
      <c r="A6398" s="2" t="s">
        <v>12569</v>
      </c>
      <c r="B6398" s="2" t="s">
        <v>12570</v>
      </c>
      <c r="C6398" s="2" t="s">
        <v>17</v>
      </c>
      <c r="D6398" s="2" t="s">
        <v>18</v>
      </c>
      <c r="E6398" s="5">
        <v>-28551</v>
      </c>
      <c r="F6398" s="3" t="s">
        <v>542</v>
      </c>
      <c r="G6398" s="3" t="s">
        <v>88</v>
      </c>
      <c r="H6398" s="2" t="s">
        <v>21</v>
      </c>
      <c r="I6398" s="2" t="s">
        <v>12571</v>
      </c>
      <c r="J6398" s="3" t="str">
        <f>HYPERLINK("https://www.boe.es/gazeta/dias/1821/10/29/pdfs/GMD-1821-308.pdf#page=4","Abrir facsímil")</f>
        <v>Abrir facsímil</v>
      </c>
      <c r="K6398" s="3" t="s">
        <v>23</v>
      </c>
    </row>
    <row r="6399" spans="1:11" ht="42" customHeight="1">
      <c r="A6399" s="2" t="s">
        <v>12572</v>
      </c>
      <c r="B6399" s="2" t="s">
        <v>12573</v>
      </c>
      <c r="C6399" s="2" t="s">
        <v>40</v>
      </c>
      <c r="D6399" s="2" t="s">
        <v>41</v>
      </c>
      <c r="E6399" s="5">
        <v>-28766</v>
      </c>
      <c r="F6399" s="3" t="s">
        <v>1481</v>
      </c>
      <c r="G6399" s="3" t="s">
        <v>88</v>
      </c>
      <c r="H6399" s="2" t="s">
        <v>21</v>
      </c>
      <c r="I6399" s="2" t="s">
        <v>12574</v>
      </c>
      <c r="J6399" s="3" t="str">
        <f>HYPERLINK("https://www.boe.es/gazeta/dias/1821/03/28/pdfs/GMD-1821-88.pdf#page=4","Abrir facsímil")</f>
        <v>Abrir facsímil</v>
      </c>
      <c r="K6399" s="3" t="s">
        <v>23</v>
      </c>
    </row>
    <row r="6400" spans="1:11" ht="42" customHeight="1">
      <c r="A6400" s="2" t="s">
        <v>12572</v>
      </c>
      <c r="B6400" s="2" t="s">
        <v>12573</v>
      </c>
      <c r="C6400" s="2" t="s">
        <v>40</v>
      </c>
      <c r="D6400" s="2" t="s">
        <v>41</v>
      </c>
      <c r="E6400" s="5">
        <v>-28751</v>
      </c>
      <c r="F6400" s="3" t="s">
        <v>356</v>
      </c>
      <c r="G6400" s="3" t="s">
        <v>52</v>
      </c>
      <c r="H6400" s="2" t="s">
        <v>21</v>
      </c>
      <c r="I6400" s="2" t="s">
        <v>12575</v>
      </c>
      <c r="J6400" s="3" t="str">
        <f>HYPERLINK("https://www.boe.es/gazeta/dias/1821/04/12/pdfs/GMD-1821-104.pdf#page=2","Abrir facsímil")</f>
        <v>Abrir facsímil</v>
      </c>
      <c r="K6400" s="3" t="s">
        <v>23</v>
      </c>
    </row>
    <row r="6401" spans="1:11" ht="42" customHeight="1">
      <c r="A6401" s="2" t="s">
        <v>12576</v>
      </c>
      <c r="B6401" s="2" t="s">
        <v>12577</v>
      </c>
      <c r="C6401" s="2" t="s">
        <v>70</v>
      </c>
      <c r="D6401" s="2" t="s">
        <v>27</v>
      </c>
      <c r="E6401" s="5">
        <v>-28787</v>
      </c>
      <c r="F6401" s="3" t="s">
        <v>486</v>
      </c>
      <c r="G6401" s="3" t="s">
        <v>52</v>
      </c>
      <c r="H6401" s="2" t="s">
        <v>21</v>
      </c>
      <c r="I6401" s="2" t="s">
        <v>12578</v>
      </c>
      <c r="J6401" s="3" t="str">
        <f>HYPERLINK("https://www.boe.es/gazeta/dias/1821/03/07/pdfs/GGB-1821-66.pdf#page=2","Abrir facsímil")</f>
        <v>Abrir facsímil</v>
      </c>
      <c r="K6401" s="3" t="s">
        <v>23</v>
      </c>
    </row>
    <row r="6402" spans="1:11" ht="42" customHeight="1">
      <c r="A6402" s="2" t="s">
        <v>12579</v>
      </c>
      <c r="B6402" s="2" t="s">
        <v>12580</v>
      </c>
      <c r="C6402" s="2" t="s">
        <v>17</v>
      </c>
      <c r="D6402" s="2" t="s">
        <v>18</v>
      </c>
      <c r="E6402" s="5">
        <v>-28801</v>
      </c>
      <c r="F6402" s="3" t="s">
        <v>378</v>
      </c>
      <c r="G6402" s="3" t="s">
        <v>20</v>
      </c>
      <c r="H6402" s="2" t="s">
        <v>21</v>
      </c>
      <c r="I6402" s="2" t="s">
        <v>12581</v>
      </c>
      <c r="J6402" s="3" t="str">
        <f>HYPERLINK("https://www.boe.es/gazeta/dias/1821/02/21/pdfs/GGB-1821-52.pdf#page=3","Abrir facsímil")</f>
        <v>Abrir facsímil</v>
      </c>
      <c r="K6402" s="3" t="s">
        <v>23</v>
      </c>
    </row>
    <row r="6403" spans="1:11" ht="42" customHeight="1">
      <c r="A6403" s="2" t="s">
        <v>12582</v>
      </c>
      <c r="B6403" s="2" t="s">
        <v>12583</v>
      </c>
      <c r="C6403" s="2" t="s">
        <v>40</v>
      </c>
      <c r="D6403" s="2" t="s">
        <v>41</v>
      </c>
      <c r="E6403" s="5">
        <v>-28677</v>
      </c>
      <c r="F6403" s="3" t="s">
        <v>361</v>
      </c>
      <c r="G6403" s="3" t="s">
        <v>88</v>
      </c>
      <c r="H6403" s="2" t="s">
        <v>21</v>
      </c>
      <c r="I6403" s="2" t="s">
        <v>12584</v>
      </c>
      <c r="J6403" s="3" t="str">
        <f>HYPERLINK("https://www.boe.es/gazeta/dias/1821/06/25/pdfs/GMD-1821-178.pdf#page=4","Abrir facsímil")</f>
        <v>Abrir facsímil</v>
      </c>
      <c r="K6403" s="3" t="s">
        <v>23</v>
      </c>
    </row>
    <row r="6404" spans="1:11" ht="42" customHeight="1">
      <c r="A6404" s="2" t="s">
        <v>12585</v>
      </c>
      <c r="B6404" s="2" t="s">
        <v>12585</v>
      </c>
      <c r="C6404" s="2" t="s">
        <v>17</v>
      </c>
      <c r="D6404" s="2" t="s">
        <v>18</v>
      </c>
      <c r="E6404" s="5">
        <v>-28535</v>
      </c>
      <c r="F6404" s="3" t="s">
        <v>96</v>
      </c>
      <c r="G6404" s="3" t="s">
        <v>52</v>
      </c>
      <c r="H6404" s="2" t="s">
        <v>21</v>
      </c>
      <c r="I6404" s="2" t="s">
        <v>12586</v>
      </c>
      <c r="J6404" s="3" t="str">
        <f>HYPERLINK("https://www.boe.es/gazeta/dias/1821/11/14/pdfs/GMD-1821-325.pdf#page=2","Abrir facsímil")</f>
        <v>Abrir facsímil</v>
      </c>
      <c r="K6404" s="3" t="s">
        <v>23</v>
      </c>
    </row>
    <row r="6405" spans="1:11" ht="42" customHeight="1">
      <c r="A6405" s="2" t="s">
        <v>12587</v>
      </c>
      <c r="B6405" s="2" t="s">
        <v>12588</v>
      </c>
      <c r="C6405" s="2" t="s">
        <v>40</v>
      </c>
      <c r="D6405" s="2" t="s">
        <v>41</v>
      </c>
      <c r="E6405" s="5">
        <v>-28512</v>
      </c>
      <c r="F6405" s="3" t="s">
        <v>66</v>
      </c>
      <c r="G6405" s="3" t="s">
        <v>43</v>
      </c>
      <c r="H6405" s="2" t="s">
        <v>21</v>
      </c>
      <c r="I6405" s="2" t="s">
        <v>12589</v>
      </c>
      <c r="J6405" s="3" t="str">
        <f>HYPERLINK("https://www.boe.es/gazeta/dias/1821/12/07/pdfs/GMD-1821-349.pdf#page=1","Abrir facsímil")</f>
        <v>Abrir facsímil</v>
      </c>
      <c r="K6405" s="3" t="s">
        <v>23</v>
      </c>
    </row>
    <row r="6406" spans="1:11" ht="42" customHeight="1">
      <c r="A6406" s="2" t="s">
        <v>12590</v>
      </c>
      <c r="B6406" s="2" t="s">
        <v>12591</v>
      </c>
      <c r="C6406" s="2" t="s">
        <v>26</v>
      </c>
      <c r="D6406" s="2" t="s">
        <v>27</v>
      </c>
      <c r="E6406" s="5">
        <v>-28629</v>
      </c>
      <c r="F6406" s="3" t="s">
        <v>235</v>
      </c>
      <c r="G6406" s="3" t="s">
        <v>88</v>
      </c>
      <c r="H6406" s="2" t="s">
        <v>21</v>
      </c>
      <c r="I6406" s="2" t="s">
        <v>12592</v>
      </c>
      <c r="J6406" s="3" t="str">
        <f>HYPERLINK("https://www.boe.es/gazeta/dias/1821/08/12/pdfs/GMD-1821-229.pdf#page=4","Abrir facsímil")</f>
        <v>Abrir facsímil</v>
      </c>
      <c r="K6406" s="3" t="s">
        <v>23</v>
      </c>
    </row>
    <row r="6407" spans="1:11" ht="42" customHeight="1">
      <c r="A6407" s="2" t="s">
        <v>12593</v>
      </c>
      <c r="B6407" s="2" t="s">
        <v>12593</v>
      </c>
      <c r="C6407" s="2" t="s">
        <v>40</v>
      </c>
      <c r="D6407" s="2" t="s">
        <v>41</v>
      </c>
      <c r="E6407" s="5">
        <v>-28560</v>
      </c>
      <c r="F6407" s="3" t="s">
        <v>363</v>
      </c>
      <c r="G6407" s="3" t="s">
        <v>162</v>
      </c>
      <c r="H6407" s="2" t="s">
        <v>21</v>
      </c>
      <c r="I6407" s="2" t="s">
        <v>12594</v>
      </c>
      <c r="J6407" s="3" t="str">
        <f>HYPERLINK("https://www.boe.es/gazeta/dias/1821/10/20/pdfs/GMD-1821-299.pdf#page=5","Abrir facsímil")</f>
        <v>Abrir facsímil</v>
      </c>
      <c r="K6407" s="3" t="s">
        <v>23</v>
      </c>
    </row>
    <row r="6408" spans="1:11" ht="42" customHeight="1">
      <c r="A6408" s="2" t="s">
        <v>12595</v>
      </c>
      <c r="B6408" s="2" t="s">
        <v>12596</v>
      </c>
      <c r="C6408" s="2" t="s">
        <v>40</v>
      </c>
      <c r="D6408" s="2" t="s">
        <v>41</v>
      </c>
      <c r="E6408" s="5">
        <v>-28512</v>
      </c>
      <c r="F6408" s="3" t="s">
        <v>66</v>
      </c>
      <c r="G6408" s="3" t="s">
        <v>43</v>
      </c>
      <c r="H6408" s="2" t="s">
        <v>21</v>
      </c>
      <c r="I6408" s="2" t="s">
        <v>12597</v>
      </c>
      <c r="J6408" s="3" t="str">
        <f>HYPERLINK("https://www.boe.es/gazeta/dias/1821/12/07/pdfs/GMD-1821-349.pdf#page=1","Abrir facsímil")</f>
        <v>Abrir facsímil</v>
      </c>
      <c r="K6408" s="3" t="s">
        <v>23</v>
      </c>
    </row>
    <row r="6409" spans="1:11" ht="42" customHeight="1">
      <c r="A6409" s="2" t="s">
        <v>12598</v>
      </c>
      <c r="B6409" s="2" t="s">
        <v>12599</v>
      </c>
      <c r="C6409" s="2" t="s">
        <v>35</v>
      </c>
      <c r="D6409" s="2" t="s">
        <v>27</v>
      </c>
      <c r="E6409" s="5">
        <v>-28513</v>
      </c>
      <c r="F6409" s="3" t="s">
        <v>502</v>
      </c>
      <c r="G6409" s="3" t="s">
        <v>52</v>
      </c>
      <c r="H6409" s="2" t="s">
        <v>21</v>
      </c>
      <c r="I6409" s="2" t="s">
        <v>12600</v>
      </c>
      <c r="J6409" s="3" t="str">
        <f>HYPERLINK("https://www.boe.es/gazeta/dias/1821/12/06/pdfs/GMD-1821-348.pdf#page=2","Abrir facsímil")</f>
        <v>Abrir facsímil</v>
      </c>
      <c r="K6409" s="3" t="s">
        <v>23</v>
      </c>
    </row>
    <row r="6410" spans="1:11" ht="42" customHeight="1">
      <c r="A6410" s="2" t="s">
        <v>12601</v>
      </c>
      <c r="B6410" s="2" t="s">
        <v>12601</v>
      </c>
      <c r="C6410" s="2" t="s">
        <v>35</v>
      </c>
      <c r="D6410" s="2" t="s">
        <v>27</v>
      </c>
      <c r="E6410" s="5">
        <v>-28785</v>
      </c>
      <c r="F6410" s="3" t="s">
        <v>1935</v>
      </c>
      <c r="G6410" s="3" t="s">
        <v>20</v>
      </c>
      <c r="H6410" s="2" t="s">
        <v>21</v>
      </c>
      <c r="I6410" s="2" t="s">
        <v>12602</v>
      </c>
      <c r="J6410" s="3" t="str">
        <f>HYPERLINK("https://www.boe.es/gazeta/dias/1821/03/09/pdfs/GGB-1821-68.pdf#page=3","Abrir facsímil")</f>
        <v>Abrir facsímil</v>
      </c>
      <c r="K6410" s="3" t="s">
        <v>23</v>
      </c>
    </row>
    <row r="6411" spans="1:11" ht="42" customHeight="1">
      <c r="A6411" s="2" t="s">
        <v>12601</v>
      </c>
      <c r="B6411" s="2" t="s">
        <v>12601</v>
      </c>
      <c r="C6411" s="2" t="s">
        <v>40</v>
      </c>
      <c r="D6411" s="2" t="s">
        <v>41</v>
      </c>
      <c r="E6411" s="5">
        <v>-28781</v>
      </c>
      <c r="F6411" s="3" t="s">
        <v>149</v>
      </c>
      <c r="G6411" s="3" t="s">
        <v>88</v>
      </c>
      <c r="H6411" s="2" t="s">
        <v>21</v>
      </c>
      <c r="I6411" s="2" t="s">
        <v>12603</v>
      </c>
      <c r="J6411" s="3" t="str">
        <f>HYPERLINK("https://www.boe.es/gazeta/dias/1821/03/13/pdfs/GMD-1821-72.pdf#page=4","Abrir facsímil")</f>
        <v>Abrir facsímil</v>
      </c>
      <c r="K6411" s="3" t="s">
        <v>23</v>
      </c>
    </row>
    <row r="6412" spans="1:11" ht="42" customHeight="1">
      <c r="A6412" s="2" t="s">
        <v>12601</v>
      </c>
      <c r="B6412" s="2" t="s">
        <v>12601</v>
      </c>
      <c r="C6412" s="2" t="s">
        <v>40</v>
      </c>
      <c r="D6412" s="2" t="s">
        <v>41</v>
      </c>
      <c r="E6412" s="5">
        <v>-28780</v>
      </c>
      <c r="F6412" s="3" t="s">
        <v>143</v>
      </c>
      <c r="G6412" s="3" t="s">
        <v>52</v>
      </c>
      <c r="H6412" s="2" t="s">
        <v>21</v>
      </c>
      <c r="I6412" s="2" t="s">
        <v>12604</v>
      </c>
      <c r="J6412" s="3" t="str">
        <f>HYPERLINK("https://www.boe.es/gazeta/dias/1821/03/14/pdfs/GMD-1821-73.pdf#page=2","Abrir facsímil")</f>
        <v>Abrir facsímil</v>
      </c>
      <c r="K6412" s="3" t="s">
        <v>23</v>
      </c>
    </row>
    <row r="6413" spans="1:11" ht="42" customHeight="1">
      <c r="A6413" s="2" t="s">
        <v>12601</v>
      </c>
      <c r="B6413" s="2" t="s">
        <v>12601</v>
      </c>
      <c r="C6413" s="2" t="s">
        <v>17</v>
      </c>
      <c r="D6413" s="2" t="s">
        <v>18</v>
      </c>
      <c r="E6413" s="5">
        <v>-28776</v>
      </c>
      <c r="F6413" s="3" t="s">
        <v>312</v>
      </c>
      <c r="G6413" s="3" t="s">
        <v>88</v>
      </c>
      <c r="H6413" s="2" t="s">
        <v>21</v>
      </c>
      <c r="I6413" s="2" t="s">
        <v>12605</v>
      </c>
      <c r="J6413" s="3" t="str">
        <f>HYPERLINK("https://www.boe.es/gazeta/dias/1821/03/18/pdfs/GMD-1821-77.pdf#page=4","Abrir facsímil")</f>
        <v>Abrir facsímil</v>
      </c>
      <c r="K6413" s="3" t="s">
        <v>23</v>
      </c>
    </row>
    <row r="6414" spans="1:11" ht="42" customHeight="1">
      <c r="A6414" s="2" t="s">
        <v>12601</v>
      </c>
      <c r="B6414" s="2" t="s">
        <v>12601</v>
      </c>
      <c r="C6414" s="2" t="s">
        <v>40</v>
      </c>
      <c r="D6414" s="2" t="s">
        <v>41</v>
      </c>
      <c r="E6414" s="5">
        <v>-28772</v>
      </c>
      <c r="F6414" s="3" t="s">
        <v>62</v>
      </c>
      <c r="G6414" s="3" t="s">
        <v>20</v>
      </c>
      <c r="H6414" s="2" t="s">
        <v>21</v>
      </c>
      <c r="I6414" s="2" t="s">
        <v>12606</v>
      </c>
      <c r="J6414" s="3" t="str">
        <f>HYPERLINK("https://www.boe.es/gazeta/dias/1821/03/22/pdfs/GMD-1821-81.pdf#page=3","Abrir facsímil")</f>
        <v>Abrir facsímil</v>
      </c>
      <c r="K6414" s="3" t="s">
        <v>23</v>
      </c>
    </row>
    <row r="6415" spans="1:11" ht="42" customHeight="1">
      <c r="A6415" s="2" t="s">
        <v>12601</v>
      </c>
      <c r="B6415" s="2" t="s">
        <v>12601</v>
      </c>
      <c r="C6415" s="2" t="s">
        <v>35</v>
      </c>
      <c r="D6415" s="2" t="s">
        <v>27</v>
      </c>
      <c r="E6415" s="5">
        <v>-28768</v>
      </c>
      <c r="F6415" s="3" t="s">
        <v>1114</v>
      </c>
      <c r="G6415" s="3" t="s">
        <v>20</v>
      </c>
      <c r="H6415" s="2" t="s">
        <v>21</v>
      </c>
      <c r="I6415" s="2" t="s">
        <v>12607</v>
      </c>
      <c r="J6415" s="3" t="str">
        <f>HYPERLINK("https://www.boe.es/gazeta/dias/1821/03/26/pdfs/GMD-1821-86.pdf#page=3","Abrir facsímil")</f>
        <v>Abrir facsímil</v>
      </c>
      <c r="K6415" s="3" t="s">
        <v>23</v>
      </c>
    </row>
    <row r="6416" spans="1:11" ht="42" customHeight="1">
      <c r="A6416" s="2" t="s">
        <v>12601</v>
      </c>
      <c r="B6416" s="2" t="s">
        <v>12601</v>
      </c>
      <c r="C6416" s="2" t="s">
        <v>40</v>
      </c>
      <c r="D6416" s="2" t="s">
        <v>41</v>
      </c>
      <c r="E6416" s="5">
        <v>-28763</v>
      </c>
      <c r="F6416" s="3" t="s">
        <v>1145</v>
      </c>
      <c r="G6416" s="3" t="s">
        <v>88</v>
      </c>
      <c r="H6416" s="2" t="s">
        <v>21</v>
      </c>
      <c r="I6416" s="2" t="s">
        <v>12608</v>
      </c>
      <c r="J6416" s="3" t="str">
        <f>HYPERLINK("https://www.boe.es/gazeta/dias/1821/03/31/pdfs/GMD-1821-92.pdf#page=4","Abrir facsímil")</f>
        <v>Abrir facsímil</v>
      </c>
      <c r="K6416" s="3" t="s">
        <v>23</v>
      </c>
    </row>
    <row r="6417" spans="1:11" ht="42" customHeight="1">
      <c r="A6417" s="2" t="s">
        <v>12601</v>
      </c>
      <c r="B6417" s="2" t="s">
        <v>12601</v>
      </c>
      <c r="C6417" s="2" t="s">
        <v>40</v>
      </c>
      <c r="D6417" s="2" t="s">
        <v>41</v>
      </c>
      <c r="E6417" s="5">
        <v>-28762</v>
      </c>
      <c r="F6417" s="3" t="s">
        <v>608</v>
      </c>
      <c r="G6417" s="3" t="s">
        <v>29</v>
      </c>
      <c r="H6417" s="2" t="s">
        <v>21</v>
      </c>
      <c r="I6417" s="2" t="s">
        <v>12609</v>
      </c>
      <c r="J6417" s="3" t="str">
        <f>HYPERLINK("https://www.boe.es/gazeta/dias/1821/04/01/pdfs/GMD-1821-93.pdf#page=6","Abrir facsímil")</f>
        <v>Abrir facsímil</v>
      </c>
      <c r="K6417" s="3" t="s">
        <v>23</v>
      </c>
    </row>
    <row r="6418" spans="1:11" ht="42" customHeight="1">
      <c r="A6418" s="2" t="s">
        <v>12601</v>
      </c>
      <c r="B6418" s="2" t="s">
        <v>12601</v>
      </c>
      <c r="C6418" s="2" t="s">
        <v>17</v>
      </c>
      <c r="D6418" s="2" t="s">
        <v>18</v>
      </c>
      <c r="E6418" s="5">
        <v>-28757</v>
      </c>
      <c r="F6418" s="3" t="s">
        <v>472</v>
      </c>
      <c r="G6418" s="3" t="s">
        <v>20</v>
      </c>
      <c r="H6418" s="2" t="s">
        <v>21</v>
      </c>
      <c r="I6418" s="2" t="s">
        <v>12610</v>
      </c>
      <c r="J6418" s="3" t="str">
        <f>HYPERLINK("https://www.boe.es/gazeta/dias/1821/04/06/pdfs/GMD-1821-98.pdf#page=3","Abrir facsímil")</f>
        <v>Abrir facsímil</v>
      </c>
      <c r="K6418" s="3" t="s">
        <v>23</v>
      </c>
    </row>
    <row r="6419" spans="1:11" ht="42" customHeight="1">
      <c r="A6419" s="2" t="s">
        <v>12601</v>
      </c>
      <c r="B6419" s="2" t="s">
        <v>12601</v>
      </c>
      <c r="C6419" s="2" t="s">
        <v>40</v>
      </c>
      <c r="D6419" s="2" t="s">
        <v>41</v>
      </c>
      <c r="E6419" s="5">
        <v>-28754</v>
      </c>
      <c r="F6419" s="3" t="s">
        <v>1942</v>
      </c>
      <c r="G6419" s="3" t="s">
        <v>20</v>
      </c>
      <c r="H6419" s="2" t="s">
        <v>21</v>
      </c>
      <c r="I6419" s="2" t="s">
        <v>12611</v>
      </c>
      <c r="J6419" s="3" t="str">
        <f>HYPERLINK("https://www.boe.es/gazeta/dias/1821/04/09/pdfs/GMD-1821-101.pdf#page=3","Abrir facsímil")</f>
        <v>Abrir facsímil</v>
      </c>
      <c r="K6419" s="3" t="s">
        <v>23</v>
      </c>
    </row>
    <row r="6420" spans="1:11" ht="42" customHeight="1">
      <c r="A6420" s="2" t="s">
        <v>12601</v>
      </c>
      <c r="B6420" s="2" t="s">
        <v>12601</v>
      </c>
      <c r="C6420" s="2" t="s">
        <v>35</v>
      </c>
      <c r="D6420" s="2" t="s">
        <v>27</v>
      </c>
      <c r="E6420" s="5">
        <v>-28745</v>
      </c>
      <c r="F6420" s="3" t="s">
        <v>1020</v>
      </c>
      <c r="G6420" s="3" t="s">
        <v>52</v>
      </c>
      <c r="H6420" s="2" t="s">
        <v>21</v>
      </c>
      <c r="I6420" s="2" t="s">
        <v>12612</v>
      </c>
      <c r="J6420" s="3" t="str">
        <f>HYPERLINK("https://www.boe.es/gazeta/dias/1821/04/18/pdfs/GMD-1821-110.pdf#page=2","Abrir facsímil")</f>
        <v>Abrir facsímil</v>
      </c>
      <c r="K6420" s="3" t="s">
        <v>23</v>
      </c>
    </row>
    <row r="6421" spans="1:11" ht="42" customHeight="1">
      <c r="A6421" s="2" t="s">
        <v>12601</v>
      </c>
      <c r="B6421" s="2" t="s">
        <v>12601</v>
      </c>
      <c r="C6421" s="2" t="s">
        <v>17</v>
      </c>
      <c r="D6421" s="2" t="s">
        <v>18</v>
      </c>
      <c r="E6421" s="5">
        <v>-28741</v>
      </c>
      <c r="F6421" s="3" t="s">
        <v>1841</v>
      </c>
      <c r="G6421" s="3" t="s">
        <v>52</v>
      </c>
      <c r="H6421" s="2" t="s">
        <v>21</v>
      </c>
      <c r="I6421" s="2" t="s">
        <v>12613</v>
      </c>
      <c r="J6421" s="3" t="str">
        <f>HYPERLINK("https://www.boe.es/gazeta/dias/1821/04/22/pdfs/GMD-1821-114.pdf#page=2","Abrir facsímil")</f>
        <v>Abrir facsímil</v>
      </c>
      <c r="K6421" s="3" t="s">
        <v>23</v>
      </c>
    </row>
    <row r="6422" spans="1:11" ht="42" customHeight="1">
      <c r="A6422" s="2" t="s">
        <v>12601</v>
      </c>
      <c r="B6422" s="2" t="s">
        <v>12601</v>
      </c>
      <c r="C6422" s="2" t="s">
        <v>40</v>
      </c>
      <c r="D6422" s="2" t="s">
        <v>41</v>
      </c>
      <c r="E6422" s="5">
        <v>-28738</v>
      </c>
      <c r="F6422" s="3" t="s">
        <v>359</v>
      </c>
      <c r="G6422" s="3" t="s">
        <v>20</v>
      </c>
      <c r="H6422" s="2" t="s">
        <v>21</v>
      </c>
      <c r="I6422" s="2" t="s">
        <v>12614</v>
      </c>
      <c r="J6422" s="3" t="str">
        <f>HYPERLINK("https://www.boe.es/gazeta/dias/1821/04/25/pdfs/GMD-1821-117.pdf#page=3","Abrir facsímil")</f>
        <v>Abrir facsímil</v>
      </c>
      <c r="K6422" s="3" t="s">
        <v>23</v>
      </c>
    </row>
    <row r="6423" spans="1:11" ht="42" customHeight="1">
      <c r="A6423" s="2" t="s">
        <v>12601</v>
      </c>
      <c r="B6423" s="2" t="s">
        <v>12601</v>
      </c>
      <c r="C6423" s="2" t="s">
        <v>17</v>
      </c>
      <c r="D6423" s="2" t="s">
        <v>18</v>
      </c>
      <c r="E6423" s="5">
        <v>-28734</v>
      </c>
      <c r="F6423" s="3" t="s">
        <v>1553</v>
      </c>
      <c r="G6423" s="3" t="s">
        <v>20</v>
      </c>
      <c r="H6423" s="2" t="s">
        <v>21</v>
      </c>
      <c r="I6423" s="2" t="s">
        <v>12615</v>
      </c>
      <c r="J6423" s="3" t="str">
        <f>HYPERLINK("https://www.boe.es/gazeta/dias/1821/04/29/pdfs/GMD-1821-121.pdf#page=3","Abrir facsímil")</f>
        <v>Abrir facsímil</v>
      </c>
      <c r="K6423" s="3" t="s">
        <v>23</v>
      </c>
    </row>
    <row r="6424" spans="1:11" ht="42" customHeight="1">
      <c r="A6424" s="2" t="s">
        <v>12601</v>
      </c>
      <c r="B6424" s="2" t="s">
        <v>12601</v>
      </c>
      <c r="C6424" s="2" t="s">
        <v>17</v>
      </c>
      <c r="D6424" s="2" t="s">
        <v>18</v>
      </c>
      <c r="E6424" s="5">
        <v>-28730</v>
      </c>
      <c r="F6424" s="3" t="s">
        <v>747</v>
      </c>
      <c r="G6424" s="3" t="s">
        <v>20</v>
      </c>
      <c r="H6424" s="2" t="s">
        <v>21</v>
      </c>
      <c r="I6424" s="2" t="s">
        <v>12616</v>
      </c>
      <c r="J6424" s="3" t="str">
        <f>HYPERLINK("https://www.boe.es/gazeta/dias/1821/05/03/pdfs/GMD-1821-125.pdf#page=3","Abrir facsímil")</f>
        <v>Abrir facsímil</v>
      </c>
      <c r="K6424" s="3" t="s">
        <v>23</v>
      </c>
    </row>
    <row r="6425" spans="1:11" ht="42" customHeight="1">
      <c r="A6425" s="2" t="s">
        <v>12601</v>
      </c>
      <c r="B6425" s="2" t="s">
        <v>12601</v>
      </c>
      <c r="C6425" s="2" t="s">
        <v>35</v>
      </c>
      <c r="D6425" s="2" t="s">
        <v>27</v>
      </c>
      <c r="E6425" s="5">
        <v>-28727</v>
      </c>
      <c r="F6425" s="3" t="s">
        <v>200</v>
      </c>
      <c r="G6425" s="3" t="s">
        <v>52</v>
      </c>
      <c r="H6425" s="2" t="s">
        <v>21</v>
      </c>
      <c r="I6425" s="2" t="s">
        <v>12617</v>
      </c>
      <c r="J6425" s="3" t="str">
        <f>HYPERLINK("https://www.boe.es/gazeta/dias/1821/05/06/pdfs/GMD-1821-128.pdf#page=2","Abrir facsímil")</f>
        <v>Abrir facsímil</v>
      </c>
      <c r="K6425" s="3" t="s">
        <v>23</v>
      </c>
    </row>
    <row r="6426" spans="1:11" ht="42" customHeight="1">
      <c r="A6426" s="2" t="s">
        <v>12601</v>
      </c>
      <c r="B6426" s="2" t="s">
        <v>12601</v>
      </c>
      <c r="C6426" s="2" t="s">
        <v>40</v>
      </c>
      <c r="D6426" s="2" t="s">
        <v>41</v>
      </c>
      <c r="E6426" s="5">
        <v>-28726</v>
      </c>
      <c r="F6426" s="3" t="s">
        <v>347</v>
      </c>
      <c r="G6426" s="3" t="s">
        <v>52</v>
      </c>
      <c r="H6426" s="2" t="s">
        <v>21</v>
      </c>
      <c r="I6426" s="2" t="s">
        <v>12618</v>
      </c>
      <c r="J6426" s="3" t="str">
        <f>HYPERLINK("https://www.boe.es/gazeta/dias/1821/05/07/pdfs/GMD-1821-129.pdf#page=2","Abrir facsímil")</f>
        <v>Abrir facsímil</v>
      </c>
      <c r="K6426" s="3" t="s">
        <v>23</v>
      </c>
    </row>
    <row r="6427" spans="1:11" ht="42" customHeight="1">
      <c r="A6427" s="2" t="s">
        <v>12601</v>
      </c>
      <c r="B6427" s="2" t="s">
        <v>12601</v>
      </c>
      <c r="C6427" s="2" t="s">
        <v>40</v>
      </c>
      <c r="D6427" s="2" t="s">
        <v>41</v>
      </c>
      <c r="E6427" s="5">
        <v>-28725</v>
      </c>
      <c r="F6427" s="3" t="s">
        <v>440</v>
      </c>
      <c r="G6427" s="3" t="s">
        <v>88</v>
      </c>
      <c r="H6427" s="2" t="s">
        <v>21</v>
      </c>
      <c r="I6427" s="2" t="s">
        <v>12619</v>
      </c>
      <c r="J6427" s="3" t="str">
        <f>HYPERLINK("https://www.boe.es/gazeta/dias/1821/05/08/pdfs/GMD-1821-130.pdf#page=4","Abrir facsímil")</f>
        <v>Abrir facsímil</v>
      </c>
      <c r="K6427" s="3" t="s">
        <v>23</v>
      </c>
    </row>
    <row r="6428" spans="1:11" ht="42" customHeight="1">
      <c r="A6428" s="2" t="s">
        <v>12601</v>
      </c>
      <c r="B6428" s="2" t="s">
        <v>12601</v>
      </c>
      <c r="C6428" s="2" t="s">
        <v>35</v>
      </c>
      <c r="D6428" s="2" t="s">
        <v>27</v>
      </c>
      <c r="E6428" s="5">
        <v>-28724</v>
      </c>
      <c r="F6428" s="3" t="s">
        <v>1305</v>
      </c>
      <c r="G6428" s="3" t="s">
        <v>20</v>
      </c>
      <c r="H6428" s="2" t="s">
        <v>21</v>
      </c>
      <c r="I6428" s="2" t="s">
        <v>12620</v>
      </c>
      <c r="J6428" s="3" t="str">
        <f>HYPERLINK("https://www.boe.es/gazeta/dias/1821/05/09/pdfs/GMD-1821-131.pdf#page=3","Abrir facsímil")</f>
        <v>Abrir facsímil</v>
      </c>
      <c r="K6428" s="3" t="s">
        <v>23</v>
      </c>
    </row>
    <row r="6429" spans="1:11" ht="42" customHeight="1">
      <c r="A6429" s="2" t="s">
        <v>12601</v>
      </c>
      <c r="B6429" s="2" t="s">
        <v>12601</v>
      </c>
      <c r="C6429" s="2" t="s">
        <v>17</v>
      </c>
      <c r="D6429" s="2" t="s">
        <v>18</v>
      </c>
      <c r="E6429" s="5">
        <v>-28723</v>
      </c>
      <c r="F6429" s="3" t="s">
        <v>840</v>
      </c>
      <c r="G6429" s="3" t="s">
        <v>52</v>
      </c>
      <c r="H6429" s="2" t="s">
        <v>21</v>
      </c>
      <c r="I6429" s="2" t="s">
        <v>12621</v>
      </c>
      <c r="J6429" s="3" t="str">
        <f>HYPERLINK("https://www.boe.es/gazeta/dias/1821/05/10/pdfs/GMD-1821-132.pdf#page=2","Abrir facsímil")</f>
        <v>Abrir facsímil</v>
      </c>
      <c r="K6429" s="3" t="s">
        <v>23</v>
      </c>
    </row>
    <row r="6430" spans="1:11" ht="42" customHeight="1">
      <c r="A6430" s="2" t="s">
        <v>12601</v>
      </c>
      <c r="B6430" s="2" t="s">
        <v>12601</v>
      </c>
      <c r="C6430" s="2" t="s">
        <v>40</v>
      </c>
      <c r="D6430" s="2" t="s">
        <v>41</v>
      </c>
      <c r="E6430" s="5">
        <v>-28722</v>
      </c>
      <c r="F6430" s="3" t="s">
        <v>623</v>
      </c>
      <c r="G6430" s="3" t="s">
        <v>52</v>
      </c>
      <c r="H6430" s="2" t="s">
        <v>21</v>
      </c>
      <c r="I6430" s="2" t="s">
        <v>12622</v>
      </c>
      <c r="J6430" s="3" t="str">
        <f>HYPERLINK("https://www.boe.es/gazeta/dias/1821/05/11/pdfs/GMD-1821-133.pdf#page=2","Abrir facsímil")</f>
        <v>Abrir facsímil</v>
      </c>
      <c r="K6430" s="3" t="s">
        <v>23</v>
      </c>
    </row>
    <row r="6431" spans="1:11" ht="42" customHeight="1">
      <c r="A6431" s="2" t="s">
        <v>12601</v>
      </c>
      <c r="B6431" s="2" t="s">
        <v>12601</v>
      </c>
      <c r="C6431" s="2" t="s">
        <v>17</v>
      </c>
      <c r="D6431" s="2" t="s">
        <v>18</v>
      </c>
      <c r="E6431" s="5">
        <v>-28721</v>
      </c>
      <c r="F6431" s="3" t="s">
        <v>92</v>
      </c>
      <c r="G6431" s="3" t="s">
        <v>3795</v>
      </c>
      <c r="H6431" s="2" t="s">
        <v>21</v>
      </c>
      <c r="I6431" s="2" t="s">
        <v>12623</v>
      </c>
      <c r="J6431" s="3" t="str">
        <f>HYPERLINK("https://www.boe.es/gazeta/dias/1821/05/12/pdfs/GMD-1821-134.pdf#page=3","Abrir facsímil")</f>
        <v>Abrir facsímil</v>
      </c>
      <c r="K6431" s="3" t="s">
        <v>23</v>
      </c>
    </row>
    <row r="6432" spans="1:11" ht="42" customHeight="1">
      <c r="A6432" s="2" t="s">
        <v>12601</v>
      </c>
      <c r="B6432" s="2" t="s">
        <v>12601</v>
      </c>
      <c r="C6432" s="2" t="s">
        <v>17</v>
      </c>
      <c r="D6432" s="2" t="s">
        <v>18</v>
      </c>
      <c r="E6432" s="5">
        <v>-28721</v>
      </c>
      <c r="F6432" s="3" t="s">
        <v>92</v>
      </c>
      <c r="G6432" s="3" t="s">
        <v>52</v>
      </c>
      <c r="H6432" s="2" t="s">
        <v>21</v>
      </c>
      <c r="I6432" s="2" t="s">
        <v>12624</v>
      </c>
      <c r="J6432" s="3" t="str">
        <f>HYPERLINK("https://www.boe.es/gazeta/dias/1821/05/12/pdfs/GMD-1821-134.pdf#page=2","Abrir facsímil")</f>
        <v>Abrir facsímil</v>
      </c>
      <c r="K6432" s="3" t="s">
        <v>23</v>
      </c>
    </row>
    <row r="6433" spans="1:11" ht="42" customHeight="1">
      <c r="A6433" s="2" t="s">
        <v>12601</v>
      </c>
      <c r="B6433" s="2" t="s">
        <v>12601</v>
      </c>
      <c r="C6433" s="2" t="s">
        <v>35</v>
      </c>
      <c r="D6433" s="2" t="s">
        <v>27</v>
      </c>
      <c r="E6433" s="5">
        <v>-28719</v>
      </c>
      <c r="F6433" s="3" t="s">
        <v>647</v>
      </c>
      <c r="G6433" s="3" t="s">
        <v>20</v>
      </c>
      <c r="H6433" s="2" t="s">
        <v>21</v>
      </c>
      <c r="I6433" s="2" t="s">
        <v>12625</v>
      </c>
      <c r="J6433" s="3" t="str">
        <f>HYPERLINK("https://www.boe.es/gazeta/dias/1821/05/14/pdfs/GMD-1821-136.pdf#page=3","Abrir facsímil")</f>
        <v>Abrir facsímil</v>
      </c>
      <c r="K6433" s="3" t="s">
        <v>23</v>
      </c>
    </row>
    <row r="6434" spans="1:11" ht="42" customHeight="1">
      <c r="A6434" s="2" t="s">
        <v>12601</v>
      </c>
      <c r="B6434" s="2" t="s">
        <v>12601</v>
      </c>
      <c r="C6434" s="2" t="s">
        <v>17</v>
      </c>
      <c r="D6434" s="2" t="s">
        <v>18</v>
      </c>
      <c r="E6434" s="5">
        <v>-28716</v>
      </c>
      <c r="F6434" s="3" t="s">
        <v>842</v>
      </c>
      <c r="G6434" s="3" t="s">
        <v>52</v>
      </c>
      <c r="H6434" s="2" t="s">
        <v>21</v>
      </c>
      <c r="I6434" s="2" t="s">
        <v>12626</v>
      </c>
      <c r="J6434" s="3" t="str">
        <f>HYPERLINK("https://www.boe.es/gazeta/dias/1821/05/17/pdfs/GMD-1821-139.pdf#page=2","Abrir facsímil")</f>
        <v>Abrir facsímil</v>
      </c>
      <c r="K6434" s="3" t="s">
        <v>23</v>
      </c>
    </row>
    <row r="6435" spans="1:11" ht="42" customHeight="1">
      <c r="A6435" s="2" t="s">
        <v>12601</v>
      </c>
      <c r="B6435" s="2" t="s">
        <v>12601</v>
      </c>
      <c r="C6435" s="2" t="s">
        <v>17</v>
      </c>
      <c r="D6435" s="2" t="s">
        <v>18</v>
      </c>
      <c r="E6435" s="5">
        <v>-28711</v>
      </c>
      <c r="F6435" s="3" t="s">
        <v>1048</v>
      </c>
      <c r="G6435" s="3" t="s">
        <v>20</v>
      </c>
      <c r="H6435" s="2" t="s">
        <v>21</v>
      </c>
      <c r="I6435" s="2" t="s">
        <v>12627</v>
      </c>
      <c r="J6435" s="3" t="str">
        <f>HYPERLINK("https://www.boe.es/gazeta/dias/1821/05/22/pdfs/GMD-1821-144.pdf#page=3","Abrir facsímil")</f>
        <v>Abrir facsímil</v>
      </c>
      <c r="K6435" s="3" t="s">
        <v>23</v>
      </c>
    </row>
    <row r="6436" spans="1:11" ht="42" customHeight="1">
      <c r="A6436" s="2" t="s">
        <v>12601</v>
      </c>
      <c r="B6436" s="2" t="s">
        <v>12601</v>
      </c>
      <c r="C6436" s="2" t="s">
        <v>35</v>
      </c>
      <c r="D6436" s="2" t="s">
        <v>27</v>
      </c>
      <c r="E6436" s="5">
        <v>-28707</v>
      </c>
      <c r="F6436" s="3" t="s">
        <v>495</v>
      </c>
      <c r="G6436" s="3" t="s">
        <v>52</v>
      </c>
      <c r="H6436" s="2" t="s">
        <v>21</v>
      </c>
      <c r="I6436" s="2" t="s">
        <v>12628</v>
      </c>
      <c r="J6436" s="3" t="str">
        <f>HYPERLINK("https://www.boe.es/gazeta/dias/1821/05/26/pdfs/GMD-1821-148.pdf#page=2","Abrir facsímil")</f>
        <v>Abrir facsímil</v>
      </c>
      <c r="K6436" s="3" t="s">
        <v>23</v>
      </c>
    </row>
    <row r="6437" spans="1:11" ht="42" customHeight="1">
      <c r="A6437" s="2" t="s">
        <v>12601</v>
      </c>
      <c r="B6437" s="2" t="s">
        <v>12601</v>
      </c>
      <c r="C6437" s="2" t="s">
        <v>279</v>
      </c>
      <c r="D6437" s="2" t="s">
        <v>27</v>
      </c>
      <c r="E6437" s="5">
        <v>-28706</v>
      </c>
      <c r="F6437" s="3" t="s">
        <v>4791</v>
      </c>
      <c r="G6437" s="3" t="s">
        <v>52</v>
      </c>
      <c r="H6437" s="2" t="s">
        <v>21</v>
      </c>
      <c r="I6437" s="2" t="s">
        <v>12629</v>
      </c>
      <c r="J6437" s="3" t="str">
        <f>HYPERLINK("https://www.boe.es/gazeta/dias/1821/05/27/pdfs/GMD-1821-149.pdf#page=2","Abrir facsímil")</f>
        <v>Abrir facsímil</v>
      </c>
      <c r="K6437" s="3" t="s">
        <v>23</v>
      </c>
    </row>
    <row r="6438" spans="1:11" ht="42" customHeight="1">
      <c r="A6438" s="2" t="s">
        <v>12601</v>
      </c>
      <c r="B6438" s="2" t="s">
        <v>12601</v>
      </c>
      <c r="C6438" s="2" t="s">
        <v>17</v>
      </c>
      <c r="D6438" s="2" t="s">
        <v>18</v>
      </c>
      <c r="E6438" s="5">
        <v>-28701</v>
      </c>
      <c r="F6438" s="3" t="s">
        <v>202</v>
      </c>
      <c r="G6438" s="3" t="s">
        <v>52</v>
      </c>
      <c r="H6438" s="2" t="s">
        <v>21</v>
      </c>
      <c r="I6438" s="2" t="s">
        <v>12630</v>
      </c>
      <c r="J6438" s="3" t="str">
        <f>HYPERLINK("https://www.boe.es/gazeta/dias/1821/06/01/pdfs/GMD-1821-154.pdf#page=2","Abrir facsímil")</f>
        <v>Abrir facsímil</v>
      </c>
      <c r="K6438" s="3" t="s">
        <v>23</v>
      </c>
    </row>
    <row r="6439" spans="1:11" ht="42" customHeight="1">
      <c r="A6439" s="2" t="s">
        <v>12601</v>
      </c>
      <c r="B6439" s="2" t="s">
        <v>12601</v>
      </c>
      <c r="C6439" s="2" t="s">
        <v>40</v>
      </c>
      <c r="D6439" s="2" t="s">
        <v>41</v>
      </c>
      <c r="E6439" s="5">
        <v>-28700</v>
      </c>
      <c r="F6439" s="3" t="s">
        <v>701</v>
      </c>
      <c r="G6439" s="3" t="s">
        <v>88</v>
      </c>
      <c r="H6439" s="2" t="s">
        <v>21</v>
      </c>
      <c r="I6439" s="2" t="s">
        <v>12631</v>
      </c>
      <c r="J6439" s="3" t="str">
        <f>HYPERLINK("https://www.boe.es/gazeta/dias/1821/06/02/pdfs/GMD-1821-155.pdf#page=4","Abrir facsímil")</f>
        <v>Abrir facsímil</v>
      </c>
      <c r="K6439" s="3" t="s">
        <v>23</v>
      </c>
    </row>
    <row r="6440" spans="1:11" ht="42" customHeight="1">
      <c r="A6440" s="2" t="s">
        <v>12601</v>
      </c>
      <c r="B6440" s="2" t="s">
        <v>12601</v>
      </c>
      <c r="C6440" s="2" t="s">
        <v>35</v>
      </c>
      <c r="D6440" s="2" t="s">
        <v>27</v>
      </c>
      <c r="E6440" s="5">
        <v>-28696</v>
      </c>
      <c r="F6440" s="3" t="s">
        <v>497</v>
      </c>
      <c r="G6440" s="3" t="s">
        <v>20</v>
      </c>
      <c r="H6440" s="2" t="s">
        <v>21</v>
      </c>
      <c r="I6440" s="2" t="s">
        <v>12632</v>
      </c>
      <c r="J6440" s="3" t="str">
        <f>HYPERLINK("https://www.boe.es/gazeta/dias/1821/06/06/pdfs/GMD-1821-159.pdf#page=3","Abrir facsímil")</f>
        <v>Abrir facsímil</v>
      </c>
      <c r="K6440" s="3" t="s">
        <v>23</v>
      </c>
    </row>
    <row r="6441" spans="1:11" ht="42" customHeight="1">
      <c r="A6441" s="2" t="s">
        <v>12601</v>
      </c>
      <c r="B6441" s="2" t="s">
        <v>12601</v>
      </c>
      <c r="C6441" s="2" t="s">
        <v>26</v>
      </c>
      <c r="D6441" s="2" t="s">
        <v>27</v>
      </c>
      <c r="E6441" s="5">
        <v>-28690</v>
      </c>
      <c r="F6441" s="3" t="s">
        <v>846</v>
      </c>
      <c r="G6441" s="3" t="s">
        <v>20</v>
      </c>
      <c r="H6441" s="2" t="s">
        <v>21</v>
      </c>
      <c r="I6441" s="2" t="s">
        <v>12633</v>
      </c>
      <c r="J6441" s="3" t="str">
        <f>HYPERLINK("https://www.boe.es/gazeta/dias/1821/06/12/pdfs/GMD-1821-165.pdf#page=3","Abrir facsímil")</f>
        <v>Abrir facsímil</v>
      </c>
      <c r="K6441" s="3" t="s">
        <v>23</v>
      </c>
    </row>
    <row r="6442" spans="1:11" ht="42" customHeight="1">
      <c r="A6442" s="2" t="s">
        <v>12601</v>
      </c>
      <c r="B6442" s="2" t="s">
        <v>12601</v>
      </c>
      <c r="C6442" s="2" t="s">
        <v>35</v>
      </c>
      <c r="D6442" s="2" t="s">
        <v>27</v>
      </c>
      <c r="E6442" s="5">
        <v>-28689</v>
      </c>
      <c r="F6442" s="3" t="s">
        <v>194</v>
      </c>
      <c r="G6442" s="3" t="s">
        <v>20</v>
      </c>
      <c r="H6442" s="2" t="s">
        <v>21</v>
      </c>
      <c r="I6442" s="2" t="s">
        <v>12634</v>
      </c>
      <c r="J6442" s="3" t="str">
        <f>HYPERLINK("https://www.boe.es/gazeta/dias/1821/06/13/pdfs/GMD-1821-166.pdf#page=3","Abrir facsímil")</f>
        <v>Abrir facsímil</v>
      </c>
      <c r="K6442" s="3" t="s">
        <v>23</v>
      </c>
    </row>
    <row r="6443" spans="1:11" ht="42" customHeight="1">
      <c r="A6443" s="2" t="s">
        <v>12601</v>
      </c>
      <c r="B6443" s="2" t="s">
        <v>12601</v>
      </c>
      <c r="C6443" s="2" t="s">
        <v>35</v>
      </c>
      <c r="D6443" s="2" t="s">
        <v>27</v>
      </c>
      <c r="E6443" s="5">
        <v>-28686</v>
      </c>
      <c r="F6443" s="3" t="s">
        <v>115</v>
      </c>
      <c r="G6443" s="3" t="s">
        <v>20</v>
      </c>
      <c r="H6443" s="2" t="s">
        <v>21</v>
      </c>
      <c r="I6443" s="2" t="s">
        <v>12635</v>
      </c>
      <c r="J6443" s="3" t="str">
        <f>HYPERLINK("https://www.boe.es/gazeta/dias/1821/06/16/pdfs/GMD-1821-169.pdf#page=3","Abrir facsímil")</f>
        <v>Abrir facsímil</v>
      </c>
      <c r="K6443" s="3" t="s">
        <v>23</v>
      </c>
    </row>
    <row r="6444" spans="1:11" ht="42" customHeight="1">
      <c r="A6444" s="2" t="s">
        <v>12601</v>
      </c>
      <c r="B6444" s="2" t="s">
        <v>12601</v>
      </c>
      <c r="C6444" s="2" t="s">
        <v>17</v>
      </c>
      <c r="D6444" s="2" t="s">
        <v>18</v>
      </c>
      <c r="E6444" s="5">
        <v>-28685</v>
      </c>
      <c r="F6444" s="3" t="s">
        <v>303</v>
      </c>
      <c r="G6444" s="3" t="s">
        <v>52</v>
      </c>
      <c r="H6444" s="2" t="s">
        <v>21</v>
      </c>
      <c r="I6444" s="2" t="s">
        <v>12636</v>
      </c>
      <c r="J6444" s="3" t="str">
        <f>HYPERLINK("https://www.boe.es/gazeta/dias/1821/06/17/pdfs/GMD-1821-170.pdf#page=2","Abrir facsímil")</f>
        <v>Abrir facsímil</v>
      </c>
      <c r="K6444" s="3" t="s">
        <v>23</v>
      </c>
    </row>
    <row r="6445" spans="1:11" ht="42" customHeight="1">
      <c r="A6445" s="2" t="s">
        <v>12601</v>
      </c>
      <c r="B6445" s="2" t="s">
        <v>12601</v>
      </c>
      <c r="C6445" s="2" t="s">
        <v>70</v>
      </c>
      <c r="D6445" s="2" t="s">
        <v>27</v>
      </c>
      <c r="E6445" s="5">
        <v>-28683</v>
      </c>
      <c r="F6445" s="3" t="s">
        <v>332</v>
      </c>
      <c r="G6445" s="3" t="s">
        <v>88</v>
      </c>
      <c r="H6445" s="2" t="s">
        <v>21</v>
      </c>
      <c r="I6445" s="2" t="s">
        <v>12637</v>
      </c>
      <c r="J6445" s="3" t="str">
        <f>HYPERLINK("https://www.boe.es/gazeta/dias/1821/06/19/pdfs/GMD-1821-172.pdf#page=4","Abrir facsímil")</f>
        <v>Abrir facsímil</v>
      </c>
      <c r="K6445" s="3" t="s">
        <v>23</v>
      </c>
    </row>
    <row r="6446" spans="1:11" ht="42" customHeight="1">
      <c r="A6446" s="2" t="s">
        <v>12601</v>
      </c>
      <c r="B6446" s="2" t="s">
        <v>12601</v>
      </c>
      <c r="C6446" s="2" t="s">
        <v>17</v>
      </c>
      <c r="D6446" s="2" t="s">
        <v>18</v>
      </c>
      <c r="E6446" s="5">
        <v>-28682</v>
      </c>
      <c r="F6446" s="3" t="s">
        <v>1064</v>
      </c>
      <c r="G6446" s="3" t="s">
        <v>162</v>
      </c>
      <c r="H6446" s="2" t="s">
        <v>21</v>
      </c>
      <c r="I6446" s="2" t="s">
        <v>12638</v>
      </c>
      <c r="J6446" s="3" t="str">
        <f>HYPERLINK("https://www.boe.es/gazeta/dias/1821/06/20/pdfs/GMD-1821-173.pdf#page=5","Abrir facsímil")</f>
        <v>Abrir facsímil</v>
      </c>
      <c r="K6446" s="3" t="s">
        <v>23</v>
      </c>
    </row>
    <row r="6447" spans="1:11" ht="42" customHeight="1">
      <c r="A6447" s="2" t="s">
        <v>12601</v>
      </c>
      <c r="B6447" s="2" t="s">
        <v>12601</v>
      </c>
      <c r="C6447" s="2" t="s">
        <v>26</v>
      </c>
      <c r="D6447" s="2" t="s">
        <v>27</v>
      </c>
      <c r="E6447" s="5">
        <v>-28678</v>
      </c>
      <c r="F6447" s="3" t="s">
        <v>215</v>
      </c>
      <c r="G6447" s="3" t="s">
        <v>88</v>
      </c>
      <c r="H6447" s="2" t="s">
        <v>21</v>
      </c>
      <c r="I6447" s="2" t="s">
        <v>12639</v>
      </c>
      <c r="J6447" s="3" t="str">
        <f>HYPERLINK("https://www.boe.es/gazeta/dias/1821/06/24/pdfs/GMD-1821-177.pdf#page=4","Abrir facsímil")</f>
        <v>Abrir facsímil</v>
      </c>
      <c r="K6447" s="3" t="s">
        <v>23</v>
      </c>
    </row>
    <row r="6448" spans="1:11" ht="42" customHeight="1">
      <c r="A6448" s="2" t="s">
        <v>12601</v>
      </c>
      <c r="B6448" s="2" t="s">
        <v>12601</v>
      </c>
      <c r="C6448" s="2" t="s">
        <v>17</v>
      </c>
      <c r="D6448" s="2" t="s">
        <v>18</v>
      </c>
      <c r="E6448" s="5">
        <v>-28677</v>
      </c>
      <c r="F6448" s="3" t="s">
        <v>361</v>
      </c>
      <c r="G6448" s="3" t="s">
        <v>20</v>
      </c>
      <c r="H6448" s="2" t="s">
        <v>21</v>
      </c>
      <c r="I6448" s="2" t="s">
        <v>12640</v>
      </c>
      <c r="J6448" s="3" t="str">
        <f>HYPERLINK("https://www.boe.es/gazeta/dias/1821/06/25/pdfs/GMD-1821-178.pdf#page=3","Abrir facsímil")</f>
        <v>Abrir facsímil</v>
      </c>
      <c r="K6448" s="3" t="s">
        <v>23</v>
      </c>
    </row>
    <row r="6449" spans="1:11" ht="42" customHeight="1">
      <c r="A6449" s="2" t="s">
        <v>12601</v>
      </c>
      <c r="B6449" s="2" t="s">
        <v>12601</v>
      </c>
      <c r="C6449" s="2" t="s">
        <v>35</v>
      </c>
      <c r="D6449" s="2" t="s">
        <v>27</v>
      </c>
      <c r="E6449" s="5">
        <v>-28675</v>
      </c>
      <c r="F6449" s="3" t="s">
        <v>943</v>
      </c>
      <c r="G6449" s="3" t="s">
        <v>162</v>
      </c>
      <c r="H6449" s="2" t="s">
        <v>21</v>
      </c>
      <c r="I6449" s="2" t="s">
        <v>12641</v>
      </c>
      <c r="J6449" s="3" t="str">
        <f>HYPERLINK("https://www.boe.es/gazeta/dias/1821/06/27/pdfs/GMD-1821-180.pdf#page=5","Abrir facsímil")</f>
        <v>Abrir facsímil</v>
      </c>
      <c r="K6449" s="3" t="s">
        <v>23</v>
      </c>
    </row>
    <row r="6450" spans="1:11" ht="42" customHeight="1">
      <c r="A6450" s="2" t="s">
        <v>12601</v>
      </c>
      <c r="B6450" s="2" t="s">
        <v>12601</v>
      </c>
      <c r="C6450" s="2" t="s">
        <v>35</v>
      </c>
      <c r="D6450" s="2" t="s">
        <v>27</v>
      </c>
      <c r="E6450" s="5">
        <v>-28674</v>
      </c>
      <c r="F6450" s="3" t="s">
        <v>536</v>
      </c>
      <c r="G6450" s="3" t="s">
        <v>20</v>
      </c>
      <c r="H6450" s="2" t="s">
        <v>21</v>
      </c>
      <c r="I6450" s="2" t="s">
        <v>12642</v>
      </c>
      <c r="J6450" s="3" t="str">
        <f>HYPERLINK("https://www.boe.es/gazeta/dias/1821/06/28/pdfs/GMD-1821-181.pdf#page=3","Abrir facsímil")</f>
        <v>Abrir facsímil</v>
      </c>
      <c r="K6450" s="3" t="s">
        <v>23</v>
      </c>
    </row>
    <row r="6451" spans="1:11" ht="42" customHeight="1">
      <c r="A6451" s="2" t="s">
        <v>12601</v>
      </c>
      <c r="B6451" s="2" t="s">
        <v>12601</v>
      </c>
      <c r="C6451" s="2" t="s">
        <v>40</v>
      </c>
      <c r="D6451" s="2" t="s">
        <v>41</v>
      </c>
      <c r="E6451" s="5">
        <v>-28674</v>
      </c>
      <c r="F6451" s="3" t="s">
        <v>536</v>
      </c>
      <c r="G6451" s="3" t="s">
        <v>88</v>
      </c>
      <c r="H6451" s="2" t="s">
        <v>21</v>
      </c>
      <c r="I6451" s="2" t="s">
        <v>12643</v>
      </c>
      <c r="J6451" s="3" t="str">
        <f>HYPERLINK("https://www.boe.es/gazeta/dias/1821/06/28/pdfs/GMD-1821-181.pdf#page=4","Abrir facsímil")</f>
        <v>Abrir facsímil</v>
      </c>
      <c r="K6451" s="3" t="s">
        <v>23</v>
      </c>
    </row>
    <row r="6452" spans="1:11" ht="42" customHeight="1">
      <c r="A6452" s="2" t="s">
        <v>12601</v>
      </c>
      <c r="B6452" s="2" t="s">
        <v>12601</v>
      </c>
      <c r="C6452" s="2" t="s">
        <v>40</v>
      </c>
      <c r="D6452" s="2" t="s">
        <v>41</v>
      </c>
      <c r="E6452" s="5">
        <v>-28673</v>
      </c>
      <c r="F6452" s="3" t="s">
        <v>1069</v>
      </c>
      <c r="G6452" s="3" t="s">
        <v>52</v>
      </c>
      <c r="H6452" s="2" t="s">
        <v>21</v>
      </c>
      <c r="I6452" s="2" t="s">
        <v>12644</v>
      </c>
      <c r="J6452" s="3" t="str">
        <f>HYPERLINK("https://www.boe.es/gazeta/dias/1821/06/29/pdfs/GMD-1821-182.pdf#page=2","Abrir facsímil")</f>
        <v>Abrir facsímil</v>
      </c>
      <c r="K6452" s="3" t="s">
        <v>23</v>
      </c>
    </row>
    <row r="6453" spans="1:11" ht="42" customHeight="1">
      <c r="A6453" s="2" t="s">
        <v>12601</v>
      </c>
      <c r="B6453" s="2" t="s">
        <v>12601</v>
      </c>
      <c r="C6453" s="2" t="s">
        <v>17</v>
      </c>
      <c r="D6453" s="2" t="s">
        <v>18</v>
      </c>
      <c r="E6453" s="5">
        <v>-28672</v>
      </c>
      <c r="F6453" s="3" t="s">
        <v>964</v>
      </c>
      <c r="G6453" s="3" t="s">
        <v>20</v>
      </c>
      <c r="H6453" s="2" t="s">
        <v>21</v>
      </c>
      <c r="I6453" s="2" t="s">
        <v>12645</v>
      </c>
      <c r="J6453" s="3" t="str">
        <f>HYPERLINK("https://www.boe.es/gazeta/dias/1821/06/30/pdfs/GMD-1821-183.pdf#page=3","Abrir facsímil")</f>
        <v>Abrir facsímil</v>
      </c>
      <c r="K6453" s="3" t="s">
        <v>23</v>
      </c>
    </row>
    <row r="6454" spans="1:11" ht="42" customHeight="1">
      <c r="A6454" s="2" t="s">
        <v>12601</v>
      </c>
      <c r="B6454" s="2" t="s">
        <v>12601</v>
      </c>
      <c r="C6454" s="2" t="s">
        <v>17</v>
      </c>
      <c r="D6454" s="2" t="s">
        <v>18</v>
      </c>
      <c r="E6454" s="5">
        <v>-28671</v>
      </c>
      <c r="F6454" s="3" t="s">
        <v>5059</v>
      </c>
      <c r="G6454" s="3" t="s">
        <v>52</v>
      </c>
      <c r="H6454" s="2" t="s">
        <v>21</v>
      </c>
      <c r="I6454" s="2" t="s">
        <v>12646</v>
      </c>
      <c r="J6454" s="3" t="str">
        <f>HYPERLINK("https://www.boe.es/gazeta/dias/1821/07/01/pdfs/GMD-1821-185.pdf#page=2","Abrir facsímil")</f>
        <v>Abrir facsímil</v>
      </c>
      <c r="K6454" s="3" t="s">
        <v>23</v>
      </c>
    </row>
    <row r="6455" spans="1:11" ht="42" customHeight="1">
      <c r="A6455" s="2" t="s">
        <v>12601</v>
      </c>
      <c r="B6455" s="2" t="s">
        <v>12601</v>
      </c>
      <c r="C6455" s="2" t="s">
        <v>114</v>
      </c>
      <c r="D6455" s="2" t="s">
        <v>27</v>
      </c>
      <c r="E6455" s="5">
        <v>-28585</v>
      </c>
      <c r="F6455" s="3" t="s">
        <v>627</v>
      </c>
      <c r="G6455" s="3" t="s">
        <v>20</v>
      </c>
      <c r="H6455" s="2" t="s">
        <v>21</v>
      </c>
      <c r="I6455" s="2" t="s">
        <v>12647</v>
      </c>
      <c r="J6455" s="3" t="str">
        <f>HYPERLINK("https://www.boe.es/gazeta/dias/1821/09/25/pdfs/GMD-1821-273.pdf#page=3","Abrir facsímil")</f>
        <v>Abrir facsímil</v>
      </c>
      <c r="K6455" s="3" t="s">
        <v>23</v>
      </c>
    </row>
    <row r="6456" spans="1:11" ht="42" customHeight="1">
      <c r="A6456" s="2" t="s">
        <v>12601</v>
      </c>
      <c r="B6456" s="2" t="s">
        <v>12601</v>
      </c>
      <c r="C6456" s="2" t="s">
        <v>40</v>
      </c>
      <c r="D6456" s="2" t="s">
        <v>41</v>
      </c>
      <c r="E6456" s="5">
        <v>-28581</v>
      </c>
      <c r="F6456" s="3" t="s">
        <v>254</v>
      </c>
      <c r="G6456" s="3" t="s">
        <v>20</v>
      </c>
      <c r="H6456" s="2" t="s">
        <v>21</v>
      </c>
      <c r="I6456" s="2" t="s">
        <v>12648</v>
      </c>
      <c r="J6456" s="3" t="str">
        <f>HYPERLINK("https://www.boe.es/gazeta/dias/1821/09/29/pdfs/GMD-1821-278.pdf#page=3","Abrir facsímil")</f>
        <v>Abrir facsímil</v>
      </c>
      <c r="K6456" s="3" t="s">
        <v>23</v>
      </c>
    </row>
    <row r="6457" spans="1:11" ht="42" customHeight="1">
      <c r="A6457" s="2" t="s">
        <v>12601</v>
      </c>
      <c r="B6457" s="2" t="s">
        <v>12601</v>
      </c>
      <c r="C6457" s="2" t="s">
        <v>40</v>
      </c>
      <c r="D6457" s="2" t="s">
        <v>41</v>
      </c>
      <c r="E6457" s="5">
        <v>-28580</v>
      </c>
      <c r="F6457" s="3" t="s">
        <v>175</v>
      </c>
      <c r="G6457" s="3" t="s">
        <v>20</v>
      </c>
      <c r="H6457" s="2" t="s">
        <v>21</v>
      </c>
      <c r="I6457" s="2" t="s">
        <v>12649</v>
      </c>
      <c r="J6457" s="3" t="str">
        <f>HYPERLINK("https://www.boe.es/gazeta/dias/1821/09/30/pdfs/GMD-1821-279.pdf#page=3","Abrir facsímil")</f>
        <v>Abrir facsímil</v>
      </c>
      <c r="K6457" s="3" t="s">
        <v>23</v>
      </c>
    </row>
    <row r="6458" spans="1:11" ht="42" customHeight="1">
      <c r="A6458" s="2" t="s">
        <v>12601</v>
      </c>
      <c r="B6458" s="2" t="s">
        <v>12601</v>
      </c>
      <c r="C6458" s="2" t="s">
        <v>35</v>
      </c>
      <c r="D6458" s="2" t="s">
        <v>27</v>
      </c>
      <c r="E6458" s="5">
        <v>-28580</v>
      </c>
      <c r="F6458" s="3" t="s">
        <v>175</v>
      </c>
      <c r="G6458" s="3" t="s">
        <v>88</v>
      </c>
      <c r="H6458" s="2" t="s">
        <v>21</v>
      </c>
      <c r="I6458" s="2" t="s">
        <v>12650</v>
      </c>
      <c r="J6458" s="3" t="str">
        <f>HYPERLINK("https://www.boe.es/gazeta/dias/1821/09/30/pdfs/GMD-1821-279.pdf#page=4","Abrir facsímil")</f>
        <v>Abrir facsímil</v>
      </c>
      <c r="K6458" s="3" t="s">
        <v>23</v>
      </c>
    </row>
    <row r="6459" spans="1:11" ht="42" customHeight="1">
      <c r="A6459" s="2" t="s">
        <v>12601</v>
      </c>
      <c r="B6459" s="2" t="s">
        <v>12601</v>
      </c>
      <c r="C6459" s="2" t="s">
        <v>26</v>
      </c>
      <c r="D6459" s="2" t="s">
        <v>27</v>
      </c>
      <c r="E6459" s="5">
        <v>-28578</v>
      </c>
      <c r="F6459" s="3" t="s">
        <v>899</v>
      </c>
      <c r="G6459" s="3" t="s">
        <v>52</v>
      </c>
      <c r="H6459" s="2" t="s">
        <v>21</v>
      </c>
      <c r="I6459" s="2" t="s">
        <v>12651</v>
      </c>
      <c r="J6459" s="3" t="str">
        <f>HYPERLINK("https://www.boe.es/gazeta/dias/1821/10/02/pdfs/GMD-1821-281.pdf#page=2","Abrir facsímil")</f>
        <v>Abrir facsímil</v>
      </c>
      <c r="K6459" s="3" t="s">
        <v>23</v>
      </c>
    </row>
    <row r="6460" spans="1:11" ht="42" customHeight="1">
      <c r="A6460" s="2" t="s">
        <v>12601</v>
      </c>
      <c r="B6460" s="2" t="s">
        <v>12601</v>
      </c>
      <c r="C6460" s="2" t="s">
        <v>26</v>
      </c>
      <c r="D6460" s="2" t="s">
        <v>27</v>
      </c>
      <c r="E6460" s="5">
        <v>-28578</v>
      </c>
      <c r="F6460" s="3" t="s">
        <v>899</v>
      </c>
      <c r="G6460" s="3" t="s">
        <v>88</v>
      </c>
      <c r="H6460" s="2" t="s">
        <v>21</v>
      </c>
      <c r="I6460" s="2" t="s">
        <v>12652</v>
      </c>
      <c r="J6460" s="3" t="str">
        <f>HYPERLINK("https://www.boe.es/gazeta/dias/1821/10/02/pdfs/GMD-1821-281.pdf#page=4","Abrir facsímil")</f>
        <v>Abrir facsímil</v>
      </c>
      <c r="K6460" s="3" t="s">
        <v>23</v>
      </c>
    </row>
    <row r="6461" spans="1:11" ht="42" customHeight="1">
      <c r="A6461" s="2" t="s">
        <v>12601</v>
      </c>
      <c r="B6461" s="2" t="s">
        <v>12601</v>
      </c>
      <c r="C6461" s="2" t="s">
        <v>26</v>
      </c>
      <c r="D6461" s="2" t="s">
        <v>27</v>
      </c>
      <c r="E6461" s="5">
        <v>-28576</v>
      </c>
      <c r="F6461" s="3" t="s">
        <v>1924</v>
      </c>
      <c r="G6461" s="3" t="s">
        <v>52</v>
      </c>
      <c r="H6461" s="2" t="s">
        <v>21</v>
      </c>
      <c r="I6461" s="2" t="s">
        <v>12653</v>
      </c>
      <c r="J6461" s="3" t="str">
        <f>HYPERLINK("https://www.boe.es/gazeta/dias/1821/10/04/pdfs/GMD-1821-283.pdf#page=2","Abrir facsímil")</f>
        <v>Abrir facsímil</v>
      </c>
      <c r="K6461" s="3" t="s">
        <v>23</v>
      </c>
    </row>
    <row r="6462" spans="1:11" ht="42" customHeight="1">
      <c r="A6462" s="2" t="s">
        <v>12601</v>
      </c>
      <c r="B6462" s="2" t="s">
        <v>12601</v>
      </c>
      <c r="C6462" s="2" t="s">
        <v>26</v>
      </c>
      <c r="D6462" s="2" t="s">
        <v>27</v>
      </c>
      <c r="E6462" s="5">
        <v>-28576</v>
      </c>
      <c r="F6462" s="3" t="s">
        <v>1924</v>
      </c>
      <c r="G6462" s="3" t="s">
        <v>20</v>
      </c>
      <c r="H6462" s="2" t="s">
        <v>21</v>
      </c>
      <c r="I6462" s="2" t="s">
        <v>12654</v>
      </c>
      <c r="J6462" s="3" t="str">
        <f>HYPERLINK("https://www.boe.es/gazeta/dias/1821/10/04/pdfs/GMD-1821-283.pdf#page=3","Abrir facsímil")</f>
        <v>Abrir facsímil</v>
      </c>
      <c r="K6462" s="3" t="s">
        <v>23</v>
      </c>
    </row>
    <row r="6463" spans="1:11" ht="42" customHeight="1">
      <c r="A6463" s="2" t="s">
        <v>12601</v>
      </c>
      <c r="B6463" s="2" t="s">
        <v>12601</v>
      </c>
      <c r="C6463" s="2" t="s">
        <v>17</v>
      </c>
      <c r="D6463" s="2" t="s">
        <v>18</v>
      </c>
      <c r="E6463" s="5">
        <v>-28573</v>
      </c>
      <c r="F6463" s="3" t="s">
        <v>19</v>
      </c>
      <c r="G6463" s="3" t="s">
        <v>20</v>
      </c>
      <c r="H6463" s="2" t="s">
        <v>21</v>
      </c>
      <c r="I6463" s="2" t="s">
        <v>12655</v>
      </c>
      <c r="J6463" s="3" t="str">
        <f>HYPERLINK("https://www.boe.es/gazeta/dias/1821/10/07/pdfs/GMD-1821-286.pdf#page=3","Abrir facsímil")</f>
        <v>Abrir facsímil</v>
      </c>
      <c r="K6463" s="3" t="s">
        <v>23</v>
      </c>
    </row>
    <row r="6464" spans="1:11" ht="42" customHeight="1">
      <c r="A6464" s="2" t="s">
        <v>12601</v>
      </c>
      <c r="B6464" s="2" t="s">
        <v>12601</v>
      </c>
      <c r="C6464" s="2" t="s">
        <v>26</v>
      </c>
      <c r="D6464" s="2" t="s">
        <v>27</v>
      </c>
      <c r="E6464" s="5">
        <v>-28572</v>
      </c>
      <c r="F6464" s="3" t="s">
        <v>1072</v>
      </c>
      <c r="G6464" s="3" t="s">
        <v>88</v>
      </c>
      <c r="H6464" s="2" t="s">
        <v>21</v>
      </c>
      <c r="I6464" s="2" t="s">
        <v>12656</v>
      </c>
      <c r="J6464" s="3" t="str">
        <f>HYPERLINK("https://www.boe.es/gazeta/dias/1821/10/08/pdfs/GMD-1821-287.pdf#page=4","Abrir facsímil")</f>
        <v>Abrir facsímil</v>
      </c>
      <c r="K6464" s="3" t="s">
        <v>23</v>
      </c>
    </row>
    <row r="6465" spans="1:11" ht="42" customHeight="1">
      <c r="A6465" s="2" t="s">
        <v>12601</v>
      </c>
      <c r="B6465" s="2" t="s">
        <v>12601</v>
      </c>
      <c r="C6465" s="2" t="s">
        <v>114</v>
      </c>
      <c r="D6465" s="2" t="s">
        <v>27</v>
      </c>
      <c r="E6465" s="5">
        <v>-28571</v>
      </c>
      <c r="F6465" s="3" t="s">
        <v>482</v>
      </c>
      <c r="G6465" s="3" t="s">
        <v>162</v>
      </c>
      <c r="H6465" s="2" t="s">
        <v>21</v>
      </c>
      <c r="I6465" s="2" t="s">
        <v>12657</v>
      </c>
      <c r="J6465" s="3" t="str">
        <f>HYPERLINK("https://www.boe.es/gazeta/dias/1821/10/09/pdfs/GMD-1821-288.pdf#page=5","Abrir facsímil")</f>
        <v>Abrir facsímil</v>
      </c>
      <c r="K6465" s="3" t="s">
        <v>23</v>
      </c>
    </row>
    <row r="6466" spans="1:11" ht="42" customHeight="1">
      <c r="A6466" s="2" t="s">
        <v>12601</v>
      </c>
      <c r="B6466" s="2" t="s">
        <v>12601</v>
      </c>
      <c r="C6466" s="2" t="s">
        <v>35</v>
      </c>
      <c r="D6466" s="2" t="s">
        <v>27</v>
      </c>
      <c r="E6466" s="5">
        <v>-28569</v>
      </c>
      <c r="F6466" s="3" t="s">
        <v>512</v>
      </c>
      <c r="G6466" s="3" t="s">
        <v>88</v>
      </c>
      <c r="H6466" s="2" t="s">
        <v>21</v>
      </c>
      <c r="I6466" s="2" t="s">
        <v>12658</v>
      </c>
      <c r="J6466" s="3" t="str">
        <f>HYPERLINK("https://www.boe.es/gazeta/dias/1821/10/11/pdfs/GMD-1821-290.pdf#page=4","Abrir facsímil")</f>
        <v>Abrir facsímil</v>
      </c>
      <c r="K6466" s="3" t="s">
        <v>23</v>
      </c>
    </row>
    <row r="6467" spans="1:11" ht="42" customHeight="1">
      <c r="A6467" s="2" t="s">
        <v>12601</v>
      </c>
      <c r="B6467" s="2" t="s">
        <v>12601</v>
      </c>
      <c r="C6467" s="2" t="s">
        <v>26</v>
      </c>
      <c r="D6467" s="2" t="s">
        <v>27</v>
      </c>
      <c r="E6467" s="5">
        <v>-28563</v>
      </c>
      <c r="F6467" s="3" t="s">
        <v>118</v>
      </c>
      <c r="G6467" s="3" t="s">
        <v>88</v>
      </c>
      <c r="H6467" s="2" t="s">
        <v>21</v>
      </c>
      <c r="I6467" s="2" t="s">
        <v>12659</v>
      </c>
      <c r="J6467" s="3" t="str">
        <f>HYPERLINK("https://www.boe.es/gazeta/dias/1821/10/17/pdfs/GMD-1821-296.pdf#page=4","Abrir facsímil")</f>
        <v>Abrir facsímil</v>
      </c>
      <c r="K6467" s="3" t="s">
        <v>23</v>
      </c>
    </row>
    <row r="6468" spans="1:11" ht="42" customHeight="1">
      <c r="A6468" s="2" t="s">
        <v>12601</v>
      </c>
      <c r="B6468" s="2" t="s">
        <v>12601</v>
      </c>
      <c r="C6468" s="2" t="s">
        <v>17</v>
      </c>
      <c r="D6468" s="2" t="s">
        <v>18</v>
      </c>
      <c r="E6468" s="5">
        <v>-28562</v>
      </c>
      <c r="F6468" s="3" t="s">
        <v>3093</v>
      </c>
      <c r="G6468" s="3" t="s">
        <v>88</v>
      </c>
      <c r="H6468" s="2" t="s">
        <v>21</v>
      </c>
      <c r="I6468" s="2" t="s">
        <v>12660</v>
      </c>
      <c r="J6468" s="3" t="str">
        <f>HYPERLINK("https://www.boe.es/gazeta/dias/1821/10/18/pdfs/GMD-1821-297.pdf#page=4","Abrir facsímil")</f>
        <v>Abrir facsímil</v>
      </c>
      <c r="K6468" s="3" t="s">
        <v>23</v>
      </c>
    </row>
    <row r="6469" spans="1:11" ht="42" customHeight="1">
      <c r="A6469" s="2" t="s">
        <v>12601</v>
      </c>
      <c r="B6469" s="2" t="s">
        <v>12601</v>
      </c>
      <c r="C6469" s="2" t="s">
        <v>17</v>
      </c>
      <c r="D6469" s="2" t="s">
        <v>18</v>
      </c>
      <c r="E6469" s="5">
        <v>-28562</v>
      </c>
      <c r="F6469" s="3" t="s">
        <v>3093</v>
      </c>
      <c r="G6469" s="3" t="s">
        <v>162</v>
      </c>
      <c r="H6469" s="2" t="s">
        <v>21</v>
      </c>
      <c r="I6469" s="2" t="s">
        <v>12661</v>
      </c>
      <c r="J6469" s="3" t="str">
        <f>HYPERLINK("https://www.boe.es/gazeta/dias/1821/10/18/pdfs/GMD-1821-297.pdf#page=5","Abrir facsímil")</f>
        <v>Abrir facsímil</v>
      </c>
      <c r="K6469" s="3" t="s">
        <v>23</v>
      </c>
    </row>
    <row r="6470" spans="1:11" ht="42" customHeight="1">
      <c r="A6470" s="2" t="s">
        <v>12601</v>
      </c>
      <c r="B6470" s="2" t="s">
        <v>12601</v>
      </c>
      <c r="C6470" s="2" t="s">
        <v>26</v>
      </c>
      <c r="D6470" s="2" t="s">
        <v>27</v>
      </c>
      <c r="E6470" s="5">
        <v>-28561</v>
      </c>
      <c r="F6470" s="3" t="s">
        <v>240</v>
      </c>
      <c r="G6470" s="3" t="s">
        <v>88</v>
      </c>
      <c r="H6470" s="2" t="s">
        <v>21</v>
      </c>
      <c r="I6470" s="2" t="s">
        <v>12662</v>
      </c>
      <c r="J6470" s="3" t="str">
        <f>HYPERLINK("https://www.boe.es/gazeta/dias/1821/10/19/pdfs/GMD-1821-298.pdf#page=4","Abrir facsímil")</f>
        <v>Abrir facsímil</v>
      </c>
      <c r="K6470" s="3" t="s">
        <v>23</v>
      </c>
    </row>
    <row r="6471" spans="1:11" ht="42" customHeight="1">
      <c r="A6471" s="2" t="s">
        <v>12601</v>
      </c>
      <c r="B6471" s="2" t="s">
        <v>12601</v>
      </c>
      <c r="C6471" s="2" t="s">
        <v>17</v>
      </c>
      <c r="D6471" s="2" t="s">
        <v>18</v>
      </c>
      <c r="E6471" s="5">
        <v>-28560</v>
      </c>
      <c r="F6471" s="3" t="s">
        <v>363</v>
      </c>
      <c r="G6471" s="3" t="s">
        <v>88</v>
      </c>
      <c r="H6471" s="2" t="s">
        <v>21</v>
      </c>
      <c r="I6471" s="2" t="s">
        <v>12663</v>
      </c>
      <c r="J6471" s="3" t="str">
        <f>HYPERLINK("https://www.boe.es/gazeta/dias/1821/10/20/pdfs/GMD-1821-299.pdf#page=4","Abrir facsímil")</f>
        <v>Abrir facsímil</v>
      </c>
      <c r="K6471" s="3" t="s">
        <v>23</v>
      </c>
    </row>
    <row r="6472" spans="1:11" ht="42" customHeight="1">
      <c r="A6472" s="2" t="s">
        <v>12601</v>
      </c>
      <c r="B6472" s="2" t="s">
        <v>12601</v>
      </c>
      <c r="C6472" s="2" t="s">
        <v>26</v>
      </c>
      <c r="D6472" s="2" t="s">
        <v>27</v>
      </c>
      <c r="E6472" s="5">
        <v>-28559</v>
      </c>
      <c r="F6472" s="3" t="s">
        <v>1078</v>
      </c>
      <c r="G6472" s="3" t="s">
        <v>88</v>
      </c>
      <c r="H6472" s="2" t="s">
        <v>21</v>
      </c>
      <c r="I6472" s="2" t="s">
        <v>12664</v>
      </c>
      <c r="J6472" s="3" t="str">
        <f>HYPERLINK("https://www.boe.es/gazeta/dias/1821/10/21/pdfs/GMD-1821-300.pdf#page=4","Abrir facsímil")</f>
        <v>Abrir facsímil</v>
      </c>
      <c r="K6472" s="3" t="s">
        <v>23</v>
      </c>
    </row>
    <row r="6473" spans="1:11" ht="42" customHeight="1">
      <c r="A6473" s="2" t="s">
        <v>12601</v>
      </c>
      <c r="B6473" s="2" t="s">
        <v>12601</v>
      </c>
      <c r="C6473" s="2" t="s">
        <v>114</v>
      </c>
      <c r="D6473" s="2" t="s">
        <v>27</v>
      </c>
      <c r="E6473" s="5">
        <v>-28558</v>
      </c>
      <c r="F6473" s="3" t="s">
        <v>758</v>
      </c>
      <c r="G6473" s="3" t="s">
        <v>20</v>
      </c>
      <c r="H6473" s="2" t="s">
        <v>21</v>
      </c>
      <c r="I6473" s="2" t="s">
        <v>12665</v>
      </c>
      <c r="J6473" s="3" t="str">
        <f>HYPERLINK("https://www.boe.es/gazeta/dias/1821/10/22/pdfs/GMD-1821-301.pdf#page=3","Abrir facsímil")</f>
        <v>Abrir facsímil</v>
      </c>
      <c r="K6473" s="3" t="s">
        <v>23</v>
      </c>
    </row>
    <row r="6474" spans="1:11" ht="42" customHeight="1">
      <c r="A6474" s="2" t="s">
        <v>12601</v>
      </c>
      <c r="B6474" s="2" t="s">
        <v>12601</v>
      </c>
      <c r="C6474" s="2" t="s">
        <v>70</v>
      </c>
      <c r="D6474" s="2" t="s">
        <v>27</v>
      </c>
      <c r="E6474" s="5">
        <v>-28552</v>
      </c>
      <c r="F6474" s="3" t="s">
        <v>28</v>
      </c>
      <c r="G6474" s="3" t="s">
        <v>2457</v>
      </c>
      <c r="H6474" s="2" t="s">
        <v>21</v>
      </c>
      <c r="I6474" s="2" t="s">
        <v>12666</v>
      </c>
      <c r="J6474" s="3" t="str">
        <f>HYPERLINK("https://www.boe.es/gazeta/dias/1821/10/28/pdfs/GMD-1821-307.pdf#page=4","Abrir facsímil")</f>
        <v>Abrir facsímil</v>
      </c>
      <c r="K6474" s="3" t="s">
        <v>23</v>
      </c>
    </row>
    <row r="6475" spans="1:11" ht="42" customHeight="1">
      <c r="A6475" s="2" t="s">
        <v>12601</v>
      </c>
      <c r="B6475" s="2" t="s">
        <v>12601</v>
      </c>
      <c r="C6475" s="2" t="s">
        <v>114</v>
      </c>
      <c r="D6475" s="2" t="s">
        <v>27</v>
      </c>
      <c r="E6475" s="5">
        <v>-28548</v>
      </c>
      <c r="F6475" s="3" t="s">
        <v>782</v>
      </c>
      <c r="G6475" s="3" t="s">
        <v>88</v>
      </c>
      <c r="H6475" s="2" t="s">
        <v>21</v>
      </c>
      <c r="I6475" s="2" t="s">
        <v>12667</v>
      </c>
      <c r="J6475" s="3" t="str">
        <f>HYPERLINK("https://www.boe.es/gazeta/dias/1821/11/01/pdfs/GMD-1821-311.pdf#page=4","Abrir facsímil")</f>
        <v>Abrir facsímil</v>
      </c>
      <c r="K6475" s="3" t="s">
        <v>23</v>
      </c>
    </row>
    <row r="6476" spans="1:11" ht="42" customHeight="1">
      <c r="A6476" s="2" t="s">
        <v>12601</v>
      </c>
      <c r="B6476" s="2" t="s">
        <v>12601</v>
      </c>
      <c r="C6476" s="2" t="s">
        <v>40</v>
      </c>
      <c r="D6476" s="2" t="s">
        <v>41</v>
      </c>
      <c r="E6476" s="5">
        <v>-28547</v>
      </c>
      <c r="F6476" s="3" t="s">
        <v>247</v>
      </c>
      <c r="G6476" s="3" t="s">
        <v>162</v>
      </c>
      <c r="H6476" s="2" t="s">
        <v>21</v>
      </c>
      <c r="I6476" s="2" t="s">
        <v>12668</v>
      </c>
      <c r="J6476" s="3" t="str">
        <f>HYPERLINK("https://www.boe.es/gazeta/dias/1821/11/02/pdfs/GMD-1821-312.pdf#page=5","Abrir facsímil")</f>
        <v>Abrir facsímil</v>
      </c>
      <c r="K6476" s="3" t="s">
        <v>23</v>
      </c>
    </row>
    <row r="6477" spans="1:11" ht="42" customHeight="1">
      <c r="A6477" s="2" t="s">
        <v>12601</v>
      </c>
      <c r="B6477" s="2" t="s">
        <v>12601</v>
      </c>
      <c r="C6477" s="2" t="s">
        <v>17</v>
      </c>
      <c r="D6477" s="2" t="s">
        <v>18</v>
      </c>
      <c r="E6477" s="5">
        <v>-28547</v>
      </c>
      <c r="F6477" s="3" t="s">
        <v>247</v>
      </c>
      <c r="G6477" s="3" t="s">
        <v>29</v>
      </c>
      <c r="H6477" s="2" t="s">
        <v>21</v>
      </c>
      <c r="I6477" s="2" t="s">
        <v>12669</v>
      </c>
      <c r="J6477" s="3" t="str">
        <f>HYPERLINK("https://www.boe.es/gazeta/dias/1821/11/02/pdfs/GMD-1821-312.pdf#page=6","Abrir facsímil")</f>
        <v>Abrir facsímil</v>
      </c>
      <c r="K6477" s="3" t="s">
        <v>23</v>
      </c>
    </row>
    <row r="6478" spans="1:11" ht="42" customHeight="1">
      <c r="A6478" s="2" t="s">
        <v>12601</v>
      </c>
      <c r="B6478" s="2" t="s">
        <v>12601</v>
      </c>
      <c r="C6478" s="2" t="s">
        <v>17</v>
      </c>
      <c r="D6478" s="2" t="s">
        <v>18</v>
      </c>
      <c r="E6478" s="5">
        <v>-28545</v>
      </c>
      <c r="F6478" s="3" t="s">
        <v>284</v>
      </c>
      <c r="G6478" s="3" t="s">
        <v>88</v>
      </c>
      <c r="H6478" s="2" t="s">
        <v>21</v>
      </c>
      <c r="I6478" s="2" t="s">
        <v>12670</v>
      </c>
      <c r="J6478" s="3" t="str">
        <f>HYPERLINK("https://www.boe.es/gazeta/dias/1821/11/04/pdfs/GMD-1821-315.pdf#page=4","Abrir facsímil")</f>
        <v>Abrir facsímil</v>
      </c>
      <c r="K6478" s="3" t="s">
        <v>23</v>
      </c>
    </row>
    <row r="6479" spans="1:11" ht="42" customHeight="1">
      <c r="A6479" s="2" t="s">
        <v>12601</v>
      </c>
      <c r="B6479" s="2" t="s">
        <v>12601</v>
      </c>
      <c r="C6479" s="2" t="s">
        <v>17</v>
      </c>
      <c r="D6479" s="2" t="s">
        <v>18</v>
      </c>
      <c r="E6479" s="5">
        <v>-28545</v>
      </c>
      <c r="F6479" s="3" t="s">
        <v>284</v>
      </c>
      <c r="G6479" s="3" t="s">
        <v>162</v>
      </c>
      <c r="H6479" s="2" t="s">
        <v>21</v>
      </c>
      <c r="I6479" s="2" t="s">
        <v>12671</v>
      </c>
      <c r="J6479" s="3" t="str">
        <f>HYPERLINK("https://www.boe.es/gazeta/dias/1821/11/04/pdfs/GMD-1821-315.pdf#page=5","Abrir facsímil")</f>
        <v>Abrir facsímil</v>
      </c>
      <c r="K6479" s="3" t="s">
        <v>23</v>
      </c>
    </row>
    <row r="6480" spans="1:11" ht="42" customHeight="1">
      <c r="A6480" s="2" t="s">
        <v>12601</v>
      </c>
      <c r="B6480" s="2" t="s">
        <v>12601</v>
      </c>
      <c r="C6480" s="2" t="s">
        <v>114</v>
      </c>
      <c r="D6480" s="2" t="s">
        <v>27</v>
      </c>
      <c r="E6480" s="5">
        <v>-28544</v>
      </c>
      <c r="F6480" s="3" t="s">
        <v>139</v>
      </c>
      <c r="G6480" s="3" t="s">
        <v>52</v>
      </c>
      <c r="H6480" s="2" t="s">
        <v>21</v>
      </c>
      <c r="I6480" s="2" t="s">
        <v>12672</v>
      </c>
      <c r="J6480" s="3" t="str">
        <f>HYPERLINK("https://www.boe.es/gazeta/dias/1821/11/05/pdfs/GMD-1821-316.pdf#page=2","Abrir facsímil")</f>
        <v>Abrir facsímil</v>
      </c>
      <c r="K6480" s="3" t="s">
        <v>23</v>
      </c>
    </row>
    <row r="6481" spans="1:11" ht="42" customHeight="1">
      <c r="A6481" s="2" t="s">
        <v>12601</v>
      </c>
      <c r="B6481" s="2" t="s">
        <v>12601</v>
      </c>
      <c r="C6481" s="2" t="s">
        <v>40</v>
      </c>
      <c r="D6481" s="2" t="s">
        <v>41</v>
      </c>
      <c r="E6481" s="5">
        <v>-28543</v>
      </c>
      <c r="F6481" s="3" t="s">
        <v>136</v>
      </c>
      <c r="G6481" s="3" t="s">
        <v>88</v>
      </c>
      <c r="H6481" s="2" t="s">
        <v>21</v>
      </c>
      <c r="I6481" s="2" t="s">
        <v>12673</v>
      </c>
      <c r="J6481" s="3" t="str">
        <f>HYPERLINK("https://www.boe.es/gazeta/dias/1821/11/06/pdfs/GMD-1821-317.pdf#page=4","Abrir facsímil")</f>
        <v>Abrir facsímil</v>
      </c>
      <c r="K6481" s="3" t="s">
        <v>23</v>
      </c>
    </row>
    <row r="6482" spans="1:11" ht="42" customHeight="1">
      <c r="A6482" s="2" t="s">
        <v>12601</v>
      </c>
      <c r="B6482" s="2" t="s">
        <v>12601</v>
      </c>
      <c r="C6482" s="2" t="s">
        <v>40</v>
      </c>
      <c r="D6482" s="2" t="s">
        <v>41</v>
      </c>
      <c r="E6482" s="5">
        <v>-28543</v>
      </c>
      <c r="F6482" s="3" t="s">
        <v>136</v>
      </c>
      <c r="G6482" s="3" t="s">
        <v>162</v>
      </c>
      <c r="H6482" s="2" t="s">
        <v>21</v>
      </c>
      <c r="I6482" s="2" t="s">
        <v>12674</v>
      </c>
      <c r="J6482" s="3" t="str">
        <f>HYPERLINK("https://www.boe.es/gazeta/dias/1821/11/06/pdfs/GMD-1821-317.pdf#page=5","Abrir facsímil")</f>
        <v>Abrir facsímil</v>
      </c>
      <c r="K6482" s="3" t="s">
        <v>23</v>
      </c>
    </row>
    <row r="6483" spans="1:11" ht="42" customHeight="1">
      <c r="A6483" s="2" t="s">
        <v>12601</v>
      </c>
      <c r="B6483" s="2" t="s">
        <v>12601</v>
      </c>
      <c r="C6483" s="2" t="s">
        <v>26</v>
      </c>
      <c r="D6483" s="2" t="s">
        <v>27</v>
      </c>
      <c r="E6483" s="5">
        <v>-28543</v>
      </c>
      <c r="F6483" s="3" t="s">
        <v>136</v>
      </c>
      <c r="G6483" s="3" t="s">
        <v>609</v>
      </c>
      <c r="H6483" s="2" t="s">
        <v>21</v>
      </c>
      <c r="I6483" s="2" t="s">
        <v>12675</v>
      </c>
      <c r="J6483" s="3" t="str">
        <f>HYPERLINK("https://www.boe.es/gazeta/dias/1821/11/06/pdfs/GMD-1821-317.pdf#page=7","Abrir facsímil")</f>
        <v>Abrir facsímil</v>
      </c>
      <c r="K6483" s="3" t="s">
        <v>23</v>
      </c>
    </row>
    <row r="6484" spans="1:11" ht="42" customHeight="1">
      <c r="A6484" s="2" t="s">
        <v>12601</v>
      </c>
      <c r="B6484" s="2" t="s">
        <v>12601</v>
      </c>
      <c r="C6484" s="2" t="s">
        <v>26</v>
      </c>
      <c r="D6484" s="2" t="s">
        <v>27</v>
      </c>
      <c r="E6484" s="5">
        <v>-28542</v>
      </c>
      <c r="F6484" s="3" t="s">
        <v>221</v>
      </c>
      <c r="G6484" s="3" t="s">
        <v>88</v>
      </c>
      <c r="H6484" s="2" t="s">
        <v>21</v>
      </c>
      <c r="I6484" s="2" t="s">
        <v>12676</v>
      </c>
      <c r="J6484" s="3" t="str">
        <f>HYPERLINK("https://www.boe.es/gazeta/dias/1821/11/07/pdfs/GMD-1821-318.pdf#page=4","Abrir facsímil")</f>
        <v>Abrir facsímil</v>
      </c>
      <c r="K6484" s="3" t="s">
        <v>23</v>
      </c>
    </row>
    <row r="6485" spans="1:11" ht="42" customHeight="1">
      <c r="A6485" s="2" t="s">
        <v>12601</v>
      </c>
      <c r="B6485" s="2" t="s">
        <v>12601</v>
      </c>
      <c r="C6485" s="2" t="s">
        <v>40</v>
      </c>
      <c r="D6485" s="2" t="s">
        <v>41</v>
      </c>
      <c r="E6485" s="5">
        <v>-28539</v>
      </c>
      <c r="F6485" s="3" t="s">
        <v>153</v>
      </c>
      <c r="G6485" s="3" t="s">
        <v>162</v>
      </c>
      <c r="H6485" s="2" t="s">
        <v>21</v>
      </c>
      <c r="I6485" s="2" t="s">
        <v>12677</v>
      </c>
      <c r="J6485" s="3" t="str">
        <f>HYPERLINK("https://www.boe.es/gazeta/dias/1821/11/10/pdfs/GMD-1821-321.pdf#page=5","Abrir facsímil")</f>
        <v>Abrir facsímil</v>
      </c>
      <c r="K6485" s="3" t="s">
        <v>23</v>
      </c>
    </row>
    <row r="6486" spans="1:11" ht="42" customHeight="1">
      <c r="A6486" s="2" t="s">
        <v>12601</v>
      </c>
      <c r="B6486" s="2" t="s">
        <v>12601</v>
      </c>
      <c r="C6486" s="2" t="s">
        <v>26</v>
      </c>
      <c r="D6486" s="2" t="s">
        <v>27</v>
      </c>
      <c r="E6486" s="5">
        <v>-28539</v>
      </c>
      <c r="F6486" s="3" t="s">
        <v>153</v>
      </c>
      <c r="G6486" s="3" t="s">
        <v>29</v>
      </c>
      <c r="H6486" s="2" t="s">
        <v>21</v>
      </c>
      <c r="I6486" s="2" t="s">
        <v>12678</v>
      </c>
      <c r="J6486" s="3" t="str">
        <f>HYPERLINK("https://www.boe.es/gazeta/dias/1821/11/10/pdfs/GMD-1821-321.pdf#page=6","Abrir facsímil")</f>
        <v>Abrir facsímil</v>
      </c>
      <c r="K6486" s="3" t="s">
        <v>23</v>
      </c>
    </row>
    <row r="6487" spans="1:11" ht="42" customHeight="1">
      <c r="A6487" s="2" t="s">
        <v>12601</v>
      </c>
      <c r="B6487" s="2" t="s">
        <v>12601</v>
      </c>
      <c r="C6487" s="2" t="s">
        <v>26</v>
      </c>
      <c r="D6487" s="2" t="s">
        <v>27</v>
      </c>
      <c r="E6487" s="5">
        <v>-28538</v>
      </c>
      <c r="F6487" s="3" t="s">
        <v>395</v>
      </c>
      <c r="G6487" s="3" t="s">
        <v>20</v>
      </c>
      <c r="H6487" s="2" t="s">
        <v>21</v>
      </c>
      <c r="I6487" s="2" t="s">
        <v>12679</v>
      </c>
      <c r="J6487" s="3" t="str">
        <f>HYPERLINK("https://www.boe.es/gazeta/dias/1821/11/11/pdfs/GMD-1821-322.pdf#page=3","Abrir facsímil")</f>
        <v>Abrir facsímil</v>
      </c>
      <c r="K6487" s="3" t="s">
        <v>23</v>
      </c>
    </row>
    <row r="6488" spans="1:11" ht="42" customHeight="1">
      <c r="A6488" s="2" t="s">
        <v>12601</v>
      </c>
      <c r="B6488" s="2" t="s">
        <v>12601</v>
      </c>
      <c r="C6488" s="2" t="s">
        <v>35</v>
      </c>
      <c r="D6488" s="2" t="s">
        <v>27</v>
      </c>
      <c r="E6488" s="5">
        <v>-28537</v>
      </c>
      <c r="F6488" s="3" t="s">
        <v>56</v>
      </c>
      <c r="G6488" s="3" t="s">
        <v>52</v>
      </c>
      <c r="H6488" s="2" t="s">
        <v>21</v>
      </c>
      <c r="I6488" s="2" t="s">
        <v>12680</v>
      </c>
      <c r="J6488" s="3" t="str">
        <f>HYPERLINK("https://www.boe.es/gazeta/dias/1821/11/12/pdfs/GMD-1821-323.pdf#page=2","Abrir facsímil")</f>
        <v>Abrir facsímil</v>
      </c>
      <c r="K6488" s="3" t="s">
        <v>23</v>
      </c>
    </row>
    <row r="6489" spans="1:11" ht="42" customHeight="1">
      <c r="A6489" s="2" t="s">
        <v>12601</v>
      </c>
      <c r="B6489" s="2" t="s">
        <v>12601</v>
      </c>
      <c r="C6489" s="2" t="s">
        <v>35</v>
      </c>
      <c r="D6489" s="2" t="s">
        <v>27</v>
      </c>
      <c r="E6489" s="5">
        <v>-28537</v>
      </c>
      <c r="F6489" s="3" t="s">
        <v>56</v>
      </c>
      <c r="G6489" s="3" t="s">
        <v>20</v>
      </c>
      <c r="H6489" s="2" t="s">
        <v>21</v>
      </c>
      <c r="I6489" s="2" t="s">
        <v>12681</v>
      </c>
      <c r="J6489" s="3" t="str">
        <f>HYPERLINK("https://www.boe.es/gazeta/dias/1821/11/12/pdfs/GMD-1821-323.pdf#page=3","Abrir facsímil")</f>
        <v>Abrir facsímil</v>
      </c>
      <c r="K6489" s="3" t="s">
        <v>23</v>
      </c>
    </row>
    <row r="6490" spans="1:11" ht="42" customHeight="1">
      <c r="A6490" s="2" t="s">
        <v>12601</v>
      </c>
      <c r="B6490" s="2" t="s">
        <v>12601</v>
      </c>
      <c r="C6490" s="2" t="s">
        <v>17</v>
      </c>
      <c r="D6490" s="2" t="s">
        <v>18</v>
      </c>
      <c r="E6490" s="5">
        <v>-28537</v>
      </c>
      <c r="F6490" s="3" t="s">
        <v>56</v>
      </c>
      <c r="G6490" s="3" t="s">
        <v>162</v>
      </c>
      <c r="H6490" s="2" t="s">
        <v>21</v>
      </c>
      <c r="I6490" s="2" t="s">
        <v>12682</v>
      </c>
      <c r="J6490" s="3" t="str">
        <f>HYPERLINK("https://www.boe.es/gazeta/dias/1821/11/12/pdfs/GMD-1821-323.pdf#page=5","Abrir facsímil")</f>
        <v>Abrir facsímil</v>
      </c>
      <c r="K6490" s="3" t="s">
        <v>23</v>
      </c>
    </row>
    <row r="6491" spans="1:11" ht="42" customHeight="1">
      <c r="A6491" s="2" t="s">
        <v>12601</v>
      </c>
      <c r="B6491" s="2" t="s">
        <v>12601</v>
      </c>
      <c r="C6491" s="2" t="s">
        <v>114</v>
      </c>
      <c r="D6491" s="2" t="s">
        <v>27</v>
      </c>
      <c r="E6491" s="5">
        <v>-28536</v>
      </c>
      <c r="F6491" s="3" t="s">
        <v>553</v>
      </c>
      <c r="G6491" s="3" t="s">
        <v>88</v>
      </c>
      <c r="H6491" s="2" t="s">
        <v>21</v>
      </c>
      <c r="I6491" s="2" t="s">
        <v>12683</v>
      </c>
      <c r="J6491" s="3" t="str">
        <f>HYPERLINK("https://www.boe.es/gazeta/dias/1821/11/13/pdfs/GMD-1821-324.pdf#page=4","Abrir facsímil")</f>
        <v>Abrir facsímil</v>
      </c>
      <c r="K6491" s="3" t="s">
        <v>23</v>
      </c>
    </row>
    <row r="6492" spans="1:11" ht="42" customHeight="1">
      <c r="A6492" s="2" t="s">
        <v>12601</v>
      </c>
      <c r="B6492" s="2" t="s">
        <v>12601</v>
      </c>
      <c r="C6492" s="2" t="s">
        <v>26</v>
      </c>
      <c r="D6492" s="2" t="s">
        <v>27</v>
      </c>
      <c r="E6492" s="5">
        <v>-28536</v>
      </c>
      <c r="F6492" s="3" t="s">
        <v>553</v>
      </c>
      <c r="G6492" s="3" t="s">
        <v>162</v>
      </c>
      <c r="H6492" s="2" t="s">
        <v>21</v>
      </c>
      <c r="I6492" s="2" t="s">
        <v>12684</v>
      </c>
      <c r="J6492" s="3" t="str">
        <f>HYPERLINK("https://www.boe.es/gazeta/dias/1821/11/13/pdfs/GMD-1821-324.pdf#page=5","Abrir facsímil")</f>
        <v>Abrir facsímil</v>
      </c>
      <c r="K6492" s="3" t="s">
        <v>23</v>
      </c>
    </row>
    <row r="6493" spans="1:11" ht="42" customHeight="1">
      <c r="A6493" s="2" t="s">
        <v>12601</v>
      </c>
      <c r="B6493" s="2" t="s">
        <v>12601</v>
      </c>
      <c r="C6493" s="2" t="s">
        <v>114</v>
      </c>
      <c r="D6493" s="2" t="s">
        <v>27</v>
      </c>
      <c r="E6493" s="5">
        <v>-28535</v>
      </c>
      <c r="F6493" s="3" t="s">
        <v>96</v>
      </c>
      <c r="G6493" s="3" t="s">
        <v>88</v>
      </c>
      <c r="H6493" s="2" t="s">
        <v>21</v>
      </c>
      <c r="I6493" s="2" t="s">
        <v>12685</v>
      </c>
      <c r="J6493" s="3" t="str">
        <f>HYPERLINK("https://www.boe.es/gazeta/dias/1821/11/14/pdfs/GMD-1821-325.pdf#page=4","Abrir facsímil")</f>
        <v>Abrir facsímil</v>
      </c>
      <c r="K6493" s="3" t="s">
        <v>23</v>
      </c>
    </row>
    <row r="6494" spans="1:11" ht="42" customHeight="1">
      <c r="A6494" s="2" t="s">
        <v>12601</v>
      </c>
      <c r="B6494" s="2" t="s">
        <v>12601</v>
      </c>
      <c r="C6494" s="2" t="s">
        <v>17</v>
      </c>
      <c r="D6494" s="2" t="s">
        <v>18</v>
      </c>
      <c r="E6494" s="5">
        <v>-28533</v>
      </c>
      <c r="F6494" s="3" t="s">
        <v>559</v>
      </c>
      <c r="G6494" s="3" t="s">
        <v>162</v>
      </c>
      <c r="H6494" s="2" t="s">
        <v>21</v>
      </c>
      <c r="I6494" s="2" t="s">
        <v>12686</v>
      </c>
      <c r="J6494" s="3" t="str">
        <f>HYPERLINK("https://www.boe.es/gazeta/dias/1821/11/16/pdfs/GMD-1821-327.pdf#page=5","Abrir facsímil")</f>
        <v>Abrir facsímil</v>
      </c>
      <c r="K6494" s="3" t="s">
        <v>23</v>
      </c>
    </row>
    <row r="6495" spans="1:11" ht="42" customHeight="1">
      <c r="A6495" s="2" t="s">
        <v>12601</v>
      </c>
      <c r="B6495" s="2" t="s">
        <v>12601</v>
      </c>
      <c r="C6495" s="2" t="s">
        <v>40</v>
      </c>
      <c r="D6495" s="2" t="s">
        <v>41</v>
      </c>
      <c r="E6495" s="5">
        <v>-28533</v>
      </c>
      <c r="F6495" s="3" t="s">
        <v>559</v>
      </c>
      <c r="G6495" s="3" t="s">
        <v>29</v>
      </c>
      <c r="H6495" s="2" t="s">
        <v>21</v>
      </c>
      <c r="I6495" s="2" t="s">
        <v>12687</v>
      </c>
      <c r="J6495" s="3" t="str">
        <f>HYPERLINK("https://www.boe.es/gazeta/dias/1821/11/16/pdfs/GMD-1821-327.pdf#page=6","Abrir facsímil")</f>
        <v>Abrir facsímil</v>
      </c>
      <c r="K6495" s="3" t="s">
        <v>23</v>
      </c>
    </row>
    <row r="6496" spans="1:11" ht="42" customHeight="1">
      <c r="A6496" s="2" t="s">
        <v>12601</v>
      </c>
      <c r="B6496" s="2" t="s">
        <v>12601</v>
      </c>
      <c r="C6496" s="2" t="s">
        <v>40</v>
      </c>
      <c r="D6496" s="2" t="s">
        <v>41</v>
      </c>
      <c r="E6496" s="5">
        <v>-28527</v>
      </c>
      <c r="F6496" s="3" t="s">
        <v>328</v>
      </c>
      <c r="G6496" s="3" t="s">
        <v>6605</v>
      </c>
      <c r="H6496" s="2" t="s">
        <v>21</v>
      </c>
      <c r="I6496" s="2" t="s">
        <v>12688</v>
      </c>
      <c r="J6496" s="3" t="str">
        <f>HYPERLINK("https://www.boe.es/gazeta/dias/1821/11/22/pdfs/GMD-1821-333.pdf#page=2","Abrir facsímil")</f>
        <v>Abrir facsímil</v>
      </c>
      <c r="K6496" s="3" t="s">
        <v>23</v>
      </c>
    </row>
    <row r="6497" spans="1:11" ht="42" customHeight="1">
      <c r="A6497" s="2" t="s">
        <v>12601</v>
      </c>
      <c r="B6497" s="2" t="s">
        <v>12601</v>
      </c>
      <c r="C6497" s="2" t="s">
        <v>40</v>
      </c>
      <c r="D6497" s="2" t="s">
        <v>41</v>
      </c>
      <c r="E6497" s="5">
        <v>-28527</v>
      </c>
      <c r="F6497" s="3" t="s">
        <v>328</v>
      </c>
      <c r="G6497" s="3" t="s">
        <v>20</v>
      </c>
      <c r="H6497" s="2" t="s">
        <v>21</v>
      </c>
      <c r="I6497" s="2" t="s">
        <v>12689</v>
      </c>
      <c r="J6497" s="3" t="str">
        <f>HYPERLINK("https://www.boe.es/gazeta/dias/1821/11/22/pdfs/GMD-1821-333.pdf#page=3","Abrir facsímil")</f>
        <v>Abrir facsímil</v>
      </c>
      <c r="K6497" s="3" t="s">
        <v>23</v>
      </c>
    </row>
    <row r="6498" spans="1:11" ht="42" customHeight="1">
      <c r="A6498" s="2" t="s">
        <v>12601</v>
      </c>
      <c r="B6498" s="2" t="s">
        <v>12601</v>
      </c>
      <c r="C6498" s="2" t="s">
        <v>35</v>
      </c>
      <c r="D6498" s="2" t="s">
        <v>27</v>
      </c>
      <c r="E6498" s="5">
        <v>-28527</v>
      </c>
      <c r="F6498" s="3" t="s">
        <v>328</v>
      </c>
      <c r="G6498" s="3" t="s">
        <v>88</v>
      </c>
      <c r="H6498" s="2" t="s">
        <v>21</v>
      </c>
      <c r="I6498" s="2" t="s">
        <v>12690</v>
      </c>
      <c r="J6498" s="3" t="str">
        <f>HYPERLINK("https://www.boe.es/gazeta/dias/1821/11/22/pdfs/GMD-1821-333.pdf#page=4","Abrir facsímil")</f>
        <v>Abrir facsímil</v>
      </c>
      <c r="K6498" s="3" t="s">
        <v>23</v>
      </c>
    </row>
    <row r="6499" spans="1:11" ht="42" customHeight="1">
      <c r="A6499" s="2" t="s">
        <v>12601</v>
      </c>
      <c r="B6499" s="2" t="s">
        <v>12601</v>
      </c>
      <c r="C6499" s="2" t="s">
        <v>35</v>
      </c>
      <c r="D6499" s="2" t="s">
        <v>27</v>
      </c>
      <c r="E6499" s="5">
        <v>-28525</v>
      </c>
      <c r="F6499" s="3" t="s">
        <v>186</v>
      </c>
      <c r="G6499" s="3" t="s">
        <v>20</v>
      </c>
      <c r="H6499" s="2" t="s">
        <v>21</v>
      </c>
      <c r="I6499" s="2" t="s">
        <v>12691</v>
      </c>
      <c r="J6499" s="3" t="str">
        <f>HYPERLINK("https://www.boe.es/gazeta/dias/1821/11/24/pdfs/GMD-1821-335.pdf#page=3","Abrir facsímil")</f>
        <v>Abrir facsímil</v>
      </c>
      <c r="K6499" s="3" t="s">
        <v>23</v>
      </c>
    </row>
    <row r="6500" spans="1:11" ht="42" customHeight="1">
      <c r="A6500" s="2" t="s">
        <v>12601</v>
      </c>
      <c r="B6500" s="2" t="s">
        <v>12601</v>
      </c>
      <c r="C6500" s="2" t="s">
        <v>26</v>
      </c>
      <c r="D6500" s="2" t="s">
        <v>27</v>
      </c>
      <c r="E6500" s="5">
        <v>-28524</v>
      </c>
      <c r="F6500" s="3" t="s">
        <v>874</v>
      </c>
      <c r="G6500" s="3" t="s">
        <v>88</v>
      </c>
      <c r="H6500" s="2" t="s">
        <v>21</v>
      </c>
      <c r="I6500" s="2" t="s">
        <v>12692</v>
      </c>
      <c r="J6500" s="3" t="str">
        <f>HYPERLINK("https://www.boe.es/gazeta/dias/1821/11/25/pdfs/GMD-1821-336.pdf#page=4","Abrir facsímil")</f>
        <v>Abrir facsímil</v>
      </c>
      <c r="K6500" s="3" t="s">
        <v>23</v>
      </c>
    </row>
    <row r="6501" spans="1:11" ht="42" customHeight="1">
      <c r="A6501" s="2" t="s">
        <v>12601</v>
      </c>
      <c r="B6501" s="2" t="s">
        <v>12601</v>
      </c>
      <c r="C6501" s="2" t="s">
        <v>35</v>
      </c>
      <c r="D6501" s="2" t="s">
        <v>27</v>
      </c>
      <c r="E6501" s="5">
        <v>-28520</v>
      </c>
      <c r="F6501" s="3" t="s">
        <v>878</v>
      </c>
      <c r="G6501" s="3" t="s">
        <v>88</v>
      </c>
      <c r="H6501" s="2" t="s">
        <v>21</v>
      </c>
      <c r="I6501" s="2" t="s">
        <v>12693</v>
      </c>
      <c r="J6501" s="3" t="str">
        <f>HYPERLINK("https://www.boe.es/gazeta/dias/1821/11/29/pdfs/GMD-1821-341.pdf#page=4","Abrir facsímil")</f>
        <v>Abrir facsímil</v>
      </c>
      <c r="K6501" s="3" t="s">
        <v>23</v>
      </c>
    </row>
    <row r="6502" spans="1:11" ht="42" customHeight="1">
      <c r="A6502" s="2" t="s">
        <v>12601</v>
      </c>
      <c r="B6502" s="2" t="s">
        <v>12601</v>
      </c>
      <c r="C6502" s="2" t="s">
        <v>26</v>
      </c>
      <c r="D6502" s="2" t="s">
        <v>27</v>
      </c>
      <c r="E6502" s="5">
        <v>-28519</v>
      </c>
      <c r="F6502" s="3" t="s">
        <v>880</v>
      </c>
      <c r="G6502" s="3" t="s">
        <v>52</v>
      </c>
      <c r="H6502" s="2" t="s">
        <v>21</v>
      </c>
      <c r="I6502" s="2" t="s">
        <v>12694</v>
      </c>
      <c r="J6502" s="3" t="str">
        <f>HYPERLINK("https://www.boe.es/gazeta/dias/1821/11/30/pdfs/GMD-1821-342.pdf#page=2","Abrir facsímil")</f>
        <v>Abrir facsímil</v>
      </c>
      <c r="K6502" s="3" t="s">
        <v>23</v>
      </c>
    </row>
    <row r="6503" spans="1:11" ht="42" customHeight="1">
      <c r="A6503" s="2" t="s">
        <v>12601</v>
      </c>
      <c r="B6503" s="2" t="s">
        <v>12601</v>
      </c>
      <c r="C6503" s="2" t="s">
        <v>17</v>
      </c>
      <c r="D6503" s="2" t="s">
        <v>18</v>
      </c>
      <c r="E6503" s="5">
        <v>-28517</v>
      </c>
      <c r="F6503" s="3" t="s">
        <v>563</v>
      </c>
      <c r="G6503" s="3" t="s">
        <v>52</v>
      </c>
      <c r="H6503" s="2" t="s">
        <v>21</v>
      </c>
      <c r="I6503" s="2" t="s">
        <v>12695</v>
      </c>
      <c r="J6503" s="3" t="str">
        <f>HYPERLINK("https://www.boe.es/gazeta/dias/1821/12/02/pdfs/GMD-1821-344.pdf#page=2","Abrir facsímil")</f>
        <v>Abrir facsímil</v>
      </c>
      <c r="K6503" s="3" t="s">
        <v>23</v>
      </c>
    </row>
    <row r="6504" spans="1:11" ht="42" customHeight="1">
      <c r="A6504" s="2" t="s">
        <v>12601</v>
      </c>
      <c r="B6504" s="2" t="s">
        <v>12601</v>
      </c>
      <c r="C6504" s="2" t="s">
        <v>114</v>
      </c>
      <c r="D6504" s="2" t="s">
        <v>27</v>
      </c>
      <c r="E6504" s="5">
        <v>-28517</v>
      </c>
      <c r="F6504" s="3" t="s">
        <v>563</v>
      </c>
      <c r="G6504" s="3" t="s">
        <v>20</v>
      </c>
      <c r="H6504" s="2" t="s">
        <v>21</v>
      </c>
      <c r="I6504" s="2" t="s">
        <v>12696</v>
      </c>
      <c r="J6504" s="3" t="str">
        <f>HYPERLINK("https://www.boe.es/gazeta/dias/1821/12/02/pdfs/GMD-1821-344.pdf#page=3","Abrir facsímil")</f>
        <v>Abrir facsímil</v>
      </c>
      <c r="K6504" s="3" t="s">
        <v>23</v>
      </c>
    </row>
    <row r="6505" spans="1:11" ht="42" customHeight="1">
      <c r="A6505" s="2" t="s">
        <v>12601</v>
      </c>
      <c r="B6505" s="2" t="s">
        <v>12601</v>
      </c>
      <c r="C6505" s="2" t="s">
        <v>26</v>
      </c>
      <c r="D6505" s="2" t="s">
        <v>27</v>
      </c>
      <c r="E6505" s="5">
        <v>-28516</v>
      </c>
      <c r="F6505" s="3" t="s">
        <v>514</v>
      </c>
      <c r="G6505" s="3" t="s">
        <v>162</v>
      </c>
      <c r="H6505" s="2" t="s">
        <v>21</v>
      </c>
      <c r="I6505" s="2" t="s">
        <v>12697</v>
      </c>
      <c r="J6505" s="3" t="str">
        <f>HYPERLINK("https://www.boe.es/gazeta/dias/1821/12/03/pdfs/GMD-1821-345.pdf#page=5","Abrir facsímil")</f>
        <v>Abrir facsímil</v>
      </c>
      <c r="K6505" s="3" t="s">
        <v>23</v>
      </c>
    </row>
    <row r="6506" spans="1:11" ht="42" customHeight="1">
      <c r="A6506" s="2" t="s">
        <v>12601</v>
      </c>
      <c r="B6506" s="2" t="s">
        <v>12601</v>
      </c>
      <c r="C6506" s="2" t="s">
        <v>17</v>
      </c>
      <c r="D6506" s="2" t="s">
        <v>18</v>
      </c>
      <c r="E6506" s="5">
        <v>-28515</v>
      </c>
      <c r="F6506" s="3" t="s">
        <v>260</v>
      </c>
      <c r="G6506" s="3" t="s">
        <v>3841</v>
      </c>
      <c r="H6506" s="2" t="s">
        <v>21</v>
      </c>
      <c r="I6506" s="2" t="s">
        <v>12698</v>
      </c>
      <c r="J6506" s="3" t="str">
        <f>HYPERLINK("https://www.boe.es/gazeta/dias/1821/12/04/pdfs/GMD-1821-346.pdf#page=6","Abrir facsímil")</f>
        <v>Abrir facsímil</v>
      </c>
      <c r="K6506" s="3" t="s">
        <v>23</v>
      </c>
    </row>
    <row r="6507" spans="1:11" ht="42" customHeight="1">
      <c r="A6507" s="2" t="s">
        <v>12601</v>
      </c>
      <c r="B6507" s="2" t="s">
        <v>12601</v>
      </c>
      <c r="C6507" s="2" t="s">
        <v>35</v>
      </c>
      <c r="D6507" s="2" t="s">
        <v>27</v>
      </c>
      <c r="E6507" s="5">
        <v>-28514</v>
      </c>
      <c r="F6507" s="3" t="s">
        <v>103</v>
      </c>
      <c r="G6507" s="3" t="s">
        <v>52</v>
      </c>
      <c r="H6507" s="2" t="s">
        <v>21</v>
      </c>
      <c r="I6507" s="2" t="s">
        <v>12699</v>
      </c>
      <c r="J6507" s="3" t="str">
        <f>HYPERLINK("https://www.boe.es/gazeta/dias/1821/12/05/pdfs/GMD-1821-347.pdf#page=2","Abrir facsímil")</f>
        <v>Abrir facsímil</v>
      </c>
      <c r="K6507" s="3" t="s">
        <v>23</v>
      </c>
    </row>
    <row r="6508" spans="1:11" ht="42" customHeight="1">
      <c r="A6508" s="2" t="s">
        <v>12601</v>
      </c>
      <c r="B6508" s="2" t="s">
        <v>12601</v>
      </c>
      <c r="C6508" s="2" t="s">
        <v>35</v>
      </c>
      <c r="D6508" s="2" t="s">
        <v>27</v>
      </c>
      <c r="E6508" s="5">
        <v>-28512</v>
      </c>
      <c r="F6508" s="3" t="s">
        <v>66</v>
      </c>
      <c r="G6508" s="3" t="s">
        <v>52</v>
      </c>
      <c r="H6508" s="2" t="s">
        <v>21</v>
      </c>
      <c r="I6508" s="2" t="s">
        <v>12700</v>
      </c>
      <c r="J6508" s="3" t="str">
        <f>HYPERLINK("https://www.boe.es/gazeta/dias/1821/12/07/pdfs/GMD-1821-349.pdf#page=2","Abrir facsímil")</f>
        <v>Abrir facsímil</v>
      </c>
      <c r="K6508" s="3" t="s">
        <v>23</v>
      </c>
    </row>
    <row r="6509" spans="1:11" ht="42" customHeight="1">
      <c r="A6509" s="2" t="s">
        <v>12601</v>
      </c>
      <c r="B6509" s="2" t="s">
        <v>12601</v>
      </c>
      <c r="C6509" s="2" t="s">
        <v>26</v>
      </c>
      <c r="D6509" s="2" t="s">
        <v>27</v>
      </c>
      <c r="E6509" s="5">
        <v>-28509</v>
      </c>
      <c r="F6509" s="3" t="s">
        <v>388</v>
      </c>
      <c r="G6509" s="3" t="s">
        <v>609</v>
      </c>
      <c r="H6509" s="2" t="s">
        <v>21</v>
      </c>
      <c r="I6509" s="2" t="s">
        <v>12701</v>
      </c>
      <c r="J6509" s="3" t="str">
        <f>HYPERLINK("https://www.boe.es/gazeta/dias/1821/12/10/pdfs/GMD-1821-352.pdf#page=7","Abrir facsímil")</f>
        <v>Abrir facsímil</v>
      </c>
      <c r="K6509" s="3" t="s">
        <v>23</v>
      </c>
    </row>
    <row r="6510" spans="1:11" ht="42" customHeight="1">
      <c r="A6510" s="2" t="s">
        <v>12601</v>
      </c>
      <c r="B6510" s="2" t="s">
        <v>12601</v>
      </c>
      <c r="C6510" s="2" t="s">
        <v>26</v>
      </c>
      <c r="D6510" s="2" t="s">
        <v>27</v>
      </c>
      <c r="E6510" s="5">
        <v>-28506</v>
      </c>
      <c r="F6510" s="3" t="s">
        <v>1095</v>
      </c>
      <c r="G6510" s="3" t="s">
        <v>3686</v>
      </c>
      <c r="H6510" s="2" t="s">
        <v>21</v>
      </c>
      <c r="I6510" s="2" t="s">
        <v>12702</v>
      </c>
      <c r="J6510" s="3" t="str">
        <f>HYPERLINK("https://www.boe.es/gazeta/dias/1821/12/13/pdfs/GMD-1821-356.pdf#page=2","Abrir facsímil")</f>
        <v>Abrir facsímil</v>
      </c>
      <c r="K6510" s="3" t="s">
        <v>23</v>
      </c>
    </row>
    <row r="6511" spans="1:11" ht="42" customHeight="1">
      <c r="A6511" s="2" t="s">
        <v>12601</v>
      </c>
      <c r="B6511" s="2" t="s">
        <v>12601</v>
      </c>
      <c r="C6511" s="2" t="s">
        <v>35</v>
      </c>
      <c r="D6511" s="2" t="s">
        <v>27</v>
      </c>
      <c r="E6511" s="5">
        <v>-28505</v>
      </c>
      <c r="F6511" s="3" t="s">
        <v>567</v>
      </c>
      <c r="G6511" s="3" t="s">
        <v>43</v>
      </c>
      <c r="H6511" s="2" t="s">
        <v>21</v>
      </c>
      <c r="I6511" s="2" t="s">
        <v>12703</v>
      </c>
      <c r="J6511" s="3" t="str">
        <f>HYPERLINK("https://www.boe.es/gazeta/dias/1821/12/14/pdfs/GMD-1821-357.pdf#page=1","Abrir facsímil")</f>
        <v>Abrir facsímil</v>
      </c>
      <c r="K6511" s="3" t="s">
        <v>23</v>
      </c>
    </row>
    <row r="6512" spans="1:11" ht="42" customHeight="1">
      <c r="A6512" s="2" t="s">
        <v>12601</v>
      </c>
      <c r="B6512" s="2" t="s">
        <v>12601</v>
      </c>
      <c r="C6512" s="2" t="s">
        <v>17</v>
      </c>
      <c r="D6512" s="2" t="s">
        <v>18</v>
      </c>
      <c r="E6512" s="5">
        <v>-28505</v>
      </c>
      <c r="F6512" s="3" t="s">
        <v>567</v>
      </c>
      <c r="G6512" s="3" t="s">
        <v>88</v>
      </c>
      <c r="H6512" s="2" t="s">
        <v>21</v>
      </c>
      <c r="I6512" s="2" t="s">
        <v>12704</v>
      </c>
      <c r="J6512" s="3" t="str">
        <f>HYPERLINK("https://www.boe.es/gazeta/dias/1821/12/14/pdfs/GMD-1821-357.pdf#page=4","Abrir facsímil")</f>
        <v>Abrir facsímil</v>
      </c>
      <c r="K6512" s="3" t="s">
        <v>23</v>
      </c>
    </row>
    <row r="6513" spans="1:11" ht="42" customHeight="1">
      <c r="A6513" s="2" t="s">
        <v>12601</v>
      </c>
      <c r="B6513" s="2" t="s">
        <v>12601</v>
      </c>
      <c r="C6513" s="2" t="s">
        <v>40</v>
      </c>
      <c r="D6513" s="2" t="s">
        <v>41</v>
      </c>
      <c r="E6513" s="5">
        <v>-28503</v>
      </c>
      <c r="F6513" s="3" t="s">
        <v>947</v>
      </c>
      <c r="G6513" s="3" t="s">
        <v>43</v>
      </c>
      <c r="H6513" s="2" t="s">
        <v>21</v>
      </c>
      <c r="I6513" s="2" t="s">
        <v>12705</v>
      </c>
      <c r="J6513" s="3" t="str">
        <f>HYPERLINK("https://www.boe.es/gazeta/dias/1821/12/16/pdfs/GMD-1821-359.pdf#page=1","Abrir facsímil")</f>
        <v>Abrir facsímil</v>
      </c>
      <c r="K6513" s="3" t="s">
        <v>23</v>
      </c>
    </row>
    <row r="6514" spans="1:11" ht="42" customHeight="1">
      <c r="A6514" s="2" t="s">
        <v>12601</v>
      </c>
      <c r="B6514" s="2" t="s">
        <v>12601</v>
      </c>
      <c r="C6514" s="2" t="s">
        <v>26</v>
      </c>
      <c r="D6514" s="2" t="s">
        <v>27</v>
      </c>
      <c r="E6514" s="5">
        <v>-28503</v>
      </c>
      <c r="F6514" s="3" t="s">
        <v>947</v>
      </c>
      <c r="G6514" s="3" t="s">
        <v>29</v>
      </c>
      <c r="H6514" s="2" t="s">
        <v>21</v>
      </c>
      <c r="I6514" s="2" t="s">
        <v>12706</v>
      </c>
      <c r="J6514" s="3" t="str">
        <f>HYPERLINK("https://www.boe.es/gazeta/dias/1821/12/16/pdfs/GMD-1821-359.pdf#page=6","Abrir facsímil")</f>
        <v>Abrir facsímil</v>
      </c>
      <c r="K6514" s="3" t="s">
        <v>23</v>
      </c>
    </row>
    <row r="6515" spans="1:11" ht="42" customHeight="1">
      <c r="A6515" s="2" t="s">
        <v>12601</v>
      </c>
      <c r="B6515" s="2" t="s">
        <v>12601</v>
      </c>
      <c r="C6515" s="2" t="s">
        <v>26</v>
      </c>
      <c r="D6515" s="2" t="s">
        <v>27</v>
      </c>
      <c r="E6515" s="5">
        <v>-28502</v>
      </c>
      <c r="F6515" s="3" t="s">
        <v>570</v>
      </c>
      <c r="G6515" s="3" t="s">
        <v>52</v>
      </c>
      <c r="H6515" s="2" t="s">
        <v>21</v>
      </c>
      <c r="I6515" s="2" t="s">
        <v>12707</v>
      </c>
      <c r="J6515" s="3" t="str">
        <f>HYPERLINK("https://www.boe.es/gazeta/dias/1821/12/17/pdfs/GMD-1821-360.pdf#page=2","Abrir facsímil")</f>
        <v>Abrir facsímil</v>
      </c>
      <c r="K6515" s="3" t="s">
        <v>23</v>
      </c>
    </row>
    <row r="6516" spans="1:11" ht="42" customHeight="1">
      <c r="A6516" s="2" t="s">
        <v>12601</v>
      </c>
      <c r="B6516" s="2" t="s">
        <v>12601</v>
      </c>
      <c r="C6516" s="2" t="s">
        <v>35</v>
      </c>
      <c r="D6516" s="2" t="s">
        <v>27</v>
      </c>
      <c r="E6516" s="5">
        <v>-28502</v>
      </c>
      <c r="F6516" s="3" t="s">
        <v>570</v>
      </c>
      <c r="G6516" s="3" t="s">
        <v>20</v>
      </c>
      <c r="H6516" s="2" t="s">
        <v>21</v>
      </c>
      <c r="I6516" s="2" t="s">
        <v>12708</v>
      </c>
      <c r="J6516" s="3" t="str">
        <f>HYPERLINK("https://www.boe.es/gazeta/dias/1821/12/17/pdfs/GMD-1821-360.pdf#page=3","Abrir facsímil")</f>
        <v>Abrir facsímil</v>
      </c>
      <c r="K6516" s="3" t="s">
        <v>23</v>
      </c>
    </row>
    <row r="6517" spans="1:11" ht="42" customHeight="1">
      <c r="A6517" s="2" t="s">
        <v>12601</v>
      </c>
      <c r="B6517" s="2" t="s">
        <v>12601</v>
      </c>
      <c r="C6517" s="2" t="s">
        <v>26</v>
      </c>
      <c r="D6517" s="2" t="s">
        <v>27</v>
      </c>
      <c r="E6517" s="5">
        <v>-28501</v>
      </c>
      <c r="F6517" s="3" t="s">
        <v>456</v>
      </c>
      <c r="G6517" s="3" t="s">
        <v>457</v>
      </c>
      <c r="H6517" s="2" t="s">
        <v>21</v>
      </c>
      <c r="I6517" s="2" t="s">
        <v>12709</v>
      </c>
      <c r="J6517" s="3" t="str">
        <f>HYPERLINK("https://www.boe.es/gazeta/dias/1821/12/18/pdfs/GMD-1821-361.pdf#page=5","Abrir facsímil")</f>
        <v>Abrir facsímil</v>
      </c>
      <c r="K6517" s="3" t="s">
        <v>23</v>
      </c>
    </row>
    <row r="6518" spans="1:11" ht="42" customHeight="1">
      <c r="A6518" s="2" t="s">
        <v>12601</v>
      </c>
      <c r="B6518" s="2" t="s">
        <v>12601</v>
      </c>
      <c r="C6518" s="2" t="s">
        <v>17</v>
      </c>
      <c r="D6518" s="2" t="s">
        <v>18</v>
      </c>
      <c r="E6518" s="5">
        <v>-28500</v>
      </c>
      <c r="F6518" s="3" t="s">
        <v>298</v>
      </c>
      <c r="G6518" s="3" t="s">
        <v>43</v>
      </c>
      <c r="H6518" s="2" t="s">
        <v>21</v>
      </c>
      <c r="I6518" s="2" t="s">
        <v>12710</v>
      </c>
      <c r="J6518" s="3" t="str">
        <f>HYPERLINK("https://www.boe.es/gazeta/dias/1821/12/19/pdfs/GMD-1821-362.pdf#page=1","Abrir facsímil")</f>
        <v>Abrir facsímil</v>
      </c>
      <c r="K6518" s="3" t="s">
        <v>23</v>
      </c>
    </row>
    <row r="6519" spans="1:11" ht="42" customHeight="1">
      <c r="A6519" s="2" t="s">
        <v>12601</v>
      </c>
      <c r="B6519" s="2" t="s">
        <v>12601</v>
      </c>
      <c r="C6519" s="2" t="s">
        <v>26</v>
      </c>
      <c r="D6519" s="2" t="s">
        <v>27</v>
      </c>
      <c r="E6519" s="5">
        <v>-28498</v>
      </c>
      <c r="F6519" s="3" t="s">
        <v>447</v>
      </c>
      <c r="G6519" s="3" t="s">
        <v>20</v>
      </c>
      <c r="H6519" s="2" t="s">
        <v>21</v>
      </c>
      <c r="I6519" s="2" t="s">
        <v>12711</v>
      </c>
      <c r="J6519" s="3" t="str">
        <f>HYPERLINK("https://www.boe.es/gazeta/dias/1821/12/21/pdfs/GMD-1821-364.pdf#page=3","Abrir facsímil")</f>
        <v>Abrir facsímil</v>
      </c>
      <c r="K6519" s="3" t="s">
        <v>23</v>
      </c>
    </row>
    <row r="6520" spans="1:11" ht="42" customHeight="1">
      <c r="A6520" s="2" t="s">
        <v>12601</v>
      </c>
      <c r="B6520" s="2" t="s">
        <v>12601</v>
      </c>
      <c r="C6520" s="2" t="s">
        <v>35</v>
      </c>
      <c r="D6520" s="2" t="s">
        <v>27</v>
      </c>
      <c r="E6520" s="5">
        <v>-28498</v>
      </c>
      <c r="F6520" s="3" t="s">
        <v>447</v>
      </c>
      <c r="G6520" s="3" t="s">
        <v>88</v>
      </c>
      <c r="H6520" s="2" t="s">
        <v>21</v>
      </c>
      <c r="I6520" s="2" t="s">
        <v>12712</v>
      </c>
      <c r="J6520" s="3" t="str">
        <f>HYPERLINK("https://www.boe.es/gazeta/dias/1821/12/21/pdfs/GMD-1821-364.pdf#page=4","Abrir facsímil")</f>
        <v>Abrir facsímil</v>
      </c>
      <c r="K6520" s="3" t="s">
        <v>23</v>
      </c>
    </row>
    <row r="6521" spans="1:11" ht="42" customHeight="1">
      <c r="A6521" s="2" t="s">
        <v>12601</v>
      </c>
      <c r="B6521" s="2" t="s">
        <v>12601</v>
      </c>
      <c r="C6521" s="2" t="s">
        <v>26</v>
      </c>
      <c r="D6521" s="2" t="s">
        <v>27</v>
      </c>
      <c r="E6521" s="5">
        <v>-28497</v>
      </c>
      <c r="F6521" s="3" t="s">
        <v>225</v>
      </c>
      <c r="G6521" s="3" t="s">
        <v>20</v>
      </c>
      <c r="H6521" s="2" t="s">
        <v>21</v>
      </c>
      <c r="I6521" s="2" t="s">
        <v>12713</v>
      </c>
      <c r="J6521" s="3" t="str">
        <f>HYPERLINK("https://www.boe.es/gazeta/dias/1821/12/22/pdfs/GMD-1821-365.pdf#page=3","Abrir facsímil")</f>
        <v>Abrir facsímil</v>
      </c>
      <c r="K6521" s="3" t="s">
        <v>23</v>
      </c>
    </row>
    <row r="6522" spans="1:11" ht="42" customHeight="1">
      <c r="A6522" s="2" t="s">
        <v>12601</v>
      </c>
      <c r="B6522" s="2" t="s">
        <v>12601</v>
      </c>
      <c r="C6522" s="2" t="s">
        <v>17</v>
      </c>
      <c r="D6522" s="2" t="s">
        <v>18</v>
      </c>
      <c r="E6522" s="5">
        <v>-28496</v>
      </c>
      <c r="F6522" s="3" t="s">
        <v>785</v>
      </c>
      <c r="G6522" s="3" t="s">
        <v>886</v>
      </c>
      <c r="H6522" s="2" t="s">
        <v>21</v>
      </c>
      <c r="I6522" s="2" t="s">
        <v>12714</v>
      </c>
      <c r="J6522" s="3" t="str">
        <f>HYPERLINK("https://www.boe.es/gazeta/dias/1821/12/23/pdfs/GMD-1821-366.pdf#page=5","Abrir facsímil")</f>
        <v>Abrir facsímil</v>
      </c>
      <c r="K6522" s="3" t="s">
        <v>23</v>
      </c>
    </row>
    <row r="6523" spans="1:11" ht="42" customHeight="1">
      <c r="A6523" s="2" t="s">
        <v>12601</v>
      </c>
      <c r="B6523" s="2" t="s">
        <v>12601</v>
      </c>
      <c r="C6523" s="2" t="s">
        <v>17</v>
      </c>
      <c r="D6523" s="2" t="s">
        <v>18</v>
      </c>
      <c r="E6523" s="5">
        <v>-28496</v>
      </c>
      <c r="F6523" s="3" t="s">
        <v>785</v>
      </c>
      <c r="G6523" s="3" t="s">
        <v>88</v>
      </c>
      <c r="H6523" s="2" t="s">
        <v>21</v>
      </c>
      <c r="I6523" s="2" t="s">
        <v>12715</v>
      </c>
      <c r="J6523" s="3" t="str">
        <f>HYPERLINK("https://www.boe.es/gazeta/dias/1821/12/23/pdfs/GMD-1821-366.pdf#page=4","Abrir facsímil")</f>
        <v>Abrir facsímil</v>
      </c>
      <c r="K6523" s="3" t="s">
        <v>23</v>
      </c>
    </row>
    <row r="6524" spans="1:11" ht="42" customHeight="1">
      <c r="A6524" s="2" t="s">
        <v>12601</v>
      </c>
      <c r="B6524" s="2" t="s">
        <v>12601</v>
      </c>
      <c r="C6524" s="2" t="s">
        <v>17</v>
      </c>
      <c r="D6524" s="2" t="s">
        <v>18</v>
      </c>
      <c r="E6524" s="5">
        <v>-28495</v>
      </c>
      <c r="F6524" s="3" t="s">
        <v>227</v>
      </c>
      <c r="G6524" s="3" t="s">
        <v>88</v>
      </c>
      <c r="H6524" s="2" t="s">
        <v>21</v>
      </c>
      <c r="I6524" s="2" t="s">
        <v>12716</v>
      </c>
      <c r="J6524" s="3" t="str">
        <f>HYPERLINK("https://www.boe.es/gazeta/dias/1821/12/24/pdfs/GMD-1821-367.pdf#page=4","Abrir facsímil")</f>
        <v>Abrir facsímil</v>
      </c>
      <c r="K6524" s="3" t="s">
        <v>23</v>
      </c>
    </row>
    <row r="6525" spans="1:11" ht="42" customHeight="1">
      <c r="A6525" s="2" t="s">
        <v>12601</v>
      </c>
      <c r="B6525" s="2" t="s">
        <v>12601</v>
      </c>
      <c r="C6525" s="2" t="s">
        <v>70</v>
      </c>
      <c r="D6525" s="2" t="s">
        <v>27</v>
      </c>
      <c r="E6525" s="5">
        <v>-28495</v>
      </c>
      <c r="F6525" s="3" t="s">
        <v>227</v>
      </c>
      <c r="G6525" s="3" t="s">
        <v>29</v>
      </c>
      <c r="H6525" s="2" t="s">
        <v>21</v>
      </c>
      <c r="I6525" s="2" t="s">
        <v>12717</v>
      </c>
      <c r="J6525" s="3" t="str">
        <f>HYPERLINK("https://www.boe.es/gazeta/dias/1821/12/24/pdfs/GMD-1821-367.pdf#page=6","Abrir facsímil")</f>
        <v>Abrir facsímil</v>
      </c>
      <c r="K6525" s="3" t="s">
        <v>23</v>
      </c>
    </row>
    <row r="6526" spans="1:11" ht="42" customHeight="1">
      <c r="A6526" s="2" t="s">
        <v>12601</v>
      </c>
      <c r="B6526" s="2" t="s">
        <v>12601</v>
      </c>
      <c r="C6526" s="2" t="s">
        <v>26</v>
      </c>
      <c r="D6526" s="2" t="s">
        <v>27</v>
      </c>
      <c r="E6526" s="5">
        <v>-28495</v>
      </c>
      <c r="F6526" s="3" t="s">
        <v>227</v>
      </c>
      <c r="G6526" s="3" t="s">
        <v>333</v>
      </c>
      <c r="H6526" s="2" t="s">
        <v>21</v>
      </c>
      <c r="I6526" s="2" t="s">
        <v>12718</v>
      </c>
      <c r="J6526" s="3" t="str">
        <f>HYPERLINK("https://www.boe.es/gazeta/dias/1821/12/24/pdfs/GMD-1821-367.pdf#page=8","Abrir facsímil")</f>
        <v>Abrir facsímil</v>
      </c>
      <c r="K6526" s="3" t="s">
        <v>23</v>
      </c>
    </row>
    <row r="6527" spans="1:11" ht="42" customHeight="1">
      <c r="A6527" s="2" t="s">
        <v>12601</v>
      </c>
      <c r="B6527" s="2" t="s">
        <v>12601</v>
      </c>
      <c r="C6527" s="2" t="s">
        <v>26</v>
      </c>
      <c r="D6527" s="2" t="s">
        <v>27</v>
      </c>
      <c r="E6527" s="5">
        <v>-28491</v>
      </c>
      <c r="F6527" s="3" t="s">
        <v>573</v>
      </c>
      <c r="G6527" s="3" t="s">
        <v>3891</v>
      </c>
      <c r="H6527" s="2" t="s">
        <v>21</v>
      </c>
      <c r="I6527" s="2" t="s">
        <v>12719</v>
      </c>
      <c r="J6527" s="3" t="str">
        <f>HYPERLINK("https://www.boe.es/gazeta/dias/1821/12/28/pdfs/GMD-1821-371.pdf#page=2","Abrir facsímil")</f>
        <v>Abrir facsímil</v>
      </c>
      <c r="K6527" s="3" t="s">
        <v>23</v>
      </c>
    </row>
    <row r="6528" spans="1:11" ht="42" customHeight="1">
      <c r="A6528" s="2" t="s">
        <v>12601</v>
      </c>
      <c r="B6528" s="2" t="s">
        <v>12601</v>
      </c>
      <c r="C6528" s="2" t="s">
        <v>17</v>
      </c>
      <c r="D6528" s="2" t="s">
        <v>18</v>
      </c>
      <c r="E6528" s="5">
        <v>-28491</v>
      </c>
      <c r="F6528" s="3" t="s">
        <v>573</v>
      </c>
      <c r="G6528" s="3" t="s">
        <v>88</v>
      </c>
      <c r="H6528" s="2" t="s">
        <v>21</v>
      </c>
      <c r="I6528" s="2" t="s">
        <v>12720</v>
      </c>
      <c r="J6528" s="3" t="str">
        <f>HYPERLINK("https://www.boe.es/gazeta/dias/1821/12/28/pdfs/GMD-1821-371.pdf#page=4","Abrir facsímil")</f>
        <v>Abrir facsímil</v>
      </c>
      <c r="K6528" s="3" t="s">
        <v>23</v>
      </c>
    </row>
    <row r="6529" spans="1:11" ht="42" customHeight="1">
      <c r="A6529" s="2" t="s">
        <v>12601</v>
      </c>
      <c r="B6529" s="2" t="s">
        <v>12601</v>
      </c>
      <c r="C6529" s="2" t="s">
        <v>35</v>
      </c>
      <c r="D6529" s="2" t="s">
        <v>27</v>
      </c>
      <c r="E6529" s="5">
        <v>-28490</v>
      </c>
      <c r="F6529" s="3" t="s">
        <v>801</v>
      </c>
      <c r="G6529" s="3" t="s">
        <v>52</v>
      </c>
      <c r="H6529" s="2" t="s">
        <v>21</v>
      </c>
      <c r="I6529" s="2" t="s">
        <v>12721</v>
      </c>
      <c r="J6529" s="3" t="str">
        <f>HYPERLINK("https://www.boe.es/gazeta/dias/1821/12/29/pdfs/GMD-1821-372.pdf#page=2","Abrir facsímil")</f>
        <v>Abrir facsímil</v>
      </c>
      <c r="K6529" s="3" t="s">
        <v>23</v>
      </c>
    </row>
    <row r="6530" spans="1:11" ht="42" customHeight="1">
      <c r="A6530" s="2" t="s">
        <v>12722</v>
      </c>
      <c r="B6530" s="2" t="s">
        <v>12723</v>
      </c>
      <c r="C6530" s="2" t="s">
        <v>40</v>
      </c>
      <c r="D6530" s="2" t="s">
        <v>41</v>
      </c>
      <c r="E6530" s="5">
        <v>-28539</v>
      </c>
      <c r="F6530" s="3" t="s">
        <v>153</v>
      </c>
      <c r="G6530" s="3" t="s">
        <v>162</v>
      </c>
      <c r="H6530" s="2" t="s">
        <v>30</v>
      </c>
      <c r="I6530" s="2" t="s">
        <v>12724</v>
      </c>
      <c r="J6530" s="3" t="str">
        <f>HYPERLINK("https://www.boe.es/gazeta/dias/1821/11/10/pdfs/GMD-1821-321.pdf#page=5","Abrir facsímil")</f>
        <v>Abrir facsímil</v>
      </c>
      <c r="K6530" s="3" t="s">
        <v>32</v>
      </c>
    </row>
    <row r="6531" spans="1:11" ht="42" customHeight="1">
      <c r="A6531" s="2" t="s">
        <v>12725</v>
      </c>
      <c r="B6531" s="2" t="s">
        <v>12726</v>
      </c>
      <c r="C6531" s="2" t="s">
        <v>40</v>
      </c>
      <c r="D6531" s="2" t="s">
        <v>41</v>
      </c>
      <c r="E6531" s="5">
        <v>-28758</v>
      </c>
      <c r="F6531" s="3" t="s">
        <v>4115</v>
      </c>
      <c r="G6531" s="3" t="s">
        <v>52</v>
      </c>
      <c r="H6531" s="2" t="s">
        <v>21</v>
      </c>
      <c r="I6531" s="2" t="s">
        <v>12727</v>
      </c>
      <c r="J6531" s="3" t="str">
        <f>HYPERLINK("https://www.boe.es/gazeta/dias/1821/04/05/pdfs/GMD-1821-97.pdf#page=2","Abrir facsímil")</f>
        <v>Abrir facsímil</v>
      </c>
      <c r="K6531" s="3" t="s">
        <v>23</v>
      </c>
    </row>
    <row r="6532" spans="1:11" ht="42" customHeight="1">
      <c r="A6532" s="2" t="s">
        <v>12728</v>
      </c>
      <c r="B6532" s="2" t="s">
        <v>12729</v>
      </c>
      <c r="C6532" s="2" t="s">
        <v>114</v>
      </c>
      <c r="D6532" s="2" t="s">
        <v>27</v>
      </c>
      <c r="E6532" s="5">
        <v>-28579</v>
      </c>
      <c r="F6532" s="3" t="s">
        <v>743</v>
      </c>
      <c r="G6532" s="3" t="s">
        <v>52</v>
      </c>
      <c r="H6532" s="2" t="s">
        <v>21</v>
      </c>
      <c r="I6532" s="2" t="s">
        <v>12730</v>
      </c>
      <c r="J6532" s="3" t="str">
        <f>HYPERLINK("https://www.boe.es/gazeta/dias/1821/10/01/pdfs/GMD-1821-280.pdf#page=2","Abrir facsímil")</f>
        <v>Abrir facsímil</v>
      </c>
      <c r="K6532" s="3" t="s">
        <v>23</v>
      </c>
    </row>
    <row r="6533" spans="1:11" ht="42" customHeight="1">
      <c r="A6533" s="2" t="s">
        <v>12731</v>
      </c>
      <c r="B6533" s="2" t="s">
        <v>12731</v>
      </c>
      <c r="C6533" s="2" t="s">
        <v>17</v>
      </c>
      <c r="D6533" s="2" t="s">
        <v>18</v>
      </c>
      <c r="E6533" s="5">
        <v>-28621</v>
      </c>
      <c r="F6533" s="3" t="s">
        <v>1317</v>
      </c>
      <c r="G6533" s="3" t="s">
        <v>20</v>
      </c>
      <c r="H6533" s="2" t="s">
        <v>21</v>
      </c>
      <c r="I6533" s="2" t="s">
        <v>12732</v>
      </c>
      <c r="J6533" s="3" t="str">
        <f>HYPERLINK("https://www.boe.es/gazeta/dias/1821/08/20/pdfs/GMD-1821-237.pdf#page=3","Abrir facsímil")</f>
        <v>Abrir facsímil</v>
      </c>
      <c r="K6533" s="3" t="s">
        <v>23</v>
      </c>
    </row>
    <row r="6534" spans="1:11" ht="42" customHeight="1">
      <c r="A6534" s="2" t="s">
        <v>12733</v>
      </c>
      <c r="B6534" s="2" t="s">
        <v>12733</v>
      </c>
      <c r="C6534" s="2" t="s">
        <v>70</v>
      </c>
      <c r="D6534" s="2" t="s">
        <v>27</v>
      </c>
      <c r="E6534" s="5">
        <v>-28806</v>
      </c>
      <c r="F6534" s="3" t="s">
        <v>1201</v>
      </c>
      <c r="G6534" s="3" t="s">
        <v>3200</v>
      </c>
      <c r="H6534" s="2" t="s">
        <v>21</v>
      </c>
      <c r="I6534" s="2" t="s">
        <v>12734</v>
      </c>
      <c r="J6534" s="3" t="str">
        <f>HYPERLINK("https://www.boe.es/gazeta/dias/1821/02/16/pdfs/GGB-1821-47.pdf#page=3","Abrir facsímil")</f>
        <v>Abrir facsímil</v>
      </c>
      <c r="K6534" s="3" t="s">
        <v>23</v>
      </c>
    </row>
    <row r="6535" spans="1:11" ht="42" customHeight="1">
      <c r="A6535" s="2" t="s">
        <v>12733</v>
      </c>
      <c r="B6535" s="2" t="s">
        <v>12733</v>
      </c>
      <c r="C6535" s="2" t="s">
        <v>70</v>
      </c>
      <c r="D6535" s="2" t="s">
        <v>27</v>
      </c>
      <c r="E6535" s="5">
        <v>-28806</v>
      </c>
      <c r="F6535" s="3" t="s">
        <v>1201</v>
      </c>
      <c r="G6535" s="3" t="s">
        <v>52</v>
      </c>
      <c r="H6535" s="2" t="s">
        <v>21</v>
      </c>
      <c r="I6535" s="2" t="s">
        <v>12735</v>
      </c>
      <c r="J6535" s="3" t="str">
        <f>HYPERLINK("https://www.boe.es/gazeta/dias/1821/02/16/pdfs/GGB-1821-47.pdf#page=2","Abrir facsímil")</f>
        <v>Abrir facsímil</v>
      </c>
      <c r="K6535" s="3" t="s">
        <v>23</v>
      </c>
    </row>
    <row r="6536" spans="1:11" ht="42" customHeight="1">
      <c r="A6536" s="2" t="s">
        <v>12733</v>
      </c>
      <c r="B6536" s="2" t="s">
        <v>12733</v>
      </c>
      <c r="C6536" s="2" t="s">
        <v>70</v>
      </c>
      <c r="D6536" s="2" t="s">
        <v>27</v>
      </c>
      <c r="E6536" s="5">
        <v>-28805</v>
      </c>
      <c r="F6536" s="3" t="s">
        <v>382</v>
      </c>
      <c r="G6536" s="3" t="s">
        <v>20</v>
      </c>
      <c r="H6536" s="2" t="s">
        <v>21</v>
      </c>
      <c r="I6536" s="2" t="s">
        <v>12736</v>
      </c>
      <c r="J6536" s="3" t="str">
        <f>HYPERLINK("https://www.boe.es/gazeta/dias/1821/02/17/pdfs/GGB-1821-48.pdf#page=3","Abrir facsímil")</f>
        <v>Abrir facsímil</v>
      </c>
      <c r="K6536" s="3" t="s">
        <v>23</v>
      </c>
    </row>
    <row r="6537" spans="1:11" ht="42" customHeight="1">
      <c r="A6537" s="2" t="s">
        <v>12733</v>
      </c>
      <c r="B6537" s="2" t="s">
        <v>12733</v>
      </c>
      <c r="C6537" s="2" t="s">
        <v>17</v>
      </c>
      <c r="D6537" s="2" t="s">
        <v>18</v>
      </c>
      <c r="E6537" s="5">
        <v>-28798</v>
      </c>
      <c r="F6537" s="3" t="s">
        <v>60</v>
      </c>
      <c r="G6537" s="3" t="s">
        <v>52</v>
      </c>
      <c r="H6537" s="2" t="s">
        <v>21</v>
      </c>
      <c r="I6537" s="2" t="s">
        <v>12737</v>
      </c>
      <c r="J6537" s="3" t="str">
        <f>HYPERLINK("https://www.boe.es/gazeta/dias/1821/02/24/pdfs/GGB-1821-55.pdf#page=2","Abrir facsímil")</f>
        <v>Abrir facsímil</v>
      </c>
      <c r="K6537" s="3" t="s">
        <v>23</v>
      </c>
    </row>
    <row r="6538" spans="1:11" ht="42" customHeight="1">
      <c r="A6538" s="2" t="s">
        <v>12733</v>
      </c>
      <c r="B6538" s="2" t="s">
        <v>12733</v>
      </c>
      <c r="C6538" s="2" t="s">
        <v>174</v>
      </c>
      <c r="D6538" s="2" t="s">
        <v>27</v>
      </c>
      <c r="E6538" s="5">
        <v>-28792</v>
      </c>
      <c r="F6538" s="3" t="s">
        <v>2289</v>
      </c>
      <c r="G6538" s="3" t="s">
        <v>2290</v>
      </c>
      <c r="H6538" s="2" t="s">
        <v>21</v>
      </c>
      <c r="I6538" s="2" t="s">
        <v>12738</v>
      </c>
      <c r="J6538" s="3" t="str">
        <f>HYPERLINK("https://www.boe.es/gazeta/dias/1821/03/02/pdfs/GGB-1821-61.pdf#page=2","Abrir facsímil")</f>
        <v>Abrir facsímil</v>
      </c>
      <c r="K6538" s="3" t="s">
        <v>23</v>
      </c>
    </row>
    <row r="6539" spans="1:11" ht="42" customHeight="1">
      <c r="A6539" s="2" t="s">
        <v>12733</v>
      </c>
      <c r="B6539" s="2" t="s">
        <v>12733</v>
      </c>
      <c r="C6539" s="2" t="s">
        <v>114</v>
      </c>
      <c r="D6539" s="2" t="s">
        <v>27</v>
      </c>
      <c r="E6539" s="5">
        <v>-28784</v>
      </c>
      <c r="F6539" s="3" t="s">
        <v>451</v>
      </c>
      <c r="G6539" s="3" t="s">
        <v>52</v>
      </c>
      <c r="H6539" s="2" t="s">
        <v>21</v>
      </c>
      <c r="I6539" s="2" t="s">
        <v>12739</v>
      </c>
      <c r="J6539" s="3" t="str">
        <f>HYPERLINK("https://www.boe.es/gazeta/dias/1821/03/10/pdfs/GGB-1821-69.pdf#page=2","Abrir facsímil")</f>
        <v>Abrir facsímil</v>
      </c>
      <c r="K6539" s="3" t="s">
        <v>23</v>
      </c>
    </row>
    <row r="6540" spans="1:11" ht="42" customHeight="1">
      <c r="A6540" s="2" t="s">
        <v>12733</v>
      </c>
      <c r="B6540" s="2" t="s">
        <v>12733</v>
      </c>
      <c r="C6540" s="2" t="s">
        <v>17</v>
      </c>
      <c r="D6540" s="2" t="s">
        <v>18</v>
      </c>
      <c r="E6540" s="5">
        <v>-28781</v>
      </c>
      <c r="F6540" s="3" t="s">
        <v>149</v>
      </c>
      <c r="G6540" s="3" t="s">
        <v>20</v>
      </c>
      <c r="H6540" s="2" t="s">
        <v>21</v>
      </c>
      <c r="I6540" s="2" t="s">
        <v>12740</v>
      </c>
      <c r="J6540" s="3" t="str">
        <f>HYPERLINK("https://www.boe.es/gazeta/dias/1821/03/13/pdfs/GMD-1821-72.pdf#page=3","Abrir facsímil")</f>
        <v>Abrir facsímil</v>
      </c>
      <c r="K6540" s="3" t="s">
        <v>23</v>
      </c>
    </row>
    <row r="6541" spans="1:11" ht="42" customHeight="1">
      <c r="A6541" s="2" t="s">
        <v>12733</v>
      </c>
      <c r="B6541" s="2" t="s">
        <v>12733</v>
      </c>
      <c r="C6541" s="2" t="s">
        <v>17</v>
      </c>
      <c r="D6541" s="2" t="s">
        <v>18</v>
      </c>
      <c r="E6541" s="5">
        <v>-28743</v>
      </c>
      <c r="F6541" s="3" t="s">
        <v>51</v>
      </c>
      <c r="G6541" s="3" t="s">
        <v>52</v>
      </c>
      <c r="H6541" s="2" t="s">
        <v>21</v>
      </c>
      <c r="I6541" s="2" t="s">
        <v>12741</v>
      </c>
      <c r="J6541" s="3" t="str">
        <f>HYPERLINK("https://www.boe.es/gazeta/dias/1821/04/20/pdfs/GMD-1821-112.pdf#page=2","Abrir facsímil")</f>
        <v>Abrir facsímil</v>
      </c>
      <c r="K6541" s="3" t="s">
        <v>23</v>
      </c>
    </row>
    <row r="6542" spans="1:11" ht="42" customHeight="1">
      <c r="A6542" s="2" t="s">
        <v>12733</v>
      </c>
      <c r="B6542" s="2" t="s">
        <v>12733</v>
      </c>
      <c r="C6542" s="2" t="s">
        <v>35</v>
      </c>
      <c r="D6542" s="2" t="s">
        <v>27</v>
      </c>
      <c r="E6542" s="5">
        <v>-28627</v>
      </c>
      <c r="F6542" s="3" t="s">
        <v>3216</v>
      </c>
      <c r="G6542" s="3" t="s">
        <v>20</v>
      </c>
      <c r="H6542" s="2" t="s">
        <v>21</v>
      </c>
      <c r="I6542" s="2" t="s">
        <v>12742</v>
      </c>
      <c r="J6542" s="3" t="str">
        <f>HYPERLINK("https://www.boe.es/gazeta/dias/1821/08/14/pdfs/GMD-1821-231.pdf#page=3","Abrir facsímil")</f>
        <v>Abrir facsímil</v>
      </c>
      <c r="K6542" s="3" t="s">
        <v>23</v>
      </c>
    </row>
    <row r="6543" spans="1:11" ht="42" customHeight="1">
      <c r="A6543" s="2" t="s">
        <v>12733</v>
      </c>
      <c r="B6543" s="2" t="s">
        <v>12733</v>
      </c>
      <c r="C6543" s="2" t="s">
        <v>26</v>
      </c>
      <c r="D6543" s="2" t="s">
        <v>27</v>
      </c>
      <c r="E6543" s="5">
        <v>-28626</v>
      </c>
      <c r="F6543" s="3" t="s">
        <v>468</v>
      </c>
      <c r="G6543" s="3" t="s">
        <v>20</v>
      </c>
      <c r="H6543" s="2" t="s">
        <v>21</v>
      </c>
      <c r="I6543" s="2" t="s">
        <v>12743</v>
      </c>
      <c r="J6543" s="3" t="str">
        <f>HYPERLINK("https://www.boe.es/gazeta/dias/1821/08/15/pdfs/GMD-1821-232.pdf#page=3","Abrir facsímil")</f>
        <v>Abrir facsímil</v>
      </c>
      <c r="K6543" s="3" t="s">
        <v>23</v>
      </c>
    </row>
    <row r="6544" spans="1:11" ht="42" customHeight="1">
      <c r="A6544" s="2" t="s">
        <v>12733</v>
      </c>
      <c r="B6544" s="2" t="s">
        <v>12733</v>
      </c>
      <c r="C6544" s="2" t="s">
        <v>40</v>
      </c>
      <c r="D6544" s="2" t="s">
        <v>41</v>
      </c>
      <c r="E6544" s="5">
        <v>-28624</v>
      </c>
      <c r="F6544" s="3" t="s">
        <v>78</v>
      </c>
      <c r="G6544" s="3" t="s">
        <v>20</v>
      </c>
      <c r="H6544" s="2" t="s">
        <v>21</v>
      </c>
      <c r="I6544" s="2" t="s">
        <v>12744</v>
      </c>
      <c r="J6544" s="3" t="str">
        <f>HYPERLINK("https://www.boe.es/gazeta/dias/1821/08/17/pdfs/GMD-1821-234.pdf#page=3","Abrir facsímil")</f>
        <v>Abrir facsímil</v>
      </c>
      <c r="K6544" s="3" t="s">
        <v>23</v>
      </c>
    </row>
    <row r="6545" spans="1:11" ht="42" customHeight="1">
      <c r="A6545" s="2" t="s">
        <v>12733</v>
      </c>
      <c r="B6545" s="2" t="s">
        <v>12733</v>
      </c>
      <c r="C6545" s="2" t="s">
        <v>40</v>
      </c>
      <c r="D6545" s="2" t="s">
        <v>41</v>
      </c>
      <c r="E6545" s="5">
        <v>-28614</v>
      </c>
      <c r="F6545" s="3" t="s">
        <v>4451</v>
      </c>
      <c r="G6545" s="3" t="s">
        <v>20</v>
      </c>
      <c r="H6545" s="2" t="s">
        <v>21</v>
      </c>
      <c r="I6545" s="2" t="s">
        <v>12745</v>
      </c>
      <c r="J6545" s="3" t="str">
        <f>HYPERLINK("https://www.boe.es/gazeta/dias/1821/08/27/pdfs/GMD-1821-244.pdf#page=3","Abrir facsímil")</f>
        <v>Abrir facsímil</v>
      </c>
      <c r="K6545" s="3" t="s">
        <v>23</v>
      </c>
    </row>
    <row r="6546" spans="1:11" ht="42" customHeight="1">
      <c r="A6546" s="2" t="s">
        <v>12733</v>
      </c>
      <c r="B6546" s="2" t="s">
        <v>12733</v>
      </c>
      <c r="C6546" s="2" t="s">
        <v>17</v>
      </c>
      <c r="D6546" s="2" t="s">
        <v>18</v>
      </c>
      <c r="E6546" s="5">
        <v>-28564</v>
      </c>
      <c r="F6546" s="3" t="s">
        <v>861</v>
      </c>
      <c r="G6546" s="3" t="s">
        <v>52</v>
      </c>
      <c r="H6546" s="2" t="s">
        <v>21</v>
      </c>
      <c r="I6546" s="2" t="s">
        <v>12746</v>
      </c>
      <c r="J6546" s="3" t="str">
        <f>HYPERLINK("https://www.boe.es/gazeta/dias/1821/10/16/pdfs/GMD-1821-295.pdf#page=2","Abrir facsímil")</f>
        <v>Abrir facsímil</v>
      </c>
      <c r="K6546" s="3" t="s">
        <v>23</v>
      </c>
    </row>
    <row r="6547" spans="1:11" ht="42" customHeight="1">
      <c r="A6547" s="2" t="s">
        <v>12747</v>
      </c>
      <c r="B6547" s="2" t="s">
        <v>12748</v>
      </c>
      <c r="C6547" s="2" t="s">
        <v>26</v>
      </c>
      <c r="D6547" s="2" t="s">
        <v>27</v>
      </c>
      <c r="E6547" s="5">
        <v>-28547</v>
      </c>
      <c r="F6547" s="3" t="s">
        <v>247</v>
      </c>
      <c r="G6547" s="3" t="s">
        <v>248</v>
      </c>
      <c r="H6547" s="2" t="s">
        <v>21</v>
      </c>
      <c r="I6547" s="2" t="s">
        <v>12749</v>
      </c>
      <c r="J6547" s="3" t="str">
        <f>HYPERLINK("https://www.boe.es/gazeta/dias/1821/11/02/pdfs/GMD-1821-312.pdf#page=2","Abrir facsímil")</f>
        <v>Abrir facsímil</v>
      </c>
      <c r="K6547" s="3" t="s">
        <v>23</v>
      </c>
    </row>
    <row r="6548" spans="1:11" ht="42" customHeight="1">
      <c r="A6548" s="2" t="s">
        <v>12750</v>
      </c>
      <c r="B6548" s="2" t="s">
        <v>12750</v>
      </c>
      <c r="C6548" s="2" t="s">
        <v>40</v>
      </c>
      <c r="D6548" s="2" t="s">
        <v>41</v>
      </c>
      <c r="E6548" s="5">
        <v>-28784</v>
      </c>
      <c r="F6548" s="3" t="s">
        <v>451</v>
      </c>
      <c r="G6548" s="3" t="s">
        <v>52</v>
      </c>
      <c r="H6548" s="2" t="s">
        <v>21</v>
      </c>
      <c r="I6548" s="2" t="s">
        <v>12751</v>
      </c>
      <c r="J6548" s="3" t="str">
        <f>HYPERLINK("https://www.boe.es/gazeta/dias/1821/03/10/pdfs/GGB-1821-69.pdf#page=2","Abrir facsímil")</f>
        <v>Abrir facsímil</v>
      </c>
      <c r="K6548" s="3" t="s">
        <v>23</v>
      </c>
    </row>
    <row r="6549" spans="1:11" ht="42" customHeight="1">
      <c r="A6549" s="2" t="s">
        <v>12750</v>
      </c>
      <c r="B6549" s="2" t="s">
        <v>12750</v>
      </c>
      <c r="C6549" s="2" t="s">
        <v>17</v>
      </c>
      <c r="D6549" s="2" t="s">
        <v>18</v>
      </c>
      <c r="E6549" s="5">
        <v>-28779</v>
      </c>
      <c r="F6549" s="3" t="s">
        <v>1002</v>
      </c>
      <c r="G6549" s="3" t="s">
        <v>43</v>
      </c>
      <c r="H6549" s="2" t="s">
        <v>21</v>
      </c>
      <c r="I6549" s="2" t="s">
        <v>12752</v>
      </c>
      <c r="J6549" s="3" t="str">
        <f>HYPERLINK("https://www.boe.es/gazeta/dias/1821/03/15/pdfs/GMD-1821-74.pdf#page=1","Abrir facsímil")</f>
        <v>Abrir facsímil</v>
      </c>
      <c r="K6549" s="3" t="s">
        <v>23</v>
      </c>
    </row>
    <row r="6550" spans="1:11" ht="42" customHeight="1">
      <c r="A6550" s="2" t="s">
        <v>12750</v>
      </c>
      <c r="B6550" s="2" t="s">
        <v>12750</v>
      </c>
      <c r="C6550" s="2" t="s">
        <v>40</v>
      </c>
      <c r="D6550" s="2" t="s">
        <v>41</v>
      </c>
      <c r="E6550" s="5">
        <v>-28750</v>
      </c>
      <c r="F6550" s="3" t="s">
        <v>917</v>
      </c>
      <c r="G6550" s="3" t="s">
        <v>52</v>
      </c>
      <c r="H6550" s="2" t="s">
        <v>21</v>
      </c>
      <c r="I6550" s="2" t="s">
        <v>12753</v>
      </c>
      <c r="J6550" s="3" t="str">
        <f>HYPERLINK("https://www.boe.es/gazeta/dias/1821/04/13/pdfs/GMD-1821-105.pdf#page=2","Abrir facsímil")</f>
        <v>Abrir facsímil</v>
      </c>
      <c r="K6550" s="3" t="s">
        <v>23</v>
      </c>
    </row>
    <row r="6551" spans="1:11" ht="42" customHeight="1">
      <c r="A6551" s="2" t="s">
        <v>12750</v>
      </c>
      <c r="B6551" s="2" t="s">
        <v>12750</v>
      </c>
      <c r="C6551" s="2" t="s">
        <v>17</v>
      </c>
      <c r="D6551" s="2" t="s">
        <v>18</v>
      </c>
      <c r="E6551" s="5">
        <v>-28734</v>
      </c>
      <c r="F6551" s="3" t="s">
        <v>1553</v>
      </c>
      <c r="G6551" s="3" t="s">
        <v>2625</v>
      </c>
      <c r="H6551" s="2" t="s">
        <v>21</v>
      </c>
      <c r="I6551" s="2" t="s">
        <v>12754</v>
      </c>
      <c r="J6551" s="3" t="str">
        <f>HYPERLINK("https://www.boe.es/gazeta/dias/1821/04/29/pdfs/GMD-1821-121.pdf#page=2","Abrir facsímil")</f>
        <v>Abrir facsímil</v>
      </c>
      <c r="K6551" s="3" t="s">
        <v>23</v>
      </c>
    </row>
    <row r="6552" spans="1:11" ht="42" customHeight="1">
      <c r="A6552" s="2" t="s">
        <v>12750</v>
      </c>
      <c r="B6552" s="2" t="s">
        <v>12750</v>
      </c>
      <c r="C6552" s="2" t="s">
        <v>40</v>
      </c>
      <c r="D6552" s="2" t="s">
        <v>41</v>
      </c>
      <c r="E6552" s="5">
        <v>-28729</v>
      </c>
      <c r="F6552" s="3" t="s">
        <v>838</v>
      </c>
      <c r="G6552" s="3" t="s">
        <v>88</v>
      </c>
      <c r="H6552" s="2" t="s">
        <v>21</v>
      </c>
      <c r="I6552" s="2" t="s">
        <v>12755</v>
      </c>
      <c r="J6552" s="3" t="str">
        <f>HYPERLINK("https://www.boe.es/gazeta/dias/1821/05/04/pdfs/GMD-1821-126.pdf#page=4","Abrir facsímil")</f>
        <v>Abrir facsímil</v>
      </c>
      <c r="K6552" s="3" t="s">
        <v>23</v>
      </c>
    </row>
    <row r="6553" spans="1:11" ht="42" customHeight="1">
      <c r="A6553" s="2" t="s">
        <v>12750</v>
      </c>
      <c r="B6553" s="2" t="s">
        <v>12750</v>
      </c>
      <c r="C6553" s="2" t="s">
        <v>40</v>
      </c>
      <c r="D6553" s="2" t="s">
        <v>41</v>
      </c>
      <c r="E6553" s="5">
        <v>-28679</v>
      </c>
      <c r="F6553" s="3" t="s">
        <v>213</v>
      </c>
      <c r="G6553" s="3" t="s">
        <v>52</v>
      </c>
      <c r="H6553" s="2" t="s">
        <v>21</v>
      </c>
      <c r="I6553" s="2" t="s">
        <v>12756</v>
      </c>
      <c r="J6553" s="3" t="str">
        <f>HYPERLINK("https://www.boe.es/gazeta/dias/1821/06/23/pdfs/GMD-1821-176.pdf#page=2","Abrir facsímil")</f>
        <v>Abrir facsímil</v>
      </c>
      <c r="K6553" s="3" t="s">
        <v>23</v>
      </c>
    </row>
    <row r="6554" spans="1:11" ht="42" customHeight="1">
      <c r="A6554" s="2" t="s">
        <v>12750</v>
      </c>
      <c r="B6554" s="2" t="s">
        <v>12750</v>
      </c>
      <c r="C6554" s="2" t="s">
        <v>70</v>
      </c>
      <c r="D6554" s="2" t="s">
        <v>27</v>
      </c>
      <c r="E6554" s="5">
        <v>-28678</v>
      </c>
      <c r="F6554" s="3" t="s">
        <v>215</v>
      </c>
      <c r="G6554" s="3" t="s">
        <v>1445</v>
      </c>
      <c r="H6554" s="2" t="s">
        <v>21</v>
      </c>
      <c r="I6554" s="2" t="s">
        <v>12757</v>
      </c>
      <c r="J6554" s="3" t="str">
        <f>HYPERLINK("https://www.boe.es/gazeta/dias/1821/06/24/pdfs/GMD-1821-177.pdf#page=3","Abrir facsímil")</f>
        <v>Abrir facsímil</v>
      </c>
      <c r="K6554" s="3" t="s">
        <v>23</v>
      </c>
    </row>
    <row r="6555" spans="1:11" ht="42" customHeight="1">
      <c r="A6555" s="2" t="s">
        <v>12750</v>
      </c>
      <c r="B6555" s="2" t="s">
        <v>12750</v>
      </c>
      <c r="C6555" s="2" t="s">
        <v>40</v>
      </c>
      <c r="D6555" s="2" t="s">
        <v>41</v>
      </c>
      <c r="E6555" s="5">
        <v>-28653</v>
      </c>
      <c r="F6555" s="3" t="s">
        <v>1179</v>
      </c>
      <c r="G6555" s="3" t="s">
        <v>29</v>
      </c>
      <c r="H6555" s="2" t="s">
        <v>21</v>
      </c>
      <c r="I6555" s="2" t="s">
        <v>12758</v>
      </c>
      <c r="J6555" s="3" t="str">
        <f>HYPERLINK("https://www.boe.es/gazeta/dias/1821/07/19/pdfs/GMD-1821-204.pdf#page=6","Abrir facsímil")</f>
        <v>Abrir facsímil</v>
      </c>
      <c r="K6555" s="3" t="s">
        <v>23</v>
      </c>
    </row>
    <row r="6556" spans="1:11" ht="42" customHeight="1">
      <c r="A6556" s="2" t="s">
        <v>12759</v>
      </c>
      <c r="B6556" s="2" t="s">
        <v>12759</v>
      </c>
      <c r="C6556" s="2" t="s">
        <v>35</v>
      </c>
      <c r="D6556" s="2" t="s">
        <v>27</v>
      </c>
      <c r="E6556" s="5">
        <v>-28535</v>
      </c>
      <c r="F6556" s="3" t="s">
        <v>96</v>
      </c>
      <c r="G6556" s="3" t="s">
        <v>29</v>
      </c>
      <c r="H6556" s="2" t="s">
        <v>21</v>
      </c>
      <c r="I6556" s="2" t="s">
        <v>12760</v>
      </c>
      <c r="J6556" s="3" t="str">
        <f>HYPERLINK("https://www.boe.es/gazeta/dias/1821/11/14/pdfs/GMD-1821-325.pdf#page=6","Abrir facsímil")</f>
        <v>Abrir facsímil</v>
      </c>
      <c r="K6556" s="3" t="s">
        <v>23</v>
      </c>
    </row>
    <row r="6557" spans="1:11" ht="42" customHeight="1">
      <c r="A6557" s="2" t="s">
        <v>12761</v>
      </c>
      <c r="B6557" s="2" t="s">
        <v>12762</v>
      </c>
      <c r="C6557" s="2" t="s">
        <v>279</v>
      </c>
      <c r="D6557" s="2" t="s">
        <v>27</v>
      </c>
      <c r="E6557" s="5">
        <v>-28535</v>
      </c>
      <c r="F6557" s="3" t="s">
        <v>96</v>
      </c>
      <c r="G6557" s="3" t="s">
        <v>52</v>
      </c>
      <c r="H6557" s="2" t="s">
        <v>21</v>
      </c>
      <c r="I6557" s="2" t="s">
        <v>12763</v>
      </c>
      <c r="J6557" s="3" t="str">
        <f>HYPERLINK("https://www.boe.es/gazeta/dias/1821/11/14/pdfs/GMD-1821-325.pdf#page=2","Abrir facsímil")</f>
        <v>Abrir facsímil</v>
      </c>
      <c r="K6557" s="3" t="s">
        <v>23</v>
      </c>
    </row>
    <row r="6558" spans="1:11" ht="42" customHeight="1">
      <c r="A6558" s="2" t="s">
        <v>12764</v>
      </c>
      <c r="B6558" s="2" t="s">
        <v>12765</v>
      </c>
      <c r="C6558" s="2" t="s">
        <v>40</v>
      </c>
      <c r="D6558" s="2" t="s">
        <v>41</v>
      </c>
      <c r="E6558" s="5">
        <v>-28731</v>
      </c>
      <c r="F6558" s="3" t="s">
        <v>577</v>
      </c>
      <c r="G6558" s="3" t="s">
        <v>88</v>
      </c>
      <c r="H6558" s="2" t="s">
        <v>21</v>
      </c>
      <c r="I6558" s="2" t="s">
        <v>12766</v>
      </c>
      <c r="J6558" s="3" t="str">
        <f>HYPERLINK("https://www.boe.es/gazeta/dias/1821/05/02/pdfs/GMD-1821-124.pdf#page=4","Abrir facsímil")</f>
        <v>Abrir facsímil</v>
      </c>
      <c r="K6558" s="3" t="s">
        <v>23</v>
      </c>
    </row>
    <row r="6559" spans="1:11" ht="42" customHeight="1">
      <c r="A6559" s="2" t="s">
        <v>12767</v>
      </c>
      <c r="B6559" s="2" t="s">
        <v>12768</v>
      </c>
      <c r="C6559" s="2" t="s">
        <v>40</v>
      </c>
      <c r="D6559" s="2" t="s">
        <v>41</v>
      </c>
      <c r="E6559" s="5">
        <v>-28696</v>
      </c>
      <c r="F6559" s="3" t="s">
        <v>497</v>
      </c>
      <c r="G6559" s="3" t="s">
        <v>43</v>
      </c>
      <c r="H6559" s="2" t="s">
        <v>21</v>
      </c>
      <c r="I6559" s="2" t="s">
        <v>12769</v>
      </c>
      <c r="J6559" s="3" t="str">
        <f>HYPERLINK("https://www.boe.es/gazeta/dias/1821/06/06/pdfs/GMD-1821-159.pdf#page=1","Abrir facsímil")</f>
        <v>Abrir facsímil</v>
      </c>
      <c r="K6559" s="3" t="s">
        <v>23</v>
      </c>
    </row>
    <row r="6560" spans="1:11" ht="42" customHeight="1">
      <c r="A6560" s="2" t="s">
        <v>12770</v>
      </c>
      <c r="B6560" s="2" t="s">
        <v>12771</v>
      </c>
      <c r="C6560" s="2" t="s">
        <v>70</v>
      </c>
      <c r="D6560" s="2" t="s">
        <v>27</v>
      </c>
      <c r="E6560" s="5">
        <v>-28776</v>
      </c>
      <c r="F6560" s="3" t="s">
        <v>312</v>
      </c>
      <c r="G6560" s="3" t="s">
        <v>29</v>
      </c>
      <c r="H6560" s="2" t="s">
        <v>21</v>
      </c>
      <c r="I6560" s="2" t="s">
        <v>12772</v>
      </c>
      <c r="J6560" s="3" t="str">
        <f>HYPERLINK("https://www.boe.es/gazeta/dias/1821/03/18/pdfs/GMD-1821-77.pdf#page=6","Abrir facsímil")</f>
        <v>Abrir facsímil</v>
      </c>
      <c r="K6560" s="3" t="s">
        <v>23</v>
      </c>
    </row>
    <row r="6561" spans="1:11" ht="42" customHeight="1">
      <c r="A6561" s="2" t="s">
        <v>12773</v>
      </c>
      <c r="B6561" s="2" t="s">
        <v>12774</v>
      </c>
      <c r="C6561" s="2" t="s">
        <v>70</v>
      </c>
      <c r="D6561" s="2" t="s">
        <v>27</v>
      </c>
      <c r="E6561" s="5">
        <v>-28784</v>
      </c>
      <c r="F6561" s="3" t="s">
        <v>451</v>
      </c>
      <c r="G6561" s="3" t="s">
        <v>52</v>
      </c>
      <c r="H6561" s="2" t="s">
        <v>21</v>
      </c>
      <c r="I6561" s="2" t="s">
        <v>12775</v>
      </c>
      <c r="J6561" s="3" t="str">
        <f>HYPERLINK("https://www.boe.es/gazeta/dias/1821/03/10/pdfs/GGB-1821-69.pdf#page=2","Abrir facsímil")</f>
        <v>Abrir facsímil</v>
      </c>
      <c r="K6561" s="3" t="s">
        <v>23</v>
      </c>
    </row>
    <row r="6562" spans="1:11" ht="42" customHeight="1">
      <c r="A6562" s="2" t="s">
        <v>12776</v>
      </c>
      <c r="B6562" s="2" t="s">
        <v>12777</v>
      </c>
      <c r="C6562" s="2" t="s">
        <v>114</v>
      </c>
      <c r="D6562" s="2" t="s">
        <v>27</v>
      </c>
      <c r="E6562" s="5">
        <v>-28560</v>
      </c>
      <c r="F6562" s="3" t="s">
        <v>363</v>
      </c>
      <c r="G6562" s="3" t="s">
        <v>162</v>
      </c>
      <c r="H6562" s="2" t="s">
        <v>21</v>
      </c>
      <c r="I6562" s="2" t="s">
        <v>12778</v>
      </c>
      <c r="J6562" s="3" t="str">
        <f>HYPERLINK("https://www.boe.es/gazeta/dias/1821/10/20/pdfs/GMD-1821-299.pdf#page=5","Abrir facsímil")</f>
        <v>Abrir facsímil</v>
      </c>
      <c r="K6562" s="3" t="s">
        <v>23</v>
      </c>
    </row>
    <row r="6563" spans="1:11" ht="42" customHeight="1">
      <c r="A6563" s="2" t="s">
        <v>12779</v>
      </c>
      <c r="B6563" s="2" t="s">
        <v>12780</v>
      </c>
      <c r="C6563" s="2" t="s">
        <v>35</v>
      </c>
      <c r="D6563" s="2" t="s">
        <v>27</v>
      </c>
      <c r="E6563" s="5">
        <v>-28592</v>
      </c>
      <c r="F6563" s="3" t="s">
        <v>518</v>
      </c>
      <c r="G6563" s="3" t="s">
        <v>88</v>
      </c>
      <c r="H6563" s="2" t="s">
        <v>21</v>
      </c>
      <c r="I6563" s="2" t="s">
        <v>12781</v>
      </c>
      <c r="J6563" s="3" t="str">
        <f>HYPERLINK("https://www.boe.es/gazeta/dias/1821/09/18/pdfs/GMD-1821-266.pdf#page=4","Abrir facsímil")</f>
        <v>Abrir facsímil</v>
      </c>
      <c r="K6563" s="3" t="s">
        <v>23</v>
      </c>
    </row>
    <row r="6564" spans="1:11" ht="42" customHeight="1">
      <c r="A6564" s="2" t="s">
        <v>12782</v>
      </c>
      <c r="B6564" s="2" t="s">
        <v>12783</v>
      </c>
      <c r="C6564" s="2" t="s">
        <v>494</v>
      </c>
      <c r="D6564" s="2" t="s">
        <v>18</v>
      </c>
      <c r="E6564" s="5">
        <v>-28673</v>
      </c>
      <c r="F6564" s="3" t="s">
        <v>1069</v>
      </c>
      <c r="G6564" s="3" t="s">
        <v>20</v>
      </c>
      <c r="H6564" s="2" t="s">
        <v>30</v>
      </c>
      <c r="I6564" s="2" t="s">
        <v>12784</v>
      </c>
      <c r="J6564" s="3" t="str">
        <f>HYPERLINK("https://www.boe.es/gazeta/dias/1821/06/29/pdfs/GMD-1821-182.pdf#page=3","Abrir facsímil")</f>
        <v>Abrir facsímil</v>
      </c>
      <c r="K6564" s="3" t="s">
        <v>32</v>
      </c>
    </row>
    <row r="6565" spans="1:11" ht="42" customHeight="1">
      <c r="A6565" s="2" t="s">
        <v>12785</v>
      </c>
      <c r="B6565" s="2" t="s">
        <v>12786</v>
      </c>
      <c r="C6565" s="2" t="s">
        <v>40</v>
      </c>
      <c r="D6565" s="2" t="s">
        <v>41</v>
      </c>
      <c r="E6565" s="5">
        <v>-28813</v>
      </c>
      <c r="F6565" s="3" t="s">
        <v>268</v>
      </c>
      <c r="G6565" s="3" t="s">
        <v>20</v>
      </c>
      <c r="H6565" s="2" t="s">
        <v>21</v>
      </c>
      <c r="I6565" s="2" t="s">
        <v>12787</v>
      </c>
      <c r="J6565" s="3" t="str">
        <f>HYPERLINK("https://www.boe.es/gazeta/dias/1821/02/09/pdfs/GGB-1821-40.pdf#page=3","Abrir facsímil")</f>
        <v>Abrir facsímil</v>
      </c>
      <c r="K6565" s="3" t="s">
        <v>23</v>
      </c>
    </row>
    <row r="6566" spans="1:11" ht="42" customHeight="1">
      <c r="A6566" s="2" t="s">
        <v>12785</v>
      </c>
      <c r="B6566" s="2" t="s">
        <v>12786</v>
      </c>
      <c r="C6566" s="2" t="s">
        <v>40</v>
      </c>
      <c r="D6566" s="2" t="s">
        <v>41</v>
      </c>
      <c r="E6566" s="5">
        <v>-28731</v>
      </c>
      <c r="F6566" s="3" t="s">
        <v>577</v>
      </c>
      <c r="G6566" s="3" t="s">
        <v>88</v>
      </c>
      <c r="H6566" s="2" t="s">
        <v>21</v>
      </c>
      <c r="I6566" s="2" t="s">
        <v>12788</v>
      </c>
      <c r="J6566" s="3" t="str">
        <f>HYPERLINK("https://www.boe.es/gazeta/dias/1821/05/02/pdfs/GMD-1821-124.pdf#page=4","Abrir facsímil")</f>
        <v>Abrir facsímil</v>
      </c>
      <c r="K6566" s="3" t="s">
        <v>23</v>
      </c>
    </row>
    <row r="6567" spans="1:11" ht="42" customHeight="1">
      <c r="A6567" s="2" t="s">
        <v>12785</v>
      </c>
      <c r="B6567" s="2" t="s">
        <v>12786</v>
      </c>
      <c r="C6567" s="2" t="s">
        <v>17</v>
      </c>
      <c r="D6567" s="2" t="s">
        <v>18</v>
      </c>
      <c r="E6567" s="5">
        <v>-28700</v>
      </c>
      <c r="F6567" s="3" t="s">
        <v>701</v>
      </c>
      <c r="G6567" s="3" t="s">
        <v>88</v>
      </c>
      <c r="H6567" s="2" t="s">
        <v>21</v>
      </c>
      <c r="I6567" s="2" t="s">
        <v>12789</v>
      </c>
      <c r="J6567" s="3" t="str">
        <f>HYPERLINK("https://www.boe.es/gazeta/dias/1821/06/02/pdfs/GMD-1821-155.pdf#page=4","Abrir facsímil")</f>
        <v>Abrir facsímil</v>
      </c>
      <c r="K6567" s="3" t="s">
        <v>23</v>
      </c>
    </row>
    <row r="6568" spans="1:11" ht="42" customHeight="1">
      <c r="A6568" s="2" t="s">
        <v>12785</v>
      </c>
      <c r="B6568" s="2" t="s">
        <v>12786</v>
      </c>
      <c r="C6568" s="2" t="s">
        <v>40</v>
      </c>
      <c r="D6568" s="2" t="s">
        <v>41</v>
      </c>
      <c r="E6568" s="5">
        <v>-28662</v>
      </c>
      <c r="F6568" s="3" t="s">
        <v>3289</v>
      </c>
      <c r="G6568" s="3" t="s">
        <v>52</v>
      </c>
      <c r="H6568" s="2" t="s">
        <v>21</v>
      </c>
      <c r="I6568" s="2" t="s">
        <v>12790</v>
      </c>
      <c r="J6568" s="3" t="str">
        <f>HYPERLINK("https://www.boe.es/gazeta/dias/1821/07/10/pdfs/GMD-1821-195.pdf#page=2","Abrir facsímil")</f>
        <v>Abrir facsímil</v>
      </c>
      <c r="K6568" s="3" t="s">
        <v>23</v>
      </c>
    </row>
    <row r="6569" spans="1:11" ht="42" customHeight="1">
      <c r="A6569" s="2" t="s">
        <v>12785</v>
      </c>
      <c r="B6569" s="2" t="s">
        <v>12786</v>
      </c>
      <c r="C6569" s="2" t="s">
        <v>40</v>
      </c>
      <c r="D6569" s="2" t="s">
        <v>41</v>
      </c>
      <c r="E6569" s="5">
        <v>-28642</v>
      </c>
      <c r="F6569" s="3" t="s">
        <v>734</v>
      </c>
      <c r="G6569" s="3" t="s">
        <v>3536</v>
      </c>
      <c r="H6569" s="2" t="s">
        <v>21</v>
      </c>
      <c r="I6569" s="2" t="s">
        <v>12791</v>
      </c>
      <c r="J6569" s="3" t="str">
        <f>HYPERLINK("https://www.boe.es/gazeta/dias/1821/07/30/pdfs/GMD-1821-215.pdf#page=3","Abrir facsímil")</f>
        <v>Abrir facsímil</v>
      </c>
      <c r="K6569" s="3" t="s">
        <v>23</v>
      </c>
    </row>
    <row r="6570" spans="1:11" ht="42" customHeight="1">
      <c r="A6570" s="2" t="s">
        <v>12785</v>
      </c>
      <c r="B6570" s="2" t="s">
        <v>12786</v>
      </c>
      <c r="C6570" s="2" t="s">
        <v>26</v>
      </c>
      <c r="D6570" s="2" t="s">
        <v>27</v>
      </c>
      <c r="E6570" s="5">
        <v>-28617</v>
      </c>
      <c r="F6570" s="3" t="s">
        <v>436</v>
      </c>
      <c r="G6570" s="3" t="s">
        <v>88</v>
      </c>
      <c r="H6570" s="2" t="s">
        <v>21</v>
      </c>
      <c r="I6570" s="2" t="s">
        <v>12792</v>
      </c>
      <c r="J6570" s="3" t="str">
        <f>HYPERLINK("https://www.boe.es/gazeta/dias/1821/08/24/pdfs/GMD-1821-241.pdf#page=4","Abrir facsímil")</f>
        <v>Abrir facsímil</v>
      </c>
      <c r="K6570" s="3" t="s">
        <v>23</v>
      </c>
    </row>
    <row r="6571" spans="1:11" ht="42" customHeight="1">
      <c r="A6571" s="2" t="s">
        <v>12785</v>
      </c>
      <c r="B6571" s="2" t="s">
        <v>12786</v>
      </c>
      <c r="C6571" s="2" t="s">
        <v>114</v>
      </c>
      <c r="D6571" s="2" t="s">
        <v>27</v>
      </c>
      <c r="E6571" s="5">
        <v>-28560</v>
      </c>
      <c r="F6571" s="3" t="s">
        <v>363</v>
      </c>
      <c r="G6571" s="3" t="s">
        <v>162</v>
      </c>
      <c r="H6571" s="2" t="s">
        <v>21</v>
      </c>
      <c r="I6571" s="2" t="s">
        <v>12793</v>
      </c>
      <c r="J6571" s="3" t="str">
        <f>HYPERLINK("https://www.boe.es/gazeta/dias/1821/10/20/pdfs/GMD-1821-299.pdf#page=5","Abrir facsímil")</f>
        <v>Abrir facsímil</v>
      </c>
      <c r="K6571" s="3" t="s">
        <v>23</v>
      </c>
    </row>
    <row r="6572" spans="1:11" ht="42" customHeight="1">
      <c r="A6572" s="2" t="s">
        <v>12785</v>
      </c>
      <c r="B6572" s="2" t="s">
        <v>12786</v>
      </c>
      <c r="C6572" s="2" t="s">
        <v>17</v>
      </c>
      <c r="D6572" s="2" t="s">
        <v>18</v>
      </c>
      <c r="E6572" s="5">
        <v>-28534</v>
      </c>
      <c r="F6572" s="3" t="s">
        <v>414</v>
      </c>
      <c r="G6572" s="3" t="s">
        <v>162</v>
      </c>
      <c r="H6572" s="2" t="s">
        <v>21</v>
      </c>
      <c r="I6572" s="2" t="s">
        <v>12794</v>
      </c>
      <c r="J6572" s="3" t="str">
        <f>HYPERLINK("https://www.boe.es/gazeta/dias/1821/11/15/pdfs/GMD-1821-326.pdf#page=5","Abrir facsímil")</f>
        <v>Abrir facsímil</v>
      </c>
      <c r="K6572" s="3" t="s">
        <v>23</v>
      </c>
    </row>
    <row r="6573" spans="1:11" ht="42" customHeight="1">
      <c r="A6573" s="2" t="s">
        <v>12785</v>
      </c>
      <c r="B6573" s="2" t="s">
        <v>12786</v>
      </c>
      <c r="C6573" s="2" t="s">
        <v>40</v>
      </c>
      <c r="D6573" s="2" t="s">
        <v>41</v>
      </c>
      <c r="E6573" s="5">
        <v>-28492</v>
      </c>
      <c r="F6573" s="3" t="s">
        <v>1550</v>
      </c>
      <c r="G6573" s="3" t="s">
        <v>88</v>
      </c>
      <c r="H6573" s="2" t="s">
        <v>21</v>
      </c>
      <c r="I6573" s="2" t="s">
        <v>12795</v>
      </c>
      <c r="J6573" s="3" t="str">
        <f>HYPERLINK("https://www.boe.es/gazeta/dias/1821/12/27/pdfs/GMD-1821-370.pdf#page=4","Abrir facsímil")</f>
        <v>Abrir facsímil</v>
      </c>
      <c r="K6573" s="3" t="s">
        <v>23</v>
      </c>
    </row>
    <row r="6574" spans="1:11" ht="42" customHeight="1">
      <c r="A6574" s="2" t="s">
        <v>12796</v>
      </c>
      <c r="B6574" s="2" t="s">
        <v>12797</v>
      </c>
      <c r="C6574" s="2" t="s">
        <v>26</v>
      </c>
      <c r="D6574" s="2" t="s">
        <v>27</v>
      </c>
      <c r="E6574" s="5">
        <v>-28702</v>
      </c>
      <c r="F6574" s="3" t="s">
        <v>1176</v>
      </c>
      <c r="G6574" s="3" t="s">
        <v>88</v>
      </c>
      <c r="H6574" s="2" t="s">
        <v>21</v>
      </c>
      <c r="I6574" s="2" t="s">
        <v>12798</v>
      </c>
      <c r="J6574" s="3" t="str">
        <f>HYPERLINK("https://www.boe.es/gazeta/dias/1821/05/31/pdfs/GMD-1821-153.pdf#page=4","Abrir facsímil")</f>
        <v>Abrir facsímil</v>
      </c>
      <c r="K6574" s="3" t="s">
        <v>23</v>
      </c>
    </row>
    <row r="6575" spans="1:11" ht="42" customHeight="1">
      <c r="A6575" s="2" t="s">
        <v>12799</v>
      </c>
      <c r="B6575" s="2" t="s">
        <v>12800</v>
      </c>
      <c r="C6575" s="2" t="s">
        <v>26</v>
      </c>
      <c r="D6575" s="2" t="s">
        <v>27</v>
      </c>
      <c r="E6575" s="5">
        <v>-28776</v>
      </c>
      <c r="F6575" s="3" t="s">
        <v>312</v>
      </c>
      <c r="G6575" s="3" t="s">
        <v>162</v>
      </c>
      <c r="H6575" s="2" t="s">
        <v>21</v>
      </c>
      <c r="I6575" s="2" t="s">
        <v>12801</v>
      </c>
      <c r="J6575" s="3" t="str">
        <f>HYPERLINK("https://www.boe.es/gazeta/dias/1821/03/18/pdfs/GMD-1821-77.pdf#page=5","Abrir facsímil")</f>
        <v>Abrir facsímil</v>
      </c>
      <c r="K6575" s="3" t="s">
        <v>23</v>
      </c>
    </row>
    <row r="6576" spans="1:11" ht="42" customHeight="1">
      <c r="A6576" s="2" t="s">
        <v>12799</v>
      </c>
      <c r="B6576" s="2" t="s">
        <v>12800</v>
      </c>
      <c r="C6576" s="2" t="s">
        <v>17</v>
      </c>
      <c r="D6576" s="2" t="s">
        <v>18</v>
      </c>
      <c r="E6576" s="5">
        <v>-28520</v>
      </c>
      <c r="F6576" s="3" t="s">
        <v>878</v>
      </c>
      <c r="G6576" s="3" t="s">
        <v>88</v>
      </c>
      <c r="H6576" s="2" t="s">
        <v>21</v>
      </c>
      <c r="I6576" s="2" t="s">
        <v>12802</v>
      </c>
      <c r="J6576" s="3" t="str">
        <f>HYPERLINK("https://www.boe.es/gazeta/dias/1821/11/29/pdfs/GMD-1821-341.pdf#page=4","Abrir facsímil")</f>
        <v>Abrir facsímil</v>
      </c>
      <c r="K6576" s="3" t="s">
        <v>23</v>
      </c>
    </row>
    <row r="6577" spans="1:11" ht="42" customHeight="1">
      <c r="A6577" s="2" t="s">
        <v>12803</v>
      </c>
      <c r="B6577" s="2" t="s">
        <v>12804</v>
      </c>
      <c r="C6577" s="2" t="s">
        <v>26</v>
      </c>
      <c r="D6577" s="2" t="s">
        <v>27</v>
      </c>
      <c r="E6577" s="5">
        <v>-28799</v>
      </c>
      <c r="F6577" s="3" t="s">
        <v>3158</v>
      </c>
      <c r="G6577" s="3" t="s">
        <v>20</v>
      </c>
      <c r="H6577" s="2" t="s">
        <v>21</v>
      </c>
      <c r="I6577" s="2" t="s">
        <v>12805</v>
      </c>
      <c r="J6577" s="3" t="str">
        <f>HYPERLINK("https://www.boe.es/gazeta/dias/1821/02/23/pdfs/GGB-1821-54.pdf#page=3","Abrir facsímil")</f>
        <v>Abrir facsímil</v>
      </c>
      <c r="K6577" s="3" t="s">
        <v>23</v>
      </c>
    </row>
    <row r="6578" spans="1:11" ht="42" customHeight="1">
      <c r="A6578" s="2" t="s">
        <v>12806</v>
      </c>
      <c r="B6578" s="2" t="s">
        <v>12807</v>
      </c>
      <c r="C6578" s="2" t="s">
        <v>40</v>
      </c>
      <c r="D6578" s="2" t="s">
        <v>41</v>
      </c>
      <c r="E6578" s="5">
        <v>-28792</v>
      </c>
      <c r="F6578" s="3" t="s">
        <v>2289</v>
      </c>
      <c r="G6578" s="3" t="s">
        <v>2290</v>
      </c>
      <c r="H6578" s="2" t="s">
        <v>21</v>
      </c>
      <c r="I6578" s="2" t="s">
        <v>12808</v>
      </c>
      <c r="J6578" s="3" t="str">
        <f>HYPERLINK("https://www.boe.es/gazeta/dias/1821/03/02/pdfs/GGB-1821-61.pdf#page=2","Abrir facsímil")</f>
        <v>Abrir facsímil</v>
      </c>
      <c r="K6578" s="3" t="s">
        <v>23</v>
      </c>
    </row>
    <row r="6579" spans="1:11" ht="42" customHeight="1">
      <c r="A6579" s="2" t="s">
        <v>12806</v>
      </c>
      <c r="B6579" s="2" t="s">
        <v>12807</v>
      </c>
      <c r="C6579" s="2" t="s">
        <v>17</v>
      </c>
      <c r="D6579" s="2" t="s">
        <v>18</v>
      </c>
      <c r="E6579" s="5">
        <v>-28655</v>
      </c>
      <c r="F6579" s="3" t="s">
        <v>2530</v>
      </c>
      <c r="G6579" s="3" t="s">
        <v>88</v>
      </c>
      <c r="H6579" s="2" t="s">
        <v>21</v>
      </c>
      <c r="I6579" s="2" t="s">
        <v>12809</v>
      </c>
      <c r="J6579" s="3" t="str">
        <f>HYPERLINK("https://www.boe.es/gazeta/dias/1821/07/17/pdfs/GMD-1821-202.pdf#page=4","Abrir facsímil")</f>
        <v>Abrir facsímil</v>
      </c>
      <c r="K6579" s="3" t="s">
        <v>23</v>
      </c>
    </row>
    <row r="6580" spans="1:11" ht="42" customHeight="1">
      <c r="A6580" s="2" t="s">
        <v>12810</v>
      </c>
      <c r="B6580" s="2" t="s">
        <v>12811</v>
      </c>
      <c r="C6580" s="2" t="s">
        <v>40</v>
      </c>
      <c r="D6580" s="2" t="s">
        <v>41</v>
      </c>
      <c r="E6580" s="5">
        <v>-28529</v>
      </c>
      <c r="F6580" s="3" t="s">
        <v>525</v>
      </c>
      <c r="G6580" s="3" t="s">
        <v>88</v>
      </c>
      <c r="H6580" s="2" t="s">
        <v>30</v>
      </c>
      <c r="I6580" s="2" t="s">
        <v>12812</v>
      </c>
      <c r="J6580" s="3" t="str">
        <f>HYPERLINK("https://www.boe.es/gazeta/dias/1821/11/20/pdfs/GMD-1821-331.pdf#page=4","Abrir facsímil")</f>
        <v>Abrir facsímil</v>
      </c>
      <c r="K6580" s="3" t="s">
        <v>32</v>
      </c>
    </row>
    <row r="6581" spans="1:11" ht="42" customHeight="1">
      <c r="A6581" s="2" t="s">
        <v>12813</v>
      </c>
      <c r="B6581" s="2" t="s">
        <v>12813</v>
      </c>
      <c r="C6581" s="2" t="s">
        <v>114</v>
      </c>
      <c r="D6581" s="2" t="s">
        <v>27</v>
      </c>
      <c r="E6581" s="5">
        <v>-28801</v>
      </c>
      <c r="F6581" s="3" t="s">
        <v>378</v>
      </c>
      <c r="G6581" s="3" t="s">
        <v>12814</v>
      </c>
      <c r="H6581" s="2" t="s">
        <v>21</v>
      </c>
      <c r="I6581" s="2" t="s">
        <v>12815</v>
      </c>
      <c r="J6581" s="3" t="str">
        <f>HYPERLINK("https://www.boe.es/gazeta/dias/1821/02/21/pdfs/GGB-1821-52.pdf#page=4","Abrir facsímil")</f>
        <v>Abrir facsímil</v>
      </c>
      <c r="K6581" s="3" t="s">
        <v>23</v>
      </c>
    </row>
    <row r="6582" spans="1:11" ht="42" customHeight="1">
      <c r="A6582" s="2" t="s">
        <v>12816</v>
      </c>
      <c r="B6582" s="2" t="s">
        <v>12817</v>
      </c>
      <c r="C6582" s="2" t="s">
        <v>40</v>
      </c>
      <c r="D6582" s="2" t="s">
        <v>41</v>
      </c>
      <c r="E6582" s="5">
        <v>-28793</v>
      </c>
      <c r="F6582" s="3" t="s">
        <v>157</v>
      </c>
      <c r="G6582" s="3" t="s">
        <v>29</v>
      </c>
      <c r="H6582" s="2" t="s">
        <v>21</v>
      </c>
      <c r="I6582" s="2" t="s">
        <v>12818</v>
      </c>
      <c r="J6582" s="3" t="str">
        <f>HYPERLINK("https://www.boe.es/gazeta/dias/1821/03/01/pdfs/GGB-1821-60.pdf#page=6","Abrir facsímil")</f>
        <v>Abrir facsímil</v>
      </c>
      <c r="K6582" s="3" t="s">
        <v>23</v>
      </c>
    </row>
    <row r="6583" spans="1:11" ht="42" customHeight="1">
      <c r="A6583" s="2" t="s">
        <v>12819</v>
      </c>
      <c r="B6583" s="2" t="s">
        <v>12819</v>
      </c>
      <c r="C6583" s="2" t="s">
        <v>40</v>
      </c>
      <c r="D6583" s="2" t="s">
        <v>41</v>
      </c>
      <c r="E6583" s="5">
        <v>-28775</v>
      </c>
      <c r="F6583" s="3" t="s">
        <v>132</v>
      </c>
      <c r="G6583" s="3" t="s">
        <v>20</v>
      </c>
      <c r="H6583" s="2" t="s">
        <v>21</v>
      </c>
      <c r="I6583" s="2" t="s">
        <v>12820</v>
      </c>
      <c r="J6583" s="3" t="str">
        <f>HYPERLINK("https://www.boe.es/gazeta/dias/1821/03/19/pdfs/GMD-1821-78.pdf#page=3","Abrir facsímil")</f>
        <v>Abrir facsímil</v>
      </c>
      <c r="K6583" s="3" t="s">
        <v>23</v>
      </c>
    </row>
    <row r="6584" spans="1:11" ht="42" customHeight="1">
      <c r="A6584" s="2" t="s">
        <v>12819</v>
      </c>
      <c r="B6584" s="2" t="s">
        <v>12819</v>
      </c>
      <c r="C6584" s="2" t="s">
        <v>17</v>
      </c>
      <c r="D6584" s="2" t="s">
        <v>18</v>
      </c>
      <c r="E6584" s="5">
        <v>-28626</v>
      </c>
      <c r="F6584" s="3" t="s">
        <v>468</v>
      </c>
      <c r="G6584" s="3" t="s">
        <v>88</v>
      </c>
      <c r="H6584" s="2" t="s">
        <v>21</v>
      </c>
      <c r="I6584" s="2" t="s">
        <v>12821</v>
      </c>
      <c r="J6584" s="3" t="str">
        <f>HYPERLINK("https://www.boe.es/gazeta/dias/1821/08/15/pdfs/GMD-1821-232.pdf#page=4","Abrir facsímil")</f>
        <v>Abrir facsímil</v>
      </c>
      <c r="K6584" s="3" t="s">
        <v>23</v>
      </c>
    </row>
    <row r="6585" spans="1:11" ht="42" customHeight="1">
      <c r="A6585" s="2" t="s">
        <v>12822</v>
      </c>
      <c r="B6585" s="2" t="s">
        <v>12823</v>
      </c>
      <c r="C6585" s="2" t="s">
        <v>174</v>
      </c>
      <c r="D6585" s="2" t="s">
        <v>27</v>
      </c>
      <c r="E6585" s="5">
        <v>-28849</v>
      </c>
      <c r="F6585" s="3" t="s">
        <v>1989</v>
      </c>
      <c r="G6585" s="3" t="s">
        <v>88</v>
      </c>
      <c r="H6585" s="2" t="s">
        <v>21</v>
      </c>
      <c r="I6585" s="2" t="s">
        <v>12824</v>
      </c>
      <c r="J6585" s="3" t="str">
        <f>HYPERLINK("https://www.boe.es/gazeta/dias/1821/01/04/pdfs/GGB-1821-4.pdf#page=4","Abrir facsímil")</f>
        <v>Abrir facsímil</v>
      </c>
      <c r="K6585" s="3" t="s">
        <v>23</v>
      </c>
    </row>
    <row r="6586" spans="1:11" ht="42" customHeight="1">
      <c r="A6586" s="2" t="s">
        <v>12825</v>
      </c>
      <c r="B6586" s="2" t="s">
        <v>12826</v>
      </c>
      <c r="C6586" s="2" t="s">
        <v>174</v>
      </c>
      <c r="D6586" s="2" t="s">
        <v>27</v>
      </c>
      <c r="E6586" s="5">
        <v>-28778</v>
      </c>
      <c r="F6586" s="3" t="s">
        <v>1301</v>
      </c>
      <c r="G6586" s="3" t="s">
        <v>29</v>
      </c>
      <c r="H6586" s="2" t="s">
        <v>21</v>
      </c>
      <c r="I6586" s="2" t="s">
        <v>12827</v>
      </c>
      <c r="J6586" s="3" t="str">
        <f>HYPERLINK("https://www.boe.es/gazeta/dias/1821/03/16/pdfs/GMD-1821-75.pdf#page=6","Abrir facsímil")</f>
        <v>Abrir facsímil</v>
      </c>
      <c r="K6586" s="3" t="s">
        <v>23</v>
      </c>
    </row>
    <row r="6587" spans="1:11" ht="42" customHeight="1">
      <c r="A6587" s="2" t="s">
        <v>12828</v>
      </c>
      <c r="B6587" s="2" t="s">
        <v>12829</v>
      </c>
      <c r="C6587" s="2" t="s">
        <v>35</v>
      </c>
      <c r="D6587" s="2" t="s">
        <v>27</v>
      </c>
      <c r="E6587" s="5">
        <v>-28630</v>
      </c>
      <c r="F6587" s="3" t="s">
        <v>616</v>
      </c>
      <c r="G6587" s="3" t="s">
        <v>88</v>
      </c>
      <c r="H6587" s="2" t="s">
        <v>21</v>
      </c>
      <c r="I6587" s="2" t="s">
        <v>12830</v>
      </c>
      <c r="J6587" s="3" t="str">
        <f>HYPERLINK("https://www.boe.es/gazeta/dias/1821/08/11/pdfs/GMD-1821-228.pdf#page=4","Abrir facsímil")</f>
        <v>Abrir facsímil</v>
      </c>
      <c r="K6587" s="3" t="s">
        <v>23</v>
      </c>
    </row>
    <row r="6588" spans="1:11" ht="42" customHeight="1">
      <c r="A6588" s="2" t="s">
        <v>12831</v>
      </c>
      <c r="B6588" s="2" t="s">
        <v>12831</v>
      </c>
      <c r="C6588" s="2" t="s">
        <v>35</v>
      </c>
      <c r="D6588" s="2" t="s">
        <v>27</v>
      </c>
      <c r="E6588" s="5">
        <v>-28825</v>
      </c>
      <c r="F6588" s="3" t="s">
        <v>1199</v>
      </c>
      <c r="G6588" s="3" t="s">
        <v>88</v>
      </c>
      <c r="H6588" s="2" t="s">
        <v>21</v>
      </c>
      <c r="I6588" s="2" t="s">
        <v>12832</v>
      </c>
      <c r="J6588" s="3" t="str">
        <f>HYPERLINK("https://www.boe.es/gazeta/dias/1821/01/28/pdfs/GGB-1821-28.pdf#page=4","Abrir facsímil")</f>
        <v>Abrir facsímil</v>
      </c>
      <c r="K6588" s="3" t="s">
        <v>23</v>
      </c>
    </row>
    <row r="6589" spans="1:11" ht="42" customHeight="1">
      <c r="A6589" s="2" t="s">
        <v>12833</v>
      </c>
      <c r="B6589" s="2" t="s">
        <v>12833</v>
      </c>
      <c r="C6589" s="2" t="s">
        <v>17</v>
      </c>
      <c r="D6589" s="2" t="s">
        <v>18</v>
      </c>
      <c r="E6589" s="5">
        <v>-28790</v>
      </c>
      <c r="F6589" s="3" t="s">
        <v>991</v>
      </c>
      <c r="G6589" s="3" t="s">
        <v>88</v>
      </c>
      <c r="H6589" s="2" t="s">
        <v>21</v>
      </c>
      <c r="I6589" s="2" t="s">
        <v>12834</v>
      </c>
      <c r="J6589" s="3" t="str">
        <f>HYPERLINK("https://www.boe.es/gazeta/dias/1821/03/04/pdfs/GGB-1821-63.pdf#page=4","Abrir facsímil")</f>
        <v>Abrir facsímil</v>
      </c>
      <c r="K6589" s="3" t="s">
        <v>23</v>
      </c>
    </row>
    <row r="6590" spans="1:11" ht="42" customHeight="1">
      <c r="A6590" s="2" t="s">
        <v>12835</v>
      </c>
      <c r="B6590" s="2" t="s">
        <v>12836</v>
      </c>
      <c r="C6590" s="2" t="s">
        <v>17</v>
      </c>
      <c r="D6590" s="2" t="s">
        <v>18</v>
      </c>
      <c r="E6590" s="5">
        <v>-28786</v>
      </c>
      <c r="F6590" s="3" t="s">
        <v>1933</v>
      </c>
      <c r="G6590" s="3" t="s">
        <v>88</v>
      </c>
      <c r="H6590" s="2" t="s">
        <v>21</v>
      </c>
      <c r="I6590" s="2" t="s">
        <v>12837</v>
      </c>
      <c r="J6590" s="3" t="str">
        <f>HYPERLINK("https://www.boe.es/gazeta/dias/1821/03/08/pdfs/GGB-1821-67.pdf#page=4","Abrir facsímil")</f>
        <v>Abrir facsímil</v>
      </c>
      <c r="K6590" s="3" t="s">
        <v>23</v>
      </c>
    </row>
    <row r="6591" spans="1:11" ht="42" customHeight="1">
      <c r="A6591" s="2" t="s">
        <v>12838</v>
      </c>
      <c r="B6591" s="2" t="s">
        <v>12839</v>
      </c>
      <c r="C6591" s="2" t="s">
        <v>17</v>
      </c>
      <c r="D6591" s="2" t="s">
        <v>18</v>
      </c>
      <c r="E6591" s="5">
        <v>-28685</v>
      </c>
      <c r="F6591" s="3" t="s">
        <v>303</v>
      </c>
      <c r="G6591" s="3" t="s">
        <v>52</v>
      </c>
      <c r="H6591" s="2" t="s">
        <v>30</v>
      </c>
      <c r="I6591" s="2" t="s">
        <v>12840</v>
      </c>
      <c r="J6591" s="3" t="str">
        <f>HYPERLINK("https://www.boe.es/gazeta/dias/1821/06/17/pdfs/GMD-1821-170.pdf#page=2","Abrir facsímil")</f>
        <v>Abrir facsímil</v>
      </c>
      <c r="K6591" s="3" t="s">
        <v>32</v>
      </c>
    </row>
    <row r="6592" spans="1:11" ht="42" customHeight="1">
      <c r="A6592" s="2" t="s">
        <v>12841</v>
      </c>
      <c r="B6592" s="2" t="s">
        <v>12841</v>
      </c>
      <c r="C6592" s="2" t="s">
        <v>35</v>
      </c>
      <c r="D6592" s="2" t="s">
        <v>27</v>
      </c>
      <c r="E6592" s="5">
        <v>-28787</v>
      </c>
      <c r="F6592" s="3" t="s">
        <v>486</v>
      </c>
      <c r="G6592" s="3" t="s">
        <v>52</v>
      </c>
      <c r="H6592" s="2" t="s">
        <v>21</v>
      </c>
      <c r="I6592" s="2" t="s">
        <v>12842</v>
      </c>
      <c r="J6592" s="3" t="str">
        <f>HYPERLINK("https://www.boe.es/gazeta/dias/1821/03/07/pdfs/GGB-1821-66.pdf#page=2","Abrir facsímil")</f>
        <v>Abrir facsímil</v>
      </c>
      <c r="K6592" s="3" t="s">
        <v>23</v>
      </c>
    </row>
    <row r="6593" spans="1:11" ht="42" customHeight="1">
      <c r="A6593" s="2" t="s">
        <v>12843</v>
      </c>
      <c r="B6593" s="2" t="s">
        <v>12844</v>
      </c>
      <c r="C6593" s="2" t="s">
        <v>26</v>
      </c>
      <c r="D6593" s="2" t="s">
        <v>27</v>
      </c>
      <c r="E6593" s="5">
        <v>-28551</v>
      </c>
      <c r="F6593" s="3" t="s">
        <v>542</v>
      </c>
      <c r="G6593" s="3" t="s">
        <v>543</v>
      </c>
      <c r="H6593" s="2" t="s">
        <v>21</v>
      </c>
      <c r="I6593" s="2" t="s">
        <v>12845</v>
      </c>
      <c r="J6593" s="3" t="str">
        <f>HYPERLINK("https://www.boe.es/gazeta/dias/1821/10/29/pdfs/GMD-1821-308.pdf#page=3","Abrir facsímil")</f>
        <v>Abrir facsímil</v>
      </c>
      <c r="K6593" s="3" t="s">
        <v>23</v>
      </c>
    </row>
    <row r="6594" spans="1:11" ht="42" customHeight="1">
      <c r="A6594" s="2" t="s">
        <v>12846</v>
      </c>
      <c r="B6594" s="2" t="s">
        <v>12847</v>
      </c>
      <c r="C6594" s="2" t="s">
        <v>40</v>
      </c>
      <c r="D6594" s="2" t="s">
        <v>41</v>
      </c>
      <c r="E6594" s="5">
        <v>-28692</v>
      </c>
      <c r="F6594" s="3" t="s">
        <v>3807</v>
      </c>
      <c r="G6594" s="3" t="s">
        <v>52</v>
      </c>
      <c r="H6594" s="2" t="s">
        <v>21</v>
      </c>
      <c r="I6594" s="2" t="s">
        <v>12848</v>
      </c>
      <c r="J6594" s="3" t="str">
        <f>HYPERLINK("https://www.boe.es/gazeta/dias/1821/06/10/pdfs/GMD-1821-163.pdf#page=2","Abrir facsímil")</f>
        <v>Abrir facsímil</v>
      </c>
      <c r="K6594" s="3" t="s">
        <v>23</v>
      </c>
    </row>
    <row r="6595" spans="1:11" ht="42" customHeight="1">
      <c r="A6595" s="2" t="s">
        <v>12849</v>
      </c>
      <c r="B6595" s="2" t="s">
        <v>12850</v>
      </c>
      <c r="C6595" s="2" t="s">
        <v>35</v>
      </c>
      <c r="D6595" s="2" t="s">
        <v>27</v>
      </c>
      <c r="E6595" s="5">
        <v>-28706</v>
      </c>
      <c r="F6595" s="3" t="s">
        <v>4791</v>
      </c>
      <c r="G6595" s="3" t="s">
        <v>52</v>
      </c>
      <c r="H6595" s="2" t="s">
        <v>21</v>
      </c>
      <c r="I6595" s="2" t="s">
        <v>12851</v>
      </c>
      <c r="J6595" s="3" t="str">
        <f>HYPERLINK("https://www.boe.es/gazeta/dias/1821/05/27/pdfs/GMD-1821-149.pdf#page=2","Abrir facsímil")</f>
        <v>Abrir facsímil</v>
      </c>
      <c r="K6595" s="3" t="s">
        <v>23</v>
      </c>
    </row>
    <row r="6596" spans="1:11" ht="42" customHeight="1">
      <c r="A6596" s="2" t="s">
        <v>12852</v>
      </c>
      <c r="B6596" s="2" t="s">
        <v>12853</v>
      </c>
      <c r="C6596" s="2" t="s">
        <v>114</v>
      </c>
      <c r="D6596" s="2" t="s">
        <v>27</v>
      </c>
      <c r="E6596" s="5">
        <v>-28667</v>
      </c>
      <c r="F6596" s="3" t="s">
        <v>107</v>
      </c>
      <c r="G6596" s="3" t="s">
        <v>52</v>
      </c>
      <c r="H6596" s="2" t="s">
        <v>21</v>
      </c>
      <c r="I6596" s="2" t="s">
        <v>12854</v>
      </c>
      <c r="J6596" s="3" t="str">
        <f>HYPERLINK("https://www.boe.es/gazeta/dias/1821/07/05/pdfs/GMD-1821-189.pdf#page=2","Abrir facsímil")</f>
        <v>Abrir facsímil</v>
      </c>
      <c r="K6596" s="3" t="s">
        <v>23</v>
      </c>
    </row>
    <row r="6597" spans="1:11" ht="42" customHeight="1">
      <c r="A6597" s="2" t="s">
        <v>12855</v>
      </c>
      <c r="B6597" s="2" t="s">
        <v>12856</v>
      </c>
      <c r="C6597" s="2" t="s">
        <v>40</v>
      </c>
      <c r="D6597" s="2" t="s">
        <v>41</v>
      </c>
      <c r="E6597" s="5">
        <v>-28776</v>
      </c>
      <c r="F6597" s="3" t="s">
        <v>312</v>
      </c>
      <c r="G6597" s="3" t="s">
        <v>88</v>
      </c>
      <c r="H6597" s="2" t="s">
        <v>21</v>
      </c>
      <c r="I6597" s="2" t="s">
        <v>12857</v>
      </c>
      <c r="J6597" s="3" t="str">
        <f>HYPERLINK("https://www.boe.es/gazeta/dias/1821/03/18/pdfs/GMD-1821-77.pdf#page=4","Abrir facsímil")</f>
        <v>Abrir facsímil</v>
      </c>
      <c r="K6597" s="3" t="s">
        <v>23</v>
      </c>
    </row>
    <row r="6598" spans="1:11" ht="42" customHeight="1">
      <c r="A6598" s="2" t="s">
        <v>12855</v>
      </c>
      <c r="B6598" s="2" t="s">
        <v>12856</v>
      </c>
      <c r="C6598" s="2" t="s">
        <v>35</v>
      </c>
      <c r="D6598" s="2" t="s">
        <v>27</v>
      </c>
      <c r="E6598" s="5">
        <v>-28748</v>
      </c>
      <c r="F6598" s="3" t="s">
        <v>634</v>
      </c>
      <c r="G6598" s="3" t="s">
        <v>52</v>
      </c>
      <c r="H6598" s="2" t="s">
        <v>21</v>
      </c>
      <c r="I6598" s="2" t="s">
        <v>12858</v>
      </c>
      <c r="J6598" s="3" t="str">
        <f>HYPERLINK("https://www.boe.es/gazeta/dias/1821/04/15/pdfs/GMD-1821-107.pdf#page=2","Abrir facsímil")</f>
        <v>Abrir facsímil</v>
      </c>
      <c r="K6598" s="3" t="s">
        <v>23</v>
      </c>
    </row>
    <row r="6599" spans="1:11" ht="42" customHeight="1">
      <c r="A6599" s="2" t="s">
        <v>12855</v>
      </c>
      <c r="B6599" s="2" t="s">
        <v>12856</v>
      </c>
      <c r="C6599" s="2" t="s">
        <v>494</v>
      </c>
      <c r="D6599" s="2" t="s">
        <v>18</v>
      </c>
      <c r="E6599" s="5">
        <v>-28707</v>
      </c>
      <c r="F6599" s="3" t="s">
        <v>495</v>
      </c>
      <c r="G6599" s="3" t="s">
        <v>52</v>
      </c>
      <c r="H6599" s="2" t="s">
        <v>21</v>
      </c>
      <c r="I6599" s="2" t="s">
        <v>12859</v>
      </c>
      <c r="J6599" s="3" t="str">
        <f>HYPERLINK("https://www.boe.es/gazeta/dias/1821/05/26/pdfs/GMD-1821-148.pdf#page=2","Abrir facsímil")</f>
        <v>Abrir facsímil</v>
      </c>
      <c r="K6599" s="3" t="s">
        <v>23</v>
      </c>
    </row>
    <row r="6600" spans="1:11" ht="42" customHeight="1">
      <c r="A6600" s="2" t="s">
        <v>12855</v>
      </c>
      <c r="B6600" s="2" t="s">
        <v>12856</v>
      </c>
      <c r="C6600" s="2" t="s">
        <v>40</v>
      </c>
      <c r="D6600" s="2" t="s">
        <v>41</v>
      </c>
      <c r="E6600" s="5">
        <v>-28671</v>
      </c>
      <c r="F6600" s="3" t="s">
        <v>5059</v>
      </c>
      <c r="G6600" s="3" t="s">
        <v>52</v>
      </c>
      <c r="H6600" s="2" t="s">
        <v>21</v>
      </c>
      <c r="I6600" s="2" t="s">
        <v>12860</v>
      </c>
      <c r="J6600" s="3" t="str">
        <f>HYPERLINK("https://www.boe.es/gazeta/dias/1821/07/01/pdfs/GMD-1821-185.pdf#page=2","Abrir facsímil")</f>
        <v>Abrir facsímil</v>
      </c>
      <c r="K6600" s="3" t="s">
        <v>23</v>
      </c>
    </row>
    <row r="6601" spans="1:11" ht="42" customHeight="1">
      <c r="A6601" s="2" t="s">
        <v>12861</v>
      </c>
      <c r="B6601" s="2" t="s">
        <v>12862</v>
      </c>
      <c r="C6601" s="2" t="s">
        <v>26</v>
      </c>
      <c r="D6601" s="2" t="s">
        <v>27</v>
      </c>
      <c r="E6601" s="5">
        <v>-28573</v>
      </c>
      <c r="F6601" s="3" t="s">
        <v>19</v>
      </c>
      <c r="G6601" s="3" t="s">
        <v>52</v>
      </c>
      <c r="H6601" s="2" t="s">
        <v>21</v>
      </c>
      <c r="I6601" s="2" t="s">
        <v>12863</v>
      </c>
      <c r="J6601" s="3" t="str">
        <f>HYPERLINK("https://www.boe.es/gazeta/dias/1821/10/07/pdfs/GMD-1821-286.pdf#page=2","Abrir facsímil")</f>
        <v>Abrir facsímil</v>
      </c>
      <c r="K6601" s="3" t="s">
        <v>23</v>
      </c>
    </row>
    <row r="6602" spans="1:11" ht="42" customHeight="1">
      <c r="A6602" s="2" t="s">
        <v>12855</v>
      </c>
      <c r="B6602" s="2" t="s">
        <v>12856</v>
      </c>
      <c r="C6602" s="2" t="s">
        <v>114</v>
      </c>
      <c r="D6602" s="2" t="s">
        <v>27</v>
      </c>
      <c r="E6602" s="5">
        <v>-28539</v>
      </c>
      <c r="F6602" s="3" t="s">
        <v>153</v>
      </c>
      <c r="G6602" s="3" t="s">
        <v>162</v>
      </c>
      <c r="H6602" s="2" t="s">
        <v>21</v>
      </c>
      <c r="I6602" s="2" t="s">
        <v>12864</v>
      </c>
      <c r="J6602" s="3" t="str">
        <f>HYPERLINK("https://www.boe.es/gazeta/dias/1821/11/10/pdfs/GMD-1821-321.pdf#page=5","Abrir facsímil")</f>
        <v>Abrir facsímil</v>
      </c>
      <c r="K6602" s="3" t="s">
        <v>23</v>
      </c>
    </row>
    <row r="6603" spans="1:11" ht="42" customHeight="1">
      <c r="A6603" s="2" t="s">
        <v>12855</v>
      </c>
      <c r="B6603" s="2" t="s">
        <v>12856</v>
      </c>
      <c r="C6603" s="2" t="s">
        <v>70</v>
      </c>
      <c r="D6603" s="2" t="s">
        <v>27</v>
      </c>
      <c r="E6603" s="5">
        <v>-28526</v>
      </c>
      <c r="F6603" s="3" t="s">
        <v>223</v>
      </c>
      <c r="G6603" s="3" t="s">
        <v>1251</v>
      </c>
      <c r="H6603" s="2" t="s">
        <v>21</v>
      </c>
      <c r="I6603" s="2" t="s">
        <v>12865</v>
      </c>
      <c r="J6603" s="3" t="str">
        <f>HYPERLINK("https://www.boe.es/gazeta/dias/1821/11/23/pdfs/GMD-1821-334.pdf#page=3","Abrir facsímil")</f>
        <v>Abrir facsímil</v>
      </c>
      <c r="K6603" s="3" t="s">
        <v>23</v>
      </c>
    </row>
    <row r="6604" spans="1:11" ht="42" customHeight="1">
      <c r="A6604" s="2" t="s">
        <v>12855</v>
      </c>
      <c r="B6604" s="2" t="s">
        <v>12856</v>
      </c>
      <c r="C6604" s="2" t="s">
        <v>26</v>
      </c>
      <c r="D6604" s="2" t="s">
        <v>27</v>
      </c>
      <c r="E6604" s="5">
        <v>-28517</v>
      </c>
      <c r="F6604" s="3" t="s">
        <v>563</v>
      </c>
      <c r="G6604" s="3" t="s">
        <v>20</v>
      </c>
      <c r="H6604" s="2" t="s">
        <v>21</v>
      </c>
      <c r="I6604" s="2" t="s">
        <v>12866</v>
      </c>
      <c r="J6604" s="3" t="str">
        <f>HYPERLINK("https://www.boe.es/gazeta/dias/1821/12/02/pdfs/GMD-1821-344.pdf#page=3","Abrir facsímil")</f>
        <v>Abrir facsímil</v>
      </c>
      <c r="K6604" s="3" t="s">
        <v>23</v>
      </c>
    </row>
    <row r="6605" spans="1:11" ht="42" customHeight="1">
      <c r="A6605" s="2" t="s">
        <v>12867</v>
      </c>
      <c r="B6605" s="2" t="s">
        <v>12868</v>
      </c>
      <c r="C6605" s="2" t="s">
        <v>35</v>
      </c>
      <c r="D6605" s="2" t="s">
        <v>27</v>
      </c>
      <c r="E6605" s="5">
        <v>-28541</v>
      </c>
      <c r="F6605" s="3" t="s">
        <v>275</v>
      </c>
      <c r="G6605" s="3" t="s">
        <v>52</v>
      </c>
      <c r="H6605" s="2" t="s">
        <v>21</v>
      </c>
      <c r="I6605" s="2" t="s">
        <v>12869</v>
      </c>
      <c r="J6605" s="3" t="str">
        <f>HYPERLINK("https://www.boe.es/gazeta/dias/1821/11/08/pdfs/GMD-1821-319.pdf#page=2","Abrir facsímil")</f>
        <v>Abrir facsímil</v>
      </c>
      <c r="K6605" s="3" t="s">
        <v>23</v>
      </c>
    </row>
    <row r="6606" spans="1:11" ht="42" customHeight="1">
      <c r="A6606" s="2" t="s">
        <v>12870</v>
      </c>
      <c r="B6606" s="2" t="s">
        <v>12870</v>
      </c>
      <c r="C6606" s="2" t="s">
        <v>35</v>
      </c>
      <c r="D6606" s="2" t="s">
        <v>27</v>
      </c>
      <c r="E6606" s="5">
        <v>-28756</v>
      </c>
      <c r="F6606" s="3" t="s">
        <v>3145</v>
      </c>
      <c r="G6606" s="3" t="s">
        <v>7553</v>
      </c>
      <c r="H6606" s="2" t="s">
        <v>21</v>
      </c>
      <c r="I6606" s="2" t="s">
        <v>12871</v>
      </c>
      <c r="J6606" s="3" t="str">
        <f>HYPERLINK("https://www.boe.es/gazeta/dias/1821/04/07/pdfs/GMD-1821-99.pdf#page=4","Abrir facsímil")</f>
        <v>Abrir facsímil</v>
      </c>
      <c r="K6606" s="3" t="s">
        <v>23</v>
      </c>
    </row>
    <row r="6607" spans="1:11" ht="42" customHeight="1">
      <c r="A6607" s="2" t="s">
        <v>12870</v>
      </c>
      <c r="B6607" s="2" t="s">
        <v>12870</v>
      </c>
      <c r="C6607" s="2" t="s">
        <v>40</v>
      </c>
      <c r="D6607" s="2" t="s">
        <v>41</v>
      </c>
      <c r="E6607" s="5">
        <v>-28756</v>
      </c>
      <c r="F6607" s="3" t="s">
        <v>3145</v>
      </c>
      <c r="G6607" s="3" t="s">
        <v>20</v>
      </c>
      <c r="H6607" s="2" t="s">
        <v>21</v>
      </c>
      <c r="I6607" s="2" t="s">
        <v>12872</v>
      </c>
      <c r="J6607" s="3" t="str">
        <f>HYPERLINK("https://www.boe.es/gazeta/dias/1821/04/07/pdfs/GMD-1821-99.pdf#page=3","Abrir facsímil")</f>
        <v>Abrir facsímil</v>
      </c>
      <c r="K6607" s="3" t="s">
        <v>23</v>
      </c>
    </row>
    <row r="6608" spans="1:11" ht="42" customHeight="1">
      <c r="A6608" s="2" t="s">
        <v>12870</v>
      </c>
      <c r="B6608" s="2" t="s">
        <v>12870</v>
      </c>
      <c r="C6608" s="2" t="s">
        <v>40</v>
      </c>
      <c r="D6608" s="2" t="s">
        <v>41</v>
      </c>
      <c r="E6608" s="5">
        <v>-28755</v>
      </c>
      <c r="F6608" s="3" t="s">
        <v>906</v>
      </c>
      <c r="G6608" s="3" t="s">
        <v>20</v>
      </c>
      <c r="H6608" s="2" t="s">
        <v>21</v>
      </c>
      <c r="I6608" s="2" t="s">
        <v>12873</v>
      </c>
      <c r="J6608" s="3" t="str">
        <f>HYPERLINK("https://www.boe.es/gazeta/dias/1821/04/08/pdfs/GMD-1821-100.pdf#page=3","Abrir facsímil")</f>
        <v>Abrir facsímil</v>
      </c>
      <c r="K6608" s="3" t="s">
        <v>23</v>
      </c>
    </row>
    <row r="6609" spans="1:11" ht="42" customHeight="1">
      <c r="A6609" s="2" t="s">
        <v>12870</v>
      </c>
      <c r="B6609" s="2" t="s">
        <v>12870</v>
      </c>
      <c r="C6609" s="2" t="s">
        <v>35</v>
      </c>
      <c r="D6609" s="2" t="s">
        <v>27</v>
      </c>
      <c r="E6609" s="5">
        <v>-28747</v>
      </c>
      <c r="F6609" s="3" t="s">
        <v>1016</v>
      </c>
      <c r="G6609" s="3" t="s">
        <v>43</v>
      </c>
      <c r="H6609" s="2" t="s">
        <v>21</v>
      </c>
      <c r="I6609" s="2" t="s">
        <v>12874</v>
      </c>
      <c r="J6609" s="3" t="str">
        <f>HYPERLINK("https://www.boe.es/gazeta/dias/1821/04/16/pdfs/GMD-1821-108.pdf#page=1","Abrir facsímil")</f>
        <v>Abrir facsímil</v>
      </c>
      <c r="K6609" s="3" t="s">
        <v>23</v>
      </c>
    </row>
    <row r="6610" spans="1:11" ht="42" customHeight="1">
      <c r="A6610" s="2" t="s">
        <v>12870</v>
      </c>
      <c r="B6610" s="2" t="s">
        <v>12870</v>
      </c>
      <c r="C6610" s="2" t="s">
        <v>70</v>
      </c>
      <c r="D6610" s="2" t="s">
        <v>27</v>
      </c>
      <c r="E6610" s="5">
        <v>-28732</v>
      </c>
      <c r="F6610" s="3" t="s">
        <v>2628</v>
      </c>
      <c r="G6610" s="3" t="s">
        <v>52</v>
      </c>
      <c r="H6610" s="2" t="s">
        <v>21</v>
      </c>
      <c r="I6610" s="2" t="s">
        <v>12875</v>
      </c>
      <c r="J6610" s="3" t="str">
        <f>HYPERLINK("https://www.boe.es/gazeta/dias/1821/05/01/pdfs/GMD-1821-123.pdf#page=2","Abrir facsímil")</f>
        <v>Abrir facsímil</v>
      </c>
      <c r="K6610" s="3" t="s">
        <v>23</v>
      </c>
    </row>
    <row r="6611" spans="1:11" ht="42" customHeight="1">
      <c r="A6611" s="2" t="s">
        <v>12870</v>
      </c>
      <c r="B6611" s="2" t="s">
        <v>12870</v>
      </c>
      <c r="C6611" s="2" t="s">
        <v>17</v>
      </c>
      <c r="D6611" s="2" t="s">
        <v>18</v>
      </c>
      <c r="E6611" s="5">
        <v>-28722</v>
      </c>
      <c r="F6611" s="3" t="s">
        <v>623</v>
      </c>
      <c r="G6611" s="3" t="s">
        <v>20</v>
      </c>
      <c r="H6611" s="2" t="s">
        <v>21</v>
      </c>
      <c r="I6611" s="2" t="s">
        <v>12876</v>
      </c>
      <c r="J6611" s="3" t="str">
        <f>HYPERLINK("https://www.boe.es/gazeta/dias/1821/05/11/pdfs/GMD-1821-133.pdf#page=3","Abrir facsímil")</f>
        <v>Abrir facsímil</v>
      </c>
      <c r="K6611" s="3" t="s">
        <v>23</v>
      </c>
    </row>
    <row r="6612" spans="1:11" ht="42" customHeight="1">
      <c r="A6612" s="2" t="s">
        <v>12877</v>
      </c>
      <c r="B6612" s="2" t="s">
        <v>12878</v>
      </c>
      <c r="C6612" s="2" t="s">
        <v>17</v>
      </c>
      <c r="D6612" s="2" t="s">
        <v>18</v>
      </c>
      <c r="E6612" s="5">
        <v>-28766</v>
      </c>
      <c r="F6612" s="3" t="s">
        <v>1481</v>
      </c>
      <c r="G6612" s="3" t="s">
        <v>88</v>
      </c>
      <c r="H6612" s="2" t="s">
        <v>21</v>
      </c>
      <c r="I6612" s="2" t="s">
        <v>12879</v>
      </c>
      <c r="J6612" s="3" t="str">
        <f>HYPERLINK("https://www.boe.es/gazeta/dias/1821/03/28/pdfs/GMD-1821-88.pdf#page=4","Abrir facsímil")</f>
        <v>Abrir facsímil</v>
      </c>
      <c r="K6612" s="3" t="s">
        <v>23</v>
      </c>
    </row>
    <row r="6613" spans="1:11" ht="42" customHeight="1">
      <c r="A6613" s="2" t="s">
        <v>12880</v>
      </c>
      <c r="B6613" s="2" t="s">
        <v>12881</v>
      </c>
      <c r="C6613" s="2" t="s">
        <v>40</v>
      </c>
      <c r="D6613" s="2" t="s">
        <v>41</v>
      </c>
      <c r="E6613" s="5">
        <v>-28762</v>
      </c>
      <c r="F6613" s="3" t="s">
        <v>608</v>
      </c>
      <c r="G6613" s="3" t="s">
        <v>333</v>
      </c>
      <c r="H6613" s="2" t="s">
        <v>21</v>
      </c>
      <c r="I6613" s="2" t="s">
        <v>12882</v>
      </c>
      <c r="J6613" s="3" t="str">
        <f>HYPERLINK("https://www.boe.es/gazeta/dias/1821/04/01/pdfs/GMD-1821-93.pdf#page=8","Abrir facsímil")</f>
        <v>Abrir facsímil</v>
      </c>
      <c r="K6613" s="3" t="s">
        <v>23</v>
      </c>
    </row>
    <row r="6614" spans="1:11" ht="42" customHeight="1">
      <c r="A6614" s="2" t="s">
        <v>12883</v>
      </c>
      <c r="B6614" s="2" t="s">
        <v>12884</v>
      </c>
      <c r="C6614" s="2" t="s">
        <v>17</v>
      </c>
      <c r="D6614" s="2" t="s">
        <v>18</v>
      </c>
      <c r="E6614" s="5">
        <v>-28673</v>
      </c>
      <c r="F6614" s="3" t="s">
        <v>1069</v>
      </c>
      <c r="G6614" s="3" t="s">
        <v>20</v>
      </c>
      <c r="H6614" s="2" t="s">
        <v>21</v>
      </c>
      <c r="I6614" s="2" t="s">
        <v>12885</v>
      </c>
      <c r="J6614" s="3" t="str">
        <f>HYPERLINK("https://www.boe.es/gazeta/dias/1821/06/29/pdfs/GMD-1821-182.pdf#page=3","Abrir facsímil")</f>
        <v>Abrir facsímil</v>
      </c>
      <c r="K6614" s="3" t="s">
        <v>23</v>
      </c>
    </row>
    <row r="6615" spans="1:11" ht="42" customHeight="1">
      <c r="A6615" s="2" t="s">
        <v>12886</v>
      </c>
      <c r="B6615" s="2" t="s">
        <v>12886</v>
      </c>
      <c r="C6615" s="2" t="s">
        <v>174</v>
      </c>
      <c r="D6615" s="2" t="s">
        <v>27</v>
      </c>
      <c r="E6615" s="5">
        <v>-28755</v>
      </c>
      <c r="F6615" s="3" t="s">
        <v>906</v>
      </c>
      <c r="G6615" s="3" t="s">
        <v>52</v>
      </c>
      <c r="H6615" s="2" t="s">
        <v>21</v>
      </c>
      <c r="I6615" s="2" t="s">
        <v>12887</v>
      </c>
      <c r="J6615" s="3" t="str">
        <f>HYPERLINK("https://www.boe.es/gazeta/dias/1821/04/08/pdfs/GMD-1821-100.pdf#page=2","Abrir facsímil")</f>
        <v>Abrir facsímil</v>
      </c>
      <c r="K6615" s="3" t="s">
        <v>23</v>
      </c>
    </row>
    <row r="6616" spans="1:11" ht="42" customHeight="1">
      <c r="A6616" s="2" t="s">
        <v>12888</v>
      </c>
      <c r="B6616" s="2" t="s">
        <v>12889</v>
      </c>
      <c r="C6616" s="2" t="s">
        <v>17</v>
      </c>
      <c r="D6616" s="2" t="s">
        <v>18</v>
      </c>
      <c r="E6616" s="5">
        <v>-28694</v>
      </c>
      <c r="F6616" s="3" t="s">
        <v>1057</v>
      </c>
      <c r="G6616" s="3" t="s">
        <v>52</v>
      </c>
      <c r="H6616" s="2" t="s">
        <v>21</v>
      </c>
      <c r="I6616" s="2" t="s">
        <v>12890</v>
      </c>
      <c r="J6616" s="3" t="str">
        <f>HYPERLINK("https://www.boe.es/gazeta/dias/1821/06/08/pdfs/GMD-1821-161.pdf#page=2","Abrir facsímil")</f>
        <v>Abrir facsímil</v>
      </c>
      <c r="K6616" s="3" t="s">
        <v>23</v>
      </c>
    </row>
    <row r="6617" spans="1:11" ht="42" customHeight="1">
      <c r="A6617" s="2" t="s">
        <v>12891</v>
      </c>
      <c r="B6617" s="2" t="s">
        <v>12892</v>
      </c>
      <c r="C6617" s="2" t="s">
        <v>26</v>
      </c>
      <c r="D6617" s="2" t="s">
        <v>27</v>
      </c>
      <c r="E6617" s="5">
        <v>-28629</v>
      </c>
      <c r="F6617" s="3" t="s">
        <v>235</v>
      </c>
      <c r="G6617" s="3" t="s">
        <v>88</v>
      </c>
      <c r="H6617" s="2" t="s">
        <v>21</v>
      </c>
      <c r="I6617" s="2" t="s">
        <v>12893</v>
      </c>
      <c r="J6617" s="3" t="str">
        <f>HYPERLINK("https://www.boe.es/gazeta/dias/1821/08/12/pdfs/GMD-1821-229.pdf#page=4","Abrir facsímil")</f>
        <v>Abrir facsímil</v>
      </c>
      <c r="K6617" s="3" t="s">
        <v>23</v>
      </c>
    </row>
    <row r="6618" spans="1:11" ht="42" customHeight="1">
      <c r="A6618" s="2" t="s">
        <v>12894</v>
      </c>
      <c r="B6618" s="2" t="s">
        <v>12895</v>
      </c>
      <c r="C6618" s="2" t="s">
        <v>17</v>
      </c>
      <c r="D6618" s="2" t="s">
        <v>18</v>
      </c>
      <c r="E6618" s="5">
        <v>-28721</v>
      </c>
      <c r="F6618" s="3" t="s">
        <v>92</v>
      </c>
      <c r="G6618" s="3" t="s">
        <v>88</v>
      </c>
      <c r="H6618" s="2" t="s">
        <v>21</v>
      </c>
      <c r="I6618" s="2" t="s">
        <v>12896</v>
      </c>
      <c r="J6618" s="3" t="str">
        <f>HYPERLINK("https://www.boe.es/gazeta/dias/1821/05/12/pdfs/GMD-1821-134.pdf#page=4","Abrir facsímil")</f>
        <v>Abrir facsímil</v>
      </c>
      <c r="K6618" s="3" t="s">
        <v>23</v>
      </c>
    </row>
    <row r="6619" spans="1:11" ht="42" customHeight="1">
      <c r="A6619" s="2" t="s">
        <v>12894</v>
      </c>
      <c r="B6619" s="2" t="s">
        <v>12895</v>
      </c>
      <c r="C6619" s="2" t="s">
        <v>17</v>
      </c>
      <c r="D6619" s="2" t="s">
        <v>18</v>
      </c>
      <c r="E6619" s="5">
        <v>-28718</v>
      </c>
      <c r="F6619" s="3" t="s">
        <v>583</v>
      </c>
      <c r="G6619" s="3" t="s">
        <v>88</v>
      </c>
      <c r="H6619" s="2" t="s">
        <v>21</v>
      </c>
      <c r="I6619" s="2" t="s">
        <v>12897</v>
      </c>
      <c r="J6619" s="3" t="str">
        <f>HYPERLINK("https://www.boe.es/gazeta/dias/1821/05/15/pdfs/GMD-1821-137.pdf#page=4","Abrir facsímil")</f>
        <v>Abrir facsímil</v>
      </c>
      <c r="K6619" s="3" t="s">
        <v>23</v>
      </c>
    </row>
    <row r="6620" spans="1:11" ht="42" customHeight="1">
      <c r="A6620" s="2" t="s">
        <v>12894</v>
      </c>
      <c r="B6620" s="2" t="s">
        <v>12895</v>
      </c>
      <c r="C6620" s="2" t="s">
        <v>17</v>
      </c>
      <c r="D6620" s="2" t="s">
        <v>18</v>
      </c>
      <c r="E6620" s="5">
        <v>-28698</v>
      </c>
      <c r="F6620" s="3" t="s">
        <v>2067</v>
      </c>
      <c r="G6620" s="3" t="s">
        <v>88</v>
      </c>
      <c r="H6620" s="2" t="s">
        <v>21</v>
      </c>
      <c r="I6620" s="2" t="s">
        <v>12898</v>
      </c>
      <c r="J6620" s="3" t="str">
        <f>HYPERLINK("https://www.boe.es/gazeta/dias/1821/06/04/pdfs/GMD-1821-157.pdf#page=4","Abrir facsímil")</f>
        <v>Abrir facsímil</v>
      </c>
      <c r="K6620" s="3" t="s">
        <v>23</v>
      </c>
    </row>
    <row r="6621" spans="1:11" ht="42" customHeight="1">
      <c r="A6621" s="2" t="s">
        <v>12894</v>
      </c>
      <c r="B6621" s="2" t="s">
        <v>12895</v>
      </c>
      <c r="C6621" s="2" t="s">
        <v>17</v>
      </c>
      <c r="D6621" s="2" t="s">
        <v>18</v>
      </c>
      <c r="E6621" s="5">
        <v>-28697</v>
      </c>
      <c r="F6621" s="3" t="s">
        <v>166</v>
      </c>
      <c r="G6621" s="3" t="s">
        <v>1357</v>
      </c>
      <c r="H6621" s="2" t="s">
        <v>21</v>
      </c>
      <c r="I6621" s="2" t="s">
        <v>12899</v>
      </c>
      <c r="J6621" s="3" t="str">
        <f>HYPERLINK("https://www.boe.es/gazeta/dias/1821/06/05/pdfs/GMD-1821-158.pdf#page=4","Abrir facsímil")</f>
        <v>Abrir facsímil</v>
      </c>
      <c r="K6621" s="3" t="s">
        <v>23</v>
      </c>
    </row>
    <row r="6622" spans="1:11" ht="42" customHeight="1">
      <c r="A6622" s="2" t="s">
        <v>12894</v>
      </c>
      <c r="B6622" s="2" t="s">
        <v>12895</v>
      </c>
      <c r="C6622" s="2" t="s">
        <v>17</v>
      </c>
      <c r="D6622" s="2" t="s">
        <v>18</v>
      </c>
      <c r="E6622" s="5">
        <v>-28606</v>
      </c>
      <c r="F6622" s="3" t="s">
        <v>1799</v>
      </c>
      <c r="G6622" s="3" t="s">
        <v>88</v>
      </c>
      <c r="H6622" s="2" t="s">
        <v>21</v>
      </c>
      <c r="I6622" s="2" t="s">
        <v>12900</v>
      </c>
      <c r="J6622" s="3" t="str">
        <f>HYPERLINK("https://www.boe.es/gazeta/dias/1821/09/04/pdfs/GMD-1821-252.pdf#page=4","Abrir facsímil")</f>
        <v>Abrir facsímil</v>
      </c>
      <c r="K6622" s="3" t="s">
        <v>23</v>
      </c>
    </row>
    <row r="6623" spans="1:11" ht="42" customHeight="1">
      <c r="A6623" s="2" t="s">
        <v>12901</v>
      </c>
      <c r="B6623" s="2" t="s">
        <v>12902</v>
      </c>
      <c r="C6623" s="2" t="s">
        <v>26</v>
      </c>
      <c r="D6623" s="2" t="s">
        <v>27</v>
      </c>
      <c r="E6623" s="5">
        <v>-28718</v>
      </c>
      <c r="F6623" s="3" t="s">
        <v>583</v>
      </c>
      <c r="G6623" s="3" t="s">
        <v>88</v>
      </c>
      <c r="H6623" s="2" t="s">
        <v>21</v>
      </c>
      <c r="I6623" s="2" t="s">
        <v>12903</v>
      </c>
      <c r="J6623" s="3" t="str">
        <f>HYPERLINK("https://www.boe.es/gazeta/dias/1821/05/15/pdfs/GMD-1821-137.pdf#page=4","Abrir facsímil")</f>
        <v>Abrir facsímil</v>
      </c>
      <c r="K6623" s="3" t="s">
        <v>23</v>
      </c>
    </row>
    <row r="6624" spans="1:11" ht="42" customHeight="1">
      <c r="A6624" s="2" t="s">
        <v>12904</v>
      </c>
      <c r="B6624" s="2" t="s">
        <v>12905</v>
      </c>
      <c r="C6624" s="2" t="s">
        <v>174</v>
      </c>
      <c r="D6624" s="2" t="s">
        <v>27</v>
      </c>
      <c r="E6624" s="5">
        <v>-28810</v>
      </c>
      <c r="F6624" s="3" t="s">
        <v>308</v>
      </c>
      <c r="G6624" s="3" t="s">
        <v>88</v>
      </c>
      <c r="H6624" s="2" t="s">
        <v>21</v>
      </c>
      <c r="I6624" s="2" t="s">
        <v>12906</v>
      </c>
      <c r="J6624" s="3" t="str">
        <f>HYPERLINK("https://www.boe.es/gazeta/dias/1821/02/12/pdfs/GGB-1821-43.pdf#page=4","Abrir facsímil")</f>
        <v>Abrir facsímil</v>
      </c>
      <c r="K6624" s="3" t="s">
        <v>23</v>
      </c>
    </row>
    <row r="6625" spans="1:11" ht="42" customHeight="1">
      <c r="A6625" s="2" t="s">
        <v>12907</v>
      </c>
      <c r="B6625" s="2" t="s">
        <v>12908</v>
      </c>
      <c r="C6625" s="2" t="s">
        <v>35</v>
      </c>
      <c r="D6625" s="2" t="s">
        <v>27</v>
      </c>
      <c r="E6625" s="5">
        <v>-28705</v>
      </c>
      <c r="F6625" s="3" t="s">
        <v>1844</v>
      </c>
      <c r="G6625" s="3" t="s">
        <v>52</v>
      </c>
      <c r="H6625" s="2" t="s">
        <v>21</v>
      </c>
      <c r="I6625" s="2" t="s">
        <v>12909</v>
      </c>
      <c r="J6625" s="3" t="str">
        <f>HYPERLINK("https://www.boe.es/gazeta/dias/1821/05/28/pdfs/GMD-1821-150.pdf#page=2","Abrir facsímil")</f>
        <v>Abrir facsímil</v>
      </c>
      <c r="K6625" s="3" t="s">
        <v>23</v>
      </c>
    </row>
    <row r="6626" spans="1:11" ht="42" customHeight="1">
      <c r="A6626" s="2" t="s">
        <v>12910</v>
      </c>
      <c r="B6626" s="2" t="s">
        <v>12911</v>
      </c>
      <c r="C6626" s="2" t="s">
        <v>40</v>
      </c>
      <c r="D6626" s="2" t="s">
        <v>41</v>
      </c>
      <c r="E6626" s="5">
        <v>-28507</v>
      </c>
      <c r="F6626" s="3" t="s">
        <v>1158</v>
      </c>
      <c r="G6626" s="3" t="s">
        <v>20</v>
      </c>
      <c r="H6626" s="2" t="s">
        <v>30</v>
      </c>
      <c r="I6626" s="2" t="s">
        <v>12912</v>
      </c>
      <c r="J6626" s="3" t="str">
        <f>HYPERLINK("https://www.boe.es/gazeta/dias/1821/12/12/pdfs/GMD-1821-354.pdf#page=3","Abrir facsímil")</f>
        <v>Abrir facsímil</v>
      </c>
      <c r="K6626" s="3" t="s">
        <v>32</v>
      </c>
    </row>
    <row r="6627" spans="1:11" ht="42" customHeight="1">
      <c r="A6627" s="2" t="s">
        <v>12913</v>
      </c>
      <c r="B6627" s="2" t="s">
        <v>12914</v>
      </c>
      <c r="C6627" s="2" t="s">
        <v>17</v>
      </c>
      <c r="D6627" s="2" t="s">
        <v>18</v>
      </c>
      <c r="E6627" s="5">
        <v>-28639</v>
      </c>
      <c r="F6627" s="3" t="s">
        <v>3316</v>
      </c>
      <c r="G6627" s="3" t="s">
        <v>43</v>
      </c>
      <c r="H6627" s="2" t="s">
        <v>21</v>
      </c>
      <c r="I6627" s="2" t="s">
        <v>12915</v>
      </c>
      <c r="J6627" s="3" t="str">
        <f>HYPERLINK("https://www.boe.es/gazeta/dias/1821/08/02/pdfs/GMD-1821-218.pdf#page=1","Abrir facsímil")</f>
        <v>Abrir facsímil</v>
      </c>
      <c r="K6627" s="3" t="s">
        <v>23</v>
      </c>
    </row>
    <row r="6628" spans="1:11" ht="42" customHeight="1">
      <c r="A6628" s="2" t="s">
        <v>12916</v>
      </c>
      <c r="B6628" s="2" t="s">
        <v>12916</v>
      </c>
      <c r="C6628" s="2" t="s">
        <v>17</v>
      </c>
      <c r="D6628" s="2" t="s">
        <v>18</v>
      </c>
      <c r="E6628" s="5">
        <v>-28535</v>
      </c>
      <c r="F6628" s="3" t="s">
        <v>96</v>
      </c>
      <c r="G6628" s="3" t="s">
        <v>43</v>
      </c>
      <c r="H6628" s="2" t="s">
        <v>21</v>
      </c>
      <c r="I6628" s="2" t="s">
        <v>12917</v>
      </c>
      <c r="J6628" s="3" t="str">
        <f>HYPERLINK("https://www.boe.es/gazeta/dias/1821/11/14/pdfs/GMD-1821-325.pdf#page=1","Abrir facsímil")</f>
        <v>Abrir facsímil</v>
      </c>
      <c r="K6628" s="3" t="s">
        <v>23</v>
      </c>
    </row>
    <row r="6629" spans="1:11" ht="42" customHeight="1">
      <c r="A6629" s="2" t="s">
        <v>12918</v>
      </c>
      <c r="B6629" s="2" t="s">
        <v>12918</v>
      </c>
      <c r="C6629" s="2" t="s">
        <v>26</v>
      </c>
      <c r="D6629" s="2" t="s">
        <v>27</v>
      </c>
      <c r="E6629" s="5">
        <v>-28611</v>
      </c>
      <c r="F6629" s="3" t="s">
        <v>5777</v>
      </c>
      <c r="G6629" s="3" t="s">
        <v>20</v>
      </c>
      <c r="H6629" s="2" t="s">
        <v>21</v>
      </c>
      <c r="I6629" s="2" t="s">
        <v>12919</v>
      </c>
      <c r="J6629" s="3" t="str">
        <f>HYPERLINK("https://www.boe.es/gazeta/dias/1821/08/30/pdfs/GMD-1821-247.pdf#page=3","Abrir facsímil")</f>
        <v>Abrir facsímil</v>
      </c>
      <c r="K6629" s="3" t="s">
        <v>23</v>
      </c>
    </row>
    <row r="6630" spans="1:11" ht="42" customHeight="1">
      <c r="A6630" s="2" t="s">
        <v>12918</v>
      </c>
      <c r="B6630" s="2" t="s">
        <v>12918</v>
      </c>
      <c r="C6630" s="2" t="s">
        <v>26</v>
      </c>
      <c r="D6630" s="2" t="s">
        <v>27</v>
      </c>
      <c r="E6630" s="5">
        <v>-28609</v>
      </c>
      <c r="F6630" s="3" t="s">
        <v>2184</v>
      </c>
      <c r="G6630" s="3" t="s">
        <v>52</v>
      </c>
      <c r="H6630" s="2" t="s">
        <v>21</v>
      </c>
      <c r="I6630" s="2" t="s">
        <v>12920</v>
      </c>
      <c r="J6630" s="3" t="str">
        <f>HYPERLINK("https://www.boe.es/gazeta/dias/1821/09/01/pdfs/GMD-1821-249.pdf#page=2","Abrir facsímil")</f>
        <v>Abrir facsímil</v>
      </c>
      <c r="K6630" s="3" t="s">
        <v>23</v>
      </c>
    </row>
    <row r="6631" spans="1:11" ht="42" customHeight="1">
      <c r="A6631" s="2" t="s">
        <v>12921</v>
      </c>
      <c r="B6631" s="2" t="s">
        <v>12921</v>
      </c>
      <c r="C6631" s="2" t="s">
        <v>35</v>
      </c>
      <c r="D6631" s="2" t="s">
        <v>27</v>
      </c>
      <c r="E6631" s="5">
        <v>-28739</v>
      </c>
      <c r="F6631" s="3" t="s">
        <v>1024</v>
      </c>
      <c r="G6631" s="3" t="s">
        <v>1025</v>
      </c>
      <c r="H6631" s="2" t="s">
        <v>21</v>
      </c>
      <c r="I6631" s="2" t="s">
        <v>12922</v>
      </c>
      <c r="J6631" s="3" t="str">
        <f>HYPERLINK("https://www.boe.es/gazeta/dias/1821/04/24/pdfs/GMD-1821-116.pdf#page=3","Abrir facsímil")</f>
        <v>Abrir facsímil</v>
      </c>
      <c r="K6631" s="3" t="s">
        <v>23</v>
      </c>
    </row>
    <row r="6632" spans="1:11" ht="42" customHeight="1">
      <c r="A6632" s="2" t="s">
        <v>12921</v>
      </c>
      <c r="B6632" s="2" t="s">
        <v>12921</v>
      </c>
      <c r="C6632" s="2" t="s">
        <v>26</v>
      </c>
      <c r="D6632" s="2" t="s">
        <v>27</v>
      </c>
      <c r="E6632" s="5">
        <v>-28710</v>
      </c>
      <c r="F6632" s="3" t="s">
        <v>375</v>
      </c>
      <c r="G6632" s="3" t="s">
        <v>7560</v>
      </c>
      <c r="H6632" s="2" t="s">
        <v>21</v>
      </c>
      <c r="I6632" s="2" t="s">
        <v>12923</v>
      </c>
      <c r="J6632" s="3" t="str">
        <f>HYPERLINK("https://www.boe.es/gazeta/dias/1821/05/23/pdfs/GMD-1821-145.pdf#page=3","Abrir facsímil")</f>
        <v>Abrir facsímil</v>
      </c>
      <c r="K6632" s="3" t="s">
        <v>23</v>
      </c>
    </row>
    <row r="6633" spans="1:11" ht="42" customHeight="1">
      <c r="A6633" s="2" t="s">
        <v>12921</v>
      </c>
      <c r="B6633" s="2" t="s">
        <v>12921</v>
      </c>
      <c r="C6633" s="2" t="s">
        <v>26</v>
      </c>
      <c r="D6633" s="2" t="s">
        <v>27</v>
      </c>
      <c r="E6633" s="5">
        <v>-28709</v>
      </c>
      <c r="F6633" s="3" t="s">
        <v>1434</v>
      </c>
      <c r="G6633" s="3" t="s">
        <v>20</v>
      </c>
      <c r="H6633" s="2" t="s">
        <v>21</v>
      </c>
      <c r="I6633" s="2" t="s">
        <v>12924</v>
      </c>
      <c r="J6633" s="3" t="str">
        <f>HYPERLINK("https://www.boe.es/gazeta/dias/1821/05/24/pdfs/GMD-1821-146.pdf#page=3","Abrir facsímil")</f>
        <v>Abrir facsímil</v>
      </c>
      <c r="K6633" s="3" t="s">
        <v>23</v>
      </c>
    </row>
    <row r="6634" spans="1:11" ht="42" customHeight="1">
      <c r="A6634" s="2" t="s">
        <v>12921</v>
      </c>
      <c r="B6634" s="2" t="s">
        <v>12921</v>
      </c>
      <c r="C6634" s="2" t="s">
        <v>17</v>
      </c>
      <c r="D6634" s="2" t="s">
        <v>18</v>
      </c>
      <c r="E6634" s="5">
        <v>-28694</v>
      </c>
      <c r="F6634" s="3" t="s">
        <v>1057</v>
      </c>
      <c r="G6634" s="3" t="s">
        <v>20</v>
      </c>
      <c r="H6634" s="2" t="s">
        <v>21</v>
      </c>
      <c r="I6634" s="2" t="s">
        <v>12925</v>
      </c>
      <c r="J6634" s="3" t="str">
        <f>HYPERLINK("https://www.boe.es/gazeta/dias/1821/06/08/pdfs/GMD-1821-161.pdf#page=3","Abrir facsímil")</f>
        <v>Abrir facsímil</v>
      </c>
      <c r="K6634" s="3" t="s">
        <v>23</v>
      </c>
    </row>
    <row r="6635" spans="1:11" ht="42" customHeight="1">
      <c r="A6635" s="2" t="s">
        <v>12921</v>
      </c>
      <c r="B6635" s="2" t="s">
        <v>12921</v>
      </c>
      <c r="C6635" s="2" t="s">
        <v>40</v>
      </c>
      <c r="D6635" s="2" t="s">
        <v>41</v>
      </c>
      <c r="E6635" s="5">
        <v>-28690</v>
      </c>
      <c r="F6635" s="3" t="s">
        <v>846</v>
      </c>
      <c r="G6635" s="3" t="s">
        <v>847</v>
      </c>
      <c r="H6635" s="2" t="s">
        <v>21</v>
      </c>
      <c r="I6635" s="2" t="s">
        <v>12926</v>
      </c>
      <c r="J6635" s="3" t="str">
        <f>HYPERLINK("https://www.boe.es/gazeta/dias/1821/06/12/pdfs/GMD-1821-165.pdf#page=2","Abrir facsímil")</f>
        <v>Abrir facsímil</v>
      </c>
      <c r="K6635" s="3" t="s">
        <v>23</v>
      </c>
    </row>
    <row r="6636" spans="1:11" ht="42" customHeight="1">
      <c r="A6636" s="2" t="s">
        <v>12921</v>
      </c>
      <c r="B6636" s="2" t="s">
        <v>12921</v>
      </c>
      <c r="C6636" s="2" t="s">
        <v>35</v>
      </c>
      <c r="D6636" s="2" t="s">
        <v>27</v>
      </c>
      <c r="E6636" s="5">
        <v>-28540</v>
      </c>
      <c r="F6636" s="3" t="s">
        <v>2672</v>
      </c>
      <c r="G6636" s="3" t="s">
        <v>162</v>
      </c>
      <c r="H6636" s="2" t="s">
        <v>21</v>
      </c>
      <c r="I6636" s="2" t="s">
        <v>12927</v>
      </c>
      <c r="J6636" s="3" t="str">
        <f>HYPERLINK("https://www.boe.es/gazeta/dias/1821/11/09/pdfs/GMD-1821-320.pdf#page=5","Abrir facsímil")</f>
        <v>Abrir facsímil</v>
      </c>
      <c r="K6636" s="3" t="s">
        <v>23</v>
      </c>
    </row>
    <row r="6637" spans="1:11" ht="42" customHeight="1">
      <c r="A6637" s="2" t="s">
        <v>12921</v>
      </c>
      <c r="B6637" s="2" t="s">
        <v>12921</v>
      </c>
      <c r="C6637" s="2" t="s">
        <v>17</v>
      </c>
      <c r="D6637" s="2" t="s">
        <v>18</v>
      </c>
      <c r="E6637" s="5">
        <v>-28496</v>
      </c>
      <c r="F6637" s="3" t="s">
        <v>785</v>
      </c>
      <c r="G6637" s="3" t="s">
        <v>886</v>
      </c>
      <c r="H6637" s="2" t="s">
        <v>21</v>
      </c>
      <c r="I6637" s="2" t="s">
        <v>12928</v>
      </c>
      <c r="J6637" s="3" t="str">
        <f>HYPERLINK("https://www.boe.es/gazeta/dias/1821/12/23/pdfs/GMD-1821-366.pdf#page=5","Abrir facsímil")</f>
        <v>Abrir facsímil</v>
      </c>
      <c r="K6637" s="3" t="s">
        <v>23</v>
      </c>
    </row>
    <row r="6638" spans="1:11" ht="42" customHeight="1">
      <c r="A6638" s="2" t="s">
        <v>12921</v>
      </c>
      <c r="B6638" s="2" t="s">
        <v>12921</v>
      </c>
      <c r="C6638" s="2" t="s">
        <v>17</v>
      </c>
      <c r="D6638" s="2" t="s">
        <v>18</v>
      </c>
      <c r="E6638" s="5">
        <v>-28494</v>
      </c>
      <c r="F6638" s="3" t="s">
        <v>1665</v>
      </c>
      <c r="G6638" s="3" t="s">
        <v>2803</v>
      </c>
      <c r="H6638" s="2" t="s">
        <v>21</v>
      </c>
      <c r="I6638" s="2" t="s">
        <v>12929</v>
      </c>
      <c r="J6638" s="3" t="str">
        <f>HYPERLINK("https://www.boe.es/gazeta/dias/1821/12/25/pdfs/GMD-1821-368.pdf#page=2","Abrir facsímil")</f>
        <v>Abrir facsímil</v>
      </c>
      <c r="K6638" s="3" t="s">
        <v>23</v>
      </c>
    </row>
    <row r="6639" spans="1:11" ht="42" customHeight="1">
      <c r="A6639" s="2" t="s">
        <v>12930</v>
      </c>
      <c r="B6639" s="2" t="s">
        <v>12930</v>
      </c>
      <c r="C6639" s="2" t="s">
        <v>17</v>
      </c>
      <c r="D6639" s="2" t="s">
        <v>18</v>
      </c>
      <c r="E6639" s="5">
        <v>-28775</v>
      </c>
      <c r="F6639" s="3" t="s">
        <v>132</v>
      </c>
      <c r="G6639" s="3" t="s">
        <v>52</v>
      </c>
      <c r="H6639" s="2" t="s">
        <v>21</v>
      </c>
      <c r="I6639" s="2" t="s">
        <v>12931</v>
      </c>
      <c r="J6639" s="3" t="str">
        <f>HYPERLINK("https://www.boe.es/gazeta/dias/1821/03/19/pdfs/GMD-1821-78.pdf#page=2","Abrir facsímil")</f>
        <v>Abrir facsímil</v>
      </c>
      <c r="K6639" s="3" t="s">
        <v>23</v>
      </c>
    </row>
    <row r="6640" spans="1:11" ht="42" customHeight="1">
      <c r="A6640" s="2" t="s">
        <v>12930</v>
      </c>
      <c r="B6640" s="2" t="s">
        <v>12930</v>
      </c>
      <c r="C6640" s="2" t="s">
        <v>17</v>
      </c>
      <c r="D6640" s="2" t="s">
        <v>18</v>
      </c>
      <c r="E6640" s="5">
        <v>-28536</v>
      </c>
      <c r="F6640" s="3" t="s">
        <v>553</v>
      </c>
      <c r="G6640" s="3" t="s">
        <v>162</v>
      </c>
      <c r="H6640" s="2" t="s">
        <v>21</v>
      </c>
      <c r="I6640" s="2" t="s">
        <v>12932</v>
      </c>
      <c r="J6640" s="3" t="str">
        <f>HYPERLINK("https://www.boe.es/gazeta/dias/1821/11/13/pdfs/GMD-1821-324.pdf#page=5","Abrir facsímil")</f>
        <v>Abrir facsímil</v>
      </c>
      <c r="K6640" s="3" t="s">
        <v>23</v>
      </c>
    </row>
    <row r="6641" spans="1:11" ht="42" customHeight="1">
      <c r="A6641" s="2" t="s">
        <v>12933</v>
      </c>
      <c r="B6641" s="2" t="s">
        <v>12933</v>
      </c>
      <c r="C6641" s="2" t="s">
        <v>40</v>
      </c>
      <c r="D6641" s="2" t="s">
        <v>41</v>
      </c>
      <c r="E6641" s="5">
        <v>-28788</v>
      </c>
      <c r="F6641" s="3" t="s">
        <v>996</v>
      </c>
      <c r="G6641" s="3" t="s">
        <v>20</v>
      </c>
      <c r="H6641" s="2" t="s">
        <v>21</v>
      </c>
      <c r="I6641" s="2" t="s">
        <v>12934</v>
      </c>
      <c r="J6641" s="3" t="str">
        <f>HYPERLINK("https://www.boe.es/gazeta/dias/1821/03/06/pdfs/GGB-1821-65.pdf#page=3","Abrir facsímil")</f>
        <v>Abrir facsímil</v>
      </c>
      <c r="K6641" s="3" t="s">
        <v>23</v>
      </c>
    </row>
    <row r="6642" spans="1:11" ht="42" customHeight="1">
      <c r="A6642" s="2" t="s">
        <v>12933</v>
      </c>
      <c r="B6642" s="2" t="s">
        <v>12933</v>
      </c>
      <c r="C6642" s="2" t="s">
        <v>26</v>
      </c>
      <c r="D6642" s="2" t="s">
        <v>27</v>
      </c>
      <c r="E6642" s="5">
        <v>-28787</v>
      </c>
      <c r="F6642" s="3" t="s">
        <v>486</v>
      </c>
      <c r="G6642" s="3" t="s">
        <v>20</v>
      </c>
      <c r="H6642" s="2" t="s">
        <v>21</v>
      </c>
      <c r="I6642" s="2" t="s">
        <v>12935</v>
      </c>
      <c r="J6642" s="3" t="str">
        <f>HYPERLINK("https://www.boe.es/gazeta/dias/1821/03/07/pdfs/GGB-1821-66.pdf#page=3","Abrir facsímil")</f>
        <v>Abrir facsímil</v>
      </c>
      <c r="K6642" s="3" t="s">
        <v>23</v>
      </c>
    </row>
    <row r="6643" spans="1:11" ht="42" customHeight="1">
      <c r="A6643" s="2" t="s">
        <v>12933</v>
      </c>
      <c r="B6643" s="2" t="s">
        <v>12933</v>
      </c>
      <c r="C6643" s="2" t="s">
        <v>40</v>
      </c>
      <c r="D6643" s="2" t="s">
        <v>41</v>
      </c>
      <c r="E6643" s="5">
        <v>-28761</v>
      </c>
      <c r="F6643" s="3" t="s">
        <v>771</v>
      </c>
      <c r="G6643" s="3" t="s">
        <v>52</v>
      </c>
      <c r="H6643" s="2" t="s">
        <v>21</v>
      </c>
      <c r="I6643" s="2" t="s">
        <v>12936</v>
      </c>
      <c r="J6643" s="3" t="str">
        <f>HYPERLINK("https://www.boe.es/gazeta/dias/1821/04/02/pdfs/GMD-1821-94.pdf#page=2","Abrir facsímil")</f>
        <v>Abrir facsímil</v>
      </c>
      <c r="K6643" s="3" t="s">
        <v>23</v>
      </c>
    </row>
    <row r="6644" spans="1:11" ht="42" customHeight="1">
      <c r="A6644" s="2" t="s">
        <v>12933</v>
      </c>
      <c r="B6644" s="2" t="s">
        <v>12933</v>
      </c>
      <c r="C6644" s="2" t="s">
        <v>26</v>
      </c>
      <c r="D6644" s="2" t="s">
        <v>27</v>
      </c>
      <c r="E6644" s="5">
        <v>-28751</v>
      </c>
      <c r="F6644" s="3" t="s">
        <v>356</v>
      </c>
      <c r="G6644" s="3" t="s">
        <v>20</v>
      </c>
      <c r="H6644" s="2" t="s">
        <v>21</v>
      </c>
      <c r="I6644" s="2" t="s">
        <v>12937</v>
      </c>
      <c r="J6644" s="3" t="str">
        <f>HYPERLINK("https://www.boe.es/gazeta/dias/1821/04/12/pdfs/GMD-1821-104.pdf#page=3","Abrir facsímil")</f>
        <v>Abrir facsímil</v>
      </c>
      <c r="K6644" s="3" t="s">
        <v>23</v>
      </c>
    </row>
    <row r="6645" spans="1:11" ht="42" customHeight="1">
      <c r="A6645" s="2" t="s">
        <v>12933</v>
      </c>
      <c r="B6645" s="2" t="s">
        <v>12933</v>
      </c>
      <c r="C6645" s="2" t="s">
        <v>35</v>
      </c>
      <c r="D6645" s="2" t="s">
        <v>27</v>
      </c>
      <c r="E6645" s="5">
        <v>-28749</v>
      </c>
      <c r="F6645" s="3" t="s">
        <v>832</v>
      </c>
      <c r="G6645" s="3" t="s">
        <v>52</v>
      </c>
      <c r="H6645" s="2" t="s">
        <v>21</v>
      </c>
      <c r="I6645" s="2" t="s">
        <v>12938</v>
      </c>
      <c r="J6645" s="3" t="str">
        <f>HYPERLINK("https://www.boe.es/gazeta/dias/1821/04/14/pdfs/GMD-1821-106.pdf#page=2","Abrir facsímil")</f>
        <v>Abrir facsímil</v>
      </c>
      <c r="K6645" s="3" t="s">
        <v>23</v>
      </c>
    </row>
    <row r="6646" spans="1:11" ht="42" customHeight="1">
      <c r="A6646" s="2" t="s">
        <v>12933</v>
      </c>
      <c r="B6646" s="2" t="s">
        <v>12933</v>
      </c>
      <c r="C6646" s="2" t="s">
        <v>26</v>
      </c>
      <c r="D6646" s="2" t="s">
        <v>27</v>
      </c>
      <c r="E6646" s="5">
        <v>-28749</v>
      </c>
      <c r="F6646" s="3" t="s">
        <v>832</v>
      </c>
      <c r="G6646" s="3" t="s">
        <v>20</v>
      </c>
      <c r="H6646" s="2" t="s">
        <v>21</v>
      </c>
      <c r="I6646" s="2" t="s">
        <v>12939</v>
      </c>
      <c r="J6646" s="3" t="str">
        <f>HYPERLINK("https://www.boe.es/gazeta/dias/1821/04/14/pdfs/GMD-1821-106.pdf#page=3","Abrir facsímil")</f>
        <v>Abrir facsímil</v>
      </c>
      <c r="K6646" s="3" t="s">
        <v>23</v>
      </c>
    </row>
    <row r="6647" spans="1:11" ht="42" customHeight="1">
      <c r="A6647" s="2" t="s">
        <v>12933</v>
      </c>
      <c r="B6647" s="2" t="s">
        <v>12933</v>
      </c>
      <c r="C6647" s="2" t="s">
        <v>40</v>
      </c>
      <c r="D6647" s="2" t="s">
        <v>41</v>
      </c>
      <c r="E6647" s="5">
        <v>-28710</v>
      </c>
      <c r="F6647" s="3" t="s">
        <v>375</v>
      </c>
      <c r="G6647" s="3" t="s">
        <v>7560</v>
      </c>
      <c r="H6647" s="2" t="s">
        <v>21</v>
      </c>
      <c r="I6647" s="2" t="s">
        <v>12940</v>
      </c>
      <c r="J6647" s="3" t="str">
        <f>HYPERLINK("https://www.boe.es/gazeta/dias/1821/05/23/pdfs/GMD-1821-145.pdf#page=3","Abrir facsímil")</f>
        <v>Abrir facsímil</v>
      </c>
      <c r="K6647" s="3" t="s">
        <v>23</v>
      </c>
    </row>
    <row r="6648" spans="1:11" ht="42" customHeight="1">
      <c r="A6648" s="2" t="s">
        <v>12933</v>
      </c>
      <c r="B6648" s="2" t="s">
        <v>12933</v>
      </c>
      <c r="C6648" s="2" t="s">
        <v>40</v>
      </c>
      <c r="D6648" s="2" t="s">
        <v>41</v>
      </c>
      <c r="E6648" s="5">
        <v>-28689</v>
      </c>
      <c r="F6648" s="3" t="s">
        <v>194</v>
      </c>
      <c r="G6648" s="3" t="s">
        <v>20</v>
      </c>
      <c r="H6648" s="2" t="s">
        <v>21</v>
      </c>
      <c r="I6648" s="2" t="s">
        <v>12941</v>
      </c>
      <c r="J6648" s="3" t="str">
        <f>HYPERLINK("https://www.boe.es/gazeta/dias/1821/06/13/pdfs/GMD-1821-166.pdf#page=3","Abrir facsímil")</f>
        <v>Abrir facsímil</v>
      </c>
      <c r="K6648" s="3" t="s">
        <v>23</v>
      </c>
    </row>
    <row r="6649" spans="1:11" ht="42" customHeight="1">
      <c r="A6649" s="2" t="s">
        <v>12933</v>
      </c>
      <c r="B6649" s="2" t="s">
        <v>12933</v>
      </c>
      <c r="C6649" s="2" t="s">
        <v>17</v>
      </c>
      <c r="D6649" s="2" t="s">
        <v>18</v>
      </c>
      <c r="E6649" s="5">
        <v>-28678</v>
      </c>
      <c r="F6649" s="3" t="s">
        <v>215</v>
      </c>
      <c r="G6649" s="3" t="s">
        <v>1445</v>
      </c>
      <c r="H6649" s="2" t="s">
        <v>21</v>
      </c>
      <c r="I6649" s="2" t="s">
        <v>12942</v>
      </c>
      <c r="J6649" s="3" t="str">
        <f>HYPERLINK("https://www.boe.es/gazeta/dias/1821/06/24/pdfs/GMD-1821-177.pdf#page=3","Abrir facsímil")</f>
        <v>Abrir facsímil</v>
      </c>
      <c r="K6649" s="3" t="s">
        <v>23</v>
      </c>
    </row>
    <row r="6650" spans="1:11" ht="42" customHeight="1">
      <c r="A6650" s="2" t="s">
        <v>12933</v>
      </c>
      <c r="B6650" s="2" t="s">
        <v>12933</v>
      </c>
      <c r="C6650" s="2" t="s">
        <v>26</v>
      </c>
      <c r="D6650" s="2" t="s">
        <v>27</v>
      </c>
      <c r="E6650" s="5">
        <v>-28678</v>
      </c>
      <c r="F6650" s="3" t="s">
        <v>215</v>
      </c>
      <c r="G6650" s="3" t="s">
        <v>162</v>
      </c>
      <c r="H6650" s="2" t="s">
        <v>21</v>
      </c>
      <c r="I6650" s="2" t="s">
        <v>12943</v>
      </c>
      <c r="J6650" s="3" t="str">
        <f>HYPERLINK("https://www.boe.es/gazeta/dias/1821/06/24/pdfs/GMD-1821-177.pdf#page=5","Abrir facsímil")</f>
        <v>Abrir facsímil</v>
      </c>
      <c r="K6650" s="3" t="s">
        <v>23</v>
      </c>
    </row>
    <row r="6651" spans="1:11" ht="42" customHeight="1">
      <c r="A6651" s="2" t="s">
        <v>12933</v>
      </c>
      <c r="B6651" s="2" t="s">
        <v>12933</v>
      </c>
      <c r="C6651" s="2" t="s">
        <v>114</v>
      </c>
      <c r="D6651" s="2" t="s">
        <v>27</v>
      </c>
      <c r="E6651" s="5">
        <v>-28564</v>
      </c>
      <c r="F6651" s="3" t="s">
        <v>861</v>
      </c>
      <c r="G6651" s="3" t="s">
        <v>88</v>
      </c>
      <c r="H6651" s="2" t="s">
        <v>21</v>
      </c>
      <c r="I6651" s="2" t="s">
        <v>12944</v>
      </c>
      <c r="J6651" s="3" t="str">
        <f>HYPERLINK("https://www.boe.es/gazeta/dias/1821/10/16/pdfs/GMD-1821-295.pdf#page=4","Abrir facsímil")</f>
        <v>Abrir facsímil</v>
      </c>
      <c r="K6651" s="3" t="s">
        <v>23</v>
      </c>
    </row>
    <row r="6652" spans="1:11" ht="42" customHeight="1">
      <c r="A6652" s="2" t="s">
        <v>12933</v>
      </c>
      <c r="B6652" s="2" t="s">
        <v>12933</v>
      </c>
      <c r="C6652" s="2" t="s">
        <v>35</v>
      </c>
      <c r="D6652" s="2" t="s">
        <v>27</v>
      </c>
      <c r="E6652" s="5">
        <v>-28563</v>
      </c>
      <c r="F6652" s="3" t="s">
        <v>118</v>
      </c>
      <c r="G6652" s="3" t="s">
        <v>88</v>
      </c>
      <c r="H6652" s="2" t="s">
        <v>21</v>
      </c>
      <c r="I6652" s="2" t="s">
        <v>12945</v>
      </c>
      <c r="J6652" s="3" t="str">
        <f>HYPERLINK("https://www.boe.es/gazeta/dias/1821/10/17/pdfs/GMD-1821-296.pdf#page=4","Abrir facsímil")</f>
        <v>Abrir facsímil</v>
      </c>
      <c r="K6652" s="3" t="s">
        <v>23</v>
      </c>
    </row>
    <row r="6653" spans="1:11" ht="42" customHeight="1">
      <c r="A6653" s="2" t="s">
        <v>12933</v>
      </c>
      <c r="B6653" s="2" t="s">
        <v>12933</v>
      </c>
      <c r="C6653" s="2" t="s">
        <v>40</v>
      </c>
      <c r="D6653" s="2" t="s">
        <v>41</v>
      </c>
      <c r="E6653" s="5">
        <v>-28539</v>
      </c>
      <c r="F6653" s="3" t="s">
        <v>153</v>
      </c>
      <c r="G6653" s="3" t="s">
        <v>20</v>
      </c>
      <c r="H6653" s="2" t="s">
        <v>21</v>
      </c>
      <c r="I6653" s="2" t="s">
        <v>12946</v>
      </c>
      <c r="J6653" s="3" t="str">
        <f>HYPERLINK("https://www.boe.es/gazeta/dias/1821/11/10/pdfs/GMD-1821-321.pdf#page=3","Abrir facsímil")</f>
        <v>Abrir facsímil</v>
      </c>
      <c r="K6653" s="3" t="s">
        <v>23</v>
      </c>
    </row>
    <row r="6654" spans="1:11" ht="42" customHeight="1">
      <c r="A6654" s="2" t="s">
        <v>12933</v>
      </c>
      <c r="B6654" s="2" t="s">
        <v>12933</v>
      </c>
      <c r="C6654" s="2" t="s">
        <v>35</v>
      </c>
      <c r="D6654" s="2" t="s">
        <v>27</v>
      </c>
      <c r="E6654" s="5">
        <v>-28539</v>
      </c>
      <c r="F6654" s="3" t="s">
        <v>153</v>
      </c>
      <c r="G6654" s="3" t="s">
        <v>88</v>
      </c>
      <c r="H6654" s="2" t="s">
        <v>21</v>
      </c>
      <c r="I6654" s="2" t="s">
        <v>12947</v>
      </c>
      <c r="J6654" s="3" t="str">
        <f>HYPERLINK("https://www.boe.es/gazeta/dias/1821/11/10/pdfs/GMD-1821-321.pdf#page=4","Abrir facsímil")</f>
        <v>Abrir facsímil</v>
      </c>
      <c r="K6654" s="3" t="s">
        <v>23</v>
      </c>
    </row>
    <row r="6655" spans="1:11" ht="42" customHeight="1">
      <c r="A6655" s="2" t="s">
        <v>12933</v>
      </c>
      <c r="B6655" s="2" t="s">
        <v>12933</v>
      </c>
      <c r="C6655" s="2" t="s">
        <v>17</v>
      </c>
      <c r="D6655" s="2" t="s">
        <v>18</v>
      </c>
      <c r="E6655" s="5">
        <v>-28536</v>
      </c>
      <c r="F6655" s="3" t="s">
        <v>553</v>
      </c>
      <c r="G6655" s="3" t="s">
        <v>29</v>
      </c>
      <c r="H6655" s="2" t="s">
        <v>21</v>
      </c>
      <c r="I6655" s="2" t="s">
        <v>12948</v>
      </c>
      <c r="J6655" s="3" t="str">
        <f>HYPERLINK("https://www.boe.es/gazeta/dias/1821/11/13/pdfs/GMD-1821-324.pdf#page=6","Abrir facsímil")</f>
        <v>Abrir facsímil</v>
      </c>
      <c r="K6655" s="3" t="s">
        <v>23</v>
      </c>
    </row>
    <row r="6656" spans="1:11" ht="42" customHeight="1">
      <c r="A6656" s="2" t="s">
        <v>12933</v>
      </c>
      <c r="B6656" s="2" t="s">
        <v>12933</v>
      </c>
      <c r="C6656" s="2" t="s">
        <v>35</v>
      </c>
      <c r="D6656" s="2" t="s">
        <v>27</v>
      </c>
      <c r="E6656" s="5">
        <v>-28533</v>
      </c>
      <c r="F6656" s="3" t="s">
        <v>559</v>
      </c>
      <c r="G6656" s="3" t="s">
        <v>29</v>
      </c>
      <c r="H6656" s="2" t="s">
        <v>21</v>
      </c>
      <c r="I6656" s="2" t="s">
        <v>12949</v>
      </c>
      <c r="J6656" s="3" t="str">
        <f>HYPERLINK("https://www.boe.es/gazeta/dias/1821/11/16/pdfs/GMD-1821-327.pdf#page=6","Abrir facsímil")</f>
        <v>Abrir facsímil</v>
      </c>
      <c r="K6656" s="3" t="s">
        <v>23</v>
      </c>
    </row>
    <row r="6657" spans="1:11" ht="42" customHeight="1">
      <c r="A6657" s="2" t="s">
        <v>12933</v>
      </c>
      <c r="B6657" s="2" t="s">
        <v>12933</v>
      </c>
      <c r="C6657" s="2" t="s">
        <v>35</v>
      </c>
      <c r="D6657" s="2" t="s">
        <v>27</v>
      </c>
      <c r="E6657" s="5">
        <v>-28532</v>
      </c>
      <c r="F6657" s="3" t="s">
        <v>1415</v>
      </c>
      <c r="G6657" s="3" t="s">
        <v>88</v>
      </c>
      <c r="H6657" s="2" t="s">
        <v>21</v>
      </c>
      <c r="I6657" s="2" t="s">
        <v>12950</v>
      </c>
      <c r="J6657" s="3" t="str">
        <f>HYPERLINK("https://www.boe.es/gazeta/dias/1821/11/17/pdfs/GMD-1821-328.pdf#page=4","Abrir facsímil")</f>
        <v>Abrir facsímil</v>
      </c>
      <c r="K6657" s="3" t="s">
        <v>23</v>
      </c>
    </row>
    <row r="6658" spans="1:11" ht="42" customHeight="1">
      <c r="A6658" s="2" t="s">
        <v>12933</v>
      </c>
      <c r="B6658" s="2" t="s">
        <v>12933</v>
      </c>
      <c r="C6658" s="2" t="s">
        <v>17</v>
      </c>
      <c r="D6658" s="2" t="s">
        <v>18</v>
      </c>
      <c r="E6658" s="5">
        <v>-28531</v>
      </c>
      <c r="F6658" s="3" t="s">
        <v>365</v>
      </c>
      <c r="G6658" s="3" t="s">
        <v>20</v>
      </c>
      <c r="H6658" s="2" t="s">
        <v>21</v>
      </c>
      <c r="I6658" s="2" t="s">
        <v>12951</v>
      </c>
      <c r="J6658" s="3" t="str">
        <f>HYPERLINK("https://www.boe.es/gazeta/dias/1821/11/18/pdfs/GMD-1821-329.pdf#page=3","Abrir facsímil")</f>
        <v>Abrir facsímil</v>
      </c>
      <c r="K6658" s="3" t="s">
        <v>23</v>
      </c>
    </row>
    <row r="6659" spans="1:11" ht="42" customHeight="1">
      <c r="A6659" s="2" t="s">
        <v>12933</v>
      </c>
      <c r="B6659" s="2" t="s">
        <v>12933</v>
      </c>
      <c r="C6659" s="2" t="s">
        <v>70</v>
      </c>
      <c r="D6659" s="2" t="s">
        <v>27</v>
      </c>
      <c r="E6659" s="5">
        <v>-28531</v>
      </c>
      <c r="F6659" s="3" t="s">
        <v>365</v>
      </c>
      <c r="G6659" s="3" t="s">
        <v>162</v>
      </c>
      <c r="H6659" s="2" t="s">
        <v>21</v>
      </c>
      <c r="I6659" s="2" t="s">
        <v>12952</v>
      </c>
      <c r="J6659" s="3" t="str">
        <f>HYPERLINK("https://www.boe.es/gazeta/dias/1821/11/18/pdfs/GMD-1821-329.pdf#page=5","Abrir facsímil")</f>
        <v>Abrir facsímil</v>
      </c>
      <c r="K6659" s="3" t="s">
        <v>23</v>
      </c>
    </row>
    <row r="6660" spans="1:11" ht="42" customHeight="1">
      <c r="A6660" s="2" t="s">
        <v>12933</v>
      </c>
      <c r="B6660" s="2" t="s">
        <v>12933</v>
      </c>
      <c r="C6660" s="2" t="s">
        <v>35</v>
      </c>
      <c r="D6660" s="2" t="s">
        <v>27</v>
      </c>
      <c r="E6660" s="5">
        <v>-28524</v>
      </c>
      <c r="F6660" s="3" t="s">
        <v>874</v>
      </c>
      <c r="G6660" s="3" t="s">
        <v>88</v>
      </c>
      <c r="H6660" s="2" t="s">
        <v>21</v>
      </c>
      <c r="I6660" s="2" t="s">
        <v>12953</v>
      </c>
      <c r="J6660" s="3" t="str">
        <f>HYPERLINK("https://www.boe.es/gazeta/dias/1821/11/25/pdfs/GMD-1821-336.pdf#page=4","Abrir facsímil")</f>
        <v>Abrir facsímil</v>
      </c>
      <c r="K6660" s="3" t="s">
        <v>23</v>
      </c>
    </row>
    <row r="6661" spans="1:11" ht="42" customHeight="1">
      <c r="A6661" s="2" t="s">
        <v>12933</v>
      </c>
      <c r="B6661" s="2" t="s">
        <v>12933</v>
      </c>
      <c r="C6661" s="2" t="s">
        <v>35</v>
      </c>
      <c r="D6661" s="2" t="s">
        <v>27</v>
      </c>
      <c r="E6661" s="5">
        <v>-28517</v>
      </c>
      <c r="F6661" s="3" t="s">
        <v>563</v>
      </c>
      <c r="G6661" s="3" t="s">
        <v>20</v>
      </c>
      <c r="H6661" s="2" t="s">
        <v>21</v>
      </c>
      <c r="I6661" s="2" t="s">
        <v>12954</v>
      </c>
      <c r="J6661" s="3" t="str">
        <f>HYPERLINK("https://www.boe.es/gazeta/dias/1821/12/02/pdfs/GMD-1821-344.pdf#page=3","Abrir facsímil")</f>
        <v>Abrir facsímil</v>
      </c>
      <c r="K6661" s="3" t="s">
        <v>23</v>
      </c>
    </row>
    <row r="6662" spans="1:11" ht="42" customHeight="1">
      <c r="A6662" s="2" t="s">
        <v>12933</v>
      </c>
      <c r="B6662" s="2" t="s">
        <v>12933</v>
      </c>
      <c r="C6662" s="2" t="s">
        <v>26</v>
      </c>
      <c r="D6662" s="2" t="s">
        <v>27</v>
      </c>
      <c r="E6662" s="5">
        <v>-28517</v>
      </c>
      <c r="F6662" s="3" t="s">
        <v>563</v>
      </c>
      <c r="G6662" s="3" t="s">
        <v>88</v>
      </c>
      <c r="H6662" s="2" t="s">
        <v>21</v>
      </c>
      <c r="I6662" s="2" t="s">
        <v>12955</v>
      </c>
      <c r="J6662" s="3" t="str">
        <f>HYPERLINK("https://www.boe.es/gazeta/dias/1821/12/02/pdfs/GMD-1821-344.pdf#page=4","Abrir facsímil")</f>
        <v>Abrir facsímil</v>
      </c>
      <c r="K6662" s="3" t="s">
        <v>23</v>
      </c>
    </row>
    <row r="6663" spans="1:11" ht="42" customHeight="1">
      <c r="A6663" s="2" t="s">
        <v>12933</v>
      </c>
      <c r="B6663" s="2" t="s">
        <v>12933</v>
      </c>
      <c r="C6663" s="2" t="s">
        <v>35</v>
      </c>
      <c r="D6663" s="2" t="s">
        <v>27</v>
      </c>
      <c r="E6663" s="5">
        <v>-28515</v>
      </c>
      <c r="F6663" s="3" t="s">
        <v>260</v>
      </c>
      <c r="G6663" s="3" t="s">
        <v>162</v>
      </c>
      <c r="H6663" s="2" t="s">
        <v>21</v>
      </c>
      <c r="I6663" s="2" t="s">
        <v>12956</v>
      </c>
      <c r="J6663" s="3" t="str">
        <f>HYPERLINK("https://www.boe.es/gazeta/dias/1821/12/04/pdfs/GMD-1821-346.pdf#page=5","Abrir facsímil")</f>
        <v>Abrir facsímil</v>
      </c>
      <c r="K6663" s="3" t="s">
        <v>23</v>
      </c>
    </row>
    <row r="6664" spans="1:11" ht="42" customHeight="1">
      <c r="A6664" s="2" t="s">
        <v>12933</v>
      </c>
      <c r="B6664" s="2" t="s">
        <v>12933</v>
      </c>
      <c r="C6664" s="2" t="s">
        <v>35</v>
      </c>
      <c r="D6664" s="2" t="s">
        <v>27</v>
      </c>
      <c r="E6664" s="5">
        <v>-28508</v>
      </c>
      <c r="F6664" s="3" t="s">
        <v>42</v>
      </c>
      <c r="G6664" s="3" t="s">
        <v>52</v>
      </c>
      <c r="H6664" s="2" t="s">
        <v>21</v>
      </c>
      <c r="I6664" s="2" t="s">
        <v>12957</v>
      </c>
      <c r="J6664" s="3" t="str">
        <f>HYPERLINK("https://www.boe.es/gazeta/dias/1821/12/11/pdfs/GMD-1821-353.pdf#page=2","Abrir facsímil")</f>
        <v>Abrir facsímil</v>
      </c>
      <c r="K6664" s="3" t="s">
        <v>23</v>
      </c>
    </row>
    <row r="6665" spans="1:11" ht="42" customHeight="1">
      <c r="A6665" s="2" t="s">
        <v>12933</v>
      </c>
      <c r="B6665" s="2" t="s">
        <v>12933</v>
      </c>
      <c r="C6665" s="2" t="s">
        <v>35</v>
      </c>
      <c r="D6665" s="2" t="s">
        <v>27</v>
      </c>
      <c r="E6665" s="5">
        <v>-28503</v>
      </c>
      <c r="F6665" s="3" t="s">
        <v>947</v>
      </c>
      <c r="G6665" s="3" t="s">
        <v>43</v>
      </c>
      <c r="H6665" s="2" t="s">
        <v>21</v>
      </c>
      <c r="I6665" s="2" t="s">
        <v>12958</v>
      </c>
      <c r="J6665" s="3" t="str">
        <f>HYPERLINK("https://www.boe.es/gazeta/dias/1821/12/16/pdfs/GMD-1821-359.pdf#page=1","Abrir facsímil")</f>
        <v>Abrir facsímil</v>
      </c>
      <c r="K6665" s="3" t="s">
        <v>23</v>
      </c>
    </row>
    <row r="6666" spans="1:11" ht="42" customHeight="1">
      <c r="A6666" s="2" t="s">
        <v>12933</v>
      </c>
      <c r="B6666" s="2" t="s">
        <v>12933</v>
      </c>
      <c r="C6666" s="2" t="s">
        <v>26</v>
      </c>
      <c r="D6666" s="2" t="s">
        <v>27</v>
      </c>
      <c r="E6666" s="5">
        <v>-28500</v>
      </c>
      <c r="F6666" s="3" t="s">
        <v>298</v>
      </c>
      <c r="G6666" s="3" t="s">
        <v>43</v>
      </c>
      <c r="H6666" s="2" t="s">
        <v>21</v>
      </c>
      <c r="I6666" s="2" t="s">
        <v>12959</v>
      </c>
      <c r="J6666" s="3" t="str">
        <f>HYPERLINK("https://www.boe.es/gazeta/dias/1821/12/19/pdfs/GMD-1821-362.pdf#page=1","Abrir facsímil")</f>
        <v>Abrir facsímil</v>
      </c>
      <c r="K6666" s="3" t="s">
        <v>23</v>
      </c>
    </row>
    <row r="6667" spans="1:11" ht="42" customHeight="1">
      <c r="A6667" s="2" t="s">
        <v>12933</v>
      </c>
      <c r="B6667" s="2" t="s">
        <v>12933</v>
      </c>
      <c r="C6667" s="2" t="s">
        <v>70</v>
      </c>
      <c r="D6667" s="2" t="s">
        <v>27</v>
      </c>
      <c r="E6667" s="5">
        <v>-28496</v>
      </c>
      <c r="F6667" s="3" t="s">
        <v>785</v>
      </c>
      <c r="G6667" s="3" t="s">
        <v>886</v>
      </c>
      <c r="H6667" s="2" t="s">
        <v>21</v>
      </c>
      <c r="I6667" s="2" t="s">
        <v>12960</v>
      </c>
      <c r="J6667" s="3" t="str">
        <f>HYPERLINK("https://www.boe.es/gazeta/dias/1821/12/23/pdfs/GMD-1821-366.pdf#page=5","Abrir facsímil")</f>
        <v>Abrir facsímil</v>
      </c>
      <c r="K6667" s="3" t="s">
        <v>23</v>
      </c>
    </row>
    <row r="6668" spans="1:11" ht="42" customHeight="1">
      <c r="A6668" s="2" t="s">
        <v>12933</v>
      </c>
      <c r="B6668" s="2" t="s">
        <v>12933</v>
      </c>
      <c r="C6668" s="2" t="s">
        <v>17</v>
      </c>
      <c r="D6668" s="2" t="s">
        <v>18</v>
      </c>
      <c r="E6668" s="5">
        <v>-28496</v>
      </c>
      <c r="F6668" s="3" t="s">
        <v>785</v>
      </c>
      <c r="G6668" s="3" t="s">
        <v>88</v>
      </c>
      <c r="H6668" s="2" t="s">
        <v>21</v>
      </c>
      <c r="I6668" s="2" t="s">
        <v>12961</v>
      </c>
      <c r="J6668" s="3" t="str">
        <f>HYPERLINK("https://www.boe.es/gazeta/dias/1821/12/23/pdfs/GMD-1821-366.pdf#page=4","Abrir facsímil")</f>
        <v>Abrir facsímil</v>
      </c>
      <c r="K6668" s="3" t="s">
        <v>23</v>
      </c>
    </row>
    <row r="6669" spans="1:11" ht="42" customHeight="1">
      <c r="A6669" s="2" t="s">
        <v>12962</v>
      </c>
      <c r="B6669" s="2" t="s">
        <v>12962</v>
      </c>
      <c r="C6669" s="2" t="s">
        <v>17</v>
      </c>
      <c r="D6669" s="2" t="s">
        <v>18</v>
      </c>
      <c r="E6669" s="5">
        <v>-28536</v>
      </c>
      <c r="F6669" s="3" t="s">
        <v>553</v>
      </c>
      <c r="G6669" s="3" t="s">
        <v>29</v>
      </c>
      <c r="H6669" s="2" t="s">
        <v>21</v>
      </c>
      <c r="I6669" s="2" t="s">
        <v>12963</v>
      </c>
      <c r="J6669" s="3" t="str">
        <f>HYPERLINK("https://www.boe.es/gazeta/dias/1821/11/13/pdfs/GMD-1821-324.pdf#page=6","Abrir facsímil")</f>
        <v>Abrir facsímil</v>
      </c>
      <c r="K6669" s="3" t="s">
        <v>23</v>
      </c>
    </row>
    <row r="6670" spans="1:11" ht="42" customHeight="1">
      <c r="A6670" s="2" t="s">
        <v>12964</v>
      </c>
      <c r="B6670" s="2" t="s">
        <v>12965</v>
      </c>
      <c r="C6670" s="2" t="s">
        <v>174</v>
      </c>
      <c r="D6670" s="2" t="s">
        <v>27</v>
      </c>
      <c r="E6670" s="5">
        <v>-28824</v>
      </c>
      <c r="F6670" s="3" t="s">
        <v>1227</v>
      </c>
      <c r="G6670" s="3" t="s">
        <v>88</v>
      </c>
      <c r="H6670" s="2" t="s">
        <v>21</v>
      </c>
      <c r="I6670" s="2" t="s">
        <v>12966</v>
      </c>
      <c r="J6670" s="3" t="str">
        <f>HYPERLINK("https://www.boe.es/gazeta/dias/1821/01/29/pdfs/GGB-1821-29.pdf#page=4","Abrir facsímil")</f>
        <v>Abrir facsímil</v>
      </c>
      <c r="K6670" s="3" t="s">
        <v>23</v>
      </c>
    </row>
    <row r="6671" spans="1:11" ht="42" customHeight="1">
      <c r="A6671" s="2" t="s">
        <v>12964</v>
      </c>
      <c r="B6671" s="2" t="s">
        <v>12965</v>
      </c>
      <c r="C6671" s="2" t="s">
        <v>17</v>
      </c>
      <c r="D6671" s="2" t="s">
        <v>18</v>
      </c>
      <c r="E6671" s="5">
        <v>-28761</v>
      </c>
      <c r="F6671" s="3" t="s">
        <v>771</v>
      </c>
      <c r="G6671" s="3" t="s">
        <v>20</v>
      </c>
      <c r="H6671" s="2" t="s">
        <v>21</v>
      </c>
      <c r="I6671" s="2" t="s">
        <v>12967</v>
      </c>
      <c r="J6671" s="3" t="str">
        <f>HYPERLINK("https://www.boe.es/gazeta/dias/1821/04/02/pdfs/GMD-1821-94.pdf#page=3","Abrir facsímil")</f>
        <v>Abrir facsímil</v>
      </c>
      <c r="K6671" s="3" t="s">
        <v>23</v>
      </c>
    </row>
    <row r="6672" spans="1:11" ht="42" customHeight="1">
      <c r="A6672" s="2" t="s">
        <v>12968</v>
      </c>
      <c r="B6672" s="2" t="s">
        <v>12968</v>
      </c>
      <c r="C6672" s="2" t="s">
        <v>26</v>
      </c>
      <c r="D6672" s="2" t="s">
        <v>27</v>
      </c>
      <c r="E6672" s="5">
        <v>-28760</v>
      </c>
      <c r="F6672" s="3" t="s">
        <v>170</v>
      </c>
      <c r="G6672" s="3" t="s">
        <v>43</v>
      </c>
      <c r="H6672" s="2" t="s">
        <v>21</v>
      </c>
      <c r="I6672" s="2" t="s">
        <v>12969</v>
      </c>
      <c r="J6672" s="3" t="str">
        <f>HYPERLINK("https://www.boe.es/gazeta/dias/1821/04/03/pdfs/GMD-1821-95.pdf#page=1","Abrir facsímil")</f>
        <v>Abrir facsímil</v>
      </c>
      <c r="K6672" s="3" t="s">
        <v>23</v>
      </c>
    </row>
    <row r="6673" spans="1:11" ht="42" customHeight="1">
      <c r="A6673" s="2" t="s">
        <v>12968</v>
      </c>
      <c r="B6673" s="2" t="s">
        <v>12968</v>
      </c>
      <c r="C6673" s="2" t="s">
        <v>40</v>
      </c>
      <c r="D6673" s="2" t="s">
        <v>41</v>
      </c>
      <c r="E6673" s="5">
        <v>-28704</v>
      </c>
      <c r="F6673" s="3" t="s">
        <v>1050</v>
      </c>
      <c r="G6673" s="3" t="s">
        <v>43</v>
      </c>
      <c r="H6673" s="2" t="s">
        <v>21</v>
      </c>
      <c r="I6673" s="2" t="s">
        <v>12970</v>
      </c>
      <c r="J6673" s="3" t="str">
        <f>HYPERLINK("https://www.boe.es/gazeta/dias/1821/05/29/pdfs/GMD-1821-151.pdf#page=1","Abrir facsímil")</f>
        <v>Abrir facsímil</v>
      </c>
      <c r="K6673" s="3" t="s">
        <v>23</v>
      </c>
    </row>
    <row r="6674" spans="1:11" ht="42" customHeight="1">
      <c r="A6674" s="2" t="s">
        <v>12968</v>
      </c>
      <c r="B6674" s="2" t="s">
        <v>12968</v>
      </c>
      <c r="C6674" s="2" t="s">
        <v>26</v>
      </c>
      <c r="D6674" s="2" t="s">
        <v>27</v>
      </c>
      <c r="E6674" s="5">
        <v>-28697</v>
      </c>
      <c r="F6674" s="3" t="s">
        <v>166</v>
      </c>
      <c r="G6674" s="3" t="s">
        <v>43</v>
      </c>
      <c r="H6674" s="2" t="s">
        <v>21</v>
      </c>
      <c r="I6674" s="2" t="s">
        <v>12971</v>
      </c>
      <c r="J6674" s="3" t="str">
        <f>HYPERLINK("https://www.boe.es/gazeta/dias/1821/06/05/pdfs/GMD-1821-158.pdf#page=1","Abrir facsímil")</f>
        <v>Abrir facsímil</v>
      </c>
      <c r="K6674" s="3" t="s">
        <v>23</v>
      </c>
    </row>
    <row r="6675" spans="1:11" ht="42" customHeight="1">
      <c r="A6675" s="2" t="s">
        <v>12968</v>
      </c>
      <c r="B6675" s="2" t="s">
        <v>12968</v>
      </c>
      <c r="C6675" s="2" t="s">
        <v>40</v>
      </c>
      <c r="D6675" s="2" t="s">
        <v>41</v>
      </c>
      <c r="E6675" s="5">
        <v>-28585</v>
      </c>
      <c r="F6675" s="3" t="s">
        <v>627</v>
      </c>
      <c r="G6675" s="3" t="s">
        <v>43</v>
      </c>
      <c r="H6675" s="2" t="s">
        <v>21</v>
      </c>
      <c r="I6675" s="2" t="s">
        <v>12972</v>
      </c>
      <c r="J6675" s="3" t="str">
        <f>HYPERLINK("https://www.boe.es/gazeta/dias/1821/09/25/pdfs/GMD-1821-273.pdf#page=1","Abrir facsímil")</f>
        <v>Abrir facsímil</v>
      </c>
      <c r="K6675" s="3" t="s">
        <v>23</v>
      </c>
    </row>
    <row r="6676" spans="1:11" ht="42" customHeight="1">
      <c r="A6676" s="2" t="s">
        <v>12968</v>
      </c>
      <c r="B6676" s="2" t="s">
        <v>12968</v>
      </c>
      <c r="C6676" s="2" t="s">
        <v>26</v>
      </c>
      <c r="D6676" s="2" t="s">
        <v>27</v>
      </c>
      <c r="E6676" s="5">
        <v>-28522</v>
      </c>
      <c r="F6676" s="3" t="s">
        <v>1083</v>
      </c>
      <c r="G6676" s="3" t="s">
        <v>43</v>
      </c>
      <c r="H6676" s="2" t="s">
        <v>21</v>
      </c>
      <c r="I6676" s="2" t="s">
        <v>12973</v>
      </c>
      <c r="J6676" s="3" t="str">
        <f>HYPERLINK("https://www.boe.es/gazeta/dias/1821/11/27/pdfs/GMD-1821-339.pdf#page=1","Abrir facsímil")</f>
        <v>Abrir facsímil</v>
      </c>
      <c r="K6676" s="3" t="s">
        <v>23</v>
      </c>
    </row>
    <row r="6677" spans="1:11" ht="42" customHeight="1">
      <c r="A6677" s="2" t="s">
        <v>12968</v>
      </c>
      <c r="B6677" s="2" t="s">
        <v>12968</v>
      </c>
      <c r="C6677" s="2" t="s">
        <v>26</v>
      </c>
      <c r="D6677" s="2" t="s">
        <v>27</v>
      </c>
      <c r="E6677" s="5">
        <v>-28515</v>
      </c>
      <c r="F6677" s="3" t="s">
        <v>260</v>
      </c>
      <c r="G6677" s="3" t="s">
        <v>43</v>
      </c>
      <c r="H6677" s="2" t="s">
        <v>21</v>
      </c>
      <c r="I6677" s="2" t="s">
        <v>12974</v>
      </c>
      <c r="J6677" s="3" t="str">
        <f>HYPERLINK("https://www.boe.es/gazeta/dias/1821/12/04/pdfs/GMD-1821-346.pdf#page=1","Abrir facsímil")</f>
        <v>Abrir facsímil</v>
      </c>
      <c r="K6677" s="3" t="s">
        <v>23</v>
      </c>
    </row>
    <row r="6678" spans="1:11" ht="42" customHeight="1">
      <c r="A6678" s="2" t="s">
        <v>12975</v>
      </c>
      <c r="B6678" s="2" t="s">
        <v>12976</v>
      </c>
      <c r="C6678" s="2" t="s">
        <v>40</v>
      </c>
      <c r="D6678" s="2" t="s">
        <v>41</v>
      </c>
      <c r="E6678" s="5">
        <v>-28543</v>
      </c>
      <c r="F6678" s="3" t="s">
        <v>136</v>
      </c>
      <c r="G6678" s="3" t="s">
        <v>43</v>
      </c>
      <c r="H6678" s="2" t="s">
        <v>21</v>
      </c>
      <c r="I6678" s="2" t="s">
        <v>12977</v>
      </c>
      <c r="J6678" s="3" t="str">
        <f>HYPERLINK("https://www.boe.es/gazeta/dias/1821/11/06/pdfs/GMD-1821-317.pdf#page=1","Abrir facsímil")</f>
        <v>Abrir facsímil</v>
      </c>
      <c r="K6678" s="3" t="s">
        <v>23</v>
      </c>
    </row>
    <row r="6679" spans="1:11" ht="42" customHeight="1">
      <c r="A6679" s="2" t="s">
        <v>12978</v>
      </c>
      <c r="B6679" s="2" t="s">
        <v>12979</v>
      </c>
      <c r="C6679" s="2" t="s">
        <v>17</v>
      </c>
      <c r="D6679" s="2" t="s">
        <v>18</v>
      </c>
      <c r="E6679" s="5">
        <v>-28668</v>
      </c>
      <c r="F6679" s="3" t="s">
        <v>2130</v>
      </c>
      <c r="G6679" s="3" t="s">
        <v>20</v>
      </c>
      <c r="H6679" s="2" t="s">
        <v>21</v>
      </c>
      <c r="I6679" s="2" t="s">
        <v>12980</v>
      </c>
      <c r="J6679" s="3" t="str">
        <f>HYPERLINK("https://www.boe.es/gazeta/dias/1821/07/04/pdfs/GMD-1821-188.pdf#page=3","Abrir facsímil")</f>
        <v>Abrir facsímil</v>
      </c>
      <c r="K6679" s="3" t="s">
        <v>23</v>
      </c>
    </row>
    <row r="6680" spans="1:11" ht="42" customHeight="1">
      <c r="A6680" s="2" t="s">
        <v>12981</v>
      </c>
      <c r="B6680" s="2" t="s">
        <v>12981</v>
      </c>
      <c r="C6680" s="2" t="s">
        <v>17</v>
      </c>
      <c r="D6680" s="2" t="s">
        <v>18</v>
      </c>
      <c r="E6680" s="5">
        <v>-28739</v>
      </c>
      <c r="F6680" s="3" t="s">
        <v>1024</v>
      </c>
      <c r="G6680" s="3" t="s">
        <v>1025</v>
      </c>
      <c r="H6680" s="2" t="s">
        <v>21</v>
      </c>
      <c r="I6680" s="2" t="s">
        <v>12982</v>
      </c>
      <c r="J6680" s="3" t="str">
        <f>HYPERLINK("https://www.boe.es/gazeta/dias/1821/04/24/pdfs/GMD-1821-116.pdf#page=3","Abrir facsímil")</f>
        <v>Abrir facsímil</v>
      </c>
      <c r="K6680" s="3" t="s">
        <v>23</v>
      </c>
    </row>
    <row r="6681" spans="1:11" ht="42" customHeight="1">
      <c r="A6681" s="2" t="s">
        <v>12981</v>
      </c>
      <c r="B6681" s="2" t="s">
        <v>12981</v>
      </c>
      <c r="C6681" s="2" t="s">
        <v>26</v>
      </c>
      <c r="D6681" s="2" t="s">
        <v>27</v>
      </c>
      <c r="E6681" s="5">
        <v>-28643</v>
      </c>
      <c r="F6681" s="3" t="s">
        <v>1569</v>
      </c>
      <c r="G6681" s="3" t="s">
        <v>88</v>
      </c>
      <c r="H6681" s="2" t="s">
        <v>21</v>
      </c>
      <c r="I6681" s="2" t="s">
        <v>12983</v>
      </c>
      <c r="J6681" s="3" t="str">
        <f>HYPERLINK("https://www.boe.es/gazeta/dias/1821/07/29/pdfs/GMD-1821-214.pdf#page=4","Abrir facsímil")</f>
        <v>Abrir facsímil</v>
      </c>
      <c r="K6681" s="3" t="s">
        <v>23</v>
      </c>
    </row>
    <row r="6682" spans="1:11" ht="42" customHeight="1">
      <c r="A6682" s="2" t="s">
        <v>12984</v>
      </c>
      <c r="B6682" s="2" t="s">
        <v>12985</v>
      </c>
      <c r="C6682" s="2" t="s">
        <v>26</v>
      </c>
      <c r="D6682" s="2" t="s">
        <v>27</v>
      </c>
      <c r="E6682" s="5">
        <v>-28774</v>
      </c>
      <c r="F6682" s="3" t="s">
        <v>1221</v>
      </c>
      <c r="G6682" s="3" t="s">
        <v>29</v>
      </c>
      <c r="H6682" s="2" t="s">
        <v>21</v>
      </c>
      <c r="I6682" s="2" t="s">
        <v>12986</v>
      </c>
      <c r="J6682" s="3" t="str">
        <f>HYPERLINK("https://www.boe.es/gazeta/dias/1821/03/20/pdfs/GMD-1821-79.pdf#page=6","Abrir facsímil")</f>
        <v>Abrir facsímil</v>
      </c>
      <c r="K6682" s="3" t="s">
        <v>23</v>
      </c>
    </row>
    <row r="6683" spans="1:11" ht="42" customHeight="1">
      <c r="A6683" s="2" t="s">
        <v>12987</v>
      </c>
      <c r="B6683" s="2" t="s">
        <v>12988</v>
      </c>
      <c r="C6683" s="2" t="s">
        <v>17</v>
      </c>
      <c r="D6683" s="2" t="s">
        <v>18</v>
      </c>
      <c r="E6683" s="5">
        <v>-28547</v>
      </c>
      <c r="F6683" s="3" t="s">
        <v>247</v>
      </c>
      <c r="G6683" s="3" t="s">
        <v>248</v>
      </c>
      <c r="H6683" s="2" t="s">
        <v>21</v>
      </c>
      <c r="I6683" s="2" t="s">
        <v>12989</v>
      </c>
      <c r="J6683" s="3" t="str">
        <f>HYPERLINK("https://www.boe.es/gazeta/dias/1821/11/02/pdfs/GMD-1821-312.pdf#page=2","Abrir facsímil")</f>
        <v>Abrir facsímil</v>
      </c>
      <c r="K6683" s="3" t="s">
        <v>23</v>
      </c>
    </row>
    <row r="6684" spans="1:11" ht="42" customHeight="1">
      <c r="A6684" s="2" t="s">
        <v>12990</v>
      </c>
      <c r="B6684" s="2" t="s">
        <v>12991</v>
      </c>
      <c r="C6684" s="2" t="s">
        <v>174</v>
      </c>
      <c r="D6684" s="2" t="s">
        <v>27</v>
      </c>
      <c r="E6684" s="5">
        <v>-28530</v>
      </c>
      <c r="F6684" s="3" t="s">
        <v>237</v>
      </c>
      <c r="G6684" s="3" t="s">
        <v>52</v>
      </c>
      <c r="H6684" s="2" t="s">
        <v>21</v>
      </c>
      <c r="I6684" s="2" t="s">
        <v>12992</v>
      </c>
      <c r="J6684" s="3" t="str">
        <f>HYPERLINK("https://www.boe.es/gazeta/dias/1821/11/19/pdfs/GMD-1821-330.pdf#page=2","Abrir facsímil")</f>
        <v>Abrir facsímil</v>
      </c>
      <c r="K6684" s="3" t="s">
        <v>23</v>
      </c>
    </row>
    <row r="6685" spans="1:11" ht="42" customHeight="1">
      <c r="A6685" s="2" t="s">
        <v>12993</v>
      </c>
      <c r="B6685" s="2" t="s">
        <v>12994</v>
      </c>
      <c r="C6685" s="2" t="s">
        <v>40</v>
      </c>
      <c r="D6685" s="2" t="s">
        <v>41</v>
      </c>
      <c r="E6685" s="5">
        <v>-28690</v>
      </c>
      <c r="F6685" s="3" t="s">
        <v>846</v>
      </c>
      <c r="G6685" s="3" t="s">
        <v>847</v>
      </c>
      <c r="H6685" s="2" t="s">
        <v>21</v>
      </c>
      <c r="I6685" s="2" t="s">
        <v>12995</v>
      </c>
      <c r="J6685" s="3" t="str">
        <f>HYPERLINK("https://www.boe.es/gazeta/dias/1821/06/12/pdfs/GMD-1821-165.pdf#page=2","Abrir facsímil")</f>
        <v>Abrir facsímil</v>
      </c>
      <c r="K6685" s="3" t="s">
        <v>23</v>
      </c>
    </row>
    <row r="6686" spans="1:11" ht="42" customHeight="1">
      <c r="A6686" s="2" t="s">
        <v>12996</v>
      </c>
      <c r="B6686" s="2" t="s">
        <v>12997</v>
      </c>
      <c r="C6686" s="2" t="s">
        <v>17</v>
      </c>
      <c r="D6686" s="2" t="s">
        <v>18</v>
      </c>
      <c r="E6686" s="5">
        <v>-28545</v>
      </c>
      <c r="F6686" s="3" t="s">
        <v>284</v>
      </c>
      <c r="G6686" s="3" t="s">
        <v>52</v>
      </c>
      <c r="H6686" s="2" t="s">
        <v>21</v>
      </c>
      <c r="I6686" s="2" t="s">
        <v>12998</v>
      </c>
      <c r="J6686" s="3" t="str">
        <f>HYPERLINK("https://www.boe.es/gazeta/dias/1821/11/04/pdfs/GMD-1821-315.pdf#page=2","Abrir facsímil")</f>
        <v>Abrir facsímil</v>
      </c>
      <c r="K6686" s="3" t="s">
        <v>23</v>
      </c>
    </row>
    <row r="6687" spans="1:11" ht="42" customHeight="1">
      <c r="A6687" s="2" t="s">
        <v>12999</v>
      </c>
      <c r="B6687" s="2" t="s">
        <v>12999</v>
      </c>
      <c r="C6687" s="2" t="s">
        <v>17</v>
      </c>
      <c r="D6687" s="2" t="s">
        <v>18</v>
      </c>
      <c r="E6687" s="5">
        <v>-28778</v>
      </c>
      <c r="F6687" s="3" t="s">
        <v>1301</v>
      </c>
      <c r="G6687" s="3" t="s">
        <v>29</v>
      </c>
      <c r="H6687" s="2" t="s">
        <v>21</v>
      </c>
      <c r="I6687" s="2" t="s">
        <v>13000</v>
      </c>
      <c r="J6687" s="3" t="str">
        <f>HYPERLINK("https://www.boe.es/gazeta/dias/1821/03/16/pdfs/GMD-1821-75.pdf#page=6","Abrir facsímil")</f>
        <v>Abrir facsímil</v>
      </c>
      <c r="K6687" s="3" t="s">
        <v>23</v>
      </c>
    </row>
    <row r="6688" spans="1:11" ht="42" customHeight="1">
      <c r="A6688" s="2" t="s">
        <v>12999</v>
      </c>
      <c r="B6688" s="2" t="s">
        <v>12999</v>
      </c>
      <c r="C6688" s="2" t="s">
        <v>26</v>
      </c>
      <c r="D6688" s="2" t="s">
        <v>27</v>
      </c>
      <c r="E6688" s="5">
        <v>-28764</v>
      </c>
      <c r="F6688" s="3" t="s">
        <v>924</v>
      </c>
      <c r="G6688" s="3" t="s">
        <v>20</v>
      </c>
      <c r="H6688" s="2" t="s">
        <v>21</v>
      </c>
      <c r="I6688" s="2" t="s">
        <v>13001</v>
      </c>
      <c r="J6688" s="3" t="str">
        <f>HYPERLINK("https://www.boe.es/gazeta/dias/1821/03/30/pdfs/GMD-1821-91.pdf#page=3","Abrir facsímil")</f>
        <v>Abrir facsímil</v>
      </c>
      <c r="K6688" s="3" t="s">
        <v>23</v>
      </c>
    </row>
    <row r="6689" spans="1:11" ht="42" customHeight="1">
      <c r="A6689" s="2" t="s">
        <v>12999</v>
      </c>
      <c r="B6689" s="2" t="s">
        <v>12999</v>
      </c>
      <c r="C6689" s="2" t="s">
        <v>40</v>
      </c>
      <c r="D6689" s="2" t="s">
        <v>41</v>
      </c>
      <c r="E6689" s="5">
        <v>-28598</v>
      </c>
      <c r="F6689" s="3" t="s">
        <v>1206</v>
      </c>
      <c r="G6689" s="3" t="s">
        <v>52</v>
      </c>
      <c r="H6689" s="2" t="s">
        <v>21</v>
      </c>
      <c r="I6689" s="2" t="s">
        <v>13002</v>
      </c>
      <c r="J6689" s="3" t="str">
        <f>HYPERLINK("https://www.boe.es/gazeta/dias/1821/09/12/pdfs/GMD-1821-260.pdf#page=2","Abrir facsímil")</f>
        <v>Abrir facsímil</v>
      </c>
      <c r="K6689" s="3" t="s">
        <v>23</v>
      </c>
    </row>
    <row r="6690" spans="1:11" ht="42" customHeight="1">
      <c r="A6690" s="2" t="s">
        <v>12999</v>
      </c>
      <c r="B6690" s="2" t="s">
        <v>12999</v>
      </c>
      <c r="C6690" s="2" t="s">
        <v>40</v>
      </c>
      <c r="D6690" s="2" t="s">
        <v>41</v>
      </c>
      <c r="E6690" s="5">
        <v>-28496</v>
      </c>
      <c r="F6690" s="3" t="s">
        <v>785</v>
      </c>
      <c r="G6690" s="3" t="s">
        <v>29</v>
      </c>
      <c r="H6690" s="2" t="s">
        <v>21</v>
      </c>
      <c r="I6690" s="2" t="s">
        <v>13003</v>
      </c>
      <c r="J6690" s="3" t="str">
        <f>HYPERLINK("https://www.boe.es/gazeta/dias/1821/12/23/pdfs/GMD-1821-366.pdf#page=6","Abrir facsímil")</f>
        <v>Abrir facsímil</v>
      </c>
      <c r="K6690" s="3" t="s">
        <v>23</v>
      </c>
    </row>
    <row r="6691" spans="1:11" ht="42" customHeight="1">
      <c r="A6691" s="2" t="s">
        <v>13004</v>
      </c>
      <c r="B6691" s="2" t="s">
        <v>13005</v>
      </c>
      <c r="C6691" s="2" t="s">
        <v>26</v>
      </c>
      <c r="D6691" s="2" t="s">
        <v>27</v>
      </c>
      <c r="E6691" s="5">
        <v>-28547</v>
      </c>
      <c r="F6691" s="3" t="s">
        <v>247</v>
      </c>
      <c r="G6691" s="3" t="s">
        <v>248</v>
      </c>
      <c r="H6691" s="2" t="s">
        <v>21</v>
      </c>
      <c r="I6691" s="2" t="s">
        <v>13006</v>
      </c>
      <c r="J6691" s="3" t="str">
        <f>HYPERLINK("https://www.boe.es/gazeta/dias/1821/11/02/pdfs/GMD-1821-312.pdf#page=2","Abrir facsímil")</f>
        <v>Abrir facsímil</v>
      </c>
      <c r="K6691" s="3" t="s">
        <v>23</v>
      </c>
    </row>
    <row r="6692" spans="1:11" ht="42" customHeight="1">
      <c r="A6692" s="2" t="s">
        <v>13007</v>
      </c>
      <c r="B6692" s="2" t="s">
        <v>13008</v>
      </c>
      <c r="C6692" s="2" t="s">
        <v>174</v>
      </c>
      <c r="D6692" s="2" t="s">
        <v>27</v>
      </c>
      <c r="E6692" s="5">
        <v>-28793</v>
      </c>
      <c r="F6692" s="3" t="s">
        <v>157</v>
      </c>
      <c r="G6692" s="3" t="s">
        <v>29</v>
      </c>
      <c r="H6692" s="2" t="s">
        <v>21</v>
      </c>
      <c r="I6692" s="2" t="s">
        <v>13009</v>
      </c>
      <c r="J6692" s="3" t="str">
        <f>HYPERLINK("https://www.boe.es/gazeta/dias/1821/03/01/pdfs/GGB-1821-60.pdf#page=6","Abrir facsímil")</f>
        <v>Abrir facsímil</v>
      </c>
      <c r="K6692" s="3" t="s">
        <v>23</v>
      </c>
    </row>
    <row r="6693" spans="1:11" ht="42" customHeight="1">
      <c r="A6693" s="2" t="s">
        <v>13010</v>
      </c>
      <c r="B6693" s="2" t="s">
        <v>13011</v>
      </c>
      <c r="C6693" s="2" t="s">
        <v>40</v>
      </c>
      <c r="D6693" s="2" t="s">
        <v>41</v>
      </c>
      <c r="E6693" s="5">
        <v>-28850</v>
      </c>
      <c r="F6693" s="3" t="s">
        <v>664</v>
      </c>
      <c r="G6693" s="3" t="s">
        <v>20</v>
      </c>
      <c r="H6693" s="2" t="s">
        <v>21</v>
      </c>
      <c r="I6693" s="2" t="s">
        <v>13012</v>
      </c>
      <c r="J6693" s="3" t="str">
        <f>HYPERLINK("https://www.boe.es/gazeta/dias/1821/01/03/pdfs/GGB-1821-3.pdf#page=3","Abrir facsímil")</f>
        <v>Abrir facsímil</v>
      </c>
      <c r="K6693" s="3" t="s">
        <v>23</v>
      </c>
    </row>
    <row r="6694" spans="1:11" ht="42" customHeight="1">
      <c r="A6694" s="2" t="s">
        <v>13013</v>
      </c>
      <c r="B6694" s="2" t="s">
        <v>13014</v>
      </c>
      <c r="C6694" s="2" t="s">
        <v>35</v>
      </c>
      <c r="D6694" s="2" t="s">
        <v>27</v>
      </c>
      <c r="E6694" s="5">
        <v>-28560</v>
      </c>
      <c r="F6694" s="3" t="s">
        <v>363</v>
      </c>
      <c r="G6694" s="3" t="s">
        <v>162</v>
      </c>
      <c r="H6694" s="2" t="s">
        <v>21</v>
      </c>
      <c r="I6694" s="2" t="s">
        <v>13015</v>
      </c>
      <c r="J6694" s="3" t="str">
        <f>HYPERLINK("https://www.boe.es/gazeta/dias/1821/10/20/pdfs/GMD-1821-299.pdf#page=5","Abrir facsímil")</f>
        <v>Abrir facsímil</v>
      </c>
      <c r="K6694" s="3" t="s">
        <v>23</v>
      </c>
    </row>
    <row r="6695" spans="1:11" ht="42" customHeight="1">
      <c r="A6695" s="2" t="s">
        <v>13016</v>
      </c>
      <c r="B6695" s="2" t="s">
        <v>13017</v>
      </c>
      <c r="C6695" s="2" t="s">
        <v>40</v>
      </c>
      <c r="D6695" s="2" t="s">
        <v>41</v>
      </c>
      <c r="E6695" s="5">
        <v>-28731</v>
      </c>
      <c r="F6695" s="3" t="s">
        <v>577</v>
      </c>
      <c r="G6695" s="3" t="s">
        <v>52</v>
      </c>
      <c r="H6695" s="2" t="s">
        <v>21</v>
      </c>
      <c r="I6695" s="2" t="s">
        <v>13018</v>
      </c>
      <c r="J6695" s="3" t="str">
        <f>HYPERLINK("https://www.boe.es/gazeta/dias/1821/05/02/pdfs/GMD-1821-124.pdf#page=2","Abrir facsímil")</f>
        <v>Abrir facsímil</v>
      </c>
      <c r="K6695" s="3" t="s">
        <v>23</v>
      </c>
    </row>
    <row r="6696" spans="1:11" ht="42" customHeight="1">
      <c r="A6696" s="2" t="s">
        <v>13019</v>
      </c>
      <c r="B6696" s="2" t="s">
        <v>13020</v>
      </c>
      <c r="C6696" s="2" t="s">
        <v>35</v>
      </c>
      <c r="D6696" s="2" t="s">
        <v>27</v>
      </c>
      <c r="E6696" s="5">
        <v>-28596</v>
      </c>
      <c r="F6696" s="3" t="s">
        <v>1275</v>
      </c>
      <c r="G6696" s="3" t="s">
        <v>52</v>
      </c>
      <c r="H6696" s="2" t="s">
        <v>21</v>
      </c>
      <c r="I6696" s="2" t="s">
        <v>13021</v>
      </c>
      <c r="J6696" s="3" t="str">
        <f>HYPERLINK("https://www.boe.es/gazeta/dias/1821/09/14/pdfs/GMD-1821-262.pdf#page=2","Abrir facsímil")</f>
        <v>Abrir facsímil</v>
      </c>
      <c r="K6696" s="3" t="s">
        <v>23</v>
      </c>
    </row>
    <row r="6697" spans="1:11" ht="42" customHeight="1">
      <c r="A6697" s="2" t="s">
        <v>13022</v>
      </c>
      <c r="B6697" s="2" t="s">
        <v>13023</v>
      </c>
      <c r="C6697" s="2" t="s">
        <v>40</v>
      </c>
      <c r="D6697" s="2" t="s">
        <v>41</v>
      </c>
      <c r="E6697" s="5">
        <v>-28727</v>
      </c>
      <c r="F6697" s="3" t="s">
        <v>200</v>
      </c>
      <c r="G6697" s="3" t="s">
        <v>20</v>
      </c>
      <c r="H6697" s="2" t="s">
        <v>21</v>
      </c>
      <c r="I6697" s="2" t="s">
        <v>13024</v>
      </c>
      <c r="J6697" s="3" t="str">
        <f>HYPERLINK("https://www.boe.es/gazeta/dias/1821/05/06/pdfs/GMD-1821-128.pdf#page=3","Abrir facsímil")</f>
        <v>Abrir facsímil</v>
      </c>
      <c r="K6697" s="3" t="s">
        <v>23</v>
      </c>
    </row>
    <row r="6698" spans="1:11" ht="42" customHeight="1">
      <c r="A6698" s="2" t="s">
        <v>13022</v>
      </c>
      <c r="B6698" s="2" t="s">
        <v>13023</v>
      </c>
      <c r="C6698" s="2" t="s">
        <v>17</v>
      </c>
      <c r="D6698" s="2" t="s">
        <v>18</v>
      </c>
      <c r="E6698" s="5">
        <v>-28707</v>
      </c>
      <c r="F6698" s="3" t="s">
        <v>495</v>
      </c>
      <c r="G6698" s="3" t="s">
        <v>52</v>
      </c>
      <c r="H6698" s="2" t="s">
        <v>21</v>
      </c>
      <c r="I6698" s="2" t="s">
        <v>13025</v>
      </c>
      <c r="J6698" s="3" t="str">
        <f>HYPERLINK("https://www.boe.es/gazeta/dias/1821/05/26/pdfs/GMD-1821-148.pdf#page=2","Abrir facsímil")</f>
        <v>Abrir facsímil</v>
      </c>
      <c r="K6698" s="3" t="s">
        <v>23</v>
      </c>
    </row>
    <row r="6699" spans="1:11" ht="42" customHeight="1">
      <c r="A6699" s="2" t="s">
        <v>13026</v>
      </c>
      <c r="B6699" s="2" t="s">
        <v>13027</v>
      </c>
      <c r="C6699" s="2" t="s">
        <v>26</v>
      </c>
      <c r="D6699" s="2" t="s">
        <v>27</v>
      </c>
      <c r="E6699" s="5">
        <v>-28560</v>
      </c>
      <c r="F6699" s="3" t="s">
        <v>363</v>
      </c>
      <c r="G6699" s="3" t="s">
        <v>162</v>
      </c>
      <c r="H6699" s="2" t="s">
        <v>21</v>
      </c>
      <c r="I6699" s="2" t="s">
        <v>13028</v>
      </c>
      <c r="J6699" s="3" t="str">
        <f>HYPERLINK("https://www.boe.es/gazeta/dias/1821/10/20/pdfs/GMD-1821-299.pdf#page=5","Abrir facsímil")</f>
        <v>Abrir facsímil</v>
      </c>
      <c r="K6699" s="3" t="s">
        <v>23</v>
      </c>
    </row>
    <row r="6700" spans="1:11" ht="42" customHeight="1">
      <c r="A6700" s="2" t="s">
        <v>13029</v>
      </c>
      <c r="B6700" s="2" t="s">
        <v>13030</v>
      </c>
      <c r="C6700" s="2" t="s">
        <v>40</v>
      </c>
      <c r="D6700" s="2" t="s">
        <v>41</v>
      </c>
      <c r="E6700" s="5">
        <v>-28510</v>
      </c>
      <c r="F6700" s="3" t="s">
        <v>83</v>
      </c>
      <c r="G6700" s="3" t="s">
        <v>52</v>
      </c>
      <c r="H6700" s="2" t="s">
        <v>21</v>
      </c>
      <c r="I6700" s="2" t="s">
        <v>13031</v>
      </c>
      <c r="J6700" s="3" t="str">
        <f>HYPERLINK("https://www.boe.es/gazeta/dias/1821/12/09/pdfs/GMD-1821-351.pdf#page=2","Abrir facsímil")</f>
        <v>Abrir facsímil</v>
      </c>
      <c r="K6700" s="3" t="s">
        <v>23</v>
      </c>
    </row>
    <row r="6701" spans="1:11" ht="42" customHeight="1">
      <c r="A6701" s="2" t="s">
        <v>13032</v>
      </c>
      <c r="B6701" s="2" t="s">
        <v>13033</v>
      </c>
      <c r="C6701" s="2" t="s">
        <v>40</v>
      </c>
      <c r="D6701" s="2" t="s">
        <v>41</v>
      </c>
      <c r="E6701" s="5">
        <v>-28671</v>
      </c>
      <c r="F6701" s="3" t="s">
        <v>5059</v>
      </c>
      <c r="G6701" s="3" t="s">
        <v>52</v>
      </c>
      <c r="H6701" s="2" t="s">
        <v>30</v>
      </c>
      <c r="I6701" s="2" t="s">
        <v>13034</v>
      </c>
      <c r="J6701" s="3" t="str">
        <f>HYPERLINK("https://www.boe.es/gazeta/dias/1821/07/01/pdfs/GMD-1821-185.pdf#page=2","Abrir facsímil")</f>
        <v>Abrir facsímil</v>
      </c>
      <c r="K6701" s="3" t="s">
        <v>32</v>
      </c>
    </row>
    <row r="6702" spans="1:11" ht="42" customHeight="1">
      <c r="A6702" s="2" t="s">
        <v>13032</v>
      </c>
      <c r="B6702" s="2" t="s">
        <v>13033</v>
      </c>
      <c r="C6702" s="2" t="s">
        <v>40</v>
      </c>
      <c r="D6702" s="2" t="s">
        <v>41</v>
      </c>
      <c r="E6702" s="5">
        <v>-28504</v>
      </c>
      <c r="F6702" s="3" t="s">
        <v>1098</v>
      </c>
      <c r="G6702" s="3" t="s">
        <v>29</v>
      </c>
      <c r="H6702" s="2" t="s">
        <v>30</v>
      </c>
      <c r="I6702" s="2" t="s">
        <v>13035</v>
      </c>
      <c r="J6702" s="3" t="str">
        <f>HYPERLINK("https://www.boe.es/gazeta/dias/1821/12/15/pdfs/GMD-1821-358.pdf#page=6","Abrir facsímil")</f>
        <v>Abrir facsímil</v>
      </c>
      <c r="K6702" s="3" t="s">
        <v>32</v>
      </c>
    </row>
    <row r="6703" spans="1:11" ht="42" customHeight="1">
      <c r="A6703" s="2" t="s">
        <v>13036</v>
      </c>
      <c r="B6703" s="2" t="s">
        <v>13037</v>
      </c>
      <c r="C6703" s="2" t="s">
        <v>40</v>
      </c>
      <c r="D6703" s="2" t="s">
        <v>41</v>
      </c>
      <c r="E6703" s="5">
        <v>-28735</v>
      </c>
      <c r="F6703" s="3" t="s">
        <v>836</v>
      </c>
      <c r="G6703" s="3" t="s">
        <v>88</v>
      </c>
      <c r="H6703" s="2" t="s">
        <v>21</v>
      </c>
      <c r="I6703" s="2" t="s">
        <v>13038</v>
      </c>
      <c r="J6703" s="3" t="str">
        <f>HYPERLINK("https://www.boe.es/gazeta/dias/1821/04/28/pdfs/GMD-1821-120.pdf#page=4","Abrir facsímil")</f>
        <v>Abrir facsímil</v>
      </c>
      <c r="K6703" s="3" t="s">
        <v>23</v>
      </c>
    </row>
    <row r="6704" spans="1:11" ht="42" customHeight="1">
      <c r="A6704" s="2" t="s">
        <v>13039</v>
      </c>
      <c r="B6704" s="2" t="s">
        <v>13040</v>
      </c>
      <c r="C6704" s="2" t="s">
        <v>40</v>
      </c>
      <c r="D6704" s="2" t="s">
        <v>41</v>
      </c>
      <c r="E6704" s="5">
        <v>-28622</v>
      </c>
      <c r="F6704" s="3" t="s">
        <v>2771</v>
      </c>
      <c r="G6704" s="3" t="s">
        <v>52</v>
      </c>
      <c r="H6704" s="2" t="s">
        <v>21</v>
      </c>
      <c r="I6704" s="2" t="s">
        <v>13041</v>
      </c>
      <c r="J6704" s="3" t="str">
        <f>HYPERLINK("https://www.boe.es/gazeta/dias/1821/08/19/pdfs/GMD-1821-236.pdf#page=2","Abrir facsímil")</f>
        <v>Abrir facsímil</v>
      </c>
      <c r="K6704" s="3" t="s">
        <v>23</v>
      </c>
    </row>
    <row r="6705" spans="1:11" ht="42" customHeight="1">
      <c r="A6705" s="2" t="s">
        <v>13039</v>
      </c>
      <c r="B6705" s="2" t="s">
        <v>13040</v>
      </c>
      <c r="C6705" s="2" t="s">
        <v>40</v>
      </c>
      <c r="D6705" s="2" t="s">
        <v>41</v>
      </c>
      <c r="E6705" s="5">
        <v>-28513</v>
      </c>
      <c r="F6705" s="3" t="s">
        <v>502</v>
      </c>
      <c r="G6705" s="3" t="s">
        <v>52</v>
      </c>
      <c r="H6705" s="2" t="s">
        <v>21</v>
      </c>
      <c r="I6705" s="2" t="s">
        <v>13042</v>
      </c>
      <c r="J6705" s="3" t="str">
        <f>HYPERLINK("https://www.boe.es/gazeta/dias/1821/12/06/pdfs/GMD-1821-348.pdf#page=2","Abrir facsímil")</f>
        <v>Abrir facsímil</v>
      </c>
      <c r="K6705" s="3" t="s">
        <v>23</v>
      </c>
    </row>
    <row r="6706" spans="1:11" ht="42" customHeight="1">
      <c r="A6706" s="2" t="s">
        <v>13043</v>
      </c>
      <c r="B6706" s="2" t="s">
        <v>13044</v>
      </c>
      <c r="C6706" s="2" t="s">
        <v>70</v>
      </c>
      <c r="D6706" s="2" t="s">
        <v>27</v>
      </c>
      <c r="E6706" s="5">
        <v>-28741</v>
      </c>
      <c r="F6706" s="3" t="s">
        <v>1841</v>
      </c>
      <c r="G6706" s="3" t="s">
        <v>88</v>
      </c>
      <c r="H6706" s="2" t="s">
        <v>21</v>
      </c>
      <c r="I6706" s="2" t="s">
        <v>13045</v>
      </c>
      <c r="J6706" s="3" t="str">
        <f>HYPERLINK("https://www.boe.es/gazeta/dias/1821/04/22/pdfs/GMD-1821-114.pdf#page=4","Abrir facsímil")</f>
        <v>Abrir facsímil</v>
      </c>
      <c r="K6706" s="3" t="s">
        <v>23</v>
      </c>
    </row>
    <row r="6707" spans="1:11" ht="42" customHeight="1">
      <c r="A6707" s="2" t="s">
        <v>13046</v>
      </c>
      <c r="B6707" s="2" t="s">
        <v>13047</v>
      </c>
      <c r="C6707" s="2" t="s">
        <v>26</v>
      </c>
      <c r="D6707" s="2" t="s">
        <v>27</v>
      </c>
      <c r="E6707" s="5">
        <v>-28770</v>
      </c>
      <c r="F6707" s="3" t="s">
        <v>1009</v>
      </c>
      <c r="G6707" s="3" t="s">
        <v>29</v>
      </c>
      <c r="H6707" s="2" t="s">
        <v>21</v>
      </c>
      <c r="I6707" s="2" t="s">
        <v>13048</v>
      </c>
      <c r="J6707" s="3" t="str">
        <f>HYPERLINK("https://www.boe.es/gazeta/dias/1821/03/24/pdfs/GMD-1821-84.pdf#page=6","Abrir facsímil")</f>
        <v>Abrir facsímil</v>
      </c>
      <c r="K6707" s="3" t="s">
        <v>23</v>
      </c>
    </row>
    <row r="6708" spans="1:11" ht="42" customHeight="1">
      <c r="A6708" s="2" t="s">
        <v>13049</v>
      </c>
      <c r="B6708" s="2" t="s">
        <v>13049</v>
      </c>
      <c r="C6708" s="2" t="s">
        <v>279</v>
      </c>
      <c r="D6708" s="2" t="s">
        <v>27</v>
      </c>
      <c r="E6708" s="5">
        <v>-28789</v>
      </c>
      <c r="F6708" s="3" t="s">
        <v>36</v>
      </c>
      <c r="G6708" s="3" t="s">
        <v>993</v>
      </c>
      <c r="H6708" s="2" t="s">
        <v>21</v>
      </c>
      <c r="I6708" s="2" t="s">
        <v>13050</v>
      </c>
      <c r="J6708" s="3" t="str">
        <f>HYPERLINK("https://www.boe.es/gazeta/dias/1821/03/05/pdfs/GGB-1821-64.pdf#page=4","Abrir facsímil")</f>
        <v>Abrir facsímil</v>
      </c>
      <c r="K6708" s="3" t="s">
        <v>23</v>
      </c>
    </row>
    <row r="6709" spans="1:11" ht="42" customHeight="1">
      <c r="A6709" s="2" t="s">
        <v>13049</v>
      </c>
      <c r="B6709" s="2" t="s">
        <v>13049</v>
      </c>
      <c r="C6709" s="2" t="s">
        <v>35</v>
      </c>
      <c r="D6709" s="2" t="s">
        <v>27</v>
      </c>
      <c r="E6709" s="5">
        <v>-28788</v>
      </c>
      <c r="F6709" s="3" t="s">
        <v>996</v>
      </c>
      <c r="G6709" s="3" t="s">
        <v>20</v>
      </c>
      <c r="H6709" s="2" t="s">
        <v>21</v>
      </c>
      <c r="I6709" s="2" t="s">
        <v>13051</v>
      </c>
      <c r="J6709" s="3" t="str">
        <f>HYPERLINK("https://www.boe.es/gazeta/dias/1821/03/06/pdfs/GGB-1821-65.pdf#page=3","Abrir facsímil")</f>
        <v>Abrir facsímil</v>
      </c>
      <c r="K6709" s="3" t="s">
        <v>23</v>
      </c>
    </row>
    <row r="6710" spans="1:11" ht="42" customHeight="1">
      <c r="A6710" s="2" t="s">
        <v>13052</v>
      </c>
      <c r="B6710" s="2" t="s">
        <v>13052</v>
      </c>
      <c r="C6710" s="2" t="s">
        <v>35</v>
      </c>
      <c r="D6710" s="2" t="s">
        <v>27</v>
      </c>
      <c r="E6710" s="5">
        <v>-28782</v>
      </c>
      <c r="F6710" s="3" t="s">
        <v>508</v>
      </c>
      <c r="G6710" s="3" t="s">
        <v>88</v>
      </c>
      <c r="H6710" s="2" t="s">
        <v>21</v>
      </c>
      <c r="I6710" s="2" t="s">
        <v>13053</v>
      </c>
      <c r="J6710" s="3" t="str">
        <f>HYPERLINK("https://www.boe.es/gazeta/dias/1821/03/12/pdfs/GMD-1821-71.pdf#page=4","Abrir facsímil")</f>
        <v>Abrir facsímil</v>
      </c>
      <c r="K6710" s="3" t="s">
        <v>23</v>
      </c>
    </row>
    <row r="6711" spans="1:11" ht="42" customHeight="1">
      <c r="A6711" s="2" t="s">
        <v>13049</v>
      </c>
      <c r="B6711" s="2" t="s">
        <v>13049</v>
      </c>
      <c r="C6711" s="2" t="s">
        <v>35</v>
      </c>
      <c r="D6711" s="2" t="s">
        <v>27</v>
      </c>
      <c r="E6711" s="5">
        <v>-28778</v>
      </c>
      <c r="F6711" s="3" t="s">
        <v>1301</v>
      </c>
      <c r="G6711" s="3" t="s">
        <v>88</v>
      </c>
      <c r="H6711" s="2" t="s">
        <v>21</v>
      </c>
      <c r="I6711" s="2" t="s">
        <v>13054</v>
      </c>
      <c r="J6711" s="3" t="str">
        <f>HYPERLINK("https://www.boe.es/gazeta/dias/1821/03/16/pdfs/GMD-1821-75.pdf#page=4","Abrir facsímil")</f>
        <v>Abrir facsímil</v>
      </c>
      <c r="K6711" s="3" t="s">
        <v>23</v>
      </c>
    </row>
    <row r="6712" spans="1:11" ht="42" customHeight="1">
      <c r="A6712" s="2" t="s">
        <v>13049</v>
      </c>
      <c r="B6712" s="2" t="s">
        <v>13049</v>
      </c>
      <c r="C6712" s="2" t="s">
        <v>26</v>
      </c>
      <c r="D6712" s="2" t="s">
        <v>27</v>
      </c>
      <c r="E6712" s="5">
        <v>-28778</v>
      </c>
      <c r="F6712" s="3" t="s">
        <v>1301</v>
      </c>
      <c r="G6712" s="3" t="s">
        <v>162</v>
      </c>
      <c r="H6712" s="2" t="s">
        <v>21</v>
      </c>
      <c r="I6712" s="2" t="s">
        <v>13055</v>
      </c>
      <c r="J6712" s="3" t="str">
        <f>HYPERLINK("https://www.boe.es/gazeta/dias/1821/03/16/pdfs/GMD-1821-75.pdf#page=5","Abrir facsímil")</f>
        <v>Abrir facsímil</v>
      </c>
      <c r="K6712" s="3" t="s">
        <v>23</v>
      </c>
    </row>
    <row r="6713" spans="1:11" ht="42" customHeight="1">
      <c r="A6713" s="2" t="s">
        <v>13049</v>
      </c>
      <c r="B6713" s="2" t="s">
        <v>13049</v>
      </c>
      <c r="C6713" s="2" t="s">
        <v>17</v>
      </c>
      <c r="D6713" s="2" t="s">
        <v>18</v>
      </c>
      <c r="E6713" s="5">
        <v>-28776</v>
      </c>
      <c r="F6713" s="3" t="s">
        <v>312</v>
      </c>
      <c r="G6713" s="3" t="s">
        <v>88</v>
      </c>
      <c r="H6713" s="2" t="s">
        <v>21</v>
      </c>
      <c r="I6713" s="2" t="s">
        <v>13056</v>
      </c>
      <c r="J6713" s="3" t="str">
        <f>HYPERLINK("https://www.boe.es/gazeta/dias/1821/03/18/pdfs/GMD-1821-77.pdf#page=4","Abrir facsímil")</f>
        <v>Abrir facsímil</v>
      </c>
      <c r="K6713" s="3" t="s">
        <v>23</v>
      </c>
    </row>
    <row r="6714" spans="1:11" ht="42" customHeight="1">
      <c r="A6714" s="2" t="s">
        <v>13049</v>
      </c>
      <c r="B6714" s="2" t="s">
        <v>13049</v>
      </c>
      <c r="C6714" s="2" t="s">
        <v>35</v>
      </c>
      <c r="D6714" s="2" t="s">
        <v>27</v>
      </c>
      <c r="E6714" s="5">
        <v>-28775</v>
      </c>
      <c r="F6714" s="3" t="s">
        <v>132</v>
      </c>
      <c r="G6714" s="3" t="s">
        <v>52</v>
      </c>
      <c r="H6714" s="2" t="s">
        <v>21</v>
      </c>
      <c r="I6714" s="2" t="s">
        <v>13057</v>
      </c>
      <c r="J6714" s="3" t="str">
        <f>HYPERLINK("https://www.boe.es/gazeta/dias/1821/03/19/pdfs/GMD-1821-78.pdf#page=2","Abrir facsímil")</f>
        <v>Abrir facsímil</v>
      </c>
      <c r="K6714" s="3" t="s">
        <v>23</v>
      </c>
    </row>
    <row r="6715" spans="1:11" ht="42" customHeight="1">
      <c r="A6715" s="2" t="s">
        <v>13049</v>
      </c>
      <c r="B6715" s="2" t="s">
        <v>13049</v>
      </c>
      <c r="C6715" s="2" t="s">
        <v>17</v>
      </c>
      <c r="D6715" s="2" t="s">
        <v>18</v>
      </c>
      <c r="E6715" s="5">
        <v>-28774</v>
      </c>
      <c r="F6715" s="3" t="s">
        <v>1221</v>
      </c>
      <c r="G6715" s="3" t="s">
        <v>88</v>
      </c>
      <c r="H6715" s="2" t="s">
        <v>21</v>
      </c>
      <c r="I6715" s="2" t="s">
        <v>13058</v>
      </c>
      <c r="J6715" s="3" t="str">
        <f>HYPERLINK("https://www.boe.es/gazeta/dias/1821/03/20/pdfs/GMD-1821-79.pdf#page=4","Abrir facsímil")</f>
        <v>Abrir facsímil</v>
      </c>
      <c r="K6715" s="3" t="s">
        <v>23</v>
      </c>
    </row>
    <row r="6716" spans="1:11" ht="42" customHeight="1">
      <c r="A6716" s="2" t="s">
        <v>13049</v>
      </c>
      <c r="B6716" s="2" t="s">
        <v>13049</v>
      </c>
      <c r="C6716" s="2" t="s">
        <v>40</v>
      </c>
      <c r="D6716" s="2" t="s">
        <v>41</v>
      </c>
      <c r="E6716" s="5">
        <v>-28768</v>
      </c>
      <c r="F6716" s="3" t="s">
        <v>1114</v>
      </c>
      <c r="G6716" s="3" t="s">
        <v>20</v>
      </c>
      <c r="H6716" s="2" t="s">
        <v>21</v>
      </c>
      <c r="I6716" s="2" t="s">
        <v>13059</v>
      </c>
      <c r="J6716" s="3" t="str">
        <f>HYPERLINK("https://www.boe.es/gazeta/dias/1821/03/26/pdfs/GMD-1821-86.pdf#page=3","Abrir facsímil")</f>
        <v>Abrir facsímil</v>
      </c>
      <c r="K6716" s="3" t="s">
        <v>23</v>
      </c>
    </row>
    <row r="6717" spans="1:11" ht="42" customHeight="1">
      <c r="A6717" s="2" t="s">
        <v>13049</v>
      </c>
      <c r="B6717" s="2" t="s">
        <v>13049</v>
      </c>
      <c r="C6717" s="2" t="s">
        <v>17</v>
      </c>
      <c r="D6717" s="2" t="s">
        <v>18</v>
      </c>
      <c r="E6717" s="5">
        <v>-28767</v>
      </c>
      <c r="F6717" s="3" t="s">
        <v>1439</v>
      </c>
      <c r="G6717" s="3" t="s">
        <v>1440</v>
      </c>
      <c r="H6717" s="2" t="s">
        <v>21</v>
      </c>
      <c r="I6717" s="2" t="s">
        <v>13060</v>
      </c>
      <c r="J6717" s="3" t="str">
        <f>HYPERLINK("https://www.boe.es/gazeta/dias/1821/03/27/pdfs/GMD-1821-87.pdf#page=3","Abrir facsímil")</f>
        <v>Abrir facsímil</v>
      </c>
      <c r="K6717" s="3" t="s">
        <v>23</v>
      </c>
    </row>
    <row r="6718" spans="1:11" ht="42" customHeight="1">
      <c r="A6718" s="2" t="s">
        <v>13049</v>
      </c>
      <c r="B6718" s="2" t="s">
        <v>13049</v>
      </c>
      <c r="C6718" s="2" t="s">
        <v>26</v>
      </c>
      <c r="D6718" s="2" t="s">
        <v>27</v>
      </c>
      <c r="E6718" s="5">
        <v>-28767</v>
      </c>
      <c r="F6718" s="3" t="s">
        <v>1439</v>
      </c>
      <c r="G6718" s="3" t="s">
        <v>3737</v>
      </c>
      <c r="H6718" s="2" t="s">
        <v>21</v>
      </c>
      <c r="I6718" s="2" t="s">
        <v>13061</v>
      </c>
      <c r="J6718" s="3" t="str">
        <f>HYPERLINK("https://www.boe.es/gazeta/dias/1821/03/27/pdfs/GMD-1821-87.pdf#page=4","Abrir facsímil")</f>
        <v>Abrir facsímil</v>
      </c>
      <c r="K6718" s="3" t="s">
        <v>23</v>
      </c>
    </row>
    <row r="6719" spans="1:11" ht="42" customHeight="1">
      <c r="A6719" s="2" t="s">
        <v>13052</v>
      </c>
      <c r="B6719" s="2" t="s">
        <v>13052</v>
      </c>
      <c r="C6719" s="2" t="s">
        <v>26</v>
      </c>
      <c r="D6719" s="2" t="s">
        <v>27</v>
      </c>
      <c r="E6719" s="5">
        <v>-28764</v>
      </c>
      <c r="F6719" s="3" t="s">
        <v>924</v>
      </c>
      <c r="G6719" s="3" t="s">
        <v>88</v>
      </c>
      <c r="H6719" s="2" t="s">
        <v>21</v>
      </c>
      <c r="I6719" s="2" t="s">
        <v>13062</v>
      </c>
      <c r="J6719" s="3" t="str">
        <f>HYPERLINK("https://www.boe.es/gazeta/dias/1821/03/30/pdfs/GMD-1821-91.pdf#page=4","Abrir facsímil")</f>
        <v>Abrir facsímil</v>
      </c>
      <c r="K6719" s="3" t="s">
        <v>23</v>
      </c>
    </row>
    <row r="6720" spans="1:11" ht="42" customHeight="1">
      <c r="A6720" s="2" t="s">
        <v>13052</v>
      </c>
      <c r="B6720" s="2" t="s">
        <v>13052</v>
      </c>
      <c r="C6720" s="2" t="s">
        <v>40</v>
      </c>
      <c r="D6720" s="2" t="s">
        <v>41</v>
      </c>
      <c r="E6720" s="5">
        <v>-28762</v>
      </c>
      <c r="F6720" s="3" t="s">
        <v>608</v>
      </c>
      <c r="G6720" s="3" t="s">
        <v>29</v>
      </c>
      <c r="H6720" s="2" t="s">
        <v>21</v>
      </c>
      <c r="I6720" s="2" t="s">
        <v>13063</v>
      </c>
      <c r="J6720" s="3" t="str">
        <f>HYPERLINK("https://www.boe.es/gazeta/dias/1821/04/01/pdfs/GMD-1821-93.pdf#page=6","Abrir facsímil")</f>
        <v>Abrir facsímil</v>
      </c>
      <c r="K6720" s="3" t="s">
        <v>23</v>
      </c>
    </row>
    <row r="6721" spans="1:11" ht="42" customHeight="1">
      <c r="A6721" s="2" t="s">
        <v>13049</v>
      </c>
      <c r="B6721" s="2" t="s">
        <v>13049</v>
      </c>
      <c r="C6721" s="2" t="s">
        <v>40</v>
      </c>
      <c r="D6721" s="2" t="s">
        <v>41</v>
      </c>
      <c r="E6721" s="5">
        <v>-28761</v>
      </c>
      <c r="F6721" s="3" t="s">
        <v>771</v>
      </c>
      <c r="G6721" s="3" t="s">
        <v>52</v>
      </c>
      <c r="H6721" s="2" t="s">
        <v>21</v>
      </c>
      <c r="I6721" s="2" t="s">
        <v>13064</v>
      </c>
      <c r="J6721" s="3" t="str">
        <f>HYPERLINK("https://www.boe.es/gazeta/dias/1821/04/02/pdfs/GMD-1821-94.pdf#page=2","Abrir facsímil")</f>
        <v>Abrir facsímil</v>
      </c>
      <c r="K6721" s="3" t="s">
        <v>23</v>
      </c>
    </row>
    <row r="6722" spans="1:11" ht="42" customHeight="1">
      <c r="A6722" s="2" t="s">
        <v>13052</v>
      </c>
      <c r="B6722" s="2" t="s">
        <v>13052</v>
      </c>
      <c r="C6722" s="2" t="s">
        <v>17</v>
      </c>
      <c r="D6722" s="2" t="s">
        <v>18</v>
      </c>
      <c r="E6722" s="5">
        <v>-28759</v>
      </c>
      <c r="F6722" s="3" t="s">
        <v>71</v>
      </c>
      <c r="G6722" s="3" t="s">
        <v>52</v>
      </c>
      <c r="H6722" s="2" t="s">
        <v>21</v>
      </c>
      <c r="I6722" s="2" t="s">
        <v>13065</v>
      </c>
      <c r="J6722" s="3" t="str">
        <f>HYPERLINK("https://www.boe.es/gazeta/dias/1821/04/04/pdfs/GMD-1821-96.pdf#page=2","Abrir facsímil")</f>
        <v>Abrir facsímil</v>
      </c>
      <c r="K6722" s="3" t="s">
        <v>23</v>
      </c>
    </row>
    <row r="6723" spans="1:11" ht="42" customHeight="1">
      <c r="A6723" s="2" t="s">
        <v>13049</v>
      </c>
      <c r="B6723" s="2" t="s">
        <v>13049</v>
      </c>
      <c r="C6723" s="2" t="s">
        <v>26</v>
      </c>
      <c r="D6723" s="2" t="s">
        <v>27</v>
      </c>
      <c r="E6723" s="5">
        <v>-28753</v>
      </c>
      <c r="F6723" s="3" t="s">
        <v>720</v>
      </c>
      <c r="G6723" s="3" t="s">
        <v>20</v>
      </c>
      <c r="H6723" s="2" t="s">
        <v>21</v>
      </c>
      <c r="I6723" s="2" t="s">
        <v>13066</v>
      </c>
      <c r="J6723" s="3" t="str">
        <f>HYPERLINK("https://www.boe.es/gazeta/dias/1821/04/10/pdfs/GMD-1821-102.pdf#page=3","Abrir facsímil")</f>
        <v>Abrir facsímil</v>
      </c>
      <c r="K6723" s="3" t="s">
        <v>23</v>
      </c>
    </row>
    <row r="6724" spans="1:11" ht="42" customHeight="1">
      <c r="A6724" s="2" t="s">
        <v>13049</v>
      </c>
      <c r="B6724" s="2" t="s">
        <v>13049</v>
      </c>
      <c r="C6724" s="2" t="s">
        <v>40</v>
      </c>
      <c r="D6724" s="2" t="s">
        <v>41</v>
      </c>
      <c r="E6724" s="5">
        <v>-28753</v>
      </c>
      <c r="F6724" s="3" t="s">
        <v>720</v>
      </c>
      <c r="G6724" s="3" t="s">
        <v>88</v>
      </c>
      <c r="H6724" s="2" t="s">
        <v>21</v>
      </c>
      <c r="I6724" s="2" t="s">
        <v>13067</v>
      </c>
      <c r="J6724" s="3" t="str">
        <f>HYPERLINK("https://www.boe.es/gazeta/dias/1821/04/10/pdfs/GMD-1821-102.pdf#page=4","Abrir facsímil")</f>
        <v>Abrir facsímil</v>
      </c>
      <c r="K6724" s="3" t="s">
        <v>23</v>
      </c>
    </row>
    <row r="6725" spans="1:11" ht="42" customHeight="1">
      <c r="A6725" s="2" t="s">
        <v>13049</v>
      </c>
      <c r="B6725" s="2" t="s">
        <v>13049</v>
      </c>
      <c r="C6725" s="2" t="s">
        <v>17</v>
      </c>
      <c r="D6725" s="2" t="s">
        <v>18</v>
      </c>
      <c r="E6725" s="5">
        <v>-28752</v>
      </c>
      <c r="F6725" s="3" t="s">
        <v>1012</v>
      </c>
      <c r="G6725" s="3" t="s">
        <v>1013</v>
      </c>
      <c r="H6725" s="2" t="s">
        <v>21</v>
      </c>
      <c r="I6725" s="2" t="s">
        <v>13068</v>
      </c>
      <c r="J6725" s="3" t="str">
        <f>HYPERLINK("https://www.boe.es/gazeta/dias/1821/04/11/pdfs/GMD-1821-103.pdf#page=3","Abrir facsímil")</f>
        <v>Abrir facsímil</v>
      </c>
      <c r="K6725" s="3" t="s">
        <v>23</v>
      </c>
    </row>
    <row r="6726" spans="1:11" ht="42" customHeight="1">
      <c r="A6726" s="2" t="s">
        <v>13049</v>
      </c>
      <c r="B6726" s="2" t="s">
        <v>13049</v>
      </c>
      <c r="C6726" s="2" t="s">
        <v>26</v>
      </c>
      <c r="D6726" s="2" t="s">
        <v>27</v>
      </c>
      <c r="E6726" s="5">
        <v>-28752</v>
      </c>
      <c r="F6726" s="3" t="s">
        <v>1012</v>
      </c>
      <c r="G6726" s="3" t="s">
        <v>43</v>
      </c>
      <c r="H6726" s="2" t="s">
        <v>21</v>
      </c>
      <c r="I6726" s="2" t="s">
        <v>13069</v>
      </c>
      <c r="J6726" s="3" t="str">
        <f>HYPERLINK("https://www.boe.es/gazeta/dias/1821/04/11/pdfs/GMD-1821-103.pdf#page=1","Abrir facsímil")</f>
        <v>Abrir facsímil</v>
      </c>
      <c r="K6726" s="3" t="s">
        <v>23</v>
      </c>
    </row>
    <row r="6727" spans="1:11" ht="42" customHeight="1">
      <c r="A6727" s="2" t="s">
        <v>13049</v>
      </c>
      <c r="B6727" s="2" t="s">
        <v>13049</v>
      </c>
      <c r="C6727" s="2" t="s">
        <v>17</v>
      </c>
      <c r="D6727" s="2" t="s">
        <v>18</v>
      </c>
      <c r="E6727" s="5">
        <v>-28750</v>
      </c>
      <c r="F6727" s="3" t="s">
        <v>917</v>
      </c>
      <c r="G6727" s="3" t="s">
        <v>52</v>
      </c>
      <c r="H6727" s="2" t="s">
        <v>21</v>
      </c>
      <c r="I6727" s="2" t="s">
        <v>13070</v>
      </c>
      <c r="J6727" s="3" t="str">
        <f>HYPERLINK("https://www.boe.es/gazeta/dias/1821/04/13/pdfs/GMD-1821-105.pdf#page=2","Abrir facsímil")</f>
        <v>Abrir facsímil</v>
      </c>
      <c r="K6727" s="3" t="s">
        <v>23</v>
      </c>
    </row>
    <row r="6728" spans="1:11" ht="42" customHeight="1">
      <c r="A6728" s="2" t="s">
        <v>13052</v>
      </c>
      <c r="B6728" s="2" t="s">
        <v>13052</v>
      </c>
      <c r="C6728" s="2" t="s">
        <v>35</v>
      </c>
      <c r="D6728" s="2" t="s">
        <v>27</v>
      </c>
      <c r="E6728" s="5">
        <v>-28749</v>
      </c>
      <c r="F6728" s="3" t="s">
        <v>832</v>
      </c>
      <c r="G6728" s="3" t="s">
        <v>20</v>
      </c>
      <c r="H6728" s="2" t="s">
        <v>21</v>
      </c>
      <c r="I6728" s="2" t="s">
        <v>13071</v>
      </c>
      <c r="J6728" s="3" t="str">
        <f>HYPERLINK("https://www.boe.es/gazeta/dias/1821/04/14/pdfs/GMD-1821-106.pdf#page=3","Abrir facsímil")</f>
        <v>Abrir facsímil</v>
      </c>
      <c r="K6728" s="3" t="s">
        <v>23</v>
      </c>
    </row>
    <row r="6729" spans="1:11" ht="42" customHeight="1">
      <c r="A6729" s="2" t="s">
        <v>13049</v>
      </c>
      <c r="B6729" s="2" t="s">
        <v>13049</v>
      </c>
      <c r="C6729" s="2" t="s">
        <v>17</v>
      </c>
      <c r="D6729" s="2" t="s">
        <v>18</v>
      </c>
      <c r="E6729" s="5">
        <v>-28748</v>
      </c>
      <c r="F6729" s="3" t="s">
        <v>634</v>
      </c>
      <c r="G6729" s="3" t="s">
        <v>20</v>
      </c>
      <c r="H6729" s="2" t="s">
        <v>21</v>
      </c>
      <c r="I6729" s="2" t="s">
        <v>13072</v>
      </c>
      <c r="J6729" s="3" t="str">
        <f>HYPERLINK("https://www.boe.es/gazeta/dias/1821/04/15/pdfs/GMD-1821-107.pdf#page=3","Abrir facsímil")</f>
        <v>Abrir facsímil</v>
      </c>
      <c r="K6729" s="3" t="s">
        <v>23</v>
      </c>
    </row>
    <row r="6730" spans="1:11" ht="42" customHeight="1">
      <c r="A6730" s="2" t="s">
        <v>13049</v>
      </c>
      <c r="B6730" s="2" t="s">
        <v>13049</v>
      </c>
      <c r="C6730" s="2" t="s">
        <v>40</v>
      </c>
      <c r="D6730" s="2" t="s">
        <v>41</v>
      </c>
      <c r="E6730" s="5">
        <v>-28748</v>
      </c>
      <c r="F6730" s="3" t="s">
        <v>634</v>
      </c>
      <c r="G6730" s="3" t="s">
        <v>88</v>
      </c>
      <c r="H6730" s="2" t="s">
        <v>21</v>
      </c>
      <c r="I6730" s="2" t="s">
        <v>13073</v>
      </c>
      <c r="J6730" s="3" t="str">
        <f>HYPERLINK("https://www.boe.es/gazeta/dias/1821/04/15/pdfs/GMD-1821-107.pdf#page=4","Abrir facsímil")</f>
        <v>Abrir facsímil</v>
      </c>
      <c r="K6730" s="3" t="s">
        <v>23</v>
      </c>
    </row>
    <row r="6731" spans="1:11" ht="42" customHeight="1">
      <c r="A6731" s="2" t="s">
        <v>13052</v>
      </c>
      <c r="B6731" s="2" t="s">
        <v>13052</v>
      </c>
      <c r="C6731" s="2" t="s">
        <v>40</v>
      </c>
      <c r="D6731" s="2" t="s">
        <v>41</v>
      </c>
      <c r="E6731" s="5">
        <v>-28747</v>
      </c>
      <c r="F6731" s="3" t="s">
        <v>1016</v>
      </c>
      <c r="G6731" s="3" t="s">
        <v>20</v>
      </c>
      <c r="H6731" s="2" t="s">
        <v>21</v>
      </c>
      <c r="I6731" s="2" t="s">
        <v>13074</v>
      </c>
      <c r="J6731" s="3" t="str">
        <f>HYPERLINK("https://www.boe.es/gazeta/dias/1821/04/16/pdfs/GMD-1821-108.pdf#page=3","Abrir facsímil")</f>
        <v>Abrir facsímil</v>
      </c>
      <c r="K6731" s="3" t="s">
        <v>23</v>
      </c>
    </row>
    <row r="6732" spans="1:11" ht="42" customHeight="1">
      <c r="A6732" s="2" t="s">
        <v>13049</v>
      </c>
      <c r="B6732" s="2" t="s">
        <v>13049</v>
      </c>
      <c r="C6732" s="2" t="s">
        <v>40</v>
      </c>
      <c r="D6732" s="2" t="s">
        <v>41</v>
      </c>
      <c r="E6732" s="5">
        <v>-28744</v>
      </c>
      <c r="F6732" s="3" t="s">
        <v>834</v>
      </c>
      <c r="G6732" s="3" t="s">
        <v>88</v>
      </c>
      <c r="H6732" s="2" t="s">
        <v>21</v>
      </c>
      <c r="I6732" s="2" t="s">
        <v>13075</v>
      </c>
      <c r="J6732" s="3" t="str">
        <f>HYPERLINK("https://www.boe.es/gazeta/dias/1821/04/19/pdfs/GMD-1821-111.pdf#page=4","Abrir facsímil")</f>
        <v>Abrir facsímil</v>
      </c>
      <c r="K6732" s="3" t="s">
        <v>23</v>
      </c>
    </row>
    <row r="6733" spans="1:11" ht="42" customHeight="1">
      <c r="A6733" s="2" t="s">
        <v>13049</v>
      </c>
      <c r="B6733" s="2" t="s">
        <v>13049</v>
      </c>
      <c r="C6733" s="2" t="s">
        <v>40</v>
      </c>
      <c r="D6733" s="2" t="s">
        <v>41</v>
      </c>
      <c r="E6733" s="5">
        <v>-28741</v>
      </c>
      <c r="F6733" s="3" t="s">
        <v>1841</v>
      </c>
      <c r="G6733" s="3" t="s">
        <v>20</v>
      </c>
      <c r="H6733" s="2" t="s">
        <v>21</v>
      </c>
      <c r="I6733" s="2" t="s">
        <v>13076</v>
      </c>
      <c r="J6733" s="3" t="str">
        <f>HYPERLINK("https://www.boe.es/gazeta/dias/1821/04/22/pdfs/GMD-1821-114.pdf#page=3","Abrir facsímil")</f>
        <v>Abrir facsímil</v>
      </c>
      <c r="K6733" s="3" t="s">
        <v>23</v>
      </c>
    </row>
    <row r="6734" spans="1:11" ht="42" customHeight="1">
      <c r="A6734" s="2" t="s">
        <v>13052</v>
      </c>
      <c r="B6734" s="2" t="s">
        <v>13052</v>
      </c>
      <c r="C6734" s="2" t="s">
        <v>17</v>
      </c>
      <c r="D6734" s="2" t="s">
        <v>18</v>
      </c>
      <c r="E6734" s="5">
        <v>-28739</v>
      </c>
      <c r="F6734" s="3" t="s">
        <v>1024</v>
      </c>
      <c r="G6734" s="3" t="s">
        <v>1025</v>
      </c>
      <c r="H6734" s="2" t="s">
        <v>21</v>
      </c>
      <c r="I6734" s="2" t="s">
        <v>13077</v>
      </c>
      <c r="J6734" s="3" t="str">
        <f>HYPERLINK("https://www.boe.es/gazeta/dias/1821/04/24/pdfs/GMD-1821-116.pdf#page=3","Abrir facsímil")</f>
        <v>Abrir facsímil</v>
      </c>
      <c r="K6734" s="3" t="s">
        <v>23</v>
      </c>
    </row>
    <row r="6735" spans="1:11" ht="42" customHeight="1">
      <c r="A6735" s="2" t="s">
        <v>13052</v>
      </c>
      <c r="B6735" s="2" t="s">
        <v>13052</v>
      </c>
      <c r="C6735" s="2" t="s">
        <v>40</v>
      </c>
      <c r="D6735" s="2" t="s">
        <v>41</v>
      </c>
      <c r="E6735" s="5">
        <v>-28739</v>
      </c>
      <c r="F6735" s="3" t="s">
        <v>1024</v>
      </c>
      <c r="G6735" s="3" t="s">
        <v>52</v>
      </c>
      <c r="H6735" s="2" t="s">
        <v>21</v>
      </c>
      <c r="I6735" s="2" t="s">
        <v>13078</v>
      </c>
      <c r="J6735" s="3" t="str">
        <f>HYPERLINK("https://www.boe.es/gazeta/dias/1821/04/24/pdfs/GMD-1821-116.pdf#page=2","Abrir facsímil")</f>
        <v>Abrir facsímil</v>
      </c>
      <c r="K6735" s="3" t="s">
        <v>23</v>
      </c>
    </row>
    <row r="6736" spans="1:11" ht="42" customHeight="1">
      <c r="A6736" s="2" t="s">
        <v>13049</v>
      </c>
      <c r="B6736" s="2" t="s">
        <v>13049</v>
      </c>
      <c r="C6736" s="2" t="s">
        <v>40</v>
      </c>
      <c r="D6736" s="2" t="s">
        <v>41</v>
      </c>
      <c r="E6736" s="5">
        <v>-28739</v>
      </c>
      <c r="F6736" s="3" t="s">
        <v>1024</v>
      </c>
      <c r="G6736" s="3" t="s">
        <v>88</v>
      </c>
      <c r="H6736" s="2" t="s">
        <v>21</v>
      </c>
      <c r="I6736" s="2" t="s">
        <v>13079</v>
      </c>
      <c r="J6736" s="3" t="str">
        <f>HYPERLINK("https://www.boe.es/gazeta/dias/1821/04/24/pdfs/GMD-1821-116.pdf#page=4","Abrir facsímil")</f>
        <v>Abrir facsímil</v>
      </c>
      <c r="K6736" s="3" t="s">
        <v>23</v>
      </c>
    </row>
    <row r="6737" spans="1:11" ht="42" customHeight="1">
      <c r="A6737" s="2" t="s">
        <v>13049</v>
      </c>
      <c r="B6737" s="2" t="s">
        <v>13049</v>
      </c>
      <c r="C6737" s="2" t="s">
        <v>174</v>
      </c>
      <c r="D6737" s="2" t="s">
        <v>27</v>
      </c>
      <c r="E6737" s="5">
        <v>-28734</v>
      </c>
      <c r="F6737" s="3" t="s">
        <v>1553</v>
      </c>
      <c r="G6737" s="3" t="s">
        <v>88</v>
      </c>
      <c r="H6737" s="2" t="s">
        <v>21</v>
      </c>
      <c r="I6737" s="2" t="s">
        <v>13080</v>
      </c>
      <c r="J6737" s="3" t="str">
        <f>HYPERLINK("https://www.boe.es/gazeta/dias/1821/04/29/pdfs/GMD-1821-121.pdf#page=4","Abrir facsímil")</f>
        <v>Abrir facsímil</v>
      </c>
      <c r="K6737" s="3" t="s">
        <v>23</v>
      </c>
    </row>
    <row r="6738" spans="1:11" ht="42" customHeight="1">
      <c r="A6738" s="2" t="s">
        <v>13049</v>
      </c>
      <c r="B6738" s="2" t="s">
        <v>13049</v>
      </c>
      <c r="C6738" s="2" t="s">
        <v>40</v>
      </c>
      <c r="D6738" s="2" t="s">
        <v>41</v>
      </c>
      <c r="E6738" s="5">
        <v>-28733</v>
      </c>
      <c r="F6738" s="3" t="s">
        <v>1033</v>
      </c>
      <c r="G6738" s="3" t="s">
        <v>20</v>
      </c>
      <c r="H6738" s="2" t="s">
        <v>21</v>
      </c>
      <c r="I6738" s="2" t="s">
        <v>13081</v>
      </c>
      <c r="J6738" s="3" t="str">
        <f>HYPERLINK("https://www.boe.es/gazeta/dias/1821/04/30/pdfs/GMD-1821-122.pdf#page=3","Abrir facsímil")</f>
        <v>Abrir facsímil</v>
      </c>
      <c r="K6738" s="3" t="s">
        <v>23</v>
      </c>
    </row>
    <row r="6739" spans="1:11" ht="42" customHeight="1">
      <c r="A6739" s="2" t="s">
        <v>13049</v>
      </c>
      <c r="B6739" s="2" t="s">
        <v>13049</v>
      </c>
      <c r="C6739" s="2" t="s">
        <v>35</v>
      </c>
      <c r="D6739" s="2" t="s">
        <v>27</v>
      </c>
      <c r="E6739" s="5">
        <v>-28730</v>
      </c>
      <c r="F6739" s="3" t="s">
        <v>747</v>
      </c>
      <c r="G6739" s="3" t="s">
        <v>88</v>
      </c>
      <c r="H6739" s="2" t="s">
        <v>21</v>
      </c>
      <c r="I6739" s="2" t="s">
        <v>13082</v>
      </c>
      <c r="J6739" s="3" t="str">
        <f>HYPERLINK("https://www.boe.es/gazeta/dias/1821/05/03/pdfs/GMD-1821-125.pdf#page=4","Abrir facsímil")</f>
        <v>Abrir facsímil</v>
      </c>
      <c r="K6739" s="3" t="s">
        <v>23</v>
      </c>
    </row>
    <row r="6740" spans="1:11" ht="42" customHeight="1">
      <c r="A6740" s="2" t="s">
        <v>13049</v>
      </c>
      <c r="B6740" s="2" t="s">
        <v>13049</v>
      </c>
      <c r="C6740" s="2" t="s">
        <v>40</v>
      </c>
      <c r="D6740" s="2" t="s">
        <v>41</v>
      </c>
      <c r="E6740" s="5">
        <v>-28727</v>
      </c>
      <c r="F6740" s="3" t="s">
        <v>200</v>
      </c>
      <c r="G6740" s="3" t="s">
        <v>20</v>
      </c>
      <c r="H6740" s="2" t="s">
        <v>21</v>
      </c>
      <c r="I6740" s="2" t="s">
        <v>13083</v>
      </c>
      <c r="J6740" s="3" t="str">
        <f>HYPERLINK("https://www.boe.es/gazeta/dias/1821/05/06/pdfs/GMD-1821-128.pdf#page=3","Abrir facsímil")</f>
        <v>Abrir facsímil</v>
      </c>
      <c r="K6740" s="3" t="s">
        <v>23</v>
      </c>
    </row>
    <row r="6741" spans="1:11" ht="42" customHeight="1">
      <c r="A6741" s="2" t="s">
        <v>13049</v>
      </c>
      <c r="B6741" s="2" t="s">
        <v>13049</v>
      </c>
      <c r="C6741" s="2" t="s">
        <v>40</v>
      </c>
      <c r="D6741" s="2" t="s">
        <v>41</v>
      </c>
      <c r="E6741" s="5">
        <v>-28726</v>
      </c>
      <c r="F6741" s="3" t="s">
        <v>347</v>
      </c>
      <c r="G6741" s="3" t="s">
        <v>52</v>
      </c>
      <c r="H6741" s="2" t="s">
        <v>21</v>
      </c>
      <c r="I6741" s="2" t="s">
        <v>13084</v>
      </c>
      <c r="J6741" s="3" t="str">
        <f>HYPERLINK("https://www.boe.es/gazeta/dias/1821/05/07/pdfs/GMD-1821-129.pdf#page=2","Abrir facsímil")</f>
        <v>Abrir facsímil</v>
      </c>
      <c r="K6741" s="3" t="s">
        <v>23</v>
      </c>
    </row>
    <row r="6742" spans="1:11" ht="42" customHeight="1">
      <c r="A6742" s="2" t="s">
        <v>13049</v>
      </c>
      <c r="B6742" s="2" t="s">
        <v>13049</v>
      </c>
      <c r="C6742" s="2" t="s">
        <v>40</v>
      </c>
      <c r="D6742" s="2" t="s">
        <v>41</v>
      </c>
      <c r="E6742" s="5">
        <v>-28726</v>
      </c>
      <c r="F6742" s="3" t="s">
        <v>347</v>
      </c>
      <c r="G6742" s="3" t="s">
        <v>20</v>
      </c>
      <c r="H6742" s="2" t="s">
        <v>21</v>
      </c>
      <c r="I6742" s="2" t="s">
        <v>13085</v>
      </c>
      <c r="J6742" s="3" t="str">
        <f>HYPERLINK("https://www.boe.es/gazeta/dias/1821/05/07/pdfs/GMD-1821-129.pdf#page=3","Abrir facsímil")</f>
        <v>Abrir facsímil</v>
      </c>
      <c r="K6742" s="3" t="s">
        <v>23</v>
      </c>
    </row>
    <row r="6743" spans="1:11" ht="42" customHeight="1">
      <c r="A6743" s="2" t="s">
        <v>13049</v>
      </c>
      <c r="B6743" s="2" t="s">
        <v>13049</v>
      </c>
      <c r="C6743" s="2" t="s">
        <v>17</v>
      </c>
      <c r="D6743" s="2" t="s">
        <v>18</v>
      </c>
      <c r="E6743" s="5">
        <v>-28721</v>
      </c>
      <c r="F6743" s="3" t="s">
        <v>92</v>
      </c>
      <c r="G6743" s="3" t="s">
        <v>3795</v>
      </c>
      <c r="H6743" s="2" t="s">
        <v>21</v>
      </c>
      <c r="I6743" s="2" t="s">
        <v>13086</v>
      </c>
      <c r="J6743" s="3" t="str">
        <f>HYPERLINK("https://www.boe.es/gazeta/dias/1821/05/12/pdfs/GMD-1821-134.pdf#page=3","Abrir facsímil")</f>
        <v>Abrir facsímil</v>
      </c>
      <c r="K6743" s="3" t="s">
        <v>23</v>
      </c>
    </row>
    <row r="6744" spans="1:11" ht="42" customHeight="1">
      <c r="A6744" s="2" t="s">
        <v>13052</v>
      </c>
      <c r="B6744" s="2" t="s">
        <v>13052</v>
      </c>
      <c r="C6744" s="2" t="s">
        <v>26</v>
      </c>
      <c r="D6744" s="2" t="s">
        <v>27</v>
      </c>
      <c r="E6744" s="5">
        <v>-28717</v>
      </c>
      <c r="F6744" s="3" t="s">
        <v>1044</v>
      </c>
      <c r="G6744" s="3" t="s">
        <v>20</v>
      </c>
      <c r="H6744" s="2" t="s">
        <v>21</v>
      </c>
      <c r="I6744" s="2" t="s">
        <v>13087</v>
      </c>
      <c r="J6744" s="3" t="str">
        <f>HYPERLINK("https://www.boe.es/gazeta/dias/1821/05/16/pdfs/GMD-1821-138.pdf#page=3","Abrir facsímil")</f>
        <v>Abrir facsímil</v>
      </c>
      <c r="K6744" s="3" t="s">
        <v>23</v>
      </c>
    </row>
    <row r="6745" spans="1:11" ht="42" customHeight="1">
      <c r="A6745" s="2" t="s">
        <v>13049</v>
      </c>
      <c r="B6745" s="2" t="s">
        <v>13049</v>
      </c>
      <c r="C6745" s="2" t="s">
        <v>17</v>
      </c>
      <c r="D6745" s="2" t="s">
        <v>18</v>
      </c>
      <c r="E6745" s="5">
        <v>-28697</v>
      </c>
      <c r="F6745" s="3" t="s">
        <v>166</v>
      </c>
      <c r="G6745" s="3" t="s">
        <v>20</v>
      </c>
      <c r="H6745" s="2" t="s">
        <v>21</v>
      </c>
      <c r="I6745" s="2" t="s">
        <v>13088</v>
      </c>
      <c r="J6745" s="3" t="str">
        <f>HYPERLINK("https://www.boe.es/gazeta/dias/1821/06/05/pdfs/GMD-1821-158.pdf#page=3","Abrir facsímil")</f>
        <v>Abrir facsímil</v>
      </c>
      <c r="K6745" s="3" t="s">
        <v>23</v>
      </c>
    </row>
    <row r="6746" spans="1:11" ht="42" customHeight="1">
      <c r="A6746" s="2" t="s">
        <v>13049</v>
      </c>
      <c r="B6746" s="2" t="s">
        <v>13049</v>
      </c>
      <c r="C6746" s="2" t="s">
        <v>174</v>
      </c>
      <c r="D6746" s="2" t="s">
        <v>27</v>
      </c>
      <c r="E6746" s="5">
        <v>-28689</v>
      </c>
      <c r="F6746" s="3" t="s">
        <v>194</v>
      </c>
      <c r="G6746" s="3" t="s">
        <v>20</v>
      </c>
      <c r="H6746" s="2" t="s">
        <v>21</v>
      </c>
      <c r="I6746" s="2" t="s">
        <v>13089</v>
      </c>
      <c r="J6746" s="3" t="str">
        <f>HYPERLINK("https://www.boe.es/gazeta/dias/1821/06/13/pdfs/GMD-1821-166.pdf#page=3","Abrir facsímil")</f>
        <v>Abrir facsímil</v>
      </c>
      <c r="K6746" s="3" t="s">
        <v>23</v>
      </c>
    </row>
    <row r="6747" spans="1:11" ht="42" customHeight="1">
      <c r="A6747" s="2" t="s">
        <v>13049</v>
      </c>
      <c r="B6747" s="2" t="s">
        <v>13049</v>
      </c>
      <c r="C6747" s="2" t="s">
        <v>17</v>
      </c>
      <c r="D6747" s="2" t="s">
        <v>18</v>
      </c>
      <c r="E6747" s="5">
        <v>-28678</v>
      </c>
      <c r="F6747" s="3" t="s">
        <v>215</v>
      </c>
      <c r="G6747" s="3" t="s">
        <v>1445</v>
      </c>
      <c r="H6747" s="2" t="s">
        <v>21</v>
      </c>
      <c r="I6747" s="2" t="s">
        <v>13090</v>
      </c>
      <c r="J6747" s="3" t="str">
        <f>HYPERLINK("https://www.boe.es/gazeta/dias/1821/06/24/pdfs/GMD-1821-177.pdf#page=3","Abrir facsímil")</f>
        <v>Abrir facsímil</v>
      </c>
      <c r="K6747" s="3" t="s">
        <v>23</v>
      </c>
    </row>
    <row r="6748" spans="1:11" ht="42" customHeight="1">
      <c r="A6748" s="2" t="s">
        <v>13049</v>
      </c>
      <c r="B6748" s="2" t="s">
        <v>13049</v>
      </c>
      <c r="C6748" s="2" t="s">
        <v>114</v>
      </c>
      <c r="D6748" s="2" t="s">
        <v>27</v>
      </c>
      <c r="E6748" s="5">
        <v>-28674</v>
      </c>
      <c r="F6748" s="3" t="s">
        <v>536</v>
      </c>
      <c r="G6748" s="3" t="s">
        <v>20</v>
      </c>
      <c r="H6748" s="2" t="s">
        <v>21</v>
      </c>
      <c r="I6748" s="2" t="s">
        <v>13091</v>
      </c>
      <c r="J6748" s="3" t="str">
        <f>HYPERLINK("https://www.boe.es/gazeta/dias/1821/06/28/pdfs/GMD-1821-181.pdf#page=3","Abrir facsímil")</f>
        <v>Abrir facsímil</v>
      </c>
      <c r="K6748" s="3" t="s">
        <v>23</v>
      </c>
    </row>
    <row r="6749" spans="1:11" ht="42" customHeight="1">
      <c r="A6749" s="2" t="s">
        <v>13049</v>
      </c>
      <c r="B6749" s="2" t="s">
        <v>13049</v>
      </c>
      <c r="C6749" s="2" t="s">
        <v>70</v>
      </c>
      <c r="D6749" s="2" t="s">
        <v>27</v>
      </c>
      <c r="E6749" s="5">
        <v>-28587</v>
      </c>
      <c r="F6749" s="3" t="s">
        <v>392</v>
      </c>
      <c r="G6749" s="3" t="s">
        <v>88</v>
      </c>
      <c r="H6749" s="2" t="s">
        <v>21</v>
      </c>
      <c r="I6749" s="2" t="s">
        <v>13092</v>
      </c>
      <c r="J6749" s="3" t="str">
        <f>HYPERLINK("https://www.boe.es/gazeta/dias/1821/09/23/pdfs/GMD-1821-271.pdf#page=4","Abrir facsímil")</f>
        <v>Abrir facsímil</v>
      </c>
      <c r="K6749" s="3" t="s">
        <v>23</v>
      </c>
    </row>
    <row r="6750" spans="1:11" ht="42" customHeight="1">
      <c r="A6750" s="2" t="s">
        <v>13049</v>
      </c>
      <c r="B6750" s="2" t="s">
        <v>13049</v>
      </c>
      <c r="C6750" s="2" t="s">
        <v>26</v>
      </c>
      <c r="D6750" s="2" t="s">
        <v>27</v>
      </c>
      <c r="E6750" s="5">
        <v>-28580</v>
      </c>
      <c r="F6750" s="3" t="s">
        <v>175</v>
      </c>
      <c r="G6750" s="3" t="s">
        <v>20</v>
      </c>
      <c r="H6750" s="2" t="s">
        <v>21</v>
      </c>
      <c r="I6750" s="2" t="s">
        <v>13093</v>
      </c>
      <c r="J6750" s="3" t="str">
        <f>HYPERLINK("https://www.boe.es/gazeta/dias/1821/09/30/pdfs/GMD-1821-279.pdf#page=3","Abrir facsímil")</f>
        <v>Abrir facsímil</v>
      </c>
      <c r="K6750" s="3" t="s">
        <v>23</v>
      </c>
    </row>
    <row r="6751" spans="1:11" ht="42" customHeight="1">
      <c r="A6751" s="2" t="s">
        <v>13049</v>
      </c>
      <c r="B6751" s="2" t="s">
        <v>13049</v>
      </c>
      <c r="C6751" s="2" t="s">
        <v>26</v>
      </c>
      <c r="D6751" s="2" t="s">
        <v>27</v>
      </c>
      <c r="E6751" s="5">
        <v>-28567</v>
      </c>
      <c r="F6751" s="3" t="s">
        <v>217</v>
      </c>
      <c r="G6751" s="3" t="s">
        <v>88</v>
      </c>
      <c r="H6751" s="2" t="s">
        <v>21</v>
      </c>
      <c r="I6751" s="2" t="s">
        <v>13094</v>
      </c>
      <c r="J6751" s="3" t="str">
        <f>HYPERLINK("https://www.boe.es/gazeta/dias/1821/10/13/pdfs/GMD-1821-292.pdf#page=4","Abrir facsímil")</f>
        <v>Abrir facsímil</v>
      </c>
      <c r="K6751" s="3" t="s">
        <v>23</v>
      </c>
    </row>
    <row r="6752" spans="1:11" ht="42" customHeight="1">
      <c r="A6752" s="2" t="s">
        <v>13049</v>
      </c>
      <c r="B6752" s="2" t="s">
        <v>13049</v>
      </c>
      <c r="C6752" s="2" t="s">
        <v>40</v>
      </c>
      <c r="D6752" s="2" t="s">
        <v>41</v>
      </c>
      <c r="E6752" s="5">
        <v>-28567</v>
      </c>
      <c r="F6752" s="3" t="s">
        <v>217</v>
      </c>
      <c r="G6752" s="3" t="s">
        <v>162</v>
      </c>
      <c r="H6752" s="2" t="s">
        <v>21</v>
      </c>
      <c r="I6752" s="2" t="s">
        <v>13095</v>
      </c>
      <c r="J6752" s="3" t="str">
        <f>HYPERLINK("https://www.boe.es/gazeta/dias/1821/10/13/pdfs/GMD-1821-292.pdf#page=5","Abrir facsímil")</f>
        <v>Abrir facsímil</v>
      </c>
      <c r="K6752" s="3" t="s">
        <v>23</v>
      </c>
    </row>
    <row r="6753" spans="1:11" ht="42" customHeight="1">
      <c r="A6753" s="2" t="s">
        <v>13049</v>
      </c>
      <c r="B6753" s="2" t="s">
        <v>13049</v>
      </c>
      <c r="C6753" s="2" t="s">
        <v>35</v>
      </c>
      <c r="D6753" s="2" t="s">
        <v>27</v>
      </c>
      <c r="E6753" s="5">
        <v>-28565</v>
      </c>
      <c r="F6753" s="3" t="s">
        <v>326</v>
      </c>
      <c r="G6753" s="3" t="s">
        <v>88</v>
      </c>
      <c r="H6753" s="2" t="s">
        <v>21</v>
      </c>
      <c r="I6753" s="2" t="s">
        <v>13096</v>
      </c>
      <c r="J6753" s="3" t="str">
        <f>HYPERLINK("https://www.boe.es/gazeta/dias/1821/10/15/pdfs/GMD-1821-294.pdf#page=4","Abrir facsímil")</f>
        <v>Abrir facsímil</v>
      </c>
      <c r="K6753" s="3" t="s">
        <v>23</v>
      </c>
    </row>
    <row r="6754" spans="1:11" ht="42" customHeight="1">
      <c r="A6754" s="2" t="s">
        <v>13049</v>
      </c>
      <c r="B6754" s="2" t="s">
        <v>13049</v>
      </c>
      <c r="C6754" s="2" t="s">
        <v>17</v>
      </c>
      <c r="D6754" s="2" t="s">
        <v>18</v>
      </c>
      <c r="E6754" s="5">
        <v>-28553</v>
      </c>
      <c r="F6754" s="3" t="s">
        <v>182</v>
      </c>
      <c r="G6754" s="3" t="s">
        <v>162</v>
      </c>
      <c r="H6754" s="2" t="s">
        <v>21</v>
      </c>
      <c r="I6754" s="2" t="s">
        <v>13097</v>
      </c>
      <c r="J6754" s="3" t="str">
        <f>HYPERLINK("https://www.boe.es/gazeta/dias/1821/10/27/pdfs/GMD-1821-306.pdf#page=5","Abrir facsímil")</f>
        <v>Abrir facsímil</v>
      </c>
      <c r="K6754" s="3" t="s">
        <v>23</v>
      </c>
    </row>
    <row r="6755" spans="1:11" ht="42" customHeight="1">
      <c r="A6755" s="2" t="s">
        <v>13049</v>
      </c>
      <c r="B6755" s="2" t="s">
        <v>13049</v>
      </c>
      <c r="C6755" s="2" t="s">
        <v>40</v>
      </c>
      <c r="D6755" s="2" t="s">
        <v>41</v>
      </c>
      <c r="E6755" s="5">
        <v>-28552</v>
      </c>
      <c r="F6755" s="3" t="s">
        <v>28</v>
      </c>
      <c r="G6755" s="3" t="s">
        <v>162</v>
      </c>
      <c r="H6755" s="2" t="s">
        <v>21</v>
      </c>
      <c r="I6755" s="2" t="s">
        <v>13098</v>
      </c>
      <c r="J6755" s="3" t="str">
        <f>HYPERLINK("https://www.boe.es/gazeta/dias/1821/10/28/pdfs/GMD-1821-307.pdf#page=5","Abrir facsímil")</f>
        <v>Abrir facsímil</v>
      </c>
      <c r="K6755" s="3" t="s">
        <v>23</v>
      </c>
    </row>
    <row r="6756" spans="1:11" ht="42" customHeight="1">
      <c r="A6756" s="2" t="s">
        <v>13052</v>
      </c>
      <c r="B6756" s="2" t="s">
        <v>13052</v>
      </c>
      <c r="C6756" s="2" t="s">
        <v>40</v>
      </c>
      <c r="D6756" s="2" t="s">
        <v>41</v>
      </c>
      <c r="E6756" s="5">
        <v>-28515</v>
      </c>
      <c r="F6756" s="3" t="s">
        <v>260</v>
      </c>
      <c r="G6756" s="3" t="s">
        <v>3841</v>
      </c>
      <c r="H6756" s="2" t="s">
        <v>21</v>
      </c>
      <c r="I6756" s="2" t="s">
        <v>13099</v>
      </c>
      <c r="J6756" s="3" t="str">
        <f>HYPERLINK("https://www.boe.es/gazeta/dias/1821/12/04/pdfs/GMD-1821-346.pdf#page=6","Abrir facsímil")</f>
        <v>Abrir facsímil</v>
      </c>
      <c r="K6756" s="3" t="s">
        <v>23</v>
      </c>
    </row>
    <row r="6757" spans="1:11" ht="42" customHeight="1">
      <c r="A6757" s="2" t="s">
        <v>13049</v>
      </c>
      <c r="B6757" s="2" t="s">
        <v>13049</v>
      </c>
      <c r="C6757" s="2" t="s">
        <v>174</v>
      </c>
      <c r="D6757" s="2" t="s">
        <v>27</v>
      </c>
      <c r="E6757" s="5">
        <v>-28512</v>
      </c>
      <c r="F6757" s="3" t="s">
        <v>66</v>
      </c>
      <c r="G6757" s="3" t="s">
        <v>20</v>
      </c>
      <c r="H6757" s="2" t="s">
        <v>21</v>
      </c>
      <c r="I6757" s="2" t="s">
        <v>13100</v>
      </c>
      <c r="J6757" s="3" t="str">
        <f>HYPERLINK("https://www.boe.es/gazeta/dias/1821/12/07/pdfs/GMD-1821-349.pdf#page=3","Abrir facsímil")</f>
        <v>Abrir facsímil</v>
      </c>
      <c r="K6757" s="3" t="s">
        <v>23</v>
      </c>
    </row>
    <row r="6758" spans="1:11" ht="42" customHeight="1">
      <c r="A6758" s="2" t="s">
        <v>13049</v>
      </c>
      <c r="B6758" s="2" t="s">
        <v>13049</v>
      </c>
      <c r="C6758" s="2" t="s">
        <v>40</v>
      </c>
      <c r="D6758" s="2" t="s">
        <v>41</v>
      </c>
      <c r="E6758" s="5">
        <v>-28512</v>
      </c>
      <c r="F6758" s="3" t="s">
        <v>66</v>
      </c>
      <c r="G6758" s="3" t="s">
        <v>88</v>
      </c>
      <c r="H6758" s="2" t="s">
        <v>21</v>
      </c>
      <c r="I6758" s="2" t="s">
        <v>13101</v>
      </c>
      <c r="J6758" s="3" t="str">
        <f>HYPERLINK("https://www.boe.es/gazeta/dias/1821/12/07/pdfs/GMD-1821-349.pdf#page=4","Abrir facsímil")</f>
        <v>Abrir facsímil</v>
      </c>
      <c r="K6758" s="3" t="s">
        <v>23</v>
      </c>
    </row>
    <row r="6759" spans="1:11" ht="42" customHeight="1">
      <c r="A6759" s="2" t="s">
        <v>13049</v>
      </c>
      <c r="B6759" s="2" t="s">
        <v>13049</v>
      </c>
      <c r="C6759" s="2" t="s">
        <v>35</v>
      </c>
      <c r="D6759" s="2" t="s">
        <v>27</v>
      </c>
      <c r="E6759" s="5">
        <v>-28509</v>
      </c>
      <c r="F6759" s="3" t="s">
        <v>388</v>
      </c>
      <c r="G6759" s="3" t="s">
        <v>609</v>
      </c>
      <c r="H6759" s="2" t="s">
        <v>21</v>
      </c>
      <c r="I6759" s="2" t="s">
        <v>13102</v>
      </c>
      <c r="J6759" s="3" t="str">
        <f>HYPERLINK("https://www.boe.es/gazeta/dias/1821/12/10/pdfs/GMD-1821-352.pdf#page=7","Abrir facsímil")</f>
        <v>Abrir facsímil</v>
      </c>
      <c r="K6759" s="3" t="s">
        <v>23</v>
      </c>
    </row>
    <row r="6760" spans="1:11" ht="42" customHeight="1">
      <c r="A6760" s="2" t="s">
        <v>13049</v>
      </c>
      <c r="B6760" s="2" t="s">
        <v>13049</v>
      </c>
      <c r="C6760" s="2" t="s">
        <v>35</v>
      </c>
      <c r="D6760" s="2" t="s">
        <v>27</v>
      </c>
      <c r="E6760" s="5">
        <v>-28509</v>
      </c>
      <c r="F6760" s="3" t="s">
        <v>388</v>
      </c>
      <c r="G6760" s="3" t="s">
        <v>333</v>
      </c>
      <c r="H6760" s="2" t="s">
        <v>21</v>
      </c>
      <c r="I6760" s="2" t="s">
        <v>13103</v>
      </c>
      <c r="J6760" s="3" t="str">
        <f>HYPERLINK("https://www.boe.es/gazeta/dias/1821/12/10/pdfs/GMD-1821-352.pdf#page=8","Abrir facsímil")</f>
        <v>Abrir facsímil</v>
      </c>
      <c r="K6760" s="3" t="s">
        <v>23</v>
      </c>
    </row>
    <row r="6761" spans="1:11" ht="42" customHeight="1">
      <c r="A6761" s="2" t="s">
        <v>13049</v>
      </c>
      <c r="B6761" s="2" t="s">
        <v>13049</v>
      </c>
      <c r="C6761" s="2" t="s">
        <v>17</v>
      </c>
      <c r="D6761" s="2" t="s">
        <v>18</v>
      </c>
      <c r="E6761" s="5">
        <v>-28504</v>
      </c>
      <c r="F6761" s="3" t="s">
        <v>1098</v>
      </c>
      <c r="G6761" s="3" t="s">
        <v>3862</v>
      </c>
      <c r="H6761" s="2" t="s">
        <v>21</v>
      </c>
      <c r="I6761" s="2" t="s">
        <v>13104</v>
      </c>
      <c r="J6761" s="3" t="str">
        <f>HYPERLINK("https://www.boe.es/gazeta/dias/1821/12/15/pdfs/GMD-1821-358.pdf#page=5","Abrir facsímil")</f>
        <v>Abrir facsímil</v>
      </c>
      <c r="K6761" s="3" t="s">
        <v>23</v>
      </c>
    </row>
    <row r="6762" spans="1:11" ht="42" customHeight="1">
      <c r="A6762" s="2" t="s">
        <v>13049</v>
      </c>
      <c r="B6762" s="2" t="s">
        <v>13049</v>
      </c>
      <c r="C6762" s="2" t="s">
        <v>70</v>
      </c>
      <c r="D6762" s="2" t="s">
        <v>27</v>
      </c>
      <c r="E6762" s="5">
        <v>-28498</v>
      </c>
      <c r="F6762" s="3" t="s">
        <v>447</v>
      </c>
      <c r="G6762" s="3" t="s">
        <v>88</v>
      </c>
      <c r="H6762" s="2" t="s">
        <v>21</v>
      </c>
      <c r="I6762" s="2" t="s">
        <v>13105</v>
      </c>
      <c r="J6762" s="3" t="str">
        <f>HYPERLINK("https://www.boe.es/gazeta/dias/1821/12/21/pdfs/GMD-1821-364.pdf#page=4","Abrir facsímil")</f>
        <v>Abrir facsímil</v>
      </c>
      <c r="K6762" s="3" t="s">
        <v>23</v>
      </c>
    </row>
    <row r="6763" spans="1:11" ht="42" customHeight="1">
      <c r="A6763" s="2" t="s">
        <v>13049</v>
      </c>
      <c r="B6763" s="2" t="s">
        <v>13049</v>
      </c>
      <c r="C6763" s="2" t="s">
        <v>26</v>
      </c>
      <c r="D6763" s="2" t="s">
        <v>27</v>
      </c>
      <c r="E6763" s="5">
        <v>-28497</v>
      </c>
      <c r="F6763" s="3" t="s">
        <v>225</v>
      </c>
      <c r="G6763" s="3" t="s">
        <v>52</v>
      </c>
      <c r="H6763" s="2" t="s">
        <v>21</v>
      </c>
      <c r="I6763" s="2" t="s">
        <v>13106</v>
      </c>
      <c r="J6763" s="3" t="str">
        <f>HYPERLINK("https://www.boe.es/gazeta/dias/1821/12/22/pdfs/GMD-1821-365.pdf#page=2","Abrir facsímil")</f>
        <v>Abrir facsímil</v>
      </c>
      <c r="K6763" s="3" t="s">
        <v>23</v>
      </c>
    </row>
    <row r="6764" spans="1:11" ht="42" customHeight="1">
      <c r="A6764" s="2" t="s">
        <v>13049</v>
      </c>
      <c r="B6764" s="2" t="s">
        <v>13049</v>
      </c>
      <c r="C6764" s="2" t="s">
        <v>40</v>
      </c>
      <c r="D6764" s="2" t="s">
        <v>41</v>
      </c>
      <c r="E6764" s="5">
        <v>-28496</v>
      </c>
      <c r="F6764" s="3" t="s">
        <v>785</v>
      </c>
      <c r="G6764" s="3" t="s">
        <v>20</v>
      </c>
      <c r="H6764" s="2" t="s">
        <v>21</v>
      </c>
      <c r="I6764" s="2" t="s">
        <v>13107</v>
      </c>
      <c r="J6764" s="3" t="str">
        <f>HYPERLINK("https://www.boe.es/gazeta/dias/1821/12/23/pdfs/GMD-1821-366.pdf#page=3","Abrir facsímil")</f>
        <v>Abrir facsímil</v>
      </c>
      <c r="K6764" s="3" t="s">
        <v>23</v>
      </c>
    </row>
    <row r="6765" spans="1:11" ht="42" customHeight="1">
      <c r="A6765" s="2" t="s">
        <v>13052</v>
      </c>
      <c r="B6765" s="2" t="s">
        <v>13052</v>
      </c>
      <c r="C6765" s="2" t="s">
        <v>40</v>
      </c>
      <c r="D6765" s="2" t="s">
        <v>41</v>
      </c>
      <c r="E6765" s="5">
        <v>-28495</v>
      </c>
      <c r="F6765" s="3" t="s">
        <v>227</v>
      </c>
      <c r="G6765" s="3" t="s">
        <v>333</v>
      </c>
      <c r="H6765" s="2" t="s">
        <v>21</v>
      </c>
      <c r="I6765" s="2" t="s">
        <v>13108</v>
      </c>
      <c r="J6765" s="3" t="str">
        <f>HYPERLINK("https://www.boe.es/gazeta/dias/1821/12/24/pdfs/GMD-1821-367.pdf#page=8","Abrir facsímil")</f>
        <v>Abrir facsímil</v>
      </c>
      <c r="K6765" s="3" t="s">
        <v>23</v>
      </c>
    </row>
    <row r="6766" spans="1:11" ht="42" customHeight="1">
      <c r="A6766" s="2" t="s">
        <v>13109</v>
      </c>
      <c r="B6766" s="2" t="s">
        <v>13110</v>
      </c>
      <c r="C6766" s="2" t="s">
        <v>114</v>
      </c>
      <c r="D6766" s="2" t="s">
        <v>27</v>
      </c>
      <c r="E6766" s="5">
        <v>-28641</v>
      </c>
      <c r="F6766" s="3" t="s">
        <v>398</v>
      </c>
      <c r="G6766" s="3" t="s">
        <v>20</v>
      </c>
      <c r="H6766" s="2" t="s">
        <v>21</v>
      </c>
      <c r="I6766" s="2" t="s">
        <v>13111</v>
      </c>
      <c r="J6766" s="3" t="str">
        <f>HYPERLINK("https://www.boe.es/gazeta/dias/1821/07/31/pdfs/GMD-1821-216.pdf#page=3","Abrir facsímil")</f>
        <v>Abrir facsímil</v>
      </c>
      <c r="K6766" s="3" t="s">
        <v>23</v>
      </c>
    </row>
    <row r="6767" spans="1:11" ht="42" customHeight="1">
      <c r="A6767" s="2" t="s">
        <v>13109</v>
      </c>
      <c r="B6767" s="2" t="s">
        <v>13110</v>
      </c>
      <c r="C6767" s="2" t="s">
        <v>26</v>
      </c>
      <c r="D6767" s="2" t="s">
        <v>27</v>
      </c>
      <c r="E6767" s="5">
        <v>-28629</v>
      </c>
      <c r="F6767" s="3" t="s">
        <v>235</v>
      </c>
      <c r="G6767" s="3" t="s">
        <v>88</v>
      </c>
      <c r="H6767" s="2" t="s">
        <v>21</v>
      </c>
      <c r="I6767" s="2" t="s">
        <v>13112</v>
      </c>
      <c r="J6767" s="3" t="str">
        <f>HYPERLINK("https://www.boe.es/gazeta/dias/1821/08/12/pdfs/GMD-1821-229.pdf#page=4","Abrir facsímil")</f>
        <v>Abrir facsímil</v>
      </c>
      <c r="K6767" s="3" t="s">
        <v>23</v>
      </c>
    </row>
    <row r="6768" spans="1:11" ht="42" customHeight="1">
      <c r="A6768" s="2" t="s">
        <v>13113</v>
      </c>
      <c r="B6768" s="2" t="s">
        <v>13114</v>
      </c>
      <c r="C6768" s="2" t="s">
        <v>17</v>
      </c>
      <c r="D6768" s="2" t="s">
        <v>18</v>
      </c>
      <c r="E6768" s="5">
        <v>-28757</v>
      </c>
      <c r="F6768" s="3" t="s">
        <v>472</v>
      </c>
      <c r="G6768" s="3" t="s">
        <v>52</v>
      </c>
      <c r="H6768" s="2" t="s">
        <v>21</v>
      </c>
      <c r="I6768" s="2" t="s">
        <v>13115</v>
      </c>
      <c r="J6768" s="3" t="str">
        <f>HYPERLINK("https://www.boe.es/gazeta/dias/1821/04/06/pdfs/GMD-1821-98.pdf#page=2","Abrir facsímil")</f>
        <v>Abrir facsímil</v>
      </c>
      <c r="K6768" s="3" t="s">
        <v>23</v>
      </c>
    </row>
    <row r="6769" spans="1:11" ht="42" customHeight="1">
      <c r="A6769" s="2" t="s">
        <v>13116</v>
      </c>
      <c r="B6769" s="2" t="s">
        <v>13117</v>
      </c>
      <c r="C6769" s="2" t="s">
        <v>114</v>
      </c>
      <c r="D6769" s="2" t="s">
        <v>27</v>
      </c>
      <c r="E6769" s="5">
        <v>-28746</v>
      </c>
      <c r="F6769" s="3" t="s">
        <v>687</v>
      </c>
      <c r="G6769" s="3" t="s">
        <v>333</v>
      </c>
      <c r="H6769" s="2" t="s">
        <v>21</v>
      </c>
      <c r="I6769" s="2" t="s">
        <v>13118</v>
      </c>
      <c r="J6769" s="3" t="str">
        <f>HYPERLINK("https://www.boe.es/gazeta/dias/1821/04/17/pdfs/GMD-1821-109.pdf#page=8","Abrir facsímil")</f>
        <v>Abrir facsímil</v>
      </c>
      <c r="K6769" s="3" t="s">
        <v>23</v>
      </c>
    </row>
    <row r="6770" spans="1:11" ht="42" customHeight="1">
      <c r="A6770" s="2" t="s">
        <v>13113</v>
      </c>
      <c r="B6770" s="2" t="s">
        <v>13114</v>
      </c>
      <c r="C6770" s="2" t="s">
        <v>40</v>
      </c>
      <c r="D6770" s="2" t="s">
        <v>41</v>
      </c>
      <c r="E6770" s="5">
        <v>-28731</v>
      </c>
      <c r="F6770" s="3" t="s">
        <v>577</v>
      </c>
      <c r="G6770" s="3" t="s">
        <v>20</v>
      </c>
      <c r="H6770" s="2" t="s">
        <v>21</v>
      </c>
      <c r="I6770" s="2" t="s">
        <v>13119</v>
      </c>
      <c r="J6770" s="3" t="str">
        <f>HYPERLINK("https://www.boe.es/gazeta/dias/1821/05/02/pdfs/GMD-1821-124.pdf#page=3","Abrir facsímil")</f>
        <v>Abrir facsímil</v>
      </c>
      <c r="K6770" s="3" t="s">
        <v>23</v>
      </c>
    </row>
    <row r="6771" spans="1:11" ht="42" customHeight="1">
      <c r="A6771" s="2" t="s">
        <v>13113</v>
      </c>
      <c r="B6771" s="2" t="s">
        <v>13114</v>
      </c>
      <c r="C6771" s="2" t="s">
        <v>40</v>
      </c>
      <c r="D6771" s="2" t="s">
        <v>41</v>
      </c>
      <c r="E6771" s="5">
        <v>-28725</v>
      </c>
      <c r="F6771" s="3" t="s">
        <v>440</v>
      </c>
      <c r="G6771" s="3" t="s">
        <v>52</v>
      </c>
      <c r="H6771" s="2" t="s">
        <v>21</v>
      </c>
      <c r="I6771" s="2" t="s">
        <v>13120</v>
      </c>
      <c r="J6771" s="3" t="str">
        <f>HYPERLINK("https://www.boe.es/gazeta/dias/1821/05/08/pdfs/GMD-1821-130.pdf#page=2","Abrir facsímil")</f>
        <v>Abrir facsímil</v>
      </c>
      <c r="K6771" s="3" t="s">
        <v>23</v>
      </c>
    </row>
    <row r="6772" spans="1:11" ht="42" customHeight="1">
      <c r="A6772" s="2" t="s">
        <v>13113</v>
      </c>
      <c r="B6772" s="2" t="s">
        <v>13114</v>
      </c>
      <c r="C6772" s="2" t="s">
        <v>35</v>
      </c>
      <c r="D6772" s="2" t="s">
        <v>27</v>
      </c>
      <c r="E6772" s="5">
        <v>-28714</v>
      </c>
      <c r="F6772" s="3" t="s">
        <v>522</v>
      </c>
      <c r="G6772" s="3" t="s">
        <v>52</v>
      </c>
      <c r="H6772" s="2" t="s">
        <v>21</v>
      </c>
      <c r="I6772" s="2" t="s">
        <v>13121</v>
      </c>
      <c r="J6772" s="3" t="str">
        <f>HYPERLINK("https://www.boe.es/gazeta/dias/1821/05/19/pdfs/GMD-1821-141.pdf#page=2","Abrir facsímil")</f>
        <v>Abrir facsímil</v>
      </c>
      <c r="K6772" s="3" t="s">
        <v>23</v>
      </c>
    </row>
    <row r="6773" spans="1:11" ht="42" customHeight="1">
      <c r="A6773" s="2" t="s">
        <v>13116</v>
      </c>
      <c r="B6773" s="2" t="s">
        <v>13117</v>
      </c>
      <c r="C6773" s="2" t="s">
        <v>40</v>
      </c>
      <c r="D6773" s="2" t="s">
        <v>41</v>
      </c>
      <c r="E6773" s="5">
        <v>-28666</v>
      </c>
      <c r="F6773" s="3" t="s">
        <v>1263</v>
      </c>
      <c r="G6773" s="3" t="s">
        <v>88</v>
      </c>
      <c r="H6773" s="2" t="s">
        <v>21</v>
      </c>
      <c r="I6773" s="2" t="s">
        <v>13122</v>
      </c>
      <c r="J6773" s="3" t="str">
        <f>HYPERLINK("https://www.boe.es/gazeta/dias/1821/07/06/pdfs/GMD-1821-190.pdf#page=4","Abrir facsímil")</f>
        <v>Abrir facsímil</v>
      </c>
      <c r="K6773" s="3" t="s">
        <v>23</v>
      </c>
    </row>
    <row r="6774" spans="1:11" ht="42" customHeight="1">
      <c r="A6774" s="2" t="s">
        <v>13113</v>
      </c>
      <c r="B6774" s="2" t="s">
        <v>13114</v>
      </c>
      <c r="C6774" s="2" t="s">
        <v>17</v>
      </c>
      <c r="D6774" s="2" t="s">
        <v>18</v>
      </c>
      <c r="E6774" s="5">
        <v>-28648</v>
      </c>
      <c r="F6774" s="3" t="s">
        <v>1520</v>
      </c>
      <c r="G6774" s="3" t="s">
        <v>1521</v>
      </c>
      <c r="H6774" s="2" t="s">
        <v>21</v>
      </c>
      <c r="I6774" s="2" t="s">
        <v>13123</v>
      </c>
      <c r="J6774" s="3" t="str">
        <f>HYPERLINK("https://www.boe.es/gazeta/dias/1821/07/24/pdfs/GMD-1821-209.pdf#page=6","Abrir facsímil")</f>
        <v>Abrir facsímil</v>
      </c>
      <c r="K6774" s="3" t="s">
        <v>23</v>
      </c>
    </row>
    <row r="6775" spans="1:11" ht="42" customHeight="1">
      <c r="A6775" s="2" t="s">
        <v>13124</v>
      </c>
      <c r="B6775" s="2" t="s">
        <v>13125</v>
      </c>
      <c r="C6775" s="2" t="s">
        <v>17</v>
      </c>
      <c r="D6775" s="2" t="s">
        <v>18</v>
      </c>
      <c r="E6775" s="5">
        <v>-28501</v>
      </c>
      <c r="F6775" s="3" t="s">
        <v>456</v>
      </c>
      <c r="G6775" s="3" t="s">
        <v>1253</v>
      </c>
      <c r="H6775" s="2" t="s">
        <v>21</v>
      </c>
      <c r="I6775" s="2" t="s">
        <v>13126</v>
      </c>
      <c r="J6775" s="3" t="str">
        <f>HYPERLINK("https://www.boe.es/gazeta/dias/1821/12/18/pdfs/GMD-1821-361.pdf#page=6","Abrir facsímil")</f>
        <v>Abrir facsímil</v>
      </c>
      <c r="K6775" s="3" t="s">
        <v>23</v>
      </c>
    </row>
    <row r="6776" spans="1:11" ht="42" customHeight="1">
      <c r="A6776" s="2" t="s">
        <v>13127</v>
      </c>
      <c r="B6776" s="2" t="s">
        <v>13128</v>
      </c>
      <c r="C6776" s="2" t="s">
        <v>40</v>
      </c>
      <c r="D6776" s="2" t="s">
        <v>41</v>
      </c>
      <c r="E6776" s="5">
        <v>-28821</v>
      </c>
      <c r="F6776" s="3" t="s">
        <v>371</v>
      </c>
      <c r="G6776" s="3" t="s">
        <v>88</v>
      </c>
      <c r="H6776" s="2" t="s">
        <v>21</v>
      </c>
      <c r="I6776" s="2" t="s">
        <v>13129</v>
      </c>
      <c r="J6776" s="3" t="str">
        <f>HYPERLINK("https://www.boe.es/gazeta/dias/1821/02/01/pdfs/GGB-1821-32.pdf#page=4","Abrir facsímil")</f>
        <v>Abrir facsímil</v>
      </c>
      <c r="K6776" s="3" t="s">
        <v>23</v>
      </c>
    </row>
    <row r="6777" spans="1:11" ht="42" customHeight="1">
      <c r="A6777" s="2" t="s">
        <v>13130</v>
      </c>
      <c r="B6777" s="2" t="s">
        <v>13131</v>
      </c>
      <c r="C6777" s="2" t="s">
        <v>40</v>
      </c>
      <c r="D6777" s="2" t="s">
        <v>41</v>
      </c>
      <c r="E6777" s="5">
        <v>-28490</v>
      </c>
      <c r="F6777" s="3" t="s">
        <v>801</v>
      </c>
      <c r="G6777" s="3" t="s">
        <v>88</v>
      </c>
      <c r="H6777" s="2" t="s">
        <v>21</v>
      </c>
      <c r="I6777" s="2" t="s">
        <v>13132</v>
      </c>
      <c r="J6777" s="3" t="str">
        <f>HYPERLINK("https://www.boe.es/gazeta/dias/1821/12/29/pdfs/GMD-1821-372.pdf#page=4","Abrir facsímil")</f>
        <v>Abrir facsímil</v>
      </c>
      <c r="K6777" s="3" t="s">
        <v>23</v>
      </c>
    </row>
    <row r="6778" spans="1:11" ht="42" customHeight="1">
      <c r="A6778" s="2" t="s">
        <v>13133</v>
      </c>
      <c r="B6778" s="2" t="s">
        <v>13134</v>
      </c>
      <c r="C6778" s="2" t="s">
        <v>114</v>
      </c>
      <c r="D6778" s="2" t="s">
        <v>27</v>
      </c>
      <c r="E6778" s="5">
        <v>-28788</v>
      </c>
      <c r="F6778" s="3" t="s">
        <v>996</v>
      </c>
      <c r="G6778" s="3" t="s">
        <v>88</v>
      </c>
      <c r="H6778" s="2" t="s">
        <v>21</v>
      </c>
      <c r="I6778" s="2" t="s">
        <v>13135</v>
      </c>
      <c r="J6778" s="3" t="str">
        <f>HYPERLINK("https://www.boe.es/gazeta/dias/1821/03/06/pdfs/GGB-1821-65.pdf#page=4","Abrir facsímil")</f>
        <v>Abrir facsímil</v>
      </c>
      <c r="K6778" s="3" t="s">
        <v>23</v>
      </c>
    </row>
    <row r="6779" spans="1:11" ht="42" customHeight="1">
      <c r="A6779" s="2" t="s">
        <v>13136</v>
      </c>
      <c r="B6779" s="2" t="s">
        <v>13137</v>
      </c>
      <c r="C6779" s="2" t="s">
        <v>40</v>
      </c>
      <c r="D6779" s="2" t="s">
        <v>41</v>
      </c>
      <c r="E6779" s="5">
        <v>-28782</v>
      </c>
      <c r="F6779" s="3" t="s">
        <v>508</v>
      </c>
      <c r="G6779" s="3" t="s">
        <v>20</v>
      </c>
      <c r="H6779" s="2" t="s">
        <v>21</v>
      </c>
      <c r="I6779" s="2" t="s">
        <v>13138</v>
      </c>
      <c r="J6779" s="3" t="str">
        <f>HYPERLINK("https://www.boe.es/gazeta/dias/1821/03/12/pdfs/GMD-1821-71.pdf#page=3","Abrir facsímil")</f>
        <v>Abrir facsímil</v>
      </c>
      <c r="K6779" s="3" t="s">
        <v>23</v>
      </c>
    </row>
    <row r="6780" spans="1:11" ht="42" customHeight="1">
      <c r="A6780" s="2" t="s">
        <v>13136</v>
      </c>
      <c r="B6780" s="2" t="s">
        <v>13137</v>
      </c>
      <c r="C6780" s="2" t="s">
        <v>26</v>
      </c>
      <c r="D6780" s="2" t="s">
        <v>27</v>
      </c>
      <c r="E6780" s="5">
        <v>-28729</v>
      </c>
      <c r="F6780" s="3" t="s">
        <v>838</v>
      </c>
      <c r="G6780" s="3" t="s">
        <v>88</v>
      </c>
      <c r="H6780" s="2" t="s">
        <v>21</v>
      </c>
      <c r="I6780" s="2" t="s">
        <v>13139</v>
      </c>
      <c r="J6780" s="3" t="str">
        <f>HYPERLINK("https://www.boe.es/gazeta/dias/1821/05/04/pdfs/GMD-1821-126.pdf#page=4","Abrir facsímil")</f>
        <v>Abrir facsímil</v>
      </c>
      <c r="K6780" s="3" t="s">
        <v>23</v>
      </c>
    </row>
    <row r="6781" spans="1:11" ht="42" customHeight="1">
      <c r="A6781" s="2" t="s">
        <v>13133</v>
      </c>
      <c r="B6781" s="2" t="s">
        <v>13134</v>
      </c>
      <c r="C6781" s="2" t="s">
        <v>35</v>
      </c>
      <c r="D6781" s="2" t="s">
        <v>27</v>
      </c>
      <c r="E6781" s="5">
        <v>-28683</v>
      </c>
      <c r="F6781" s="3" t="s">
        <v>332</v>
      </c>
      <c r="G6781" s="3" t="s">
        <v>333</v>
      </c>
      <c r="H6781" s="2" t="s">
        <v>21</v>
      </c>
      <c r="I6781" s="2" t="s">
        <v>13140</v>
      </c>
      <c r="J6781" s="3" t="str">
        <f>HYPERLINK("https://www.boe.es/gazeta/dias/1821/06/19/pdfs/GMD-1821-172.pdf#page=8","Abrir facsímil")</f>
        <v>Abrir facsímil</v>
      </c>
      <c r="K6781" s="3" t="s">
        <v>23</v>
      </c>
    </row>
    <row r="6782" spans="1:11" ht="42" customHeight="1">
      <c r="A6782" s="2" t="s">
        <v>13133</v>
      </c>
      <c r="B6782" s="2" t="s">
        <v>13134</v>
      </c>
      <c r="C6782" s="2" t="s">
        <v>17</v>
      </c>
      <c r="D6782" s="2" t="s">
        <v>18</v>
      </c>
      <c r="E6782" s="5">
        <v>-28675</v>
      </c>
      <c r="F6782" s="3" t="s">
        <v>943</v>
      </c>
      <c r="G6782" s="3" t="s">
        <v>29</v>
      </c>
      <c r="H6782" s="2" t="s">
        <v>21</v>
      </c>
      <c r="I6782" s="2" t="s">
        <v>13141</v>
      </c>
      <c r="J6782" s="3" t="str">
        <f>HYPERLINK("https://www.boe.es/gazeta/dias/1821/06/27/pdfs/GMD-1821-180.pdf#page=6","Abrir facsímil")</f>
        <v>Abrir facsímil</v>
      </c>
      <c r="K6782" s="3" t="s">
        <v>23</v>
      </c>
    </row>
    <row r="6783" spans="1:11" ht="42" customHeight="1">
      <c r="A6783" s="2" t="s">
        <v>13142</v>
      </c>
      <c r="B6783" s="2" t="s">
        <v>13143</v>
      </c>
      <c r="C6783" s="2" t="s">
        <v>26</v>
      </c>
      <c r="D6783" s="2" t="s">
        <v>27</v>
      </c>
      <c r="E6783" s="5">
        <v>-28547</v>
      </c>
      <c r="F6783" s="3" t="s">
        <v>247</v>
      </c>
      <c r="G6783" s="3" t="s">
        <v>248</v>
      </c>
      <c r="H6783" s="2" t="s">
        <v>21</v>
      </c>
      <c r="I6783" s="2" t="s">
        <v>13144</v>
      </c>
      <c r="J6783" s="3" t="str">
        <f>HYPERLINK("https://www.boe.es/gazeta/dias/1821/11/02/pdfs/GMD-1821-312.pdf#page=2","Abrir facsímil")</f>
        <v>Abrir facsímil</v>
      </c>
      <c r="K6783" s="3" t="s">
        <v>23</v>
      </c>
    </row>
    <row r="6784" spans="1:11" ht="42" customHeight="1">
      <c r="A6784" s="2" t="s">
        <v>13145</v>
      </c>
      <c r="B6784" s="2" t="s">
        <v>13146</v>
      </c>
      <c r="C6784" s="2" t="s">
        <v>40</v>
      </c>
      <c r="D6784" s="2" t="s">
        <v>41</v>
      </c>
      <c r="E6784" s="5">
        <v>-28575</v>
      </c>
      <c r="F6784" s="3" t="s">
        <v>2453</v>
      </c>
      <c r="G6784" s="3" t="s">
        <v>88</v>
      </c>
      <c r="H6784" s="2" t="s">
        <v>21</v>
      </c>
      <c r="I6784" s="2" t="s">
        <v>13147</v>
      </c>
      <c r="J6784" s="3" t="str">
        <f>HYPERLINK("https://www.boe.es/gazeta/dias/1821/10/05/pdfs/GMD-1821-284.pdf#page=4","Abrir facsímil")</f>
        <v>Abrir facsímil</v>
      </c>
      <c r="K6784" s="3" t="s">
        <v>23</v>
      </c>
    </row>
    <row r="6785" spans="1:11" ht="42" customHeight="1">
      <c r="A6785" s="2" t="s">
        <v>13148</v>
      </c>
      <c r="B6785" s="2" t="s">
        <v>13149</v>
      </c>
      <c r="C6785" s="2" t="s">
        <v>17</v>
      </c>
      <c r="D6785" s="2" t="s">
        <v>18</v>
      </c>
      <c r="E6785" s="5">
        <v>-28678</v>
      </c>
      <c r="F6785" s="3" t="s">
        <v>215</v>
      </c>
      <c r="G6785" s="3" t="s">
        <v>88</v>
      </c>
      <c r="H6785" s="2" t="s">
        <v>21</v>
      </c>
      <c r="I6785" s="2" t="s">
        <v>13150</v>
      </c>
      <c r="J6785" s="3" t="str">
        <f>HYPERLINK("https://www.boe.es/gazeta/dias/1821/06/24/pdfs/GMD-1821-177.pdf#page=4","Abrir facsímil")</f>
        <v>Abrir facsímil</v>
      </c>
      <c r="K6785" s="3" t="s">
        <v>23</v>
      </c>
    </row>
    <row r="6786" spans="1:11" ht="42" customHeight="1">
      <c r="A6786" s="2" t="s">
        <v>13151</v>
      </c>
      <c r="B6786" s="2" t="s">
        <v>13152</v>
      </c>
      <c r="C6786" s="2" t="s">
        <v>40</v>
      </c>
      <c r="D6786" s="2" t="s">
        <v>41</v>
      </c>
      <c r="E6786" s="5">
        <v>-28667</v>
      </c>
      <c r="F6786" s="3" t="s">
        <v>107</v>
      </c>
      <c r="G6786" s="3" t="s">
        <v>52</v>
      </c>
      <c r="H6786" s="2" t="s">
        <v>21</v>
      </c>
      <c r="I6786" s="2" t="s">
        <v>13153</v>
      </c>
      <c r="J6786" s="3" t="str">
        <f>HYPERLINK("https://www.boe.es/gazeta/dias/1821/07/05/pdfs/GMD-1821-189.pdf#page=2","Abrir facsímil")</f>
        <v>Abrir facsímil</v>
      </c>
      <c r="K6786" s="3" t="s">
        <v>23</v>
      </c>
    </row>
    <row r="6787" spans="1:11" ht="42" customHeight="1">
      <c r="A6787" s="2" t="s">
        <v>13154</v>
      </c>
      <c r="B6787" s="2" t="s">
        <v>13155</v>
      </c>
      <c r="C6787" s="2" t="s">
        <v>114</v>
      </c>
      <c r="D6787" s="2" t="s">
        <v>27</v>
      </c>
      <c r="E6787" s="5">
        <v>-28796</v>
      </c>
      <c r="F6787" s="3" t="s">
        <v>1421</v>
      </c>
      <c r="G6787" s="3" t="s">
        <v>8266</v>
      </c>
      <c r="H6787" s="2" t="s">
        <v>21</v>
      </c>
      <c r="I6787" s="2" t="s">
        <v>13156</v>
      </c>
      <c r="J6787" s="3" t="str">
        <f>HYPERLINK("https://www.boe.es/gazeta/dias/1821/02/26/pdfs/GGB-1821-57.pdf#page=4","Abrir facsímil")</f>
        <v>Abrir facsímil</v>
      </c>
      <c r="K6787" s="3" t="s">
        <v>23</v>
      </c>
    </row>
    <row r="6788" spans="1:11" ht="42" customHeight="1">
      <c r="A6788" s="2" t="s">
        <v>13157</v>
      </c>
      <c r="B6788" s="2" t="s">
        <v>13158</v>
      </c>
      <c r="C6788" s="2" t="s">
        <v>35</v>
      </c>
      <c r="D6788" s="2" t="s">
        <v>27</v>
      </c>
      <c r="E6788" s="5">
        <v>-28674</v>
      </c>
      <c r="F6788" s="3" t="s">
        <v>536</v>
      </c>
      <c r="G6788" s="3" t="s">
        <v>29</v>
      </c>
      <c r="H6788" s="2" t="s">
        <v>21</v>
      </c>
      <c r="I6788" s="2" t="s">
        <v>13159</v>
      </c>
      <c r="J6788" s="3" t="str">
        <f>HYPERLINK("https://www.boe.es/gazeta/dias/1821/06/28/pdfs/GMD-1821-181.pdf#page=6","Abrir facsímil")</f>
        <v>Abrir facsímil</v>
      </c>
      <c r="K6788" s="3" t="s">
        <v>23</v>
      </c>
    </row>
    <row r="6789" spans="1:11" ht="42" customHeight="1">
      <c r="A6789" s="2" t="s">
        <v>13160</v>
      </c>
      <c r="B6789" s="2" t="s">
        <v>13161</v>
      </c>
      <c r="C6789" s="2" t="s">
        <v>17</v>
      </c>
      <c r="D6789" s="2" t="s">
        <v>18</v>
      </c>
      <c r="E6789" s="5">
        <v>-28750</v>
      </c>
      <c r="F6789" s="3" t="s">
        <v>917</v>
      </c>
      <c r="G6789" s="3" t="s">
        <v>52</v>
      </c>
      <c r="H6789" s="2" t="s">
        <v>21</v>
      </c>
      <c r="I6789" s="2" t="s">
        <v>13162</v>
      </c>
      <c r="J6789" s="3" t="str">
        <f>HYPERLINK("https://www.boe.es/gazeta/dias/1821/04/13/pdfs/GMD-1821-105.pdf#page=2","Abrir facsímil")</f>
        <v>Abrir facsímil</v>
      </c>
      <c r="K6789" s="3" t="s">
        <v>23</v>
      </c>
    </row>
    <row r="6790" spans="1:11" ht="42" customHeight="1">
      <c r="A6790" s="2" t="s">
        <v>13163</v>
      </c>
      <c r="B6790" s="2" t="s">
        <v>13164</v>
      </c>
      <c r="C6790" s="2" t="s">
        <v>40</v>
      </c>
      <c r="D6790" s="2" t="s">
        <v>41</v>
      </c>
      <c r="E6790" s="5">
        <v>-28762</v>
      </c>
      <c r="F6790" s="3" t="s">
        <v>608</v>
      </c>
      <c r="G6790" s="3" t="s">
        <v>162</v>
      </c>
      <c r="H6790" s="2" t="s">
        <v>21</v>
      </c>
      <c r="I6790" s="2" t="s">
        <v>13165</v>
      </c>
      <c r="J6790" s="3" t="str">
        <f>HYPERLINK("https://www.boe.es/gazeta/dias/1821/04/01/pdfs/GMD-1821-93.pdf#page=5","Abrir facsímil")</f>
        <v>Abrir facsímil</v>
      </c>
      <c r="K6790" s="3" t="s">
        <v>23</v>
      </c>
    </row>
    <row r="6791" spans="1:11" ht="42" customHeight="1">
      <c r="A6791" s="2" t="s">
        <v>13166</v>
      </c>
      <c r="B6791" s="2" t="s">
        <v>13167</v>
      </c>
      <c r="C6791" s="2" t="s">
        <v>114</v>
      </c>
      <c r="D6791" s="2" t="s">
        <v>27</v>
      </c>
      <c r="E6791" s="5">
        <v>-28649</v>
      </c>
      <c r="F6791" s="3" t="s">
        <v>4688</v>
      </c>
      <c r="G6791" s="3" t="s">
        <v>20</v>
      </c>
      <c r="H6791" s="2" t="s">
        <v>21</v>
      </c>
      <c r="I6791" s="2" t="s">
        <v>13168</v>
      </c>
      <c r="J6791" s="3" t="str">
        <f>HYPERLINK("https://www.boe.es/gazeta/dias/1821/07/23/pdfs/GMD-1821-208.pdf#page=3","Abrir facsímil")</f>
        <v>Abrir facsímil</v>
      </c>
      <c r="K6791" s="3" t="s">
        <v>23</v>
      </c>
    </row>
    <row r="6792" spans="1:11" ht="42" customHeight="1">
      <c r="A6792" s="2" t="s">
        <v>13169</v>
      </c>
      <c r="B6792" s="2" t="s">
        <v>13170</v>
      </c>
      <c r="C6792" s="2" t="s">
        <v>40</v>
      </c>
      <c r="D6792" s="2" t="s">
        <v>41</v>
      </c>
      <c r="E6792" s="5">
        <v>-28735</v>
      </c>
      <c r="F6792" s="3" t="s">
        <v>836</v>
      </c>
      <c r="G6792" s="3" t="s">
        <v>52</v>
      </c>
      <c r="H6792" s="2" t="s">
        <v>21</v>
      </c>
      <c r="I6792" s="2" t="s">
        <v>13171</v>
      </c>
      <c r="J6792" s="3" t="str">
        <f>HYPERLINK("https://www.boe.es/gazeta/dias/1821/04/28/pdfs/GMD-1821-120.pdf#page=2","Abrir facsímil")</f>
        <v>Abrir facsímil</v>
      </c>
      <c r="K6792" s="3" t="s">
        <v>23</v>
      </c>
    </row>
    <row r="6793" spans="1:11" ht="42" customHeight="1">
      <c r="A6793" s="2" t="s">
        <v>13172</v>
      </c>
      <c r="B6793" s="2" t="s">
        <v>13173</v>
      </c>
      <c r="C6793" s="2" t="s">
        <v>40</v>
      </c>
      <c r="D6793" s="2" t="s">
        <v>41</v>
      </c>
      <c r="E6793" s="5">
        <v>-28531</v>
      </c>
      <c r="F6793" s="3" t="s">
        <v>365</v>
      </c>
      <c r="G6793" s="3" t="s">
        <v>20</v>
      </c>
      <c r="H6793" s="2" t="s">
        <v>21</v>
      </c>
      <c r="I6793" s="2" t="s">
        <v>13174</v>
      </c>
      <c r="J6793" s="3" t="str">
        <f>HYPERLINK("https://www.boe.es/gazeta/dias/1821/11/18/pdfs/GMD-1821-329.pdf#page=3","Abrir facsímil")</f>
        <v>Abrir facsímil</v>
      </c>
      <c r="K6793" s="3" t="s">
        <v>23</v>
      </c>
    </row>
    <row r="6794" spans="1:11" ht="42" customHeight="1">
      <c r="A6794" s="2" t="s">
        <v>13175</v>
      </c>
      <c r="B6794" s="2" t="s">
        <v>13176</v>
      </c>
      <c r="C6794" s="2" t="s">
        <v>40</v>
      </c>
      <c r="D6794" s="2" t="s">
        <v>41</v>
      </c>
      <c r="E6794" s="5">
        <v>-28625</v>
      </c>
      <c r="F6794" s="3" t="s">
        <v>738</v>
      </c>
      <c r="G6794" s="3" t="s">
        <v>88</v>
      </c>
      <c r="H6794" s="2" t="s">
        <v>30</v>
      </c>
      <c r="I6794" s="2" t="s">
        <v>13177</v>
      </c>
      <c r="J6794" s="3" t="str">
        <f>HYPERLINK("https://www.boe.es/gazeta/dias/1821/08/16/pdfs/GMD-1821-233.pdf#page=4","Abrir facsímil")</f>
        <v>Abrir facsímil</v>
      </c>
      <c r="K6794" s="3" t="s">
        <v>32</v>
      </c>
    </row>
    <row r="6795" spans="1:11" ht="42" customHeight="1">
      <c r="A6795" s="2" t="s">
        <v>13178</v>
      </c>
      <c r="B6795" s="2" t="s">
        <v>13178</v>
      </c>
      <c r="C6795" s="2" t="s">
        <v>35</v>
      </c>
      <c r="D6795" s="2" t="s">
        <v>27</v>
      </c>
      <c r="E6795" s="5">
        <v>-28795</v>
      </c>
      <c r="F6795" s="3" t="s">
        <v>2287</v>
      </c>
      <c r="G6795" s="3" t="s">
        <v>43</v>
      </c>
      <c r="H6795" s="2" t="s">
        <v>21</v>
      </c>
      <c r="I6795" s="2" t="s">
        <v>13179</v>
      </c>
      <c r="J6795" s="3" t="str">
        <f>HYPERLINK("https://www.boe.es/gazeta/dias/1821/02/27/pdfs/GGB-1821-58.pdf#page=1","Abrir facsímil")</f>
        <v>Abrir facsímil</v>
      </c>
      <c r="K6795" s="3" t="s">
        <v>23</v>
      </c>
    </row>
    <row r="6796" spans="1:11" ht="42" customHeight="1">
      <c r="A6796" s="2" t="s">
        <v>13180</v>
      </c>
      <c r="B6796" s="2" t="s">
        <v>13180</v>
      </c>
      <c r="C6796" s="2" t="s">
        <v>40</v>
      </c>
      <c r="D6796" s="2" t="s">
        <v>41</v>
      </c>
      <c r="E6796" s="5">
        <v>-28575</v>
      </c>
      <c r="F6796" s="3" t="s">
        <v>2453</v>
      </c>
      <c r="G6796" s="3" t="s">
        <v>43</v>
      </c>
      <c r="H6796" s="2" t="s">
        <v>21</v>
      </c>
      <c r="I6796" s="2" t="s">
        <v>13181</v>
      </c>
      <c r="J6796" s="3" t="str">
        <f>HYPERLINK("https://www.boe.es/gazeta/dias/1821/10/05/pdfs/GMD-1821-284.pdf#page=1","Abrir facsímil")</f>
        <v>Abrir facsímil</v>
      </c>
      <c r="K6796" s="3" t="s">
        <v>23</v>
      </c>
    </row>
    <row r="6797" spans="1:11" ht="42" customHeight="1">
      <c r="A6797" s="2" t="s">
        <v>13182</v>
      </c>
      <c r="B6797" s="2" t="s">
        <v>13183</v>
      </c>
      <c r="C6797" s="2" t="s">
        <v>174</v>
      </c>
      <c r="D6797" s="2" t="s">
        <v>27</v>
      </c>
      <c r="E6797" s="5">
        <v>-28741</v>
      </c>
      <c r="F6797" s="3" t="s">
        <v>1841</v>
      </c>
      <c r="G6797" s="3" t="s">
        <v>88</v>
      </c>
      <c r="H6797" s="2" t="s">
        <v>21</v>
      </c>
      <c r="I6797" s="2" t="s">
        <v>13184</v>
      </c>
      <c r="J6797" s="3" t="str">
        <f>HYPERLINK("https://www.boe.es/gazeta/dias/1821/04/22/pdfs/GMD-1821-114.pdf#page=4","Abrir facsímil")</f>
        <v>Abrir facsímil</v>
      </c>
      <c r="K6797" s="3" t="s">
        <v>23</v>
      </c>
    </row>
    <row r="6798" spans="1:11" ht="42" customHeight="1">
      <c r="A6798" s="2" t="s">
        <v>13185</v>
      </c>
      <c r="B6798" s="2" t="s">
        <v>13186</v>
      </c>
      <c r="C6798" s="2" t="s">
        <v>17</v>
      </c>
      <c r="D6798" s="2" t="s">
        <v>18</v>
      </c>
      <c r="E6798" s="5">
        <v>-28641</v>
      </c>
      <c r="F6798" s="3" t="s">
        <v>398</v>
      </c>
      <c r="G6798" s="3" t="s">
        <v>20</v>
      </c>
      <c r="H6798" s="2" t="s">
        <v>21</v>
      </c>
      <c r="I6798" s="2" t="s">
        <v>13187</v>
      </c>
      <c r="J6798" s="3" t="str">
        <f>HYPERLINK("https://www.boe.es/gazeta/dias/1821/07/31/pdfs/GMD-1821-216.pdf#page=3","Abrir facsímil")</f>
        <v>Abrir facsímil</v>
      </c>
      <c r="K6798" s="3" t="s">
        <v>23</v>
      </c>
    </row>
    <row r="6799" spans="1:11" ht="42" customHeight="1">
      <c r="A6799" s="2" t="s">
        <v>13188</v>
      </c>
      <c r="B6799" s="2" t="s">
        <v>13189</v>
      </c>
      <c r="C6799" s="2" t="s">
        <v>40</v>
      </c>
      <c r="D6799" s="2" t="s">
        <v>41</v>
      </c>
      <c r="E6799" s="5">
        <v>-28560</v>
      </c>
      <c r="F6799" s="3" t="s">
        <v>363</v>
      </c>
      <c r="G6799" s="3" t="s">
        <v>162</v>
      </c>
      <c r="H6799" s="2" t="s">
        <v>21</v>
      </c>
      <c r="I6799" s="2" t="s">
        <v>13190</v>
      </c>
      <c r="J6799" s="3" t="str">
        <f>HYPERLINK("https://www.boe.es/gazeta/dias/1821/10/20/pdfs/GMD-1821-299.pdf#page=5","Abrir facsímil")</f>
        <v>Abrir facsímil</v>
      </c>
      <c r="K6799" s="3" t="s">
        <v>23</v>
      </c>
    </row>
    <row r="6800" spans="1:11" ht="42" customHeight="1">
      <c r="A6800" s="2" t="s">
        <v>13191</v>
      </c>
      <c r="B6800" s="2" t="s">
        <v>13192</v>
      </c>
      <c r="C6800" s="2" t="s">
        <v>17</v>
      </c>
      <c r="D6800" s="2" t="s">
        <v>18</v>
      </c>
      <c r="E6800" s="5">
        <v>-28739</v>
      </c>
      <c r="F6800" s="3" t="s">
        <v>1024</v>
      </c>
      <c r="G6800" s="3" t="s">
        <v>52</v>
      </c>
      <c r="H6800" s="2" t="s">
        <v>21</v>
      </c>
      <c r="I6800" s="2" t="s">
        <v>13193</v>
      </c>
      <c r="J6800" s="3" t="str">
        <f>HYPERLINK("https://www.boe.es/gazeta/dias/1821/04/24/pdfs/GMD-1821-116.pdf#page=2","Abrir facsímil")</f>
        <v>Abrir facsímil</v>
      </c>
      <c r="K6800" s="3" t="s">
        <v>23</v>
      </c>
    </row>
    <row r="6801" spans="1:11" ht="42" customHeight="1">
      <c r="A6801" s="2" t="s">
        <v>13194</v>
      </c>
      <c r="B6801" s="2" t="s">
        <v>13195</v>
      </c>
      <c r="C6801" s="2" t="s">
        <v>17</v>
      </c>
      <c r="D6801" s="2" t="s">
        <v>18</v>
      </c>
      <c r="E6801" s="5">
        <v>-28782</v>
      </c>
      <c r="F6801" s="3" t="s">
        <v>508</v>
      </c>
      <c r="G6801" s="3" t="s">
        <v>88</v>
      </c>
      <c r="H6801" s="2" t="s">
        <v>21</v>
      </c>
      <c r="I6801" s="2" t="s">
        <v>13196</v>
      </c>
      <c r="J6801" s="3" t="str">
        <f>HYPERLINK("https://www.boe.es/gazeta/dias/1821/03/12/pdfs/GMD-1821-71.pdf#page=4","Abrir facsímil")</f>
        <v>Abrir facsímil</v>
      </c>
      <c r="K6801" s="3" t="s">
        <v>23</v>
      </c>
    </row>
    <row r="6802" spans="1:11" ht="42" customHeight="1">
      <c r="A6802" s="2" t="s">
        <v>13197</v>
      </c>
      <c r="B6802" s="2" t="s">
        <v>13198</v>
      </c>
      <c r="C6802" s="2" t="s">
        <v>35</v>
      </c>
      <c r="D6802" s="2" t="s">
        <v>27</v>
      </c>
      <c r="E6802" s="5">
        <v>-28813</v>
      </c>
      <c r="F6802" s="3" t="s">
        <v>268</v>
      </c>
      <c r="G6802" s="3" t="s">
        <v>20</v>
      </c>
      <c r="H6802" s="2" t="s">
        <v>21</v>
      </c>
      <c r="I6802" s="2" t="s">
        <v>13199</v>
      </c>
      <c r="J6802" s="3" t="str">
        <f>HYPERLINK("https://www.boe.es/gazeta/dias/1821/02/09/pdfs/GGB-1821-40.pdf#page=3","Abrir facsímil")</f>
        <v>Abrir facsímil</v>
      </c>
      <c r="K6802" s="3" t="s">
        <v>23</v>
      </c>
    </row>
    <row r="6803" spans="1:11" ht="42" customHeight="1">
      <c r="A6803" s="2" t="s">
        <v>13200</v>
      </c>
      <c r="B6803" s="2" t="s">
        <v>13201</v>
      </c>
      <c r="C6803" s="2" t="s">
        <v>26</v>
      </c>
      <c r="D6803" s="2" t="s">
        <v>27</v>
      </c>
      <c r="E6803" s="5">
        <v>-28617</v>
      </c>
      <c r="F6803" s="3" t="s">
        <v>436</v>
      </c>
      <c r="G6803" s="3" t="s">
        <v>88</v>
      </c>
      <c r="H6803" s="2" t="s">
        <v>21</v>
      </c>
      <c r="I6803" s="2" t="s">
        <v>13202</v>
      </c>
      <c r="J6803" s="3" t="str">
        <f>HYPERLINK("https://www.boe.es/gazeta/dias/1821/08/24/pdfs/GMD-1821-241.pdf#page=4","Abrir facsímil")</f>
        <v>Abrir facsímil</v>
      </c>
      <c r="K6803" s="3" t="s">
        <v>23</v>
      </c>
    </row>
    <row r="6804" spans="1:11" ht="42" customHeight="1">
      <c r="A6804" s="2" t="s">
        <v>13203</v>
      </c>
      <c r="B6804" s="2" t="s">
        <v>13203</v>
      </c>
      <c r="C6804" s="2" t="s">
        <v>40</v>
      </c>
      <c r="D6804" s="2" t="s">
        <v>41</v>
      </c>
      <c r="E6804" s="5">
        <v>-28811</v>
      </c>
      <c r="F6804" s="3" t="s">
        <v>5734</v>
      </c>
      <c r="G6804" s="3" t="s">
        <v>88</v>
      </c>
      <c r="H6804" s="2" t="s">
        <v>21</v>
      </c>
      <c r="I6804" s="2" t="s">
        <v>13204</v>
      </c>
      <c r="J6804" s="3" t="str">
        <f>HYPERLINK("https://www.boe.es/gazeta/dias/1821/02/11/pdfs/GGB-1821-42.pdf#page=4","Abrir facsímil")</f>
        <v>Abrir facsímil</v>
      </c>
      <c r="K6804" s="3" t="s">
        <v>23</v>
      </c>
    </row>
    <row r="6805" spans="1:11" ht="42" customHeight="1">
      <c r="A6805" s="2" t="s">
        <v>13203</v>
      </c>
      <c r="B6805" s="2" t="s">
        <v>13203</v>
      </c>
      <c r="C6805" s="2" t="s">
        <v>279</v>
      </c>
      <c r="D6805" s="2" t="s">
        <v>27</v>
      </c>
      <c r="E6805" s="5">
        <v>-28589</v>
      </c>
      <c r="F6805" s="3" t="s">
        <v>3130</v>
      </c>
      <c r="G6805" s="3" t="s">
        <v>88</v>
      </c>
      <c r="H6805" s="2" t="s">
        <v>21</v>
      </c>
      <c r="I6805" s="2" t="s">
        <v>13205</v>
      </c>
      <c r="J6805" s="3" t="str">
        <f>HYPERLINK("https://www.boe.es/gazeta/dias/1821/09/21/pdfs/GMD-1821-269.pdf#page=4","Abrir facsímil")</f>
        <v>Abrir facsímil</v>
      </c>
      <c r="K6805" s="3" t="s">
        <v>23</v>
      </c>
    </row>
    <row r="6806" spans="1:11" ht="42" customHeight="1">
      <c r="A6806" s="2" t="s">
        <v>13203</v>
      </c>
      <c r="B6806" s="2" t="s">
        <v>13203</v>
      </c>
      <c r="C6806" s="2" t="s">
        <v>40</v>
      </c>
      <c r="D6806" s="2" t="s">
        <v>41</v>
      </c>
      <c r="E6806" s="5">
        <v>-28552</v>
      </c>
      <c r="F6806" s="3" t="s">
        <v>28</v>
      </c>
      <c r="G6806" s="3" t="s">
        <v>29</v>
      </c>
      <c r="H6806" s="2" t="s">
        <v>21</v>
      </c>
      <c r="I6806" s="2" t="s">
        <v>13206</v>
      </c>
      <c r="J6806" s="3" t="str">
        <f>HYPERLINK("https://www.boe.es/gazeta/dias/1821/10/28/pdfs/GMD-1821-307.pdf#page=6","Abrir facsímil")</f>
        <v>Abrir facsímil</v>
      </c>
      <c r="K6806" s="3" t="s">
        <v>23</v>
      </c>
    </row>
    <row r="6807" spans="1:11" ht="42" customHeight="1">
      <c r="A6807" s="2" t="s">
        <v>13203</v>
      </c>
      <c r="B6807" s="2" t="s">
        <v>13203</v>
      </c>
      <c r="C6807" s="2" t="s">
        <v>40</v>
      </c>
      <c r="D6807" s="2" t="s">
        <v>41</v>
      </c>
      <c r="E6807" s="5">
        <v>-28534</v>
      </c>
      <c r="F6807" s="3" t="s">
        <v>414</v>
      </c>
      <c r="G6807" s="3" t="s">
        <v>43</v>
      </c>
      <c r="H6807" s="2" t="s">
        <v>21</v>
      </c>
      <c r="I6807" s="2" t="s">
        <v>13207</v>
      </c>
      <c r="J6807" s="3" t="str">
        <f>HYPERLINK("https://www.boe.es/gazeta/dias/1821/11/15/pdfs/GMD-1821-326.pdf#page=1","Abrir facsímil")</f>
        <v>Abrir facsímil</v>
      </c>
      <c r="K6807" s="3" t="s">
        <v>23</v>
      </c>
    </row>
    <row r="6808" spans="1:11" ht="42" customHeight="1">
      <c r="A6808" s="2" t="s">
        <v>13208</v>
      </c>
      <c r="B6808" s="2" t="s">
        <v>13208</v>
      </c>
      <c r="C6808" s="2" t="s">
        <v>40</v>
      </c>
      <c r="D6808" s="2" t="s">
        <v>41</v>
      </c>
      <c r="E6808" s="5">
        <v>-28807</v>
      </c>
      <c r="F6808" s="3" t="s">
        <v>613</v>
      </c>
      <c r="G6808" s="3" t="s">
        <v>20</v>
      </c>
      <c r="H6808" s="2" t="s">
        <v>21</v>
      </c>
      <c r="I6808" s="2" t="s">
        <v>13209</v>
      </c>
      <c r="J6808" s="3" t="str">
        <f>HYPERLINK("https://www.boe.es/gazeta/dias/1821/02/15/pdfs/GGB-1821-46.pdf#page=3","Abrir facsímil")</f>
        <v>Abrir facsímil</v>
      </c>
      <c r="K6808" s="3" t="s">
        <v>23</v>
      </c>
    </row>
    <row r="6809" spans="1:11" ht="42" customHeight="1">
      <c r="A6809" s="2" t="s">
        <v>13208</v>
      </c>
      <c r="B6809" s="2" t="s">
        <v>13208</v>
      </c>
      <c r="C6809" s="2" t="s">
        <v>114</v>
      </c>
      <c r="D6809" s="2" t="s">
        <v>27</v>
      </c>
      <c r="E6809" s="5">
        <v>-28746</v>
      </c>
      <c r="F6809" s="3" t="s">
        <v>687</v>
      </c>
      <c r="G6809" s="3" t="s">
        <v>333</v>
      </c>
      <c r="H6809" s="2" t="s">
        <v>21</v>
      </c>
      <c r="I6809" s="2" t="s">
        <v>13210</v>
      </c>
      <c r="J6809" s="3" t="str">
        <f>HYPERLINK("https://www.boe.es/gazeta/dias/1821/04/17/pdfs/GMD-1821-109.pdf#page=8","Abrir facsímil")</f>
        <v>Abrir facsímil</v>
      </c>
      <c r="K6809" s="3" t="s">
        <v>23</v>
      </c>
    </row>
    <row r="6810" spans="1:11" ht="42" customHeight="1">
      <c r="A6810" s="2" t="s">
        <v>13208</v>
      </c>
      <c r="B6810" s="2" t="s">
        <v>13208</v>
      </c>
      <c r="C6810" s="2" t="s">
        <v>26</v>
      </c>
      <c r="D6810" s="2" t="s">
        <v>27</v>
      </c>
      <c r="E6810" s="5">
        <v>-28738</v>
      </c>
      <c r="F6810" s="3" t="s">
        <v>359</v>
      </c>
      <c r="G6810" s="3" t="s">
        <v>20</v>
      </c>
      <c r="H6810" s="2" t="s">
        <v>21</v>
      </c>
      <c r="I6810" s="2" t="s">
        <v>13211</v>
      </c>
      <c r="J6810" s="3" t="str">
        <f>HYPERLINK("https://www.boe.es/gazeta/dias/1821/04/25/pdfs/GMD-1821-117.pdf#page=3","Abrir facsímil")</f>
        <v>Abrir facsímil</v>
      </c>
      <c r="K6810" s="3" t="s">
        <v>23</v>
      </c>
    </row>
    <row r="6811" spans="1:11" ht="42" customHeight="1">
      <c r="A6811" s="2" t="s">
        <v>13208</v>
      </c>
      <c r="B6811" s="2" t="s">
        <v>13208</v>
      </c>
      <c r="C6811" s="2" t="s">
        <v>70</v>
      </c>
      <c r="D6811" s="2" t="s">
        <v>27</v>
      </c>
      <c r="E6811" s="5">
        <v>-28727</v>
      </c>
      <c r="F6811" s="3" t="s">
        <v>200</v>
      </c>
      <c r="G6811" s="3" t="s">
        <v>88</v>
      </c>
      <c r="H6811" s="2" t="s">
        <v>21</v>
      </c>
      <c r="I6811" s="2" t="s">
        <v>13212</v>
      </c>
      <c r="J6811" s="3" t="str">
        <f>HYPERLINK("https://www.boe.es/gazeta/dias/1821/05/06/pdfs/GMD-1821-128.pdf#page=4","Abrir facsímil")</f>
        <v>Abrir facsímil</v>
      </c>
      <c r="K6811" s="3" t="s">
        <v>23</v>
      </c>
    </row>
    <row r="6812" spans="1:11" ht="42" customHeight="1">
      <c r="A6812" s="2" t="s">
        <v>13208</v>
      </c>
      <c r="B6812" s="2" t="s">
        <v>13208</v>
      </c>
      <c r="C6812" s="2" t="s">
        <v>17</v>
      </c>
      <c r="D6812" s="2" t="s">
        <v>18</v>
      </c>
      <c r="E6812" s="5">
        <v>-28547</v>
      </c>
      <c r="F6812" s="3" t="s">
        <v>247</v>
      </c>
      <c r="G6812" s="3" t="s">
        <v>248</v>
      </c>
      <c r="H6812" s="2" t="s">
        <v>21</v>
      </c>
      <c r="I6812" s="2" t="s">
        <v>13213</v>
      </c>
      <c r="J6812" s="3" t="str">
        <f>HYPERLINK("https://www.boe.es/gazeta/dias/1821/11/02/pdfs/GMD-1821-312.pdf#page=2","Abrir facsímil")</f>
        <v>Abrir facsímil</v>
      </c>
      <c r="K6812" s="3" t="s">
        <v>23</v>
      </c>
    </row>
    <row r="6813" spans="1:11" ht="42" customHeight="1">
      <c r="A6813" s="2" t="s">
        <v>13214</v>
      </c>
      <c r="B6813" s="2" t="s">
        <v>13215</v>
      </c>
      <c r="C6813" s="2" t="s">
        <v>26</v>
      </c>
      <c r="D6813" s="2" t="s">
        <v>27</v>
      </c>
      <c r="E6813" s="5">
        <v>-28526</v>
      </c>
      <c r="F6813" s="3" t="s">
        <v>223</v>
      </c>
      <c r="G6813" s="3" t="s">
        <v>52</v>
      </c>
      <c r="H6813" s="2" t="s">
        <v>21</v>
      </c>
      <c r="I6813" s="2" t="s">
        <v>13216</v>
      </c>
      <c r="J6813" s="3" t="str">
        <f>HYPERLINK("https://www.boe.es/gazeta/dias/1821/11/23/pdfs/GMD-1821-334.pdf#page=2","Abrir facsímil")</f>
        <v>Abrir facsímil</v>
      </c>
      <c r="K6813" s="3" t="s">
        <v>23</v>
      </c>
    </row>
    <row r="6814" spans="1:11" ht="42" customHeight="1">
      <c r="A6814" s="2" t="s">
        <v>13217</v>
      </c>
      <c r="B6814" s="2" t="s">
        <v>13218</v>
      </c>
      <c r="C6814" s="2" t="s">
        <v>17</v>
      </c>
      <c r="D6814" s="2" t="s">
        <v>18</v>
      </c>
      <c r="E6814" s="5">
        <v>-28762</v>
      </c>
      <c r="F6814" s="3" t="s">
        <v>608</v>
      </c>
      <c r="G6814" s="3" t="s">
        <v>162</v>
      </c>
      <c r="H6814" s="2" t="s">
        <v>21</v>
      </c>
      <c r="I6814" s="2" t="s">
        <v>13219</v>
      </c>
      <c r="J6814" s="3" t="str">
        <f>HYPERLINK("https://www.boe.es/gazeta/dias/1821/04/01/pdfs/GMD-1821-93.pdf#page=5","Abrir facsímil")</f>
        <v>Abrir facsímil</v>
      </c>
      <c r="K6814" s="3" t="s">
        <v>23</v>
      </c>
    </row>
    <row r="6815" spans="1:11" ht="42" customHeight="1">
      <c r="A6815" s="2" t="s">
        <v>13220</v>
      </c>
      <c r="B6815" s="2" t="s">
        <v>13221</v>
      </c>
      <c r="C6815" s="2" t="s">
        <v>40</v>
      </c>
      <c r="D6815" s="2" t="s">
        <v>41</v>
      </c>
      <c r="E6815" s="5">
        <v>-28828</v>
      </c>
      <c r="F6815" s="3" t="s">
        <v>1864</v>
      </c>
      <c r="G6815" s="3" t="s">
        <v>88</v>
      </c>
      <c r="H6815" s="2" t="s">
        <v>21</v>
      </c>
      <c r="I6815" s="2" t="s">
        <v>13222</v>
      </c>
      <c r="J6815" s="3" t="str">
        <f>HYPERLINK("https://www.boe.es/gazeta/dias/1821/01/25/pdfs/GGB-1821-25.pdf#page=4","Abrir facsímil")</f>
        <v>Abrir facsímil</v>
      </c>
      <c r="K6815" s="3" t="s">
        <v>23</v>
      </c>
    </row>
    <row r="6816" spans="1:11" ht="42" customHeight="1">
      <c r="A6816" s="2" t="s">
        <v>13223</v>
      </c>
      <c r="B6816" s="2" t="s">
        <v>13223</v>
      </c>
      <c r="C6816" s="2" t="s">
        <v>26</v>
      </c>
      <c r="D6816" s="2" t="s">
        <v>27</v>
      </c>
      <c r="E6816" s="5">
        <v>-28786</v>
      </c>
      <c r="F6816" s="3" t="s">
        <v>1933</v>
      </c>
      <c r="G6816" s="3" t="s">
        <v>88</v>
      </c>
      <c r="H6816" s="2" t="s">
        <v>21</v>
      </c>
      <c r="I6816" s="2" t="s">
        <v>13224</v>
      </c>
      <c r="J6816" s="3" t="str">
        <f>HYPERLINK("https://www.boe.es/gazeta/dias/1821/03/08/pdfs/GGB-1821-67.pdf#page=4","Abrir facsímil")</f>
        <v>Abrir facsímil</v>
      </c>
      <c r="K6816" s="3" t="s">
        <v>23</v>
      </c>
    </row>
    <row r="6817" spans="1:11" ht="42" customHeight="1">
      <c r="A6817" s="2" t="s">
        <v>13223</v>
      </c>
      <c r="B6817" s="2" t="s">
        <v>13223</v>
      </c>
      <c r="C6817" s="2" t="s">
        <v>26</v>
      </c>
      <c r="D6817" s="2" t="s">
        <v>27</v>
      </c>
      <c r="E6817" s="5">
        <v>-28759</v>
      </c>
      <c r="F6817" s="3" t="s">
        <v>71</v>
      </c>
      <c r="G6817" s="3" t="s">
        <v>52</v>
      </c>
      <c r="H6817" s="2" t="s">
        <v>21</v>
      </c>
      <c r="I6817" s="2" t="s">
        <v>13225</v>
      </c>
      <c r="J6817" s="3" t="str">
        <f>HYPERLINK("https://www.boe.es/gazeta/dias/1821/04/04/pdfs/GMD-1821-96.pdf#page=2","Abrir facsímil")</f>
        <v>Abrir facsímil</v>
      </c>
      <c r="K6817" s="3" t="s">
        <v>23</v>
      </c>
    </row>
    <row r="6818" spans="1:11" ht="42" customHeight="1">
      <c r="A6818" s="2" t="s">
        <v>13223</v>
      </c>
      <c r="B6818" s="2" t="s">
        <v>13223</v>
      </c>
      <c r="C6818" s="2" t="s">
        <v>26</v>
      </c>
      <c r="D6818" s="2" t="s">
        <v>27</v>
      </c>
      <c r="E6818" s="5">
        <v>-28579</v>
      </c>
      <c r="F6818" s="3" t="s">
        <v>743</v>
      </c>
      <c r="G6818" s="3" t="s">
        <v>88</v>
      </c>
      <c r="H6818" s="2" t="s">
        <v>21</v>
      </c>
      <c r="I6818" s="2" t="s">
        <v>13226</v>
      </c>
      <c r="J6818" s="3" t="str">
        <f>HYPERLINK("https://www.boe.es/gazeta/dias/1821/10/01/pdfs/GMD-1821-280.pdf#page=4","Abrir facsímil")</f>
        <v>Abrir facsímil</v>
      </c>
      <c r="K6818" s="3" t="s">
        <v>23</v>
      </c>
    </row>
    <row r="6819" spans="1:11" ht="42" customHeight="1">
      <c r="A6819" s="2" t="s">
        <v>13223</v>
      </c>
      <c r="B6819" s="2" t="s">
        <v>13223</v>
      </c>
      <c r="C6819" s="2" t="s">
        <v>26</v>
      </c>
      <c r="D6819" s="2" t="s">
        <v>27</v>
      </c>
      <c r="E6819" s="5">
        <v>-28495</v>
      </c>
      <c r="F6819" s="3" t="s">
        <v>227</v>
      </c>
      <c r="G6819" s="3" t="s">
        <v>29</v>
      </c>
      <c r="H6819" s="2" t="s">
        <v>21</v>
      </c>
      <c r="I6819" s="2" t="s">
        <v>13227</v>
      </c>
      <c r="J6819" s="3" t="str">
        <f>HYPERLINK("https://www.boe.es/gazeta/dias/1821/12/24/pdfs/GMD-1821-367.pdf#page=6","Abrir facsímil")</f>
        <v>Abrir facsímil</v>
      </c>
      <c r="K6819" s="3" t="s">
        <v>23</v>
      </c>
    </row>
    <row r="6820" spans="1:11" ht="42" customHeight="1">
      <c r="A6820" s="2" t="s">
        <v>13228</v>
      </c>
      <c r="B6820" s="2" t="s">
        <v>13229</v>
      </c>
      <c r="C6820" s="2" t="s">
        <v>40</v>
      </c>
      <c r="D6820" s="2" t="s">
        <v>41</v>
      </c>
      <c r="E6820" s="5">
        <v>-28576</v>
      </c>
      <c r="F6820" s="3" t="s">
        <v>1924</v>
      </c>
      <c r="G6820" s="3" t="s">
        <v>88</v>
      </c>
      <c r="H6820" s="2" t="s">
        <v>21</v>
      </c>
      <c r="I6820" s="2" t="s">
        <v>13230</v>
      </c>
      <c r="J6820" s="3" t="str">
        <f>HYPERLINK("https://www.boe.es/gazeta/dias/1821/10/04/pdfs/GMD-1821-283.pdf#page=4","Abrir facsímil")</f>
        <v>Abrir facsímil</v>
      </c>
      <c r="K6820" s="3" t="s">
        <v>23</v>
      </c>
    </row>
    <row r="6821" spans="1:11" ht="42" customHeight="1">
      <c r="A6821" s="2" t="s">
        <v>13231</v>
      </c>
      <c r="B6821" s="2" t="s">
        <v>13232</v>
      </c>
      <c r="C6821" s="2" t="s">
        <v>26</v>
      </c>
      <c r="D6821" s="2" t="s">
        <v>27</v>
      </c>
      <c r="E6821" s="5">
        <v>-28547</v>
      </c>
      <c r="F6821" s="3" t="s">
        <v>247</v>
      </c>
      <c r="G6821" s="3" t="s">
        <v>248</v>
      </c>
      <c r="H6821" s="2" t="s">
        <v>21</v>
      </c>
      <c r="I6821" s="2" t="s">
        <v>13233</v>
      </c>
      <c r="J6821" s="3" t="str">
        <f>HYPERLINK("https://www.boe.es/gazeta/dias/1821/11/02/pdfs/GMD-1821-312.pdf#page=2","Abrir facsímil")</f>
        <v>Abrir facsímil</v>
      </c>
      <c r="K6821" s="3" t="s">
        <v>23</v>
      </c>
    </row>
    <row r="6822" spans="1:11" ht="42" customHeight="1">
      <c r="A6822" s="2" t="s">
        <v>13234</v>
      </c>
      <c r="B6822" s="2" t="s">
        <v>13234</v>
      </c>
      <c r="C6822" s="2" t="s">
        <v>17</v>
      </c>
      <c r="D6822" s="2" t="s">
        <v>18</v>
      </c>
      <c r="E6822" s="5">
        <v>-28626</v>
      </c>
      <c r="F6822" s="3" t="s">
        <v>468</v>
      </c>
      <c r="G6822" s="3" t="s">
        <v>20</v>
      </c>
      <c r="H6822" s="2" t="s">
        <v>21</v>
      </c>
      <c r="I6822" s="2" t="s">
        <v>13235</v>
      </c>
      <c r="J6822" s="3" t="str">
        <f>HYPERLINK("https://www.boe.es/gazeta/dias/1821/08/15/pdfs/GMD-1821-232.pdf#page=3","Abrir facsímil")</f>
        <v>Abrir facsímil</v>
      </c>
      <c r="K6822" s="3" t="s">
        <v>23</v>
      </c>
    </row>
    <row r="6823" spans="1:11" ht="42" customHeight="1">
      <c r="A6823" s="2" t="s">
        <v>13236</v>
      </c>
      <c r="B6823" s="2" t="s">
        <v>13237</v>
      </c>
      <c r="C6823" s="2" t="s">
        <v>40</v>
      </c>
      <c r="D6823" s="2" t="s">
        <v>41</v>
      </c>
      <c r="E6823" s="5">
        <v>-28590</v>
      </c>
      <c r="F6823" s="3" t="s">
        <v>2787</v>
      </c>
      <c r="G6823" s="3" t="s">
        <v>88</v>
      </c>
      <c r="H6823" s="2" t="s">
        <v>21</v>
      </c>
      <c r="I6823" s="2" t="s">
        <v>13238</v>
      </c>
      <c r="J6823" s="3" t="str">
        <f>HYPERLINK("https://www.boe.es/gazeta/dias/1821/09/20/pdfs/GMD-1821-268.pdf#page=4","Abrir facsímil")</f>
        <v>Abrir facsímil</v>
      </c>
      <c r="K6823" s="3" t="s">
        <v>23</v>
      </c>
    </row>
    <row r="6824" spans="1:11" ht="42" customHeight="1">
      <c r="A6824" s="2" t="s">
        <v>13239</v>
      </c>
      <c r="B6824" s="2" t="s">
        <v>13239</v>
      </c>
      <c r="C6824" s="2" t="s">
        <v>26</v>
      </c>
      <c r="D6824" s="2" t="s">
        <v>27</v>
      </c>
      <c r="E6824" s="5">
        <v>-28840</v>
      </c>
      <c r="F6824" s="3" t="s">
        <v>161</v>
      </c>
      <c r="G6824" s="3" t="s">
        <v>88</v>
      </c>
      <c r="H6824" s="2" t="s">
        <v>21</v>
      </c>
      <c r="I6824" s="2" t="s">
        <v>13240</v>
      </c>
      <c r="J6824" s="3" t="str">
        <f>HYPERLINK("https://www.boe.es/gazeta/dias/1821/01/13/pdfs/GGB-1821-13.pdf#page=4","Abrir facsímil")</f>
        <v>Abrir facsímil</v>
      </c>
      <c r="K6824" s="3" t="s">
        <v>23</v>
      </c>
    </row>
    <row r="6825" spans="1:11" ht="42" customHeight="1">
      <c r="A6825" s="2" t="s">
        <v>13241</v>
      </c>
      <c r="B6825" s="2" t="s">
        <v>13241</v>
      </c>
      <c r="C6825" s="2" t="s">
        <v>174</v>
      </c>
      <c r="D6825" s="2" t="s">
        <v>27</v>
      </c>
      <c r="E6825" s="5">
        <v>-28501</v>
      </c>
      <c r="F6825" s="3" t="s">
        <v>456</v>
      </c>
      <c r="G6825" s="3" t="s">
        <v>43</v>
      </c>
      <c r="H6825" s="2" t="s">
        <v>21</v>
      </c>
      <c r="I6825" s="2" t="s">
        <v>13242</v>
      </c>
      <c r="J6825" s="3" t="str">
        <f>HYPERLINK("https://www.boe.es/gazeta/dias/1821/12/18/pdfs/GMD-1821-361.pdf#page=1","Abrir facsímil")</f>
        <v>Abrir facsímil</v>
      </c>
      <c r="K6825" s="3" t="s">
        <v>23</v>
      </c>
    </row>
    <row r="6826" spans="1:11" ht="42" customHeight="1">
      <c r="A6826" s="2" t="s">
        <v>13243</v>
      </c>
      <c r="B6826" s="2" t="s">
        <v>13243</v>
      </c>
      <c r="C6826" s="2" t="s">
        <v>17</v>
      </c>
      <c r="D6826" s="2" t="s">
        <v>18</v>
      </c>
      <c r="E6826" s="5">
        <v>-28536</v>
      </c>
      <c r="F6826" s="3" t="s">
        <v>553</v>
      </c>
      <c r="G6826" s="3" t="s">
        <v>43</v>
      </c>
      <c r="H6826" s="2" t="s">
        <v>21</v>
      </c>
      <c r="I6826" s="2" t="s">
        <v>13244</v>
      </c>
      <c r="J6826" s="3" t="str">
        <f>HYPERLINK("https://www.boe.es/gazeta/dias/1821/11/13/pdfs/GMD-1821-324.pdf#page=1","Abrir facsímil")</f>
        <v>Abrir facsímil</v>
      </c>
      <c r="K6826" s="3" t="s">
        <v>23</v>
      </c>
    </row>
    <row r="6827" spans="1:11" ht="42" customHeight="1">
      <c r="A6827" s="2" t="s">
        <v>13245</v>
      </c>
      <c r="B6827" s="2" t="s">
        <v>13245</v>
      </c>
      <c r="C6827" s="2" t="s">
        <v>17</v>
      </c>
      <c r="D6827" s="2" t="s">
        <v>18</v>
      </c>
      <c r="E6827" s="5">
        <v>-28688</v>
      </c>
      <c r="F6827" s="3" t="s">
        <v>1504</v>
      </c>
      <c r="G6827" s="3" t="s">
        <v>52</v>
      </c>
      <c r="H6827" s="2" t="s">
        <v>21</v>
      </c>
      <c r="I6827" s="2" t="s">
        <v>13246</v>
      </c>
      <c r="J6827" s="3" t="str">
        <f>HYPERLINK("https://www.boe.es/gazeta/dias/1821/06/14/pdfs/GMD-1821-167.pdf#page=2","Abrir facsímil")</f>
        <v>Abrir facsímil</v>
      </c>
      <c r="K6827" s="3" t="s">
        <v>23</v>
      </c>
    </row>
    <row r="6828" spans="1:11" ht="42" customHeight="1">
      <c r="A6828" s="2" t="s">
        <v>13247</v>
      </c>
      <c r="B6828" s="2" t="s">
        <v>13248</v>
      </c>
      <c r="C6828" s="2" t="s">
        <v>26</v>
      </c>
      <c r="D6828" s="2" t="s">
        <v>27</v>
      </c>
      <c r="E6828" s="5">
        <v>-28813</v>
      </c>
      <c r="F6828" s="3" t="s">
        <v>268</v>
      </c>
      <c r="G6828" s="3" t="s">
        <v>52</v>
      </c>
      <c r="H6828" s="2" t="s">
        <v>21</v>
      </c>
      <c r="I6828" s="2" t="s">
        <v>13249</v>
      </c>
      <c r="J6828" s="3" t="str">
        <f>HYPERLINK("https://www.boe.es/gazeta/dias/1821/02/09/pdfs/GGB-1821-40.pdf#page=2","Abrir facsímil")</f>
        <v>Abrir facsímil</v>
      </c>
      <c r="K6828" s="3" t="s">
        <v>23</v>
      </c>
    </row>
    <row r="6829" spans="1:11" ht="42" customHeight="1">
      <c r="A6829" s="2" t="s">
        <v>13250</v>
      </c>
      <c r="B6829" s="2" t="s">
        <v>13250</v>
      </c>
      <c r="C6829" s="2" t="s">
        <v>174</v>
      </c>
      <c r="D6829" s="2" t="s">
        <v>27</v>
      </c>
      <c r="E6829" s="5">
        <v>-28591</v>
      </c>
      <c r="F6829" s="3" t="s">
        <v>3638</v>
      </c>
      <c r="G6829" s="3" t="s">
        <v>52</v>
      </c>
      <c r="H6829" s="2" t="s">
        <v>21</v>
      </c>
      <c r="I6829" s="2" t="s">
        <v>13251</v>
      </c>
      <c r="J6829" s="3" t="str">
        <f>HYPERLINK("https://www.boe.es/gazeta/dias/1821/09/19/pdfs/GMD-1821-267.pdf#page=2","Abrir facsímil")</f>
        <v>Abrir facsímil</v>
      </c>
      <c r="K6829" s="3" t="s">
        <v>23</v>
      </c>
    </row>
    <row r="6830" spans="1:11" ht="42" customHeight="1">
      <c r="A6830" s="2" t="s">
        <v>13252</v>
      </c>
      <c r="B6830" s="2" t="s">
        <v>13253</v>
      </c>
      <c r="C6830" s="2" t="s">
        <v>40</v>
      </c>
      <c r="D6830" s="2" t="s">
        <v>41</v>
      </c>
      <c r="E6830" s="5">
        <v>-28721</v>
      </c>
      <c r="F6830" s="3" t="s">
        <v>92</v>
      </c>
      <c r="G6830" s="3" t="s">
        <v>88</v>
      </c>
      <c r="H6830" s="2" t="s">
        <v>21</v>
      </c>
      <c r="I6830" s="2" t="s">
        <v>13254</v>
      </c>
      <c r="J6830" s="3" t="str">
        <f>HYPERLINK("https://www.boe.es/gazeta/dias/1821/05/12/pdfs/GMD-1821-134.pdf#page=4","Abrir facsímil")</f>
        <v>Abrir facsímil</v>
      </c>
      <c r="K6830" s="3" t="s">
        <v>23</v>
      </c>
    </row>
    <row r="6831" spans="1:11" ht="42" customHeight="1">
      <c r="A6831" s="2" t="s">
        <v>13252</v>
      </c>
      <c r="B6831" s="2" t="s">
        <v>13253</v>
      </c>
      <c r="C6831" s="2" t="s">
        <v>40</v>
      </c>
      <c r="D6831" s="2" t="s">
        <v>41</v>
      </c>
      <c r="E6831" s="5">
        <v>-28654</v>
      </c>
      <c r="F6831" s="3" t="s">
        <v>674</v>
      </c>
      <c r="G6831" s="3" t="s">
        <v>88</v>
      </c>
      <c r="H6831" s="2" t="s">
        <v>21</v>
      </c>
      <c r="I6831" s="2" t="s">
        <v>13255</v>
      </c>
      <c r="J6831" s="3" t="str">
        <f>HYPERLINK("https://www.boe.es/gazeta/dias/1821/07/18/pdfs/GMD-1821-203.pdf#page=4","Abrir facsímil")</f>
        <v>Abrir facsímil</v>
      </c>
      <c r="K6831" s="3" t="s">
        <v>23</v>
      </c>
    </row>
    <row r="6832" spans="1:11" ht="42" customHeight="1">
      <c r="A6832" s="2" t="s">
        <v>13256</v>
      </c>
      <c r="B6832" s="2" t="s">
        <v>13256</v>
      </c>
      <c r="C6832" s="2" t="s">
        <v>35</v>
      </c>
      <c r="D6832" s="2" t="s">
        <v>27</v>
      </c>
      <c r="E6832" s="5">
        <v>-28542</v>
      </c>
      <c r="F6832" s="3" t="s">
        <v>221</v>
      </c>
      <c r="G6832" s="3" t="s">
        <v>162</v>
      </c>
      <c r="H6832" s="2" t="s">
        <v>21</v>
      </c>
      <c r="I6832" s="2" t="s">
        <v>13257</v>
      </c>
      <c r="J6832" s="3" t="str">
        <f>HYPERLINK("https://www.boe.es/gazeta/dias/1821/11/07/pdfs/GMD-1821-318.pdf#page=5","Abrir facsímil")</f>
        <v>Abrir facsímil</v>
      </c>
      <c r="K6832" s="3" t="s">
        <v>23</v>
      </c>
    </row>
    <row r="6833" spans="1:11" ht="42" customHeight="1">
      <c r="A6833" s="2" t="s">
        <v>13258</v>
      </c>
      <c r="B6833" s="2" t="s">
        <v>13259</v>
      </c>
      <c r="C6833" s="2" t="s">
        <v>26</v>
      </c>
      <c r="D6833" s="2" t="s">
        <v>27</v>
      </c>
      <c r="E6833" s="5">
        <v>-28617</v>
      </c>
      <c r="F6833" s="3" t="s">
        <v>436</v>
      </c>
      <c r="G6833" s="3" t="s">
        <v>88</v>
      </c>
      <c r="H6833" s="2" t="s">
        <v>21</v>
      </c>
      <c r="I6833" s="2" t="s">
        <v>13260</v>
      </c>
      <c r="J6833" s="3" t="str">
        <f>HYPERLINK("https://www.boe.es/gazeta/dias/1821/08/24/pdfs/GMD-1821-241.pdf#page=4","Abrir facsímil")</f>
        <v>Abrir facsímil</v>
      </c>
      <c r="K6833" s="3" t="s">
        <v>23</v>
      </c>
    </row>
    <row r="6834" spans="1:11" ht="42" customHeight="1">
      <c r="A6834" s="2" t="s">
        <v>13261</v>
      </c>
      <c r="B6834" s="2" t="s">
        <v>13262</v>
      </c>
      <c r="C6834" s="2" t="s">
        <v>17</v>
      </c>
      <c r="D6834" s="2" t="s">
        <v>18</v>
      </c>
      <c r="E6834" s="5">
        <v>-28565</v>
      </c>
      <c r="F6834" s="3" t="s">
        <v>326</v>
      </c>
      <c r="G6834" s="3" t="s">
        <v>88</v>
      </c>
      <c r="H6834" s="2" t="s">
        <v>21</v>
      </c>
      <c r="I6834" s="2" t="s">
        <v>13263</v>
      </c>
      <c r="J6834" s="3" t="str">
        <f>HYPERLINK("https://www.boe.es/gazeta/dias/1821/10/15/pdfs/GMD-1821-294.pdf#page=4","Abrir facsímil")</f>
        <v>Abrir facsímil</v>
      </c>
      <c r="K6834" s="3" t="s">
        <v>23</v>
      </c>
    </row>
    <row r="6835" spans="1:11" ht="42" customHeight="1">
      <c r="A6835" s="2" t="s">
        <v>13264</v>
      </c>
      <c r="B6835" s="2" t="s">
        <v>13265</v>
      </c>
      <c r="C6835" s="2" t="s">
        <v>26</v>
      </c>
      <c r="D6835" s="2" t="s">
        <v>27</v>
      </c>
      <c r="E6835" s="5">
        <v>-28628</v>
      </c>
      <c r="F6835" s="3" t="s">
        <v>4257</v>
      </c>
      <c r="G6835" s="3" t="s">
        <v>20</v>
      </c>
      <c r="H6835" s="2" t="s">
        <v>21</v>
      </c>
      <c r="I6835" s="2" t="s">
        <v>13266</v>
      </c>
      <c r="J6835" s="3" t="str">
        <f>HYPERLINK("https://www.boe.es/gazeta/dias/1821/08/13/pdfs/GMD-1821-230.pdf#page=3","Abrir facsímil")</f>
        <v>Abrir facsímil</v>
      </c>
      <c r="K6835" s="3" t="s">
        <v>23</v>
      </c>
    </row>
    <row r="6836" spans="1:11" ht="42" customHeight="1">
      <c r="A6836" s="2" t="s">
        <v>13267</v>
      </c>
      <c r="B6836" s="2" t="s">
        <v>13267</v>
      </c>
      <c r="C6836" s="2" t="s">
        <v>174</v>
      </c>
      <c r="D6836" s="2" t="s">
        <v>27</v>
      </c>
      <c r="E6836" s="5">
        <v>-28837</v>
      </c>
      <c r="F6836" s="3" t="s">
        <v>1234</v>
      </c>
      <c r="G6836" s="3" t="s">
        <v>20</v>
      </c>
      <c r="H6836" s="2" t="s">
        <v>21</v>
      </c>
      <c r="I6836" s="2" t="s">
        <v>13268</v>
      </c>
      <c r="J6836" s="3" t="str">
        <f>HYPERLINK("https://www.boe.es/gazeta/dias/1821/01/16/pdfs/GGB-1821-16.pdf#page=3","Abrir facsímil")</f>
        <v>Abrir facsímil</v>
      </c>
      <c r="K6836" s="3" t="s">
        <v>23</v>
      </c>
    </row>
    <row r="6837" spans="1:11" ht="42" customHeight="1">
      <c r="A6837" s="2" t="s">
        <v>13269</v>
      </c>
      <c r="B6837" s="2" t="s">
        <v>13270</v>
      </c>
      <c r="C6837" s="2" t="s">
        <v>17</v>
      </c>
      <c r="D6837" s="2" t="s">
        <v>18</v>
      </c>
      <c r="E6837" s="5">
        <v>-28531</v>
      </c>
      <c r="F6837" s="3" t="s">
        <v>365</v>
      </c>
      <c r="G6837" s="3" t="s">
        <v>20</v>
      </c>
      <c r="H6837" s="2" t="s">
        <v>21</v>
      </c>
      <c r="I6837" s="2" t="s">
        <v>13271</v>
      </c>
      <c r="J6837" s="3" t="str">
        <f>HYPERLINK("https://www.boe.es/gazeta/dias/1821/11/18/pdfs/GMD-1821-329.pdf#page=3","Abrir facsímil")</f>
        <v>Abrir facsímil</v>
      </c>
      <c r="K6837" s="3" t="s">
        <v>23</v>
      </c>
    </row>
    <row r="6838" spans="1:11" ht="42" customHeight="1">
      <c r="A6838" s="2" t="s">
        <v>13272</v>
      </c>
      <c r="B6838" s="2" t="s">
        <v>13273</v>
      </c>
      <c r="C6838" s="2" t="s">
        <v>17</v>
      </c>
      <c r="D6838" s="2" t="s">
        <v>18</v>
      </c>
      <c r="E6838" s="5">
        <v>-28836</v>
      </c>
      <c r="F6838" s="3" t="s">
        <v>601</v>
      </c>
      <c r="G6838" s="3" t="s">
        <v>20</v>
      </c>
      <c r="H6838" s="2" t="s">
        <v>21</v>
      </c>
      <c r="I6838" s="2" t="s">
        <v>13274</v>
      </c>
      <c r="J6838" s="3" t="str">
        <f>HYPERLINK("https://www.boe.es/gazeta/dias/1821/01/17/pdfs/GGB-1821-17.pdf#page=3","Abrir facsímil")</f>
        <v>Abrir facsímil</v>
      </c>
      <c r="K6838" s="3" t="s">
        <v>23</v>
      </c>
    </row>
    <row r="6839" spans="1:11" ht="42" customHeight="1">
      <c r="A6839" s="2" t="s">
        <v>13275</v>
      </c>
      <c r="B6839" s="2" t="s">
        <v>13275</v>
      </c>
      <c r="C6839" s="2" t="s">
        <v>279</v>
      </c>
      <c r="D6839" s="2" t="s">
        <v>27</v>
      </c>
      <c r="E6839" s="5">
        <v>-28626</v>
      </c>
      <c r="F6839" s="3" t="s">
        <v>468</v>
      </c>
      <c r="G6839" s="3" t="s">
        <v>52</v>
      </c>
      <c r="H6839" s="2" t="s">
        <v>21</v>
      </c>
      <c r="I6839" s="2" t="s">
        <v>13276</v>
      </c>
      <c r="J6839" s="3" t="str">
        <f>HYPERLINK("https://www.boe.es/gazeta/dias/1821/08/15/pdfs/GMD-1821-232.pdf#page=2","Abrir facsímil")</f>
        <v>Abrir facsímil</v>
      </c>
      <c r="K6839" s="3" t="s">
        <v>23</v>
      </c>
    </row>
    <row r="6840" spans="1:11" ht="42" customHeight="1">
      <c r="A6840" s="2" t="s">
        <v>13277</v>
      </c>
      <c r="B6840" s="2" t="s">
        <v>13277</v>
      </c>
      <c r="C6840" s="2" t="s">
        <v>40</v>
      </c>
      <c r="D6840" s="2" t="s">
        <v>41</v>
      </c>
      <c r="E6840" s="5">
        <v>-28713</v>
      </c>
      <c r="F6840" s="3" t="s">
        <v>1976</v>
      </c>
      <c r="G6840" s="3" t="s">
        <v>1977</v>
      </c>
      <c r="H6840" s="2" t="s">
        <v>21</v>
      </c>
      <c r="I6840" s="2" t="s">
        <v>13278</v>
      </c>
      <c r="J6840" s="3" t="str">
        <f>HYPERLINK("https://www.boe.es/gazeta/dias/1821/05/20/pdfs/GMD-1821-142.pdf#page=3","Abrir facsímil")</f>
        <v>Abrir facsímil</v>
      </c>
      <c r="K6840" s="3" t="s">
        <v>23</v>
      </c>
    </row>
    <row r="6841" spans="1:11" ht="42" customHeight="1">
      <c r="A6841" s="2" t="s">
        <v>13279</v>
      </c>
      <c r="B6841" s="2" t="s">
        <v>13280</v>
      </c>
      <c r="C6841" s="2" t="s">
        <v>40</v>
      </c>
      <c r="D6841" s="2" t="s">
        <v>41</v>
      </c>
      <c r="E6841" s="5">
        <v>-28511</v>
      </c>
      <c r="F6841" s="3" t="s">
        <v>340</v>
      </c>
      <c r="G6841" s="3" t="s">
        <v>52</v>
      </c>
      <c r="H6841" s="2" t="s">
        <v>21</v>
      </c>
      <c r="I6841" s="2" t="s">
        <v>13281</v>
      </c>
      <c r="J6841" s="3" t="str">
        <f>HYPERLINK("https://www.boe.es/gazeta/dias/1821/12/08/pdfs/GMD-1821-350.pdf#page=2","Abrir facsímil")</f>
        <v>Abrir facsímil</v>
      </c>
      <c r="K6841" s="3" t="s">
        <v>23</v>
      </c>
    </row>
    <row r="6842" spans="1:11" ht="42" customHeight="1">
      <c r="A6842" s="2" t="s">
        <v>13282</v>
      </c>
      <c r="B6842" s="2" t="s">
        <v>13282</v>
      </c>
      <c r="C6842" s="2" t="s">
        <v>40</v>
      </c>
      <c r="D6842" s="2" t="s">
        <v>41</v>
      </c>
      <c r="E6842" s="5">
        <v>-28518</v>
      </c>
      <c r="F6842" s="3" t="s">
        <v>410</v>
      </c>
      <c r="G6842" s="3" t="s">
        <v>162</v>
      </c>
      <c r="H6842" s="2" t="s">
        <v>21</v>
      </c>
      <c r="I6842" s="2" t="s">
        <v>13283</v>
      </c>
      <c r="J6842" s="3" t="str">
        <f>HYPERLINK("https://www.boe.es/gazeta/dias/1821/12/01/pdfs/GMD-1821-343.pdf#page=5","Abrir facsímil")</f>
        <v>Abrir facsímil</v>
      </c>
      <c r="K6842" s="3" t="s">
        <v>23</v>
      </c>
    </row>
    <row r="6843" spans="1:11" ht="42" customHeight="1">
      <c r="A6843" s="2" t="s">
        <v>13284</v>
      </c>
      <c r="B6843" s="2" t="s">
        <v>13284</v>
      </c>
      <c r="C6843" s="2" t="s">
        <v>35</v>
      </c>
      <c r="D6843" s="2" t="s">
        <v>27</v>
      </c>
      <c r="E6843" s="5">
        <v>-28521</v>
      </c>
      <c r="F6843" s="3" t="s">
        <v>499</v>
      </c>
      <c r="G6843" s="3" t="s">
        <v>20</v>
      </c>
      <c r="H6843" s="2" t="s">
        <v>21</v>
      </c>
      <c r="I6843" s="2" t="s">
        <v>13285</v>
      </c>
      <c r="J6843" s="3" t="str">
        <f>HYPERLINK("https://www.boe.es/gazeta/dias/1821/11/28/pdfs/GMD-1821-340.pdf#page=3","Abrir facsímil")</f>
        <v>Abrir facsímil</v>
      </c>
      <c r="K6843" s="3" t="s">
        <v>23</v>
      </c>
    </row>
    <row r="6844" spans="1:11" ht="42" customHeight="1">
      <c r="A6844" s="2" t="s">
        <v>13286</v>
      </c>
      <c r="B6844" s="2" t="s">
        <v>13286</v>
      </c>
      <c r="C6844" s="2" t="s">
        <v>17</v>
      </c>
      <c r="D6844" s="2" t="s">
        <v>18</v>
      </c>
      <c r="E6844" s="5">
        <v>-28563</v>
      </c>
      <c r="F6844" s="3" t="s">
        <v>118</v>
      </c>
      <c r="G6844" s="3" t="s">
        <v>162</v>
      </c>
      <c r="H6844" s="2" t="s">
        <v>21</v>
      </c>
      <c r="I6844" s="2" t="s">
        <v>13287</v>
      </c>
      <c r="J6844" s="3" t="str">
        <f>HYPERLINK("https://www.boe.es/gazeta/dias/1821/10/17/pdfs/GMD-1821-296.pdf#page=5","Abrir facsímil")</f>
        <v>Abrir facsímil</v>
      </c>
      <c r="K6844" s="3" t="s">
        <v>23</v>
      </c>
    </row>
    <row r="6845" spans="1:11" ht="42" customHeight="1">
      <c r="A6845" s="2" t="s">
        <v>13286</v>
      </c>
      <c r="B6845" s="2" t="s">
        <v>13286</v>
      </c>
      <c r="C6845" s="2" t="s">
        <v>40</v>
      </c>
      <c r="D6845" s="2" t="s">
        <v>41</v>
      </c>
      <c r="E6845" s="5">
        <v>-28522</v>
      </c>
      <c r="F6845" s="3" t="s">
        <v>1083</v>
      </c>
      <c r="G6845" s="3" t="s">
        <v>9284</v>
      </c>
      <c r="H6845" s="2" t="s">
        <v>21</v>
      </c>
      <c r="I6845" s="2" t="s">
        <v>13288</v>
      </c>
      <c r="J6845" s="3" t="str">
        <f>HYPERLINK("https://www.boe.es/gazeta/dias/1821/11/27/pdfs/GMD-1821-339.pdf#page=3","Abrir facsímil")</f>
        <v>Abrir facsímil</v>
      </c>
      <c r="K6845" s="3" t="s">
        <v>23</v>
      </c>
    </row>
    <row r="6846" spans="1:11" ht="42" customHeight="1">
      <c r="A6846" s="2" t="s">
        <v>13289</v>
      </c>
      <c r="B6846" s="2" t="s">
        <v>13289</v>
      </c>
      <c r="C6846" s="2" t="s">
        <v>17</v>
      </c>
      <c r="D6846" s="2" t="s">
        <v>18</v>
      </c>
      <c r="E6846" s="5">
        <v>-28715</v>
      </c>
      <c r="F6846" s="3" t="s">
        <v>1046</v>
      </c>
      <c r="G6846" s="3" t="s">
        <v>20</v>
      </c>
      <c r="H6846" s="2" t="s">
        <v>21</v>
      </c>
      <c r="I6846" s="2" t="s">
        <v>13290</v>
      </c>
      <c r="J6846" s="3" t="str">
        <f>HYPERLINK("https://www.boe.es/gazeta/dias/1821/05/18/pdfs/GMD-1821-140.pdf#page=3","Abrir facsímil")</f>
        <v>Abrir facsímil</v>
      </c>
      <c r="K6846" s="3" t="s">
        <v>23</v>
      </c>
    </row>
    <row r="6847" spans="1:11" ht="42" customHeight="1">
      <c r="A6847" s="2" t="s">
        <v>13289</v>
      </c>
      <c r="B6847" s="2" t="s">
        <v>13289</v>
      </c>
      <c r="C6847" s="2" t="s">
        <v>17</v>
      </c>
      <c r="D6847" s="2" t="s">
        <v>18</v>
      </c>
      <c r="E6847" s="5">
        <v>-28533</v>
      </c>
      <c r="F6847" s="3" t="s">
        <v>559</v>
      </c>
      <c r="G6847" s="3" t="s">
        <v>43</v>
      </c>
      <c r="H6847" s="2" t="s">
        <v>21</v>
      </c>
      <c r="I6847" s="2" t="s">
        <v>13291</v>
      </c>
      <c r="J6847" s="3" t="str">
        <f>HYPERLINK("https://www.boe.es/gazeta/dias/1821/11/16/pdfs/GMD-1821-327.pdf#page=1","Abrir facsímil")</f>
        <v>Abrir facsímil</v>
      </c>
      <c r="K6847" s="3" t="s">
        <v>23</v>
      </c>
    </row>
    <row r="6848" spans="1:11" ht="42" customHeight="1">
      <c r="A6848" s="2" t="s">
        <v>13292</v>
      </c>
      <c r="B6848" s="2" t="s">
        <v>13292</v>
      </c>
      <c r="C6848" s="2" t="s">
        <v>17</v>
      </c>
      <c r="D6848" s="2" t="s">
        <v>18</v>
      </c>
      <c r="E6848" s="5">
        <v>-28540</v>
      </c>
      <c r="F6848" s="3" t="s">
        <v>2672</v>
      </c>
      <c r="G6848" s="3" t="s">
        <v>52</v>
      </c>
      <c r="H6848" s="2" t="s">
        <v>21</v>
      </c>
      <c r="I6848" s="2" t="s">
        <v>13293</v>
      </c>
      <c r="J6848" s="3" t="str">
        <f>HYPERLINK("https://www.boe.es/gazeta/dias/1821/11/09/pdfs/GMD-1821-320.pdf#page=2","Abrir facsímil")</f>
        <v>Abrir facsímil</v>
      </c>
      <c r="K6848" s="3" t="s">
        <v>23</v>
      </c>
    </row>
    <row r="6849" spans="1:11" ht="42" customHeight="1">
      <c r="A6849" s="2" t="s">
        <v>13294</v>
      </c>
      <c r="B6849" s="2" t="s">
        <v>13294</v>
      </c>
      <c r="C6849" s="2" t="s">
        <v>17</v>
      </c>
      <c r="D6849" s="2" t="s">
        <v>18</v>
      </c>
      <c r="E6849" s="5">
        <v>-28698</v>
      </c>
      <c r="F6849" s="3" t="s">
        <v>2067</v>
      </c>
      <c r="G6849" s="3" t="s">
        <v>3804</v>
      </c>
      <c r="H6849" s="2" t="s">
        <v>21</v>
      </c>
      <c r="I6849" s="2" t="s">
        <v>13295</v>
      </c>
      <c r="J6849" s="3" t="str">
        <f>HYPERLINK("https://www.boe.es/gazeta/dias/1821/06/04/pdfs/GMD-1821-157.pdf#page=2","Abrir facsímil")</f>
        <v>Abrir facsímil</v>
      </c>
      <c r="K6849" s="3" t="s">
        <v>23</v>
      </c>
    </row>
    <row r="6850" spans="1:11" ht="42" customHeight="1">
      <c r="A6850" s="2" t="s">
        <v>13294</v>
      </c>
      <c r="B6850" s="2" t="s">
        <v>13294</v>
      </c>
      <c r="C6850" s="2" t="s">
        <v>35</v>
      </c>
      <c r="D6850" s="2" t="s">
        <v>27</v>
      </c>
      <c r="E6850" s="5">
        <v>-28698</v>
      </c>
      <c r="F6850" s="3" t="s">
        <v>2067</v>
      </c>
      <c r="G6850" s="3" t="s">
        <v>20</v>
      </c>
      <c r="H6850" s="2" t="s">
        <v>21</v>
      </c>
      <c r="I6850" s="2" t="s">
        <v>13296</v>
      </c>
      <c r="J6850" s="3" t="str">
        <f>HYPERLINK("https://www.boe.es/gazeta/dias/1821/06/04/pdfs/GMD-1821-157.pdf#page=3","Abrir facsímil")</f>
        <v>Abrir facsímil</v>
      </c>
      <c r="K6850" s="3" t="s">
        <v>23</v>
      </c>
    </row>
    <row r="6851" spans="1:11" ht="42" customHeight="1">
      <c r="A6851" s="2" t="s">
        <v>13294</v>
      </c>
      <c r="B6851" s="2" t="s">
        <v>13294</v>
      </c>
      <c r="C6851" s="2" t="s">
        <v>70</v>
      </c>
      <c r="D6851" s="2" t="s">
        <v>27</v>
      </c>
      <c r="E6851" s="5">
        <v>-28696</v>
      </c>
      <c r="F6851" s="3" t="s">
        <v>497</v>
      </c>
      <c r="G6851" s="3" t="s">
        <v>52</v>
      </c>
      <c r="H6851" s="2" t="s">
        <v>21</v>
      </c>
      <c r="I6851" s="2" t="s">
        <v>13297</v>
      </c>
      <c r="J6851" s="3" t="str">
        <f>HYPERLINK("https://www.boe.es/gazeta/dias/1821/06/06/pdfs/GMD-1821-159.pdf#page=2","Abrir facsímil")</f>
        <v>Abrir facsímil</v>
      </c>
      <c r="K6851" s="3" t="s">
        <v>23</v>
      </c>
    </row>
    <row r="6852" spans="1:11" ht="42" customHeight="1">
      <c r="A6852" s="2" t="s">
        <v>13298</v>
      </c>
      <c r="B6852" s="2" t="s">
        <v>13299</v>
      </c>
      <c r="C6852" s="2" t="s">
        <v>35</v>
      </c>
      <c r="D6852" s="2" t="s">
        <v>27</v>
      </c>
      <c r="E6852" s="5">
        <v>-28765</v>
      </c>
      <c r="F6852" s="3" t="s">
        <v>974</v>
      </c>
      <c r="G6852" s="3" t="s">
        <v>52</v>
      </c>
      <c r="H6852" s="2" t="s">
        <v>21</v>
      </c>
      <c r="I6852" s="2" t="s">
        <v>13300</v>
      </c>
      <c r="J6852" s="3" t="str">
        <f>HYPERLINK("https://www.boe.es/gazeta/dias/1821/03/29/pdfs/GMD-1821-90.pdf#page=2","Abrir facsímil")</f>
        <v>Abrir facsímil</v>
      </c>
      <c r="K6852" s="3" t="s">
        <v>23</v>
      </c>
    </row>
    <row r="6853" spans="1:11" ht="42" customHeight="1">
      <c r="A6853" s="2" t="s">
        <v>13301</v>
      </c>
      <c r="B6853" s="2" t="s">
        <v>13302</v>
      </c>
      <c r="C6853" s="2" t="s">
        <v>17</v>
      </c>
      <c r="D6853" s="2" t="s">
        <v>18</v>
      </c>
      <c r="E6853" s="5">
        <v>-28713</v>
      </c>
      <c r="F6853" s="3" t="s">
        <v>1976</v>
      </c>
      <c r="G6853" s="3" t="s">
        <v>52</v>
      </c>
      <c r="H6853" s="2" t="s">
        <v>21</v>
      </c>
      <c r="I6853" s="2" t="s">
        <v>13303</v>
      </c>
      <c r="J6853" s="3" t="str">
        <f>HYPERLINK("https://www.boe.es/gazeta/dias/1821/05/20/pdfs/GMD-1821-142.pdf#page=2","Abrir facsímil")</f>
        <v>Abrir facsímil</v>
      </c>
      <c r="K6853" s="3" t="s">
        <v>23</v>
      </c>
    </row>
    <row r="6854" spans="1:11" ht="42" customHeight="1">
      <c r="A6854" s="2" t="s">
        <v>13304</v>
      </c>
      <c r="B6854" s="2" t="s">
        <v>13305</v>
      </c>
      <c r="C6854" s="2" t="s">
        <v>114</v>
      </c>
      <c r="D6854" s="2" t="s">
        <v>27</v>
      </c>
      <c r="E6854" s="5">
        <v>-28793</v>
      </c>
      <c r="F6854" s="3" t="s">
        <v>157</v>
      </c>
      <c r="G6854" s="3" t="s">
        <v>29</v>
      </c>
      <c r="H6854" s="2" t="s">
        <v>21</v>
      </c>
      <c r="I6854" s="2" t="s">
        <v>13306</v>
      </c>
      <c r="J6854" s="3" t="str">
        <f>HYPERLINK("https://www.boe.es/gazeta/dias/1821/03/01/pdfs/GGB-1821-60.pdf#page=6","Abrir facsímil")</f>
        <v>Abrir facsímil</v>
      </c>
      <c r="K6854" s="3" t="s">
        <v>23</v>
      </c>
    </row>
    <row r="6855" spans="1:11" ht="42" customHeight="1">
      <c r="A6855" s="2" t="s">
        <v>13307</v>
      </c>
      <c r="B6855" s="2" t="s">
        <v>13308</v>
      </c>
      <c r="C6855" s="2" t="s">
        <v>40</v>
      </c>
      <c r="D6855" s="2" t="s">
        <v>41</v>
      </c>
      <c r="E6855" s="5">
        <v>-28757</v>
      </c>
      <c r="F6855" s="3" t="s">
        <v>472</v>
      </c>
      <c r="G6855" s="3" t="s">
        <v>52</v>
      </c>
      <c r="H6855" s="2" t="s">
        <v>21</v>
      </c>
      <c r="I6855" s="2" t="s">
        <v>13309</v>
      </c>
      <c r="J6855" s="3" t="str">
        <f>HYPERLINK("https://www.boe.es/gazeta/dias/1821/04/06/pdfs/GMD-1821-98.pdf#page=2","Abrir facsímil")</f>
        <v>Abrir facsímil</v>
      </c>
      <c r="K6855" s="3" t="s">
        <v>23</v>
      </c>
    </row>
    <row r="6856" spans="1:11" ht="42" customHeight="1">
      <c r="A6856" s="2" t="s">
        <v>13310</v>
      </c>
      <c r="B6856" s="2" t="s">
        <v>13310</v>
      </c>
      <c r="C6856" s="2" t="s">
        <v>40</v>
      </c>
      <c r="D6856" s="2" t="s">
        <v>41</v>
      </c>
      <c r="E6856" s="5">
        <v>-28780</v>
      </c>
      <c r="F6856" s="3" t="s">
        <v>143</v>
      </c>
      <c r="G6856" s="3" t="s">
        <v>52</v>
      </c>
      <c r="H6856" s="2" t="s">
        <v>21</v>
      </c>
      <c r="I6856" s="2" t="s">
        <v>13311</v>
      </c>
      <c r="J6856" s="3" t="str">
        <f>HYPERLINK("https://www.boe.es/gazeta/dias/1821/03/14/pdfs/GMD-1821-73.pdf#page=2","Abrir facsímil")</f>
        <v>Abrir facsímil</v>
      </c>
      <c r="K6856" s="3" t="s">
        <v>23</v>
      </c>
    </row>
    <row r="6857" spans="1:11" ht="42" customHeight="1">
      <c r="A6857" s="2" t="s">
        <v>13312</v>
      </c>
      <c r="B6857" s="2" t="s">
        <v>13312</v>
      </c>
      <c r="C6857" s="2" t="s">
        <v>17</v>
      </c>
      <c r="D6857" s="2" t="s">
        <v>18</v>
      </c>
      <c r="E6857" s="5">
        <v>-28744</v>
      </c>
      <c r="F6857" s="3" t="s">
        <v>834</v>
      </c>
      <c r="G6857" s="3" t="s">
        <v>88</v>
      </c>
      <c r="H6857" s="2" t="s">
        <v>21</v>
      </c>
      <c r="I6857" s="2" t="s">
        <v>13313</v>
      </c>
      <c r="J6857" s="3" t="str">
        <f>HYPERLINK("https://www.boe.es/gazeta/dias/1821/04/19/pdfs/GMD-1821-111.pdf#page=4","Abrir facsímil")</f>
        <v>Abrir facsímil</v>
      </c>
      <c r="K6857" s="3" t="s">
        <v>23</v>
      </c>
    </row>
    <row r="6858" spans="1:11" ht="42" customHeight="1">
      <c r="A6858" s="2" t="s">
        <v>13310</v>
      </c>
      <c r="B6858" s="2" t="s">
        <v>13310</v>
      </c>
      <c r="C6858" s="2" t="s">
        <v>17</v>
      </c>
      <c r="D6858" s="2" t="s">
        <v>18</v>
      </c>
      <c r="E6858" s="5">
        <v>-28556</v>
      </c>
      <c r="F6858" s="3" t="s">
        <v>264</v>
      </c>
      <c r="G6858" s="3" t="s">
        <v>162</v>
      </c>
      <c r="H6858" s="2" t="s">
        <v>21</v>
      </c>
      <c r="I6858" s="2" t="s">
        <v>13314</v>
      </c>
      <c r="J6858" s="3" t="str">
        <f>HYPERLINK("https://www.boe.es/gazeta/dias/1821/10/24/pdfs/GMD-1821-303.pdf#page=5","Abrir facsímil")</f>
        <v>Abrir facsímil</v>
      </c>
      <c r="K6858" s="3" t="s">
        <v>23</v>
      </c>
    </row>
    <row r="6859" spans="1:11" ht="42" customHeight="1">
      <c r="A6859" s="2" t="s">
        <v>13310</v>
      </c>
      <c r="B6859" s="2" t="s">
        <v>13310</v>
      </c>
      <c r="C6859" s="2" t="s">
        <v>17</v>
      </c>
      <c r="D6859" s="2" t="s">
        <v>18</v>
      </c>
      <c r="E6859" s="5">
        <v>-28537</v>
      </c>
      <c r="F6859" s="3" t="s">
        <v>56</v>
      </c>
      <c r="G6859" s="3" t="s">
        <v>162</v>
      </c>
      <c r="H6859" s="2" t="s">
        <v>21</v>
      </c>
      <c r="I6859" s="2" t="s">
        <v>13315</v>
      </c>
      <c r="J6859" s="3" t="str">
        <f>HYPERLINK("https://www.boe.es/gazeta/dias/1821/11/12/pdfs/GMD-1821-323.pdf#page=5","Abrir facsímil")</f>
        <v>Abrir facsímil</v>
      </c>
      <c r="K6859" s="3" t="s">
        <v>23</v>
      </c>
    </row>
    <row r="6860" spans="1:11" ht="42" customHeight="1">
      <c r="A6860" s="2" t="s">
        <v>13310</v>
      </c>
      <c r="B6860" s="2" t="s">
        <v>13310</v>
      </c>
      <c r="C6860" s="2" t="s">
        <v>70</v>
      </c>
      <c r="D6860" s="2" t="s">
        <v>27</v>
      </c>
      <c r="E6860" s="5">
        <v>-28534</v>
      </c>
      <c r="F6860" s="3" t="s">
        <v>414</v>
      </c>
      <c r="G6860" s="3" t="s">
        <v>88</v>
      </c>
      <c r="H6860" s="2" t="s">
        <v>21</v>
      </c>
      <c r="I6860" s="2" t="s">
        <v>13316</v>
      </c>
      <c r="J6860" s="3" t="str">
        <f>HYPERLINK("https://www.boe.es/gazeta/dias/1821/11/15/pdfs/GMD-1821-326.pdf#page=4","Abrir facsímil")</f>
        <v>Abrir facsímil</v>
      </c>
      <c r="K6860" s="3" t="s">
        <v>23</v>
      </c>
    </row>
    <row r="6861" spans="1:11" ht="42" customHeight="1">
      <c r="A6861" s="2" t="s">
        <v>13317</v>
      </c>
      <c r="B6861" s="2" t="s">
        <v>13318</v>
      </c>
      <c r="C6861" s="2" t="s">
        <v>17</v>
      </c>
      <c r="D6861" s="2" t="s">
        <v>18</v>
      </c>
      <c r="E6861" s="5">
        <v>-28683</v>
      </c>
      <c r="F6861" s="3" t="s">
        <v>332</v>
      </c>
      <c r="G6861" s="3" t="s">
        <v>52</v>
      </c>
      <c r="H6861" s="2" t="s">
        <v>21</v>
      </c>
      <c r="I6861" s="2" t="s">
        <v>13319</v>
      </c>
      <c r="J6861" s="3" t="str">
        <f>HYPERLINK("https://www.boe.es/gazeta/dias/1821/06/19/pdfs/GMD-1821-172.pdf#page=2","Abrir facsímil")</f>
        <v>Abrir facsímil</v>
      </c>
      <c r="K6861" s="3" t="s">
        <v>23</v>
      </c>
    </row>
    <row r="6862" spans="1:11" ht="42" customHeight="1">
      <c r="A6862" s="2" t="s">
        <v>13320</v>
      </c>
      <c r="B6862" s="2" t="s">
        <v>13321</v>
      </c>
      <c r="C6862" s="2" t="s">
        <v>35</v>
      </c>
      <c r="D6862" s="2" t="s">
        <v>27</v>
      </c>
      <c r="E6862" s="5">
        <v>-28728</v>
      </c>
      <c r="F6862" s="3" t="s">
        <v>1038</v>
      </c>
      <c r="G6862" s="3" t="s">
        <v>20</v>
      </c>
      <c r="H6862" s="2" t="s">
        <v>21</v>
      </c>
      <c r="I6862" s="2" t="s">
        <v>13322</v>
      </c>
      <c r="J6862" s="3" t="str">
        <f>HYPERLINK("https://www.boe.es/gazeta/dias/1821/05/05/pdfs/GMD-1821-127.pdf#page=3","Abrir facsímil")</f>
        <v>Abrir facsímil</v>
      </c>
      <c r="K6862" s="3" t="s">
        <v>23</v>
      </c>
    </row>
    <row r="6863" spans="1:11" ht="42" customHeight="1">
      <c r="A6863" s="2" t="s">
        <v>13323</v>
      </c>
      <c r="B6863" s="2" t="s">
        <v>13323</v>
      </c>
      <c r="C6863" s="2" t="s">
        <v>40</v>
      </c>
      <c r="D6863" s="2" t="s">
        <v>41</v>
      </c>
      <c r="E6863" s="5">
        <v>-28547</v>
      </c>
      <c r="F6863" s="3" t="s">
        <v>247</v>
      </c>
      <c r="G6863" s="3" t="s">
        <v>88</v>
      </c>
      <c r="H6863" s="2" t="s">
        <v>21</v>
      </c>
      <c r="I6863" s="2" t="s">
        <v>13324</v>
      </c>
      <c r="J6863" s="3" t="str">
        <f>HYPERLINK("https://www.boe.es/gazeta/dias/1821/11/02/pdfs/GMD-1821-312.pdf#page=4","Abrir facsímil")</f>
        <v>Abrir facsímil</v>
      </c>
      <c r="K6863" s="3" t="s">
        <v>23</v>
      </c>
    </row>
    <row r="6864" spans="1:11" ht="42" customHeight="1">
      <c r="A6864" s="2" t="s">
        <v>13325</v>
      </c>
      <c r="B6864" s="2" t="s">
        <v>13326</v>
      </c>
      <c r="C6864" s="2" t="s">
        <v>26</v>
      </c>
      <c r="D6864" s="2" t="s">
        <v>27</v>
      </c>
      <c r="E6864" s="5">
        <v>-28693</v>
      </c>
      <c r="F6864" s="3" t="s">
        <v>74</v>
      </c>
      <c r="G6864" s="3" t="s">
        <v>43</v>
      </c>
      <c r="H6864" s="2" t="s">
        <v>21</v>
      </c>
      <c r="I6864" s="2" t="s">
        <v>13327</v>
      </c>
      <c r="J6864" s="3" t="str">
        <f>HYPERLINK("https://www.boe.es/gazeta/dias/1821/06/09/pdfs/GMD-1821-162.pdf#page=1","Abrir facsímil")</f>
        <v>Abrir facsímil</v>
      </c>
      <c r="K6864" s="3" t="s">
        <v>23</v>
      </c>
    </row>
    <row r="6865" spans="1:11" ht="42" customHeight="1">
      <c r="A6865" s="2" t="s">
        <v>13325</v>
      </c>
      <c r="B6865" s="2" t="s">
        <v>13326</v>
      </c>
      <c r="C6865" s="2" t="s">
        <v>40</v>
      </c>
      <c r="D6865" s="2" t="s">
        <v>41</v>
      </c>
      <c r="E6865" s="5">
        <v>-28599</v>
      </c>
      <c r="F6865" s="3" t="s">
        <v>902</v>
      </c>
      <c r="G6865" s="3" t="s">
        <v>20</v>
      </c>
      <c r="H6865" s="2" t="s">
        <v>21</v>
      </c>
      <c r="I6865" s="2" t="s">
        <v>13328</v>
      </c>
      <c r="J6865" s="3" t="str">
        <f>HYPERLINK("https://www.boe.es/gazeta/dias/1821/09/11/pdfs/GMD-1821-259.pdf#page=3","Abrir facsímil")</f>
        <v>Abrir facsímil</v>
      </c>
      <c r="K6865" s="3" t="s">
        <v>23</v>
      </c>
    </row>
    <row r="6866" spans="1:11" ht="42" customHeight="1">
      <c r="A6866" s="2" t="s">
        <v>13329</v>
      </c>
      <c r="B6866" s="2" t="s">
        <v>13330</v>
      </c>
      <c r="C6866" s="2" t="s">
        <v>40</v>
      </c>
      <c r="D6866" s="2" t="s">
        <v>41</v>
      </c>
      <c r="E6866" s="5">
        <v>-28667</v>
      </c>
      <c r="F6866" s="3" t="s">
        <v>107</v>
      </c>
      <c r="G6866" s="3" t="s">
        <v>52</v>
      </c>
      <c r="H6866" s="2" t="s">
        <v>21</v>
      </c>
      <c r="I6866" s="2" t="s">
        <v>13331</v>
      </c>
      <c r="J6866" s="3" t="str">
        <f>HYPERLINK("https://www.boe.es/gazeta/dias/1821/07/05/pdfs/GMD-1821-189.pdf#page=2","Abrir facsímil")</f>
        <v>Abrir facsímil</v>
      </c>
      <c r="K6866" s="3" t="s">
        <v>23</v>
      </c>
    </row>
    <row r="6867" spans="1:11" ht="42" customHeight="1">
      <c r="A6867" s="2" t="s">
        <v>13332</v>
      </c>
      <c r="B6867" s="2" t="s">
        <v>13332</v>
      </c>
      <c r="C6867" s="2" t="s">
        <v>26</v>
      </c>
      <c r="D6867" s="2" t="s">
        <v>27</v>
      </c>
      <c r="E6867" s="5">
        <v>-28492</v>
      </c>
      <c r="F6867" s="3" t="s">
        <v>1550</v>
      </c>
      <c r="G6867" s="3" t="s">
        <v>52</v>
      </c>
      <c r="H6867" s="2" t="s">
        <v>21</v>
      </c>
      <c r="I6867" s="2" t="s">
        <v>13333</v>
      </c>
      <c r="J6867" s="3" t="str">
        <f>HYPERLINK("https://www.boe.es/gazeta/dias/1821/12/27/pdfs/GMD-1821-370.pdf#page=2","Abrir facsímil")</f>
        <v>Abrir facsímil</v>
      </c>
      <c r="K6867" s="3" t="s">
        <v>23</v>
      </c>
    </row>
    <row r="6868" spans="1:11" ht="42" customHeight="1">
      <c r="A6868" s="2" t="s">
        <v>13334</v>
      </c>
      <c r="B6868" s="2" t="s">
        <v>13335</v>
      </c>
      <c r="C6868" s="2" t="s">
        <v>114</v>
      </c>
      <c r="D6868" s="2" t="s">
        <v>27</v>
      </c>
      <c r="E6868" s="5">
        <v>-28793</v>
      </c>
      <c r="F6868" s="3" t="s">
        <v>157</v>
      </c>
      <c r="G6868" s="3" t="s">
        <v>29</v>
      </c>
      <c r="H6868" s="2" t="s">
        <v>21</v>
      </c>
      <c r="I6868" s="2" t="s">
        <v>13336</v>
      </c>
      <c r="J6868" s="3" t="str">
        <f>HYPERLINK("https://www.boe.es/gazeta/dias/1821/03/01/pdfs/GGB-1821-60.pdf#page=6","Abrir facsímil")</f>
        <v>Abrir facsímil</v>
      </c>
      <c r="K6868" s="3" t="s">
        <v>23</v>
      </c>
    </row>
    <row r="6869" spans="1:11" ht="42" customHeight="1">
      <c r="A6869" s="2" t="s">
        <v>13337</v>
      </c>
      <c r="B6869" s="2" t="s">
        <v>13338</v>
      </c>
      <c r="C6869" s="2" t="s">
        <v>26</v>
      </c>
      <c r="D6869" s="2" t="s">
        <v>27</v>
      </c>
      <c r="E6869" s="5">
        <v>-28815</v>
      </c>
      <c r="F6869" s="3" t="s">
        <v>2394</v>
      </c>
      <c r="G6869" s="3" t="s">
        <v>20</v>
      </c>
      <c r="H6869" s="2" t="s">
        <v>21</v>
      </c>
      <c r="I6869" s="2" t="s">
        <v>13339</v>
      </c>
      <c r="J6869" s="3" t="str">
        <f>HYPERLINK("https://www.boe.es/gazeta/dias/1821/02/07/pdfs/GGB-1821-38.pdf#page=3","Abrir facsímil")</f>
        <v>Abrir facsímil</v>
      </c>
      <c r="K6869" s="3" t="s">
        <v>23</v>
      </c>
    </row>
    <row r="6870" spans="1:11" ht="42" customHeight="1">
      <c r="A6870" s="2" t="s">
        <v>13340</v>
      </c>
      <c r="B6870" s="2" t="s">
        <v>13341</v>
      </c>
      <c r="C6870" s="2" t="s">
        <v>17</v>
      </c>
      <c r="D6870" s="2" t="s">
        <v>18</v>
      </c>
      <c r="E6870" s="5">
        <v>-28608</v>
      </c>
      <c r="F6870" s="3" t="s">
        <v>805</v>
      </c>
      <c r="G6870" s="3" t="s">
        <v>88</v>
      </c>
      <c r="H6870" s="2" t="s">
        <v>21</v>
      </c>
      <c r="I6870" s="2" t="s">
        <v>13342</v>
      </c>
      <c r="J6870" s="3" t="str">
        <f>HYPERLINK("https://www.boe.es/gazeta/dias/1821/09/02/pdfs/GMD-1821-250.pdf#page=4","Abrir facsímil")</f>
        <v>Abrir facsímil</v>
      </c>
      <c r="K6870" s="3" t="s">
        <v>23</v>
      </c>
    </row>
    <row r="6871" spans="1:11" ht="42" customHeight="1">
      <c r="A6871" s="2" t="s">
        <v>13343</v>
      </c>
      <c r="B6871" s="2" t="s">
        <v>13343</v>
      </c>
      <c r="C6871" s="2" t="s">
        <v>40</v>
      </c>
      <c r="D6871" s="2" t="s">
        <v>41</v>
      </c>
      <c r="E6871" s="5">
        <v>-28504</v>
      </c>
      <c r="F6871" s="3" t="s">
        <v>1098</v>
      </c>
      <c r="G6871" s="3" t="s">
        <v>43</v>
      </c>
      <c r="H6871" s="2" t="s">
        <v>21</v>
      </c>
      <c r="I6871" s="2" t="s">
        <v>13344</v>
      </c>
      <c r="J6871" s="3" t="str">
        <f>HYPERLINK("https://www.boe.es/gazeta/dias/1821/12/15/pdfs/GMD-1821-358.pdf#page=1","Abrir facsímil")</f>
        <v>Abrir facsímil</v>
      </c>
      <c r="K6871" s="3" t="s">
        <v>23</v>
      </c>
    </row>
    <row r="6872" spans="1:11" ht="42" customHeight="1">
      <c r="A6872" s="2" t="s">
        <v>13345</v>
      </c>
      <c r="B6872" s="2" t="s">
        <v>13345</v>
      </c>
      <c r="C6872" s="2" t="s">
        <v>26</v>
      </c>
      <c r="D6872" s="2" t="s">
        <v>27</v>
      </c>
      <c r="E6872" s="5">
        <v>-28836</v>
      </c>
      <c r="F6872" s="3" t="s">
        <v>601</v>
      </c>
      <c r="G6872" s="3" t="s">
        <v>88</v>
      </c>
      <c r="H6872" s="2" t="s">
        <v>21</v>
      </c>
      <c r="I6872" s="2" t="s">
        <v>13346</v>
      </c>
      <c r="J6872" s="3" t="str">
        <f>HYPERLINK("https://www.boe.es/gazeta/dias/1821/01/17/pdfs/GGB-1821-17.pdf#page=4","Abrir facsímil")</f>
        <v>Abrir facsímil</v>
      </c>
      <c r="K6872" s="3" t="s">
        <v>23</v>
      </c>
    </row>
    <row r="6873" spans="1:11" ht="42" customHeight="1">
      <c r="A6873" s="2" t="s">
        <v>13347</v>
      </c>
      <c r="B6873" s="2" t="s">
        <v>13347</v>
      </c>
      <c r="C6873" s="2" t="s">
        <v>17</v>
      </c>
      <c r="D6873" s="2" t="s">
        <v>18</v>
      </c>
      <c r="E6873" s="5">
        <v>-28763</v>
      </c>
      <c r="F6873" s="3" t="s">
        <v>1145</v>
      </c>
      <c r="G6873" s="3" t="s">
        <v>52</v>
      </c>
      <c r="H6873" s="2" t="s">
        <v>21</v>
      </c>
      <c r="I6873" s="2" t="s">
        <v>13348</v>
      </c>
      <c r="J6873" s="3" t="str">
        <f>HYPERLINK("https://www.boe.es/gazeta/dias/1821/03/31/pdfs/GMD-1821-92.pdf#page=2","Abrir facsímil")</f>
        <v>Abrir facsímil</v>
      </c>
      <c r="K6873" s="3" t="s">
        <v>23</v>
      </c>
    </row>
    <row r="6874" spans="1:11" ht="42" customHeight="1">
      <c r="A6874" s="2" t="s">
        <v>13349</v>
      </c>
      <c r="B6874" s="2" t="s">
        <v>13350</v>
      </c>
      <c r="C6874" s="2" t="s">
        <v>17</v>
      </c>
      <c r="D6874" s="2" t="s">
        <v>18</v>
      </c>
      <c r="E6874" s="5">
        <v>-28589</v>
      </c>
      <c r="F6874" s="3" t="s">
        <v>3130</v>
      </c>
      <c r="G6874" s="3" t="s">
        <v>88</v>
      </c>
      <c r="H6874" s="2" t="s">
        <v>21</v>
      </c>
      <c r="I6874" s="2" t="s">
        <v>13351</v>
      </c>
      <c r="J6874" s="3" t="str">
        <f>HYPERLINK("https://www.boe.es/gazeta/dias/1821/09/21/pdfs/GMD-1821-269.pdf#page=4","Abrir facsímil")</f>
        <v>Abrir facsímil</v>
      </c>
      <c r="K6874" s="3" t="s">
        <v>23</v>
      </c>
    </row>
    <row r="6875" spans="1:11" ht="42" customHeight="1">
      <c r="A6875" s="2" t="s">
        <v>13352</v>
      </c>
      <c r="B6875" s="2" t="s">
        <v>13353</v>
      </c>
      <c r="C6875" s="2" t="s">
        <v>40</v>
      </c>
      <c r="D6875" s="2" t="s">
        <v>41</v>
      </c>
      <c r="E6875" s="5">
        <v>-28846</v>
      </c>
      <c r="F6875" s="3" t="s">
        <v>10722</v>
      </c>
      <c r="G6875" s="3" t="s">
        <v>20</v>
      </c>
      <c r="H6875" s="2" t="s">
        <v>21</v>
      </c>
      <c r="I6875" s="2" t="s">
        <v>13354</v>
      </c>
      <c r="J6875" s="3" t="str">
        <f>HYPERLINK("https://www.boe.es/gazeta/dias/1821/01/07/pdfs/GGB-1821-7.pdf#page=3","Abrir facsímil")</f>
        <v>Abrir facsímil</v>
      </c>
      <c r="K6875" s="3" t="s">
        <v>23</v>
      </c>
    </row>
    <row r="6876" spans="1:11" ht="42" customHeight="1">
      <c r="A6876" s="2" t="s">
        <v>13355</v>
      </c>
      <c r="B6876" s="2" t="s">
        <v>13356</v>
      </c>
      <c r="C6876" s="2" t="s">
        <v>17</v>
      </c>
      <c r="D6876" s="2" t="s">
        <v>18</v>
      </c>
      <c r="E6876" s="5">
        <v>-28535</v>
      </c>
      <c r="F6876" s="3" t="s">
        <v>96</v>
      </c>
      <c r="G6876" s="3" t="s">
        <v>52</v>
      </c>
      <c r="H6876" s="2" t="s">
        <v>21</v>
      </c>
      <c r="I6876" s="2" t="s">
        <v>13357</v>
      </c>
      <c r="J6876" s="3" t="str">
        <f>HYPERLINK("https://www.boe.es/gazeta/dias/1821/11/14/pdfs/GMD-1821-325.pdf#page=2","Abrir facsímil")</f>
        <v>Abrir facsímil</v>
      </c>
      <c r="K6876" s="3" t="s">
        <v>23</v>
      </c>
    </row>
    <row r="6877" spans="1:11" ht="42" customHeight="1">
      <c r="A6877" s="2" t="s">
        <v>13358</v>
      </c>
      <c r="B6877" s="2" t="s">
        <v>13359</v>
      </c>
      <c r="C6877" s="2" t="s">
        <v>35</v>
      </c>
      <c r="D6877" s="2" t="s">
        <v>27</v>
      </c>
      <c r="E6877" s="5">
        <v>-28766</v>
      </c>
      <c r="F6877" s="3" t="s">
        <v>1481</v>
      </c>
      <c r="G6877" s="3" t="s">
        <v>52</v>
      </c>
      <c r="H6877" s="2" t="s">
        <v>21</v>
      </c>
      <c r="I6877" s="2" t="s">
        <v>13360</v>
      </c>
      <c r="J6877" s="3" t="str">
        <f>HYPERLINK("https://www.boe.es/gazeta/dias/1821/03/28/pdfs/GMD-1821-88.pdf#page=2","Abrir facsímil")</f>
        <v>Abrir facsímil</v>
      </c>
      <c r="K6877" s="3" t="s">
        <v>23</v>
      </c>
    </row>
    <row r="6878" spans="1:11" ht="42" customHeight="1">
      <c r="A6878" s="2" t="s">
        <v>13361</v>
      </c>
      <c r="B6878" s="2" t="s">
        <v>13362</v>
      </c>
      <c r="C6878" s="2" t="s">
        <v>40</v>
      </c>
      <c r="D6878" s="2" t="s">
        <v>41</v>
      </c>
      <c r="E6878" s="5">
        <v>-28513</v>
      </c>
      <c r="F6878" s="3" t="s">
        <v>502</v>
      </c>
      <c r="G6878" s="3" t="s">
        <v>52</v>
      </c>
      <c r="H6878" s="2" t="s">
        <v>21</v>
      </c>
      <c r="I6878" s="2" t="s">
        <v>13363</v>
      </c>
      <c r="J6878" s="3" t="str">
        <f>HYPERLINK("https://www.boe.es/gazeta/dias/1821/12/06/pdfs/GMD-1821-348.pdf#page=2","Abrir facsímil")</f>
        <v>Abrir facsímil</v>
      </c>
      <c r="K6878" s="3" t="s">
        <v>23</v>
      </c>
    </row>
    <row r="6879" spans="1:11" ht="42" customHeight="1">
      <c r="A6879" s="2" t="s">
        <v>13364</v>
      </c>
      <c r="B6879" s="2" t="s">
        <v>13364</v>
      </c>
      <c r="C6879" s="2" t="s">
        <v>17</v>
      </c>
      <c r="D6879" s="2" t="s">
        <v>18</v>
      </c>
      <c r="E6879" s="5">
        <v>-28679</v>
      </c>
      <c r="F6879" s="3" t="s">
        <v>213</v>
      </c>
      <c r="G6879" s="3" t="s">
        <v>43</v>
      </c>
      <c r="H6879" s="2" t="s">
        <v>21</v>
      </c>
      <c r="I6879" s="2" t="s">
        <v>13365</v>
      </c>
      <c r="J6879" s="3" t="str">
        <f>HYPERLINK("https://www.boe.es/gazeta/dias/1821/06/23/pdfs/GMD-1821-176.pdf#page=1","Abrir facsímil")</f>
        <v>Abrir facsímil</v>
      </c>
      <c r="K6879" s="3" t="s">
        <v>23</v>
      </c>
    </row>
    <row r="6880" spans="1:11" ht="42" customHeight="1">
      <c r="A6880" s="2" t="s">
        <v>13364</v>
      </c>
      <c r="B6880" s="2" t="s">
        <v>13364</v>
      </c>
      <c r="C6880" s="2" t="s">
        <v>17</v>
      </c>
      <c r="D6880" s="2" t="s">
        <v>18</v>
      </c>
      <c r="E6880" s="5">
        <v>-28678</v>
      </c>
      <c r="F6880" s="3" t="s">
        <v>215</v>
      </c>
      <c r="G6880" s="3" t="s">
        <v>43</v>
      </c>
      <c r="H6880" s="2" t="s">
        <v>21</v>
      </c>
      <c r="I6880" s="2" t="s">
        <v>13366</v>
      </c>
      <c r="J6880" s="3" t="str">
        <f>HYPERLINK("https://www.boe.es/gazeta/dias/1821/06/24/pdfs/GMD-1821-177.pdf#page=1","Abrir facsímil")</f>
        <v>Abrir facsímil</v>
      </c>
      <c r="K6880" s="3" t="s">
        <v>23</v>
      </c>
    </row>
    <row r="6881" spans="1:11" ht="42" customHeight="1">
      <c r="A6881" s="2" t="s">
        <v>13364</v>
      </c>
      <c r="B6881" s="2" t="s">
        <v>13364</v>
      </c>
      <c r="C6881" s="2" t="s">
        <v>17</v>
      </c>
      <c r="D6881" s="2" t="s">
        <v>18</v>
      </c>
      <c r="E6881" s="5">
        <v>-28651</v>
      </c>
      <c r="F6881" s="3" t="s">
        <v>1518</v>
      </c>
      <c r="G6881" s="3" t="s">
        <v>52</v>
      </c>
      <c r="H6881" s="2" t="s">
        <v>21</v>
      </c>
      <c r="I6881" s="2" t="s">
        <v>13367</v>
      </c>
      <c r="J6881" s="3" t="str">
        <f>HYPERLINK("https://www.boe.es/gazeta/dias/1821/07/21/pdfs/GMD-1821-206.pdf#page=2","Abrir facsímil")</f>
        <v>Abrir facsímil</v>
      </c>
      <c r="K6881" s="3" t="s">
        <v>23</v>
      </c>
    </row>
    <row r="6882" spans="1:11" ht="42" customHeight="1">
      <c r="A6882" s="2" t="s">
        <v>13364</v>
      </c>
      <c r="B6882" s="2" t="s">
        <v>13364</v>
      </c>
      <c r="C6882" s="2" t="s">
        <v>40</v>
      </c>
      <c r="D6882" s="2" t="s">
        <v>41</v>
      </c>
      <c r="E6882" s="5">
        <v>-28515</v>
      </c>
      <c r="F6882" s="3" t="s">
        <v>260</v>
      </c>
      <c r="G6882" s="3" t="s">
        <v>20</v>
      </c>
      <c r="H6882" s="2" t="s">
        <v>21</v>
      </c>
      <c r="I6882" s="2" t="s">
        <v>13368</v>
      </c>
      <c r="J6882" s="3" t="str">
        <f>HYPERLINK("https://www.boe.es/gazeta/dias/1821/12/04/pdfs/GMD-1821-346.pdf#page=3","Abrir facsímil")</f>
        <v>Abrir facsímil</v>
      </c>
      <c r="K6882" s="3" t="s">
        <v>23</v>
      </c>
    </row>
    <row r="6883" spans="1:11" ht="42" customHeight="1">
      <c r="A6883" s="2" t="s">
        <v>13369</v>
      </c>
      <c r="B6883" s="2" t="s">
        <v>13369</v>
      </c>
      <c r="C6883" s="2" t="s">
        <v>17</v>
      </c>
      <c r="D6883" s="2" t="s">
        <v>18</v>
      </c>
      <c r="E6883" s="5">
        <v>-28543</v>
      </c>
      <c r="F6883" s="3" t="s">
        <v>136</v>
      </c>
      <c r="G6883" s="3" t="s">
        <v>20</v>
      </c>
      <c r="H6883" s="2" t="s">
        <v>21</v>
      </c>
      <c r="I6883" s="2" t="s">
        <v>13370</v>
      </c>
      <c r="J6883" s="3" t="str">
        <f>HYPERLINK("https://www.boe.es/gazeta/dias/1821/11/06/pdfs/GMD-1821-317.pdf#page=3","Abrir facsímil")</f>
        <v>Abrir facsímil</v>
      </c>
      <c r="K6883" s="3" t="s">
        <v>23</v>
      </c>
    </row>
    <row r="6884" spans="1:11" ht="42" customHeight="1">
      <c r="A6884" s="2" t="s">
        <v>13371</v>
      </c>
      <c r="B6884" s="2" t="s">
        <v>13371</v>
      </c>
      <c r="C6884" s="2" t="s">
        <v>17</v>
      </c>
      <c r="D6884" s="2" t="s">
        <v>18</v>
      </c>
      <c r="E6884" s="5">
        <v>-28684</v>
      </c>
      <c r="F6884" s="3" t="s">
        <v>208</v>
      </c>
      <c r="G6884" s="3" t="s">
        <v>20</v>
      </c>
      <c r="H6884" s="2" t="s">
        <v>21</v>
      </c>
      <c r="I6884" s="2" t="s">
        <v>13372</v>
      </c>
      <c r="J6884" s="3" t="str">
        <f>HYPERLINK("https://www.boe.es/gazeta/dias/1821/06/18/pdfs/GMD-1821-171.pdf#page=3","Abrir facsímil")</f>
        <v>Abrir facsímil</v>
      </c>
      <c r="K6884" s="3" t="s">
        <v>23</v>
      </c>
    </row>
    <row r="6885" spans="1:11" ht="42" customHeight="1">
      <c r="A6885" s="2" t="s">
        <v>13373</v>
      </c>
      <c r="B6885" s="2" t="s">
        <v>13373</v>
      </c>
      <c r="C6885" s="2" t="s">
        <v>114</v>
      </c>
      <c r="D6885" s="2" t="s">
        <v>27</v>
      </c>
      <c r="E6885" s="5">
        <v>-28635</v>
      </c>
      <c r="F6885" s="3" t="s">
        <v>1210</v>
      </c>
      <c r="G6885" s="3" t="s">
        <v>20</v>
      </c>
      <c r="H6885" s="2" t="s">
        <v>21</v>
      </c>
      <c r="I6885" s="2" t="s">
        <v>13374</v>
      </c>
      <c r="J6885" s="3" t="str">
        <f>HYPERLINK("https://www.boe.es/gazeta/dias/1821/08/06/pdfs/GMD-1821-222.pdf#page=3","Abrir facsímil")</f>
        <v>Abrir facsímil</v>
      </c>
      <c r="K6885" s="3" t="s">
        <v>23</v>
      </c>
    </row>
    <row r="6886" spans="1:11" ht="42" customHeight="1">
      <c r="A6886" s="2" t="s">
        <v>13375</v>
      </c>
      <c r="B6886" s="2" t="s">
        <v>13375</v>
      </c>
      <c r="C6886" s="2" t="s">
        <v>70</v>
      </c>
      <c r="D6886" s="2" t="s">
        <v>27</v>
      </c>
      <c r="E6886" s="5">
        <v>-28756</v>
      </c>
      <c r="F6886" s="3" t="s">
        <v>3145</v>
      </c>
      <c r="G6886" s="3" t="s">
        <v>52</v>
      </c>
      <c r="H6886" s="2" t="s">
        <v>21</v>
      </c>
      <c r="I6886" s="2" t="s">
        <v>13376</v>
      </c>
      <c r="J6886" s="3" t="str">
        <f>HYPERLINK("https://www.boe.es/gazeta/dias/1821/04/07/pdfs/GMD-1821-99.pdf#page=2","Abrir facsímil")</f>
        <v>Abrir facsímil</v>
      </c>
      <c r="K6886" s="3" t="s">
        <v>23</v>
      </c>
    </row>
    <row r="6887" spans="1:11" ht="42" customHeight="1">
      <c r="A6887" s="2" t="s">
        <v>13377</v>
      </c>
      <c r="B6887" s="2" t="s">
        <v>13377</v>
      </c>
      <c r="C6887" s="2" t="s">
        <v>35</v>
      </c>
      <c r="D6887" s="2" t="s">
        <v>27</v>
      </c>
      <c r="E6887" s="5">
        <v>-28690</v>
      </c>
      <c r="F6887" s="3" t="s">
        <v>846</v>
      </c>
      <c r="G6887" s="3" t="s">
        <v>847</v>
      </c>
      <c r="H6887" s="2" t="s">
        <v>21</v>
      </c>
      <c r="I6887" s="2" t="s">
        <v>13378</v>
      </c>
      <c r="J6887" s="3" t="str">
        <f>HYPERLINK("https://www.boe.es/gazeta/dias/1821/06/12/pdfs/GMD-1821-165.pdf#page=2","Abrir facsímil")</f>
        <v>Abrir facsímil</v>
      </c>
      <c r="K6887" s="3" t="s">
        <v>23</v>
      </c>
    </row>
    <row r="6888" spans="1:11" ht="42" customHeight="1">
      <c r="A6888" s="2" t="s">
        <v>13379</v>
      </c>
      <c r="B6888" s="2" t="s">
        <v>13379</v>
      </c>
      <c r="C6888" s="2" t="s">
        <v>35</v>
      </c>
      <c r="D6888" s="2" t="s">
        <v>27</v>
      </c>
      <c r="E6888" s="5">
        <v>-28722</v>
      </c>
      <c r="F6888" s="3" t="s">
        <v>623</v>
      </c>
      <c r="G6888" s="3" t="s">
        <v>20</v>
      </c>
      <c r="H6888" s="2" t="s">
        <v>21</v>
      </c>
      <c r="I6888" s="2" t="s">
        <v>13380</v>
      </c>
      <c r="J6888" s="3" t="str">
        <f>HYPERLINK("https://www.boe.es/gazeta/dias/1821/05/11/pdfs/GMD-1821-133.pdf#page=3","Abrir facsímil")</f>
        <v>Abrir facsímil</v>
      </c>
      <c r="K6888" s="3" t="s">
        <v>23</v>
      </c>
    </row>
    <row r="6889" spans="1:11" ht="42" customHeight="1">
      <c r="A6889" s="2" t="s">
        <v>13381</v>
      </c>
      <c r="B6889" s="2" t="s">
        <v>13381</v>
      </c>
      <c r="C6889" s="2" t="s">
        <v>17</v>
      </c>
      <c r="D6889" s="2" t="s">
        <v>18</v>
      </c>
      <c r="E6889" s="5">
        <v>-28721</v>
      </c>
      <c r="F6889" s="3" t="s">
        <v>92</v>
      </c>
      <c r="G6889" s="3" t="s">
        <v>52</v>
      </c>
      <c r="H6889" s="2" t="s">
        <v>21</v>
      </c>
      <c r="I6889" s="2" t="s">
        <v>13382</v>
      </c>
      <c r="J6889" s="3" t="str">
        <f>HYPERLINK("https://www.boe.es/gazeta/dias/1821/05/12/pdfs/GMD-1821-134.pdf#page=2","Abrir facsímil")</f>
        <v>Abrir facsímil</v>
      </c>
      <c r="K6889" s="3" t="s">
        <v>23</v>
      </c>
    </row>
    <row r="6890" spans="1:11" ht="42" customHeight="1">
      <c r="A6890" s="2" t="s">
        <v>13381</v>
      </c>
      <c r="B6890" s="2" t="s">
        <v>13381</v>
      </c>
      <c r="C6890" s="2" t="s">
        <v>35</v>
      </c>
      <c r="D6890" s="2" t="s">
        <v>27</v>
      </c>
      <c r="E6890" s="5">
        <v>-28718</v>
      </c>
      <c r="F6890" s="3" t="s">
        <v>583</v>
      </c>
      <c r="G6890" s="3" t="s">
        <v>52</v>
      </c>
      <c r="H6890" s="2" t="s">
        <v>21</v>
      </c>
      <c r="I6890" s="2" t="s">
        <v>13383</v>
      </c>
      <c r="J6890" s="3" t="str">
        <f>HYPERLINK("https://www.boe.es/gazeta/dias/1821/05/15/pdfs/GMD-1821-137.pdf#page=2","Abrir facsímil")</f>
        <v>Abrir facsímil</v>
      </c>
      <c r="K6890" s="3" t="s">
        <v>23</v>
      </c>
    </row>
    <row r="6891" spans="1:11" ht="42" customHeight="1">
      <c r="A6891" s="2" t="s">
        <v>13379</v>
      </c>
      <c r="B6891" s="2" t="s">
        <v>13379</v>
      </c>
      <c r="C6891" s="2" t="s">
        <v>35</v>
      </c>
      <c r="D6891" s="2" t="s">
        <v>27</v>
      </c>
      <c r="E6891" s="5">
        <v>-28716</v>
      </c>
      <c r="F6891" s="3" t="s">
        <v>842</v>
      </c>
      <c r="G6891" s="3" t="s">
        <v>52</v>
      </c>
      <c r="H6891" s="2" t="s">
        <v>21</v>
      </c>
      <c r="I6891" s="2" t="s">
        <v>13384</v>
      </c>
      <c r="J6891" s="3" t="str">
        <f>HYPERLINK("https://www.boe.es/gazeta/dias/1821/05/17/pdfs/GMD-1821-139.pdf#page=2","Abrir facsímil")</f>
        <v>Abrir facsímil</v>
      </c>
      <c r="K6891" s="3" t="s">
        <v>23</v>
      </c>
    </row>
    <row r="6892" spans="1:11" ht="42" customHeight="1">
      <c r="A6892" s="2" t="s">
        <v>13379</v>
      </c>
      <c r="B6892" s="2" t="s">
        <v>13379</v>
      </c>
      <c r="C6892" s="2" t="s">
        <v>40</v>
      </c>
      <c r="D6892" s="2" t="s">
        <v>41</v>
      </c>
      <c r="E6892" s="5">
        <v>-28715</v>
      </c>
      <c r="F6892" s="3" t="s">
        <v>1046</v>
      </c>
      <c r="G6892" s="3" t="s">
        <v>52</v>
      </c>
      <c r="H6892" s="2" t="s">
        <v>21</v>
      </c>
      <c r="I6892" s="2" t="s">
        <v>13385</v>
      </c>
      <c r="J6892" s="3" t="str">
        <f>HYPERLINK("https://www.boe.es/gazeta/dias/1821/05/18/pdfs/GMD-1821-140.pdf#page=2","Abrir facsímil")</f>
        <v>Abrir facsímil</v>
      </c>
      <c r="K6892" s="3" t="s">
        <v>23</v>
      </c>
    </row>
    <row r="6893" spans="1:11" ht="42" customHeight="1">
      <c r="A6893" s="2" t="s">
        <v>13379</v>
      </c>
      <c r="B6893" s="2" t="s">
        <v>13379</v>
      </c>
      <c r="C6893" s="2" t="s">
        <v>35</v>
      </c>
      <c r="D6893" s="2" t="s">
        <v>27</v>
      </c>
      <c r="E6893" s="5">
        <v>-28713</v>
      </c>
      <c r="F6893" s="3" t="s">
        <v>1976</v>
      </c>
      <c r="G6893" s="3" t="s">
        <v>52</v>
      </c>
      <c r="H6893" s="2" t="s">
        <v>21</v>
      </c>
      <c r="I6893" s="2" t="s">
        <v>13386</v>
      </c>
      <c r="J6893" s="3" t="str">
        <f>HYPERLINK("https://www.boe.es/gazeta/dias/1821/05/20/pdfs/GMD-1821-142.pdf#page=2","Abrir facsímil")</f>
        <v>Abrir facsímil</v>
      </c>
      <c r="K6893" s="3" t="s">
        <v>23</v>
      </c>
    </row>
    <row r="6894" spans="1:11" ht="42" customHeight="1">
      <c r="A6894" s="2" t="s">
        <v>13381</v>
      </c>
      <c r="B6894" s="2" t="s">
        <v>13381</v>
      </c>
      <c r="C6894" s="2" t="s">
        <v>26</v>
      </c>
      <c r="D6894" s="2" t="s">
        <v>27</v>
      </c>
      <c r="E6894" s="5">
        <v>-28712</v>
      </c>
      <c r="F6894" s="3" t="s">
        <v>695</v>
      </c>
      <c r="G6894" s="3" t="s">
        <v>52</v>
      </c>
      <c r="H6894" s="2" t="s">
        <v>21</v>
      </c>
      <c r="I6894" s="2" t="s">
        <v>13387</v>
      </c>
      <c r="J6894" s="3" t="str">
        <f>HYPERLINK("https://www.boe.es/gazeta/dias/1821/05/21/pdfs/GMD-1821-143.pdf#page=2","Abrir facsímil")</f>
        <v>Abrir facsímil</v>
      </c>
      <c r="K6894" s="3" t="s">
        <v>23</v>
      </c>
    </row>
    <row r="6895" spans="1:11" ht="42" customHeight="1">
      <c r="A6895" s="2" t="s">
        <v>13379</v>
      </c>
      <c r="B6895" s="2" t="s">
        <v>13379</v>
      </c>
      <c r="C6895" s="2" t="s">
        <v>35</v>
      </c>
      <c r="D6895" s="2" t="s">
        <v>27</v>
      </c>
      <c r="E6895" s="5">
        <v>-28705</v>
      </c>
      <c r="F6895" s="3" t="s">
        <v>1844</v>
      </c>
      <c r="G6895" s="3" t="s">
        <v>20</v>
      </c>
      <c r="H6895" s="2" t="s">
        <v>21</v>
      </c>
      <c r="I6895" s="2" t="s">
        <v>13388</v>
      </c>
      <c r="J6895" s="3" t="str">
        <f>HYPERLINK("https://www.boe.es/gazeta/dias/1821/05/28/pdfs/GMD-1821-150.pdf#page=3","Abrir facsímil")</f>
        <v>Abrir facsímil</v>
      </c>
      <c r="K6895" s="3" t="s">
        <v>23</v>
      </c>
    </row>
    <row r="6896" spans="1:11" ht="42" customHeight="1">
      <c r="A6896" s="2" t="s">
        <v>13379</v>
      </c>
      <c r="B6896" s="2" t="s">
        <v>13379</v>
      </c>
      <c r="C6896" s="2" t="s">
        <v>40</v>
      </c>
      <c r="D6896" s="2" t="s">
        <v>41</v>
      </c>
      <c r="E6896" s="5">
        <v>-28704</v>
      </c>
      <c r="F6896" s="3" t="s">
        <v>1050</v>
      </c>
      <c r="G6896" s="3" t="s">
        <v>88</v>
      </c>
      <c r="H6896" s="2" t="s">
        <v>21</v>
      </c>
      <c r="I6896" s="2" t="s">
        <v>13389</v>
      </c>
      <c r="J6896" s="3" t="str">
        <f>HYPERLINK("https://www.boe.es/gazeta/dias/1821/05/29/pdfs/GMD-1821-151.pdf#page=4","Abrir facsímil")</f>
        <v>Abrir facsímil</v>
      </c>
      <c r="K6896" s="3" t="s">
        <v>23</v>
      </c>
    </row>
    <row r="6897" spans="1:11" ht="42" customHeight="1">
      <c r="A6897" s="2" t="s">
        <v>13381</v>
      </c>
      <c r="B6897" s="2" t="s">
        <v>13381</v>
      </c>
      <c r="C6897" s="2" t="s">
        <v>40</v>
      </c>
      <c r="D6897" s="2" t="s">
        <v>41</v>
      </c>
      <c r="E6897" s="5">
        <v>-28701</v>
      </c>
      <c r="F6897" s="3" t="s">
        <v>202</v>
      </c>
      <c r="G6897" s="3" t="s">
        <v>52</v>
      </c>
      <c r="H6897" s="2" t="s">
        <v>21</v>
      </c>
      <c r="I6897" s="2" t="s">
        <v>13390</v>
      </c>
      <c r="J6897" s="3" t="str">
        <f>HYPERLINK("https://www.boe.es/gazeta/dias/1821/06/01/pdfs/GMD-1821-154.pdf#page=2","Abrir facsímil")</f>
        <v>Abrir facsímil</v>
      </c>
      <c r="K6897" s="3" t="s">
        <v>23</v>
      </c>
    </row>
    <row r="6898" spans="1:11" ht="42" customHeight="1">
      <c r="A6898" s="2" t="s">
        <v>13381</v>
      </c>
      <c r="B6898" s="2" t="s">
        <v>13381</v>
      </c>
      <c r="C6898" s="2" t="s">
        <v>26</v>
      </c>
      <c r="D6898" s="2" t="s">
        <v>27</v>
      </c>
      <c r="E6898" s="5">
        <v>-28690</v>
      </c>
      <c r="F6898" s="3" t="s">
        <v>846</v>
      </c>
      <c r="G6898" s="3" t="s">
        <v>847</v>
      </c>
      <c r="H6898" s="2" t="s">
        <v>21</v>
      </c>
      <c r="I6898" s="2" t="s">
        <v>13391</v>
      </c>
      <c r="J6898" s="3" t="str">
        <f>HYPERLINK("https://www.boe.es/gazeta/dias/1821/06/12/pdfs/GMD-1821-165.pdf#page=2","Abrir facsímil")</f>
        <v>Abrir facsímil</v>
      </c>
      <c r="K6898" s="3" t="s">
        <v>23</v>
      </c>
    </row>
    <row r="6899" spans="1:11" ht="42" customHeight="1">
      <c r="A6899" s="2" t="s">
        <v>13381</v>
      </c>
      <c r="B6899" s="2" t="s">
        <v>13381</v>
      </c>
      <c r="C6899" s="2" t="s">
        <v>17</v>
      </c>
      <c r="D6899" s="2" t="s">
        <v>18</v>
      </c>
      <c r="E6899" s="5">
        <v>-28687</v>
      </c>
      <c r="F6899" s="3" t="s">
        <v>851</v>
      </c>
      <c r="G6899" s="3" t="s">
        <v>88</v>
      </c>
      <c r="H6899" s="2" t="s">
        <v>21</v>
      </c>
      <c r="I6899" s="2" t="s">
        <v>13392</v>
      </c>
      <c r="J6899" s="3" t="str">
        <f>HYPERLINK("https://www.boe.es/gazeta/dias/1821/06/15/pdfs/GMD-1821-168.pdf#page=4","Abrir facsímil")</f>
        <v>Abrir facsímil</v>
      </c>
      <c r="K6899" s="3" t="s">
        <v>23</v>
      </c>
    </row>
    <row r="6900" spans="1:11" ht="42" customHeight="1">
      <c r="A6900" s="2" t="s">
        <v>13379</v>
      </c>
      <c r="B6900" s="2" t="s">
        <v>13379</v>
      </c>
      <c r="C6900" s="2" t="s">
        <v>40</v>
      </c>
      <c r="D6900" s="2" t="s">
        <v>41</v>
      </c>
      <c r="E6900" s="5">
        <v>-28681</v>
      </c>
      <c r="F6900" s="3" t="s">
        <v>210</v>
      </c>
      <c r="G6900" s="3" t="s">
        <v>52</v>
      </c>
      <c r="H6900" s="2" t="s">
        <v>21</v>
      </c>
      <c r="I6900" s="2" t="s">
        <v>13393</v>
      </c>
      <c r="J6900" s="3" t="str">
        <f>HYPERLINK("https://www.boe.es/gazeta/dias/1821/06/21/pdfs/GMD-1821-174.pdf#page=2","Abrir facsímil")</f>
        <v>Abrir facsímil</v>
      </c>
      <c r="K6900" s="3" t="s">
        <v>23</v>
      </c>
    </row>
    <row r="6901" spans="1:11" ht="42" customHeight="1">
      <c r="A6901" s="2" t="s">
        <v>13379</v>
      </c>
      <c r="B6901" s="2" t="s">
        <v>13379</v>
      </c>
      <c r="C6901" s="2" t="s">
        <v>26</v>
      </c>
      <c r="D6901" s="2" t="s">
        <v>27</v>
      </c>
      <c r="E6901" s="5">
        <v>-28677</v>
      </c>
      <c r="F6901" s="3" t="s">
        <v>361</v>
      </c>
      <c r="G6901" s="3" t="s">
        <v>88</v>
      </c>
      <c r="H6901" s="2" t="s">
        <v>21</v>
      </c>
      <c r="I6901" s="2" t="s">
        <v>13394</v>
      </c>
      <c r="J6901" s="3" t="str">
        <f>HYPERLINK("https://www.boe.es/gazeta/dias/1821/06/25/pdfs/GMD-1821-178.pdf#page=4","Abrir facsímil")</f>
        <v>Abrir facsímil</v>
      </c>
      <c r="K6901" s="3" t="s">
        <v>23</v>
      </c>
    </row>
    <row r="6902" spans="1:11" ht="42" customHeight="1">
      <c r="A6902" s="2" t="s">
        <v>13379</v>
      </c>
      <c r="B6902" s="2" t="s">
        <v>13379</v>
      </c>
      <c r="C6902" s="2" t="s">
        <v>26</v>
      </c>
      <c r="D6902" s="2" t="s">
        <v>27</v>
      </c>
      <c r="E6902" s="5">
        <v>-28548</v>
      </c>
      <c r="F6902" s="3" t="s">
        <v>782</v>
      </c>
      <c r="G6902" s="3" t="s">
        <v>20</v>
      </c>
      <c r="H6902" s="2" t="s">
        <v>21</v>
      </c>
      <c r="I6902" s="2" t="s">
        <v>13395</v>
      </c>
      <c r="J6902" s="3" t="str">
        <f>HYPERLINK("https://www.boe.es/gazeta/dias/1821/11/01/pdfs/GMD-1821-311.pdf#page=3","Abrir facsímil")</f>
        <v>Abrir facsímil</v>
      </c>
      <c r="K6902" s="3" t="s">
        <v>23</v>
      </c>
    </row>
    <row r="6903" spans="1:11" ht="42" customHeight="1">
      <c r="A6903" s="2" t="s">
        <v>13381</v>
      </c>
      <c r="B6903" s="2" t="s">
        <v>13381</v>
      </c>
      <c r="C6903" s="2" t="s">
        <v>114</v>
      </c>
      <c r="D6903" s="2" t="s">
        <v>27</v>
      </c>
      <c r="E6903" s="5">
        <v>-28530</v>
      </c>
      <c r="F6903" s="3" t="s">
        <v>237</v>
      </c>
      <c r="G6903" s="3" t="s">
        <v>20</v>
      </c>
      <c r="H6903" s="2" t="s">
        <v>21</v>
      </c>
      <c r="I6903" s="2" t="s">
        <v>13396</v>
      </c>
      <c r="J6903" s="3" t="str">
        <f>HYPERLINK("https://www.boe.es/gazeta/dias/1821/11/19/pdfs/GMD-1821-330.pdf#page=3","Abrir facsímil")</f>
        <v>Abrir facsímil</v>
      </c>
      <c r="K6903" s="3" t="s">
        <v>23</v>
      </c>
    </row>
    <row r="6904" spans="1:11" ht="42" customHeight="1">
      <c r="A6904" s="2" t="s">
        <v>13379</v>
      </c>
      <c r="B6904" s="2" t="s">
        <v>13379</v>
      </c>
      <c r="C6904" s="2" t="s">
        <v>17</v>
      </c>
      <c r="D6904" s="2" t="s">
        <v>18</v>
      </c>
      <c r="E6904" s="5">
        <v>-28513</v>
      </c>
      <c r="F6904" s="3" t="s">
        <v>502</v>
      </c>
      <c r="G6904" s="3" t="s">
        <v>88</v>
      </c>
      <c r="H6904" s="2" t="s">
        <v>21</v>
      </c>
      <c r="I6904" s="2" t="s">
        <v>13397</v>
      </c>
      <c r="J6904" s="3" t="str">
        <f>HYPERLINK("https://www.boe.es/gazeta/dias/1821/12/06/pdfs/GMD-1821-348.pdf#page=4","Abrir facsímil")</f>
        <v>Abrir facsímil</v>
      </c>
      <c r="K6904" s="3" t="s">
        <v>23</v>
      </c>
    </row>
    <row r="6905" spans="1:11" ht="42" customHeight="1">
      <c r="A6905" s="2" t="s">
        <v>13379</v>
      </c>
      <c r="B6905" s="2" t="s">
        <v>13379</v>
      </c>
      <c r="C6905" s="2" t="s">
        <v>17</v>
      </c>
      <c r="D6905" s="2" t="s">
        <v>18</v>
      </c>
      <c r="E6905" s="5">
        <v>-28498</v>
      </c>
      <c r="F6905" s="3" t="s">
        <v>447</v>
      </c>
      <c r="G6905" s="3" t="s">
        <v>1547</v>
      </c>
      <c r="H6905" s="2" t="s">
        <v>21</v>
      </c>
      <c r="I6905" s="2" t="s">
        <v>13398</v>
      </c>
      <c r="J6905" s="3" t="str">
        <f>HYPERLINK("https://www.boe.es/gazeta/dias/1821/12/21/pdfs/GMD-1821-364.pdf#page=2","Abrir facsímil")</f>
        <v>Abrir facsímil</v>
      </c>
      <c r="K6905" s="3" t="s">
        <v>23</v>
      </c>
    </row>
    <row r="6906" spans="1:11" ht="42" customHeight="1">
      <c r="A6906" s="2" t="s">
        <v>13399</v>
      </c>
      <c r="B6906" s="2" t="s">
        <v>13400</v>
      </c>
      <c r="C6906" s="2" t="s">
        <v>40</v>
      </c>
      <c r="D6906" s="2" t="s">
        <v>41</v>
      </c>
      <c r="E6906" s="5">
        <v>-28528</v>
      </c>
      <c r="F6906" s="3" t="s">
        <v>1872</v>
      </c>
      <c r="G6906" s="3" t="s">
        <v>52</v>
      </c>
      <c r="H6906" s="2" t="s">
        <v>21</v>
      </c>
      <c r="I6906" s="2" t="s">
        <v>13401</v>
      </c>
      <c r="J6906" s="3" t="str">
        <f>HYPERLINK("https://www.boe.es/gazeta/dias/1821/11/21/pdfs/GMD-1821-332.pdf#page=2","Abrir facsímil")</f>
        <v>Abrir facsímil</v>
      </c>
      <c r="K6906" s="3" t="s">
        <v>23</v>
      </c>
    </row>
    <row r="6907" spans="1:11" ht="42" customHeight="1">
      <c r="A6907" s="2" t="s">
        <v>13402</v>
      </c>
      <c r="B6907" s="2" t="s">
        <v>13403</v>
      </c>
      <c r="C6907" s="2" t="s">
        <v>40</v>
      </c>
      <c r="D6907" s="2" t="s">
        <v>41</v>
      </c>
      <c r="E6907" s="5">
        <v>-28817</v>
      </c>
      <c r="F6907" s="3" t="s">
        <v>2703</v>
      </c>
      <c r="G6907" s="3" t="s">
        <v>52</v>
      </c>
      <c r="H6907" s="2" t="s">
        <v>21</v>
      </c>
      <c r="I6907" s="2" t="s">
        <v>13404</v>
      </c>
      <c r="J6907" s="3" t="str">
        <f>HYPERLINK("https://www.boe.es/gazeta/dias/1821/02/05/pdfs/GGB-1821-36.pdf#page=2","Abrir facsímil")</f>
        <v>Abrir facsímil</v>
      </c>
      <c r="K6907" s="3" t="s">
        <v>23</v>
      </c>
    </row>
    <row r="6908" spans="1:11" ht="42" customHeight="1">
      <c r="A6908" s="2" t="s">
        <v>13402</v>
      </c>
      <c r="B6908" s="2" t="s">
        <v>13403</v>
      </c>
      <c r="C6908" s="2" t="s">
        <v>40</v>
      </c>
      <c r="D6908" s="2" t="s">
        <v>41</v>
      </c>
      <c r="E6908" s="5">
        <v>-28817</v>
      </c>
      <c r="F6908" s="3" t="s">
        <v>2703</v>
      </c>
      <c r="G6908" s="3" t="s">
        <v>20</v>
      </c>
      <c r="H6908" s="2" t="s">
        <v>21</v>
      </c>
      <c r="I6908" s="2" t="s">
        <v>13405</v>
      </c>
      <c r="J6908" s="3" t="str">
        <f>HYPERLINK("https://www.boe.es/gazeta/dias/1821/02/05/pdfs/GGB-1821-36.pdf#page=3","Abrir facsímil")</f>
        <v>Abrir facsímil</v>
      </c>
      <c r="K6908" s="3" t="s">
        <v>23</v>
      </c>
    </row>
    <row r="6909" spans="1:11" ht="42" customHeight="1">
      <c r="A6909" s="2" t="s">
        <v>13406</v>
      </c>
      <c r="B6909" s="2" t="s">
        <v>13407</v>
      </c>
      <c r="C6909" s="2" t="s">
        <v>17</v>
      </c>
      <c r="D6909" s="2" t="s">
        <v>18</v>
      </c>
      <c r="E6909" s="5">
        <v>-28786</v>
      </c>
      <c r="F6909" s="3" t="s">
        <v>1933</v>
      </c>
      <c r="G6909" s="3" t="s">
        <v>88</v>
      </c>
      <c r="H6909" s="2" t="s">
        <v>21</v>
      </c>
      <c r="I6909" s="2" t="s">
        <v>13408</v>
      </c>
      <c r="J6909" s="3" t="str">
        <f>HYPERLINK("https://www.boe.es/gazeta/dias/1821/03/08/pdfs/GGB-1821-67.pdf#page=4","Abrir facsímil")</f>
        <v>Abrir facsímil</v>
      </c>
      <c r="K6909" s="3" t="s">
        <v>23</v>
      </c>
    </row>
    <row r="6910" spans="1:11" ht="42" customHeight="1">
      <c r="A6910" s="2" t="s">
        <v>13406</v>
      </c>
      <c r="B6910" s="2" t="s">
        <v>13407</v>
      </c>
      <c r="C6910" s="2" t="s">
        <v>174</v>
      </c>
      <c r="D6910" s="2" t="s">
        <v>27</v>
      </c>
      <c r="E6910" s="5">
        <v>-28514</v>
      </c>
      <c r="F6910" s="3" t="s">
        <v>103</v>
      </c>
      <c r="G6910" s="3" t="s">
        <v>52</v>
      </c>
      <c r="H6910" s="2" t="s">
        <v>21</v>
      </c>
      <c r="I6910" s="2" t="s">
        <v>13409</v>
      </c>
      <c r="J6910" s="3" t="str">
        <f>HYPERLINK("https://www.boe.es/gazeta/dias/1821/12/05/pdfs/GMD-1821-347.pdf#page=2","Abrir facsímil")</f>
        <v>Abrir facsímil</v>
      </c>
      <c r="K6910" s="3" t="s">
        <v>23</v>
      </c>
    </row>
    <row r="6911" spans="1:11" ht="42" customHeight="1">
      <c r="A6911" s="2" t="s">
        <v>13410</v>
      </c>
      <c r="B6911" s="2" t="s">
        <v>13411</v>
      </c>
      <c r="C6911" s="2" t="s">
        <v>17</v>
      </c>
      <c r="D6911" s="2" t="s">
        <v>18</v>
      </c>
      <c r="E6911" s="5">
        <v>-28728</v>
      </c>
      <c r="F6911" s="3" t="s">
        <v>1038</v>
      </c>
      <c r="G6911" s="3" t="s">
        <v>20</v>
      </c>
      <c r="H6911" s="2" t="s">
        <v>21</v>
      </c>
      <c r="I6911" s="2" t="s">
        <v>13412</v>
      </c>
      <c r="J6911" s="3" t="str">
        <f>HYPERLINK("https://www.boe.es/gazeta/dias/1821/05/05/pdfs/GMD-1821-127.pdf#page=3","Abrir facsímil")</f>
        <v>Abrir facsímil</v>
      </c>
      <c r="K6911" s="3" t="s">
        <v>23</v>
      </c>
    </row>
    <row r="6912" spans="1:11" ht="42" customHeight="1">
      <c r="A6912" s="2" t="s">
        <v>13413</v>
      </c>
      <c r="B6912" s="2" t="s">
        <v>13414</v>
      </c>
      <c r="C6912" s="2" t="s">
        <v>40</v>
      </c>
      <c r="D6912" s="2" t="s">
        <v>41</v>
      </c>
      <c r="E6912" s="5">
        <v>-28736</v>
      </c>
      <c r="F6912" s="3" t="s">
        <v>464</v>
      </c>
      <c r="G6912" s="3" t="s">
        <v>52</v>
      </c>
      <c r="H6912" s="2" t="s">
        <v>21</v>
      </c>
      <c r="I6912" s="2" t="s">
        <v>13415</v>
      </c>
      <c r="J6912" s="3" t="str">
        <f>HYPERLINK("https://www.boe.es/gazeta/dias/1821/04/27/pdfs/GMD-1821-119.pdf#page=2","Abrir facsímil")</f>
        <v>Abrir facsímil</v>
      </c>
      <c r="K6912" s="3" t="s">
        <v>23</v>
      </c>
    </row>
    <row r="6913" spans="1:11" ht="42" customHeight="1">
      <c r="A6913" s="2" t="s">
        <v>13416</v>
      </c>
      <c r="B6913" s="2" t="s">
        <v>13416</v>
      </c>
      <c r="C6913" s="2" t="s">
        <v>40</v>
      </c>
      <c r="D6913" s="2" t="s">
        <v>41</v>
      </c>
      <c r="E6913" s="5">
        <v>-28722</v>
      </c>
      <c r="F6913" s="3" t="s">
        <v>623</v>
      </c>
      <c r="G6913" s="3" t="s">
        <v>88</v>
      </c>
      <c r="H6913" s="2" t="s">
        <v>21</v>
      </c>
      <c r="I6913" s="2" t="s">
        <v>13417</v>
      </c>
      <c r="J6913" s="3" t="str">
        <f>HYPERLINK("https://www.boe.es/gazeta/dias/1821/05/11/pdfs/GMD-1821-133.pdf#page=4","Abrir facsímil")</f>
        <v>Abrir facsímil</v>
      </c>
      <c r="K6913" s="3" t="s">
        <v>23</v>
      </c>
    </row>
    <row r="6914" spans="1:11" ht="42" customHeight="1">
      <c r="A6914" s="2" t="s">
        <v>13418</v>
      </c>
      <c r="B6914" s="2" t="s">
        <v>13419</v>
      </c>
      <c r="C6914" s="2" t="s">
        <v>17</v>
      </c>
      <c r="D6914" s="2" t="s">
        <v>18</v>
      </c>
      <c r="E6914" s="5">
        <v>-28735</v>
      </c>
      <c r="F6914" s="3" t="s">
        <v>836</v>
      </c>
      <c r="G6914" s="3" t="s">
        <v>52</v>
      </c>
      <c r="H6914" s="2" t="s">
        <v>21</v>
      </c>
      <c r="I6914" s="2" t="s">
        <v>13420</v>
      </c>
      <c r="J6914" s="3" t="str">
        <f>HYPERLINK("https://www.boe.es/gazeta/dias/1821/04/28/pdfs/GMD-1821-120.pdf#page=2","Abrir facsímil")</f>
        <v>Abrir facsímil</v>
      </c>
      <c r="K6914" s="3" t="s">
        <v>23</v>
      </c>
    </row>
    <row r="6915" spans="1:11" ht="42" customHeight="1">
      <c r="A6915" s="2" t="s">
        <v>13421</v>
      </c>
      <c r="B6915" s="2" t="s">
        <v>13421</v>
      </c>
      <c r="C6915" s="2" t="s">
        <v>40</v>
      </c>
      <c r="D6915" s="2" t="s">
        <v>41</v>
      </c>
      <c r="E6915" s="5">
        <v>-28645</v>
      </c>
      <c r="F6915" s="3" t="s">
        <v>2579</v>
      </c>
      <c r="G6915" s="3" t="s">
        <v>88</v>
      </c>
      <c r="H6915" s="2" t="s">
        <v>21</v>
      </c>
      <c r="I6915" s="2" t="s">
        <v>13422</v>
      </c>
      <c r="J6915" s="3" t="str">
        <f>HYPERLINK("https://www.boe.es/gazeta/dias/1821/07/27/pdfs/GMD-1821-212.pdf#page=4","Abrir facsímil")</f>
        <v>Abrir facsímil</v>
      </c>
      <c r="K6915" s="3" t="s">
        <v>23</v>
      </c>
    </row>
    <row r="6916" spans="1:11" ht="42" customHeight="1">
      <c r="A6916" s="2" t="s">
        <v>13423</v>
      </c>
      <c r="B6916" s="2" t="s">
        <v>13424</v>
      </c>
      <c r="C6916" s="2" t="s">
        <v>70</v>
      </c>
      <c r="D6916" s="2" t="s">
        <v>27</v>
      </c>
      <c r="E6916" s="5">
        <v>-28755</v>
      </c>
      <c r="F6916" s="3" t="s">
        <v>906</v>
      </c>
      <c r="G6916" s="3" t="s">
        <v>907</v>
      </c>
      <c r="H6916" s="2" t="s">
        <v>21</v>
      </c>
      <c r="I6916" s="2" t="s">
        <v>13425</v>
      </c>
      <c r="J6916" s="3" t="str">
        <f>HYPERLINK("https://www.boe.es/gazeta/dias/1821/04/08/pdfs/GMD-1821-100.pdf#page=4","Abrir facsímil")</f>
        <v>Abrir facsímil</v>
      </c>
      <c r="K6916" s="3" t="s">
        <v>23</v>
      </c>
    </row>
    <row r="6917" spans="1:11" ht="42" customHeight="1">
      <c r="A6917" s="2" t="s">
        <v>13426</v>
      </c>
      <c r="B6917" s="2" t="s">
        <v>13427</v>
      </c>
      <c r="C6917" s="2" t="s">
        <v>279</v>
      </c>
      <c r="D6917" s="2" t="s">
        <v>27</v>
      </c>
      <c r="E6917" s="5">
        <v>-28580</v>
      </c>
      <c r="F6917" s="3" t="s">
        <v>175</v>
      </c>
      <c r="G6917" s="3" t="s">
        <v>88</v>
      </c>
      <c r="H6917" s="2" t="s">
        <v>21</v>
      </c>
      <c r="I6917" s="2" t="s">
        <v>13428</v>
      </c>
      <c r="J6917" s="3" t="str">
        <f>HYPERLINK("https://www.boe.es/gazeta/dias/1821/09/30/pdfs/GMD-1821-279.pdf#page=4","Abrir facsímil")</f>
        <v>Abrir facsímil</v>
      </c>
      <c r="K6917" s="3" t="s">
        <v>23</v>
      </c>
    </row>
    <row r="6918" spans="1:11" ht="42" customHeight="1">
      <c r="A6918" s="2" t="s">
        <v>13429</v>
      </c>
      <c r="B6918" s="2" t="s">
        <v>13430</v>
      </c>
      <c r="C6918" s="2" t="s">
        <v>40</v>
      </c>
      <c r="D6918" s="2" t="s">
        <v>41</v>
      </c>
      <c r="E6918" s="5">
        <v>-28793</v>
      </c>
      <c r="F6918" s="3" t="s">
        <v>157</v>
      </c>
      <c r="G6918" s="3" t="s">
        <v>20</v>
      </c>
      <c r="H6918" s="2" t="s">
        <v>21</v>
      </c>
      <c r="I6918" s="2" t="s">
        <v>13431</v>
      </c>
      <c r="J6918" s="3" t="str">
        <f>HYPERLINK("https://www.boe.es/gazeta/dias/1821/03/01/pdfs/GGB-1821-60.pdf#page=3","Abrir facsímil")</f>
        <v>Abrir facsímil</v>
      </c>
      <c r="K6918" s="3" t="s">
        <v>23</v>
      </c>
    </row>
    <row r="6919" spans="1:11" ht="42" customHeight="1">
      <c r="A6919" s="2" t="s">
        <v>13432</v>
      </c>
      <c r="B6919" s="2" t="s">
        <v>13433</v>
      </c>
      <c r="C6919" s="2" t="s">
        <v>40</v>
      </c>
      <c r="D6919" s="2" t="s">
        <v>41</v>
      </c>
      <c r="E6919" s="5">
        <v>-28821</v>
      </c>
      <c r="F6919" s="3" t="s">
        <v>371</v>
      </c>
      <c r="G6919" s="3" t="s">
        <v>88</v>
      </c>
      <c r="H6919" s="2" t="s">
        <v>21</v>
      </c>
      <c r="I6919" s="2" t="s">
        <v>13434</v>
      </c>
      <c r="J6919" s="3" t="str">
        <f>HYPERLINK("https://www.boe.es/gazeta/dias/1821/02/01/pdfs/GGB-1821-32.pdf#page=4","Abrir facsímil")</f>
        <v>Abrir facsímil</v>
      </c>
      <c r="K6919" s="3" t="s">
        <v>23</v>
      </c>
    </row>
    <row r="6920" spans="1:11" ht="42" customHeight="1">
      <c r="A6920" s="2" t="s">
        <v>13432</v>
      </c>
      <c r="B6920" s="2" t="s">
        <v>13433</v>
      </c>
      <c r="C6920" s="2" t="s">
        <v>114</v>
      </c>
      <c r="D6920" s="2" t="s">
        <v>27</v>
      </c>
      <c r="E6920" s="5">
        <v>-28526</v>
      </c>
      <c r="F6920" s="3" t="s">
        <v>223</v>
      </c>
      <c r="G6920" s="3" t="s">
        <v>10611</v>
      </c>
      <c r="H6920" s="2" t="s">
        <v>21</v>
      </c>
      <c r="I6920" s="2" t="s">
        <v>13435</v>
      </c>
      <c r="J6920" s="3" t="str">
        <f>HYPERLINK("https://www.boe.es/gazeta/dias/1821/11/23/pdfs/GMD-1821-334.pdf#page=5","Abrir facsímil")</f>
        <v>Abrir facsímil</v>
      </c>
      <c r="K6920" s="3" t="s">
        <v>23</v>
      </c>
    </row>
    <row r="6921" spans="1:11" ht="42" customHeight="1">
      <c r="A6921" s="2" t="s">
        <v>13436</v>
      </c>
      <c r="B6921" s="2" t="s">
        <v>13437</v>
      </c>
      <c r="C6921" s="2" t="s">
        <v>26</v>
      </c>
      <c r="D6921" s="2" t="s">
        <v>27</v>
      </c>
      <c r="E6921" s="5">
        <v>-28778</v>
      </c>
      <c r="F6921" s="3" t="s">
        <v>1301</v>
      </c>
      <c r="G6921" s="3" t="s">
        <v>88</v>
      </c>
      <c r="H6921" s="2" t="s">
        <v>21</v>
      </c>
      <c r="I6921" s="2" t="s">
        <v>13438</v>
      </c>
      <c r="J6921" s="3" t="str">
        <f>HYPERLINK("https://www.boe.es/gazeta/dias/1821/03/16/pdfs/GMD-1821-75.pdf#page=4","Abrir facsímil")</f>
        <v>Abrir facsímil</v>
      </c>
      <c r="K6921" s="3" t="s">
        <v>23</v>
      </c>
    </row>
    <row r="6922" spans="1:11" ht="42" customHeight="1">
      <c r="A6922" s="2" t="s">
        <v>13439</v>
      </c>
      <c r="B6922" s="2" t="s">
        <v>13440</v>
      </c>
      <c r="C6922" s="2" t="s">
        <v>70</v>
      </c>
      <c r="D6922" s="2" t="s">
        <v>27</v>
      </c>
      <c r="E6922" s="5">
        <v>-28762</v>
      </c>
      <c r="F6922" s="3" t="s">
        <v>608</v>
      </c>
      <c r="G6922" s="3" t="s">
        <v>609</v>
      </c>
      <c r="H6922" s="2" t="s">
        <v>21</v>
      </c>
      <c r="I6922" s="2" t="s">
        <v>13441</v>
      </c>
      <c r="J6922" s="3" t="str">
        <f>HYPERLINK("https://www.boe.es/gazeta/dias/1821/04/01/pdfs/GMD-1821-93.pdf#page=7","Abrir facsímil")</f>
        <v>Abrir facsímil</v>
      </c>
      <c r="K6922" s="3" t="s">
        <v>23</v>
      </c>
    </row>
    <row r="6923" spans="1:11" ht="42" customHeight="1">
      <c r="A6923" s="2" t="s">
        <v>13442</v>
      </c>
      <c r="B6923" s="2" t="s">
        <v>13443</v>
      </c>
      <c r="C6923" s="2" t="s">
        <v>40</v>
      </c>
      <c r="D6923" s="2" t="s">
        <v>41</v>
      </c>
      <c r="E6923" s="5">
        <v>-28510</v>
      </c>
      <c r="F6923" s="3" t="s">
        <v>83</v>
      </c>
      <c r="G6923" s="3" t="s">
        <v>52</v>
      </c>
      <c r="H6923" s="2" t="s">
        <v>30</v>
      </c>
      <c r="I6923" s="2" t="s">
        <v>13444</v>
      </c>
      <c r="J6923" s="3" t="str">
        <f>HYPERLINK("https://www.boe.es/gazeta/dias/1821/12/09/pdfs/GMD-1821-351.pdf#page=2","Abrir facsímil")</f>
        <v>Abrir facsímil</v>
      </c>
      <c r="K6923" s="3" t="s">
        <v>32</v>
      </c>
    </row>
    <row r="6924" spans="1:11" ht="42" customHeight="1">
      <c r="A6924" s="2" t="s">
        <v>13445</v>
      </c>
      <c r="B6924" s="2" t="s">
        <v>13446</v>
      </c>
      <c r="C6924" s="2" t="s">
        <v>17</v>
      </c>
      <c r="D6924" s="2" t="s">
        <v>18</v>
      </c>
      <c r="E6924" s="5">
        <v>-28586</v>
      </c>
      <c r="F6924" s="3" t="s">
        <v>587</v>
      </c>
      <c r="G6924" s="3" t="s">
        <v>88</v>
      </c>
      <c r="H6924" s="2" t="s">
        <v>21</v>
      </c>
      <c r="I6924" s="2" t="s">
        <v>13447</v>
      </c>
      <c r="J6924" s="3" t="str">
        <f>HYPERLINK("https://www.boe.es/gazeta/dias/1821/09/24/pdfs/GMD-1821-272.pdf#page=4","Abrir facsímil")</f>
        <v>Abrir facsímil</v>
      </c>
      <c r="K6924" s="3" t="s">
        <v>23</v>
      </c>
    </row>
    <row r="6925" spans="1:11" ht="42" customHeight="1">
      <c r="A6925" s="2" t="s">
        <v>13448</v>
      </c>
      <c r="B6925" s="2" t="s">
        <v>13449</v>
      </c>
      <c r="C6925" s="2" t="s">
        <v>35</v>
      </c>
      <c r="D6925" s="2" t="s">
        <v>27</v>
      </c>
      <c r="E6925" s="5">
        <v>-28717</v>
      </c>
      <c r="F6925" s="3" t="s">
        <v>1044</v>
      </c>
      <c r="G6925" s="3" t="s">
        <v>52</v>
      </c>
      <c r="H6925" s="2" t="s">
        <v>21</v>
      </c>
      <c r="I6925" s="2" t="s">
        <v>13450</v>
      </c>
      <c r="J6925" s="3" t="str">
        <f>HYPERLINK("https://www.boe.es/gazeta/dias/1821/05/16/pdfs/GMD-1821-138.pdf#page=2","Abrir facsímil")</f>
        <v>Abrir facsímil</v>
      </c>
      <c r="K6925" s="3" t="s">
        <v>23</v>
      </c>
    </row>
    <row r="6926" spans="1:11" ht="42" customHeight="1">
      <c r="A6926" s="2" t="s">
        <v>13451</v>
      </c>
      <c r="B6926" s="2" t="s">
        <v>13452</v>
      </c>
      <c r="C6926" s="2" t="s">
        <v>26</v>
      </c>
      <c r="D6926" s="2" t="s">
        <v>27</v>
      </c>
      <c r="E6926" s="5">
        <v>-28837</v>
      </c>
      <c r="F6926" s="3" t="s">
        <v>1234</v>
      </c>
      <c r="G6926" s="3" t="s">
        <v>88</v>
      </c>
      <c r="H6926" s="2" t="s">
        <v>21</v>
      </c>
      <c r="I6926" s="2" t="s">
        <v>13453</v>
      </c>
      <c r="J6926" s="3" t="str">
        <f>HYPERLINK("https://www.boe.es/gazeta/dias/1821/01/16/pdfs/GGB-1821-16.pdf#page=4","Abrir facsímil")</f>
        <v>Abrir facsímil</v>
      </c>
      <c r="K6926" s="3" t="s">
        <v>23</v>
      </c>
    </row>
    <row r="6927" spans="1:11" ht="42" customHeight="1">
      <c r="A6927" s="2" t="s">
        <v>13454</v>
      </c>
      <c r="B6927" s="2" t="s">
        <v>13455</v>
      </c>
      <c r="C6927" s="2" t="s">
        <v>17</v>
      </c>
      <c r="D6927" s="2" t="s">
        <v>18</v>
      </c>
      <c r="E6927" s="5">
        <v>-28669</v>
      </c>
      <c r="F6927" s="3" t="s">
        <v>2816</v>
      </c>
      <c r="G6927" s="3" t="s">
        <v>88</v>
      </c>
      <c r="H6927" s="2" t="s">
        <v>21</v>
      </c>
      <c r="I6927" s="2" t="s">
        <v>13456</v>
      </c>
      <c r="J6927" s="3" t="str">
        <f>HYPERLINK("https://www.boe.es/gazeta/dias/1821/07/03/pdfs/GMD-1821-187.pdf#page=4","Abrir facsímil")</f>
        <v>Abrir facsímil</v>
      </c>
      <c r="K6927" s="3" t="s">
        <v>23</v>
      </c>
    </row>
    <row r="6928" spans="1:11" ht="42" customHeight="1">
      <c r="A6928" s="2" t="s">
        <v>13457</v>
      </c>
      <c r="B6928" s="2" t="s">
        <v>13458</v>
      </c>
      <c r="C6928" s="2" t="s">
        <v>17</v>
      </c>
      <c r="D6928" s="2" t="s">
        <v>18</v>
      </c>
      <c r="E6928" s="5">
        <v>-28577</v>
      </c>
      <c r="F6928" s="3" t="s">
        <v>858</v>
      </c>
      <c r="G6928" s="3" t="s">
        <v>88</v>
      </c>
      <c r="H6928" s="2" t="s">
        <v>21</v>
      </c>
      <c r="I6928" s="2" t="s">
        <v>13459</v>
      </c>
      <c r="J6928" s="3" t="str">
        <f>HYPERLINK("https://www.boe.es/gazeta/dias/1821/10/03/pdfs/GMD-1821-282.pdf#page=4","Abrir facsímil")</f>
        <v>Abrir facsímil</v>
      </c>
      <c r="K6928" s="3" t="s">
        <v>23</v>
      </c>
    </row>
    <row r="6929" spans="1:11" ht="42" customHeight="1">
      <c r="A6929" s="2" t="s">
        <v>13460</v>
      </c>
      <c r="B6929" s="2" t="s">
        <v>13461</v>
      </c>
      <c r="C6929" s="2" t="s">
        <v>40</v>
      </c>
      <c r="D6929" s="2" t="s">
        <v>41</v>
      </c>
      <c r="E6929" s="5">
        <v>-28492</v>
      </c>
      <c r="F6929" s="3" t="s">
        <v>1550</v>
      </c>
      <c r="G6929" s="3" t="s">
        <v>88</v>
      </c>
      <c r="H6929" s="2" t="s">
        <v>21</v>
      </c>
      <c r="I6929" s="2" t="s">
        <v>13462</v>
      </c>
      <c r="J6929" s="3" t="str">
        <f>HYPERLINK("https://www.boe.es/gazeta/dias/1821/12/27/pdfs/GMD-1821-370.pdf#page=4","Abrir facsímil")</f>
        <v>Abrir facsímil</v>
      </c>
      <c r="K6929" s="3" t="s">
        <v>23</v>
      </c>
    </row>
    <row r="6930" spans="1:11" ht="42" customHeight="1">
      <c r="A6930" s="2" t="s">
        <v>13463</v>
      </c>
      <c r="B6930" s="2" t="s">
        <v>13464</v>
      </c>
      <c r="C6930" s="2" t="s">
        <v>26</v>
      </c>
      <c r="D6930" s="2" t="s">
        <v>27</v>
      </c>
      <c r="E6930" s="5">
        <v>-28547</v>
      </c>
      <c r="F6930" s="3" t="s">
        <v>247</v>
      </c>
      <c r="G6930" s="3" t="s">
        <v>248</v>
      </c>
      <c r="H6930" s="2" t="s">
        <v>21</v>
      </c>
      <c r="I6930" s="2" t="s">
        <v>13465</v>
      </c>
      <c r="J6930" s="3" t="str">
        <f>HYPERLINK("https://www.boe.es/gazeta/dias/1821/11/02/pdfs/GMD-1821-312.pdf#page=2","Abrir facsímil")</f>
        <v>Abrir facsímil</v>
      </c>
      <c r="K6930" s="3" t="s">
        <v>23</v>
      </c>
    </row>
    <row r="6931" spans="1:11" ht="42" customHeight="1">
      <c r="A6931" s="2" t="s">
        <v>13466</v>
      </c>
      <c r="B6931" s="2" t="s">
        <v>13466</v>
      </c>
      <c r="C6931" s="2" t="s">
        <v>26</v>
      </c>
      <c r="D6931" s="2" t="s">
        <v>27</v>
      </c>
      <c r="E6931" s="5">
        <v>-28776</v>
      </c>
      <c r="F6931" s="3" t="s">
        <v>312</v>
      </c>
      <c r="G6931" s="3" t="s">
        <v>162</v>
      </c>
      <c r="H6931" s="2" t="s">
        <v>21</v>
      </c>
      <c r="I6931" s="2" t="s">
        <v>13467</v>
      </c>
      <c r="J6931" s="3" t="str">
        <f>HYPERLINK("https://www.boe.es/gazeta/dias/1821/03/18/pdfs/GMD-1821-77.pdf#page=5","Abrir facsímil")</f>
        <v>Abrir facsímil</v>
      </c>
      <c r="K6931" s="3" t="s">
        <v>23</v>
      </c>
    </row>
    <row r="6932" spans="1:11" ht="42" customHeight="1">
      <c r="A6932" s="2" t="s">
        <v>13468</v>
      </c>
      <c r="B6932" s="2" t="s">
        <v>13468</v>
      </c>
      <c r="C6932" s="2" t="s">
        <v>35</v>
      </c>
      <c r="D6932" s="2" t="s">
        <v>27</v>
      </c>
      <c r="E6932" s="5">
        <v>-28729</v>
      </c>
      <c r="F6932" s="3" t="s">
        <v>838</v>
      </c>
      <c r="G6932" s="3" t="s">
        <v>88</v>
      </c>
      <c r="H6932" s="2" t="s">
        <v>21</v>
      </c>
      <c r="I6932" s="2" t="s">
        <v>13469</v>
      </c>
      <c r="J6932" s="3" t="str">
        <f>HYPERLINK("https://www.boe.es/gazeta/dias/1821/05/04/pdfs/GMD-1821-126.pdf#page=4","Abrir facsímil")</f>
        <v>Abrir facsímil</v>
      </c>
      <c r="K6932" s="3" t="s">
        <v>23</v>
      </c>
    </row>
    <row r="6933" spans="1:11" ht="42" customHeight="1">
      <c r="A6933" s="2" t="s">
        <v>13468</v>
      </c>
      <c r="B6933" s="2" t="s">
        <v>13468</v>
      </c>
      <c r="C6933" s="2" t="s">
        <v>40</v>
      </c>
      <c r="D6933" s="2" t="s">
        <v>41</v>
      </c>
      <c r="E6933" s="5">
        <v>-28701</v>
      </c>
      <c r="F6933" s="3" t="s">
        <v>202</v>
      </c>
      <c r="G6933" s="3" t="s">
        <v>52</v>
      </c>
      <c r="H6933" s="2" t="s">
        <v>21</v>
      </c>
      <c r="I6933" s="2" t="s">
        <v>13470</v>
      </c>
      <c r="J6933" s="3" t="str">
        <f>HYPERLINK("https://www.boe.es/gazeta/dias/1821/06/01/pdfs/GMD-1821-154.pdf#page=2","Abrir facsímil")</f>
        <v>Abrir facsímil</v>
      </c>
      <c r="K6933" s="3" t="s">
        <v>23</v>
      </c>
    </row>
    <row r="6934" spans="1:11" ht="42" customHeight="1">
      <c r="A6934" s="2" t="s">
        <v>13468</v>
      </c>
      <c r="B6934" s="2" t="s">
        <v>13468</v>
      </c>
      <c r="C6934" s="2" t="s">
        <v>70</v>
      </c>
      <c r="D6934" s="2" t="s">
        <v>27</v>
      </c>
      <c r="E6934" s="5">
        <v>-28700</v>
      </c>
      <c r="F6934" s="3" t="s">
        <v>701</v>
      </c>
      <c r="G6934" s="3" t="s">
        <v>20</v>
      </c>
      <c r="H6934" s="2" t="s">
        <v>21</v>
      </c>
      <c r="I6934" s="2" t="s">
        <v>13471</v>
      </c>
      <c r="J6934" s="3" t="str">
        <f>HYPERLINK("https://www.boe.es/gazeta/dias/1821/06/02/pdfs/GMD-1821-155.pdf#page=3","Abrir facsímil")</f>
        <v>Abrir facsímil</v>
      </c>
      <c r="K6934" s="3" t="s">
        <v>23</v>
      </c>
    </row>
    <row r="6935" spans="1:11" ht="42" customHeight="1">
      <c r="A6935" s="2" t="s">
        <v>13468</v>
      </c>
      <c r="B6935" s="2" t="s">
        <v>13468</v>
      </c>
      <c r="C6935" s="2" t="s">
        <v>35</v>
      </c>
      <c r="D6935" s="2" t="s">
        <v>27</v>
      </c>
      <c r="E6935" s="5">
        <v>-28698</v>
      </c>
      <c r="F6935" s="3" t="s">
        <v>2067</v>
      </c>
      <c r="G6935" s="3" t="s">
        <v>3804</v>
      </c>
      <c r="H6935" s="2" t="s">
        <v>21</v>
      </c>
      <c r="I6935" s="2" t="s">
        <v>13472</v>
      </c>
      <c r="J6935" s="3" t="str">
        <f>HYPERLINK("https://www.boe.es/gazeta/dias/1821/06/04/pdfs/GMD-1821-157.pdf#page=2","Abrir facsímil")</f>
        <v>Abrir facsímil</v>
      </c>
      <c r="K6935" s="3" t="s">
        <v>23</v>
      </c>
    </row>
    <row r="6936" spans="1:11" ht="42" customHeight="1">
      <c r="A6936" s="2" t="s">
        <v>13468</v>
      </c>
      <c r="B6936" s="2" t="s">
        <v>13468</v>
      </c>
      <c r="C6936" s="2" t="s">
        <v>26</v>
      </c>
      <c r="D6936" s="2" t="s">
        <v>27</v>
      </c>
      <c r="E6936" s="5">
        <v>-28689</v>
      </c>
      <c r="F6936" s="3" t="s">
        <v>194</v>
      </c>
      <c r="G6936" s="3" t="s">
        <v>52</v>
      </c>
      <c r="H6936" s="2" t="s">
        <v>21</v>
      </c>
      <c r="I6936" s="2" t="s">
        <v>13473</v>
      </c>
      <c r="J6936" s="3" t="str">
        <f>HYPERLINK("https://www.boe.es/gazeta/dias/1821/06/13/pdfs/GMD-1821-166.pdf#page=2","Abrir facsímil")</f>
        <v>Abrir facsímil</v>
      </c>
      <c r="K6936" s="3" t="s">
        <v>23</v>
      </c>
    </row>
    <row r="6937" spans="1:11" ht="42" customHeight="1">
      <c r="A6937" s="2" t="s">
        <v>13468</v>
      </c>
      <c r="B6937" s="2" t="s">
        <v>13468</v>
      </c>
      <c r="C6937" s="2" t="s">
        <v>40</v>
      </c>
      <c r="D6937" s="2" t="s">
        <v>41</v>
      </c>
      <c r="E6937" s="5">
        <v>-28688</v>
      </c>
      <c r="F6937" s="3" t="s">
        <v>1504</v>
      </c>
      <c r="G6937" s="3" t="s">
        <v>20</v>
      </c>
      <c r="H6937" s="2" t="s">
        <v>21</v>
      </c>
      <c r="I6937" s="2" t="s">
        <v>13474</v>
      </c>
      <c r="J6937" s="3" t="str">
        <f>HYPERLINK("https://www.boe.es/gazeta/dias/1821/06/14/pdfs/GMD-1821-167.pdf#page=3","Abrir facsímil")</f>
        <v>Abrir facsímil</v>
      </c>
      <c r="K6937" s="3" t="s">
        <v>23</v>
      </c>
    </row>
    <row r="6938" spans="1:11" ht="42" customHeight="1">
      <c r="A6938" s="2" t="s">
        <v>13468</v>
      </c>
      <c r="B6938" s="2" t="s">
        <v>13468</v>
      </c>
      <c r="C6938" s="2" t="s">
        <v>40</v>
      </c>
      <c r="D6938" s="2" t="s">
        <v>41</v>
      </c>
      <c r="E6938" s="5">
        <v>-28667</v>
      </c>
      <c r="F6938" s="3" t="s">
        <v>107</v>
      </c>
      <c r="G6938" s="3" t="s">
        <v>3069</v>
      </c>
      <c r="H6938" s="2" t="s">
        <v>21</v>
      </c>
      <c r="I6938" s="2" t="s">
        <v>13475</v>
      </c>
      <c r="J6938" s="3" t="str">
        <f>HYPERLINK("https://www.boe.es/gazeta/dias/1821/07/05/pdfs/GMD-1821-189.pdf#page=4","Abrir facsímil")</f>
        <v>Abrir facsímil</v>
      </c>
      <c r="K6938" s="3" t="s">
        <v>23</v>
      </c>
    </row>
    <row r="6939" spans="1:11" ht="42" customHeight="1">
      <c r="A6939" s="2" t="s">
        <v>13468</v>
      </c>
      <c r="B6939" s="2" t="s">
        <v>13468</v>
      </c>
      <c r="C6939" s="2" t="s">
        <v>40</v>
      </c>
      <c r="D6939" s="2" t="s">
        <v>41</v>
      </c>
      <c r="E6939" s="5">
        <v>-28617</v>
      </c>
      <c r="F6939" s="3" t="s">
        <v>436</v>
      </c>
      <c r="G6939" s="3" t="s">
        <v>88</v>
      </c>
      <c r="H6939" s="2" t="s">
        <v>21</v>
      </c>
      <c r="I6939" s="2" t="s">
        <v>13476</v>
      </c>
      <c r="J6939" s="3" t="str">
        <f>HYPERLINK("https://www.boe.es/gazeta/dias/1821/08/24/pdfs/GMD-1821-241.pdf#page=4","Abrir facsímil")</f>
        <v>Abrir facsímil</v>
      </c>
      <c r="K6939" s="3" t="s">
        <v>23</v>
      </c>
    </row>
    <row r="6940" spans="1:11" ht="42" customHeight="1">
      <c r="A6940" s="2" t="s">
        <v>13477</v>
      </c>
      <c r="B6940" s="2" t="s">
        <v>13478</v>
      </c>
      <c r="C6940" s="2" t="s">
        <v>40</v>
      </c>
      <c r="D6940" s="2" t="s">
        <v>41</v>
      </c>
      <c r="E6940" s="5">
        <v>-28673</v>
      </c>
      <c r="F6940" s="3" t="s">
        <v>1069</v>
      </c>
      <c r="G6940" s="3" t="s">
        <v>88</v>
      </c>
      <c r="H6940" s="2" t="s">
        <v>21</v>
      </c>
      <c r="I6940" s="2" t="s">
        <v>13479</v>
      </c>
      <c r="J6940" s="3" t="str">
        <f>HYPERLINK("https://www.boe.es/gazeta/dias/1821/06/29/pdfs/GMD-1821-182.pdf#page=4","Abrir facsímil")</f>
        <v>Abrir facsímil</v>
      </c>
      <c r="K6940" s="3" t="s">
        <v>23</v>
      </c>
    </row>
    <row r="6941" spans="1:11" ht="42" customHeight="1">
      <c r="A6941" s="2" t="s">
        <v>13477</v>
      </c>
      <c r="B6941" s="2" t="s">
        <v>13478</v>
      </c>
      <c r="C6941" s="2" t="s">
        <v>114</v>
      </c>
      <c r="D6941" s="2" t="s">
        <v>27</v>
      </c>
      <c r="E6941" s="5">
        <v>-28611</v>
      </c>
      <c r="F6941" s="3" t="s">
        <v>5777</v>
      </c>
      <c r="G6941" s="3" t="s">
        <v>88</v>
      </c>
      <c r="H6941" s="2" t="s">
        <v>21</v>
      </c>
      <c r="I6941" s="2" t="s">
        <v>13480</v>
      </c>
      <c r="J6941" s="3" t="str">
        <f>HYPERLINK("https://www.boe.es/gazeta/dias/1821/08/30/pdfs/GMD-1821-247.pdf#page=4","Abrir facsímil")</f>
        <v>Abrir facsímil</v>
      </c>
      <c r="K6941" s="3" t="s">
        <v>23</v>
      </c>
    </row>
    <row r="6942" spans="1:11" ht="42" customHeight="1">
      <c r="A6942" s="2" t="s">
        <v>13481</v>
      </c>
      <c r="B6942" s="2" t="s">
        <v>13482</v>
      </c>
      <c r="C6942" s="2" t="s">
        <v>17</v>
      </c>
      <c r="D6942" s="2" t="s">
        <v>18</v>
      </c>
      <c r="E6942" s="5">
        <v>-28783</v>
      </c>
      <c r="F6942" s="3" t="s">
        <v>198</v>
      </c>
      <c r="G6942" s="3" t="s">
        <v>20</v>
      </c>
      <c r="H6942" s="2" t="s">
        <v>21</v>
      </c>
      <c r="I6942" s="2" t="s">
        <v>13483</v>
      </c>
      <c r="J6942" s="3" t="str">
        <f>HYPERLINK("https://www.boe.es/gazeta/dias/1821/03/11/pdfs/GGB-1821-70.pdf#page=3","Abrir facsímil")</f>
        <v>Abrir facsímil</v>
      </c>
      <c r="K6942" s="3" t="s">
        <v>23</v>
      </c>
    </row>
    <row r="6943" spans="1:11" ht="42" customHeight="1">
      <c r="A6943" s="2" t="s">
        <v>13484</v>
      </c>
      <c r="B6943" s="2" t="s">
        <v>13485</v>
      </c>
      <c r="C6943" s="2" t="s">
        <v>70</v>
      </c>
      <c r="D6943" s="2" t="s">
        <v>27</v>
      </c>
      <c r="E6943" s="5">
        <v>-28818</v>
      </c>
      <c r="F6943" s="3" t="s">
        <v>2337</v>
      </c>
      <c r="G6943" s="3" t="s">
        <v>4055</v>
      </c>
      <c r="H6943" s="2" t="s">
        <v>21</v>
      </c>
      <c r="I6943" s="2" t="s">
        <v>13486</v>
      </c>
      <c r="J6943" s="3" t="str">
        <f>HYPERLINK("https://www.boe.es/gazeta/dias/1821/02/04/pdfs/GGB-1821-35.pdf#page=6","Abrir facsímil")</f>
        <v>Abrir facsímil</v>
      </c>
      <c r="K6943" s="3" t="s">
        <v>23</v>
      </c>
    </row>
    <row r="6944" spans="1:11" ht="42" customHeight="1">
      <c r="A6944" s="2" t="s">
        <v>13487</v>
      </c>
      <c r="B6944" s="2" t="s">
        <v>13488</v>
      </c>
      <c r="C6944" s="2" t="s">
        <v>279</v>
      </c>
      <c r="D6944" s="2" t="s">
        <v>27</v>
      </c>
      <c r="E6944" s="5">
        <v>-28801</v>
      </c>
      <c r="F6944" s="3" t="s">
        <v>378</v>
      </c>
      <c r="G6944" s="3" t="s">
        <v>20</v>
      </c>
      <c r="H6944" s="2" t="s">
        <v>21</v>
      </c>
      <c r="I6944" s="2" t="s">
        <v>13489</v>
      </c>
      <c r="J6944" s="3" t="str">
        <f>HYPERLINK("https://www.boe.es/gazeta/dias/1821/02/21/pdfs/GGB-1821-52.pdf#page=3","Abrir facsímil")</f>
        <v>Abrir facsímil</v>
      </c>
      <c r="K6944" s="3" t="s">
        <v>23</v>
      </c>
    </row>
    <row r="6945" spans="1:11" ht="42" customHeight="1">
      <c r="A6945" s="2" t="s">
        <v>13490</v>
      </c>
      <c r="B6945" s="2" t="s">
        <v>13490</v>
      </c>
      <c r="C6945" s="2" t="s">
        <v>40</v>
      </c>
      <c r="D6945" s="2" t="s">
        <v>41</v>
      </c>
      <c r="E6945" s="5">
        <v>-28837</v>
      </c>
      <c r="F6945" s="3" t="s">
        <v>1234</v>
      </c>
      <c r="G6945" s="3" t="s">
        <v>20</v>
      </c>
      <c r="H6945" s="2" t="s">
        <v>21</v>
      </c>
      <c r="I6945" s="2" t="s">
        <v>13491</v>
      </c>
      <c r="J6945" s="3" t="str">
        <f>HYPERLINK("https://www.boe.es/gazeta/dias/1821/01/16/pdfs/GGB-1821-16.pdf#page=3","Abrir facsímil")</f>
        <v>Abrir facsímil</v>
      </c>
      <c r="K6945" s="3" t="s">
        <v>23</v>
      </c>
    </row>
    <row r="6946" spans="1:11" ht="42" customHeight="1">
      <c r="A6946" s="2" t="s">
        <v>13490</v>
      </c>
      <c r="B6946" s="2" t="s">
        <v>13490</v>
      </c>
      <c r="C6946" s="2" t="s">
        <v>17</v>
      </c>
      <c r="D6946" s="2" t="s">
        <v>18</v>
      </c>
      <c r="E6946" s="5">
        <v>-28540</v>
      </c>
      <c r="F6946" s="3" t="s">
        <v>2672</v>
      </c>
      <c r="G6946" s="3" t="s">
        <v>20</v>
      </c>
      <c r="H6946" s="2" t="s">
        <v>21</v>
      </c>
      <c r="I6946" s="2" t="s">
        <v>13492</v>
      </c>
      <c r="J6946" s="3" t="str">
        <f>HYPERLINK("https://www.boe.es/gazeta/dias/1821/11/09/pdfs/GMD-1821-320.pdf#page=3","Abrir facsímil")</f>
        <v>Abrir facsímil</v>
      </c>
      <c r="K6946" s="3" t="s">
        <v>23</v>
      </c>
    </row>
    <row r="6947" spans="1:11" ht="42" customHeight="1">
      <c r="A6947" s="2" t="s">
        <v>13490</v>
      </c>
      <c r="B6947" s="2" t="s">
        <v>13490</v>
      </c>
      <c r="C6947" s="2" t="s">
        <v>35</v>
      </c>
      <c r="D6947" s="2" t="s">
        <v>27</v>
      </c>
      <c r="E6947" s="5">
        <v>-28526</v>
      </c>
      <c r="F6947" s="3" t="s">
        <v>223</v>
      </c>
      <c r="G6947" s="3" t="s">
        <v>52</v>
      </c>
      <c r="H6947" s="2" t="s">
        <v>21</v>
      </c>
      <c r="I6947" s="2" t="s">
        <v>13493</v>
      </c>
      <c r="J6947" s="3" t="str">
        <f>HYPERLINK("https://www.boe.es/gazeta/dias/1821/11/23/pdfs/GMD-1821-334.pdf#page=2","Abrir facsímil")</f>
        <v>Abrir facsímil</v>
      </c>
      <c r="K6947" s="3" t="s">
        <v>23</v>
      </c>
    </row>
    <row r="6948" spans="1:11" ht="42" customHeight="1">
      <c r="A6948" s="2" t="s">
        <v>13494</v>
      </c>
      <c r="B6948" s="2" t="s">
        <v>13495</v>
      </c>
      <c r="C6948" s="2" t="s">
        <v>40</v>
      </c>
      <c r="D6948" s="2" t="s">
        <v>41</v>
      </c>
      <c r="E6948" s="5">
        <v>-28675</v>
      </c>
      <c r="F6948" s="3" t="s">
        <v>943</v>
      </c>
      <c r="G6948" s="3" t="s">
        <v>88</v>
      </c>
      <c r="H6948" s="2" t="s">
        <v>21</v>
      </c>
      <c r="I6948" s="2" t="s">
        <v>13496</v>
      </c>
      <c r="J6948" s="3" t="str">
        <f>HYPERLINK("https://www.boe.es/gazeta/dias/1821/06/27/pdfs/GMD-1821-180.pdf#page=4","Abrir facsímil")</f>
        <v>Abrir facsímil</v>
      </c>
      <c r="K6948" s="3" t="s">
        <v>23</v>
      </c>
    </row>
    <row r="6949" spans="1:11" ht="42" customHeight="1">
      <c r="A6949" s="2" t="s">
        <v>13497</v>
      </c>
      <c r="B6949" s="2" t="s">
        <v>13497</v>
      </c>
      <c r="C6949" s="2" t="s">
        <v>17</v>
      </c>
      <c r="D6949" s="2" t="s">
        <v>18</v>
      </c>
      <c r="E6949" s="5">
        <v>-28849</v>
      </c>
      <c r="F6949" s="3" t="s">
        <v>1989</v>
      </c>
      <c r="G6949" s="3" t="s">
        <v>88</v>
      </c>
      <c r="H6949" s="2" t="s">
        <v>21</v>
      </c>
      <c r="I6949" s="2" t="s">
        <v>13498</v>
      </c>
      <c r="J6949" s="3" t="str">
        <f>HYPERLINK("https://www.boe.es/gazeta/dias/1821/01/04/pdfs/GGB-1821-4.pdf#page=4","Abrir facsímil")</f>
        <v>Abrir facsímil</v>
      </c>
      <c r="K6949" s="3" t="s">
        <v>23</v>
      </c>
    </row>
    <row r="6950" spans="1:11" ht="42" customHeight="1">
      <c r="A6950" s="2" t="s">
        <v>13497</v>
      </c>
      <c r="B6950" s="2" t="s">
        <v>13497</v>
      </c>
      <c r="C6950" s="2" t="s">
        <v>40</v>
      </c>
      <c r="D6950" s="2" t="s">
        <v>41</v>
      </c>
      <c r="E6950" s="5">
        <v>-28847</v>
      </c>
      <c r="F6950" s="3" t="s">
        <v>288</v>
      </c>
      <c r="G6950" s="3" t="s">
        <v>289</v>
      </c>
      <c r="H6950" s="2" t="s">
        <v>21</v>
      </c>
      <c r="I6950" s="2" t="s">
        <v>13499</v>
      </c>
      <c r="J6950" s="3" t="str">
        <f>HYPERLINK("https://www.boe.es/gazeta/dias/1821/01/06/pdfs/GGB-1821-6.pdf#page=4","Abrir facsímil")</f>
        <v>Abrir facsímil</v>
      </c>
      <c r="K6950" s="3" t="s">
        <v>23</v>
      </c>
    </row>
    <row r="6951" spans="1:11" ht="42" customHeight="1">
      <c r="A6951" s="2" t="s">
        <v>13497</v>
      </c>
      <c r="B6951" s="2" t="s">
        <v>13497</v>
      </c>
      <c r="C6951" s="2" t="s">
        <v>17</v>
      </c>
      <c r="D6951" s="2" t="s">
        <v>18</v>
      </c>
      <c r="E6951" s="5">
        <v>-28793</v>
      </c>
      <c r="F6951" s="3" t="s">
        <v>157</v>
      </c>
      <c r="G6951" s="3" t="s">
        <v>88</v>
      </c>
      <c r="H6951" s="2" t="s">
        <v>21</v>
      </c>
      <c r="I6951" s="2" t="s">
        <v>13500</v>
      </c>
      <c r="J6951" s="3" t="str">
        <f>HYPERLINK("https://www.boe.es/gazeta/dias/1821/03/01/pdfs/GGB-1821-60.pdf#page=4","Abrir facsímil")</f>
        <v>Abrir facsímil</v>
      </c>
      <c r="K6951" s="3" t="s">
        <v>23</v>
      </c>
    </row>
    <row r="6952" spans="1:11" ht="42" customHeight="1">
      <c r="A6952" s="2" t="s">
        <v>13497</v>
      </c>
      <c r="B6952" s="2" t="s">
        <v>13497</v>
      </c>
      <c r="C6952" s="2" t="s">
        <v>26</v>
      </c>
      <c r="D6952" s="2" t="s">
        <v>27</v>
      </c>
      <c r="E6952" s="5">
        <v>-28668</v>
      </c>
      <c r="F6952" s="3" t="s">
        <v>2130</v>
      </c>
      <c r="G6952" s="3" t="s">
        <v>20</v>
      </c>
      <c r="H6952" s="2" t="s">
        <v>21</v>
      </c>
      <c r="I6952" s="2" t="s">
        <v>13501</v>
      </c>
      <c r="J6952" s="3" t="str">
        <f>HYPERLINK("https://www.boe.es/gazeta/dias/1821/07/04/pdfs/GMD-1821-188.pdf#page=3","Abrir facsímil")</f>
        <v>Abrir facsímil</v>
      </c>
      <c r="K6952" s="3" t="s">
        <v>23</v>
      </c>
    </row>
    <row r="6953" spans="1:11" ht="42" customHeight="1">
      <c r="A6953" s="2" t="s">
        <v>13497</v>
      </c>
      <c r="B6953" s="2" t="s">
        <v>13497</v>
      </c>
      <c r="C6953" s="2" t="s">
        <v>70</v>
      </c>
      <c r="D6953" s="2" t="s">
        <v>27</v>
      </c>
      <c r="E6953" s="5">
        <v>-28592</v>
      </c>
      <c r="F6953" s="3" t="s">
        <v>518</v>
      </c>
      <c r="G6953" s="3" t="s">
        <v>88</v>
      </c>
      <c r="H6953" s="2" t="s">
        <v>21</v>
      </c>
      <c r="I6953" s="2" t="s">
        <v>13502</v>
      </c>
      <c r="J6953" s="3" t="str">
        <f>HYPERLINK("https://www.boe.es/gazeta/dias/1821/09/18/pdfs/GMD-1821-266.pdf#page=4","Abrir facsímil")</f>
        <v>Abrir facsímil</v>
      </c>
      <c r="K6953" s="3" t="s">
        <v>23</v>
      </c>
    </row>
    <row r="6954" spans="1:11" ht="42" customHeight="1">
      <c r="A6954" s="2" t="s">
        <v>13503</v>
      </c>
      <c r="B6954" s="2" t="s">
        <v>13504</v>
      </c>
      <c r="C6954" s="2" t="s">
        <v>174</v>
      </c>
      <c r="D6954" s="2" t="s">
        <v>27</v>
      </c>
      <c r="E6954" s="5">
        <v>-28847</v>
      </c>
      <c r="F6954" s="3" t="s">
        <v>288</v>
      </c>
      <c r="G6954" s="3" t="s">
        <v>289</v>
      </c>
      <c r="H6954" s="2" t="s">
        <v>21</v>
      </c>
      <c r="I6954" s="2" t="s">
        <v>13505</v>
      </c>
      <c r="J6954" s="3" t="str">
        <f>HYPERLINK("https://www.boe.es/gazeta/dias/1821/01/06/pdfs/GGB-1821-6.pdf#page=4","Abrir facsímil")</f>
        <v>Abrir facsímil</v>
      </c>
      <c r="K6954" s="3" t="s">
        <v>23</v>
      </c>
    </row>
    <row r="6955" spans="1:11" ht="42" customHeight="1">
      <c r="A6955" s="2" t="s">
        <v>13506</v>
      </c>
      <c r="B6955" s="2" t="s">
        <v>13507</v>
      </c>
      <c r="C6955" s="2" t="s">
        <v>26</v>
      </c>
      <c r="D6955" s="2" t="s">
        <v>27</v>
      </c>
      <c r="E6955" s="5">
        <v>-28847</v>
      </c>
      <c r="F6955" s="3" t="s">
        <v>288</v>
      </c>
      <c r="G6955" s="3" t="s">
        <v>289</v>
      </c>
      <c r="H6955" s="2" t="s">
        <v>21</v>
      </c>
      <c r="I6955" s="2" t="s">
        <v>13508</v>
      </c>
      <c r="J6955" s="3" t="str">
        <f>HYPERLINK("https://www.boe.es/gazeta/dias/1821/01/06/pdfs/GGB-1821-6.pdf#page=4","Abrir facsímil")</f>
        <v>Abrir facsímil</v>
      </c>
      <c r="K6955" s="3" t="s">
        <v>23</v>
      </c>
    </row>
    <row r="6956" spans="1:11" ht="42" customHeight="1">
      <c r="A6956" s="2" t="s">
        <v>13509</v>
      </c>
      <c r="B6956" s="2" t="s">
        <v>13509</v>
      </c>
      <c r="C6956" s="2" t="s">
        <v>40</v>
      </c>
      <c r="D6956" s="2" t="s">
        <v>41</v>
      </c>
      <c r="E6956" s="5">
        <v>-28745</v>
      </c>
      <c r="F6956" s="3" t="s">
        <v>1020</v>
      </c>
      <c r="G6956" s="3" t="s">
        <v>20</v>
      </c>
      <c r="H6956" s="2" t="s">
        <v>21</v>
      </c>
      <c r="I6956" s="2" t="s">
        <v>13510</v>
      </c>
      <c r="J6956" s="3" t="str">
        <f>HYPERLINK("https://www.boe.es/gazeta/dias/1821/04/18/pdfs/GMD-1821-110.pdf#page=3","Abrir facsímil")</f>
        <v>Abrir facsímil</v>
      </c>
      <c r="K6956" s="3" t="s">
        <v>23</v>
      </c>
    </row>
    <row r="6957" spans="1:11" ht="42" customHeight="1">
      <c r="A6957" s="2" t="s">
        <v>13509</v>
      </c>
      <c r="B6957" s="2" t="s">
        <v>13509</v>
      </c>
      <c r="C6957" s="2" t="s">
        <v>17</v>
      </c>
      <c r="D6957" s="2" t="s">
        <v>18</v>
      </c>
      <c r="E6957" s="5">
        <v>-28697</v>
      </c>
      <c r="F6957" s="3" t="s">
        <v>166</v>
      </c>
      <c r="G6957" s="3" t="s">
        <v>20</v>
      </c>
      <c r="H6957" s="2" t="s">
        <v>21</v>
      </c>
      <c r="I6957" s="2" t="s">
        <v>13511</v>
      </c>
      <c r="J6957" s="3" t="str">
        <f>HYPERLINK("https://www.boe.es/gazeta/dias/1821/06/05/pdfs/GMD-1821-158.pdf#page=3","Abrir facsímil")</f>
        <v>Abrir facsímil</v>
      </c>
      <c r="K6957" s="3" t="s">
        <v>23</v>
      </c>
    </row>
    <row r="6958" spans="1:11" ht="42" customHeight="1">
      <c r="A6958" s="2" t="s">
        <v>13509</v>
      </c>
      <c r="B6958" s="2" t="s">
        <v>13509</v>
      </c>
      <c r="C6958" s="2" t="s">
        <v>17</v>
      </c>
      <c r="D6958" s="2" t="s">
        <v>18</v>
      </c>
      <c r="E6958" s="5">
        <v>-28691</v>
      </c>
      <c r="F6958" s="3" t="s">
        <v>716</v>
      </c>
      <c r="G6958" s="3" t="s">
        <v>20</v>
      </c>
      <c r="H6958" s="2" t="s">
        <v>21</v>
      </c>
      <c r="I6958" s="2" t="s">
        <v>13512</v>
      </c>
      <c r="J6958" s="3" t="str">
        <f>HYPERLINK("https://www.boe.es/gazeta/dias/1821/06/11/pdfs/GMD-1821-164.pdf#page=3","Abrir facsímil")</f>
        <v>Abrir facsímil</v>
      </c>
      <c r="K6958" s="3" t="s">
        <v>23</v>
      </c>
    </row>
    <row r="6959" spans="1:11" ht="42" customHeight="1">
      <c r="A6959" s="2" t="s">
        <v>13509</v>
      </c>
      <c r="B6959" s="2" t="s">
        <v>13509</v>
      </c>
      <c r="C6959" s="2" t="s">
        <v>114</v>
      </c>
      <c r="D6959" s="2" t="s">
        <v>27</v>
      </c>
      <c r="E6959" s="5">
        <v>-28675</v>
      </c>
      <c r="F6959" s="3" t="s">
        <v>943</v>
      </c>
      <c r="G6959" s="3" t="s">
        <v>29</v>
      </c>
      <c r="H6959" s="2" t="s">
        <v>21</v>
      </c>
      <c r="I6959" s="2" t="s">
        <v>13513</v>
      </c>
      <c r="J6959" s="3" t="str">
        <f>HYPERLINK("https://www.boe.es/gazeta/dias/1821/06/27/pdfs/GMD-1821-180.pdf#page=6","Abrir facsímil")</f>
        <v>Abrir facsímil</v>
      </c>
      <c r="K6959" s="3" t="s">
        <v>23</v>
      </c>
    </row>
    <row r="6960" spans="1:11" ht="42" customHeight="1">
      <c r="A6960" s="2" t="s">
        <v>13514</v>
      </c>
      <c r="B6960" s="2" t="s">
        <v>13515</v>
      </c>
      <c r="C6960" s="2" t="s">
        <v>70</v>
      </c>
      <c r="D6960" s="2" t="s">
        <v>27</v>
      </c>
      <c r="E6960" s="5">
        <v>-28764</v>
      </c>
      <c r="F6960" s="3" t="s">
        <v>924</v>
      </c>
      <c r="G6960" s="3" t="s">
        <v>52</v>
      </c>
      <c r="H6960" s="2" t="s">
        <v>21</v>
      </c>
      <c r="I6960" s="2" t="s">
        <v>13516</v>
      </c>
      <c r="J6960" s="3" t="str">
        <f>HYPERLINK("https://www.boe.es/gazeta/dias/1821/03/30/pdfs/GMD-1821-91.pdf#page=2","Abrir facsímil")</f>
        <v>Abrir facsímil</v>
      </c>
      <c r="K6960" s="3" t="s">
        <v>23</v>
      </c>
    </row>
    <row r="6961" spans="1:11" ht="42" customHeight="1">
      <c r="A6961" s="2" t="s">
        <v>13517</v>
      </c>
      <c r="B6961" s="2" t="s">
        <v>13518</v>
      </c>
      <c r="C6961" s="2" t="s">
        <v>40</v>
      </c>
      <c r="D6961" s="2" t="s">
        <v>41</v>
      </c>
      <c r="E6961" s="5">
        <v>-28629</v>
      </c>
      <c r="F6961" s="3" t="s">
        <v>235</v>
      </c>
      <c r="G6961" s="3" t="s">
        <v>88</v>
      </c>
      <c r="H6961" s="2" t="s">
        <v>21</v>
      </c>
      <c r="I6961" s="2" t="s">
        <v>13519</v>
      </c>
      <c r="J6961" s="3" t="str">
        <f>HYPERLINK("https://www.boe.es/gazeta/dias/1821/08/12/pdfs/GMD-1821-229.pdf#page=4","Abrir facsímil")</f>
        <v>Abrir facsímil</v>
      </c>
      <c r="K6961" s="3" t="s">
        <v>23</v>
      </c>
    </row>
    <row r="6962" spans="1:11" ht="42" customHeight="1">
      <c r="A6962" s="2" t="s">
        <v>13520</v>
      </c>
      <c r="B6962" s="2" t="s">
        <v>13520</v>
      </c>
      <c r="C6962" s="2" t="s">
        <v>40</v>
      </c>
      <c r="D6962" s="2" t="s">
        <v>41</v>
      </c>
      <c r="E6962" s="5">
        <v>-28764</v>
      </c>
      <c r="F6962" s="3" t="s">
        <v>924</v>
      </c>
      <c r="G6962" s="3" t="s">
        <v>43</v>
      </c>
      <c r="H6962" s="2" t="s">
        <v>21</v>
      </c>
      <c r="I6962" s="2" t="s">
        <v>13521</v>
      </c>
      <c r="J6962" s="3" t="str">
        <f>HYPERLINK("https://www.boe.es/gazeta/dias/1821/03/30/pdfs/GMD-1821-91.pdf#page=1","Abrir facsímil")</f>
        <v>Abrir facsímil</v>
      </c>
      <c r="K6962" s="3" t="s">
        <v>23</v>
      </c>
    </row>
    <row r="6963" spans="1:11" ht="42" customHeight="1">
      <c r="A6963" s="2" t="s">
        <v>13522</v>
      </c>
      <c r="B6963" s="2" t="s">
        <v>13523</v>
      </c>
      <c r="C6963" s="2" t="s">
        <v>40</v>
      </c>
      <c r="D6963" s="2" t="s">
        <v>41</v>
      </c>
      <c r="E6963" s="5">
        <v>-28760</v>
      </c>
      <c r="F6963" s="3" t="s">
        <v>170</v>
      </c>
      <c r="G6963" s="3" t="s">
        <v>52</v>
      </c>
      <c r="H6963" s="2" t="s">
        <v>21</v>
      </c>
      <c r="I6963" s="2" t="s">
        <v>13524</v>
      </c>
      <c r="J6963" s="3" t="str">
        <f>HYPERLINK("https://www.boe.es/gazeta/dias/1821/04/03/pdfs/GMD-1821-95.pdf#page=2","Abrir facsímil")</f>
        <v>Abrir facsímil</v>
      </c>
      <c r="K6963" s="3" t="s">
        <v>23</v>
      </c>
    </row>
    <row r="6964" spans="1:11" ht="42" customHeight="1">
      <c r="A6964" s="2" t="s">
        <v>13525</v>
      </c>
      <c r="B6964" s="2" t="s">
        <v>13526</v>
      </c>
      <c r="C6964" s="2" t="s">
        <v>40</v>
      </c>
      <c r="D6964" s="2" t="s">
        <v>41</v>
      </c>
      <c r="E6964" s="5">
        <v>-28667</v>
      </c>
      <c r="F6964" s="3" t="s">
        <v>107</v>
      </c>
      <c r="G6964" s="3" t="s">
        <v>52</v>
      </c>
      <c r="H6964" s="2" t="s">
        <v>21</v>
      </c>
      <c r="I6964" s="2" t="s">
        <v>13527</v>
      </c>
      <c r="J6964" s="3" t="str">
        <f>HYPERLINK("https://www.boe.es/gazeta/dias/1821/07/05/pdfs/GMD-1821-189.pdf#page=2","Abrir facsímil")</f>
        <v>Abrir facsímil</v>
      </c>
      <c r="K6964" s="3" t="s">
        <v>23</v>
      </c>
    </row>
    <row r="6965" spans="1:11" ht="42" customHeight="1">
      <c r="A6965" s="2" t="s">
        <v>13528</v>
      </c>
      <c r="B6965" s="2" t="s">
        <v>13528</v>
      </c>
      <c r="C6965" s="2" t="s">
        <v>35</v>
      </c>
      <c r="D6965" s="2" t="s">
        <v>27</v>
      </c>
      <c r="E6965" s="5">
        <v>-28698</v>
      </c>
      <c r="F6965" s="3" t="s">
        <v>2067</v>
      </c>
      <c r="G6965" s="3" t="s">
        <v>3804</v>
      </c>
      <c r="H6965" s="2" t="s">
        <v>21</v>
      </c>
      <c r="I6965" s="2" t="s">
        <v>13529</v>
      </c>
      <c r="J6965" s="3" t="str">
        <f>HYPERLINK("https://www.boe.es/gazeta/dias/1821/06/04/pdfs/GMD-1821-157.pdf#page=2","Abrir facsímil")</f>
        <v>Abrir facsímil</v>
      </c>
      <c r="K6965" s="3" t="s">
        <v>23</v>
      </c>
    </row>
    <row r="6966" spans="1:11" ht="42" customHeight="1">
      <c r="A6966" s="2" t="s">
        <v>13530</v>
      </c>
      <c r="B6966" s="2" t="s">
        <v>13530</v>
      </c>
      <c r="C6966" s="2" t="s">
        <v>17</v>
      </c>
      <c r="D6966" s="2" t="s">
        <v>18</v>
      </c>
      <c r="E6966" s="5">
        <v>-28562</v>
      </c>
      <c r="F6966" s="3" t="s">
        <v>3093</v>
      </c>
      <c r="G6966" s="3" t="s">
        <v>29</v>
      </c>
      <c r="H6966" s="2" t="s">
        <v>21</v>
      </c>
      <c r="I6966" s="2" t="s">
        <v>13531</v>
      </c>
      <c r="J6966" s="3" t="str">
        <f>HYPERLINK("https://www.boe.es/gazeta/dias/1821/10/18/pdfs/GMD-1821-297.pdf#page=6","Abrir facsímil")</f>
        <v>Abrir facsímil</v>
      </c>
      <c r="K6966" s="3" t="s">
        <v>23</v>
      </c>
    </row>
    <row r="6967" spans="1:11" ht="42" customHeight="1">
      <c r="A6967" s="2" t="s">
        <v>13532</v>
      </c>
      <c r="B6967" s="2" t="s">
        <v>13533</v>
      </c>
      <c r="C6967" s="2" t="s">
        <v>35</v>
      </c>
      <c r="D6967" s="2" t="s">
        <v>27</v>
      </c>
      <c r="E6967" s="5">
        <v>-28686</v>
      </c>
      <c r="F6967" s="3" t="s">
        <v>115</v>
      </c>
      <c r="G6967" s="3" t="s">
        <v>88</v>
      </c>
      <c r="H6967" s="2" t="s">
        <v>21</v>
      </c>
      <c r="I6967" s="2" t="s">
        <v>13534</v>
      </c>
      <c r="J6967" s="3" t="str">
        <f>HYPERLINK("https://www.boe.es/gazeta/dias/1821/06/16/pdfs/GMD-1821-169.pdf#page=4","Abrir facsímil")</f>
        <v>Abrir facsímil</v>
      </c>
      <c r="K6967" s="3" t="s">
        <v>23</v>
      </c>
    </row>
    <row r="6968" spans="1:11" ht="42" customHeight="1">
      <c r="A6968" s="2" t="s">
        <v>13535</v>
      </c>
      <c r="B6968" s="2" t="s">
        <v>13535</v>
      </c>
      <c r="C6968" s="2" t="s">
        <v>35</v>
      </c>
      <c r="D6968" s="2" t="s">
        <v>27</v>
      </c>
      <c r="E6968" s="5">
        <v>-28780</v>
      </c>
      <c r="F6968" s="3" t="s">
        <v>143</v>
      </c>
      <c r="G6968" s="3" t="s">
        <v>43</v>
      </c>
      <c r="H6968" s="2" t="s">
        <v>21</v>
      </c>
      <c r="I6968" s="2" t="s">
        <v>13536</v>
      </c>
      <c r="J6968" s="3" t="str">
        <f>HYPERLINK("https://www.boe.es/gazeta/dias/1821/03/14/pdfs/GMD-1821-73.pdf#page=1","Abrir facsímil")</f>
        <v>Abrir facsímil</v>
      </c>
      <c r="K6968" s="3" t="s">
        <v>23</v>
      </c>
    </row>
    <row r="6969" spans="1:11" ht="42" customHeight="1">
      <c r="A6969" s="2" t="s">
        <v>13535</v>
      </c>
      <c r="B6969" s="2" t="s">
        <v>13535</v>
      </c>
      <c r="C6969" s="2" t="s">
        <v>174</v>
      </c>
      <c r="D6969" s="2" t="s">
        <v>27</v>
      </c>
      <c r="E6969" s="5">
        <v>-28717</v>
      </c>
      <c r="F6969" s="3" t="s">
        <v>1044</v>
      </c>
      <c r="G6969" s="3" t="s">
        <v>43</v>
      </c>
      <c r="H6969" s="2" t="s">
        <v>21</v>
      </c>
      <c r="I6969" s="2" t="s">
        <v>13537</v>
      </c>
      <c r="J6969" s="3" t="str">
        <f>HYPERLINK("https://www.boe.es/gazeta/dias/1821/05/16/pdfs/GMD-1821-138.pdf#page=1","Abrir facsímil")</f>
        <v>Abrir facsímil</v>
      </c>
      <c r="K6969" s="3" t="s">
        <v>23</v>
      </c>
    </row>
    <row r="6970" spans="1:11" ht="42" customHeight="1">
      <c r="A6970" s="2" t="s">
        <v>13535</v>
      </c>
      <c r="B6970" s="2" t="s">
        <v>13535</v>
      </c>
      <c r="C6970" s="2" t="s">
        <v>26</v>
      </c>
      <c r="D6970" s="2" t="s">
        <v>27</v>
      </c>
      <c r="E6970" s="5">
        <v>-28612</v>
      </c>
      <c r="F6970" s="3" t="s">
        <v>1902</v>
      </c>
      <c r="G6970" s="3" t="s">
        <v>43</v>
      </c>
      <c r="H6970" s="2" t="s">
        <v>21</v>
      </c>
      <c r="I6970" s="2" t="s">
        <v>13538</v>
      </c>
      <c r="J6970" s="3" t="str">
        <f>HYPERLINK("https://www.boe.es/gazeta/dias/1821/08/29/pdfs/GMD-1821-246.pdf#page=1","Abrir facsímil")</f>
        <v>Abrir facsímil</v>
      </c>
      <c r="K6970" s="3" t="s">
        <v>23</v>
      </c>
    </row>
    <row r="6971" spans="1:11" ht="42" customHeight="1">
      <c r="A6971" s="2" t="s">
        <v>13535</v>
      </c>
      <c r="B6971" s="2" t="s">
        <v>13535</v>
      </c>
      <c r="C6971" s="2" t="s">
        <v>26</v>
      </c>
      <c r="D6971" s="2" t="s">
        <v>27</v>
      </c>
      <c r="E6971" s="5">
        <v>-28577</v>
      </c>
      <c r="F6971" s="3" t="s">
        <v>858</v>
      </c>
      <c r="G6971" s="3" t="s">
        <v>43</v>
      </c>
      <c r="H6971" s="2" t="s">
        <v>21</v>
      </c>
      <c r="I6971" s="2" t="s">
        <v>13539</v>
      </c>
      <c r="J6971" s="3" t="str">
        <f>HYPERLINK("https://www.boe.es/gazeta/dias/1821/10/03/pdfs/GMD-1821-282.pdf#page=1","Abrir facsímil")</f>
        <v>Abrir facsímil</v>
      </c>
      <c r="K6971" s="3" t="s">
        <v>23</v>
      </c>
    </row>
    <row r="6972" spans="1:11" ht="42" customHeight="1">
      <c r="A6972" s="2" t="s">
        <v>13535</v>
      </c>
      <c r="B6972" s="2" t="s">
        <v>13535</v>
      </c>
      <c r="C6972" s="2" t="s">
        <v>35</v>
      </c>
      <c r="D6972" s="2" t="s">
        <v>27</v>
      </c>
      <c r="E6972" s="5">
        <v>-28563</v>
      </c>
      <c r="F6972" s="3" t="s">
        <v>118</v>
      </c>
      <c r="G6972" s="3" t="s">
        <v>43</v>
      </c>
      <c r="H6972" s="2" t="s">
        <v>21</v>
      </c>
      <c r="I6972" s="2" t="s">
        <v>13540</v>
      </c>
      <c r="J6972" s="3" t="str">
        <f>HYPERLINK("https://www.boe.es/gazeta/dias/1821/10/17/pdfs/GMD-1821-296.pdf#page=1","Abrir facsímil")</f>
        <v>Abrir facsímil</v>
      </c>
      <c r="K6972" s="3" t="s">
        <v>23</v>
      </c>
    </row>
    <row r="6973" spans="1:11" ht="42" customHeight="1">
      <c r="A6973" s="2" t="s">
        <v>13535</v>
      </c>
      <c r="B6973" s="2" t="s">
        <v>13535</v>
      </c>
      <c r="C6973" s="2" t="s">
        <v>26</v>
      </c>
      <c r="D6973" s="2" t="s">
        <v>27</v>
      </c>
      <c r="E6973" s="5">
        <v>-28535</v>
      </c>
      <c r="F6973" s="3" t="s">
        <v>96</v>
      </c>
      <c r="G6973" s="3" t="s">
        <v>43</v>
      </c>
      <c r="H6973" s="2" t="s">
        <v>21</v>
      </c>
      <c r="I6973" s="2" t="s">
        <v>13541</v>
      </c>
      <c r="J6973" s="3" t="str">
        <f>HYPERLINK("https://www.boe.es/gazeta/dias/1821/11/14/pdfs/GMD-1821-325.pdf#page=1","Abrir facsímil")</f>
        <v>Abrir facsímil</v>
      </c>
      <c r="K6973" s="3" t="s">
        <v>23</v>
      </c>
    </row>
    <row r="6974" spans="1:11" ht="42" customHeight="1">
      <c r="A6974" s="2" t="s">
        <v>13535</v>
      </c>
      <c r="B6974" s="2" t="s">
        <v>13535</v>
      </c>
      <c r="C6974" s="2" t="s">
        <v>17</v>
      </c>
      <c r="D6974" s="2" t="s">
        <v>18</v>
      </c>
      <c r="E6974" s="5">
        <v>-28528</v>
      </c>
      <c r="F6974" s="3" t="s">
        <v>1872</v>
      </c>
      <c r="G6974" s="3" t="s">
        <v>43</v>
      </c>
      <c r="H6974" s="2" t="s">
        <v>21</v>
      </c>
      <c r="I6974" s="2" t="s">
        <v>13542</v>
      </c>
      <c r="J6974" s="3" t="str">
        <f>HYPERLINK("https://www.boe.es/gazeta/dias/1821/11/21/pdfs/GMD-1821-332.pdf#page=1","Abrir facsímil")</f>
        <v>Abrir facsímil</v>
      </c>
      <c r="K6974" s="3" t="s">
        <v>23</v>
      </c>
    </row>
    <row r="6975" spans="1:11" ht="42" customHeight="1">
      <c r="A6975" s="2" t="s">
        <v>13535</v>
      </c>
      <c r="B6975" s="2" t="s">
        <v>13535</v>
      </c>
      <c r="C6975" s="2" t="s">
        <v>26</v>
      </c>
      <c r="D6975" s="2" t="s">
        <v>27</v>
      </c>
      <c r="E6975" s="5">
        <v>-28507</v>
      </c>
      <c r="F6975" s="3" t="s">
        <v>1158</v>
      </c>
      <c r="G6975" s="3" t="s">
        <v>43</v>
      </c>
      <c r="H6975" s="2" t="s">
        <v>21</v>
      </c>
      <c r="I6975" s="2" t="s">
        <v>13543</v>
      </c>
      <c r="J6975" s="3" t="str">
        <f>HYPERLINK("https://www.boe.es/gazeta/dias/1821/12/12/pdfs/GMD-1821-354.pdf#page=1","Abrir facsímil")</f>
        <v>Abrir facsímil</v>
      </c>
      <c r="K6975" s="3" t="s">
        <v>23</v>
      </c>
    </row>
    <row r="6976" spans="1:11" ht="42" customHeight="1">
      <c r="A6976" s="2" t="s">
        <v>13544</v>
      </c>
      <c r="B6976" s="2" t="s">
        <v>13545</v>
      </c>
      <c r="C6976" s="2" t="s">
        <v>40</v>
      </c>
      <c r="D6976" s="2" t="s">
        <v>41</v>
      </c>
      <c r="E6976" s="5">
        <v>-28653</v>
      </c>
      <c r="F6976" s="3" t="s">
        <v>1179</v>
      </c>
      <c r="G6976" s="3" t="s">
        <v>20</v>
      </c>
      <c r="H6976" s="2" t="s">
        <v>21</v>
      </c>
      <c r="I6976" s="2" t="s">
        <v>13546</v>
      </c>
      <c r="J6976" s="3" t="str">
        <f>HYPERLINK("https://www.boe.es/gazeta/dias/1821/07/19/pdfs/GMD-1821-204.pdf#page=3","Abrir facsímil")</f>
        <v>Abrir facsímil</v>
      </c>
      <c r="K6976" s="3" t="s">
        <v>23</v>
      </c>
    </row>
    <row r="6977" spans="1:11" ht="42" customHeight="1">
      <c r="A6977" s="2" t="s">
        <v>13547</v>
      </c>
      <c r="B6977" s="2" t="s">
        <v>13548</v>
      </c>
      <c r="C6977" s="2" t="s">
        <v>40</v>
      </c>
      <c r="D6977" s="2" t="s">
        <v>41</v>
      </c>
      <c r="E6977" s="5">
        <v>-28731</v>
      </c>
      <c r="F6977" s="3" t="s">
        <v>577</v>
      </c>
      <c r="G6977" s="3" t="s">
        <v>88</v>
      </c>
      <c r="H6977" s="2" t="s">
        <v>21</v>
      </c>
      <c r="I6977" s="2" t="s">
        <v>13549</v>
      </c>
      <c r="J6977" s="3" t="str">
        <f>HYPERLINK("https://www.boe.es/gazeta/dias/1821/05/02/pdfs/GMD-1821-124.pdf#page=4","Abrir facsímil")</f>
        <v>Abrir facsímil</v>
      </c>
      <c r="K6977" s="3" t="s">
        <v>23</v>
      </c>
    </row>
    <row r="6978" spans="1:11" ht="42" customHeight="1">
      <c r="A6978" s="2" t="s">
        <v>13550</v>
      </c>
      <c r="B6978" s="2" t="s">
        <v>13550</v>
      </c>
      <c r="C6978" s="2" t="s">
        <v>17</v>
      </c>
      <c r="D6978" s="2" t="s">
        <v>18</v>
      </c>
      <c r="E6978" s="5">
        <v>-28813</v>
      </c>
      <c r="F6978" s="3" t="s">
        <v>268</v>
      </c>
      <c r="G6978" s="3" t="s">
        <v>20</v>
      </c>
      <c r="H6978" s="2" t="s">
        <v>21</v>
      </c>
      <c r="I6978" s="2" t="s">
        <v>13551</v>
      </c>
      <c r="J6978" s="3" t="str">
        <f>HYPERLINK("https://www.boe.es/gazeta/dias/1821/02/09/pdfs/GGB-1821-40.pdf#page=3","Abrir facsímil")</f>
        <v>Abrir facsímil</v>
      </c>
      <c r="K6978" s="3" t="s">
        <v>23</v>
      </c>
    </row>
    <row r="6979" spans="1:11" ht="42" customHeight="1">
      <c r="A6979" s="2" t="s">
        <v>13552</v>
      </c>
      <c r="B6979" s="2" t="s">
        <v>13552</v>
      </c>
      <c r="C6979" s="2" t="s">
        <v>40</v>
      </c>
      <c r="D6979" s="2" t="s">
        <v>41</v>
      </c>
      <c r="E6979" s="5">
        <v>-28543</v>
      </c>
      <c r="F6979" s="3" t="s">
        <v>136</v>
      </c>
      <c r="G6979" s="3" t="s">
        <v>88</v>
      </c>
      <c r="H6979" s="2" t="s">
        <v>21</v>
      </c>
      <c r="I6979" s="2" t="s">
        <v>13553</v>
      </c>
      <c r="J6979" s="3" t="str">
        <f>HYPERLINK("https://www.boe.es/gazeta/dias/1821/11/06/pdfs/GMD-1821-317.pdf#page=4","Abrir facsímil")</f>
        <v>Abrir facsímil</v>
      </c>
      <c r="K6979" s="3" t="s">
        <v>23</v>
      </c>
    </row>
    <row r="6980" spans="1:11" ht="42" customHeight="1">
      <c r="A6980" s="2" t="s">
        <v>13554</v>
      </c>
      <c r="B6980" s="2" t="s">
        <v>13554</v>
      </c>
      <c r="C6980" s="2" t="s">
        <v>17</v>
      </c>
      <c r="D6980" s="2" t="s">
        <v>18</v>
      </c>
      <c r="E6980" s="5">
        <v>-28848</v>
      </c>
      <c r="F6980" s="3" t="s">
        <v>5247</v>
      </c>
      <c r="G6980" s="3" t="s">
        <v>88</v>
      </c>
      <c r="H6980" s="2" t="s">
        <v>21</v>
      </c>
      <c r="I6980" s="2" t="s">
        <v>13555</v>
      </c>
      <c r="J6980" s="3" t="str">
        <f>HYPERLINK("https://www.boe.es/gazeta/dias/1821/01/05/pdfs/GGB-1821-5.pdf#page=4","Abrir facsímil")</f>
        <v>Abrir facsímil</v>
      </c>
      <c r="K6980" s="3" t="s">
        <v>23</v>
      </c>
    </row>
    <row r="6981" spans="1:11" ht="42" customHeight="1">
      <c r="A6981" s="2" t="s">
        <v>13554</v>
      </c>
      <c r="B6981" s="2" t="s">
        <v>13554</v>
      </c>
      <c r="C6981" s="2" t="s">
        <v>26</v>
      </c>
      <c r="D6981" s="2" t="s">
        <v>27</v>
      </c>
      <c r="E6981" s="5">
        <v>-28844</v>
      </c>
      <c r="F6981" s="3" t="s">
        <v>1743</v>
      </c>
      <c r="G6981" s="3" t="s">
        <v>20</v>
      </c>
      <c r="H6981" s="2" t="s">
        <v>21</v>
      </c>
      <c r="I6981" s="2" t="s">
        <v>13556</v>
      </c>
      <c r="J6981" s="3" t="str">
        <f>HYPERLINK("https://www.boe.es/gazeta/dias/1821/01/09/pdfs/GGB-1821-9.pdf#page=3","Abrir facsímil")</f>
        <v>Abrir facsímil</v>
      </c>
      <c r="K6981" s="3" t="s">
        <v>23</v>
      </c>
    </row>
    <row r="6982" spans="1:11" ht="42" customHeight="1">
      <c r="A6982" s="2" t="s">
        <v>13554</v>
      </c>
      <c r="B6982" s="2" t="s">
        <v>13554</v>
      </c>
      <c r="C6982" s="2" t="s">
        <v>40</v>
      </c>
      <c r="D6982" s="2" t="s">
        <v>41</v>
      </c>
      <c r="E6982" s="5">
        <v>-28834</v>
      </c>
      <c r="F6982" s="3" t="s">
        <v>369</v>
      </c>
      <c r="G6982" s="3" t="s">
        <v>20</v>
      </c>
      <c r="H6982" s="2" t="s">
        <v>21</v>
      </c>
      <c r="I6982" s="2" t="s">
        <v>13557</v>
      </c>
      <c r="J6982" s="3" t="str">
        <f>HYPERLINK("https://www.boe.es/gazeta/dias/1821/01/19/pdfs/GGB-1821-19.pdf#page=3","Abrir facsímil")</f>
        <v>Abrir facsímil</v>
      </c>
      <c r="K6982" s="3" t="s">
        <v>23</v>
      </c>
    </row>
    <row r="6983" spans="1:11" ht="42" customHeight="1">
      <c r="A6983" s="2" t="s">
        <v>13554</v>
      </c>
      <c r="B6983" s="2" t="s">
        <v>13554</v>
      </c>
      <c r="C6983" s="2" t="s">
        <v>40</v>
      </c>
      <c r="D6983" s="2" t="s">
        <v>41</v>
      </c>
      <c r="E6983" s="5">
        <v>-28783</v>
      </c>
      <c r="F6983" s="3" t="s">
        <v>198</v>
      </c>
      <c r="G6983" s="3" t="s">
        <v>52</v>
      </c>
      <c r="H6983" s="2" t="s">
        <v>21</v>
      </c>
      <c r="I6983" s="2" t="s">
        <v>13558</v>
      </c>
      <c r="J6983" s="3" t="str">
        <f>HYPERLINK("https://www.boe.es/gazeta/dias/1821/03/11/pdfs/GGB-1821-70.pdf#page=2","Abrir facsímil")</f>
        <v>Abrir facsímil</v>
      </c>
      <c r="K6983" s="3" t="s">
        <v>23</v>
      </c>
    </row>
    <row r="6984" spans="1:11" ht="42" customHeight="1">
      <c r="A6984" s="2" t="s">
        <v>13554</v>
      </c>
      <c r="B6984" s="2" t="s">
        <v>13554</v>
      </c>
      <c r="C6984" s="2" t="s">
        <v>174</v>
      </c>
      <c r="D6984" s="2" t="s">
        <v>27</v>
      </c>
      <c r="E6984" s="5">
        <v>-28774</v>
      </c>
      <c r="F6984" s="3" t="s">
        <v>1221</v>
      </c>
      <c r="G6984" s="3" t="s">
        <v>29</v>
      </c>
      <c r="H6984" s="2" t="s">
        <v>21</v>
      </c>
      <c r="I6984" s="2" t="s">
        <v>13559</v>
      </c>
      <c r="J6984" s="3" t="str">
        <f>HYPERLINK("https://www.boe.es/gazeta/dias/1821/03/20/pdfs/GMD-1821-79.pdf#page=6","Abrir facsímil")</f>
        <v>Abrir facsímil</v>
      </c>
      <c r="K6984" s="3" t="s">
        <v>23</v>
      </c>
    </row>
    <row r="6985" spans="1:11" ht="42" customHeight="1">
      <c r="A6985" s="2" t="s">
        <v>13554</v>
      </c>
      <c r="B6985" s="2" t="s">
        <v>13554</v>
      </c>
      <c r="C6985" s="2" t="s">
        <v>40</v>
      </c>
      <c r="D6985" s="2" t="s">
        <v>41</v>
      </c>
      <c r="E6985" s="5">
        <v>-28749</v>
      </c>
      <c r="F6985" s="3" t="s">
        <v>832</v>
      </c>
      <c r="G6985" s="3" t="s">
        <v>52</v>
      </c>
      <c r="H6985" s="2" t="s">
        <v>21</v>
      </c>
      <c r="I6985" s="2" t="s">
        <v>13560</v>
      </c>
      <c r="J6985" s="3" t="str">
        <f>HYPERLINK("https://www.boe.es/gazeta/dias/1821/04/14/pdfs/GMD-1821-106.pdf#page=2","Abrir facsímil")</f>
        <v>Abrir facsímil</v>
      </c>
      <c r="K6985" s="3" t="s">
        <v>23</v>
      </c>
    </row>
    <row r="6986" spans="1:11" ht="42" customHeight="1">
      <c r="A6986" s="2" t="s">
        <v>13554</v>
      </c>
      <c r="B6986" s="2" t="s">
        <v>13554</v>
      </c>
      <c r="C6986" s="2" t="s">
        <v>40</v>
      </c>
      <c r="D6986" s="2" t="s">
        <v>41</v>
      </c>
      <c r="E6986" s="5">
        <v>-28747</v>
      </c>
      <c r="F6986" s="3" t="s">
        <v>1016</v>
      </c>
      <c r="G6986" s="3" t="s">
        <v>88</v>
      </c>
      <c r="H6986" s="2" t="s">
        <v>21</v>
      </c>
      <c r="I6986" s="2" t="s">
        <v>13561</v>
      </c>
      <c r="J6986" s="3" t="str">
        <f>HYPERLINK("https://www.boe.es/gazeta/dias/1821/04/16/pdfs/GMD-1821-108.pdf#page=4","Abrir facsímil")</f>
        <v>Abrir facsímil</v>
      </c>
      <c r="K6986" s="3" t="s">
        <v>23</v>
      </c>
    </row>
    <row r="6987" spans="1:11" ht="42" customHeight="1">
      <c r="A6987" s="2" t="s">
        <v>13554</v>
      </c>
      <c r="B6987" s="2" t="s">
        <v>13554</v>
      </c>
      <c r="C6987" s="2" t="s">
        <v>40</v>
      </c>
      <c r="D6987" s="2" t="s">
        <v>41</v>
      </c>
      <c r="E6987" s="5">
        <v>-28735</v>
      </c>
      <c r="F6987" s="3" t="s">
        <v>836</v>
      </c>
      <c r="G6987" s="3" t="s">
        <v>52</v>
      </c>
      <c r="H6987" s="2" t="s">
        <v>21</v>
      </c>
      <c r="I6987" s="2" t="s">
        <v>13562</v>
      </c>
      <c r="J6987" s="3" t="str">
        <f>HYPERLINK("https://www.boe.es/gazeta/dias/1821/04/28/pdfs/GMD-1821-120.pdf#page=2","Abrir facsímil")</f>
        <v>Abrir facsímil</v>
      </c>
      <c r="K6987" s="3" t="s">
        <v>23</v>
      </c>
    </row>
    <row r="6988" spans="1:11" ht="42" customHeight="1">
      <c r="A6988" s="2" t="s">
        <v>13554</v>
      </c>
      <c r="B6988" s="2" t="s">
        <v>13554</v>
      </c>
      <c r="C6988" s="2" t="s">
        <v>35</v>
      </c>
      <c r="D6988" s="2" t="s">
        <v>27</v>
      </c>
      <c r="E6988" s="5">
        <v>-28731</v>
      </c>
      <c r="F6988" s="3" t="s">
        <v>577</v>
      </c>
      <c r="G6988" s="3" t="s">
        <v>20</v>
      </c>
      <c r="H6988" s="2" t="s">
        <v>21</v>
      </c>
      <c r="I6988" s="2" t="s">
        <v>13563</v>
      </c>
      <c r="J6988" s="3" t="str">
        <f>HYPERLINK("https://www.boe.es/gazeta/dias/1821/05/02/pdfs/GMD-1821-124.pdf#page=3","Abrir facsímil")</f>
        <v>Abrir facsímil</v>
      </c>
      <c r="K6988" s="3" t="s">
        <v>23</v>
      </c>
    </row>
    <row r="6989" spans="1:11" ht="42" customHeight="1">
      <c r="A6989" s="2" t="s">
        <v>13554</v>
      </c>
      <c r="B6989" s="2" t="s">
        <v>13554</v>
      </c>
      <c r="C6989" s="2" t="s">
        <v>35</v>
      </c>
      <c r="D6989" s="2" t="s">
        <v>27</v>
      </c>
      <c r="E6989" s="5">
        <v>-28725</v>
      </c>
      <c r="F6989" s="3" t="s">
        <v>440</v>
      </c>
      <c r="G6989" s="3" t="s">
        <v>88</v>
      </c>
      <c r="H6989" s="2" t="s">
        <v>21</v>
      </c>
      <c r="I6989" s="2" t="s">
        <v>13564</v>
      </c>
      <c r="J6989" s="3" t="str">
        <f>HYPERLINK("https://www.boe.es/gazeta/dias/1821/05/08/pdfs/GMD-1821-130.pdf#page=4","Abrir facsímil")</f>
        <v>Abrir facsímil</v>
      </c>
      <c r="K6989" s="3" t="s">
        <v>23</v>
      </c>
    </row>
    <row r="6990" spans="1:11" ht="42" customHeight="1">
      <c r="A6990" s="2" t="s">
        <v>13554</v>
      </c>
      <c r="B6990" s="2" t="s">
        <v>13554</v>
      </c>
      <c r="C6990" s="2" t="s">
        <v>40</v>
      </c>
      <c r="D6990" s="2" t="s">
        <v>41</v>
      </c>
      <c r="E6990" s="5">
        <v>-28686</v>
      </c>
      <c r="F6990" s="3" t="s">
        <v>115</v>
      </c>
      <c r="G6990" s="3" t="s">
        <v>52</v>
      </c>
      <c r="H6990" s="2" t="s">
        <v>21</v>
      </c>
      <c r="I6990" s="2" t="s">
        <v>13565</v>
      </c>
      <c r="J6990" s="3" t="str">
        <f>HYPERLINK("https://www.boe.es/gazeta/dias/1821/06/16/pdfs/GMD-1821-169.pdf#page=2","Abrir facsímil")</f>
        <v>Abrir facsímil</v>
      </c>
      <c r="K6990" s="3" t="s">
        <v>23</v>
      </c>
    </row>
    <row r="6991" spans="1:11" ht="42" customHeight="1">
      <c r="A6991" s="2" t="s">
        <v>13554</v>
      </c>
      <c r="B6991" s="2" t="s">
        <v>13554</v>
      </c>
      <c r="C6991" s="2" t="s">
        <v>17</v>
      </c>
      <c r="D6991" s="2" t="s">
        <v>18</v>
      </c>
      <c r="E6991" s="5">
        <v>-28656</v>
      </c>
      <c r="F6991" s="3" t="s">
        <v>2399</v>
      </c>
      <c r="G6991" s="3" t="s">
        <v>3208</v>
      </c>
      <c r="H6991" s="2" t="s">
        <v>21</v>
      </c>
      <c r="I6991" s="2" t="s">
        <v>13566</v>
      </c>
      <c r="J6991" s="3" t="str">
        <f>HYPERLINK("https://www.boe.es/gazeta/dias/1821/07/16/pdfs/GMD-1821-201.pdf#page=3","Abrir facsímil")</f>
        <v>Abrir facsímil</v>
      </c>
      <c r="K6991" s="3" t="s">
        <v>23</v>
      </c>
    </row>
    <row r="6992" spans="1:11" ht="42" customHeight="1">
      <c r="A6992" s="2" t="s">
        <v>13554</v>
      </c>
      <c r="B6992" s="2" t="s">
        <v>13554</v>
      </c>
      <c r="C6992" s="2" t="s">
        <v>114</v>
      </c>
      <c r="D6992" s="2" t="s">
        <v>27</v>
      </c>
      <c r="E6992" s="5">
        <v>-28646</v>
      </c>
      <c r="F6992" s="3" t="s">
        <v>1457</v>
      </c>
      <c r="G6992" s="3" t="s">
        <v>20</v>
      </c>
      <c r="H6992" s="2" t="s">
        <v>21</v>
      </c>
      <c r="I6992" s="2" t="s">
        <v>13567</v>
      </c>
      <c r="J6992" s="3" t="str">
        <f>HYPERLINK("https://www.boe.es/gazeta/dias/1821/07/26/pdfs/GMD-1821-211.pdf#page=3","Abrir facsímil")</f>
        <v>Abrir facsímil</v>
      </c>
      <c r="K6992" s="3" t="s">
        <v>23</v>
      </c>
    </row>
    <row r="6993" spans="1:11" ht="42" customHeight="1">
      <c r="A6993" s="2" t="s">
        <v>13554</v>
      </c>
      <c r="B6993" s="2" t="s">
        <v>13554</v>
      </c>
      <c r="C6993" s="2" t="s">
        <v>40</v>
      </c>
      <c r="D6993" s="2" t="s">
        <v>41</v>
      </c>
      <c r="E6993" s="5">
        <v>-28618</v>
      </c>
      <c r="F6993" s="3" t="s">
        <v>4041</v>
      </c>
      <c r="G6993" s="3" t="s">
        <v>52</v>
      </c>
      <c r="H6993" s="2" t="s">
        <v>21</v>
      </c>
      <c r="I6993" s="2" t="s">
        <v>13568</v>
      </c>
      <c r="J6993" s="3" t="str">
        <f>HYPERLINK("https://www.boe.es/gazeta/dias/1821/08/23/pdfs/GMD-1821-240.pdf#page=2","Abrir facsímil")</f>
        <v>Abrir facsímil</v>
      </c>
      <c r="K6993" s="3" t="s">
        <v>23</v>
      </c>
    </row>
    <row r="6994" spans="1:11" ht="42" customHeight="1">
      <c r="A6994" s="2" t="s">
        <v>13554</v>
      </c>
      <c r="B6994" s="2" t="s">
        <v>13554</v>
      </c>
      <c r="C6994" s="2" t="s">
        <v>35</v>
      </c>
      <c r="D6994" s="2" t="s">
        <v>27</v>
      </c>
      <c r="E6994" s="5">
        <v>-28614</v>
      </c>
      <c r="F6994" s="3" t="s">
        <v>4451</v>
      </c>
      <c r="G6994" s="3" t="s">
        <v>20</v>
      </c>
      <c r="H6994" s="2" t="s">
        <v>21</v>
      </c>
      <c r="I6994" s="2" t="s">
        <v>13569</v>
      </c>
      <c r="J6994" s="3" t="str">
        <f>HYPERLINK("https://www.boe.es/gazeta/dias/1821/08/27/pdfs/GMD-1821-244.pdf#page=3","Abrir facsímil")</f>
        <v>Abrir facsímil</v>
      </c>
      <c r="K6994" s="3" t="s">
        <v>23</v>
      </c>
    </row>
    <row r="6995" spans="1:11" ht="42" customHeight="1">
      <c r="A6995" s="2" t="s">
        <v>13554</v>
      </c>
      <c r="B6995" s="2" t="s">
        <v>13554</v>
      </c>
      <c r="C6995" s="2" t="s">
        <v>40</v>
      </c>
      <c r="D6995" s="2" t="s">
        <v>41</v>
      </c>
      <c r="E6995" s="5">
        <v>-28592</v>
      </c>
      <c r="F6995" s="3" t="s">
        <v>518</v>
      </c>
      <c r="G6995" s="3" t="s">
        <v>88</v>
      </c>
      <c r="H6995" s="2" t="s">
        <v>21</v>
      </c>
      <c r="I6995" s="2" t="s">
        <v>13570</v>
      </c>
      <c r="J6995" s="3" t="str">
        <f>HYPERLINK("https://www.boe.es/gazeta/dias/1821/09/18/pdfs/GMD-1821-266.pdf#page=4","Abrir facsímil")</f>
        <v>Abrir facsímil</v>
      </c>
      <c r="K6995" s="3" t="s">
        <v>23</v>
      </c>
    </row>
    <row r="6996" spans="1:11" ht="42" customHeight="1">
      <c r="A6996" s="2" t="s">
        <v>13554</v>
      </c>
      <c r="B6996" s="2" t="s">
        <v>13554</v>
      </c>
      <c r="C6996" s="2" t="s">
        <v>17</v>
      </c>
      <c r="D6996" s="2" t="s">
        <v>18</v>
      </c>
      <c r="E6996" s="5">
        <v>-28574</v>
      </c>
      <c r="F6996" s="3" t="s">
        <v>779</v>
      </c>
      <c r="G6996" s="3" t="s">
        <v>88</v>
      </c>
      <c r="H6996" s="2" t="s">
        <v>21</v>
      </c>
      <c r="I6996" s="2" t="s">
        <v>13571</v>
      </c>
      <c r="J6996" s="3" t="str">
        <f>HYPERLINK("https://www.boe.es/gazeta/dias/1821/10/06/pdfs/GMD-1821-285.pdf#page=4","Abrir facsímil")</f>
        <v>Abrir facsímil</v>
      </c>
      <c r="K6996" s="3" t="s">
        <v>23</v>
      </c>
    </row>
    <row r="6997" spans="1:11" ht="42" customHeight="1">
      <c r="A6997" s="2" t="s">
        <v>13554</v>
      </c>
      <c r="B6997" s="2" t="s">
        <v>13554</v>
      </c>
      <c r="C6997" s="2" t="s">
        <v>40</v>
      </c>
      <c r="D6997" s="2" t="s">
        <v>41</v>
      </c>
      <c r="E6997" s="5">
        <v>-28565</v>
      </c>
      <c r="F6997" s="3" t="s">
        <v>326</v>
      </c>
      <c r="G6997" s="3" t="s">
        <v>162</v>
      </c>
      <c r="H6997" s="2" t="s">
        <v>21</v>
      </c>
      <c r="I6997" s="2" t="s">
        <v>13572</v>
      </c>
      <c r="J6997" s="3" t="str">
        <f>HYPERLINK("https://www.boe.es/gazeta/dias/1821/10/15/pdfs/GMD-1821-294.pdf#page=5","Abrir facsímil")</f>
        <v>Abrir facsímil</v>
      </c>
      <c r="K6997" s="3" t="s">
        <v>23</v>
      </c>
    </row>
    <row r="6998" spans="1:11" ht="42" customHeight="1">
      <c r="A6998" s="2" t="s">
        <v>13554</v>
      </c>
      <c r="B6998" s="2" t="s">
        <v>13554</v>
      </c>
      <c r="C6998" s="2" t="s">
        <v>40</v>
      </c>
      <c r="D6998" s="2" t="s">
        <v>405</v>
      </c>
      <c r="E6998" s="5">
        <v>-28546</v>
      </c>
      <c r="F6998" s="3" t="s">
        <v>6425</v>
      </c>
      <c r="G6998" s="3" t="s">
        <v>52</v>
      </c>
      <c r="H6998" s="2" t="s">
        <v>21</v>
      </c>
      <c r="I6998" s="2" t="s">
        <v>13573</v>
      </c>
      <c r="J6998" s="3" t="str">
        <f>HYPERLINK("https://www.boe.es/gazeta/dias/1821/11/03/pdfs/GMD-1821-314E.pdf#page=2","Abrir facsímil")</f>
        <v>Abrir facsímil</v>
      </c>
      <c r="K6998" s="3" t="s">
        <v>23</v>
      </c>
    </row>
    <row r="6999" spans="1:11" ht="42" customHeight="1">
      <c r="A6999" s="2" t="s">
        <v>13554</v>
      </c>
      <c r="B6999" s="2" t="s">
        <v>13554</v>
      </c>
      <c r="C6999" s="2" t="s">
        <v>17</v>
      </c>
      <c r="D6999" s="2" t="s">
        <v>18</v>
      </c>
      <c r="E6999" s="5">
        <v>-28543</v>
      </c>
      <c r="F6999" s="3" t="s">
        <v>136</v>
      </c>
      <c r="G6999" s="3" t="s">
        <v>88</v>
      </c>
      <c r="H6999" s="2" t="s">
        <v>21</v>
      </c>
      <c r="I6999" s="2" t="s">
        <v>13574</v>
      </c>
      <c r="J6999" s="3" t="str">
        <f>HYPERLINK("https://www.boe.es/gazeta/dias/1821/11/06/pdfs/GMD-1821-317.pdf#page=4","Abrir facsímil")</f>
        <v>Abrir facsímil</v>
      </c>
      <c r="K6999" s="3" t="s">
        <v>23</v>
      </c>
    </row>
    <row r="7000" spans="1:11" ht="42" customHeight="1">
      <c r="A7000" s="2" t="s">
        <v>13554</v>
      </c>
      <c r="B7000" s="2" t="s">
        <v>13554</v>
      </c>
      <c r="C7000" s="2" t="s">
        <v>40</v>
      </c>
      <c r="D7000" s="2" t="s">
        <v>41</v>
      </c>
      <c r="E7000" s="5">
        <v>-28538</v>
      </c>
      <c r="F7000" s="3" t="s">
        <v>395</v>
      </c>
      <c r="G7000" s="3" t="s">
        <v>162</v>
      </c>
      <c r="H7000" s="2" t="s">
        <v>21</v>
      </c>
      <c r="I7000" s="2" t="s">
        <v>13575</v>
      </c>
      <c r="J7000" s="3" t="str">
        <f>HYPERLINK("https://www.boe.es/gazeta/dias/1821/11/11/pdfs/GMD-1821-322.pdf#page=5","Abrir facsímil")</f>
        <v>Abrir facsímil</v>
      </c>
      <c r="K7000" s="3" t="s">
        <v>23</v>
      </c>
    </row>
    <row r="7001" spans="1:11" ht="42" customHeight="1">
      <c r="A7001" s="2" t="s">
        <v>13554</v>
      </c>
      <c r="B7001" s="2" t="s">
        <v>13554</v>
      </c>
      <c r="C7001" s="2" t="s">
        <v>70</v>
      </c>
      <c r="D7001" s="2" t="s">
        <v>27</v>
      </c>
      <c r="E7001" s="5">
        <v>-28511</v>
      </c>
      <c r="F7001" s="3" t="s">
        <v>340</v>
      </c>
      <c r="G7001" s="3" t="s">
        <v>52</v>
      </c>
      <c r="H7001" s="2" t="s">
        <v>21</v>
      </c>
      <c r="I7001" s="2" t="s">
        <v>13576</v>
      </c>
      <c r="J7001" s="3" t="str">
        <f>HYPERLINK("https://www.boe.es/gazeta/dias/1821/12/08/pdfs/GMD-1821-350.pdf#page=2","Abrir facsímil")</f>
        <v>Abrir facsímil</v>
      </c>
      <c r="K7001" s="3" t="s">
        <v>23</v>
      </c>
    </row>
    <row r="7002" spans="1:11" ht="42" customHeight="1">
      <c r="A7002" s="2" t="s">
        <v>13554</v>
      </c>
      <c r="B7002" s="2" t="s">
        <v>13554</v>
      </c>
      <c r="C7002" s="2" t="s">
        <v>40</v>
      </c>
      <c r="D7002" s="2" t="s">
        <v>41</v>
      </c>
      <c r="E7002" s="5">
        <v>-28503</v>
      </c>
      <c r="F7002" s="3" t="s">
        <v>947</v>
      </c>
      <c r="G7002" s="3" t="s">
        <v>29</v>
      </c>
      <c r="H7002" s="2" t="s">
        <v>21</v>
      </c>
      <c r="I7002" s="2" t="s">
        <v>13577</v>
      </c>
      <c r="J7002" s="3" t="str">
        <f>HYPERLINK("https://www.boe.es/gazeta/dias/1821/12/16/pdfs/GMD-1821-359.pdf#page=6","Abrir facsímil")</f>
        <v>Abrir facsímil</v>
      </c>
      <c r="K7002" s="3" t="s">
        <v>23</v>
      </c>
    </row>
    <row r="7003" spans="1:11" ht="42" customHeight="1">
      <c r="A7003" s="2" t="s">
        <v>13578</v>
      </c>
      <c r="B7003" s="2" t="s">
        <v>13578</v>
      </c>
      <c r="C7003" s="2" t="s">
        <v>26</v>
      </c>
      <c r="D7003" s="2" t="s">
        <v>27</v>
      </c>
      <c r="E7003" s="5">
        <v>-28720</v>
      </c>
      <c r="F7003" s="3" t="s">
        <v>492</v>
      </c>
      <c r="G7003" s="3" t="s">
        <v>52</v>
      </c>
      <c r="H7003" s="2" t="s">
        <v>21</v>
      </c>
      <c r="I7003" s="2" t="s">
        <v>13579</v>
      </c>
      <c r="J7003" s="3" t="str">
        <f>HYPERLINK("https://www.boe.es/gazeta/dias/1821/05/13/pdfs/GMD-1821-135.pdf#page=2","Abrir facsímil")</f>
        <v>Abrir facsímil</v>
      </c>
      <c r="K7003" s="3" t="s">
        <v>23</v>
      </c>
    </row>
    <row r="7004" spans="1:11" ht="42" customHeight="1">
      <c r="A7004" s="2" t="s">
        <v>13580</v>
      </c>
      <c r="B7004" s="2" t="s">
        <v>13581</v>
      </c>
      <c r="C7004" s="2" t="s">
        <v>26</v>
      </c>
      <c r="D7004" s="2" t="s">
        <v>27</v>
      </c>
      <c r="E7004" s="5">
        <v>-28547</v>
      </c>
      <c r="F7004" s="3" t="s">
        <v>247</v>
      </c>
      <c r="G7004" s="3" t="s">
        <v>248</v>
      </c>
      <c r="H7004" s="2" t="s">
        <v>30</v>
      </c>
      <c r="I7004" s="2" t="s">
        <v>13582</v>
      </c>
      <c r="J7004" s="3" t="str">
        <f>HYPERLINK("https://www.boe.es/gazeta/dias/1821/11/02/pdfs/GMD-1821-312.pdf#page=2","Abrir facsímil")</f>
        <v>Abrir facsímil</v>
      </c>
      <c r="K7004" s="3" t="s">
        <v>32</v>
      </c>
    </row>
    <row r="7005" spans="1:11" ht="42" customHeight="1">
      <c r="A7005" s="2" t="s">
        <v>13580</v>
      </c>
      <c r="B7005" s="2" t="s">
        <v>13581</v>
      </c>
      <c r="C7005" s="2" t="s">
        <v>40</v>
      </c>
      <c r="D7005" s="2" t="s">
        <v>41</v>
      </c>
      <c r="E7005" s="5">
        <v>-28543</v>
      </c>
      <c r="F7005" s="3" t="s">
        <v>136</v>
      </c>
      <c r="G7005" s="3" t="s">
        <v>52</v>
      </c>
      <c r="H7005" s="2" t="s">
        <v>30</v>
      </c>
      <c r="I7005" s="2" t="s">
        <v>13583</v>
      </c>
      <c r="J7005" s="3" t="str">
        <f>HYPERLINK("https://www.boe.es/gazeta/dias/1821/11/06/pdfs/GMD-1821-317.pdf#page=2","Abrir facsímil")</f>
        <v>Abrir facsímil</v>
      </c>
      <c r="K7005" s="3" t="s">
        <v>32</v>
      </c>
    </row>
    <row r="7006" spans="1:11" ht="42" customHeight="1">
      <c r="A7006" s="2" t="s">
        <v>13584</v>
      </c>
      <c r="B7006" s="2" t="s">
        <v>13585</v>
      </c>
      <c r="C7006" s="2" t="s">
        <v>40</v>
      </c>
      <c r="D7006" s="2" t="s">
        <v>41</v>
      </c>
      <c r="E7006" s="5">
        <v>-28715</v>
      </c>
      <c r="F7006" s="3" t="s">
        <v>1046</v>
      </c>
      <c r="G7006" s="3" t="s">
        <v>52</v>
      </c>
      <c r="H7006" s="2" t="s">
        <v>21</v>
      </c>
      <c r="I7006" s="2" t="s">
        <v>13586</v>
      </c>
      <c r="J7006" s="3" t="str">
        <f>HYPERLINK("https://www.boe.es/gazeta/dias/1821/05/18/pdfs/GMD-1821-140.pdf#page=2","Abrir facsímil")</f>
        <v>Abrir facsímil</v>
      </c>
      <c r="K7006" s="3" t="s">
        <v>23</v>
      </c>
    </row>
    <row r="7007" spans="1:11" ht="42" customHeight="1">
      <c r="A7007" s="2" t="s">
        <v>13587</v>
      </c>
      <c r="B7007" s="2" t="s">
        <v>13588</v>
      </c>
      <c r="C7007" s="2" t="s">
        <v>40</v>
      </c>
      <c r="D7007" s="2" t="s">
        <v>41</v>
      </c>
      <c r="E7007" s="5">
        <v>-28676</v>
      </c>
      <c r="F7007" s="3" t="s">
        <v>534</v>
      </c>
      <c r="G7007" s="3" t="s">
        <v>88</v>
      </c>
      <c r="H7007" s="2" t="s">
        <v>21</v>
      </c>
      <c r="I7007" s="2" t="s">
        <v>13589</v>
      </c>
      <c r="J7007" s="3" t="str">
        <f>HYPERLINK("https://www.boe.es/gazeta/dias/1821/06/26/pdfs/GMD-1821-179.pdf#page=4","Abrir facsímil")</f>
        <v>Abrir facsímil</v>
      </c>
      <c r="K7007" s="3" t="s">
        <v>23</v>
      </c>
    </row>
    <row r="7008" spans="1:11" ht="42" customHeight="1">
      <c r="A7008" s="2" t="s">
        <v>13587</v>
      </c>
      <c r="B7008" s="2" t="s">
        <v>13588</v>
      </c>
      <c r="C7008" s="2" t="s">
        <v>17</v>
      </c>
      <c r="D7008" s="2" t="s">
        <v>18</v>
      </c>
      <c r="E7008" s="5">
        <v>-28556</v>
      </c>
      <c r="F7008" s="3" t="s">
        <v>264</v>
      </c>
      <c r="G7008" s="3" t="s">
        <v>162</v>
      </c>
      <c r="H7008" s="2" t="s">
        <v>21</v>
      </c>
      <c r="I7008" s="2" t="s">
        <v>13590</v>
      </c>
      <c r="J7008" s="3" t="str">
        <f>HYPERLINK("https://www.boe.es/gazeta/dias/1821/10/24/pdfs/GMD-1821-303.pdf#page=5","Abrir facsímil")</f>
        <v>Abrir facsímil</v>
      </c>
      <c r="K7008" s="3" t="s">
        <v>23</v>
      </c>
    </row>
    <row r="7009" spans="1:11" ht="42" customHeight="1">
      <c r="A7009" s="2" t="s">
        <v>13591</v>
      </c>
      <c r="B7009" s="2" t="s">
        <v>13592</v>
      </c>
      <c r="C7009" s="2" t="s">
        <v>35</v>
      </c>
      <c r="D7009" s="2" t="s">
        <v>27</v>
      </c>
      <c r="E7009" s="5">
        <v>-28512</v>
      </c>
      <c r="F7009" s="3" t="s">
        <v>66</v>
      </c>
      <c r="G7009" s="3" t="s">
        <v>52</v>
      </c>
      <c r="H7009" s="2" t="s">
        <v>30</v>
      </c>
      <c r="I7009" s="2" t="s">
        <v>13593</v>
      </c>
      <c r="J7009" s="3" t="str">
        <f>HYPERLINK("https://www.boe.es/gazeta/dias/1821/12/07/pdfs/GMD-1821-349.pdf#page=2","Abrir facsímil")</f>
        <v>Abrir facsímil</v>
      </c>
      <c r="K7009" s="3" t="s">
        <v>32</v>
      </c>
    </row>
    <row r="7010" spans="1:11" ht="42" customHeight="1">
      <c r="A7010" s="2" t="s">
        <v>13594</v>
      </c>
      <c r="B7010" s="2" t="s">
        <v>13595</v>
      </c>
      <c r="C7010" s="2" t="s">
        <v>40</v>
      </c>
      <c r="D7010" s="2" t="s">
        <v>41</v>
      </c>
      <c r="E7010" s="5">
        <v>-28703</v>
      </c>
      <c r="F7010" s="3" t="s">
        <v>231</v>
      </c>
      <c r="G7010" s="3" t="s">
        <v>52</v>
      </c>
      <c r="H7010" s="2" t="s">
        <v>30</v>
      </c>
      <c r="I7010" s="2" t="s">
        <v>13596</v>
      </c>
      <c r="J7010" s="3" t="str">
        <f>HYPERLINK("https://www.boe.es/gazeta/dias/1821/05/30/pdfs/GMD-1821-152.pdf#page=2","Abrir facsímil")</f>
        <v>Abrir facsímil</v>
      </c>
      <c r="K7010" s="3" t="s">
        <v>32</v>
      </c>
    </row>
    <row r="7011" spans="1:11" ht="42" customHeight="1">
      <c r="A7011" s="2" t="s">
        <v>13594</v>
      </c>
      <c r="B7011" s="2" t="s">
        <v>13595</v>
      </c>
      <c r="C7011" s="2" t="s">
        <v>26</v>
      </c>
      <c r="D7011" s="2" t="s">
        <v>27</v>
      </c>
      <c r="E7011" s="5">
        <v>-28521</v>
      </c>
      <c r="F7011" s="3" t="s">
        <v>499</v>
      </c>
      <c r="G7011" s="3" t="s">
        <v>52</v>
      </c>
      <c r="H7011" s="2" t="s">
        <v>30</v>
      </c>
      <c r="I7011" s="2" t="s">
        <v>13597</v>
      </c>
      <c r="J7011" s="3" t="str">
        <f>HYPERLINK("https://www.boe.es/gazeta/dias/1821/11/28/pdfs/GMD-1821-340.pdf#page=2","Abrir facsímil")</f>
        <v>Abrir facsímil</v>
      </c>
      <c r="K7011" s="3" t="s">
        <v>32</v>
      </c>
    </row>
    <row r="7012" spans="1:11" ht="42" customHeight="1">
      <c r="A7012" s="2" t="s">
        <v>13594</v>
      </c>
      <c r="B7012" s="2" t="s">
        <v>13595</v>
      </c>
      <c r="C7012" s="2" t="s">
        <v>26</v>
      </c>
      <c r="D7012" s="2" t="s">
        <v>27</v>
      </c>
      <c r="E7012" s="5">
        <v>-28521</v>
      </c>
      <c r="F7012" s="3" t="s">
        <v>499</v>
      </c>
      <c r="G7012" s="3" t="s">
        <v>20</v>
      </c>
      <c r="H7012" s="2" t="s">
        <v>30</v>
      </c>
      <c r="I7012" s="2" t="s">
        <v>13598</v>
      </c>
      <c r="J7012" s="3" t="str">
        <f>HYPERLINK("https://www.boe.es/gazeta/dias/1821/11/28/pdfs/GMD-1821-340.pdf#page=3","Abrir facsímil")</f>
        <v>Abrir facsímil</v>
      </c>
      <c r="K7012" s="3" t="s">
        <v>32</v>
      </c>
    </row>
    <row r="7013" spans="1:11" ht="42" customHeight="1">
      <c r="A7013" s="2" t="s">
        <v>13594</v>
      </c>
      <c r="B7013" s="2" t="s">
        <v>13595</v>
      </c>
      <c r="C7013" s="2" t="s">
        <v>40</v>
      </c>
      <c r="D7013" s="2" t="s">
        <v>41</v>
      </c>
      <c r="E7013" s="5">
        <v>-28519</v>
      </c>
      <c r="F7013" s="3" t="s">
        <v>880</v>
      </c>
      <c r="G7013" s="3" t="s">
        <v>88</v>
      </c>
      <c r="H7013" s="2" t="s">
        <v>30</v>
      </c>
      <c r="I7013" s="2" t="s">
        <v>13599</v>
      </c>
      <c r="J7013" s="3" t="str">
        <f>HYPERLINK("https://www.boe.es/gazeta/dias/1821/11/30/pdfs/GMD-1821-342.pdf#page=4","Abrir facsímil")</f>
        <v>Abrir facsímil</v>
      </c>
      <c r="K7013" s="3" t="s">
        <v>32</v>
      </c>
    </row>
    <row r="7014" spans="1:11" ht="42" customHeight="1">
      <c r="A7014" s="2" t="s">
        <v>13594</v>
      </c>
      <c r="B7014" s="2" t="s">
        <v>13595</v>
      </c>
      <c r="C7014" s="2" t="s">
        <v>26</v>
      </c>
      <c r="D7014" s="2" t="s">
        <v>27</v>
      </c>
      <c r="E7014" s="5">
        <v>-28516</v>
      </c>
      <c r="F7014" s="3" t="s">
        <v>514</v>
      </c>
      <c r="G7014" s="3" t="s">
        <v>162</v>
      </c>
      <c r="H7014" s="2" t="s">
        <v>30</v>
      </c>
      <c r="I7014" s="2" t="s">
        <v>13600</v>
      </c>
      <c r="J7014" s="3" t="str">
        <f>HYPERLINK("https://www.boe.es/gazeta/dias/1821/12/03/pdfs/GMD-1821-345.pdf#page=5","Abrir facsímil")</f>
        <v>Abrir facsímil</v>
      </c>
      <c r="K7014" s="3" t="s">
        <v>32</v>
      </c>
    </row>
    <row r="7015" spans="1:11" ht="42" customHeight="1">
      <c r="A7015" s="2" t="s">
        <v>13594</v>
      </c>
      <c r="B7015" s="2" t="s">
        <v>13595</v>
      </c>
      <c r="C7015" s="2" t="s">
        <v>70</v>
      </c>
      <c r="D7015" s="2" t="s">
        <v>27</v>
      </c>
      <c r="E7015" s="5">
        <v>-28514</v>
      </c>
      <c r="F7015" s="3" t="s">
        <v>103</v>
      </c>
      <c r="G7015" s="3" t="s">
        <v>52</v>
      </c>
      <c r="H7015" s="2" t="s">
        <v>30</v>
      </c>
      <c r="I7015" s="2" t="s">
        <v>13601</v>
      </c>
      <c r="J7015" s="3" t="str">
        <f>HYPERLINK("https://www.boe.es/gazeta/dias/1821/12/05/pdfs/GMD-1821-347.pdf#page=2","Abrir facsímil")</f>
        <v>Abrir facsímil</v>
      </c>
      <c r="K7015" s="3" t="s">
        <v>32</v>
      </c>
    </row>
    <row r="7016" spans="1:11" ht="42" customHeight="1">
      <c r="A7016" s="2" t="s">
        <v>13594</v>
      </c>
      <c r="B7016" s="2" t="s">
        <v>13595</v>
      </c>
      <c r="C7016" s="2" t="s">
        <v>17</v>
      </c>
      <c r="D7016" s="2" t="s">
        <v>18</v>
      </c>
      <c r="E7016" s="5">
        <v>-28512</v>
      </c>
      <c r="F7016" s="3" t="s">
        <v>66</v>
      </c>
      <c r="G7016" s="3" t="s">
        <v>20</v>
      </c>
      <c r="H7016" s="2" t="s">
        <v>30</v>
      </c>
      <c r="I7016" s="2" t="s">
        <v>13602</v>
      </c>
      <c r="J7016" s="3" t="str">
        <f>HYPERLINK("https://www.boe.es/gazeta/dias/1821/12/07/pdfs/GMD-1821-349.pdf#page=3","Abrir facsímil")</f>
        <v>Abrir facsímil</v>
      </c>
      <c r="K7016" s="3" t="s">
        <v>32</v>
      </c>
    </row>
    <row r="7017" spans="1:11" ht="42" customHeight="1">
      <c r="A7017" s="2" t="s">
        <v>13594</v>
      </c>
      <c r="B7017" s="2" t="s">
        <v>13595</v>
      </c>
      <c r="C7017" s="2" t="s">
        <v>17</v>
      </c>
      <c r="D7017" s="2" t="s">
        <v>18</v>
      </c>
      <c r="E7017" s="5">
        <v>-28491</v>
      </c>
      <c r="F7017" s="3" t="s">
        <v>573</v>
      </c>
      <c r="G7017" s="3" t="s">
        <v>3891</v>
      </c>
      <c r="H7017" s="2" t="s">
        <v>30</v>
      </c>
      <c r="I7017" s="2" t="s">
        <v>13603</v>
      </c>
      <c r="J7017" s="3" t="str">
        <f>HYPERLINK("https://www.boe.es/gazeta/dias/1821/12/28/pdfs/GMD-1821-371.pdf#page=2","Abrir facsímil")</f>
        <v>Abrir facsímil</v>
      </c>
      <c r="K7017" s="3" t="s">
        <v>32</v>
      </c>
    </row>
    <row r="7018" spans="1:11" ht="42" customHeight="1">
      <c r="A7018" s="2" t="s">
        <v>13604</v>
      </c>
      <c r="B7018" s="2" t="s">
        <v>13605</v>
      </c>
      <c r="C7018" s="2" t="s">
        <v>35</v>
      </c>
      <c r="D7018" s="2" t="s">
        <v>27</v>
      </c>
      <c r="E7018" s="5">
        <v>-28766</v>
      </c>
      <c r="F7018" s="3" t="s">
        <v>1481</v>
      </c>
      <c r="G7018" s="3" t="s">
        <v>20</v>
      </c>
      <c r="H7018" s="2" t="s">
        <v>21</v>
      </c>
      <c r="I7018" s="2" t="s">
        <v>13606</v>
      </c>
      <c r="J7018" s="3" t="str">
        <f>HYPERLINK("https://www.boe.es/gazeta/dias/1821/03/28/pdfs/GMD-1821-88.pdf#page=3","Abrir facsímil")</f>
        <v>Abrir facsímil</v>
      </c>
      <c r="K7018" s="3" t="s">
        <v>23</v>
      </c>
    </row>
    <row r="7019" spans="1:11" ht="42" customHeight="1">
      <c r="A7019" s="2" t="s">
        <v>13604</v>
      </c>
      <c r="B7019" s="2" t="s">
        <v>13605</v>
      </c>
      <c r="C7019" s="2" t="s">
        <v>70</v>
      </c>
      <c r="D7019" s="2" t="s">
        <v>27</v>
      </c>
      <c r="E7019" s="5">
        <v>-28756</v>
      </c>
      <c r="F7019" s="3" t="s">
        <v>3145</v>
      </c>
      <c r="G7019" s="3" t="s">
        <v>7553</v>
      </c>
      <c r="H7019" s="2" t="s">
        <v>21</v>
      </c>
      <c r="I7019" s="2" t="s">
        <v>13607</v>
      </c>
      <c r="J7019" s="3" t="str">
        <f>HYPERLINK("https://www.boe.es/gazeta/dias/1821/04/07/pdfs/GMD-1821-99.pdf#page=4","Abrir facsímil")</f>
        <v>Abrir facsímil</v>
      </c>
      <c r="K7019" s="3" t="s">
        <v>23</v>
      </c>
    </row>
    <row r="7020" spans="1:11" ht="42" customHeight="1">
      <c r="A7020" s="2" t="s">
        <v>13604</v>
      </c>
      <c r="B7020" s="2" t="s">
        <v>13605</v>
      </c>
      <c r="C7020" s="2" t="s">
        <v>26</v>
      </c>
      <c r="D7020" s="2" t="s">
        <v>27</v>
      </c>
      <c r="E7020" s="5">
        <v>-28755</v>
      </c>
      <c r="F7020" s="3" t="s">
        <v>906</v>
      </c>
      <c r="G7020" s="3" t="s">
        <v>907</v>
      </c>
      <c r="H7020" s="2" t="s">
        <v>21</v>
      </c>
      <c r="I7020" s="2" t="s">
        <v>13608</v>
      </c>
      <c r="J7020" s="3" t="str">
        <f>HYPERLINK("https://www.boe.es/gazeta/dias/1821/04/08/pdfs/GMD-1821-100.pdf#page=4","Abrir facsímil")</f>
        <v>Abrir facsímil</v>
      </c>
      <c r="K7020" s="3" t="s">
        <v>23</v>
      </c>
    </row>
    <row r="7021" spans="1:11" ht="42" customHeight="1">
      <c r="A7021" s="2" t="s">
        <v>13604</v>
      </c>
      <c r="B7021" s="2" t="s">
        <v>13605</v>
      </c>
      <c r="C7021" s="2" t="s">
        <v>174</v>
      </c>
      <c r="D7021" s="2" t="s">
        <v>27</v>
      </c>
      <c r="E7021" s="5">
        <v>-28746</v>
      </c>
      <c r="F7021" s="3" t="s">
        <v>687</v>
      </c>
      <c r="G7021" s="3" t="s">
        <v>29</v>
      </c>
      <c r="H7021" s="2" t="s">
        <v>21</v>
      </c>
      <c r="I7021" s="2" t="s">
        <v>13609</v>
      </c>
      <c r="J7021" s="3" t="str">
        <f>HYPERLINK("https://www.boe.es/gazeta/dias/1821/04/17/pdfs/GMD-1821-109.pdf#page=6","Abrir facsímil")</f>
        <v>Abrir facsímil</v>
      </c>
      <c r="K7021" s="3" t="s">
        <v>23</v>
      </c>
    </row>
    <row r="7022" spans="1:11" ht="42" customHeight="1">
      <c r="A7022" s="2" t="s">
        <v>13604</v>
      </c>
      <c r="B7022" s="2" t="s">
        <v>13605</v>
      </c>
      <c r="C7022" s="2" t="s">
        <v>26</v>
      </c>
      <c r="D7022" s="2" t="s">
        <v>27</v>
      </c>
      <c r="E7022" s="5">
        <v>-28720</v>
      </c>
      <c r="F7022" s="3" t="s">
        <v>492</v>
      </c>
      <c r="G7022" s="3" t="s">
        <v>20</v>
      </c>
      <c r="H7022" s="2" t="s">
        <v>21</v>
      </c>
      <c r="I7022" s="2" t="s">
        <v>13610</v>
      </c>
      <c r="J7022" s="3" t="str">
        <f>HYPERLINK("https://www.boe.es/gazeta/dias/1821/05/13/pdfs/GMD-1821-135.pdf#page=3","Abrir facsímil")</f>
        <v>Abrir facsímil</v>
      </c>
      <c r="K7022" s="3" t="s">
        <v>23</v>
      </c>
    </row>
    <row r="7023" spans="1:11" ht="42" customHeight="1">
      <c r="A7023" s="2" t="s">
        <v>13604</v>
      </c>
      <c r="B7023" s="2" t="s">
        <v>13605</v>
      </c>
      <c r="C7023" s="2" t="s">
        <v>40</v>
      </c>
      <c r="D7023" s="2" t="s">
        <v>41</v>
      </c>
      <c r="E7023" s="5">
        <v>-28694</v>
      </c>
      <c r="F7023" s="3" t="s">
        <v>1057</v>
      </c>
      <c r="G7023" s="3" t="s">
        <v>20</v>
      </c>
      <c r="H7023" s="2" t="s">
        <v>21</v>
      </c>
      <c r="I7023" s="2" t="s">
        <v>13611</v>
      </c>
      <c r="J7023" s="3" t="str">
        <f>HYPERLINK("https://www.boe.es/gazeta/dias/1821/06/08/pdfs/GMD-1821-161.pdf#page=3","Abrir facsímil")</f>
        <v>Abrir facsímil</v>
      </c>
      <c r="K7023" s="3" t="s">
        <v>23</v>
      </c>
    </row>
    <row r="7024" spans="1:11" ht="42" customHeight="1">
      <c r="A7024" s="2" t="s">
        <v>13604</v>
      </c>
      <c r="B7024" s="2" t="s">
        <v>13605</v>
      </c>
      <c r="C7024" s="2" t="s">
        <v>17</v>
      </c>
      <c r="D7024" s="2" t="s">
        <v>18</v>
      </c>
      <c r="E7024" s="5">
        <v>-28693</v>
      </c>
      <c r="F7024" s="3" t="s">
        <v>74</v>
      </c>
      <c r="G7024" s="3" t="s">
        <v>1846</v>
      </c>
      <c r="H7024" s="2" t="s">
        <v>21</v>
      </c>
      <c r="I7024" s="2" t="s">
        <v>13612</v>
      </c>
      <c r="J7024" s="3" t="str">
        <f>HYPERLINK("https://www.boe.es/gazeta/dias/1821/06/09/pdfs/GMD-1821-162.pdf#page=6","Abrir facsímil")</f>
        <v>Abrir facsímil</v>
      </c>
      <c r="K7024" s="3" t="s">
        <v>23</v>
      </c>
    </row>
    <row r="7025" spans="1:11" ht="42" customHeight="1">
      <c r="A7025" s="2" t="s">
        <v>13604</v>
      </c>
      <c r="B7025" s="2" t="s">
        <v>13605</v>
      </c>
      <c r="C7025" s="2" t="s">
        <v>40</v>
      </c>
      <c r="D7025" s="2" t="s">
        <v>41</v>
      </c>
      <c r="E7025" s="5">
        <v>-28689</v>
      </c>
      <c r="F7025" s="3" t="s">
        <v>194</v>
      </c>
      <c r="G7025" s="3" t="s">
        <v>88</v>
      </c>
      <c r="H7025" s="2" t="s">
        <v>21</v>
      </c>
      <c r="I7025" s="2" t="s">
        <v>13613</v>
      </c>
      <c r="J7025" s="3" t="str">
        <f>HYPERLINK("https://www.boe.es/gazeta/dias/1821/06/13/pdfs/GMD-1821-166.pdf#page=4","Abrir facsímil")</f>
        <v>Abrir facsímil</v>
      </c>
      <c r="K7025" s="3" t="s">
        <v>23</v>
      </c>
    </row>
    <row r="7026" spans="1:11" ht="42" customHeight="1">
      <c r="A7026" s="2" t="s">
        <v>13604</v>
      </c>
      <c r="B7026" s="2" t="s">
        <v>13605</v>
      </c>
      <c r="C7026" s="2" t="s">
        <v>26</v>
      </c>
      <c r="D7026" s="2" t="s">
        <v>27</v>
      </c>
      <c r="E7026" s="5">
        <v>-28683</v>
      </c>
      <c r="F7026" s="3" t="s">
        <v>332</v>
      </c>
      <c r="G7026" s="3" t="s">
        <v>88</v>
      </c>
      <c r="H7026" s="2" t="s">
        <v>21</v>
      </c>
      <c r="I7026" s="2" t="s">
        <v>13614</v>
      </c>
      <c r="J7026" s="3" t="str">
        <f>HYPERLINK("https://www.boe.es/gazeta/dias/1821/06/19/pdfs/GMD-1821-172.pdf#page=4","Abrir facsímil")</f>
        <v>Abrir facsímil</v>
      </c>
      <c r="K7026" s="3" t="s">
        <v>23</v>
      </c>
    </row>
    <row r="7027" spans="1:11" ht="42" customHeight="1">
      <c r="A7027" s="2" t="s">
        <v>13604</v>
      </c>
      <c r="B7027" s="2" t="s">
        <v>13605</v>
      </c>
      <c r="C7027" s="2" t="s">
        <v>35</v>
      </c>
      <c r="D7027" s="2" t="s">
        <v>27</v>
      </c>
      <c r="E7027" s="5">
        <v>-28677</v>
      </c>
      <c r="F7027" s="3" t="s">
        <v>361</v>
      </c>
      <c r="G7027" s="3" t="s">
        <v>162</v>
      </c>
      <c r="H7027" s="2" t="s">
        <v>21</v>
      </c>
      <c r="I7027" s="2" t="s">
        <v>13615</v>
      </c>
      <c r="J7027" s="3" t="str">
        <f>HYPERLINK("https://www.boe.es/gazeta/dias/1821/06/25/pdfs/GMD-1821-178.pdf#page=5","Abrir facsímil")</f>
        <v>Abrir facsímil</v>
      </c>
      <c r="K7027" s="3" t="s">
        <v>23</v>
      </c>
    </row>
    <row r="7028" spans="1:11" ht="42" customHeight="1">
      <c r="A7028" s="2" t="s">
        <v>13604</v>
      </c>
      <c r="B7028" s="2" t="s">
        <v>13605</v>
      </c>
      <c r="C7028" s="2" t="s">
        <v>35</v>
      </c>
      <c r="D7028" s="2" t="s">
        <v>27</v>
      </c>
      <c r="E7028" s="5">
        <v>-28573</v>
      </c>
      <c r="F7028" s="3" t="s">
        <v>19</v>
      </c>
      <c r="G7028" s="3" t="s">
        <v>20</v>
      </c>
      <c r="H7028" s="2" t="s">
        <v>21</v>
      </c>
      <c r="I7028" s="2" t="s">
        <v>13616</v>
      </c>
      <c r="J7028" s="3" t="str">
        <f>HYPERLINK("https://www.boe.es/gazeta/dias/1821/10/07/pdfs/GMD-1821-286.pdf#page=3","Abrir facsímil")</f>
        <v>Abrir facsímil</v>
      </c>
      <c r="K7028" s="3" t="s">
        <v>23</v>
      </c>
    </row>
    <row r="7029" spans="1:11" ht="42" customHeight="1">
      <c r="A7029" s="2" t="s">
        <v>13604</v>
      </c>
      <c r="B7029" s="2" t="s">
        <v>13605</v>
      </c>
      <c r="C7029" s="2" t="s">
        <v>35</v>
      </c>
      <c r="D7029" s="2" t="s">
        <v>27</v>
      </c>
      <c r="E7029" s="5">
        <v>-28562</v>
      </c>
      <c r="F7029" s="3" t="s">
        <v>3093</v>
      </c>
      <c r="G7029" s="3" t="s">
        <v>88</v>
      </c>
      <c r="H7029" s="2" t="s">
        <v>21</v>
      </c>
      <c r="I7029" s="2" t="s">
        <v>13617</v>
      </c>
      <c r="J7029" s="3" t="str">
        <f>HYPERLINK("https://www.boe.es/gazeta/dias/1821/10/18/pdfs/GMD-1821-297.pdf#page=4","Abrir facsímil")</f>
        <v>Abrir facsímil</v>
      </c>
      <c r="K7029" s="3" t="s">
        <v>23</v>
      </c>
    </row>
    <row r="7030" spans="1:11" ht="42" customHeight="1">
      <c r="A7030" s="2" t="s">
        <v>13604</v>
      </c>
      <c r="B7030" s="2" t="s">
        <v>13605</v>
      </c>
      <c r="C7030" s="2" t="s">
        <v>17</v>
      </c>
      <c r="D7030" s="2" t="s">
        <v>18</v>
      </c>
      <c r="E7030" s="5">
        <v>-28520</v>
      </c>
      <c r="F7030" s="3" t="s">
        <v>878</v>
      </c>
      <c r="G7030" s="3" t="s">
        <v>43</v>
      </c>
      <c r="H7030" s="2" t="s">
        <v>21</v>
      </c>
      <c r="I7030" s="2" t="s">
        <v>13618</v>
      </c>
      <c r="J7030" s="3" t="str">
        <f>HYPERLINK("https://www.boe.es/gazeta/dias/1821/11/29/pdfs/GMD-1821-341.pdf#page=1","Abrir facsímil")</f>
        <v>Abrir facsímil</v>
      </c>
      <c r="K7030" s="3" t="s">
        <v>23</v>
      </c>
    </row>
    <row r="7031" spans="1:11" ht="42" customHeight="1">
      <c r="A7031" s="2" t="s">
        <v>13604</v>
      </c>
      <c r="B7031" s="2" t="s">
        <v>13605</v>
      </c>
      <c r="C7031" s="2" t="s">
        <v>17</v>
      </c>
      <c r="D7031" s="2" t="s">
        <v>18</v>
      </c>
      <c r="E7031" s="5">
        <v>-28520</v>
      </c>
      <c r="F7031" s="3" t="s">
        <v>878</v>
      </c>
      <c r="G7031" s="3" t="s">
        <v>20</v>
      </c>
      <c r="H7031" s="2" t="s">
        <v>21</v>
      </c>
      <c r="I7031" s="2" t="s">
        <v>13619</v>
      </c>
      <c r="J7031" s="3" t="str">
        <f>HYPERLINK("https://www.boe.es/gazeta/dias/1821/11/29/pdfs/GMD-1821-341.pdf#page=3","Abrir facsímil")</f>
        <v>Abrir facsímil</v>
      </c>
      <c r="K7031" s="3" t="s">
        <v>23</v>
      </c>
    </row>
    <row r="7032" spans="1:11" ht="42" customHeight="1">
      <c r="A7032" s="2" t="s">
        <v>13604</v>
      </c>
      <c r="B7032" s="2" t="s">
        <v>13605</v>
      </c>
      <c r="C7032" s="2" t="s">
        <v>17</v>
      </c>
      <c r="D7032" s="2" t="s">
        <v>18</v>
      </c>
      <c r="E7032" s="5">
        <v>-28519</v>
      </c>
      <c r="F7032" s="3" t="s">
        <v>880</v>
      </c>
      <c r="G7032" s="3" t="s">
        <v>52</v>
      </c>
      <c r="H7032" s="2" t="s">
        <v>21</v>
      </c>
      <c r="I7032" s="2" t="s">
        <v>13620</v>
      </c>
      <c r="J7032" s="3" t="str">
        <f>HYPERLINK("https://www.boe.es/gazeta/dias/1821/11/30/pdfs/GMD-1821-342.pdf#page=2","Abrir facsímil")</f>
        <v>Abrir facsímil</v>
      </c>
      <c r="K7032" s="3" t="s">
        <v>23</v>
      </c>
    </row>
    <row r="7033" spans="1:11" ht="42" customHeight="1">
      <c r="A7033" s="2" t="s">
        <v>13604</v>
      </c>
      <c r="B7033" s="2" t="s">
        <v>13605</v>
      </c>
      <c r="C7033" s="2" t="s">
        <v>26</v>
      </c>
      <c r="D7033" s="2" t="s">
        <v>27</v>
      </c>
      <c r="E7033" s="5">
        <v>-28516</v>
      </c>
      <c r="F7033" s="3" t="s">
        <v>514</v>
      </c>
      <c r="G7033" s="3" t="s">
        <v>29</v>
      </c>
      <c r="H7033" s="2" t="s">
        <v>21</v>
      </c>
      <c r="I7033" s="2" t="s">
        <v>13621</v>
      </c>
      <c r="J7033" s="3" t="str">
        <f>HYPERLINK("https://www.boe.es/gazeta/dias/1821/12/03/pdfs/GMD-1821-345.pdf#page=6","Abrir facsímil")</f>
        <v>Abrir facsímil</v>
      </c>
      <c r="K7033" s="3" t="s">
        <v>23</v>
      </c>
    </row>
    <row r="7034" spans="1:11" ht="42" customHeight="1">
      <c r="A7034" s="2" t="s">
        <v>13604</v>
      </c>
      <c r="B7034" s="2" t="s">
        <v>13605</v>
      </c>
      <c r="C7034" s="2" t="s">
        <v>70</v>
      </c>
      <c r="D7034" s="2" t="s">
        <v>27</v>
      </c>
      <c r="E7034" s="5">
        <v>-28514</v>
      </c>
      <c r="F7034" s="3" t="s">
        <v>103</v>
      </c>
      <c r="G7034" s="3" t="s">
        <v>20</v>
      </c>
      <c r="H7034" s="2" t="s">
        <v>21</v>
      </c>
      <c r="I7034" s="2" t="s">
        <v>13622</v>
      </c>
      <c r="J7034" s="3" t="str">
        <f>HYPERLINK("https://www.boe.es/gazeta/dias/1821/12/05/pdfs/GMD-1821-347.pdf#page=3","Abrir facsímil")</f>
        <v>Abrir facsímil</v>
      </c>
      <c r="K7034" s="3" t="s">
        <v>23</v>
      </c>
    </row>
    <row r="7035" spans="1:11" ht="42" customHeight="1">
      <c r="A7035" s="2" t="s">
        <v>13604</v>
      </c>
      <c r="B7035" s="2" t="s">
        <v>13605</v>
      </c>
      <c r="C7035" s="2" t="s">
        <v>114</v>
      </c>
      <c r="D7035" s="2" t="s">
        <v>27</v>
      </c>
      <c r="E7035" s="5">
        <v>-28513</v>
      </c>
      <c r="F7035" s="3" t="s">
        <v>502</v>
      </c>
      <c r="G7035" s="3" t="s">
        <v>20</v>
      </c>
      <c r="H7035" s="2" t="s">
        <v>21</v>
      </c>
      <c r="I7035" s="2" t="s">
        <v>13623</v>
      </c>
      <c r="J7035" s="3" t="str">
        <f>HYPERLINK("https://www.boe.es/gazeta/dias/1821/12/06/pdfs/GMD-1821-348.pdf#page=3","Abrir facsímil")</f>
        <v>Abrir facsímil</v>
      </c>
      <c r="K7035" s="3" t="s">
        <v>23</v>
      </c>
    </row>
    <row r="7036" spans="1:11" ht="42" customHeight="1">
      <c r="A7036" s="2" t="s">
        <v>13604</v>
      </c>
      <c r="B7036" s="2" t="s">
        <v>13605</v>
      </c>
      <c r="C7036" s="2" t="s">
        <v>17</v>
      </c>
      <c r="D7036" s="2" t="s">
        <v>18</v>
      </c>
      <c r="E7036" s="5">
        <v>-28512</v>
      </c>
      <c r="F7036" s="3" t="s">
        <v>66</v>
      </c>
      <c r="G7036" s="3" t="s">
        <v>20</v>
      </c>
      <c r="H7036" s="2" t="s">
        <v>21</v>
      </c>
      <c r="I7036" s="2" t="s">
        <v>13624</v>
      </c>
      <c r="J7036" s="3" t="str">
        <f>HYPERLINK("https://www.boe.es/gazeta/dias/1821/12/07/pdfs/GMD-1821-349.pdf#page=3","Abrir facsímil")</f>
        <v>Abrir facsímil</v>
      </c>
      <c r="K7036" s="3" t="s">
        <v>23</v>
      </c>
    </row>
    <row r="7037" spans="1:11" ht="42" customHeight="1">
      <c r="A7037" s="2" t="s">
        <v>13604</v>
      </c>
      <c r="B7037" s="2" t="s">
        <v>13605</v>
      </c>
      <c r="C7037" s="2" t="s">
        <v>26</v>
      </c>
      <c r="D7037" s="2" t="s">
        <v>27</v>
      </c>
      <c r="E7037" s="5">
        <v>-28506</v>
      </c>
      <c r="F7037" s="3" t="s">
        <v>1095</v>
      </c>
      <c r="G7037" s="3" t="s">
        <v>3686</v>
      </c>
      <c r="H7037" s="2" t="s">
        <v>21</v>
      </c>
      <c r="I7037" s="2" t="s">
        <v>13625</v>
      </c>
      <c r="J7037" s="3" t="str">
        <f>HYPERLINK("https://www.boe.es/gazeta/dias/1821/12/13/pdfs/GMD-1821-356.pdf#page=2","Abrir facsímil")</f>
        <v>Abrir facsímil</v>
      </c>
      <c r="K7037" s="3" t="s">
        <v>23</v>
      </c>
    </row>
    <row r="7038" spans="1:11" ht="42" customHeight="1">
      <c r="A7038" s="2" t="s">
        <v>13604</v>
      </c>
      <c r="B7038" s="2" t="s">
        <v>13605</v>
      </c>
      <c r="C7038" s="2" t="s">
        <v>26</v>
      </c>
      <c r="D7038" s="2" t="s">
        <v>27</v>
      </c>
      <c r="E7038" s="5">
        <v>-28502</v>
      </c>
      <c r="F7038" s="3" t="s">
        <v>570</v>
      </c>
      <c r="G7038" s="3" t="s">
        <v>20</v>
      </c>
      <c r="H7038" s="2" t="s">
        <v>21</v>
      </c>
      <c r="I7038" s="2" t="s">
        <v>13626</v>
      </c>
      <c r="J7038" s="3" t="str">
        <f>HYPERLINK("https://www.boe.es/gazeta/dias/1821/12/17/pdfs/GMD-1821-360.pdf#page=3","Abrir facsímil")</f>
        <v>Abrir facsímil</v>
      </c>
      <c r="K7038" s="3" t="s">
        <v>23</v>
      </c>
    </row>
    <row r="7039" spans="1:11" ht="42" customHeight="1">
      <c r="A7039" s="2" t="s">
        <v>13604</v>
      </c>
      <c r="B7039" s="2" t="s">
        <v>13605</v>
      </c>
      <c r="C7039" s="2" t="s">
        <v>26</v>
      </c>
      <c r="D7039" s="2" t="s">
        <v>27</v>
      </c>
      <c r="E7039" s="5">
        <v>-28499</v>
      </c>
      <c r="F7039" s="3" t="s">
        <v>954</v>
      </c>
      <c r="G7039" s="3" t="s">
        <v>20</v>
      </c>
      <c r="H7039" s="2" t="s">
        <v>21</v>
      </c>
      <c r="I7039" s="2" t="s">
        <v>13627</v>
      </c>
      <c r="J7039" s="3" t="str">
        <f>HYPERLINK("https://www.boe.es/gazeta/dias/1821/12/20/pdfs/GMD-1821-363.pdf#page=3","Abrir facsímil")</f>
        <v>Abrir facsímil</v>
      </c>
      <c r="K7039" s="3" t="s">
        <v>23</v>
      </c>
    </row>
    <row r="7040" spans="1:11" ht="42" customHeight="1">
      <c r="A7040" s="2" t="s">
        <v>13604</v>
      </c>
      <c r="B7040" s="2" t="s">
        <v>13605</v>
      </c>
      <c r="C7040" s="2" t="s">
        <v>279</v>
      </c>
      <c r="D7040" s="2" t="s">
        <v>27</v>
      </c>
      <c r="E7040" s="5">
        <v>-28498</v>
      </c>
      <c r="F7040" s="3" t="s">
        <v>447</v>
      </c>
      <c r="G7040" s="3" t="s">
        <v>88</v>
      </c>
      <c r="H7040" s="2" t="s">
        <v>21</v>
      </c>
      <c r="I7040" s="2" t="s">
        <v>13628</v>
      </c>
      <c r="J7040" s="3" t="str">
        <f>HYPERLINK("https://www.boe.es/gazeta/dias/1821/12/21/pdfs/GMD-1821-364.pdf#page=4","Abrir facsímil")</f>
        <v>Abrir facsímil</v>
      </c>
      <c r="K7040" s="3" t="s">
        <v>23</v>
      </c>
    </row>
    <row r="7041" spans="1:11" ht="42" customHeight="1">
      <c r="A7041" s="2" t="s">
        <v>13604</v>
      </c>
      <c r="B7041" s="2" t="s">
        <v>13605</v>
      </c>
      <c r="C7041" s="2" t="s">
        <v>17</v>
      </c>
      <c r="D7041" s="2" t="s">
        <v>18</v>
      </c>
      <c r="E7041" s="5">
        <v>-28494</v>
      </c>
      <c r="F7041" s="3" t="s">
        <v>1665</v>
      </c>
      <c r="G7041" s="3" t="s">
        <v>1666</v>
      </c>
      <c r="H7041" s="2" t="s">
        <v>21</v>
      </c>
      <c r="I7041" s="2" t="s">
        <v>13629</v>
      </c>
      <c r="J7041" s="3" t="str">
        <f>HYPERLINK("https://www.boe.es/gazeta/dias/1821/12/25/pdfs/GMD-1821-368.pdf#page=3","Abrir facsímil")</f>
        <v>Abrir facsímil</v>
      </c>
      <c r="K7041" s="3" t="s">
        <v>23</v>
      </c>
    </row>
    <row r="7042" spans="1:11" ht="42" customHeight="1">
      <c r="A7042" s="2" t="s">
        <v>13604</v>
      </c>
      <c r="B7042" s="2" t="s">
        <v>13605</v>
      </c>
      <c r="C7042" s="2" t="s">
        <v>26</v>
      </c>
      <c r="D7042" s="2" t="s">
        <v>27</v>
      </c>
      <c r="E7042" s="5">
        <v>-28492</v>
      </c>
      <c r="F7042" s="3" t="s">
        <v>1550</v>
      </c>
      <c r="G7042" s="3" t="s">
        <v>20</v>
      </c>
      <c r="H7042" s="2" t="s">
        <v>21</v>
      </c>
      <c r="I7042" s="2" t="s">
        <v>13630</v>
      </c>
      <c r="J7042" s="3" t="str">
        <f>HYPERLINK("https://www.boe.es/gazeta/dias/1821/12/27/pdfs/GMD-1821-370.pdf#page=3","Abrir facsímil")</f>
        <v>Abrir facsímil</v>
      </c>
      <c r="K7042" s="3" t="s">
        <v>23</v>
      </c>
    </row>
    <row r="7043" spans="1:11" ht="42" customHeight="1">
      <c r="A7043" s="2" t="s">
        <v>13604</v>
      </c>
      <c r="B7043" s="2" t="s">
        <v>13605</v>
      </c>
      <c r="C7043" s="2" t="s">
        <v>26</v>
      </c>
      <c r="D7043" s="2" t="s">
        <v>27</v>
      </c>
      <c r="E7043" s="5">
        <v>-28490</v>
      </c>
      <c r="F7043" s="3" t="s">
        <v>801</v>
      </c>
      <c r="G7043" s="3" t="s">
        <v>52</v>
      </c>
      <c r="H7043" s="2" t="s">
        <v>21</v>
      </c>
      <c r="I7043" s="2" t="s">
        <v>13631</v>
      </c>
      <c r="J7043" s="3" t="str">
        <f>HYPERLINK("https://www.boe.es/gazeta/dias/1821/12/29/pdfs/GMD-1821-372.pdf#page=2","Abrir facsímil")</f>
        <v>Abrir facsímil</v>
      </c>
      <c r="K7043" s="3" t="s">
        <v>23</v>
      </c>
    </row>
    <row r="7044" spans="1:11" ht="42" customHeight="1">
      <c r="A7044" s="2" t="s">
        <v>13632</v>
      </c>
      <c r="B7044" s="2" t="s">
        <v>13632</v>
      </c>
      <c r="C7044" s="2" t="s">
        <v>17</v>
      </c>
      <c r="D7044" s="2" t="s">
        <v>18</v>
      </c>
      <c r="E7044" s="5">
        <v>-28809</v>
      </c>
      <c r="F7044" s="3" t="s">
        <v>1173</v>
      </c>
      <c r="G7044" s="3" t="s">
        <v>88</v>
      </c>
      <c r="H7044" s="2" t="s">
        <v>21</v>
      </c>
      <c r="I7044" s="2" t="s">
        <v>13633</v>
      </c>
      <c r="J7044" s="3" t="str">
        <f>HYPERLINK("https://www.boe.es/gazeta/dias/1821/02/13/pdfs/GGB-1821-44.pdf#page=4","Abrir facsímil")</f>
        <v>Abrir facsímil</v>
      </c>
      <c r="K7044" s="3" t="s">
        <v>23</v>
      </c>
    </row>
    <row r="7045" spans="1:11" ht="42" customHeight="1">
      <c r="A7045" s="2" t="s">
        <v>13634</v>
      </c>
      <c r="B7045" s="2" t="s">
        <v>13634</v>
      </c>
      <c r="C7045" s="2" t="s">
        <v>174</v>
      </c>
      <c r="D7045" s="2" t="s">
        <v>27</v>
      </c>
      <c r="E7045" s="5">
        <v>-28492</v>
      </c>
      <c r="F7045" s="3" t="s">
        <v>1550</v>
      </c>
      <c r="G7045" s="3" t="s">
        <v>52</v>
      </c>
      <c r="H7045" s="2" t="s">
        <v>21</v>
      </c>
      <c r="I7045" s="2" t="s">
        <v>13635</v>
      </c>
      <c r="J7045" s="3" t="str">
        <f>HYPERLINK("https://www.boe.es/gazeta/dias/1821/12/27/pdfs/GMD-1821-370.pdf#page=2","Abrir facsímil")</f>
        <v>Abrir facsímil</v>
      </c>
      <c r="K7045" s="3" t="s">
        <v>23</v>
      </c>
    </row>
    <row r="7046" spans="1:11" ht="42" customHeight="1">
      <c r="A7046" s="2" t="s">
        <v>13636</v>
      </c>
      <c r="B7046" s="2" t="s">
        <v>13636</v>
      </c>
      <c r="C7046" s="2" t="s">
        <v>40</v>
      </c>
      <c r="D7046" s="2" t="s">
        <v>41</v>
      </c>
      <c r="E7046" s="5">
        <v>-28530</v>
      </c>
      <c r="F7046" s="3" t="s">
        <v>237</v>
      </c>
      <c r="G7046" s="3" t="s">
        <v>20</v>
      </c>
      <c r="H7046" s="2" t="s">
        <v>21</v>
      </c>
      <c r="I7046" s="2" t="s">
        <v>13637</v>
      </c>
      <c r="J7046" s="3" t="str">
        <f>HYPERLINK("https://www.boe.es/gazeta/dias/1821/11/19/pdfs/GMD-1821-330.pdf#page=3","Abrir facsímil")</f>
        <v>Abrir facsímil</v>
      </c>
      <c r="K7046" s="3" t="s">
        <v>23</v>
      </c>
    </row>
    <row r="7047" spans="1:11" ht="42" customHeight="1">
      <c r="A7047" s="2" t="s">
        <v>13638</v>
      </c>
      <c r="B7047" s="2" t="s">
        <v>13639</v>
      </c>
      <c r="C7047" s="2" t="s">
        <v>26</v>
      </c>
      <c r="D7047" s="2" t="s">
        <v>27</v>
      </c>
      <c r="E7047" s="5">
        <v>-28584</v>
      </c>
      <c r="F7047" s="3" t="s">
        <v>4544</v>
      </c>
      <c r="G7047" s="3" t="s">
        <v>52</v>
      </c>
      <c r="H7047" s="2" t="s">
        <v>21</v>
      </c>
      <c r="I7047" s="2" t="s">
        <v>13640</v>
      </c>
      <c r="J7047" s="3" t="str">
        <f>HYPERLINK("https://www.boe.es/gazeta/dias/1821/09/26/pdfs/GMD-1821-274.pdf#page=2","Abrir facsímil")</f>
        <v>Abrir facsímil</v>
      </c>
      <c r="K7047" s="3" t="s">
        <v>23</v>
      </c>
    </row>
    <row r="7048" spans="1:11" ht="42" customHeight="1">
      <c r="A7048" s="2" t="s">
        <v>13641</v>
      </c>
      <c r="B7048" s="2" t="s">
        <v>13642</v>
      </c>
      <c r="C7048" s="2" t="s">
        <v>114</v>
      </c>
      <c r="D7048" s="2" t="s">
        <v>27</v>
      </c>
      <c r="E7048" s="5">
        <v>-28762</v>
      </c>
      <c r="F7048" s="3" t="s">
        <v>608</v>
      </c>
      <c r="G7048" s="3" t="s">
        <v>609</v>
      </c>
      <c r="H7048" s="2" t="s">
        <v>21</v>
      </c>
      <c r="I7048" s="2" t="s">
        <v>13643</v>
      </c>
      <c r="J7048" s="3" t="str">
        <f>HYPERLINK("https://www.boe.es/gazeta/dias/1821/04/01/pdfs/GMD-1821-93.pdf#page=7","Abrir facsímil")</f>
        <v>Abrir facsímil</v>
      </c>
      <c r="K7048" s="3" t="s">
        <v>23</v>
      </c>
    </row>
    <row r="7049" spans="1:11" ht="42" customHeight="1">
      <c r="A7049" s="2" t="s">
        <v>13644</v>
      </c>
      <c r="B7049" s="2" t="s">
        <v>13644</v>
      </c>
      <c r="C7049" s="2" t="s">
        <v>26</v>
      </c>
      <c r="D7049" s="2" t="s">
        <v>27</v>
      </c>
      <c r="E7049" s="5">
        <v>-28510</v>
      </c>
      <c r="F7049" s="3" t="s">
        <v>83</v>
      </c>
      <c r="G7049" s="3" t="s">
        <v>43</v>
      </c>
      <c r="H7049" s="2" t="s">
        <v>21</v>
      </c>
      <c r="I7049" s="2" t="s">
        <v>13645</v>
      </c>
      <c r="J7049" s="3" t="str">
        <f>HYPERLINK("https://www.boe.es/gazeta/dias/1821/12/09/pdfs/GMD-1821-351.pdf#page=1","Abrir facsímil")</f>
        <v>Abrir facsímil</v>
      </c>
      <c r="K7049" s="3" t="s">
        <v>23</v>
      </c>
    </row>
    <row r="7050" spans="1:11" ht="42" customHeight="1">
      <c r="A7050" s="2" t="s">
        <v>13646</v>
      </c>
      <c r="B7050" s="2" t="s">
        <v>13647</v>
      </c>
      <c r="C7050" s="2" t="s">
        <v>17</v>
      </c>
      <c r="D7050" s="2" t="s">
        <v>18</v>
      </c>
      <c r="E7050" s="5">
        <v>-28659</v>
      </c>
      <c r="F7050" s="3" t="s">
        <v>2850</v>
      </c>
      <c r="G7050" s="3" t="s">
        <v>5087</v>
      </c>
      <c r="H7050" s="2" t="s">
        <v>30</v>
      </c>
      <c r="I7050" s="2" t="s">
        <v>13648</v>
      </c>
      <c r="J7050" s="3" t="str">
        <f>HYPERLINK("https://www.boe.es/gazeta/dias/1821/07/13/pdfs/GMD-1821-198.pdf#page=4","Abrir facsímil")</f>
        <v>Abrir facsímil</v>
      </c>
      <c r="K7050" s="3" t="s">
        <v>32</v>
      </c>
    </row>
    <row r="7051" spans="1:11" ht="42" customHeight="1">
      <c r="A7051" s="2" t="s">
        <v>13649</v>
      </c>
      <c r="B7051" s="2" t="s">
        <v>13649</v>
      </c>
      <c r="C7051" s="2" t="s">
        <v>17</v>
      </c>
      <c r="D7051" s="2" t="s">
        <v>18</v>
      </c>
      <c r="E7051" s="5">
        <v>-28698</v>
      </c>
      <c r="F7051" s="3" t="s">
        <v>2067</v>
      </c>
      <c r="G7051" s="3" t="s">
        <v>3804</v>
      </c>
      <c r="H7051" s="2" t="s">
        <v>21</v>
      </c>
      <c r="I7051" s="2" t="s">
        <v>13650</v>
      </c>
      <c r="J7051" s="3" t="str">
        <f>HYPERLINK("https://www.boe.es/gazeta/dias/1821/06/04/pdfs/GMD-1821-157.pdf#page=2","Abrir facsímil")</f>
        <v>Abrir facsímil</v>
      </c>
      <c r="K7051" s="3" t="s">
        <v>23</v>
      </c>
    </row>
    <row r="7052" spans="1:11" ht="42" customHeight="1">
      <c r="A7052" s="2" t="s">
        <v>13649</v>
      </c>
      <c r="B7052" s="2" t="s">
        <v>13649</v>
      </c>
      <c r="C7052" s="2" t="s">
        <v>114</v>
      </c>
      <c r="D7052" s="2" t="s">
        <v>27</v>
      </c>
      <c r="E7052" s="5">
        <v>-28678</v>
      </c>
      <c r="F7052" s="3" t="s">
        <v>215</v>
      </c>
      <c r="G7052" s="3" t="s">
        <v>88</v>
      </c>
      <c r="H7052" s="2" t="s">
        <v>21</v>
      </c>
      <c r="I7052" s="2" t="s">
        <v>13651</v>
      </c>
      <c r="J7052" s="3" t="str">
        <f>HYPERLINK("https://www.boe.es/gazeta/dias/1821/06/24/pdfs/GMD-1821-177.pdf#page=4","Abrir facsímil")</f>
        <v>Abrir facsímil</v>
      </c>
      <c r="K7052" s="3" t="s">
        <v>23</v>
      </c>
    </row>
    <row r="7053" spans="1:11" ht="42" customHeight="1">
      <c r="A7053" s="2" t="s">
        <v>13649</v>
      </c>
      <c r="B7053" s="2" t="s">
        <v>13649</v>
      </c>
      <c r="C7053" s="2" t="s">
        <v>17</v>
      </c>
      <c r="D7053" s="2" t="s">
        <v>18</v>
      </c>
      <c r="E7053" s="5">
        <v>-28586</v>
      </c>
      <c r="F7053" s="3" t="s">
        <v>587</v>
      </c>
      <c r="G7053" s="3" t="s">
        <v>88</v>
      </c>
      <c r="H7053" s="2" t="s">
        <v>21</v>
      </c>
      <c r="I7053" s="2" t="s">
        <v>13652</v>
      </c>
      <c r="J7053" s="3" t="str">
        <f>HYPERLINK("https://www.boe.es/gazeta/dias/1821/09/24/pdfs/GMD-1821-272.pdf#page=4","Abrir facsímil")</f>
        <v>Abrir facsímil</v>
      </c>
      <c r="K7053" s="3" t="s">
        <v>23</v>
      </c>
    </row>
    <row r="7054" spans="1:11" ht="42" customHeight="1">
      <c r="A7054" s="2" t="s">
        <v>13649</v>
      </c>
      <c r="B7054" s="2" t="s">
        <v>13649</v>
      </c>
      <c r="C7054" s="2" t="s">
        <v>35</v>
      </c>
      <c r="D7054" s="2" t="s">
        <v>27</v>
      </c>
      <c r="E7054" s="5">
        <v>-28569</v>
      </c>
      <c r="F7054" s="3" t="s">
        <v>512</v>
      </c>
      <c r="G7054" s="3" t="s">
        <v>52</v>
      </c>
      <c r="H7054" s="2" t="s">
        <v>21</v>
      </c>
      <c r="I7054" s="2" t="s">
        <v>13653</v>
      </c>
      <c r="J7054" s="3" t="str">
        <f>HYPERLINK("https://www.boe.es/gazeta/dias/1821/10/11/pdfs/GMD-1821-290.pdf#page=2","Abrir facsímil")</f>
        <v>Abrir facsímil</v>
      </c>
      <c r="K7054" s="3" t="s">
        <v>23</v>
      </c>
    </row>
    <row r="7055" spans="1:11" ht="42" customHeight="1">
      <c r="A7055" s="2" t="s">
        <v>13649</v>
      </c>
      <c r="B7055" s="2" t="s">
        <v>13649</v>
      </c>
      <c r="C7055" s="2" t="s">
        <v>174</v>
      </c>
      <c r="D7055" s="2" t="s">
        <v>27</v>
      </c>
      <c r="E7055" s="5">
        <v>-28560</v>
      </c>
      <c r="F7055" s="3" t="s">
        <v>363</v>
      </c>
      <c r="G7055" s="3" t="s">
        <v>88</v>
      </c>
      <c r="H7055" s="2" t="s">
        <v>21</v>
      </c>
      <c r="I7055" s="2" t="s">
        <v>13654</v>
      </c>
      <c r="J7055" s="3" t="str">
        <f>HYPERLINK("https://www.boe.es/gazeta/dias/1821/10/20/pdfs/GMD-1821-299.pdf#page=4","Abrir facsímil")</f>
        <v>Abrir facsímil</v>
      </c>
      <c r="K7055" s="3" t="s">
        <v>23</v>
      </c>
    </row>
    <row r="7056" spans="1:11" ht="42" customHeight="1">
      <c r="A7056" s="2" t="s">
        <v>13649</v>
      </c>
      <c r="B7056" s="2" t="s">
        <v>13649</v>
      </c>
      <c r="C7056" s="2" t="s">
        <v>35</v>
      </c>
      <c r="D7056" s="2" t="s">
        <v>27</v>
      </c>
      <c r="E7056" s="5">
        <v>-28553</v>
      </c>
      <c r="F7056" s="3" t="s">
        <v>182</v>
      </c>
      <c r="G7056" s="3" t="s">
        <v>20</v>
      </c>
      <c r="H7056" s="2" t="s">
        <v>21</v>
      </c>
      <c r="I7056" s="2" t="s">
        <v>13655</v>
      </c>
      <c r="J7056" s="3" t="str">
        <f>HYPERLINK("https://www.boe.es/gazeta/dias/1821/10/27/pdfs/GMD-1821-306.pdf#page=3","Abrir facsímil")</f>
        <v>Abrir facsímil</v>
      </c>
      <c r="K7056" s="3" t="s">
        <v>23</v>
      </c>
    </row>
    <row r="7057" spans="1:11" ht="42" customHeight="1">
      <c r="A7057" s="2" t="s">
        <v>13649</v>
      </c>
      <c r="B7057" s="2" t="s">
        <v>13649</v>
      </c>
      <c r="C7057" s="2" t="s">
        <v>26</v>
      </c>
      <c r="D7057" s="2" t="s">
        <v>27</v>
      </c>
      <c r="E7057" s="5">
        <v>-28553</v>
      </c>
      <c r="F7057" s="3" t="s">
        <v>182</v>
      </c>
      <c r="G7057" s="3" t="s">
        <v>88</v>
      </c>
      <c r="H7057" s="2" t="s">
        <v>21</v>
      </c>
      <c r="I7057" s="2" t="s">
        <v>13656</v>
      </c>
      <c r="J7057" s="3" t="str">
        <f>HYPERLINK("https://www.boe.es/gazeta/dias/1821/10/27/pdfs/GMD-1821-306.pdf#page=4","Abrir facsímil")</f>
        <v>Abrir facsímil</v>
      </c>
      <c r="K7057" s="3" t="s">
        <v>23</v>
      </c>
    </row>
    <row r="7058" spans="1:11" ht="42" customHeight="1">
      <c r="A7058" s="2" t="s">
        <v>13649</v>
      </c>
      <c r="B7058" s="2" t="s">
        <v>13649</v>
      </c>
      <c r="C7058" s="2" t="s">
        <v>70</v>
      </c>
      <c r="D7058" s="2" t="s">
        <v>27</v>
      </c>
      <c r="E7058" s="5">
        <v>-28519</v>
      </c>
      <c r="F7058" s="3" t="s">
        <v>880</v>
      </c>
      <c r="G7058" s="3" t="s">
        <v>3835</v>
      </c>
      <c r="H7058" s="2" t="s">
        <v>21</v>
      </c>
      <c r="I7058" s="2" t="s">
        <v>13657</v>
      </c>
      <c r="J7058" s="3" t="str">
        <f>HYPERLINK("https://www.boe.es/gazeta/dias/1821/11/30/pdfs/GMD-1821-342.pdf#page=3","Abrir facsímil")</f>
        <v>Abrir facsímil</v>
      </c>
      <c r="K7058" s="3" t="s">
        <v>23</v>
      </c>
    </row>
    <row r="7059" spans="1:11" ht="42" customHeight="1">
      <c r="A7059" s="2" t="s">
        <v>13649</v>
      </c>
      <c r="B7059" s="2" t="s">
        <v>13649</v>
      </c>
      <c r="C7059" s="2" t="s">
        <v>26</v>
      </c>
      <c r="D7059" s="2" t="s">
        <v>27</v>
      </c>
      <c r="E7059" s="5">
        <v>-28516</v>
      </c>
      <c r="F7059" s="3" t="s">
        <v>514</v>
      </c>
      <c r="G7059" s="3" t="s">
        <v>29</v>
      </c>
      <c r="H7059" s="2" t="s">
        <v>21</v>
      </c>
      <c r="I7059" s="2" t="s">
        <v>13658</v>
      </c>
      <c r="J7059" s="3" t="str">
        <f>HYPERLINK("https://www.boe.es/gazeta/dias/1821/12/03/pdfs/GMD-1821-345.pdf#page=6","Abrir facsímil")</f>
        <v>Abrir facsímil</v>
      </c>
      <c r="K7059" s="3" t="s">
        <v>23</v>
      </c>
    </row>
    <row r="7060" spans="1:11" ht="42" customHeight="1">
      <c r="A7060" s="2" t="s">
        <v>13649</v>
      </c>
      <c r="B7060" s="2" t="s">
        <v>13649</v>
      </c>
      <c r="C7060" s="2" t="s">
        <v>26</v>
      </c>
      <c r="D7060" s="2" t="s">
        <v>27</v>
      </c>
      <c r="E7060" s="5">
        <v>-28515</v>
      </c>
      <c r="F7060" s="3" t="s">
        <v>260</v>
      </c>
      <c r="G7060" s="3" t="s">
        <v>162</v>
      </c>
      <c r="H7060" s="2" t="s">
        <v>21</v>
      </c>
      <c r="I7060" s="2" t="s">
        <v>13659</v>
      </c>
      <c r="J7060" s="3" t="str">
        <f>HYPERLINK("https://www.boe.es/gazeta/dias/1821/12/04/pdfs/GMD-1821-346.pdf#page=5","Abrir facsímil")</f>
        <v>Abrir facsímil</v>
      </c>
      <c r="K7060" s="3" t="s">
        <v>23</v>
      </c>
    </row>
    <row r="7061" spans="1:11" ht="42" customHeight="1">
      <c r="A7061" s="2" t="s">
        <v>13649</v>
      </c>
      <c r="B7061" s="2" t="s">
        <v>13649</v>
      </c>
      <c r="C7061" s="2" t="s">
        <v>17</v>
      </c>
      <c r="D7061" s="2" t="s">
        <v>18</v>
      </c>
      <c r="E7061" s="5">
        <v>-28506</v>
      </c>
      <c r="F7061" s="3" t="s">
        <v>1095</v>
      </c>
      <c r="G7061" s="3" t="s">
        <v>3686</v>
      </c>
      <c r="H7061" s="2" t="s">
        <v>21</v>
      </c>
      <c r="I7061" s="2" t="s">
        <v>13660</v>
      </c>
      <c r="J7061" s="3" t="str">
        <f>HYPERLINK("https://www.boe.es/gazeta/dias/1821/12/13/pdfs/GMD-1821-356.pdf#page=2","Abrir facsímil")</f>
        <v>Abrir facsímil</v>
      </c>
      <c r="K7061" s="3" t="s">
        <v>23</v>
      </c>
    </row>
    <row r="7062" spans="1:11" ht="42" customHeight="1">
      <c r="A7062" s="2" t="s">
        <v>13649</v>
      </c>
      <c r="B7062" s="2" t="s">
        <v>13649</v>
      </c>
      <c r="C7062" s="2" t="s">
        <v>26</v>
      </c>
      <c r="D7062" s="2" t="s">
        <v>27</v>
      </c>
      <c r="E7062" s="5">
        <v>-28506</v>
      </c>
      <c r="F7062" s="3" t="s">
        <v>1095</v>
      </c>
      <c r="G7062" s="3" t="s">
        <v>88</v>
      </c>
      <c r="H7062" s="2" t="s">
        <v>21</v>
      </c>
      <c r="I7062" s="2" t="s">
        <v>13661</v>
      </c>
      <c r="J7062" s="3" t="str">
        <f>HYPERLINK("https://www.boe.es/gazeta/dias/1821/12/13/pdfs/GMD-1821-356.pdf#page=4","Abrir facsímil")</f>
        <v>Abrir facsímil</v>
      </c>
      <c r="K7062" s="3" t="s">
        <v>23</v>
      </c>
    </row>
    <row r="7063" spans="1:11" ht="42" customHeight="1">
      <c r="A7063" s="2" t="s">
        <v>13649</v>
      </c>
      <c r="B7063" s="2" t="s">
        <v>13649</v>
      </c>
      <c r="C7063" s="2" t="s">
        <v>35</v>
      </c>
      <c r="D7063" s="2" t="s">
        <v>27</v>
      </c>
      <c r="E7063" s="5">
        <v>-28501</v>
      </c>
      <c r="F7063" s="3" t="s">
        <v>456</v>
      </c>
      <c r="G7063" s="3" t="s">
        <v>88</v>
      </c>
      <c r="H7063" s="2" t="s">
        <v>21</v>
      </c>
      <c r="I7063" s="2" t="s">
        <v>13662</v>
      </c>
      <c r="J7063" s="3" t="str">
        <f>HYPERLINK("https://www.boe.es/gazeta/dias/1821/12/18/pdfs/GMD-1821-361.pdf#page=4","Abrir facsímil")</f>
        <v>Abrir facsímil</v>
      </c>
      <c r="K7063" s="3" t="s">
        <v>23</v>
      </c>
    </row>
    <row r="7064" spans="1:11" ht="42" customHeight="1">
      <c r="A7064" s="2" t="s">
        <v>13649</v>
      </c>
      <c r="B7064" s="2" t="s">
        <v>13649</v>
      </c>
      <c r="C7064" s="2" t="s">
        <v>70</v>
      </c>
      <c r="D7064" s="2" t="s">
        <v>27</v>
      </c>
      <c r="E7064" s="5">
        <v>-28500</v>
      </c>
      <c r="F7064" s="3" t="s">
        <v>298</v>
      </c>
      <c r="G7064" s="3" t="s">
        <v>20</v>
      </c>
      <c r="H7064" s="2" t="s">
        <v>21</v>
      </c>
      <c r="I7064" s="2" t="s">
        <v>13663</v>
      </c>
      <c r="J7064" s="3" t="str">
        <f>HYPERLINK("https://www.boe.es/gazeta/dias/1821/12/19/pdfs/GMD-1821-362.pdf#page=3","Abrir facsímil")</f>
        <v>Abrir facsímil</v>
      </c>
      <c r="K7064" s="3" t="s">
        <v>23</v>
      </c>
    </row>
    <row r="7065" spans="1:11" ht="42" customHeight="1">
      <c r="A7065" s="2" t="s">
        <v>13664</v>
      </c>
      <c r="B7065" s="2" t="s">
        <v>13665</v>
      </c>
      <c r="C7065" s="2" t="s">
        <v>40</v>
      </c>
      <c r="D7065" s="2" t="s">
        <v>41</v>
      </c>
      <c r="E7065" s="5">
        <v>-28697</v>
      </c>
      <c r="F7065" s="3" t="s">
        <v>166</v>
      </c>
      <c r="G7065" s="3" t="s">
        <v>52</v>
      </c>
      <c r="H7065" s="2" t="s">
        <v>21</v>
      </c>
      <c r="I7065" s="2" t="s">
        <v>13666</v>
      </c>
      <c r="J7065" s="3" t="str">
        <f>HYPERLINK("https://www.boe.es/gazeta/dias/1821/06/05/pdfs/GMD-1821-158.pdf#page=2","Abrir facsímil")</f>
        <v>Abrir facsímil</v>
      </c>
      <c r="K7065" s="3" t="s">
        <v>23</v>
      </c>
    </row>
    <row r="7066" spans="1:11" ht="42" customHeight="1">
      <c r="A7066" s="2" t="s">
        <v>13667</v>
      </c>
      <c r="B7066" s="2" t="s">
        <v>13668</v>
      </c>
      <c r="C7066" s="2" t="s">
        <v>70</v>
      </c>
      <c r="D7066" s="2" t="s">
        <v>27</v>
      </c>
      <c r="E7066" s="5">
        <v>-28732</v>
      </c>
      <c r="F7066" s="3" t="s">
        <v>2628</v>
      </c>
      <c r="G7066" s="3" t="s">
        <v>52</v>
      </c>
      <c r="H7066" s="2" t="s">
        <v>21</v>
      </c>
      <c r="I7066" s="2" t="s">
        <v>13669</v>
      </c>
      <c r="J7066" s="3" t="str">
        <f>HYPERLINK("https://www.boe.es/gazeta/dias/1821/05/01/pdfs/GMD-1821-123.pdf#page=2","Abrir facsímil")</f>
        <v>Abrir facsímil</v>
      </c>
      <c r="K7066" s="3" t="s">
        <v>23</v>
      </c>
    </row>
    <row r="7067" spans="1:11" ht="42" customHeight="1">
      <c r="A7067" s="2" t="s">
        <v>13670</v>
      </c>
      <c r="B7067" s="2" t="s">
        <v>13670</v>
      </c>
      <c r="C7067" s="2" t="s">
        <v>17</v>
      </c>
      <c r="D7067" s="2" t="s">
        <v>18</v>
      </c>
      <c r="E7067" s="5">
        <v>-28520</v>
      </c>
      <c r="F7067" s="3" t="s">
        <v>878</v>
      </c>
      <c r="G7067" s="3" t="s">
        <v>20</v>
      </c>
      <c r="H7067" s="2" t="s">
        <v>21</v>
      </c>
      <c r="I7067" s="2" t="s">
        <v>13671</v>
      </c>
      <c r="J7067" s="3" t="str">
        <f>HYPERLINK("https://www.boe.es/gazeta/dias/1821/11/29/pdfs/GMD-1821-341.pdf#page=3","Abrir facsímil")</f>
        <v>Abrir facsímil</v>
      </c>
      <c r="K7067" s="3" t="s">
        <v>23</v>
      </c>
    </row>
    <row r="7068" spans="1:11" ht="42" customHeight="1">
      <c r="A7068" s="2" t="s">
        <v>13672</v>
      </c>
      <c r="B7068" s="2" t="s">
        <v>13672</v>
      </c>
      <c r="C7068" s="2" t="s">
        <v>17</v>
      </c>
      <c r="D7068" s="2" t="s">
        <v>18</v>
      </c>
      <c r="E7068" s="5">
        <v>-28510</v>
      </c>
      <c r="F7068" s="3" t="s">
        <v>83</v>
      </c>
      <c r="G7068" s="3" t="s">
        <v>52</v>
      </c>
      <c r="H7068" s="2" t="s">
        <v>21</v>
      </c>
      <c r="I7068" s="2" t="s">
        <v>13673</v>
      </c>
      <c r="J7068" s="3" t="str">
        <f>HYPERLINK("https://www.boe.es/gazeta/dias/1821/12/09/pdfs/GMD-1821-351.pdf#page=2","Abrir facsímil")</f>
        <v>Abrir facsímil</v>
      </c>
      <c r="K7068" s="3" t="s">
        <v>23</v>
      </c>
    </row>
    <row r="7069" spans="1:11" ht="42" customHeight="1">
      <c r="A7069" s="2" t="s">
        <v>13674</v>
      </c>
      <c r="B7069" s="2" t="s">
        <v>13674</v>
      </c>
      <c r="C7069" s="2" t="s">
        <v>174</v>
      </c>
      <c r="D7069" s="2" t="s">
        <v>27</v>
      </c>
      <c r="E7069" s="5">
        <v>-28764</v>
      </c>
      <c r="F7069" s="3" t="s">
        <v>924</v>
      </c>
      <c r="G7069" s="3" t="s">
        <v>52</v>
      </c>
      <c r="H7069" s="2" t="s">
        <v>21</v>
      </c>
      <c r="I7069" s="2" t="s">
        <v>13675</v>
      </c>
      <c r="J7069" s="3" t="str">
        <f>HYPERLINK("https://www.boe.es/gazeta/dias/1821/03/30/pdfs/GMD-1821-91.pdf#page=2","Abrir facsímil")</f>
        <v>Abrir facsímil</v>
      </c>
      <c r="K7069" s="3" t="s">
        <v>23</v>
      </c>
    </row>
    <row r="7070" spans="1:11" ht="42" customHeight="1">
      <c r="A7070" s="2" t="s">
        <v>13676</v>
      </c>
      <c r="B7070" s="2" t="s">
        <v>13677</v>
      </c>
      <c r="C7070" s="2" t="s">
        <v>17</v>
      </c>
      <c r="D7070" s="2" t="s">
        <v>18</v>
      </c>
      <c r="E7070" s="5">
        <v>-28703</v>
      </c>
      <c r="F7070" s="3" t="s">
        <v>231</v>
      </c>
      <c r="G7070" s="3" t="s">
        <v>52</v>
      </c>
      <c r="H7070" s="2" t="s">
        <v>30</v>
      </c>
      <c r="I7070" s="2" t="s">
        <v>13678</v>
      </c>
      <c r="J7070" s="3" t="str">
        <f>HYPERLINK("https://www.boe.es/gazeta/dias/1821/05/30/pdfs/GMD-1821-152.pdf#page=2","Abrir facsímil")</f>
        <v>Abrir facsímil</v>
      </c>
      <c r="K7070" s="3" t="s">
        <v>32</v>
      </c>
    </row>
    <row r="7071" spans="1:11" ht="42" customHeight="1">
      <c r="A7071" s="2" t="s">
        <v>13679</v>
      </c>
      <c r="B7071" s="2" t="s">
        <v>13679</v>
      </c>
      <c r="C7071" s="2" t="s">
        <v>40</v>
      </c>
      <c r="D7071" s="2" t="s">
        <v>41</v>
      </c>
      <c r="E7071" s="5">
        <v>-28673</v>
      </c>
      <c r="F7071" s="3" t="s">
        <v>1069</v>
      </c>
      <c r="G7071" s="3" t="s">
        <v>88</v>
      </c>
      <c r="H7071" s="2" t="s">
        <v>21</v>
      </c>
      <c r="I7071" s="2" t="s">
        <v>13680</v>
      </c>
      <c r="J7071" s="3" t="str">
        <f>HYPERLINK("https://www.boe.es/gazeta/dias/1821/06/29/pdfs/GMD-1821-182.pdf#page=4","Abrir facsímil")</f>
        <v>Abrir facsímil</v>
      </c>
      <c r="K7071" s="3" t="s">
        <v>23</v>
      </c>
    </row>
    <row r="7072" spans="1:11" ht="42" customHeight="1">
      <c r="A7072" s="2" t="s">
        <v>13681</v>
      </c>
      <c r="B7072" s="2" t="s">
        <v>13682</v>
      </c>
      <c r="C7072" s="2" t="s">
        <v>40</v>
      </c>
      <c r="D7072" s="2" t="s">
        <v>41</v>
      </c>
      <c r="E7072" s="5">
        <v>-28547</v>
      </c>
      <c r="F7072" s="3" t="s">
        <v>247</v>
      </c>
      <c r="G7072" s="3" t="s">
        <v>43</v>
      </c>
      <c r="H7072" s="2" t="s">
        <v>21</v>
      </c>
      <c r="I7072" s="2" t="s">
        <v>13683</v>
      </c>
      <c r="J7072" s="3" t="str">
        <f>HYPERLINK("https://www.boe.es/gazeta/dias/1821/11/02/pdfs/GMD-1821-312.pdf#page=1","Abrir facsímil")</f>
        <v>Abrir facsímil</v>
      </c>
      <c r="K7072" s="3" t="s">
        <v>23</v>
      </c>
    </row>
    <row r="7073" spans="1:11" ht="42" customHeight="1">
      <c r="A7073" s="2" t="s">
        <v>13684</v>
      </c>
      <c r="B7073" s="2" t="s">
        <v>13684</v>
      </c>
      <c r="C7073" s="2" t="s">
        <v>40</v>
      </c>
      <c r="D7073" s="2" t="s">
        <v>41</v>
      </c>
      <c r="E7073" s="5">
        <v>-28798</v>
      </c>
      <c r="F7073" s="3" t="s">
        <v>60</v>
      </c>
      <c r="G7073" s="3" t="s">
        <v>43</v>
      </c>
      <c r="H7073" s="2" t="s">
        <v>21</v>
      </c>
      <c r="I7073" s="2" t="s">
        <v>13685</v>
      </c>
      <c r="J7073" s="3" t="str">
        <f>HYPERLINK("https://www.boe.es/gazeta/dias/1821/02/24/pdfs/GGB-1821-55.pdf#page=1","Abrir facsímil")</f>
        <v>Abrir facsímil</v>
      </c>
      <c r="K7073" s="3" t="s">
        <v>23</v>
      </c>
    </row>
    <row r="7074" spans="1:11" ht="42" customHeight="1">
      <c r="A7074" s="2" t="s">
        <v>13686</v>
      </c>
      <c r="B7074" s="2" t="s">
        <v>13686</v>
      </c>
      <c r="C7074" s="2" t="s">
        <v>40</v>
      </c>
      <c r="D7074" s="2" t="s">
        <v>41</v>
      </c>
      <c r="E7074" s="5">
        <v>-28808</v>
      </c>
      <c r="F7074" s="3" t="s">
        <v>3445</v>
      </c>
      <c r="G7074" s="3" t="s">
        <v>52</v>
      </c>
      <c r="H7074" s="2" t="s">
        <v>21</v>
      </c>
      <c r="I7074" s="2" t="s">
        <v>13687</v>
      </c>
      <c r="J7074" s="3" t="str">
        <f>HYPERLINK("https://www.boe.es/gazeta/dias/1821/02/14/pdfs/GGB-1821-45.pdf#page=2","Abrir facsímil")</f>
        <v>Abrir facsímil</v>
      </c>
      <c r="K7074" s="3" t="s">
        <v>23</v>
      </c>
    </row>
    <row r="7075" spans="1:11" ht="42" customHeight="1">
      <c r="A7075" s="2" t="s">
        <v>13686</v>
      </c>
      <c r="B7075" s="2" t="s">
        <v>13686</v>
      </c>
      <c r="C7075" s="2" t="s">
        <v>40</v>
      </c>
      <c r="D7075" s="2" t="s">
        <v>41</v>
      </c>
      <c r="E7075" s="5">
        <v>-28726</v>
      </c>
      <c r="F7075" s="3" t="s">
        <v>347</v>
      </c>
      <c r="G7075" s="3" t="s">
        <v>52</v>
      </c>
      <c r="H7075" s="2" t="s">
        <v>21</v>
      </c>
      <c r="I7075" s="2" t="s">
        <v>13688</v>
      </c>
      <c r="J7075" s="3" t="str">
        <f>HYPERLINK("https://www.boe.es/gazeta/dias/1821/05/07/pdfs/GMD-1821-129.pdf#page=2","Abrir facsímil")</f>
        <v>Abrir facsímil</v>
      </c>
      <c r="K7075" s="3" t="s">
        <v>23</v>
      </c>
    </row>
    <row r="7076" spans="1:11" ht="42" customHeight="1">
      <c r="A7076" s="2" t="s">
        <v>13686</v>
      </c>
      <c r="B7076" s="2" t="s">
        <v>13686</v>
      </c>
      <c r="C7076" s="2" t="s">
        <v>40</v>
      </c>
      <c r="D7076" s="2" t="s">
        <v>41</v>
      </c>
      <c r="E7076" s="5">
        <v>-28504</v>
      </c>
      <c r="F7076" s="3" t="s">
        <v>1098</v>
      </c>
      <c r="G7076" s="3" t="s">
        <v>333</v>
      </c>
      <c r="H7076" s="2" t="s">
        <v>21</v>
      </c>
      <c r="I7076" s="2" t="s">
        <v>13689</v>
      </c>
      <c r="J7076" s="3" t="str">
        <f>HYPERLINK("https://www.boe.es/gazeta/dias/1821/12/15/pdfs/GMD-1821-358.pdf#page=8","Abrir facsímil")</f>
        <v>Abrir facsímil</v>
      </c>
      <c r="K7076" s="3" t="s">
        <v>23</v>
      </c>
    </row>
    <row r="7077" spans="1:11" ht="42" customHeight="1">
      <c r="A7077" s="2" t="s">
        <v>13690</v>
      </c>
      <c r="B7077" s="2" t="s">
        <v>13691</v>
      </c>
      <c r="C7077" s="2" t="s">
        <v>40</v>
      </c>
      <c r="D7077" s="2" t="s">
        <v>41</v>
      </c>
      <c r="E7077" s="5">
        <v>-28808</v>
      </c>
      <c r="F7077" s="3" t="s">
        <v>3445</v>
      </c>
      <c r="G7077" s="3" t="s">
        <v>52</v>
      </c>
      <c r="H7077" s="2" t="s">
        <v>30</v>
      </c>
      <c r="I7077" s="2" t="s">
        <v>13692</v>
      </c>
      <c r="J7077" s="3" t="str">
        <f>HYPERLINK("https://www.boe.es/gazeta/dias/1821/02/14/pdfs/GGB-1821-45.pdf#page=2","Abrir facsímil")</f>
        <v>Abrir facsímil</v>
      </c>
      <c r="K7077" s="3" t="s">
        <v>32</v>
      </c>
    </row>
    <row r="7078" spans="1:11" ht="42" customHeight="1">
      <c r="A7078" s="2" t="s">
        <v>13693</v>
      </c>
      <c r="B7078" s="2" t="s">
        <v>13693</v>
      </c>
      <c r="C7078" s="2" t="s">
        <v>70</v>
      </c>
      <c r="D7078" s="2" t="s">
        <v>27</v>
      </c>
      <c r="E7078" s="5">
        <v>-28786</v>
      </c>
      <c r="F7078" s="3" t="s">
        <v>1933</v>
      </c>
      <c r="G7078" s="3" t="s">
        <v>88</v>
      </c>
      <c r="H7078" s="2" t="s">
        <v>21</v>
      </c>
      <c r="I7078" s="2" t="s">
        <v>13694</v>
      </c>
      <c r="J7078" s="3" t="str">
        <f>HYPERLINK("https://www.boe.es/gazeta/dias/1821/03/08/pdfs/GGB-1821-67.pdf#page=4","Abrir facsímil")</f>
        <v>Abrir facsímil</v>
      </c>
      <c r="K7078" s="3" t="s">
        <v>23</v>
      </c>
    </row>
    <row r="7079" spans="1:11" ht="42" customHeight="1">
      <c r="A7079" s="2" t="s">
        <v>13695</v>
      </c>
      <c r="B7079" s="2" t="s">
        <v>13696</v>
      </c>
      <c r="C7079" s="2" t="s">
        <v>17</v>
      </c>
      <c r="D7079" s="2" t="s">
        <v>18</v>
      </c>
      <c r="E7079" s="5">
        <v>-28786</v>
      </c>
      <c r="F7079" s="3" t="s">
        <v>1933</v>
      </c>
      <c r="G7079" s="3" t="s">
        <v>88</v>
      </c>
      <c r="H7079" s="2" t="s">
        <v>21</v>
      </c>
      <c r="I7079" s="2" t="s">
        <v>13697</v>
      </c>
      <c r="J7079" s="3" t="str">
        <f>HYPERLINK("https://www.boe.es/gazeta/dias/1821/03/08/pdfs/GGB-1821-67.pdf#page=4","Abrir facsímil")</f>
        <v>Abrir facsímil</v>
      </c>
      <c r="K7079" s="3" t="s">
        <v>23</v>
      </c>
    </row>
    <row r="7080" spans="1:11" ht="42" customHeight="1">
      <c r="A7080" s="2" t="s">
        <v>13698</v>
      </c>
      <c r="B7080" s="2" t="s">
        <v>13699</v>
      </c>
      <c r="C7080" s="2" t="s">
        <v>35</v>
      </c>
      <c r="D7080" s="2" t="s">
        <v>27</v>
      </c>
      <c r="E7080" s="5">
        <v>-28782</v>
      </c>
      <c r="F7080" s="3" t="s">
        <v>508</v>
      </c>
      <c r="G7080" s="3" t="s">
        <v>88</v>
      </c>
      <c r="H7080" s="2" t="s">
        <v>21</v>
      </c>
      <c r="I7080" s="2" t="s">
        <v>13700</v>
      </c>
      <c r="J7080" s="3" t="str">
        <f>HYPERLINK("https://www.boe.es/gazeta/dias/1821/03/12/pdfs/GMD-1821-71.pdf#page=4","Abrir facsímil")</f>
        <v>Abrir facsímil</v>
      </c>
      <c r="K7080" s="3" t="s">
        <v>23</v>
      </c>
    </row>
    <row r="7081" spans="1:11" ht="42" customHeight="1">
      <c r="A7081" s="2" t="s">
        <v>13701</v>
      </c>
      <c r="B7081" s="2" t="s">
        <v>13702</v>
      </c>
      <c r="C7081" s="2" t="s">
        <v>40</v>
      </c>
      <c r="D7081" s="2" t="s">
        <v>41</v>
      </c>
      <c r="E7081" s="5">
        <v>-28780</v>
      </c>
      <c r="F7081" s="3" t="s">
        <v>143</v>
      </c>
      <c r="G7081" s="3" t="s">
        <v>20</v>
      </c>
      <c r="H7081" s="2" t="s">
        <v>21</v>
      </c>
      <c r="I7081" s="2" t="s">
        <v>13703</v>
      </c>
      <c r="J7081" s="3" t="str">
        <f>HYPERLINK("https://www.boe.es/gazeta/dias/1821/03/14/pdfs/GMD-1821-73.pdf#page=3","Abrir facsímil")</f>
        <v>Abrir facsímil</v>
      </c>
      <c r="K7081" s="3" t="s">
        <v>23</v>
      </c>
    </row>
    <row r="7082" spans="1:11" ht="42" customHeight="1">
      <c r="A7082" s="2" t="s">
        <v>13704</v>
      </c>
      <c r="B7082" s="2" t="s">
        <v>13705</v>
      </c>
      <c r="C7082" s="2" t="s">
        <v>40</v>
      </c>
      <c r="D7082" s="2" t="s">
        <v>41</v>
      </c>
      <c r="E7082" s="5">
        <v>-28777</v>
      </c>
      <c r="F7082" s="3" t="s">
        <v>1004</v>
      </c>
      <c r="G7082" s="3" t="s">
        <v>88</v>
      </c>
      <c r="H7082" s="2" t="s">
        <v>21</v>
      </c>
      <c r="I7082" s="2" t="s">
        <v>13706</v>
      </c>
      <c r="J7082" s="3" t="str">
        <f>HYPERLINK("https://www.boe.es/gazeta/dias/1821/03/17/pdfs/GMD-1821-76.pdf#page=4","Abrir facsímil")</f>
        <v>Abrir facsímil</v>
      </c>
      <c r="K7082" s="3" t="s">
        <v>23</v>
      </c>
    </row>
    <row r="7083" spans="1:11" ht="42" customHeight="1">
      <c r="A7083" s="2" t="s">
        <v>13707</v>
      </c>
      <c r="B7083" s="2" t="s">
        <v>13707</v>
      </c>
      <c r="C7083" s="2" t="s">
        <v>40</v>
      </c>
      <c r="D7083" s="2" t="s">
        <v>41</v>
      </c>
      <c r="E7083" s="5">
        <v>-28745</v>
      </c>
      <c r="F7083" s="3" t="s">
        <v>1020</v>
      </c>
      <c r="G7083" s="3" t="s">
        <v>52</v>
      </c>
      <c r="H7083" s="2" t="s">
        <v>21</v>
      </c>
      <c r="I7083" s="2" t="s">
        <v>13708</v>
      </c>
      <c r="J7083" s="3" t="str">
        <f>HYPERLINK("https://www.boe.es/gazeta/dias/1821/04/18/pdfs/GMD-1821-110.pdf#page=2","Abrir facsímil")</f>
        <v>Abrir facsímil</v>
      </c>
      <c r="K7083" s="3" t="s">
        <v>23</v>
      </c>
    </row>
    <row r="7084" spans="1:11" ht="42" customHeight="1">
      <c r="A7084" s="2" t="s">
        <v>13707</v>
      </c>
      <c r="B7084" s="2" t="s">
        <v>13707</v>
      </c>
      <c r="C7084" s="2" t="s">
        <v>17</v>
      </c>
      <c r="D7084" s="2" t="s">
        <v>18</v>
      </c>
      <c r="E7084" s="5">
        <v>-28684</v>
      </c>
      <c r="F7084" s="3" t="s">
        <v>208</v>
      </c>
      <c r="G7084" s="3" t="s">
        <v>52</v>
      </c>
      <c r="H7084" s="2" t="s">
        <v>21</v>
      </c>
      <c r="I7084" s="2" t="s">
        <v>13709</v>
      </c>
      <c r="J7084" s="3" t="str">
        <f>HYPERLINK("https://www.boe.es/gazeta/dias/1821/06/18/pdfs/GMD-1821-171.pdf#page=2","Abrir facsímil")</f>
        <v>Abrir facsímil</v>
      </c>
      <c r="K7084" s="3" t="s">
        <v>23</v>
      </c>
    </row>
    <row r="7085" spans="1:11" ht="42" customHeight="1">
      <c r="A7085" s="2" t="s">
        <v>13710</v>
      </c>
      <c r="B7085" s="2" t="s">
        <v>13710</v>
      </c>
      <c r="C7085" s="2" t="s">
        <v>40</v>
      </c>
      <c r="D7085" s="2" t="s">
        <v>41</v>
      </c>
      <c r="E7085" s="5">
        <v>-28615</v>
      </c>
      <c r="F7085" s="3" t="s">
        <v>427</v>
      </c>
      <c r="G7085" s="3" t="s">
        <v>43</v>
      </c>
      <c r="H7085" s="2" t="s">
        <v>21</v>
      </c>
      <c r="I7085" s="2" t="s">
        <v>13711</v>
      </c>
      <c r="J7085" s="3" t="str">
        <f>HYPERLINK("https://www.boe.es/gazeta/dias/1821/08/26/pdfs/GMD-1821-243.pdf#page=1","Abrir facsímil")</f>
        <v>Abrir facsímil</v>
      </c>
      <c r="K7085" s="3" t="s">
        <v>23</v>
      </c>
    </row>
    <row r="7086" spans="1:11" ht="42" customHeight="1">
      <c r="A7086" s="2" t="s">
        <v>13712</v>
      </c>
      <c r="B7086" s="2" t="s">
        <v>13713</v>
      </c>
      <c r="C7086" s="2" t="s">
        <v>40</v>
      </c>
      <c r="D7086" s="2" t="s">
        <v>41</v>
      </c>
      <c r="E7086" s="5">
        <v>-28651</v>
      </c>
      <c r="F7086" s="3" t="s">
        <v>1518</v>
      </c>
      <c r="G7086" s="3" t="s">
        <v>1917</v>
      </c>
      <c r="H7086" s="2" t="s">
        <v>30</v>
      </c>
      <c r="I7086" s="2" t="s">
        <v>13714</v>
      </c>
      <c r="J7086" s="3" t="str">
        <f>HYPERLINK("https://www.boe.es/gazeta/dias/1821/07/21/pdfs/GMD-1821-206.pdf#page=3","Abrir facsímil")</f>
        <v>Abrir facsímil</v>
      </c>
      <c r="K7086" s="3" t="s">
        <v>32</v>
      </c>
    </row>
    <row r="7087" spans="1:11" ht="42" customHeight="1">
      <c r="A7087" s="2" t="s">
        <v>13715</v>
      </c>
      <c r="B7087" s="2" t="s">
        <v>13716</v>
      </c>
      <c r="C7087" s="2" t="s">
        <v>40</v>
      </c>
      <c r="D7087" s="2" t="s">
        <v>41</v>
      </c>
      <c r="E7087" s="5">
        <v>-28676</v>
      </c>
      <c r="F7087" s="3" t="s">
        <v>534</v>
      </c>
      <c r="G7087" s="3" t="s">
        <v>29</v>
      </c>
      <c r="H7087" s="2" t="s">
        <v>21</v>
      </c>
      <c r="I7087" s="2" t="s">
        <v>13717</v>
      </c>
      <c r="J7087" s="3" t="str">
        <f>HYPERLINK("https://www.boe.es/gazeta/dias/1821/06/26/pdfs/GMD-1821-179.pdf#page=6","Abrir facsímil")</f>
        <v>Abrir facsímil</v>
      </c>
      <c r="K7087" s="3" t="s">
        <v>23</v>
      </c>
    </row>
    <row r="7088" spans="1:11" ht="42" customHeight="1">
      <c r="A7088" s="2" t="s">
        <v>13718</v>
      </c>
      <c r="B7088" s="2" t="s">
        <v>13719</v>
      </c>
      <c r="C7088" s="2" t="s">
        <v>114</v>
      </c>
      <c r="D7088" s="2" t="s">
        <v>27</v>
      </c>
      <c r="E7088" s="5">
        <v>-28832</v>
      </c>
      <c r="F7088" s="3" t="s">
        <v>353</v>
      </c>
      <c r="G7088" s="3" t="s">
        <v>162</v>
      </c>
      <c r="H7088" s="2" t="s">
        <v>21</v>
      </c>
      <c r="I7088" s="2" t="s">
        <v>13720</v>
      </c>
      <c r="J7088" s="3" t="str">
        <f>HYPERLINK("https://www.boe.es/gazeta/dias/1821/01/21/pdfs/GGB-1821-21.pdf#page=5","Abrir facsímil")</f>
        <v>Abrir facsímil</v>
      </c>
      <c r="K7088" s="3" t="s">
        <v>23</v>
      </c>
    </row>
    <row r="7089" spans="1:11" ht="42" customHeight="1">
      <c r="A7089" s="2" t="s">
        <v>13721</v>
      </c>
      <c r="B7089" s="2" t="s">
        <v>13721</v>
      </c>
      <c r="C7089" s="2" t="s">
        <v>279</v>
      </c>
      <c r="D7089" s="2" t="s">
        <v>27</v>
      </c>
      <c r="E7089" s="5">
        <v>-28574</v>
      </c>
      <c r="F7089" s="3" t="s">
        <v>779</v>
      </c>
      <c r="G7089" s="3" t="s">
        <v>29</v>
      </c>
      <c r="H7089" s="2" t="s">
        <v>21</v>
      </c>
      <c r="I7089" s="2" t="s">
        <v>13722</v>
      </c>
      <c r="J7089" s="3" t="str">
        <f>HYPERLINK("https://www.boe.es/gazeta/dias/1821/10/06/pdfs/GMD-1821-285.pdf#page=6","Abrir facsímil")</f>
        <v>Abrir facsímil</v>
      </c>
      <c r="K7089" s="3" t="s">
        <v>23</v>
      </c>
    </row>
    <row r="7090" spans="1:11" ht="42" customHeight="1">
      <c r="A7090" s="2" t="s">
        <v>13723</v>
      </c>
      <c r="B7090" s="2" t="s">
        <v>13724</v>
      </c>
      <c r="C7090" s="2" t="s">
        <v>174</v>
      </c>
      <c r="D7090" s="2" t="s">
        <v>27</v>
      </c>
      <c r="E7090" s="5">
        <v>-28530</v>
      </c>
      <c r="F7090" s="3" t="s">
        <v>237</v>
      </c>
      <c r="G7090" s="3" t="s">
        <v>52</v>
      </c>
      <c r="H7090" s="2" t="s">
        <v>21</v>
      </c>
      <c r="I7090" s="2" t="s">
        <v>13725</v>
      </c>
      <c r="J7090" s="3" t="str">
        <f>HYPERLINK("https://www.boe.es/gazeta/dias/1821/11/19/pdfs/GMD-1821-330.pdf#page=2","Abrir facsímil")</f>
        <v>Abrir facsímil</v>
      </c>
      <c r="K7090" s="3" t="s">
        <v>23</v>
      </c>
    </row>
    <row r="7091" spans="1:11" ht="42" customHeight="1">
      <c r="A7091" s="2" t="s">
        <v>13726</v>
      </c>
      <c r="B7091" s="2" t="s">
        <v>13726</v>
      </c>
      <c r="C7091" s="2" t="s">
        <v>26</v>
      </c>
      <c r="D7091" s="2" t="s">
        <v>27</v>
      </c>
      <c r="E7091" s="5">
        <v>-28762</v>
      </c>
      <c r="F7091" s="3" t="s">
        <v>608</v>
      </c>
      <c r="G7091" s="3" t="s">
        <v>88</v>
      </c>
      <c r="H7091" s="2" t="s">
        <v>21</v>
      </c>
      <c r="I7091" s="2" t="s">
        <v>13727</v>
      </c>
      <c r="J7091" s="3" t="str">
        <f>HYPERLINK("https://www.boe.es/gazeta/dias/1821/04/01/pdfs/GMD-1821-93.pdf#page=4","Abrir facsímil")</f>
        <v>Abrir facsímil</v>
      </c>
      <c r="K7091" s="3" t="s">
        <v>23</v>
      </c>
    </row>
    <row r="7092" spans="1:11" ht="42" customHeight="1">
      <c r="A7092" s="2" t="s">
        <v>13726</v>
      </c>
      <c r="B7092" s="2" t="s">
        <v>13726</v>
      </c>
      <c r="C7092" s="2" t="s">
        <v>40</v>
      </c>
      <c r="D7092" s="2" t="s">
        <v>41</v>
      </c>
      <c r="E7092" s="5">
        <v>-28718</v>
      </c>
      <c r="F7092" s="3" t="s">
        <v>583</v>
      </c>
      <c r="G7092" s="3" t="s">
        <v>52</v>
      </c>
      <c r="H7092" s="2" t="s">
        <v>21</v>
      </c>
      <c r="I7092" s="2" t="s">
        <v>13728</v>
      </c>
      <c r="J7092" s="3" t="str">
        <f>HYPERLINK("https://www.boe.es/gazeta/dias/1821/05/15/pdfs/GMD-1821-137.pdf#page=2","Abrir facsímil")</f>
        <v>Abrir facsímil</v>
      </c>
      <c r="K7092" s="3" t="s">
        <v>23</v>
      </c>
    </row>
    <row r="7093" spans="1:11" ht="42" customHeight="1">
      <c r="A7093" s="2" t="s">
        <v>13726</v>
      </c>
      <c r="B7093" s="2" t="s">
        <v>13726</v>
      </c>
      <c r="C7093" s="2" t="s">
        <v>494</v>
      </c>
      <c r="D7093" s="2" t="s">
        <v>18</v>
      </c>
      <c r="E7093" s="5">
        <v>-28694</v>
      </c>
      <c r="F7093" s="3" t="s">
        <v>1057</v>
      </c>
      <c r="G7093" s="3" t="s">
        <v>52</v>
      </c>
      <c r="H7093" s="2" t="s">
        <v>21</v>
      </c>
      <c r="I7093" s="2" t="s">
        <v>13729</v>
      </c>
      <c r="J7093" s="3" t="str">
        <f>HYPERLINK("https://www.boe.es/gazeta/dias/1821/06/08/pdfs/GMD-1821-161.pdf#page=2","Abrir facsímil")</f>
        <v>Abrir facsímil</v>
      </c>
      <c r="K7093" s="3" t="s">
        <v>23</v>
      </c>
    </row>
    <row r="7094" spans="1:11" ht="42" customHeight="1">
      <c r="A7094" s="2" t="s">
        <v>13726</v>
      </c>
      <c r="B7094" s="2" t="s">
        <v>13726</v>
      </c>
      <c r="C7094" s="2" t="s">
        <v>40</v>
      </c>
      <c r="D7094" s="2" t="s">
        <v>41</v>
      </c>
      <c r="E7094" s="5">
        <v>-28661</v>
      </c>
      <c r="F7094" s="3" t="s">
        <v>2298</v>
      </c>
      <c r="G7094" s="3" t="s">
        <v>162</v>
      </c>
      <c r="H7094" s="2" t="s">
        <v>21</v>
      </c>
      <c r="I7094" s="2" t="s">
        <v>13730</v>
      </c>
      <c r="J7094" s="3" t="str">
        <f>HYPERLINK("https://www.boe.es/gazeta/dias/1821/07/11/pdfs/GMD-1821-196.pdf#page=5","Abrir facsímil")</f>
        <v>Abrir facsímil</v>
      </c>
      <c r="K7094" s="3" t="s">
        <v>23</v>
      </c>
    </row>
    <row r="7095" spans="1:11" ht="42" customHeight="1">
      <c r="A7095" s="2" t="s">
        <v>13726</v>
      </c>
      <c r="B7095" s="2" t="s">
        <v>13726</v>
      </c>
      <c r="C7095" s="2" t="s">
        <v>40</v>
      </c>
      <c r="D7095" s="2" t="s">
        <v>41</v>
      </c>
      <c r="E7095" s="5">
        <v>-28653</v>
      </c>
      <c r="F7095" s="3" t="s">
        <v>1179</v>
      </c>
      <c r="G7095" s="3" t="s">
        <v>20</v>
      </c>
      <c r="H7095" s="2" t="s">
        <v>21</v>
      </c>
      <c r="I7095" s="2" t="s">
        <v>13731</v>
      </c>
      <c r="J7095" s="3" t="str">
        <f>HYPERLINK("https://www.boe.es/gazeta/dias/1821/07/19/pdfs/GMD-1821-204.pdf#page=3","Abrir facsímil")</f>
        <v>Abrir facsímil</v>
      </c>
      <c r="K7095" s="3" t="s">
        <v>23</v>
      </c>
    </row>
    <row r="7096" spans="1:11" ht="42" customHeight="1">
      <c r="A7096" s="2" t="s">
        <v>13726</v>
      </c>
      <c r="B7096" s="2" t="s">
        <v>13726</v>
      </c>
      <c r="C7096" s="2" t="s">
        <v>40</v>
      </c>
      <c r="D7096" s="2" t="s">
        <v>41</v>
      </c>
      <c r="E7096" s="5">
        <v>-28634</v>
      </c>
      <c r="F7096" s="3" t="s">
        <v>2533</v>
      </c>
      <c r="G7096" s="3" t="s">
        <v>52</v>
      </c>
      <c r="H7096" s="2" t="s">
        <v>21</v>
      </c>
      <c r="I7096" s="2" t="s">
        <v>13732</v>
      </c>
      <c r="J7096" s="3" t="str">
        <f>HYPERLINK("https://www.boe.es/gazeta/dias/1821/08/07/pdfs/GMD-1821-223.pdf#page=2","Abrir facsímil")</f>
        <v>Abrir facsímil</v>
      </c>
      <c r="K7096" s="3" t="s">
        <v>23</v>
      </c>
    </row>
    <row r="7097" spans="1:11" ht="42" customHeight="1">
      <c r="A7097" s="2" t="s">
        <v>13726</v>
      </c>
      <c r="B7097" s="2" t="s">
        <v>13726</v>
      </c>
      <c r="C7097" s="2" t="s">
        <v>17</v>
      </c>
      <c r="D7097" s="2" t="s">
        <v>18</v>
      </c>
      <c r="E7097" s="5">
        <v>-28629</v>
      </c>
      <c r="F7097" s="3" t="s">
        <v>235</v>
      </c>
      <c r="G7097" s="3" t="s">
        <v>20</v>
      </c>
      <c r="H7097" s="2" t="s">
        <v>21</v>
      </c>
      <c r="I7097" s="2" t="s">
        <v>13733</v>
      </c>
      <c r="J7097" s="3" t="str">
        <f>HYPERLINK("https://www.boe.es/gazeta/dias/1821/08/12/pdfs/GMD-1821-229.pdf#page=3","Abrir facsímil")</f>
        <v>Abrir facsímil</v>
      </c>
      <c r="K7097" s="3" t="s">
        <v>23</v>
      </c>
    </row>
    <row r="7098" spans="1:11" ht="42" customHeight="1">
      <c r="A7098" s="2" t="s">
        <v>13726</v>
      </c>
      <c r="B7098" s="2" t="s">
        <v>13726</v>
      </c>
      <c r="C7098" s="2" t="s">
        <v>40</v>
      </c>
      <c r="D7098" s="2" t="s">
        <v>41</v>
      </c>
      <c r="E7098" s="5">
        <v>-28628</v>
      </c>
      <c r="F7098" s="3" t="s">
        <v>4257</v>
      </c>
      <c r="G7098" s="3" t="s">
        <v>20</v>
      </c>
      <c r="H7098" s="2" t="s">
        <v>21</v>
      </c>
      <c r="I7098" s="2" t="s">
        <v>13734</v>
      </c>
      <c r="J7098" s="3" t="str">
        <f>HYPERLINK("https://www.boe.es/gazeta/dias/1821/08/13/pdfs/GMD-1821-230.pdf#page=3","Abrir facsímil")</f>
        <v>Abrir facsímil</v>
      </c>
      <c r="K7098" s="3" t="s">
        <v>23</v>
      </c>
    </row>
    <row r="7099" spans="1:11" ht="42" customHeight="1">
      <c r="A7099" s="2" t="s">
        <v>13726</v>
      </c>
      <c r="B7099" s="2" t="s">
        <v>13726</v>
      </c>
      <c r="C7099" s="2" t="s">
        <v>17</v>
      </c>
      <c r="D7099" s="2" t="s">
        <v>18</v>
      </c>
      <c r="E7099" s="5">
        <v>-28619</v>
      </c>
      <c r="F7099" s="3" t="s">
        <v>3364</v>
      </c>
      <c r="G7099" s="3" t="s">
        <v>52</v>
      </c>
      <c r="H7099" s="2" t="s">
        <v>21</v>
      </c>
      <c r="I7099" s="2" t="s">
        <v>13735</v>
      </c>
      <c r="J7099" s="3" t="str">
        <f>HYPERLINK("https://www.boe.es/gazeta/dias/1821/08/22/pdfs/GMD-1821-239.pdf#page=2","Abrir facsímil")</f>
        <v>Abrir facsímil</v>
      </c>
      <c r="K7099" s="3" t="s">
        <v>23</v>
      </c>
    </row>
    <row r="7100" spans="1:11" ht="42" customHeight="1">
      <c r="A7100" s="2" t="s">
        <v>13726</v>
      </c>
      <c r="B7100" s="2" t="s">
        <v>13726</v>
      </c>
      <c r="C7100" s="2" t="s">
        <v>35</v>
      </c>
      <c r="D7100" s="2" t="s">
        <v>27</v>
      </c>
      <c r="E7100" s="5">
        <v>-28615</v>
      </c>
      <c r="F7100" s="3" t="s">
        <v>427</v>
      </c>
      <c r="G7100" s="3" t="s">
        <v>20</v>
      </c>
      <c r="H7100" s="2" t="s">
        <v>21</v>
      </c>
      <c r="I7100" s="2" t="s">
        <v>13736</v>
      </c>
      <c r="J7100" s="3" t="str">
        <f>HYPERLINK("https://www.boe.es/gazeta/dias/1821/08/26/pdfs/GMD-1821-243.pdf#page=3","Abrir facsímil")</f>
        <v>Abrir facsímil</v>
      </c>
      <c r="K7100" s="3" t="s">
        <v>23</v>
      </c>
    </row>
    <row r="7101" spans="1:11" ht="42" customHeight="1">
      <c r="A7101" s="2" t="s">
        <v>13726</v>
      </c>
      <c r="B7101" s="2" t="s">
        <v>13726</v>
      </c>
      <c r="C7101" s="2" t="s">
        <v>26</v>
      </c>
      <c r="D7101" s="2" t="s">
        <v>27</v>
      </c>
      <c r="E7101" s="5">
        <v>-28613</v>
      </c>
      <c r="F7101" s="3" t="s">
        <v>178</v>
      </c>
      <c r="G7101" s="3" t="s">
        <v>52</v>
      </c>
      <c r="H7101" s="2" t="s">
        <v>21</v>
      </c>
      <c r="I7101" s="2" t="s">
        <v>13737</v>
      </c>
      <c r="J7101" s="3" t="str">
        <f>HYPERLINK("https://www.boe.es/gazeta/dias/1821/08/28/pdfs/GMD-1821-245.pdf#page=2","Abrir facsímil")</f>
        <v>Abrir facsímil</v>
      </c>
      <c r="K7101" s="3" t="s">
        <v>23</v>
      </c>
    </row>
    <row r="7102" spans="1:11" ht="42" customHeight="1">
      <c r="A7102" s="2" t="s">
        <v>13726</v>
      </c>
      <c r="B7102" s="2" t="s">
        <v>13726</v>
      </c>
      <c r="C7102" s="2" t="s">
        <v>17</v>
      </c>
      <c r="D7102" s="2" t="s">
        <v>18</v>
      </c>
      <c r="E7102" s="5">
        <v>-28612</v>
      </c>
      <c r="F7102" s="3" t="s">
        <v>1902</v>
      </c>
      <c r="G7102" s="3" t="s">
        <v>20</v>
      </c>
      <c r="H7102" s="2" t="s">
        <v>21</v>
      </c>
      <c r="I7102" s="2" t="s">
        <v>13738</v>
      </c>
      <c r="J7102" s="3" t="str">
        <f>HYPERLINK("https://www.boe.es/gazeta/dias/1821/08/29/pdfs/GMD-1821-246.pdf#page=3","Abrir facsímil")</f>
        <v>Abrir facsímil</v>
      </c>
      <c r="K7102" s="3" t="s">
        <v>23</v>
      </c>
    </row>
    <row r="7103" spans="1:11" ht="42" customHeight="1">
      <c r="A7103" s="2" t="s">
        <v>13726</v>
      </c>
      <c r="B7103" s="2" t="s">
        <v>13726</v>
      </c>
      <c r="C7103" s="2" t="s">
        <v>40</v>
      </c>
      <c r="D7103" s="2" t="s">
        <v>41</v>
      </c>
      <c r="E7103" s="5">
        <v>-28607</v>
      </c>
      <c r="F7103" s="3" t="s">
        <v>740</v>
      </c>
      <c r="G7103" s="3" t="s">
        <v>52</v>
      </c>
      <c r="H7103" s="2" t="s">
        <v>21</v>
      </c>
      <c r="I7103" s="2" t="s">
        <v>13739</v>
      </c>
      <c r="J7103" s="3" t="str">
        <f>HYPERLINK("https://www.boe.es/gazeta/dias/1821/09/03/pdfs/GMD-1821-251.pdf#page=2","Abrir facsímil")</f>
        <v>Abrir facsímil</v>
      </c>
      <c r="K7103" s="3" t="s">
        <v>23</v>
      </c>
    </row>
    <row r="7104" spans="1:11" ht="42" customHeight="1">
      <c r="A7104" s="2" t="s">
        <v>13726</v>
      </c>
      <c r="B7104" s="2" t="s">
        <v>13726</v>
      </c>
      <c r="C7104" s="2" t="s">
        <v>40</v>
      </c>
      <c r="D7104" s="2" t="s">
        <v>41</v>
      </c>
      <c r="E7104" s="5">
        <v>-28599</v>
      </c>
      <c r="F7104" s="3" t="s">
        <v>902</v>
      </c>
      <c r="G7104" s="3" t="s">
        <v>20</v>
      </c>
      <c r="H7104" s="2" t="s">
        <v>21</v>
      </c>
      <c r="I7104" s="2" t="s">
        <v>13740</v>
      </c>
      <c r="J7104" s="3" t="str">
        <f>HYPERLINK("https://www.boe.es/gazeta/dias/1821/09/11/pdfs/GMD-1821-259.pdf#page=3","Abrir facsímil")</f>
        <v>Abrir facsímil</v>
      </c>
      <c r="K7104" s="3" t="s">
        <v>23</v>
      </c>
    </row>
    <row r="7105" spans="1:11" ht="42" customHeight="1">
      <c r="A7105" s="2" t="s">
        <v>13726</v>
      </c>
      <c r="B7105" s="2" t="s">
        <v>13726</v>
      </c>
      <c r="C7105" s="2" t="s">
        <v>26</v>
      </c>
      <c r="D7105" s="2" t="s">
        <v>27</v>
      </c>
      <c r="E7105" s="5">
        <v>-28595</v>
      </c>
      <c r="F7105" s="3" t="s">
        <v>1621</v>
      </c>
      <c r="G7105" s="3" t="s">
        <v>52</v>
      </c>
      <c r="H7105" s="2" t="s">
        <v>21</v>
      </c>
      <c r="I7105" s="2" t="s">
        <v>13741</v>
      </c>
      <c r="J7105" s="3" t="str">
        <f>HYPERLINK("https://www.boe.es/gazeta/dias/1821/09/15/pdfs/GMD-1821-263.pdf#page=2","Abrir facsímil")</f>
        <v>Abrir facsímil</v>
      </c>
      <c r="K7105" s="3" t="s">
        <v>23</v>
      </c>
    </row>
    <row r="7106" spans="1:11" ht="42" customHeight="1">
      <c r="A7106" s="2" t="s">
        <v>13726</v>
      </c>
      <c r="B7106" s="2" t="s">
        <v>13726</v>
      </c>
      <c r="C7106" s="2" t="s">
        <v>35</v>
      </c>
      <c r="D7106" s="2" t="s">
        <v>27</v>
      </c>
      <c r="E7106" s="5">
        <v>-28594</v>
      </c>
      <c r="F7106" s="3" t="s">
        <v>2412</v>
      </c>
      <c r="G7106" s="3" t="s">
        <v>20</v>
      </c>
      <c r="H7106" s="2" t="s">
        <v>21</v>
      </c>
      <c r="I7106" s="2" t="s">
        <v>13742</v>
      </c>
      <c r="J7106" s="3" t="str">
        <f>HYPERLINK("https://www.boe.es/gazeta/dias/1821/09/16/pdfs/GMD-1821-264.pdf#page=3","Abrir facsímil")</f>
        <v>Abrir facsímil</v>
      </c>
      <c r="K7106" s="3" t="s">
        <v>23</v>
      </c>
    </row>
    <row r="7107" spans="1:11" ht="42" customHeight="1">
      <c r="A7107" s="2" t="s">
        <v>13743</v>
      </c>
      <c r="B7107" s="2" t="s">
        <v>13744</v>
      </c>
      <c r="C7107" s="2" t="s">
        <v>17</v>
      </c>
      <c r="D7107" s="2" t="s">
        <v>18</v>
      </c>
      <c r="E7107" s="5">
        <v>-28531</v>
      </c>
      <c r="F7107" s="3" t="s">
        <v>365</v>
      </c>
      <c r="G7107" s="3" t="s">
        <v>20</v>
      </c>
      <c r="H7107" s="2" t="s">
        <v>21</v>
      </c>
      <c r="I7107" s="2" t="s">
        <v>13745</v>
      </c>
      <c r="J7107" s="3" t="str">
        <f>HYPERLINK("https://www.boe.es/gazeta/dias/1821/11/18/pdfs/GMD-1821-329.pdf#page=3","Abrir facsímil")</f>
        <v>Abrir facsímil</v>
      </c>
      <c r="K7107" s="3" t="s">
        <v>23</v>
      </c>
    </row>
    <row r="7108" spans="1:11" ht="42" customHeight="1">
      <c r="A7108" s="2" t="s">
        <v>13746</v>
      </c>
      <c r="B7108" s="2" t="s">
        <v>13747</v>
      </c>
      <c r="C7108" s="2" t="s">
        <v>40</v>
      </c>
      <c r="D7108" s="2" t="s">
        <v>41</v>
      </c>
      <c r="E7108" s="5">
        <v>-28793</v>
      </c>
      <c r="F7108" s="3" t="s">
        <v>157</v>
      </c>
      <c r="G7108" s="3" t="s">
        <v>162</v>
      </c>
      <c r="H7108" s="2" t="s">
        <v>21</v>
      </c>
      <c r="I7108" s="2" t="s">
        <v>13748</v>
      </c>
      <c r="J7108" s="3" t="str">
        <f>HYPERLINK("https://www.boe.es/gazeta/dias/1821/03/01/pdfs/GGB-1821-60.pdf#page=5","Abrir facsímil")</f>
        <v>Abrir facsímil</v>
      </c>
      <c r="K7108" s="3" t="s">
        <v>23</v>
      </c>
    </row>
    <row r="7109" spans="1:11" ht="42" customHeight="1">
      <c r="A7109" s="2" t="s">
        <v>13749</v>
      </c>
      <c r="B7109" s="2" t="s">
        <v>13750</v>
      </c>
      <c r="C7109" s="2" t="s">
        <v>40</v>
      </c>
      <c r="D7109" s="2" t="s">
        <v>41</v>
      </c>
      <c r="E7109" s="5">
        <v>-28511</v>
      </c>
      <c r="F7109" s="3" t="s">
        <v>340</v>
      </c>
      <c r="G7109" s="3" t="s">
        <v>52</v>
      </c>
      <c r="H7109" s="2" t="s">
        <v>21</v>
      </c>
      <c r="I7109" s="2" t="s">
        <v>13751</v>
      </c>
      <c r="J7109" s="3" t="str">
        <f>HYPERLINK("https://www.boe.es/gazeta/dias/1821/12/08/pdfs/GMD-1821-350.pdf#page=2","Abrir facsímil")</f>
        <v>Abrir facsímil</v>
      </c>
      <c r="K7109" s="3" t="s">
        <v>23</v>
      </c>
    </row>
    <row r="7110" spans="1:11" ht="42" customHeight="1">
      <c r="A7110" s="2" t="s">
        <v>13752</v>
      </c>
      <c r="B7110" s="2" t="s">
        <v>13753</v>
      </c>
      <c r="C7110" s="2" t="s">
        <v>17</v>
      </c>
      <c r="D7110" s="2" t="s">
        <v>18</v>
      </c>
      <c r="E7110" s="5">
        <v>-28607</v>
      </c>
      <c r="F7110" s="3" t="s">
        <v>740</v>
      </c>
      <c r="G7110" s="3" t="s">
        <v>88</v>
      </c>
      <c r="H7110" s="2" t="s">
        <v>21</v>
      </c>
      <c r="I7110" s="2" t="s">
        <v>13754</v>
      </c>
      <c r="J7110" s="3" t="str">
        <f>HYPERLINK("https://www.boe.es/gazeta/dias/1821/09/03/pdfs/GMD-1821-251.pdf#page=4","Abrir facsímil")</f>
        <v>Abrir facsímil</v>
      </c>
      <c r="K7110" s="3" t="s">
        <v>23</v>
      </c>
    </row>
    <row r="7111" spans="1:11" ht="42" customHeight="1">
      <c r="A7111" s="2" t="s">
        <v>13755</v>
      </c>
      <c r="B7111" s="2" t="s">
        <v>13755</v>
      </c>
      <c r="C7111" s="2" t="s">
        <v>40</v>
      </c>
      <c r="D7111" s="2" t="s">
        <v>41</v>
      </c>
      <c r="E7111" s="5">
        <v>-28733</v>
      </c>
      <c r="F7111" s="3" t="s">
        <v>1033</v>
      </c>
      <c r="G7111" s="3" t="s">
        <v>52</v>
      </c>
      <c r="H7111" s="2" t="s">
        <v>21</v>
      </c>
      <c r="I7111" s="2" t="s">
        <v>13756</v>
      </c>
      <c r="J7111" s="3" t="str">
        <f>HYPERLINK("https://www.boe.es/gazeta/dias/1821/04/30/pdfs/GMD-1821-122.pdf#page=2","Abrir facsímil")</f>
        <v>Abrir facsímil</v>
      </c>
      <c r="K7111" s="3" t="s">
        <v>23</v>
      </c>
    </row>
    <row r="7112" spans="1:11" ht="42" customHeight="1">
      <c r="A7112" s="2" t="s">
        <v>13757</v>
      </c>
      <c r="B7112" s="2" t="s">
        <v>13758</v>
      </c>
      <c r="C7112" s="2" t="s">
        <v>17</v>
      </c>
      <c r="D7112" s="2" t="s">
        <v>18</v>
      </c>
      <c r="E7112" s="5">
        <v>-28695</v>
      </c>
      <c r="F7112" s="3" t="s">
        <v>1309</v>
      </c>
      <c r="G7112" s="3" t="s">
        <v>52</v>
      </c>
      <c r="H7112" s="2" t="s">
        <v>21</v>
      </c>
      <c r="I7112" s="2" t="s">
        <v>13759</v>
      </c>
      <c r="J7112" s="3" t="str">
        <f>HYPERLINK("https://www.boe.es/gazeta/dias/1821/06/07/pdfs/GMD-1821-160.pdf#page=2","Abrir facsímil")</f>
        <v>Abrir facsímil</v>
      </c>
      <c r="K7112" s="3" t="s">
        <v>23</v>
      </c>
    </row>
    <row r="7113" spans="1:11" ht="42" customHeight="1">
      <c r="A7113" s="2" t="s">
        <v>13760</v>
      </c>
      <c r="B7113" s="2" t="s">
        <v>13761</v>
      </c>
      <c r="C7113" s="2" t="s">
        <v>114</v>
      </c>
      <c r="D7113" s="2" t="s">
        <v>27</v>
      </c>
      <c r="E7113" s="5">
        <v>-28553</v>
      </c>
      <c r="F7113" s="3" t="s">
        <v>182</v>
      </c>
      <c r="G7113" s="3" t="s">
        <v>29</v>
      </c>
      <c r="H7113" s="2" t="s">
        <v>21</v>
      </c>
      <c r="I7113" s="2" t="s">
        <v>13762</v>
      </c>
      <c r="J7113" s="3" t="str">
        <f>HYPERLINK("https://www.boe.es/gazeta/dias/1821/10/27/pdfs/GMD-1821-306.pdf#page=6","Abrir facsímil")</f>
        <v>Abrir facsímil</v>
      </c>
      <c r="K7113" s="3" t="s">
        <v>23</v>
      </c>
    </row>
    <row r="7114" spans="1:11" ht="42" customHeight="1">
      <c r="A7114" s="2" t="s">
        <v>13763</v>
      </c>
      <c r="B7114" s="2" t="s">
        <v>13763</v>
      </c>
      <c r="C7114" s="2" t="s">
        <v>17</v>
      </c>
      <c r="D7114" s="2" t="s">
        <v>18</v>
      </c>
      <c r="E7114" s="5">
        <v>-28605</v>
      </c>
      <c r="F7114" s="3" t="s">
        <v>3173</v>
      </c>
      <c r="G7114" s="3" t="s">
        <v>43</v>
      </c>
      <c r="H7114" s="2" t="s">
        <v>21</v>
      </c>
      <c r="I7114" s="2" t="s">
        <v>13764</v>
      </c>
      <c r="J7114" s="3" t="str">
        <f>HYPERLINK("https://www.boe.es/gazeta/dias/1821/09/05/pdfs/GMD-1821-253.pdf#page=1","Abrir facsímil")</f>
        <v>Abrir facsímil</v>
      </c>
      <c r="K7114" s="3" t="s">
        <v>23</v>
      </c>
    </row>
    <row r="7115" spans="1:11" ht="42" customHeight="1">
      <c r="A7115" s="2" t="s">
        <v>13765</v>
      </c>
      <c r="B7115" s="2" t="s">
        <v>13766</v>
      </c>
      <c r="C7115" s="2" t="s">
        <v>40</v>
      </c>
      <c r="D7115" s="2" t="s">
        <v>41</v>
      </c>
      <c r="E7115" s="5">
        <v>-28780</v>
      </c>
      <c r="F7115" s="3" t="s">
        <v>143</v>
      </c>
      <c r="G7115" s="3" t="s">
        <v>52</v>
      </c>
      <c r="H7115" s="2" t="s">
        <v>21</v>
      </c>
      <c r="I7115" s="2" t="s">
        <v>13767</v>
      </c>
      <c r="J7115" s="3" t="str">
        <f>HYPERLINK("https://www.boe.es/gazeta/dias/1821/03/14/pdfs/GMD-1821-73.pdf#page=2","Abrir facsímil")</f>
        <v>Abrir facsímil</v>
      </c>
      <c r="K7115" s="3" t="s">
        <v>23</v>
      </c>
    </row>
    <row r="7116" spans="1:11" ht="42" customHeight="1">
      <c r="A7116" s="2" t="s">
        <v>13768</v>
      </c>
      <c r="B7116" s="2" t="s">
        <v>13769</v>
      </c>
      <c r="C7116" s="2" t="s">
        <v>17</v>
      </c>
      <c r="D7116" s="2" t="s">
        <v>18</v>
      </c>
      <c r="E7116" s="5">
        <v>-28750</v>
      </c>
      <c r="F7116" s="3" t="s">
        <v>917</v>
      </c>
      <c r="G7116" s="3" t="s">
        <v>88</v>
      </c>
      <c r="H7116" s="2" t="s">
        <v>21</v>
      </c>
      <c r="I7116" s="2" t="s">
        <v>13770</v>
      </c>
      <c r="J7116" s="3" t="str">
        <f>HYPERLINK("https://www.boe.es/gazeta/dias/1821/04/13/pdfs/GMD-1821-105.pdf#page=4","Abrir facsímil")</f>
        <v>Abrir facsímil</v>
      </c>
      <c r="K7116" s="3" t="s">
        <v>23</v>
      </c>
    </row>
    <row r="7117" spans="1:11" ht="42" customHeight="1">
      <c r="A7117" s="2" t="s">
        <v>13771</v>
      </c>
      <c r="B7117" s="2" t="s">
        <v>13771</v>
      </c>
      <c r="C7117" s="2" t="s">
        <v>70</v>
      </c>
      <c r="D7117" s="2" t="s">
        <v>27</v>
      </c>
      <c r="E7117" s="5">
        <v>-28712</v>
      </c>
      <c r="F7117" s="3" t="s">
        <v>695</v>
      </c>
      <c r="G7117" s="3" t="s">
        <v>20</v>
      </c>
      <c r="H7117" s="2" t="s">
        <v>21</v>
      </c>
      <c r="I7117" s="2" t="s">
        <v>13772</v>
      </c>
      <c r="J7117" s="3" t="str">
        <f>HYPERLINK("https://www.boe.es/gazeta/dias/1821/05/21/pdfs/GMD-1821-143.pdf#page=3","Abrir facsímil")</f>
        <v>Abrir facsímil</v>
      </c>
      <c r="K7117" s="3" t="s">
        <v>23</v>
      </c>
    </row>
    <row r="7118" spans="1:11" ht="42" customHeight="1">
      <c r="A7118" s="2" t="s">
        <v>13771</v>
      </c>
      <c r="B7118" s="2" t="s">
        <v>13771</v>
      </c>
      <c r="C7118" s="2" t="s">
        <v>40</v>
      </c>
      <c r="D7118" s="2" t="s">
        <v>41</v>
      </c>
      <c r="E7118" s="5">
        <v>-28708</v>
      </c>
      <c r="F7118" s="3" t="s">
        <v>528</v>
      </c>
      <c r="G7118" s="3" t="s">
        <v>20</v>
      </c>
      <c r="H7118" s="2" t="s">
        <v>21</v>
      </c>
      <c r="I7118" s="2" t="s">
        <v>13773</v>
      </c>
      <c r="J7118" s="3" t="str">
        <f>HYPERLINK("https://www.boe.es/gazeta/dias/1821/05/25/pdfs/GMD-1821-147.pdf#page=3","Abrir facsímil")</f>
        <v>Abrir facsímil</v>
      </c>
      <c r="K7118" s="3" t="s">
        <v>23</v>
      </c>
    </row>
    <row r="7119" spans="1:11" ht="42" customHeight="1">
      <c r="A7119" s="2" t="s">
        <v>13771</v>
      </c>
      <c r="B7119" s="2" t="s">
        <v>13771</v>
      </c>
      <c r="C7119" s="2" t="s">
        <v>40</v>
      </c>
      <c r="D7119" s="2" t="s">
        <v>41</v>
      </c>
      <c r="E7119" s="5">
        <v>-28522</v>
      </c>
      <c r="F7119" s="3" t="s">
        <v>1083</v>
      </c>
      <c r="G7119" s="3" t="s">
        <v>1288</v>
      </c>
      <c r="H7119" s="2" t="s">
        <v>21</v>
      </c>
      <c r="I7119" s="2" t="s">
        <v>13774</v>
      </c>
      <c r="J7119" s="3" t="str">
        <f>HYPERLINK("https://www.boe.es/gazeta/dias/1821/11/27/pdfs/GMD-1821-339.pdf#page=4","Abrir facsímil")</f>
        <v>Abrir facsímil</v>
      </c>
      <c r="K7119" s="3" t="s">
        <v>23</v>
      </c>
    </row>
    <row r="7120" spans="1:11" ht="42" customHeight="1">
      <c r="A7120" s="2" t="s">
        <v>13771</v>
      </c>
      <c r="B7120" s="2" t="s">
        <v>13771</v>
      </c>
      <c r="C7120" s="2" t="s">
        <v>40</v>
      </c>
      <c r="D7120" s="2" t="s">
        <v>41</v>
      </c>
      <c r="E7120" s="5">
        <v>-28517</v>
      </c>
      <c r="F7120" s="3" t="s">
        <v>563</v>
      </c>
      <c r="G7120" s="3" t="s">
        <v>43</v>
      </c>
      <c r="H7120" s="2" t="s">
        <v>21</v>
      </c>
      <c r="I7120" s="2" t="s">
        <v>13775</v>
      </c>
      <c r="J7120" s="3" t="str">
        <f>HYPERLINK("https://www.boe.es/gazeta/dias/1821/12/02/pdfs/GMD-1821-344.pdf#page=1","Abrir facsímil")</f>
        <v>Abrir facsímil</v>
      </c>
      <c r="K7120" s="3" t="s">
        <v>23</v>
      </c>
    </row>
    <row r="7121" spans="1:11" ht="42" customHeight="1">
      <c r="A7121" s="2" t="s">
        <v>13771</v>
      </c>
      <c r="B7121" s="2" t="s">
        <v>13771</v>
      </c>
      <c r="C7121" s="2" t="s">
        <v>40</v>
      </c>
      <c r="D7121" s="2" t="s">
        <v>41</v>
      </c>
      <c r="E7121" s="5">
        <v>-28509</v>
      </c>
      <c r="F7121" s="3" t="s">
        <v>388</v>
      </c>
      <c r="G7121" s="3" t="s">
        <v>88</v>
      </c>
      <c r="H7121" s="2" t="s">
        <v>21</v>
      </c>
      <c r="I7121" s="2" t="s">
        <v>13776</v>
      </c>
      <c r="J7121" s="3" t="str">
        <f>HYPERLINK("https://www.boe.es/gazeta/dias/1821/12/10/pdfs/GMD-1821-352.pdf#page=4","Abrir facsímil")</f>
        <v>Abrir facsímil</v>
      </c>
      <c r="K7121" s="3" t="s">
        <v>23</v>
      </c>
    </row>
    <row r="7122" spans="1:11" ht="42" customHeight="1">
      <c r="A7122" s="2" t="s">
        <v>13777</v>
      </c>
      <c r="B7122" s="2" t="s">
        <v>13778</v>
      </c>
      <c r="C7122" s="2" t="s">
        <v>17</v>
      </c>
      <c r="D7122" s="2" t="s">
        <v>18</v>
      </c>
      <c r="E7122" s="5">
        <v>-28776</v>
      </c>
      <c r="F7122" s="3" t="s">
        <v>312</v>
      </c>
      <c r="G7122" s="3" t="s">
        <v>162</v>
      </c>
      <c r="H7122" s="2" t="s">
        <v>30</v>
      </c>
      <c r="I7122" s="2" t="s">
        <v>13779</v>
      </c>
      <c r="J7122" s="3" t="str">
        <f>HYPERLINK("https://www.boe.es/gazeta/dias/1821/03/18/pdfs/GMD-1821-77.pdf#page=5","Abrir facsímil")</f>
        <v>Abrir facsímil</v>
      </c>
      <c r="K7122" s="3" t="s">
        <v>32</v>
      </c>
    </row>
    <row r="7123" spans="1:11" ht="42" customHeight="1">
      <c r="A7123" s="2" t="s">
        <v>13780</v>
      </c>
      <c r="B7123" s="2" t="s">
        <v>13781</v>
      </c>
      <c r="C7123" s="2" t="s">
        <v>26</v>
      </c>
      <c r="D7123" s="2" t="s">
        <v>27</v>
      </c>
      <c r="E7123" s="5">
        <v>-28528</v>
      </c>
      <c r="F7123" s="3" t="s">
        <v>1872</v>
      </c>
      <c r="G7123" s="3" t="s">
        <v>162</v>
      </c>
      <c r="H7123" s="2" t="s">
        <v>21</v>
      </c>
      <c r="I7123" s="2" t="s">
        <v>13782</v>
      </c>
      <c r="J7123" s="3" t="str">
        <f>HYPERLINK("https://www.boe.es/gazeta/dias/1821/11/21/pdfs/GMD-1821-332.pdf#page=5","Abrir facsímil")</f>
        <v>Abrir facsímil</v>
      </c>
      <c r="K7123" s="3" t="s">
        <v>23</v>
      </c>
    </row>
    <row r="7124" spans="1:11" ht="42" customHeight="1">
      <c r="A7124" s="2" t="s">
        <v>13783</v>
      </c>
      <c r="B7124" s="2" t="s">
        <v>13784</v>
      </c>
      <c r="C7124" s="2" t="s">
        <v>40</v>
      </c>
      <c r="D7124" s="2" t="s">
        <v>41</v>
      </c>
      <c r="E7124" s="5">
        <v>-28725</v>
      </c>
      <c r="F7124" s="3" t="s">
        <v>440</v>
      </c>
      <c r="G7124" s="3" t="s">
        <v>52</v>
      </c>
      <c r="H7124" s="2" t="s">
        <v>21</v>
      </c>
      <c r="I7124" s="2" t="s">
        <v>13785</v>
      </c>
      <c r="J7124" s="3" t="str">
        <f>HYPERLINK("https://www.boe.es/gazeta/dias/1821/05/08/pdfs/GMD-1821-130.pdf#page=2","Abrir facsímil")</f>
        <v>Abrir facsímil</v>
      </c>
      <c r="K7124" s="3" t="s">
        <v>23</v>
      </c>
    </row>
    <row r="7125" spans="1:11" ht="42" customHeight="1">
      <c r="A7125" s="2" t="s">
        <v>13786</v>
      </c>
      <c r="B7125" s="2" t="s">
        <v>13786</v>
      </c>
      <c r="C7125" s="2" t="s">
        <v>40</v>
      </c>
      <c r="D7125" s="2" t="s">
        <v>41</v>
      </c>
      <c r="E7125" s="5">
        <v>-28724</v>
      </c>
      <c r="F7125" s="3" t="s">
        <v>1305</v>
      </c>
      <c r="G7125" s="3" t="s">
        <v>43</v>
      </c>
      <c r="H7125" s="2" t="s">
        <v>21</v>
      </c>
      <c r="I7125" s="2" t="s">
        <v>13787</v>
      </c>
      <c r="J7125" s="3" t="str">
        <f>HYPERLINK("https://www.boe.es/gazeta/dias/1821/05/09/pdfs/GMD-1821-131.pdf#page=1","Abrir facsímil")</f>
        <v>Abrir facsímil</v>
      </c>
      <c r="K7125" s="3" t="s">
        <v>23</v>
      </c>
    </row>
    <row r="7126" spans="1:11" ht="42" customHeight="1">
      <c r="A7126" s="2" t="s">
        <v>13788</v>
      </c>
      <c r="B7126" s="2" t="s">
        <v>13788</v>
      </c>
      <c r="C7126" s="2" t="s">
        <v>40</v>
      </c>
      <c r="D7126" s="2" t="s">
        <v>41</v>
      </c>
      <c r="E7126" s="5">
        <v>-28827</v>
      </c>
      <c r="F7126" s="3" t="s">
        <v>1382</v>
      </c>
      <c r="G7126" s="3" t="s">
        <v>52</v>
      </c>
      <c r="H7126" s="2" t="s">
        <v>21</v>
      </c>
      <c r="I7126" s="2" t="s">
        <v>13789</v>
      </c>
      <c r="J7126" s="3" t="str">
        <f>HYPERLINK("https://www.boe.es/gazeta/dias/1821/01/26/pdfs/GGB-1821-26.pdf#page=2","Abrir facsímil")</f>
        <v>Abrir facsímil</v>
      </c>
      <c r="K7126" s="3" t="s">
        <v>23</v>
      </c>
    </row>
    <row r="7127" spans="1:11" ht="42" customHeight="1">
      <c r="A7127" s="2" t="s">
        <v>13790</v>
      </c>
      <c r="B7127" s="2" t="s">
        <v>13790</v>
      </c>
      <c r="C7127" s="2" t="s">
        <v>35</v>
      </c>
      <c r="D7127" s="2" t="s">
        <v>27</v>
      </c>
      <c r="E7127" s="5">
        <v>-28821</v>
      </c>
      <c r="F7127" s="3" t="s">
        <v>371</v>
      </c>
      <c r="G7127" s="3" t="s">
        <v>43</v>
      </c>
      <c r="H7127" s="2" t="s">
        <v>21</v>
      </c>
      <c r="I7127" s="2" t="s">
        <v>13791</v>
      </c>
      <c r="J7127" s="3" t="str">
        <f>HYPERLINK("https://www.boe.es/gazeta/dias/1821/02/01/pdfs/GGB-1821-32.pdf#page=1","Abrir facsímil")</f>
        <v>Abrir facsímil</v>
      </c>
      <c r="K7127" s="3" t="s">
        <v>23</v>
      </c>
    </row>
    <row r="7128" spans="1:11" ht="42" customHeight="1">
      <c r="A7128" s="2" t="s">
        <v>13792</v>
      </c>
      <c r="B7128" s="2" t="s">
        <v>13793</v>
      </c>
      <c r="C7128" s="2" t="s">
        <v>17</v>
      </c>
      <c r="D7128" s="2" t="s">
        <v>18</v>
      </c>
      <c r="E7128" s="5">
        <v>-28676</v>
      </c>
      <c r="F7128" s="3" t="s">
        <v>534</v>
      </c>
      <c r="G7128" s="3" t="s">
        <v>29</v>
      </c>
      <c r="H7128" s="2" t="s">
        <v>21</v>
      </c>
      <c r="I7128" s="2" t="s">
        <v>13794</v>
      </c>
      <c r="J7128" s="3" t="str">
        <f>HYPERLINK("https://www.boe.es/gazeta/dias/1821/06/26/pdfs/GMD-1821-179.pdf#page=6","Abrir facsímil")</f>
        <v>Abrir facsímil</v>
      </c>
      <c r="K7128" s="3" t="s">
        <v>23</v>
      </c>
    </row>
    <row r="7129" spans="1:11" ht="42" customHeight="1">
      <c r="A7129" s="2" t="s">
        <v>13795</v>
      </c>
      <c r="B7129" s="2" t="s">
        <v>13796</v>
      </c>
      <c r="C7129" s="2" t="s">
        <v>26</v>
      </c>
      <c r="D7129" s="2" t="s">
        <v>27</v>
      </c>
      <c r="E7129" s="5">
        <v>-28666</v>
      </c>
      <c r="F7129" s="3" t="s">
        <v>1263</v>
      </c>
      <c r="G7129" s="3" t="s">
        <v>88</v>
      </c>
      <c r="H7129" s="2" t="s">
        <v>21</v>
      </c>
      <c r="I7129" s="2" t="s">
        <v>13797</v>
      </c>
      <c r="J7129" s="3" t="str">
        <f>HYPERLINK("https://www.boe.es/gazeta/dias/1821/07/06/pdfs/GMD-1821-190.pdf#page=4","Abrir facsímil")</f>
        <v>Abrir facsímil</v>
      </c>
      <c r="K7129" s="3" t="s">
        <v>23</v>
      </c>
    </row>
    <row r="7130" spans="1:11" ht="42" customHeight="1">
      <c r="A7130" s="2" t="s">
        <v>13798</v>
      </c>
      <c r="B7130" s="2" t="s">
        <v>13798</v>
      </c>
      <c r="C7130" s="2" t="s">
        <v>40</v>
      </c>
      <c r="D7130" s="2" t="s">
        <v>41</v>
      </c>
      <c r="E7130" s="5">
        <v>-28612</v>
      </c>
      <c r="F7130" s="3" t="s">
        <v>1902</v>
      </c>
      <c r="G7130" s="3" t="s">
        <v>43</v>
      </c>
      <c r="H7130" s="2" t="s">
        <v>21</v>
      </c>
      <c r="I7130" s="2" t="s">
        <v>13799</v>
      </c>
      <c r="J7130" s="3" t="str">
        <f>HYPERLINK("https://www.boe.es/gazeta/dias/1821/08/29/pdfs/GMD-1821-246.pdf#page=1","Abrir facsímil")</f>
        <v>Abrir facsímil</v>
      </c>
      <c r="K7130" s="3" t="s">
        <v>23</v>
      </c>
    </row>
    <row r="7131" spans="1:11" ht="42" customHeight="1">
      <c r="A7131" s="2" t="s">
        <v>13800</v>
      </c>
      <c r="B7131" s="2" t="s">
        <v>13800</v>
      </c>
      <c r="C7131" s="2" t="s">
        <v>40</v>
      </c>
      <c r="D7131" s="2" t="s">
        <v>41</v>
      </c>
      <c r="E7131" s="5">
        <v>-28759</v>
      </c>
      <c r="F7131" s="3" t="s">
        <v>71</v>
      </c>
      <c r="G7131" s="3" t="s">
        <v>20</v>
      </c>
      <c r="H7131" s="2" t="s">
        <v>21</v>
      </c>
      <c r="I7131" s="2" t="s">
        <v>13801</v>
      </c>
      <c r="J7131" s="3" t="str">
        <f>HYPERLINK("https://www.boe.es/gazeta/dias/1821/04/04/pdfs/GMD-1821-96.pdf#page=3","Abrir facsímil")</f>
        <v>Abrir facsímil</v>
      </c>
      <c r="K7131" s="3" t="s">
        <v>23</v>
      </c>
    </row>
    <row r="7132" spans="1:11" ht="42" customHeight="1">
      <c r="A7132" s="2" t="s">
        <v>13800</v>
      </c>
      <c r="B7132" s="2" t="s">
        <v>13800</v>
      </c>
      <c r="C7132" s="2" t="s">
        <v>40</v>
      </c>
      <c r="D7132" s="2" t="s">
        <v>41</v>
      </c>
      <c r="E7132" s="5">
        <v>-28610</v>
      </c>
      <c r="F7132" s="3" t="s">
        <v>190</v>
      </c>
      <c r="G7132" s="3" t="s">
        <v>43</v>
      </c>
      <c r="H7132" s="2" t="s">
        <v>21</v>
      </c>
      <c r="I7132" s="2" t="s">
        <v>13802</v>
      </c>
      <c r="J7132" s="3" t="str">
        <f>HYPERLINK("https://www.boe.es/gazeta/dias/1821/08/31/pdfs/GMD-1821-248.pdf#page=1","Abrir facsímil")</f>
        <v>Abrir facsímil</v>
      </c>
      <c r="K7132" s="3" t="s">
        <v>23</v>
      </c>
    </row>
    <row r="7133" spans="1:11" ht="42" customHeight="1">
      <c r="A7133" s="2" t="s">
        <v>13800</v>
      </c>
      <c r="B7133" s="2" t="s">
        <v>13800</v>
      </c>
      <c r="C7133" s="2" t="s">
        <v>40</v>
      </c>
      <c r="D7133" s="2" t="s">
        <v>41</v>
      </c>
      <c r="E7133" s="5">
        <v>-28494</v>
      </c>
      <c r="F7133" s="3" t="s">
        <v>1665</v>
      </c>
      <c r="G7133" s="3" t="s">
        <v>43</v>
      </c>
      <c r="H7133" s="2" t="s">
        <v>21</v>
      </c>
      <c r="I7133" s="2" t="s">
        <v>13803</v>
      </c>
      <c r="J7133" s="3" t="str">
        <f>HYPERLINK("https://www.boe.es/gazeta/dias/1821/12/25/pdfs/GMD-1821-368.pdf#page=1","Abrir facsímil")</f>
        <v>Abrir facsímil</v>
      </c>
      <c r="K7133" s="3" t="s">
        <v>23</v>
      </c>
    </row>
    <row r="7134" spans="1:11" ht="42" customHeight="1">
      <c r="A7134" s="2" t="s">
        <v>13804</v>
      </c>
      <c r="B7134" s="2" t="s">
        <v>13805</v>
      </c>
      <c r="C7134" s="2" t="s">
        <v>40</v>
      </c>
      <c r="D7134" s="2" t="s">
        <v>41</v>
      </c>
      <c r="E7134" s="5">
        <v>-28509</v>
      </c>
      <c r="F7134" s="3" t="s">
        <v>388</v>
      </c>
      <c r="G7134" s="3" t="s">
        <v>88</v>
      </c>
      <c r="H7134" s="2" t="s">
        <v>21</v>
      </c>
      <c r="I7134" s="2" t="s">
        <v>13806</v>
      </c>
      <c r="J7134" s="3" t="str">
        <f>HYPERLINK("https://www.boe.es/gazeta/dias/1821/12/10/pdfs/GMD-1821-352.pdf#page=4","Abrir facsímil")</f>
        <v>Abrir facsímil</v>
      </c>
      <c r="K7134" s="3" t="s">
        <v>23</v>
      </c>
    </row>
    <row r="7135" spans="1:11" ht="42" customHeight="1">
      <c r="A7135" s="2" t="s">
        <v>13807</v>
      </c>
      <c r="B7135" s="2" t="s">
        <v>13808</v>
      </c>
      <c r="C7135" s="2" t="s">
        <v>26</v>
      </c>
      <c r="D7135" s="2" t="s">
        <v>27</v>
      </c>
      <c r="E7135" s="5">
        <v>-28587</v>
      </c>
      <c r="F7135" s="3" t="s">
        <v>392</v>
      </c>
      <c r="G7135" s="3" t="s">
        <v>88</v>
      </c>
      <c r="H7135" s="2" t="s">
        <v>21</v>
      </c>
      <c r="I7135" s="2" t="s">
        <v>13809</v>
      </c>
      <c r="J7135" s="3" t="str">
        <f>HYPERLINK("https://www.boe.es/gazeta/dias/1821/09/23/pdfs/GMD-1821-271.pdf#page=4","Abrir facsímil")</f>
        <v>Abrir facsímil</v>
      </c>
      <c r="K7135" s="3" t="s">
        <v>23</v>
      </c>
    </row>
    <row r="7136" spans="1:11" ht="42" customHeight="1">
      <c r="A7136" s="2" t="s">
        <v>13810</v>
      </c>
      <c r="B7136" s="2" t="s">
        <v>13811</v>
      </c>
      <c r="C7136" s="2" t="s">
        <v>26</v>
      </c>
      <c r="D7136" s="2" t="s">
        <v>27</v>
      </c>
      <c r="E7136" s="5">
        <v>-28543</v>
      </c>
      <c r="F7136" s="3" t="s">
        <v>136</v>
      </c>
      <c r="G7136" s="3" t="s">
        <v>52</v>
      </c>
      <c r="H7136" s="2" t="s">
        <v>21</v>
      </c>
      <c r="I7136" s="2" t="s">
        <v>13812</v>
      </c>
      <c r="J7136" s="3" t="str">
        <f>HYPERLINK("https://www.boe.es/gazeta/dias/1821/11/06/pdfs/GMD-1821-317.pdf#page=2","Abrir facsímil")</f>
        <v>Abrir facsímil</v>
      </c>
      <c r="K7136" s="3" t="s">
        <v>23</v>
      </c>
    </row>
    <row r="7137" spans="1:11" ht="42" customHeight="1">
      <c r="A7137" s="2" t="s">
        <v>13813</v>
      </c>
      <c r="B7137" s="2" t="s">
        <v>13814</v>
      </c>
      <c r="C7137" s="2" t="s">
        <v>40</v>
      </c>
      <c r="D7137" s="2" t="s">
        <v>41</v>
      </c>
      <c r="E7137" s="5">
        <v>-28705</v>
      </c>
      <c r="F7137" s="3" t="s">
        <v>1844</v>
      </c>
      <c r="G7137" s="3" t="s">
        <v>52</v>
      </c>
      <c r="H7137" s="2" t="s">
        <v>21</v>
      </c>
      <c r="I7137" s="2" t="s">
        <v>13815</v>
      </c>
      <c r="J7137" s="3" t="str">
        <f>HYPERLINK("https://www.boe.es/gazeta/dias/1821/05/28/pdfs/GMD-1821-150.pdf#page=2","Abrir facsímil")</f>
        <v>Abrir facsímil</v>
      </c>
      <c r="K7137" s="3" t="s">
        <v>23</v>
      </c>
    </row>
    <row r="7138" spans="1:11" ht="42" customHeight="1">
      <c r="A7138" s="2" t="s">
        <v>13816</v>
      </c>
      <c r="B7138" s="2" t="s">
        <v>13817</v>
      </c>
      <c r="C7138" s="2" t="s">
        <v>70</v>
      </c>
      <c r="D7138" s="2" t="s">
        <v>27</v>
      </c>
      <c r="E7138" s="5">
        <v>-28724</v>
      </c>
      <c r="F7138" s="3" t="s">
        <v>1305</v>
      </c>
      <c r="G7138" s="3" t="s">
        <v>20</v>
      </c>
      <c r="H7138" s="2" t="s">
        <v>21</v>
      </c>
      <c r="I7138" s="2" t="s">
        <v>13818</v>
      </c>
      <c r="J7138" s="3" t="str">
        <f>HYPERLINK("https://www.boe.es/gazeta/dias/1821/05/09/pdfs/GMD-1821-131.pdf#page=3","Abrir facsímil")</f>
        <v>Abrir facsímil</v>
      </c>
      <c r="K7138" s="3" t="s">
        <v>23</v>
      </c>
    </row>
    <row r="7139" spans="1:11" ht="42" customHeight="1">
      <c r="A7139" s="2" t="s">
        <v>13819</v>
      </c>
      <c r="B7139" s="2" t="s">
        <v>13820</v>
      </c>
      <c r="C7139" s="2" t="s">
        <v>26</v>
      </c>
      <c r="D7139" s="2" t="s">
        <v>27</v>
      </c>
      <c r="E7139" s="5">
        <v>-28654</v>
      </c>
      <c r="F7139" s="3" t="s">
        <v>674</v>
      </c>
      <c r="G7139" s="3" t="s">
        <v>88</v>
      </c>
      <c r="H7139" s="2" t="s">
        <v>21</v>
      </c>
      <c r="I7139" s="2" t="s">
        <v>13821</v>
      </c>
      <c r="J7139" s="3" t="str">
        <f>HYPERLINK("https://www.boe.es/gazeta/dias/1821/07/18/pdfs/GMD-1821-203.pdf#page=4","Abrir facsímil")</f>
        <v>Abrir facsímil</v>
      </c>
      <c r="K7139" s="3" t="s">
        <v>23</v>
      </c>
    </row>
    <row r="7140" spans="1:11" ht="42" customHeight="1">
      <c r="A7140" s="2" t="s">
        <v>13822</v>
      </c>
      <c r="B7140" s="2" t="s">
        <v>13823</v>
      </c>
      <c r="C7140" s="2" t="s">
        <v>35</v>
      </c>
      <c r="D7140" s="2" t="s">
        <v>27</v>
      </c>
      <c r="E7140" s="5">
        <v>-28676</v>
      </c>
      <c r="F7140" s="3" t="s">
        <v>534</v>
      </c>
      <c r="G7140" s="3" t="s">
        <v>29</v>
      </c>
      <c r="H7140" s="2" t="s">
        <v>21</v>
      </c>
      <c r="I7140" s="2" t="s">
        <v>13824</v>
      </c>
      <c r="J7140" s="3" t="str">
        <f>HYPERLINK("https://www.boe.es/gazeta/dias/1821/06/26/pdfs/GMD-1821-179.pdf#page=6","Abrir facsímil")</f>
        <v>Abrir facsímil</v>
      </c>
      <c r="K7140" s="3" t="s">
        <v>23</v>
      </c>
    </row>
    <row r="7141" spans="1:11" ht="42" customHeight="1">
      <c r="A7141" s="2" t="s">
        <v>13825</v>
      </c>
      <c r="B7141" s="2" t="s">
        <v>13825</v>
      </c>
      <c r="C7141" s="2" t="s">
        <v>26</v>
      </c>
      <c r="D7141" s="2" t="s">
        <v>27</v>
      </c>
      <c r="E7141" s="5">
        <v>-28569</v>
      </c>
      <c r="F7141" s="3" t="s">
        <v>512</v>
      </c>
      <c r="G7141" s="3" t="s">
        <v>52</v>
      </c>
      <c r="H7141" s="2" t="s">
        <v>21</v>
      </c>
      <c r="I7141" s="2" t="s">
        <v>13826</v>
      </c>
      <c r="J7141" s="3" t="str">
        <f>HYPERLINK("https://www.boe.es/gazeta/dias/1821/10/11/pdfs/GMD-1821-290.pdf#page=2","Abrir facsímil")</f>
        <v>Abrir facsímil</v>
      </c>
      <c r="K7141" s="3" t="s">
        <v>23</v>
      </c>
    </row>
    <row r="7142" spans="1:11" ht="42" customHeight="1">
      <c r="A7142" s="2" t="s">
        <v>13827</v>
      </c>
      <c r="B7142" s="2" t="s">
        <v>13828</v>
      </c>
      <c r="C7142" s="2" t="s">
        <v>174</v>
      </c>
      <c r="D7142" s="2" t="s">
        <v>27</v>
      </c>
      <c r="E7142" s="5">
        <v>-28734</v>
      </c>
      <c r="F7142" s="3" t="s">
        <v>1553</v>
      </c>
      <c r="G7142" s="3" t="s">
        <v>2625</v>
      </c>
      <c r="H7142" s="2" t="s">
        <v>21</v>
      </c>
      <c r="I7142" s="2" t="s">
        <v>13829</v>
      </c>
      <c r="J7142" s="3" t="str">
        <f>HYPERLINK("https://www.boe.es/gazeta/dias/1821/04/29/pdfs/GMD-1821-121.pdf#page=2","Abrir facsímil")</f>
        <v>Abrir facsímil</v>
      </c>
      <c r="K7142" s="3" t="s">
        <v>23</v>
      </c>
    </row>
    <row r="7143" spans="1:11" ht="42" customHeight="1">
      <c r="A7143" s="2" t="s">
        <v>13830</v>
      </c>
      <c r="B7143" s="2" t="s">
        <v>13831</v>
      </c>
      <c r="C7143" s="2" t="s">
        <v>40</v>
      </c>
      <c r="D7143" s="2" t="s">
        <v>41</v>
      </c>
      <c r="E7143" s="5">
        <v>-28770</v>
      </c>
      <c r="F7143" s="3" t="s">
        <v>1009</v>
      </c>
      <c r="G7143" s="3" t="s">
        <v>20</v>
      </c>
      <c r="H7143" s="2" t="s">
        <v>21</v>
      </c>
      <c r="I7143" s="2" t="s">
        <v>13832</v>
      </c>
      <c r="J7143" s="3" t="str">
        <f>HYPERLINK("https://www.boe.es/gazeta/dias/1821/03/24/pdfs/GMD-1821-84.pdf#page=3","Abrir facsímil")</f>
        <v>Abrir facsímil</v>
      </c>
      <c r="K7143" s="3" t="s">
        <v>23</v>
      </c>
    </row>
    <row r="7144" spans="1:11" ht="42" customHeight="1">
      <c r="A7144" s="2" t="s">
        <v>13833</v>
      </c>
      <c r="B7144" s="2" t="s">
        <v>13834</v>
      </c>
      <c r="C7144" s="2" t="s">
        <v>35</v>
      </c>
      <c r="D7144" s="2" t="s">
        <v>27</v>
      </c>
      <c r="E7144" s="5">
        <v>-28501</v>
      </c>
      <c r="F7144" s="3" t="s">
        <v>456</v>
      </c>
      <c r="G7144" s="3" t="s">
        <v>1253</v>
      </c>
      <c r="H7144" s="2" t="s">
        <v>21</v>
      </c>
      <c r="I7144" s="2" t="s">
        <v>13835</v>
      </c>
      <c r="J7144" s="3" t="str">
        <f>HYPERLINK("https://www.boe.es/gazeta/dias/1821/12/18/pdfs/GMD-1821-361.pdf#page=6","Abrir facsímil")</f>
        <v>Abrir facsímil</v>
      </c>
      <c r="K7144" s="3" t="s">
        <v>23</v>
      </c>
    </row>
    <row r="7145" spans="1:11" ht="42" customHeight="1">
      <c r="A7145" s="2" t="s">
        <v>13836</v>
      </c>
      <c r="B7145" s="2" t="s">
        <v>13836</v>
      </c>
      <c r="C7145" s="2" t="s">
        <v>40</v>
      </c>
      <c r="D7145" s="2" t="s">
        <v>41</v>
      </c>
      <c r="E7145" s="5">
        <v>-28571</v>
      </c>
      <c r="F7145" s="3" t="s">
        <v>482</v>
      </c>
      <c r="G7145" s="3" t="s">
        <v>52</v>
      </c>
      <c r="H7145" s="2" t="s">
        <v>21</v>
      </c>
      <c r="I7145" s="2" t="s">
        <v>13837</v>
      </c>
      <c r="J7145" s="3" t="str">
        <f>HYPERLINK("https://www.boe.es/gazeta/dias/1821/10/09/pdfs/GMD-1821-288.pdf#page=2","Abrir facsímil")</f>
        <v>Abrir facsímil</v>
      </c>
      <c r="K7145" s="3" t="s">
        <v>23</v>
      </c>
    </row>
    <row r="7146" spans="1:11" ht="42" customHeight="1">
      <c r="A7146" s="2" t="s">
        <v>13838</v>
      </c>
      <c r="B7146" s="2" t="s">
        <v>13839</v>
      </c>
      <c r="C7146" s="2" t="s">
        <v>174</v>
      </c>
      <c r="D7146" s="2" t="s">
        <v>27</v>
      </c>
      <c r="E7146" s="5">
        <v>-28654</v>
      </c>
      <c r="F7146" s="3" t="s">
        <v>674</v>
      </c>
      <c r="G7146" s="3" t="s">
        <v>88</v>
      </c>
      <c r="H7146" s="2" t="s">
        <v>21</v>
      </c>
      <c r="I7146" s="2" t="s">
        <v>13840</v>
      </c>
      <c r="J7146" s="3" t="str">
        <f>HYPERLINK("https://www.boe.es/gazeta/dias/1821/07/18/pdfs/GMD-1821-203.pdf#page=4","Abrir facsímil")</f>
        <v>Abrir facsímil</v>
      </c>
      <c r="K7146" s="3" t="s">
        <v>23</v>
      </c>
    </row>
    <row r="7147" spans="1:11" ht="42" customHeight="1">
      <c r="A7147" s="2" t="s">
        <v>13841</v>
      </c>
      <c r="B7147" s="2" t="s">
        <v>13842</v>
      </c>
      <c r="C7147" s="2" t="s">
        <v>174</v>
      </c>
      <c r="D7147" s="2" t="s">
        <v>27</v>
      </c>
      <c r="E7147" s="5">
        <v>-28531</v>
      </c>
      <c r="F7147" s="3" t="s">
        <v>365</v>
      </c>
      <c r="G7147" s="3" t="s">
        <v>52</v>
      </c>
      <c r="H7147" s="2" t="s">
        <v>21</v>
      </c>
      <c r="I7147" s="2" t="s">
        <v>13843</v>
      </c>
      <c r="J7147" s="3" t="str">
        <f>HYPERLINK("https://www.boe.es/gazeta/dias/1821/11/18/pdfs/GMD-1821-329.pdf#page=2","Abrir facsímil")</f>
        <v>Abrir facsímil</v>
      </c>
      <c r="K7147" s="3" t="s">
        <v>23</v>
      </c>
    </row>
    <row r="7148" spans="1:11" ht="42" customHeight="1">
      <c r="A7148" s="2" t="s">
        <v>13844</v>
      </c>
      <c r="B7148" s="2" t="s">
        <v>13845</v>
      </c>
      <c r="C7148" s="2" t="s">
        <v>17</v>
      </c>
      <c r="D7148" s="2" t="s">
        <v>18</v>
      </c>
      <c r="E7148" s="5">
        <v>-28773</v>
      </c>
      <c r="F7148" s="3" t="s">
        <v>1755</v>
      </c>
      <c r="G7148" s="3" t="s">
        <v>52</v>
      </c>
      <c r="H7148" s="2" t="s">
        <v>21</v>
      </c>
      <c r="I7148" s="2" t="s">
        <v>13846</v>
      </c>
      <c r="J7148" s="3" t="str">
        <f>HYPERLINK("https://www.boe.es/gazeta/dias/1821/03/21/pdfs/GMD-1821-80.pdf#page=2","Abrir facsímil")</f>
        <v>Abrir facsímil</v>
      </c>
      <c r="K7148" s="3" t="s">
        <v>23</v>
      </c>
    </row>
    <row r="7149" spans="1:11" ht="42" customHeight="1">
      <c r="A7149" s="2" t="s">
        <v>13847</v>
      </c>
      <c r="B7149" s="2" t="s">
        <v>13847</v>
      </c>
      <c r="C7149" s="2" t="s">
        <v>40</v>
      </c>
      <c r="D7149" s="2" t="s">
        <v>41</v>
      </c>
      <c r="E7149" s="5">
        <v>-28764</v>
      </c>
      <c r="F7149" s="3" t="s">
        <v>924</v>
      </c>
      <c r="G7149" s="3" t="s">
        <v>43</v>
      </c>
      <c r="H7149" s="2" t="s">
        <v>21</v>
      </c>
      <c r="I7149" s="2" t="s">
        <v>13848</v>
      </c>
      <c r="J7149" s="3" t="str">
        <f>HYPERLINK("https://www.boe.es/gazeta/dias/1821/03/30/pdfs/GMD-1821-91.pdf#page=1","Abrir facsímil")</f>
        <v>Abrir facsímil</v>
      </c>
      <c r="K7149" s="3" t="s">
        <v>23</v>
      </c>
    </row>
    <row r="7150" spans="1:11" ht="42" customHeight="1">
      <c r="A7150" s="2" t="s">
        <v>13849</v>
      </c>
      <c r="B7150" s="2" t="s">
        <v>13850</v>
      </c>
      <c r="C7150" s="2" t="s">
        <v>17</v>
      </c>
      <c r="D7150" s="2" t="s">
        <v>18</v>
      </c>
      <c r="E7150" s="5">
        <v>-28683</v>
      </c>
      <c r="F7150" s="3" t="s">
        <v>332</v>
      </c>
      <c r="G7150" s="3" t="s">
        <v>29</v>
      </c>
      <c r="H7150" s="2" t="s">
        <v>21</v>
      </c>
      <c r="I7150" s="2" t="s">
        <v>13851</v>
      </c>
      <c r="J7150" s="3" t="str">
        <f>HYPERLINK("https://www.boe.es/gazeta/dias/1821/06/19/pdfs/GMD-1821-172.pdf#page=6","Abrir facsímil")</f>
        <v>Abrir facsímil</v>
      </c>
      <c r="K7150" s="3" t="s">
        <v>23</v>
      </c>
    </row>
    <row r="7151" spans="1:11" ht="42" customHeight="1">
      <c r="A7151" s="2" t="s">
        <v>13852</v>
      </c>
      <c r="B7151" s="2" t="s">
        <v>13853</v>
      </c>
      <c r="C7151" s="2" t="s">
        <v>26</v>
      </c>
      <c r="D7151" s="2" t="s">
        <v>27</v>
      </c>
      <c r="E7151" s="5">
        <v>-28662</v>
      </c>
      <c r="F7151" s="3" t="s">
        <v>3289</v>
      </c>
      <c r="G7151" s="3" t="s">
        <v>20</v>
      </c>
      <c r="H7151" s="2" t="s">
        <v>21</v>
      </c>
      <c r="I7151" s="2" t="s">
        <v>13854</v>
      </c>
      <c r="J7151" s="3" t="str">
        <f>HYPERLINK("https://www.boe.es/gazeta/dias/1821/07/10/pdfs/GMD-1821-195.pdf#page=3","Abrir facsímil")</f>
        <v>Abrir facsímil</v>
      </c>
      <c r="K7151" s="3" t="s">
        <v>23</v>
      </c>
    </row>
    <row r="7152" spans="1:11" ht="42" customHeight="1">
      <c r="A7152" s="2" t="s">
        <v>13855</v>
      </c>
      <c r="B7152" s="2" t="s">
        <v>13856</v>
      </c>
      <c r="C7152" s="2" t="s">
        <v>279</v>
      </c>
      <c r="D7152" s="2" t="s">
        <v>27</v>
      </c>
      <c r="E7152" s="5">
        <v>-28832</v>
      </c>
      <c r="F7152" s="3" t="s">
        <v>353</v>
      </c>
      <c r="G7152" s="3" t="s">
        <v>29</v>
      </c>
      <c r="H7152" s="2" t="s">
        <v>21</v>
      </c>
      <c r="I7152" s="2" t="s">
        <v>13857</v>
      </c>
      <c r="J7152" s="3" t="str">
        <f>HYPERLINK("https://www.boe.es/gazeta/dias/1821/01/21/pdfs/GGB-1821-21.pdf#page=6","Abrir facsímil")</f>
        <v>Abrir facsímil</v>
      </c>
      <c r="K7152" s="3" t="s">
        <v>23</v>
      </c>
    </row>
    <row r="7153" spans="1:11" ht="42" customHeight="1">
      <c r="A7153" s="2" t="s">
        <v>13858</v>
      </c>
      <c r="B7153" s="2" t="s">
        <v>13859</v>
      </c>
      <c r="C7153" s="2" t="s">
        <v>26</v>
      </c>
      <c r="D7153" s="2" t="s">
        <v>27</v>
      </c>
      <c r="E7153" s="5">
        <v>-28547</v>
      </c>
      <c r="F7153" s="3" t="s">
        <v>247</v>
      </c>
      <c r="G7153" s="3" t="s">
        <v>248</v>
      </c>
      <c r="H7153" s="2" t="s">
        <v>21</v>
      </c>
      <c r="I7153" s="2" t="s">
        <v>13860</v>
      </c>
      <c r="J7153" s="3" t="str">
        <f>HYPERLINK("https://www.boe.es/gazeta/dias/1821/11/02/pdfs/GMD-1821-312.pdf#page=2","Abrir facsímil")</f>
        <v>Abrir facsímil</v>
      </c>
      <c r="K7153" s="3" t="s">
        <v>23</v>
      </c>
    </row>
    <row r="7154" spans="1:11" ht="42" customHeight="1">
      <c r="A7154" s="2" t="s">
        <v>13861</v>
      </c>
      <c r="B7154" s="2" t="s">
        <v>13862</v>
      </c>
      <c r="C7154" s="2" t="s">
        <v>40</v>
      </c>
      <c r="D7154" s="2" t="s">
        <v>41</v>
      </c>
      <c r="E7154" s="5">
        <v>-28528</v>
      </c>
      <c r="F7154" s="3" t="s">
        <v>1872</v>
      </c>
      <c r="G7154" s="3" t="s">
        <v>52</v>
      </c>
      <c r="H7154" s="2" t="s">
        <v>21</v>
      </c>
      <c r="I7154" s="2" t="s">
        <v>13863</v>
      </c>
      <c r="J7154" s="3" t="str">
        <f>HYPERLINK("https://www.boe.es/gazeta/dias/1821/11/21/pdfs/GMD-1821-332.pdf#page=2","Abrir facsímil")</f>
        <v>Abrir facsímil</v>
      </c>
      <c r="K7154" s="3" t="s">
        <v>23</v>
      </c>
    </row>
    <row r="7155" spans="1:11" ht="42" customHeight="1">
      <c r="A7155" s="2" t="s">
        <v>13864</v>
      </c>
      <c r="B7155" s="2" t="s">
        <v>13865</v>
      </c>
      <c r="C7155" s="2" t="s">
        <v>26</v>
      </c>
      <c r="D7155" s="2" t="s">
        <v>27</v>
      </c>
      <c r="E7155" s="5">
        <v>-28528</v>
      </c>
      <c r="F7155" s="3" t="s">
        <v>1872</v>
      </c>
      <c r="G7155" s="3" t="s">
        <v>52</v>
      </c>
      <c r="H7155" s="2" t="s">
        <v>21</v>
      </c>
      <c r="I7155" s="2" t="s">
        <v>13866</v>
      </c>
      <c r="J7155" s="3" t="str">
        <f>HYPERLINK("https://www.boe.es/gazeta/dias/1821/11/21/pdfs/GMD-1821-332.pdf#page=2","Abrir facsímil")</f>
        <v>Abrir facsímil</v>
      </c>
      <c r="K7155" s="3" t="s">
        <v>23</v>
      </c>
    </row>
    <row r="7156" spans="1:11" ht="42" customHeight="1">
      <c r="A7156" s="2" t="s">
        <v>13867</v>
      </c>
      <c r="B7156" s="2" t="s">
        <v>13868</v>
      </c>
      <c r="C7156" s="2" t="s">
        <v>26</v>
      </c>
      <c r="D7156" s="2" t="s">
        <v>27</v>
      </c>
      <c r="E7156" s="5">
        <v>-28735</v>
      </c>
      <c r="F7156" s="3" t="s">
        <v>836</v>
      </c>
      <c r="G7156" s="3" t="s">
        <v>43</v>
      </c>
      <c r="H7156" s="2" t="s">
        <v>21</v>
      </c>
      <c r="I7156" s="2" t="s">
        <v>13869</v>
      </c>
      <c r="J7156" s="3" t="str">
        <f>HYPERLINK("https://www.boe.es/gazeta/dias/1821/04/28/pdfs/GMD-1821-120.pdf#page=1","Abrir facsímil")</f>
        <v>Abrir facsímil</v>
      </c>
      <c r="K7156" s="3" t="s">
        <v>23</v>
      </c>
    </row>
    <row r="7157" spans="1:11" ht="42" customHeight="1">
      <c r="A7157" s="2" t="s">
        <v>13870</v>
      </c>
      <c r="B7157" s="2" t="s">
        <v>13871</v>
      </c>
      <c r="C7157" s="2" t="s">
        <v>26</v>
      </c>
      <c r="D7157" s="2" t="s">
        <v>27</v>
      </c>
      <c r="E7157" s="5">
        <v>-28537</v>
      </c>
      <c r="F7157" s="3" t="s">
        <v>56</v>
      </c>
      <c r="G7157" s="3" t="s">
        <v>52</v>
      </c>
      <c r="H7157" s="2" t="s">
        <v>21</v>
      </c>
      <c r="I7157" s="2" t="s">
        <v>13872</v>
      </c>
      <c r="J7157" s="3" t="str">
        <f>HYPERLINK("https://www.boe.es/gazeta/dias/1821/11/12/pdfs/GMD-1821-323.pdf#page=2","Abrir facsímil")</f>
        <v>Abrir facsímil</v>
      </c>
      <c r="K7157" s="3" t="s">
        <v>23</v>
      </c>
    </row>
    <row r="7158" spans="1:11" ht="42" customHeight="1">
      <c r="A7158" s="2" t="s">
        <v>13873</v>
      </c>
      <c r="B7158" s="2" t="s">
        <v>13874</v>
      </c>
      <c r="C7158" s="2" t="s">
        <v>17</v>
      </c>
      <c r="D7158" s="2" t="s">
        <v>18</v>
      </c>
      <c r="E7158" s="5">
        <v>-28684</v>
      </c>
      <c r="F7158" s="3" t="s">
        <v>208</v>
      </c>
      <c r="G7158" s="3" t="s">
        <v>52</v>
      </c>
      <c r="H7158" s="2" t="s">
        <v>21</v>
      </c>
      <c r="I7158" s="2" t="s">
        <v>13875</v>
      </c>
      <c r="J7158" s="3" t="str">
        <f>HYPERLINK("https://www.boe.es/gazeta/dias/1821/06/18/pdfs/GMD-1821-171.pdf#page=2","Abrir facsímil")</f>
        <v>Abrir facsímil</v>
      </c>
      <c r="K7158" s="3" t="s">
        <v>23</v>
      </c>
    </row>
    <row r="7159" spans="1:11" ht="42" customHeight="1">
      <c r="A7159" s="2" t="s">
        <v>13876</v>
      </c>
      <c r="B7159" s="2" t="s">
        <v>13877</v>
      </c>
      <c r="C7159" s="2" t="s">
        <v>17</v>
      </c>
      <c r="D7159" s="2" t="s">
        <v>18</v>
      </c>
      <c r="E7159" s="5">
        <v>-28531</v>
      </c>
      <c r="F7159" s="3" t="s">
        <v>365</v>
      </c>
      <c r="G7159" s="3" t="s">
        <v>20</v>
      </c>
      <c r="H7159" s="2" t="s">
        <v>21</v>
      </c>
      <c r="I7159" s="2" t="s">
        <v>13878</v>
      </c>
      <c r="J7159" s="3" t="str">
        <f>HYPERLINK("https://www.boe.es/gazeta/dias/1821/11/18/pdfs/GMD-1821-329.pdf#page=3","Abrir facsímil")</f>
        <v>Abrir facsímil</v>
      </c>
      <c r="K7159" s="3" t="s">
        <v>23</v>
      </c>
    </row>
    <row r="7160" spans="1:11" ht="42" customHeight="1">
      <c r="A7160" s="2" t="s">
        <v>13879</v>
      </c>
      <c r="B7160" s="2" t="s">
        <v>13880</v>
      </c>
      <c r="C7160" s="2" t="s">
        <v>17</v>
      </c>
      <c r="D7160" s="2" t="s">
        <v>18</v>
      </c>
      <c r="E7160" s="5">
        <v>-28779</v>
      </c>
      <c r="F7160" s="3" t="s">
        <v>1002</v>
      </c>
      <c r="G7160" s="3" t="s">
        <v>52</v>
      </c>
      <c r="H7160" s="2" t="s">
        <v>30</v>
      </c>
      <c r="I7160" s="2" t="s">
        <v>13881</v>
      </c>
      <c r="J7160" s="3" t="str">
        <f>HYPERLINK("https://www.boe.es/gazeta/dias/1821/03/15/pdfs/GMD-1821-74.pdf#page=2","Abrir facsímil")</f>
        <v>Abrir facsímil</v>
      </c>
      <c r="K7160" s="3" t="s">
        <v>32</v>
      </c>
    </row>
    <row r="7161" spans="1:11" ht="42" customHeight="1">
      <c r="A7161" s="2" t="s">
        <v>13882</v>
      </c>
      <c r="B7161" s="2" t="s">
        <v>13883</v>
      </c>
      <c r="C7161" s="2" t="s">
        <v>40</v>
      </c>
      <c r="D7161" s="2" t="s">
        <v>41</v>
      </c>
      <c r="E7161" s="5">
        <v>-28531</v>
      </c>
      <c r="F7161" s="3" t="s">
        <v>365</v>
      </c>
      <c r="G7161" s="3" t="s">
        <v>20</v>
      </c>
      <c r="H7161" s="2" t="s">
        <v>21</v>
      </c>
      <c r="I7161" s="2" t="s">
        <v>13884</v>
      </c>
      <c r="J7161" s="3" t="str">
        <f>HYPERLINK("https://www.boe.es/gazeta/dias/1821/11/18/pdfs/GMD-1821-329.pdf#page=3","Abrir facsímil")</f>
        <v>Abrir facsímil</v>
      </c>
      <c r="K7161" s="3" t="s">
        <v>23</v>
      </c>
    </row>
    <row r="7162" spans="1:11" ht="42" customHeight="1">
      <c r="A7162" s="2" t="s">
        <v>13885</v>
      </c>
      <c r="B7162" s="2" t="s">
        <v>13886</v>
      </c>
      <c r="C7162" s="2" t="s">
        <v>35</v>
      </c>
      <c r="D7162" s="2" t="s">
        <v>27</v>
      </c>
      <c r="E7162" s="5">
        <v>-28729</v>
      </c>
      <c r="F7162" s="3" t="s">
        <v>838</v>
      </c>
      <c r="G7162" s="3" t="s">
        <v>52</v>
      </c>
      <c r="H7162" s="2" t="s">
        <v>21</v>
      </c>
      <c r="I7162" s="2" t="s">
        <v>13887</v>
      </c>
      <c r="J7162" s="3" t="str">
        <f>HYPERLINK("https://www.boe.es/gazeta/dias/1821/05/04/pdfs/GMD-1821-126.pdf#page=2","Abrir facsímil")</f>
        <v>Abrir facsímil</v>
      </c>
      <c r="K7162" s="3" t="s">
        <v>23</v>
      </c>
    </row>
    <row r="7163" spans="1:11" ht="42" customHeight="1">
      <c r="A7163" s="2" t="s">
        <v>13888</v>
      </c>
      <c r="B7163" s="2" t="s">
        <v>13889</v>
      </c>
      <c r="C7163" s="2" t="s">
        <v>26</v>
      </c>
      <c r="D7163" s="2" t="s">
        <v>27</v>
      </c>
      <c r="E7163" s="5">
        <v>-28547</v>
      </c>
      <c r="F7163" s="3" t="s">
        <v>247</v>
      </c>
      <c r="G7163" s="3" t="s">
        <v>248</v>
      </c>
      <c r="H7163" s="2" t="s">
        <v>21</v>
      </c>
      <c r="I7163" s="2" t="s">
        <v>13890</v>
      </c>
      <c r="J7163" s="3" t="str">
        <f>HYPERLINK("https://www.boe.es/gazeta/dias/1821/11/02/pdfs/GMD-1821-312.pdf#page=2","Abrir facsímil")</f>
        <v>Abrir facsímil</v>
      </c>
      <c r="K7163" s="3" t="s">
        <v>23</v>
      </c>
    </row>
    <row r="7164" spans="1:11" ht="42" customHeight="1">
      <c r="A7164" s="2" t="s">
        <v>13891</v>
      </c>
      <c r="B7164" s="2" t="s">
        <v>13892</v>
      </c>
      <c r="C7164" s="2" t="s">
        <v>40</v>
      </c>
      <c r="D7164" s="2" t="s">
        <v>41</v>
      </c>
      <c r="E7164" s="5">
        <v>-28793</v>
      </c>
      <c r="F7164" s="3" t="s">
        <v>157</v>
      </c>
      <c r="G7164" s="3" t="s">
        <v>162</v>
      </c>
      <c r="H7164" s="2" t="s">
        <v>21</v>
      </c>
      <c r="I7164" s="2" t="s">
        <v>13893</v>
      </c>
      <c r="J7164" s="3" t="str">
        <f>HYPERLINK("https://www.boe.es/gazeta/dias/1821/03/01/pdfs/GGB-1821-60.pdf#page=5","Abrir facsímil")</f>
        <v>Abrir facsímil</v>
      </c>
      <c r="K7164" s="3" t="s">
        <v>23</v>
      </c>
    </row>
    <row r="7165" spans="1:11" ht="42" customHeight="1">
      <c r="A7165" s="2" t="s">
        <v>13894</v>
      </c>
      <c r="B7165" s="2" t="s">
        <v>13895</v>
      </c>
      <c r="C7165" s="2" t="s">
        <v>26</v>
      </c>
      <c r="D7165" s="2" t="s">
        <v>27</v>
      </c>
      <c r="E7165" s="5">
        <v>-28789</v>
      </c>
      <c r="F7165" s="3" t="s">
        <v>36</v>
      </c>
      <c r="G7165" s="3" t="s">
        <v>52</v>
      </c>
      <c r="H7165" s="2" t="s">
        <v>21</v>
      </c>
      <c r="I7165" s="2" t="s">
        <v>13896</v>
      </c>
      <c r="J7165" s="3" t="str">
        <f>HYPERLINK("https://www.boe.es/gazeta/dias/1821/03/05/pdfs/GGB-1821-64.pdf#page=2","Abrir facsímil")</f>
        <v>Abrir facsímil</v>
      </c>
      <c r="K7165" s="3" t="s">
        <v>23</v>
      </c>
    </row>
    <row r="7166" spans="1:11" ht="42" customHeight="1">
      <c r="A7166" s="2" t="s">
        <v>13897</v>
      </c>
      <c r="B7166" s="2" t="s">
        <v>13898</v>
      </c>
      <c r="C7166" s="2" t="s">
        <v>40</v>
      </c>
      <c r="D7166" s="2" t="s">
        <v>41</v>
      </c>
      <c r="E7166" s="5">
        <v>-28804</v>
      </c>
      <c r="F7166" s="3" t="s">
        <v>1580</v>
      </c>
      <c r="G7166" s="3" t="s">
        <v>20</v>
      </c>
      <c r="H7166" s="2" t="s">
        <v>21</v>
      </c>
      <c r="I7166" s="2" t="s">
        <v>13899</v>
      </c>
      <c r="J7166" s="3" t="str">
        <f>HYPERLINK("https://www.boe.es/gazeta/dias/1821/02/18/pdfs/GGB-1821-49.pdf#page=3","Abrir facsímil")</f>
        <v>Abrir facsímil</v>
      </c>
      <c r="K7166" s="3" t="s">
        <v>23</v>
      </c>
    </row>
    <row r="7167" spans="1:11" ht="42" customHeight="1">
      <c r="A7167" s="2" t="s">
        <v>13897</v>
      </c>
      <c r="B7167" s="2" t="s">
        <v>13898</v>
      </c>
      <c r="C7167" s="2" t="s">
        <v>40</v>
      </c>
      <c r="D7167" s="2" t="s">
        <v>41</v>
      </c>
      <c r="E7167" s="5">
        <v>-28740</v>
      </c>
      <c r="F7167" s="3" t="s">
        <v>2800</v>
      </c>
      <c r="G7167" s="3" t="s">
        <v>52</v>
      </c>
      <c r="H7167" s="2" t="s">
        <v>21</v>
      </c>
      <c r="I7167" s="2" t="s">
        <v>13900</v>
      </c>
      <c r="J7167" s="3" t="str">
        <f>HYPERLINK("https://www.boe.es/gazeta/dias/1821/04/23/pdfs/GMD-1821-115.pdf#page=2","Abrir facsímil")</f>
        <v>Abrir facsímil</v>
      </c>
      <c r="K7167" s="3" t="s">
        <v>23</v>
      </c>
    </row>
    <row r="7168" spans="1:11" ht="42" customHeight="1">
      <c r="A7168" s="2" t="s">
        <v>13897</v>
      </c>
      <c r="B7168" s="2" t="s">
        <v>13898</v>
      </c>
      <c r="C7168" s="2" t="s">
        <v>35</v>
      </c>
      <c r="D7168" s="2" t="s">
        <v>27</v>
      </c>
      <c r="E7168" s="5">
        <v>-28653</v>
      </c>
      <c r="F7168" s="3" t="s">
        <v>1179</v>
      </c>
      <c r="G7168" s="3" t="s">
        <v>20</v>
      </c>
      <c r="H7168" s="2" t="s">
        <v>21</v>
      </c>
      <c r="I7168" s="2" t="s">
        <v>13901</v>
      </c>
      <c r="J7168" s="3" t="str">
        <f>HYPERLINK("https://www.boe.es/gazeta/dias/1821/07/19/pdfs/GMD-1821-204.pdf#page=3","Abrir facsímil")</f>
        <v>Abrir facsímil</v>
      </c>
      <c r="K7168" s="3" t="s">
        <v>23</v>
      </c>
    </row>
    <row r="7169" spans="1:11" ht="42" customHeight="1">
      <c r="A7169" s="2" t="s">
        <v>13897</v>
      </c>
      <c r="B7169" s="2" t="s">
        <v>13898</v>
      </c>
      <c r="C7169" s="2" t="s">
        <v>17</v>
      </c>
      <c r="D7169" s="2" t="s">
        <v>18</v>
      </c>
      <c r="E7169" s="5">
        <v>-28651</v>
      </c>
      <c r="F7169" s="3" t="s">
        <v>1518</v>
      </c>
      <c r="G7169" s="3" t="s">
        <v>1917</v>
      </c>
      <c r="H7169" s="2" t="s">
        <v>21</v>
      </c>
      <c r="I7169" s="2" t="s">
        <v>13902</v>
      </c>
      <c r="J7169" s="3" t="str">
        <f>HYPERLINK("https://www.boe.es/gazeta/dias/1821/07/21/pdfs/GMD-1821-206.pdf#page=3","Abrir facsímil")</f>
        <v>Abrir facsímil</v>
      </c>
      <c r="K7169" s="3" t="s">
        <v>23</v>
      </c>
    </row>
    <row r="7170" spans="1:11" ht="42" customHeight="1">
      <c r="A7170" s="2" t="s">
        <v>13897</v>
      </c>
      <c r="B7170" s="2" t="s">
        <v>13898</v>
      </c>
      <c r="C7170" s="2" t="s">
        <v>40</v>
      </c>
      <c r="D7170" s="2" t="s">
        <v>41</v>
      </c>
      <c r="E7170" s="5">
        <v>-28639</v>
      </c>
      <c r="F7170" s="3" t="s">
        <v>3316</v>
      </c>
      <c r="G7170" s="3" t="s">
        <v>52</v>
      </c>
      <c r="H7170" s="2" t="s">
        <v>21</v>
      </c>
      <c r="I7170" s="2" t="s">
        <v>13903</v>
      </c>
      <c r="J7170" s="3" t="str">
        <f>HYPERLINK("https://www.boe.es/gazeta/dias/1821/08/02/pdfs/GMD-1821-218.pdf#page=2","Abrir facsímil")</f>
        <v>Abrir facsímil</v>
      </c>
      <c r="K7170" s="3" t="s">
        <v>23</v>
      </c>
    </row>
    <row r="7171" spans="1:11" ht="42" customHeight="1">
      <c r="A7171" s="2" t="s">
        <v>13897</v>
      </c>
      <c r="B7171" s="2" t="s">
        <v>13898</v>
      </c>
      <c r="C7171" s="2" t="s">
        <v>174</v>
      </c>
      <c r="D7171" s="2" t="s">
        <v>27</v>
      </c>
      <c r="E7171" s="5">
        <v>-28629</v>
      </c>
      <c r="F7171" s="3" t="s">
        <v>235</v>
      </c>
      <c r="G7171" s="3" t="s">
        <v>20</v>
      </c>
      <c r="H7171" s="2" t="s">
        <v>21</v>
      </c>
      <c r="I7171" s="2" t="s">
        <v>13904</v>
      </c>
      <c r="J7171" s="3" t="str">
        <f>HYPERLINK("https://www.boe.es/gazeta/dias/1821/08/12/pdfs/GMD-1821-229.pdf#page=3","Abrir facsímil")</f>
        <v>Abrir facsímil</v>
      </c>
      <c r="K7171" s="3" t="s">
        <v>23</v>
      </c>
    </row>
    <row r="7172" spans="1:11" ht="42" customHeight="1">
      <c r="A7172" s="2" t="s">
        <v>13897</v>
      </c>
      <c r="B7172" s="2" t="s">
        <v>13898</v>
      </c>
      <c r="C7172" s="2" t="s">
        <v>40</v>
      </c>
      <c r="D7172" s="2" t="s">
        <v>41</v>
      </c>
      <c r="E7172" s="5">
        <v>-28627</v>
      </c>
      <c r="F7172" s="3" t="s">
        <v>3216</v>
      </c>
      <c r="G7172" s="3" t="s">
        <v>20</v>
      </c>
      <c r="H7172" s="2" t="s">
        <v>21</v>
      </c>
      <c r="I7172" s="2" t="s">
        <v>13905</v>
      </c>
      <c r="J7172" s="3" t="str">
        <f>HYPERLINK("https://www.boe.es/gazeta/dias/1821/08/14/pdfs/GMD-1821-231.pdf#page=3","Abrir facsímil")</f>
        <v>Abrir facsímil</v>
      </c>
      <c r="K7172" s="3" t="s">
        <v>23</v>
      </c>
    </row>
    <row r="7173" spans="1:11" ht="42" customHeight="1">
      <c r="A7173" s="2" t="s">
        <v>13906</v>
      </c>
      <c r="B7173" s="2" t="s">
        <v>13907</v>
      </c>
      <c r="C7173" s="2" t="s">
        <v>35</v>
      </c>
      <c r="D7173" s="2" t="s">
        <v>27</v>
      </c>
      <c r="E7173" s="5">
        <v>-28556</v>
      </c>
      <c r="F7173" s="3" t="s">
        <v>264</v>
      </c>
      <c r="G7173" s="3" t="s">
        <v>52</v>
      </c>
      <c r="H7173" s="2" t="s">
        <v>21</v>
      </c>
      <c r="I7173" s="2" t="s">
        <v>13908</v>
      </c>
      <c r="J7173" s="3" t="str">
        <f>HYPERLINK("https://www.boe.es/gazeta/dias/1821/10/24/pdfs/GMD-1821-303.pdf#page=2","Abrir facsímil")</f>
        <v>Abrir facsímil</v>
      </c>
      <c r="K7173" s="3" t="s">
        <v>23</v>
      </c>
    </row>
    <row r="7174" spans="1:11" ht="42" customHeight="1">
      <c r="A7174" s="2" t="s">
        <v>13909</v>
      </c>
      <c r="B7174" s="2" t="s">
        <v>13910</v>
      </c>
      <c r="C7174" s="2" t="s">
        <v>17</v>
      </c>
      <c r="D7174" s="2" t="s">
        <v>18</v>
      </c>
      <c r="E7174" s="5">
        <v>-28812</v>
      </c>
      <c r="F7174" s="3" t="s">
        <v>2610</v>
      </c>
      <c r="G7174" s="3" t="s">
        <v>52</v>
      </c>
      <c r="H7174" s="2" t="s">
        <v>21</v>
      </c>
      <c r="I7174" s="2" t="s">
        <v>13911</v>
      </c>
      <c r="J7174" s="3" t="str">
        <f>HYPERLINK("https://www.boe.es/gazeta/dias/1821/02/10/pdfs/GGB-1821-41.pdf#page=2","Abrir facsímil")</f>
        <v>Abrir facsímil</v>
      </c>
      <c r="K7174" s="3" t="s">
        <v>23</v>
      </c>
    </row>
    <row r="7175" spans="1:11" ht="42" customHeight="1">
      <c r="A7175" s="2" t="s">
        <v>13909</v>
      </c>
      <c r="B7175" s="2" t="s">
        <v>13910</v>
      </c>
      <c r="C7175" s="2" t="s">
        <v>40</v>
      </c>
      <c r="D7175" s="2" t="s">
        <v>41</v>
      </c>
      <c r="E7175" s="5">
        <v>-28742</v>
      </c>
      <c r="F7175" s="3" t="s">
        <v>324</v>
      </c>
      <c r="G7175" s="3" t="s">
        <v>52</v>
      </c>
      <c r="H7175" s="2" t="s">
        <v>21</v>
      </c>
      <c r="I7175" s="2" t="s">
        <v>13912</v>
      </c>
      <c r="J7175" s="3" t="str">
        <f>HYPERLINK("https://www.boe.es/gazeta/dias/1821/04/21/pdfs/GMD-1821-113.pdf#page=2","Abrir facsímil")</f>
        <v>Abrir facsímil</v>
      </c>
      <c r="K7175" s="3" t="s">
        <v>23</v>
      </c>
    </row>
    <row r="7176" spans="1:11" ht="42" customHeight="1">
      <c r="A7176" s="2" t="s">
        <v>13909</v>
      </c>
      <c r="B7176" s="2" t="s">
        <v>13910</v>
      </c>
      <c r="C7176" s="2" t="s">
        <v>35</v>
      </c>
      <c r="D7176" s="2" t="s">
        <v>27</v>
      </c>
      <c r="E7176" s="5">
        <v>-28734</v>
      </c>
      <c r="F7176" s="3" t="s">
        <v>1553</v>
      </c>
      <c r="G7176" s="3" t="s">
        <v>2625</v>
      </c>
      <c r="H7176" s="2" t="s">
        <v>21</v>
      </c>
      <c r="I7176" s="2" t="s">
        <v>13913</v>
      </c>
      <c r="J7176" s="3" t="str">
        <f>HYPERLINK("https://www.boe.es/gazeta/dias/1821/04/29/pdfs/GMD-1821-121.pdf#page=2","Abrir facsímil")</f>
        <v>Abrir facsímil</v>
      </c>
      <c r="K7176" s="3" t="s">
        <v>23</v>
      </c>
    </row>
    <row r="7177" spans="1:11" ht="42" customHeight="1">
      <c r="A7177" s="2" t="s">
        <v>13909</v>
      </c>
      <c r="B7177" s="2" t="s">
        <v>13910</v>
      </c>
      <c r="C7177" s="2" t="s">
        <v>40</v>
      </c>
      <c r="D7177" s="2" t="s">
        <v>41</v>
      </c>
      <c r="E7177" s="5">
        <v>-28653</v>
      </c>
      <c r="F7177" s="3" t="s">
        <v>1179</v>
      </c>
      <c r="G7177" s="3" t="s">
        <v>20</v>
      </c>
      <c r="H7177" s="2" t="s">
        <v>21</v>
      </c>
      <c r="I7177" s="2" t="s">
        <v>13914</v>
      </c>
      <c r="J7177" s="3" t="str">
        <f>HYPERLINK("https://www.boe.es/gazeta/dias/1821/07/19/pdfs/GMD-1821-204.pdf#page=3","Abrir facsímil")</f>
        <v>Abrir facsímil</v>
      </c>
      <c r="K7177" s="3" t="s">
        <v>23</v>
      </c>
    </row>
    <row r="7178" spans="1:11" ht="42" customHeight="1">
      <c r="A7178" s="2" t="s">
        <v>13915</v>
      </c>
      <c r="B7178" s="2" t="s">
        <v>13916</v>
      </c>
      <c r="C7178" s="2" t="s">
        <v>114</v>
      </c>
      <c r="D7178" s="2" t="s">
        <v>27</v>
      </c>
      <c r="E7178" s="5">
        <v>-28624</v>
      </c>
      <c r="F7178" s="3" t="s">
        <v>78</v>
      </c>
      <c r="G7178" s="3" t="s">
        <v>20</v>
      </c>
      <c r="H7178" s="2" t="s">
        <v>21</v>
      </c>
      <c r="I7178" s="2" t="s">
        <v>13917</v>
      </c>
      <c r="J7178" s="3" t="str">
        <f>HYPERLINK("https://www.boe.es/gazeta/dias/1821/08/17/pdfs/GMD-1821-234.pdf#page=3","Abrir facsímil")</f>
        <v>Abrir facsímil</v>
      </c>
      <c r="K7178" s="3" t="s">
        <v>23</v>
      </c>
    </row>
    <row r="7179" spans="1:11" ht="42" customHeight="1">
      <c r="A7179" s="2" t="s">
        <v>13909</v>
      </c>
      <c r="B7179" s="2" t="s">
        <v>13910</v>
      </c>
      <c r="C7179" s="2" t="s">
        <v>35</v>
      </c>
      <c r="D7179" s="2" t="s">
        <v>27</v>
      </c>
      <c r="E7179" s="5">
        <v>-28613</v>
      </c>
      <c r="F7179" s="3" t="s">
        <v>178</v>
      </c>
      <c r="G7179" s="3" t="s">
        <v>52</v>
      </c>
      <c r="H7179" s="2" t="s">
        <v>21</v>
      </c>
      <c r="I7179" s="2" t="s">
        <v>13918</v>
      </c>
      <c r="J7179" s="3" t="str">
        <f>HYPERLINK("https://www.boe.es/gazeta/dias/1821/08/28/pdfs/GMD-1821-245.pdf#page=2","Abrir facsímil")</f>
        <v>Abrir facsímil</v>
      </c>
      <c r="K7179" s="3" t="s">
        <v>23</v>
      </c>
    </row>
    <row r="7180" spans="1:11" ht="42" customHeight="1">
      <c r="A7180" s="2" t="s">
        <v>13919</v>
      </c>
      <c r="B7180" s="2" t="s">
        <v>13920</v>
      </c>
      <c r="C7180" s="2" t="s">
        <v>40</v>
      </c>
      <c r="D7180" s="2" t="s">
        <v>41</v>
      </c>
      <c r="E7180" s="5">
        <v>-28831</v>
      </c>
      <c r="F7180" s="3" t="s">
        <v>3179</v>
      </c>
      <c r="G7180" s="3" t="s">
        <v>20</v>
      </c>
      <c r="H7180" s="2" t="s">
        <v>21</v>
      </c>
      <c r="I7180" s="2" t="s">
        <v>13921</v>
      </c>
      <c r="J7180" s="3" t="str">
        <f>HYPERLINK("https://www.boe.es/gazeta/dias/1821/01/22/pdfs/GGB-1821-22.pdf#page=3","Abrir facsímil")</f>
        <v>Abrir facsímil</v>
      </c>
      <c r="K7180" s="3" t="s">
        <v>23</v>
      </c>
    </row>
    <row r="7181" spans="1:11" ht="42" customHeight="1">
      <c r="A7181" s="2" t="s">
        <v>13922</v>
      </c>
      <c r="B7181" s="2" t="s">
        <v>13922</v>
      </c>
      <c r="C7181" s="2" t="s">
        <v>40</v>
      </c>
      <c r="D7181" s="2" t="s">
        <v>41</v>
      </c>
      <c r="E7181" s="5">
        <v>-28553</v>
      </c>
      <c r="F7181" s="3" t="s">
        <v>182</v>
      </c>
      <c r="G7181" s="3" t="s">
        <v>162</v>
      </c>
      <c r="H7181" s="2" t="s">
        <v>21</v>
      </c>
      <c r="I7181" s="2" t="s">
        <v>13923</v>
      </c>
      <c r="J7181" s="3" t="str">
        <f>HYPERLINK("https://www.boe.es/gazeta/dias/1821/10/27/pdfs/GMD-1821-306.pdf#page=5","Abrir facsímil")</f>
        <v>Abrir facsímil</v>
      </c>
      <c r="K7181" s="3" t="s">
        <v>23</v>
      </c>
    </row>
    <row r="7182" spans="1:11" ht="42" customHeight="1">
      <c r="A7182" s="2" t="s">
        <v>13922</v>
      </c>
      <c r="B7182" s="2" t="s">
        <v>13922</v>
      </c>
      <c r="C7182" s="2" t="s">
        <v>17</v>
      </c>
      <c r="D7182" s="2" t="s">
        <v>18</v>
      </c>
      <c r="E7182" s="5">
        <v>-28504</v>
      </c>
      <c r="F7182" s="3" t="s">
        <v>1098</v>
      </c>
      <c r="G7182" s="3" t="s">
        <v>333</v>
      </c>
      <c r="H7182" s="2" t="s">
        <v>21</v>
      </c>
      <c r="I7182" s="2" t="s">
        <v>13924</v>
      </c>
      <c r="J7182" s="3" t="str">
        <f>HYPERLINK("https://www.boe.es/gazeta/dias/1821/12/15/pdfs/GMD-1821-358.pdf#page=8","Abrir facsímil")</f>
        <v>Abrir facsímil</v>
      </c>
      <c r="K7182" s="3" t="s">
        <v>23</v>
      </c>
    </row>
    <row r="7183" spans="1:11" ht="42" customHeight="1">
      <c r="A7183" s="2" t="s">
        <v>13925</v>
      </c>
      <c r="B7183" s="2" t="s">
        <v>13926</v>
      </c>
      <c r="C7183" s="2" t="s">
        <v>17</v>
      </c>
      <c r="D7183" s="2" t="s">
        <v>18</v>
      </c>
      <c r="E7183" s="5">
        <v>-28562</v>
      </c>
      <c r="F7183" s="3" t="s">
        <v>3093</v>
      </c>
      <c r="G7183" s="3" t="s">
        <v>88</v>
      </c>
      <c r="H7183" s="2" t="s">
        <v>21</v>
      </c>
      <c r="I7183" s="2" t="s">
        <v>13927</v>
      </c>
      <c r="J7183" s="3" t="str">
        <f>HYPERLINK("https://www.boe.es/gazeta/dias/1821/10/18/pdfs/GMD-1821-297.pdf#page=4","Abrir facsímil")</f>
        <v>Abrir facsímil</v>
      </c>
      <c r="K7183" s="3" t="s">
        <v>23</v>
      </c>
    </row>
    <row r="7184" spans="1:11" ht="42" customHeight="1">
      <c r="A7184" s="2" t="s">
        <v>13928</v>
      </c>
      <c r="B7184" s="2" t="s">
        <v>13929</v>
      </c>
      <c r="C7184" s="2" t="s">
        <v>26</v>
      </c>
      <c r="D7184" s="2" t="s">
        <v>27</v>
      </c>
      <c r="E7184" s="5">
        <v>-28755</v>
      </c>
      <c r="F7184" s="3" t="s">
        <v>906</v>
      </c>
      <c r="G7184" s="3" t="s">
        <v>907</v>
      </c>
      <c r="H7184" s="2" t="s">
        <v>30</v>
      </c>
      <c r="I7184" s="2" t="s">
        <v>13930</v>
      </c>
      <c r="J7184" s="3" t="str">
        <f>HYPERLINK("https://www.boe.es/gazeta/dias/1821/04/08/pdfs/GMD-1821-100.pdf#page=4","Abrir facsímil")</f>
        <v>Abrir facsímil</v>
      </c>
      <c r="K7184" s="3" t="s">
        <v>32</v>
      </c>
    </row>
    <row r="7185" spans="1:11" ht="42" customHeight="1">
      <c r="A7185" s="2" t="s">
        <v>13931</v>
      </c>
      <c r="B7185" s="2" t="s">
        <v>13932</v>
      </c>
      <c r="C7185" s="2" t="s">
        <v>40</v>
      </c>
      <c r="D7185" s="2" t="s">
        <v>41</v>
      </c>
      <c r="E7185" s="5">
        <v>-28852</v>
      </c>
      <c r="F7185" s="3" t="s">
        <v>5624</v>
      </c>
      <c r="G7185" s="3" t="s">
        <v>20</v>
      </c>
      <c r="H7185" s="2" t="s">
        <v>21</v>
      </c>
      <c r="I7185" s="2" t="s">
        <v>13933</v>
      </c>
      <c r="J7185" s="3" t="str">
        <f>HYPERLINK("https://www.boe.es/gazeta/dias/1821/01/01/pdfs/GGB-1821-1.pdf#page=3","Abrir facsímil")</f>
        <v>Abrir facsímil</v>
      </c>
      <c r="K7185" s="3" t="s">
        <v>23</v>
      </c>
    </row>
    <row r="7186" spans="1:11" ht="42" customHeight="1">
      <c r="A7186" s="2" t="s">
        <v>13934</v>
      </c>
      <c r="B7186" s="2" t="s">
        <v>13935</v>
      </c>
      <c r="C7186" s="2" t="s">
        <v>17</v>
      </c>
      <c r="D7186" s="2" t="s">
        <v>18</v>
      </c>
      <c r="E7186" s="5">
        <v>-28512</v>
      </c>
      <c r="F7186" s="3" t="s">
        <v>66</v>
      </c>
      <c r="G7186" s="3" t="s">
        <v>43</v>
      </c>
      <c r="H7186" s="2" t="s">
        <v>21</v>
      </c>
      <c r="I7186" s="2" t="s">
        <v>13936</v>
      </c>
      <c r="J7186" s="3" t="str">
        <f>HYPERLINK("https://www.boe.es/gazeta/dias/1821/12/07/pdfs/GMD-1821-349.pdf#page=1","Abrir facsímil")</f>
        <v>Abrir facsímil</v>
      </c>
      <c r="K7186" s="3" t="s">
        <v>23</v>
      </c>
    </row>
    <row r="7187" spans="1:11" ht="42" customHeight="1">
      <c r="A7187" s="2" t="s">
        <v>13937</v>
      </c>
      <c r="B7187" s="2" t="s">
        <v>13938</v>
      </c>
      <c r="C7187" s="2" t="s">
        <v>40</v>
      </c>
      <c r="D7187" s="2" t="s">
        <v>41</v>
      </c>
      <c r="E7187" s="5">
        <v>-28808</v>
      </c>
      <c r="F7187" s="3" t="s">
        <v>3445</v>
      </c>
      <c r="G7187" s="3" t="s">
        <v>13939</v>
      </c>
      <c r="H7187" s="2" t="s">
        <v>21</v>
      </c>
      <c r="I7187" s="2" t="s">
        <v>13940</v>
      </c>
      <c r="J7187" s="3" t="str">
        <f>HYPERLINK("https://www.boe.es/gazeta/dias/1821/02/14/pdfs/GGB-1821-45.pdf#page=4","Abrir facsímil")</f>
        <v>Abrir facsímil</v>
      </c>
      <c r="K7187" s="3" t="s">
        <v>23</v>
      </c>
    </row>
    <row r="7188" spans="1:11" ht="42" customHeight="1">
      <c r="A7188" s="2" t="s">
        <v>13941</v>
      </c>
      <c r="B7188" s="2" t="s">
        <v>13941</v>
      </c>
      <c r="C7188" s="2" t="s">
        <v>40</v>
      </c>
      <c r="D7188" s="2" t="s">
        <v>41</v>
      </c>
      <c r="E7188" s="5">
        <v>-28811</v>
      </c>
      <c r="F7188" s="3" t="s">
        <v>5734</v>
      </c>
      <c r="G7188" s="3" t="s">
        <v>88</v>
      </c>
      <c r="H7188" s="2" t="s">
        <v>21</v>
      </c>
      <c r="I7188" s="2" t="s">
        <v>13942</v>
      </c>
      <c r="J7188" s="3" t="str">
        <f>HYPERLINK("https://www.boe.es/gazeta/dias/1821/02/11/pdfs/GGB-1821-42.pdf#page=4","Abrir facsímil")</f>
        <v>Abrir facsímil</v>
      </c>
      <c r="K7188" s="3" t="s">
        <v>23</v>
      </c>
    </row>
    <row r="7189" spans="1:11" ht="42" customHeight="1">
      <c r="A7189" s="2" t="s">
        <v>13943</v>
      </c>
      <c r="B7189" s="2" t="s">
        <v>13943</v>
      </c>
      <c r="C7189" s="2" t="s">
        <v>26</v>
      </c>
      <c r="D7189" s="2" t="s">
        <v>27</v>
      </c>
      <c r="E7189" s="5">
        <v>-28644</v>
      </c>
      <c r="F7189" s="3" t="s">
        <v>1340</v>
      </c>
      <c r="G7189" s="3" t="s">
        <v>52</v>
      </c>
      <c r="H7189" s="2" t="s">
        <v>21</v>
      </c>
      <c r="I7189" s="2" t="s">
        <v>13944</v>
      </c>
      <c r="J7189" s="3" t="str">
        <f>HYPERLINK("https://www.boe.es/gazeta/dias/1821/07/28/pdfs/GMD-1821-213.pdf#page=2","Abrir facsímil")</f>
        <v>Abrir facsímil</v>
      </c>
      <c r="K7189" s="3" t="s">
        <v>23</v>
      </c>
    </row>
    <row r="7190" spans="1:11" ht="42" customHeight="1">
      <c r="A7190" s="2" t="s">
        <v>13945</v>
      </c>
      <c r="B7190" s="2" t="s">
        <v>13945</v>
      </c>
      <c r="C7190" s="2" t="s">
        <v>40</v>
      </c>
      <c r="D7190" s="2" t="s">
        <v>41</v>
      </c>
      <c r="E7190" s="5">
        <v>-28610</v>
      </c>
      <c r="F7190" s="3" t="s">
        <v>190</v>
      </c>
      <c r="G7190" s="3" t="s">
        <v>52</v>
      </c>
      <c r="H7190" s="2" t="s">
        <v>21</v>
      </c>
      <c r="I7190" s="2" t="s">
        <v>13946</v>
      </c>
      <c r="J7190" s="3" t="str">
        <f>HYPERLINK("https://www.boe.es/gazeta/dias/1821/08/31/pdfs/GMD-1821-248.pdf#page=2","Abrir facsímil")</f>
        <v>Abrir facsímil</v>
      </c>
      <c r="K7190" s="3" t="s">
        <v>23</v>
      </c>
    </row>
    <row r="7191" spans="1:11" ht="42" customHeight="1">
      <c r="A7191" s="2" t="s">
        <v>13947</v>
      </c>
      <c r="B7191" s="2" t="s">
        <v>13947</v>
      </c>
      <c r="C7191" s="2" t="s">
        <v>26</v>
      </c>
      <c r="D7191" s="2" t="s">
        <v>27</v>
      </c>
      <c r="E7191" s="5">
        <v>-28624</v>
      </c>
      <c r="F7191" s="3" t="s">
        <v>78</v>
      </c>
      <c r="G7191" s="3" t="s">
        <v>20</v>
      </c>
      <c r="H7191" s="2" t="s">
        <v>21</v>
      </c>
      <c r="I7191" s="2" t="s">
        <v>13948</v>
      </c>
      <c r="J7191" s="3" t="str">
        <f>HYPERLINK("https://www.boe.es/gazeta/dias/1821/08/17/pdfs/GMD-1821-234.pdf#page=3","Abrir facsímil")</f>
        <v>Abrir facsímil</v>
      </c>
      <c r="K7191" s="3" t="s">
        <v>23</v>
      </c>
    </row>
    <row r="7192" spans="1:11" ht="42" customHeight="1">
      <c r="A7192" s="2" t="s">
        <v>13949</v>
      </c>
      <c r="B7192" s="2" t="s">
        <v>13949</v>
      </c>
      <c r="C7192" s="2" t="s">
        <v>26</v>
      </c>
      <c r="D7192" s="2" t="s">
        <v>27</v>
      </c>
      <c r="E7192" s="5">
        <v>-28644</v>
      </c>
      <c r="F7192" s="3" t="s">
        <v>1340</v>
      </c>
      <c r="G7192" s="3" t="s">
        <v>52</v>
      </c>
      <c r="H7192" s="2" t="s">
        <v>21</v>
      </c>
      <c r="I7192" s="2" t="s">
        <v>13950</v>
      </c>
      <c r="J7192" s="3" t="str">
        <f>HYPERLINK("https://www.boe.es/gazeta/dias/1821/07/28/pdfs/GMD-1821-213.pdf#page=2","Abrir facsímil")</f>
        <v>Abrir facsímil</v>
      </c>
      <c r="K7192" s="3" t="s">
        <v>23</v>
      </c>
    </row>
    <row r="7193" spans="1:11" ht="42" customHeight="1">
      <c r="A7193" s="2" t="s">
        <v>13951</v>
      </c>
      <c r="B7193" s="2" t="s">
        <v>13951</v>
      </c>
      <c r="C7193" s="2" t="s">
        <v>40</v>
      </c>
      <c r="D7193" s="2" t="s">
        <v>41</v>
      </c>
      <c r="E7193" s="5">
        <v>-28764</v>
      </c>
      <c r="F7193" s="3" t="s">
        <v>924</v>
      </c>
      <c r="G7193" s="3" t="s">
        <v>43</v>
      </c>
      <c r="H7193" s="2" t="s">
        <v>21</v>
      </c>
      <c r="I7193" s="2" t="s">
        <v>13952</v>
      </c>
      <c r="J7193" s="3" t="str">
        <f>HYPERLINK("https://www.boe.es/gazeta/dias/1821/03/30/pdfs/GMD-1821-91.pdf#page=1","Abrir facsímil")</f>
        <v>Abrir facsímil</v>
      </c>
      <c r="K7193" s="3" t="s">
        <v>23</v>
      </c>
    </row>
    <row r="7194" spans="1:11" ht="42" customHeight="1">
      <c r="A7194" s="2" t="s">
        <v>13953</v>
      </c>
      <c r="B7194" s="2" t="s">
        <v>13954</v>
      </c>
      <c r="C7194" s="2" t="s">
        <v>35</v>
      </c>
      <c r="D7194" s="2" t="s">
        <v>27</v>
      </c>
      <c r="E7194" s="5">
        <v>-28694</v>
      </c>
      <c r="F7194" s="3" t="s">
        <v>1057</v>
      </c>
      <c r="G7194" s="3" t="s">
        <v>52</v>
      </c>
      <c r="H7194" s="2" t="s">
        <v>21</v>
      </c>
      <c r="I7194" s="2" t="s">
        <v>13955</v>
      </c>
      <c r="J7194" s="3" t="str">
        <f>HYPERLINK("https://www.boe.es/gazeta/dias/1821/06/08/pdfs/GMD-1821-161.pdf#page=2","Abrir facsímil")</f>
        <v>Abrir facsímil</v>
      </c>
      <c r="K7194" s="3" t="s">
        <v>23</v>
      </c>
    </row>
    <row r="7195" spans="1:11" ht="42" customHeight="1">
      <c r="A7195" s="2" t="s">
        <v>13956</v>
      </c>
      <c r="B7195" s="2" t="s">
        <v>13957</v>
      </c>
      <c r="C7195" s="2" t="s">
        <v>174</v>
      </c>
      <c r="D7195" s="2" t="s">
        <v>27</v>
      </c>
      <c r="E7195" s="5">
        <v>-28558</v>
      </c>
      <c r="F7195" s="3" t="s">
        <v>758</v>
      </c>
      <c r="G7195" s="3" t="s">
        <v>29</v>
      </c>
      <c r="H7195" s="2" t="s">
        <v>21</v>
      </c>
      <c r="I7195" s="2" t="s">
        <v>13958</v>
      </c>
      <c r="J7195" s="3" t="str">
        <f>HYPERLINK("https://www.boe.es/gazeta/dias/1821/10/22/pdfs/GMD-1821-301.pdf#page=6","Abrir facsímil")</f>
        <v>Abrir facsímil</v>
      </c>
      <c r="K7195" s="3" t="s">
        <v>23</v>
      </c>
    </row>
    <row r="7196" spans="1:11" ht="42" customHeight="1">
      <c r="A7196" s="2" t="s">
        <v>13959</v>
      </c>
      <c r="B7196" s="2" t="s">
        <v>13960</v>
      </c>
      <c r="C7196" s="2" t="s">
        <v>17</v>
      </c>
      <c r="D7196" s="2" t="s">
        <v>18</v>
      </c>
      <c r="E7196" s="5">
        <v>-28490</v>
      </c>
      <c r="F7196" s="3" t="s">
        <v>801</v>
      </c>
      <c r="G7196" s="3" t="s">
        <v>52</v>
      </c>
      <c r="H7196" s="2" t="s">
        <v>21</v>
      </c>
      <c r="I7196" s="2" t="s">
        <v>13961</v>
      </c>
      <c r="J7196" s="3" t="str">
        <f>HYPERLINK("https://www.boe.es/gazeta/dias/1821/12/29/pdfs/GMD-1821-372.pdf#page=2","Abrir facsímil")</f>
        <v>Abrir facsímil</v>
      </c>
      <c r="K7196" s="3" t="s">
        <v>23</v>
      </c>
    </row>
    <row r="7197" spans="1:11" ht="42" customHeight="1">
      <c r="A7197" s="2" t="s">
        <v>13962</v>
      </c>
      <c r="B7197" s="2" t="s">
        <v>13963</v>
      </c>
      <c r="C7197" s="2" t="s">
        <v>26</v>
      </c>
      <c r="D7197" s="2" t="s">
        <v>27</v>
      </c>
      <c r="E7197" s="5">
        <v>-28661</v>
      </c>
      <c r="F7197" s="3" t="s">
        <v>2298</v>
      </c>
      <c r="G7197" s="3" t="s">
        <v>43</v>
      </c>
      <c r="H7197" s="2" t="s">
        <v>21</v>
      </c>
      <c r="I7197" s="2" t="s">
        <v>13964</v>
      </c>
      <c r="J7197" s="3" t="str">
        <f>HYPERLINK("https://www.boe.es/gazeta/dias/1821/07/11/pdfs/GMD-1821-196.pdf#page=1","Abrir facsímil")</f>
        <v>Abrir facsímil</v>
      </c>
      <c r="K7197" s="3" t="s">
        <v>23</v>
      </c>
    </row>
    <row r="7198" spans="1:11" ht="42" customHeight="1">
      <c r="A7198" s="2" t="s">
        <v>13965</v>
      </c>
      <c r="B7198" s="2" t="s">
        <v>13965</v>
      </c>
      <c r="C7198" s="2" t="s">
        <v>40</v>
      </c>
      <c r="D7198" s="2" t="s">
        <v>41</v>
      </c>
      <c r="E7198" s="5">
        <v>-28703</v>
      </c>
      <c r="F7198" s="3" t="s">
        <v>231</v>
      </c>
      <c r="G7198" s="3" t="s">
        <v>20</v>
      </c>
      <c r="H7198" s="2" t="s">
        <v>21</v>
      </c>
      <c r="I7198" s="2" t="s">
        <v>13966</v>
      </c>
      <c r="J7198" s="3" t="str">
        <f>HYPERLINK("https://www.boe.es/gazeta/dias/1821/05/30/pdfs/GMD-1821-152.pdf#page=3","Abrir facsímil")</f>
        <v>Abrir facsímil</v>
      </c>
      <c r="K7198" s="3" t="s">
        <v>23</v>
      </c>
    </row>
    <row r="7199" spans="1:11" ht="42" customHeight="1">
      <c r="A7199" s="2" t="s">
        <v>13967</v>
      </c>
      <c r="B7199" s="2" t="s">
        <v>13967</v>
      </c>
      <c r="C7199" s="2" t="s">
        <v>26</v>
      </c>
      <c r="D7199" s="2" t="s">
        <v>27</v>
      </c>
      <c r="E7199" s="5">
        <v>-28804</v>
      </c>
      <c r="F7199" s="3" t="s">
        <v>1580</v>
      </c>
      <c r="G7199" s="3" t="s">
        <v>52</v>
      </c>
      <c r="H7199" s="2" t="s">
        <v>21</v>
      </c>
      <c r="I7199" s="2" t="s">
        <v>13968</v>
      </c>
      <c r="J7199" s="3" t="str">
        <f>HYPERLINK("https://www.boe.es/gazeta/dias/1821/02/18/pdfs/GGB-1821-49.pdf#page=2","Abrir facsímil")</f>
        <v>Abrir facsímil</v>
      </c>
      <c r="K7199" s="3" t="s">
        <v>23</v>
      </c>
    </row>
    <row r="7200" spans="1:11" ht="42" customHeight="1">
      <c r="A7200" s="2" t="s">
        <v>13967</v>
      </c>
      <c r="B7200" s="2" t="s">
        <v>13967</v>
      </c>
      <c r="C7200" s="2" t="s">
        <v>17</v>
      </c>
      <c r="D7200" s="2" t="s">
        <v>18</v>
      </c>
      <c r="E7200" s="5">
        <v>-28763</v>
      </c>
      <c r="F7200" s="3" t="s">
        <v>1145</v>
      </c>
      <c r="G7200" s="3" t="s">
        <v>52</v>
      </c>
      <c r="H7200" s="2" t="s">
        <v>21</v>
      </c>
      <c r="I7200" s="2" t="s">
        <v>13969</v>
      </c>
      <c r="J7200" s="3" t="str">
        <f>HYPERLINK("https://www.boe.es/gazeta/dias/1821/03/31/pdfs/GMD-1821-92.pdf#page=2","Abrir facsímil")</f>
        <v>Abrir facsímil</v>
      </c>
      <c r="K7200" s="3" t="s">
        <v>23</v>
      </c>
    </row>
    <row r="7201" spans="1:11" ht="42" customHeight="1">
      <c r="A7201" s="2" t="s">
        <v>13967</v>
      </c>
      <c r="B7201" s="2" t="s">
        <v>13967</v>
      </c>
      <c r="C7201" s="2" t="s">
        <v>26</v>
      </c>
      <c r="D7201" s="2" t="s">
        <v>27</v>
      </c>
      <c r="E7201" s="5">
        <v>-28752</v>
      </c>
      <c r="F7201" s="3" t="s">
        <v>1012</v>
      </c>
      <c r="G7201" s="3" t="s">
        <v>52</v>
      </c>
      <c r="H7201" s="2" t="s">
        <v>21</v>
      </c>
      <c r="I7201" s="2" t="s">
        <v>13970</v>
      </c>
      <c r="J7201" s="3" t="str">
        <f>HYPERLINK("https://www.boe.es/gazeta/dias/1821/04/11/pdfs/GMD-1821-103.pdf#page=2","Abrir facsímil")</f>
        <v>Abrir facsímil</v>
      </c>
      <c r="K7201" s="3" t="s">
        <v>23</v>
      </c>
    </row>
    <row r="7202" spans="1:11" ht="42" customHeight="1">
      <c r="A7202" s="2" t="s">
        <v>13967</v>
      </c>
      <c r="B7202" s="2" t="s">
        <v>13967</v>
      </c>
      <c r="C7202" s="2" t="s">
        <v>35</v>
      </c>
      <c r="D7202" s="2" t="s">
        <v>27</v>
      </c>
      <c r="E7202" s="5">
        <v>-28711</v>
      </c>
      <c r="F7202" s="3" t="s">
        <v>1048</v>
      </c>
      <c r="G7202" s="3" t="s">
        <v>52</v>
      </c>
      <c r="H7202" s="2" t="s">
        <v>21</v>
      </c>
      <c r="I7202" s="2" t="s">
        <v>13971</v>
      </c>
      <c r="J7202" s="3" t="str">
        <f>HYPERLINK("https://www.boe.es/gazeta/dias/1821/05/22/pdfs/GMD-1821-144.pdf#page=2","Abrir facsímil")</f>
        <v>Abrir facsímil</v>
      </c>
      <c r="K7202" s="3" t="s">
        <v>23</v>
      </c>
    </row>
    <row r="7203" spans="1:11" ht="42" customHeight="1">
      <c r="A7203" s="2" t="s">
        <v>13972</v>
      </c>
      <c r="B7203" s="2" t="s">
        <v>13973</v>
      </c>
      <c r="C7203" s="2" t="s">
        <v>40</v>
      </c>
      <c r="D7203" s="2" t="s">
        <v>41</v>
      </c>
      <c r="E7203" s="5">
        <v>-28813</v>
      </c>
      <c r="F7203" s="3" t="s">
        <v>268</v>
      </c>
      <c r="G7203" s="3" t="s">
        <v>20</v>
      </c>
      <c r="H7203" s="2" t="s">
        <v>21</v>
      </c>
      <c r="I7203" s="2" t="s">
        <v>13974</v>
      </c>
      <c r="J7203" s="3" t="str">
        <f>HYPERLINK("https://www.boe.es/gazeta/dias/1821/02/09/pdfs/GGB-1821-40.pdf#page=3","Abrir facsímil")</f>
        <v>Abrir facsímil</v>
      </c>
      <c r="K7203" s="3" t="s">
        <v>23</v>
      </c>
    </row>
    <row r="7204" spans="1:11" ht="42" customHeight="1">
      <c r="A7204" s="2" t="s">
        <v>13975</v>
      </c>
      <c r="B7204" s="2" t="s">
        <v>13976</v>
      </c>
      <c r="C7204" s="2" t="s">
        <v>35</v>
      </c>
      <c r="D7204" s="2" t="s">
        <v>27</v>
      </c>
      <c r="E7204" s="5">
        <v>-28765</v>
      </c>
      <c r="F7204" s="3" t="s">
        <v>974</v>
      </c>
      <c r="G7204" s="3" t="s">
        <v>52</v>
      </c>
      <c r="H7204" s="2" t="s">
        <v>21</v>
      </c>
      <c r="I7204" s="2" t="s">
        <v>13977</v>
      </c>
      <c r="J7204" s="3" t="str">
        <f>HYPERLINK("https://www.boe.es/gazeta/dias/1821/03/29/pdfs/GMD-1821-90.pdf#page=2","Abrir facsímil")</f>
        <v>Abrir facsímil</v>
      </c>
      <c r="K7204" s="3" t="s">
        <v>23</v>
      </c>
    </row>
    <row r="7205" spans="1:11" ht="42" customHeight="1">
      <c r="A7205" s="2" t="s">
        <v>13975</v>
      </c>
      <c r="B7205" s="2" t="s">
        <v>13976</v>
      </c>
      <c r="C7205" s="2" t="s">
        <v>40</v>
      </c>
      <c r="D7205" s="2" t="s">
        <v>41</v>
      </c>
      <c r="E7205" s="5">
        <v>-28731</v>
      </c>
      <c r="F7205" s="3" t="s">
        <v>577</v>
      </c>
      <c r="G7205" s="3" t="s">
        <v>88</v>
      </c>
      <c r="H7205" s="2" t="s">
        <v>21</v>
      </c>
      <c r="I7205" s="2" t="s">
        <v>13978</v>
      </c>
      <c r="J7205" s="3" t="str">
        <f>HYPERLINK("https://www.boe.es/gazeta/dias/1821/05/02/pdfs/GMD-1821-124.pdf#page=4","Abrir facsímil")</f>
        <v>Abrir facsímil</v>
      </c>
      <c r="K7205" s="3" t="s">
        <v>23</v>
      </c>
    </row>
    <row r="7206" spans="1:11" ht="42" customHeight="1">
      <c r="A7206" s="2" t="s">
        <v>13979</v>
      </c>
      <c r="B7206" s="2" t="s">
        <v>13980</v>
      </c>
      <c r="C7206" s="2" t="s">
        <v>17</v>
      </c>
      <c r="D7206" s="2" t="s">
        <v>18</v>
      </c>
      <c r="E7206" s="5">
        <v>-28653</v>
      </c>
      <c r="F7206" s="3" t="s">
        <v>1179</v>
      </c>
      <c r="G7206" s="3" t="s">
        <v>29</v>
      </c>
      <c r="H7206" s="2" t="s">
        <v>21</v>
      </c>
      <c r="I7206" s="2" t="s">
        <v>13981</v>
      </c>
      <c r="J7206" s="3" t="str">
        <f>HYPERLINK("https://www.boe.es/gazeta/dias/1821/07/19/pdfs/GMD-1821-204.pdf#page=6","Abrir facsímil")</f>
        <v>Abrir facsímil</v>
      </c>
      <c r="K7206" s="3" t="s">
        <v>23</v>
      </c>
    </row>
    <row r="7207" spans="1:11" ht="42" customHeight="1">
      <c r="A7207" s="2" t="s">
        <v>13982</v>
      </c>
      <c r="B7207" s="2" t="s">
        <v>13983</v>
      </c>
      <c r="C7207" s="2" t="s">
        <v>26</v>
      </c>
      <c r="D7207" s="2" t="s">
        <v>27</v>
      </c>
      <c r="E7207" s="5">
        <v>-28795</v>
      </c>
      <c r="F7207" s="3" t="s">
        <v>2287</v>
      </c>
      <c r="G7207" s="3" t="s">
        <v>88</v>
      </c>
      <c r="H7207" s="2" t="s">
        <v>21</v>
      </c>
      <c r="I7207" s="2" t="s">
        <v>13984</v>
      </c>
      <c r="J7207" s="3" t="str">
        <f>HYPERLINK("https://www.boe.es/gazeta/dias/1821/02/27/pdfs/GGB-1821-58.pdf#page=4","Abrir facsímil")</f>
        <v>Abrir facsímil</v>
      </c>
      <c r="K7207" s="3" t="s">
        <v>23</v>
      </c>
    </row>
    <row r="7208" spans="1:11" ht="42" customHeight="1">
      <c r="A7208" s="2" t="s">
        <v>13985</v>
      </c>
      <c r="B7208" s="2" t="s">
        <v>13986</v>
      </c>
      <c r="C7208" s="2" t="s">
        <v>17</v>
      </c>
      <c r="D7208" s="2" t="s">
        <v>18</v>
      </c>
      <c r="E7208" s="5">
        <v>-28791</v>
      </c>
      <c r="F7208" s="3" t="s">
        <v>47</v>
      </c>
      <c r="G7208" s="3" t="s">
        <v>88</v>
      </c>
      <c r="H7208" s="2" t="s">
        <v>21</v>
      </c>
      <c r="I7208" s="2" t="s">
        <v>13987</v>
      </c>
      <c r="J7208" s="3" t="str">
        <f>HYPERLINK("https://www.boe.es/gazeta/dias/1821/03/03/pdfs/GGB-1821-62.pdf#page=4","Abrir facsímil")</f>
        <v>Abrir facsímil</v>
      </c>
      <c r="K7208" s="3" t="s">
        <v>23</v>
      </c>
    </row>
    <row r="7209" spans="1:11" ht="42" customHeight="1">
      <c r="A7209" s="2" t="s">
        <v>13985</v>
      </c>
      <c r="B7209" s="2" t="s">
        <v>13986</v>
      </c>
      <c r="C7209" s="2" t="s">
        <v>35</v>
      </c>
      <c r="D7209" s="2" t="s">
        <v>27</v>
      </c>
      <c r="E7209" s="5">
        <v>-28751</v>
      </c>
      <c r="F7209" s="3" t="s">
        <v>356</v>
      </c>
      <c r="G7209" s="3" t="s">
        <v>52</v>
      </c>
      <c r="H7209" s="2" t="s">
        <v>21</v>
      </c>
      <c r="I7209" s="2" t="s">
        <v>13988</v>
      </c>
      <c r="J7209" s="3" t="str">
        <f>HYPERLINK("https://www.boe.es/gazeta/dias/1821/04/12/pdfs/GMD-1821-104.pdf#page=2","Abrir facsímil")</f>
        <v>Abrir facsímil</v>
      </c>
      <c r="K7209" s="3" t="s">
        <v>23</v>
      </c>
    </row>
    <row r="7210" spans="1:11" ht="42" customHeight="1">
      <c r="A7210" s="2" t="s">
        <v>13989</v>
      </c>
      <c r="B7210" s="2" t="s">
        <v>13990</v>
      </c>
      <c r="C7210" s="2" t="s">
        <v>40</v>
      </c>
      <c r="D7210" s="2" t="s">
        <v>41</v>
      </c>
      <c r="E7210" s="5">
        <v>-28531</v>
      </c>
      <c r="F7210" s="3" t="s">
        <v>365</v>
      </c>
      <c r="G7210" s="3" t="s">
        <v>20</v>
      </c>
      <c r="H7210" s="2" t="s">
        <v>21</v>
      </c>
      <c r="I7210" s="2" t="s">
        <v>13991</v>
      </c>
      <c r="J7210" s="3" t="str">
        <f>HYPERLINK("https://www.boe.es/gazeta/dias/1821/11/18/pdfs/GMD-1821-329.pdf#page=3","Abrir facsímil")</f>
        <v>Abrir facsímil</v>
      </c>
      <c r="K7210" s="3" t="s">
        <v>23</v>
      </c>
    </row>
    <row r="7211" spans="1:11" ht="42" customHeight="1">
      <c r="A7211" s="2" t="s">
        <v>13992</v>
      </c>
      <c r="B7211" s="2" t="s">
        <v>13993</v>
      </c>
      <c r="C7211" s="2" t="s">
        <v>70</v>
      </c>
      <c r="D7211" s="2" t="s">
        <v>27</v>
      </c>
      <c r="E7211" s="5">
        <v>-28492</v>
      </c>
      <c r="F7211" s="3" t="s">
        <v>1550</v>
      </c>
      <c r="G7211" s="3" t="s">
        <v>88</v>
      </c>
      <c r="H7211" s="2" t="s">
        <v>21</v>
      </c>
      <c r="I7211" s="2" t="s">
        <v>13994</v>
      </c>
      <c r="J7211" s="3" t="str">
        <f>HYPERLINK("https://www.boe.es/gazeta/dias/1821/12/27/pdfs/GMD-1821-370.pdf#page=4","Abrir facsímil")</f>
        <v>Abrir facsímil</v>
      </c>
      <c r="K7211" s="3" t="s">
        <v>23</v>
      </c>
    </row>
    <row r="7212" spans="1:11" ht="42" customHeight="1">
      <c r="A7212" s="2" t="s">
        <v>13995</v>
      </c>
      <c r="B7212" s="2" t="s">
        <v>13996</v>
      </c>
      <c r="C7212" s="2" t="s">
        <v>174</v>
      </c>
      <c r="D7212" s="2" t="s">
        <v>27</v>
      </c>
      <c r="E7212" s="5">
        <v>-28700</v>
      </c>
      <c r="F7212" s="3" t="s">
        <v>701</v>
      </c>
      <c r="G7212" s="3" t="s">
        <v>52</v>
      </c>
      <c r="H7212" s="2" t="s">
        <v>21</v>
      </c>
      <c r="I7212" s="2" t="s">
        <v>13997</v>
      </c>
      <c r="J7212" s="3" t="str">
        <f>HYPERLINK("https://www.boe.es/gazeta/dias/1821/06/02/pdfs/GMD-1821-155.pdf#page=2","Abrir facsímil")</f>
        <v>Abrir facsímil</v>
      </c>
      <c r="K7212" s="3" t="s">
        <v>23</v>
      </c>
    </row>
    <row r="7213" spans="1:11" ht="42" customHeight="1">
      <c r="A7213" s="2" t="s">
        <v>13995</v>
      </c>
      <c r="B7213" s="2" t="s">
        <v>13996</v>
      </c>
      <c r="C7213" s="2" t="s">
        <v>17</v>
      </c>
      <c r="D7213" s="2" t="s">
        <v>18</v>
      </c>
      <c r="E7213" s="5">
        <v>-28579</v>
      </c>
      <c r="F7213" s="3" t="s">
        <v>743</v>
      </c>
      <c r="G7213" s="3" t="s">
        <v>7128</v>
      </c>
      <c r="H7213" s="2" t="s">
        <v>21</v>
      </c>
      <c r="I7213" s="2" t="s">
        <v>13998</v>
      </c>
      <c r="J7213" s="3" t="str">
        <f>HYPERLINK("https://www.boe.es/gazeta/dias/1821/10/01/pdfs/GMD-1821-280.pdf#page=3","Abrir facsímil")</f>
        <v>Abrir facsímil</v>
      </c>
      <c r="K7213" s="3" t="s">
        <v>23</v>
      </c>
    </row>
    <row r="7214" spans="1:11" ht="42" customHeight="1">
      <c r="A7214" s="2" t="s">
        <v>13995</v>
      </c>
      <c r="B7214" s="2" t="s">
        <v>13996</v>
      </c>
      <c r="C7214" s="2" t="s">
        <v>40</v>
      </c>
      <c r="D7214" s="2" t="s">
        <v>41</v>
      </c>
      <c r="E7214" s="5">
        <v>-28577</v>
      </c>
      <c r="F7214" s="3" t="s">
        <v>858</v>
      </c>
      <c r="G7214" s="3" t="s">
        <v>20</v>
      </c>
      <c r="H7214" s="2" t="s">
        <v>21</v>
      </c>
      <c r="I7214" s="2" t="s">
        <v>13999</v>
      </c>
      <c r="J7214" s="3" t="str">
        <f>HYPERLINK("https://www.boe.es/gazeta/dias/1821/10/03/pdfs/GMD-1821-282.pdf#page=3","Abrir facsímil")</f>
        <v>Abrir facsímil</v>
      </c>
      <c r="K7214" s="3" t="s">
        <v>23</v>
      </c>
    </row>
    <row r="7215" spans="1:11" ht="42" customHeight="1">
      <c r="A7215" s="2" t="s">
        <v>13995</v>
      </c>
      <c r="B7215" s="2" t="s">
        <v>13996</v>
      </c>
      <c r="C7215" s="2" t="s">
        <v>17</v>
      </c>
      <c r="D7215" s="2" t="s">
        <v>18</v>
      </c>
      <c r="E7215" s="5">
        <v>-28576</v>
      </c>
      <c r="F7215" s="3" t="s">
        <v>1924</v>
      </c>
      <c r="G7215" s="3" t="s">
        <v>52</v>
      </c>
      <c r="H7215" s="2" t="s">
        <v>21</v>
      </c>
      <c r="I7215" s="2" t="s">
        <v>14000</v>
      </c>
      <c r="J7215" s="3" t="str">
        <f>HYPERLINK("https://www.boe.es/gazeta/dias/1821/10/04/pdfs/GMD-1821-283.pdf#page=2","Abrir facsímil")</f>
        <v>Abrir facsímil</v>
      </c>
      <c r="K7215" s="3" t="s">
        <v>23</v>
      </c>
    </row>
    <row r="7216" spans="1:11" ht="42" customHeight="1">
      <c r="A7216" s="2" t="s">
        <v>13995</v>
      </c>
      <c r="B7216" s="2" t="s">
        <v>13996</v>
      </c>
      <c r="C7216" s="2" t="s">
        <v>26</v>
      </c>
      <c r="D7216" s="2" t="s">
        <v>27</v>
      </c>
      <c r="E7216" s="5">
        <v>-28576</v>
      </c>
      <c r="F7216" s="3" t="s">
        <v>1924</v>
      </c>
      <c r="G7216" s="3" t="s">
        <v>88</v>
      </c>
      <c r="H7216" s="2" t="s">
        <v>21</v>
      </c>
      <c r="I7216" s="2" t="s">
        <v>14001</v>
      </c>
      <c r="J7216" s="3" t="str">
        <f>HYPERLINK("https://www.boe.es/gazeta/dias/1821/10/04/pdfs/GMD-1821-283.pdf#page=4","Abrir facsímil")</f>
        <v>Abrir facsímil</v>
      </c>
      <c r="K7216" s="3" t="s">
        <v>23</v>
      </c>
    </row>
    <row r="7217" spans="1:11" ht="42" customHeight="1">
      <c r="A7217" s="2" t="s">
        <v>13995</v>
      </c>
      <c r="B7217" s="2" t="s">
        <v>13996</v>
      </c>
      <c r="C7217" s="2" t="s">
        <v>17</v>
      </c>
      <c r="D7217" s="2" t="s">
        <v>18</v>
      </c>
      <c r="E7217" s="5">
        <v>-28569</v>
      </c>
      <c r="F7217" s="3" t="s">
        <v>512</v>
      </c>
      <c r="G7217" s="3" t="s">
        <v>52</v>
      </c>
      <c r="H7217" s="2" t="s">
        <v>21</v>
      </c>
      <c r="I7217" s="2" t="s">
        <v>14002</v>
      </c>
      <c r="J7217" s="3" t="str">
        <f>HYPERLINK("https://www.boe.es/gazeta/dias/1821/10/11/pdfs/GMD-1821-290.pdf#page=2","Abrir facsímil")</f>
        <v>Abrir facsímil</v>
      </c>
      <c r="K7217" s="3" t="s">
        <v>23</v>
      </c>
    </row>
    <row r="7218" spans="1:11" ht="42" customHeight="1">
      <c r="A7218" s="2" t="s">
        <v>13995</v>
      </c>
      <c r="B7218" s="2" t="s">
        <v>13996</v>
      </c>
      <c r="C7218" s="2" t="s">
        <v>40</v>
      </c>
      <c r="D7218" s="2" t="s">
        <v>41</v>
      </c>
      <c r="E7218" s="5">
        <v>-28539</v>
      </c>
      <c r="F7218" s="3" t="s">
        <v>153</v>
      </c>
      <c r="G7218" s="3" t="s">
        <v>162</v>
      </c>
      <c r="H7218" s="2" t="s">
        <v>21</v>
      </c>
      <c r="I7218" s="2" t="s">
        <v>14003</v>
      </c>
      <c r="J7218" s="3" t="str">
        <f>HYPERLINK("https://www.boe.es/gazeta/dias/1821/11/10/pdfs/GMD-1821-321.pdf#page=5","Abrir facsímil")</f>
        <v>Abrir facsímil</v>
      </c>
      <c r="K7218" s="3" t="s">
        <v>23</v>
      </c>
    </row>
    <row r="7219" spans="1:11" ht="42" customHeight="1">
      <c r="A7219" s="2" t="s">
        <v>14004</v>
      </c>
      <c r="B7219" s="2" t="s">
        <v>14005</v>
      </c>
      <c r="C7219" s="2" t="s">
        <v>17</v>
      </c>
      <c r="D7219" s="2" t="s">
        <v>18</v>
      </c>
      <c r="E7219" s="5">
        <v>-28573</v>
      </c>
      <c r="F7219" s="3" t="s">
        <v>19</v>
      </c>
      <c r="G7219" s="3" t="s">
        <v>20</v>
      </c>
      <c r="H7219" s="2" t="s">
        <v>21</v>
      </c>
      <c r="I7219" s="2" t="s">
        <v>14006</v>
      </c>
      <c r="J7219" s="3" t="str">
        <f>HYPERLINK("https://www.boe.es/gazeta/dias/1821/10/07/pdfs/GMD-1821-286.pdf#page=3","Abrir facsímil")</f>
        <v>Abrir facsímil</v>
      </c>
      <c r="K7219" s="3" t="s">
        <v>23</v>
      </c>
    </row>
    <row r="7220" spans="1:11" ht="42" customHeight="1">
      <c r="A7220" s="2" t="s">
        <v>14007</v>
      </c>
      <c r="B7220" s="2" t="s">
        <v>14007</v>
      </c>
      <c r="C7220" s="2" t="s">
        <v>17</v>
      </c>
      <c r="D7220" s="2" t="s">
        <v>18</v>
      </c>
      <c r="E7220" s="5">
        <v>-28744</v>
      </c>
      <c r="F7220" s="3" t="s">
        <v>834</v>
      </c>
      <c r="G7220" s="3" t="s">
        <v>52</v>
      </c>
      <c r="H7220" s="2" t="s">
        <v>21</v>
      </c>
      <c r="I7220" s="2" t="s">
        <v>14008</v>
      </c>
      <c r="J7220" s="3" t="str">
        <f>HYPERLINK("https://www.boe.es/gazeta/dias/1821/04/19/pdfs/GMD-1821-111.pdf#page=2","Abrir facsímil")</f>
        <v>Abrir facsímil</v>
      </c>
      <c r="K7220" s="3" t="s">
        <v>23</v>
      </c>
    </row>
    <row r="7221" spans="1:11" ht="42" customHeight="1">
      <c r="A7221" s="2" t="s">
        <v>14007</v>
      </c>
      <c r="B7221" s="2" t="s">
        <v>14007</v>
      </c>
      <c r="C7221" s="2" t="s">
        <v>40</v>
      </c>
      <c r="D7221" s="2" t="s">
        <v>41</v>
      </c>
      <c r="E7221" s="5">
        <v>-28638</v>
      </c>
      <c r="F7221" s="3" t="s">
        <v>736</v>
      </c>
      <c r="G7221" s="3" t="s">
        <v>20</v>
      </c>
      <c r="H7221" s="2" t="s">
        <v>21</v>
      </c>
      <c r="I7221" s="2" t="s">
        <v>14009</v>
      </c>
      <c r="J7221" s="3" t="str">
        <f>HYPERLINK("https://www.boe.es/gazeta/dias/1821/08/03/pdfs/GMD-1821-219.pdf#page=3","Abrir facsímil")</f>
        <v>Abrir facsímil</v>
      </c>
      <c r="K7221" s="3" t="s">
        <v>23</v>
      </c>
    </row>
    <row r="7222" spans="1:11" ht="42" customHeight="1">
      <c r="A7222" s="2" t="s">
        <v>14007</v>
      </c>
      <c r="B7222" s="2" t="s">
        <v>14007</v>
      </c>
      <c r="C7222" s="2" t="s">
        <v>40</v>
      </c>
      <c r="D7222" s="2" t="s">
        <v>405</v>
      </c>
      <c r="E7222" s="5">
        <v>-28632</v>
      </c>
      <c r="F7222" s="3" t="s">
        <v>11231</v>
      </c>
      <c r="G7222" s="3" t="s">
        <v>43</v>
      </c>
      <c r="H7222" s="2" t="s">
        <v>21</v>
      </c>
      <c r="I7222" s="2" t="s">
        <v>14010</v>
      </c>
      <c r="J7222" s="3" t="str">
        <f>HYPERLINK("https://www.boe.es/gazeta/dias/1821/08/09/pdfs/GMD-1821-226E.pdf#page=1","Abrir facsímil")</f>
        <v>Abrir facsímil</v>
      </c>
      <c r="K7222" s="3" t="s">
        <v>23</v>
      </c>
    </row>
    <row r="7223" spans="1:11" ht="42" customHeight="1">
      <c r="A7223" s="2" t="s">
        <v>14007</v>
      </c>
      <c r="B7223" s="2" t="s">
        <v>14007</v>
      </c>
      <c r="C7223" s="2" t="s">
        <v>40</v>
      </c>
      <c r="D7223" s="2" t="s">
        <v>41</v>
      </c>
      <c r="E7223" s="5">
        <v>-28565</v>
      </c>
      <c r="F7223" s="3" t="s">
        <v>326</v>
      </c>
      <c r="G7223" s="3" t="s">
        <v>162</v>
      </c>
      <c r="H7223" s="2" t="s">
        <v>21</v>
      </c>
      <c r="I7223" s="2" t="s">
        <v>14011</v>
      </c>
      <c r="J7223" s="3" t="str">
        <f>HYPERLINK("https://www.boe.es/gazeta/dias/1821/10/15/pdfs/GMD-1821-294.pdf#page=5","Abrir facsímil")</f>
        <v>Abrir facsímil</v>
      </c>
      <c r="K7223" s="3" t="s">
        <v>23</v>
      </c>
    </row>
    <row r="7224" spans="1:11" ht="42" customHeight="1">
      <c r="A7224" s="2" t="s">
        <v>14012</v>
      </c>
      <c r="B7224" s="2" t="s">
        <v>14013</v>
      </c>
      <c r="C7224" s="2" t="s">
        <v>279</v>
      </c>
      <c r="D7224" s="2" t="s">
        <v>27</v>
      </c>
      <c r="E7224" s="5">
        <v>-28745</v>
      </c>
      <c r="F7224" s="3" t="s">
        <v>1020</v>
      </c>
      <c r="G7224" s="3" t="s">
        <v>88</v>
      </c>
      <c r="H7224" s="2" t="s">
        <v>21</v>
      </c>
      <c r="I7224" s="2" t="s">
        <v>14014</v>
      </c>
      <c r="J7224" s="3" t="str">
        <f>HYPERLINK("https://www.boe.es/gazeta/dias/1821/04/18/pdfs/GMD-1821-110.pdf#page=4","Abrir facsímil")</f>
        <v>Abrir facsímil</v>
      </c>
      <c r="K7224" s="3" t="s">
        <v>23</v>
      </c>
    </row>
    <row r="7225" spans="1:11" ht="42" customHeight="1">
      <c r="A7225" s="2" t="s">
        <v>14015</v>
      </c>
      <c r="B7225" s="2" t="s">
        <v>14016</v>
      </c>
      <c r="C7225" s="2" t="s">
        <v>40</v>
      </c>
      <c r="D7225" s="2" t="s">
        <v>41</v>
      </c>
      <c r="E7225" s="5">
        <v>-28780</v>
      </c>
      <c r="F7225" s="3" t="s">
        <v>143</v>
      </c>
      <c r="G7225" s="3" t="s">
        <v>52</v>
      </c>
      <c r="H7225" s="2" t="s">
        <v>21</v>
      </c>
      <c r="I7225" s="2" t="s">
        <v>14017</v>
      </c>
      <c r="J7225" s="3" t="str">
        <f>HYPERLINK("https://www.boe.es/gazeta/dias/1821/03/14/pdfs/GMD-1821-73.pdf#page=2","Abrir facsímil")</f>
        <v>Abrir facsímil</v>
      </c>
      <c r="K7225" s="3" t="s">
        <v>23</v>
      </c>
    </row>
    <row r="7226" spans="1:11" ht="42" customHeight="1">
      <c r="A7226" s="2" t="s">
        <v>14015</v>
      </c>
      <c r="B7226" s="2" t="s">
        <v>14016</v>
      </c>
      <c r="C7226" s="2" t="s">
        <v>70</v>
      </c>
      <c r="D7226" s="2" t="s">
        <v>27</v>
      </c>
      <c r="E7226" s="5">
        <v>-28755</v>
      </c>
      <c r="F7226" s="3" t="s">
        <v>906</v>
      </c>
      <c r="G7226" s="3" t="s">
        <v>52</v>
      </c>
      <c r="H7226" s="2" t="s">
        <v>21</v>
      </c>
      <c r="I7226" s="2" t="s">
        <v>14018</v>
      </c>
      <c r="J7226" s="3" t="str">
        <f>HYPERLINK("https://www.boe.es/gazeta/dias/1821/04/08/pdfs/GMD-1821-100.pdf#page=2","Abrir facsímil")</f>
        <v>Abrir facsímil</v>
      </c>
      <c r="K7226" s="3" t="s">
        <v>23</v>
      </c>
    </row>
    <row r="7227" spans="1:11" ht="42" customHeight="1">
      <c r="A7227" s="2" t="s">
        <v>14019</v>
      </c>
      <c r="B7227" s="2" t="s">
        <v>14020</v>
      </c>
      <c r="C7227" s="2" t="s">
        <v>17</v>
      </c>
      <c r="D7227" s="2" t="s">
        <v>18</v>
      </c>
      <c r="E7227" s="5">
        <v>-28753</v>
      </c>
      <c r="F7227" s="3" t="s">
        <v>720</v>
      </c>
      <c r="G7227" s="3" t="s">
        <v>88</v>
      </c>
      <c r="H7227" s="2" t="s">
        <v>21</v>
      </c>
      <c r="I7227" s="2" t="s">
        <v>14021</v>
      </c>
      <c r="J7227" s="3" t="str">
        <f>HYPERLINK("https://www.boe.es/gazeta/dias/1821/04/10/pdfs/GMD-1821-102.pdf#page=4","Abrir facsímil")</f>
        <v>Abrir facsímil</v>
      </c>
      <c r="K7227" s="3" t="s">
        <v>23</v>
      </c>
    </row>
    <row r="7228" spans="1:11" ht="42" customHeight="1">
      <c r="A7228" s="2" t="s">
        <v>14015</v>
      </c>
      <c r="B7228" s="2" t="s">
        <v>14016</v>
      </c>
      <c r="C7228" s="2" t="s">
        <v>114</v>
      </c>
      <c r="D7228" s="2" t="s">
        <v>27</v>
      </c>
      <c r="E7228" s="5">
        <v>-28745</v>
      </c>
      <c r="F7228" s="3" t="s">
        <v>1020</v>
      </c>
      <c r="G7228" s="3" t="s">
        <v>52</v>
      </c>
      <c r="H7228" s="2" t="s">
        <v>21</v>
      </c>
      <c r="I7228" s="2" t="s">
        <v>14022</v>
      </c>
      <c r="J7228" s="3" t="str">
        <f>HYPERLINK("https://www.boe.es/gazeta/dias/1821/04/18/pdfs/GMD-1821-110.pdf#page=2","Abrir facsímil")</f>
        <v>Abrir facsímil</v>
      </c>
      <c r="K7228" s="3" t="s">
        <v>23</v>
      </c>
    </row>
    <row r="7229" spans="1:11" ht="42" customHeight="1">
      <c r="A7229" s="2" t="s">
        <v>14019</v>
      </c>
      <c r="B7229" s="2" t="s">
        <v>14020</v>
      </c>
      <c r="C7229" s="2" t="s">
        <v>17</v>
      </c>
      <c r="D7229" s="2" t="s">
        <v>18</v>
      </c>
      <c r="E7229" s="5">
        <v>-28744</v>
      </c>
      <c r="F7229" s="3" t="s">
        <v>834</v>
      </c>
      <c r="G7229" s="3" t="s">
        <v>52</v>
      </c>
      <c r="H7229" s="2" t="s">
        <v>21</v>
      </c>
      <c r="I7229" s="2" t="s">
        <v>14023</v>
      </c>
      <c r="J7229" s="3" t="str">
        <f>HYPERLINK("https://www.boe.es/gazeta/dias/1821/04/19/pdfs/GMD-1821-111.pdf#page=2","Abrir facsímil")</f>
        <v>Abrir facsímil</v>
      </c>
      <c r="K7229" s="3" t="s">
        <v>23</v>
      </c>
    </row>
    <row r="7230" spans="1:11" ht="42" customHeight="1">
      <c r="A7230" s="2" t="s">
        <v>14019</v>
      </c>
      <c r="B7230" s="2" t="s">
        <v>14020</v>
      </c>
      <c r="C7230" s="2" t="s">
        <v>17</v>
      </c>
      <c r="D7230" s="2" t="s">
        <v>18</v>
      </c>
      <c r="E7230" s="5">
        <v>-28744</v>
      </c>
      <c r="F7230" s="3" t="s">
        <v>834</v>
      </c>
      <c r="G7230" s="3" t="s">
        <v>20</v>
      </c>
      <c r="H7230" s="2" t="s">
        <v>21</v>
      </c>
      <c r="I7230" s="2" t="s">
        <v>14024</v>
      </c>
      <c r="J7230" s="3" t="str">
        <f>HYPERLINK("https://www.boe.es/gazeta/dias/1821/04/19/pdfs/GMD-1821-111.pdf#page=3","Abrir facsímil")</f>
        <v>Abrir facsímil</v>
      </c>
      <c r="K7230" s="3" t="s">
        <v>23</v>
      </c>
    </row>
    <row r="7231" spans="1:11" ht="42" customHeight="1">
      <c r="A7231" s="2" t="s">
        <v>14015</v>
      </c>
      <c r="B7231" s="2" t="s">
        <v>14016</v>
      </c>
      <c r="C7231" s="2" t="s">
        <v>17</v>
      </c>
      <c r="D7231" s="2" t="s">
        <v>18</v>
      </c>
      <c r="E7231" s="5">
        <v>-28693</v>
      </c>
      <c r="F7231" s="3" t="s">
        <v>74</v>
      </c>
      <c r="G7231" s="3" t="s">
        <v>52</v>
      </c>
      <c r="H7231" s="2" t="s">
        <v>21</v>
      </c>
      <c r="I7231" s="2" t="s">
        <v>14025</v>
      </c>
      <c r="J7231" s="3" t="str">
        <f>HYPERLINK("https://www.boe.es/gazeta/dias/1821/06/09/pdfs/GMD-1821-162.pdf#page=2","Abrir facsímil")</f>
        <v>Abrir facsímil</v>
      </c>
      <c r="K7231" s="3" t="s">
        <v>23</v>
      </c>
    </row>
    <row r="7232" spans="1:11" ht="42" customHeight="1">
      <c r="A7232" s="2" t="s">
        <v>14015</v>
      </c>
      <c r="B7232" s="2" t="s">
        <v>14016</v>
      </c>
      <c r="C7232" s="2" t="s">
        <v>17</v>
      </c>
      <c r="D7232" s="2" t="s">
        <v>18</v>
      </c>
      <c r="E7232" s="5">
        <v>-28687</v>
      </c>
      <c r="F7232" s="3" t="s">
        <v>851</v>
      </c>
      <c r="G7232" s="3" t="s">
        <v>52</v>
      </c>
      <c r="H7232" s="2" t="s">
        <v>21</v>
      </c>
      <c r="I7232" s="2" t="s">
        <v>14026</v>
      </c>
      <c r="J7232" s="3" t="str">
        <f>HYPERLINK("https://www.boe.es/gazeta/dias/1821/06/15/pdfs/GMD-1821-168.pdf#page=2","Abrir facsímil")</f>
        <v>Abrir facsímil</v>
      </c>
      <c r="K7232" s="3" t="s">
        <v>23</v>
      </c>
    </row>
    <row r="7233" spans="1:11" ht="42" customHeight="1">
      <c r="A7233" s="2" t="s">
        <v>14015</v>
      </c>
      <c r="B7233" s="2" t="s">
        <v>14016</v>
      </c>
      <c r="C7233" s="2" t="s">
        <v>26</v>
      </c>
      <c r="D7233" s="2" t="s">
        <v>27</v>
      </c>
      <c r="E7233" s="5">
        <v>-28567</v>
      </c>
      <c r="F7233" s="3" t="s">
        <v>217</v>
      </c>
      <c r="G7233" s="3" t="s">
        <v>52</v>
      </c>
      <c r="H7233" s="2" t="s">
        <v>21</v>
      </c>
      <c r="I7233" s="2" t="s">
        <v>14027</v>
      </c>
      <c r="J7233" s="3" t="str">
        <f>HYPERLINK("https://www.boe.es/gazeta/dias/1821/10/13/pdfs/GMD-1821-292.pdf#page=2","Abrir facsímil")</f>
        <v>Abrir facsímil</v>
      </c>
      <c r="K7233" s="3" t="s">
        <v>23</v>
      </c>
    </row>
    <row r="7234" spans="1:11" ht="42" customHeight="1">
      <c r="A7234" s="2" t="s">
        <v>14019</v>
      </c>
      <c r="B7234" s="2" t="s">
        <v>14020</v>
      </c>
      <c r="C7234" s="2" t="s">
        <v>26</v>
      </c>
      <c r="D7234" s="2" t="s">
        <v>27</v>
      </c>
      <c r="E7234" s="5">
        <v>-28560</v>
      </c>
      <c r="F7234" s="3" t="s">
        <v>363</v>
      </c>
      <c r="G7234" s="3" t="s">
        <v>162</v>
      </c>
      <c r="H7234" s="2" t="s">
        <v>21</v>
      </c>
      <c r="I7234" s="2" t="s">
        <v>14028</v>
      </c>
      <c r="J7234" s="3" t="str">
        <f>HYPERLINK("https://www.boe.es/gazeta/dias/1821/10/20/pdfs/GMD-1821-299.pdf#page=5","Abrir facsímil")</f>
        <v>Abrir facsímil</v>
      </c>
      <c r="K7234" s="3" t="s">
        <v>23</v>
      </c>
    </row>
    <row r="7235" spans="1:11" ht="42" customHeight="1">
      <c r="A7235" s="2" t="s">
        <v>14019</v>
      </c>
      <c r="B7235" s="2" t="s">
        <v>14020</v>
      </c>
      <c r="C7235" s="2" t="s">
        <v>35</v>
      </c>
      <c r="D7235" s="2" t="s">
        <v>27</v>
      </c>
      <c r="E7235" s="5">
        <v>-28559</v>
      </c>
      <c r="F7235" s="3" t="s">
        <v>1078</v>
      </c>
      <c r="G7235" s="3" t="s">
        <v>20</v>
      </c>
      <c r="H7235" s="2" t="s">
        <v>21</v>
      </c>
      <c r="I7235" s="2" t="s">
        <v>14029</v>
      </c>
      <c r="J7235" s="3" t="str">
        <f>HYPERLINK("https://www.boe.es/gazeta/dias/1821/10/21/pdfs/GMD-1821-300.pdf#page=3","Abrir facsímil")</f>
        <v>Abrir facsímil</v>
      </c>
      <c r="K7235" s="3" t="s">
        <v>23</v>
      </c>
    </row>
    <row r="7236" spans="1:11" ht="42" customHeight="1">
      <c r="A7236" s="2" t="s">
        <v>14015</v>
      </c>
      <c r="B7236" s="2" t="s">
        <v>14016</v>
      </c>
      <c r="C7236" s="2" t="s">
        <v>17</v>
      </c>
      <c r="D7236" s="2" t="s">
        <v>18</v>
      </c>
      <c r="E7236" s="5">
        <v>-28559</v>
      </c>
      <c r="F7236" s="3" t="s">
        <v>1078</v>
      </c>
      <c r="G7236" s="3" t="s">
        <v>88</v>
      </c>
      <c r="H7236" s="2" t="s">
        <v>21</v>
      </c>
      <c r="I7236" s="2" t="s">
        <v>14030</v>
      </c>
      <c r="J7236" s="3" t="str">
        <f>HYPERLINK("https://www.boe.es/gazeta/dias/1821/10/21/pdfs/GMD-1821-300.pdf#page=4","Abrir facsímil")</f>
        <v>Abrir facsímil</v>
      </c>
      <c r="K7236" s="3" t="s">
        <v>23</v>
      </c>
    </row>
    <row r="7237" spans="1:11" ht="42" customHeight="1">
      <c r="A7237" s="2" t="s">
        <v>14019</v>
      </c>
      <c r="B7237" s="2" t="s">
        <v>14020</v>
      </c>
      <c r="C7237" s="2" t="s">
        <v>35</v>
      </c>
      <c r="D7237" s="2" t="s">
        <v>27</v>
      </c>
      <c r="E7237" s="5">
        <v>-28558</v>
      </c>
      <c r="F7237" s="3" t="s">
        <v>758</v>
      </c>
      <c r="G7237" s="3" t="s">
        <v>20</v>
      </c>
      <c r="H7237" s="2" t="s">
        <v>21</v>
      </c>
      <c r="I7237" s="2" t="s">
        <v>14031</v>
      </c>
      <c r="J7237" s="3" t="str">
        <f>HYPERLINK("https://www.boe.es/gazeta/dias/1821/10/22/pdfs/GMD-1821-301.pdf#page=3","Abrir facsímil")</f>
        <v>Abrir facsímil</v>
      </c>
      <c r="K7237" s="3" t="s">
        <v>23</v>
      </c>
    </row>
    <row r="7238" spans="1:11" ht="42" customHeight="1">
      <c r="A7238" s="2" t="s">
        <v>14019</v>
      </c>
      <c r="B7238" s="2" t="s">
        <v>14020</v>
      </c>
      <c r="C7238" s="2" t="s">
        <v>40</v>
      </c>
      <c r="D7238" s="2" t="s">
        <v>41</v>
      </c>
      <c r="E7238" s="5">
        <v>-28557</v>
      </c>
      <c r="F7238" s="3" t="s">
        <v>316</v>
      </c>
      <c r="G7238" s="3" t="s">
        <v>29</v>
      </c>
      <c r="H7238" s="2" t="s">
        <v>21</v>
      </c>
      <c r="I7238" s="2" t="s">
        <v>14032</v>
      </c>
      <c r="J7238" s="3" t="str">
        <f>HYPERLINK("https://www.boe.es/gazeta/dias/1821/10/23/pdfs/GMD-1821-302.pdf#page=6","Abrir facsímil")</f>
        <v>Abrir facsímil</v>
      </c>
      <c r="K7238" s="3" t="s">
        <v>23</v>
      </c>
    </row>
    <row r="7239" spans="1:11" ht="42" customHeight="1">
      <c r="A7239" s="2" t="s">
        <v>14015</v>
      </c>
      <c r="B7239" s="2" t="s">
        <v>14016</v>
      </c>
      <c r="C7239" s="2" t="s">
        <v>35</v>
      </c>
      <c r="D7239" s="2" t="s">
        <v>27</v>
      </c>
      <c r="E7239" s="5">
        <v>-28549</v>
      </c>
      <c r="F7239" s="3" t="s">
        <v>930</v>
      </c>
      <c r="G7239" s="3" t="s">
        <v>20</v>
      </c>
      <c r="H7239" s="2" t="s">
        <v>21</v>
      </c>
      <c r="I7239" s="2" t="s">
        <v>14033</v>
      </c>
      <c r="J7239" s="3" t="str">
        <f>HYPERLINK("https://www.boe.es/gazeta/dias/1821/10/31/pdfs/GMD-1821-310.pdf#page=3","Abrir facsímil")</f>
        <v>Abrir facsímil</v>
      </c>
      <c r="K7239" s="3" t="s">
        <v>23</v>
      </c>
    </row>
    <row r="7240" spans="1:11" ht="42" customHeight="1">
      <c r="A7240" s="2" t="s">
        <v>14015</v>
      </c>
      <c r="B7240" s="2" t="s">
        <v>14016</v>
      </c>
      <c r="C7240" s="2" t="s">
        <v>26</v>
      </c>
      <c r="D7240" s="2" t="s">
        <v>27</v>
      </c>
      <c r="E7240" s="5">
        <v>-28535</v>
      </c>
      <c r="F7240" s="3" t="s">
        <v>96</v>
      </c>
      <c r="G7240" s="3" t="s">
        <v>52</v>
      </c>
      <c r="H7240" s="2" t="s">
        <v>21</v>
      </c>
      <c r="I7240" s="2" t="s">
        <v>14034</v>
      </c>
      <c r="J7240" s="3" t="str">
        <f>HYPERLINK("https://www.boe.es/gazeta/dias/1821/11/14/pdfs/GMD-1821-325.pdf#page=2","Abrir facsímil")</f>
        <v>Abrir facsímil</v>
      </c>
      <c r="K7240" s="3" t="s">
        <v>23</v>
      </c>
    </row>
    <row r="7241" spans="1:11" ht="42" customHeight="1">
      <c r="A7241" s="2" t="s">
        <v>14015</v>
      </c>
      <c r="B7241" s="2" t="s">
        <v>14016</v>
      </c>
      <c r="C7241" s="2" t="s">
        <v>17</v>
      </c>
      <c r="D7241" s="2" t="s">
        <v>18</v>
      </c>
      <c r="E7241" s="5">
        <v>-28522</v>
      </c>
      <c r="F7241" s="3" t="s">
        <v>1083</v>
      </c>
      <c r="G7241" s="3" t="s">
        <v>29</v>
      </c>
      <c r="H7241" s="2" t="s">
        <v>21</v>
      </c>
      <c r="I7241" s="2" t="s">
        <v>14035</v>
      </c>
      <c r="J7241" s="3" t="str">
        <f>HYPERLINK("https://www.boe.es/gazeta/dias/1821/11/27/pdfs/GMD-1821-339.pdf#page=6","Abrir facsímil")</f>
        <v>Abrir facsímil</v>
      </c>
      <c r="K7241" s="3" t="s">
        <v>23</v>
      </c>
    </row>
    <row r="7242" spans="1:11" ht="42" customHeight="1">
      <c r="A7242" s="2" t="s">
        <v>14036</v>
      </c>
      <c r="B7242" s="2" t="s">
        <v>14037</v>
      </c>
      <c r="C7242" s="2" t="s">
        <v>40</v>
      </c>
      <c r="D7242" s="2" t="s">
        <v>41</v>
      </c>
      <c r="E7242" s="5">
        <v>-28800</v>
      </c>
      <c r="F7242" s="3" t="s">
        <v>1753</v>
      </c>
      <c r="G7242" s="3" t="s">
        <v>3432</v>
      </c>
      <c r="H7242" s="2" t="s">
        <v>21</v>
      </c>
      <c r="I7242" s="2" t="s">
        <v>14038</v>
      </c>
      <c r="J7242" s="3" t="str">
        <f>HYPERLINK("https://www.boe.es/gazeta/dias/1821/02/22/pdfs/GGB-1821-53.pdf#page=3","Abrir facsímil")</f>
        <v>Abrir facsímil</v>
      </c>
      <c r="K7242" s="3" t="s">
        <v>23</v>
      </c>
    </row>
    <row r="7243" spans="1:11" ht="42" customHeight="1">
      <c r="A7243" s="2" t="s">
        <v>14039</v>
      </c>
      <c r="B7243" s="2" t="s">
        <v>14040</v>
      </c>
      <c r="C7243" s="2" t="s">
        <v>40</v>
      </c>
      <c r="D7243" s="2" t="s">
        <v>41</v>
      </c>
      <c r="E7243" s="5">
        <v>-28538</v>
      </c>
      <c r="F7243" s="3" t="s">
        <v>395</v>
      </c>
      <c r="G7243" s="3" t="s">
        <v>162</v>
      </c>
      <c r="H7243" s="2" t="s">
        <v>21</v>
      </c>
      <c r="I7243" s="2" t="s">
        <v>14041</v>
      </c>
      <c r="J7243" s="3" t="str">
        <f>HYPERLINK("https://www.boe.es/gazeta/dias/1821/11/11/pdfs/GMD-1821-322.pdf#page=5","Abrir facsímil")</f>
        <v>Abrir facsímil</v>
      </c>
      <c r="K7243" s="3" t="s">
        <v>23</v>
      </c>
    </row>
    <row r="7244" spans="1:11" ht="42" customHeight="1">
      <c r="A7244" s="2" t="s">
        <v>14042</v>
      </c>
      <c r="B7244" s="2" t="s">
        <v>14043</v>
      </c>
      <c r="C7244" s="2" t="s">
        <v>26</v>
      </c>
      <c r="D7244" s="2" t="s">
        <v>27</v>
      </c>
      <c r="E7244" s="5">
        <v>-28547</v>
      </c>
      <c r="F7244" s="3" t="s">
        <v>247</v>
      </c>
      <c r="G7244" s="3" t="s">
        <v>248</v>
      </c>
      <c r="H7244" s="2" t="s">
        <v>21</v>
      </c>
      <c r="I7244" s="2" t="s">
        <v>14044</v>
      </c>
      <c r="J7244" s="3" t="str">
        <f>HYPERLINK("https://www.boe.es/gazeta/dias/1821/11/02/pdfs/GMD-1821-312.pdf#page=2","Abrir facsímil")</f>
        <v>Abrir facsímil</v>
      </c>
      <c r="K7244" s="3" t="s">
        <v>23</v>
      </c>
    </row>
    <row r="7245" spans="1:11" ht="42" customHeight="1">
      <c r="A7245" s="2" t="s">
        <v>14045</v>
      </c>
      <c r="B7245" s="2" t="s">
        <v>14046</v>
      </c>
      <c r="C7245" s="2" t="s">
        <v>17</v>
      </c>
      <c r="D7245" s="2" t="s">
        <v>18</v>
      </c>
      <c r="E7245" s="5">
        <v>-28535</v>
      </c>
      <c r="F7245" s="3" t="s">
        <v>96</v>
      </c>
      <c r="G7245" s="3" t="s">
        <v>52</v>
      </c>
      <c r="H7245" s="2" t="s">
        <v>21</v>
      </c>
      <c r="I7245" s="2" t="s">
        <v>14047</v>
      </c>
      <c r="J7245" s="3" t="str">
        <f>HYPERLINK("https://www.boe.es/gazeta/dias/1821/11/14/pdfs/GMD-1821-325.pdf#page=2","Abrir facsímil")</f>
        <v>Abrir facsímil</v>
      </c>
      <c r="K7245" s="3" t="s">
        <v>23</v>
      </c>
    </row>
    <row r="7246" spans="1:11" ht="42" customHeight="1">
      <c r="A7246" s="2" t="s">
        <v>14048</v>
      </c>
      <c r="B7246" s="2" t="s">
        <v>14048</v>
      </c>
      <c r="C7246" s="2" t="s">
        <v>40</v>
      </c>
      <c r="D7246" s="2" t="s">
        <v>41</v>
      </c>
      <c r="E7246" s="5">
        <v>-28645</v>
      </c>
      <c r="F7246" s="3" t="s">
        <v>2579</v>
      </c>
      <c r="G7246" s="3" t="s">
        <v>88</v>
      </c>
      <c r="H7246" s="2" t="s">
        <v>21</v>
      </c>
      <c r="I7246" s="2" t="s">
        <v>14049</v>
      </c>
      <c r="J7246" s="3" t="str">
        <f>HYPERLINK("https://www.boe.es/gazeta/dias/1821/07/27/pdfs/GMD-1821-212.pdf#page=4","Abrir facsímil")</f>
        <v>Abrir facsímil</v>
      </c>
      <c r="K7246" s="3" t="s">
        <v>23</v>
      </c>
    </row>
    <row r="7247" spans="1:11" ht="42" customHeight="1">
      <c r="A7247" s="2" t="s">
        <v>14050</v>
      </c>
      <c r="B7247" s="2" t="s">
        <v>14051</v>
      </c>
      <c r="C7247" s="2" t="s">
        <v>17</v>
      </c>
      <c r="D7247" s="2" t="s">
        <v>18</v>
      </c>
      <c r="E7247" s="5">
        <v>-28667</v>
      </c>
      <c r="F7247" s="3" t="s">
        <v>107</v>
      </c>
      <c r="G7247" s="3" t="s">
        <v>3069</v>
      </c>
      <c r="H7247" s="2" t="s">
        <v>30</v>
      </c>
      <c r="I7247" s="2" t="s">
        <v>14052</v>
      </c>
      <c r="J7247" s="3" t="str">
        <f>HYPERLINK("https://www.boe.es/gazeta/dias/1821/07/05/pdfs/GMD-1821-189.pdf#page=4","Abrir facsímil")</f>
        <v>Abrir facsímil</v>
      </c>
      <c r="K7247" s="3" t="s">
        <v>32</v>
      </c>
    </row>
    <row r="7248" spans="1:11" ht="42" customHeight="1">
      <c r="A7248" s="2" t="s">
        <v>14050</v>
      </c>
      <c r="B7248" s="2" t="s">
        <v>14051</v>
      </c>
      <c r="C7248" s="2" t="s">
        <v>17</v>
      </c>
      <c r="D7248" s="2" t="s">
        <v>18</v>
      </c>
      <c r="E7248" s="5">
        <v>-28665</v>
      </c>
      <c r="F7248" s="3" t="s">
        <v>789</v>
      </c>
      <c r="G7248" s="3" t="s">
        <v>790</v>
      </c>
      <c r="H7248" s="2" t="s">
        <v>30</v>
      </c>
      <c r="I7248" s="2" t="s">
        <v>14053</v>
      </c>
      <c r="J7248" s="3" t="str">
        <f>HYPERLINK("https://www.boe.es/gazeta/dias/1821/07/07/pdfs/GMD-1821-191.pdf#page=4","Abrir facsímil")</f>
        <v>Abrir facsímil</v>
      </c>
      <c r="K7248" s="3" t="s">
        <v>32</v>
      </c>
    </row>
    <row r="7249" spans="1:11" ht="42" customHeight="1">
      <c r="A7249" s="2" t="s">
        <v>14054</v>
      </c>
      <c r="B7249" s="2" t="s">
        <v>14055</v>
      </c>
      <c r="C7249" s="2" t="s">
        <v>17</v>
      </c>
      <c r="D7249" s="2" t="s">
        <v>18</v>
      </c>
      <c r="E7249" s="5">
        <v>-28634</v>
      </c>
      <c r="F7249" s="3" t="s">
        <v>2533</v>
      </c>
      <c r="G7249" s="3" t="s">
        <v>52</v>
      </c>
      <c r="H7249" s="2" t="s">
        <v>21</v>
      </c>
      <c r="I7249" s="2" t="s">
        <v>14056</v>
      </c>
      <c r="J7249" s="3" t="str">
        <f>HYPERLINK("https://www.boe.es/gazeta/dias/1821/08/07/pdfs/GMD-1821-223.pdf#page=2","Abrir facsímil")</f>
        <v>Abrir facsímil</v>
      </c>
      <c r="K7249" s="3" t="s">
        <v>23</v>
      </c>
    </row>
    <row r="7250" spans="1:11" ht="42" customHeight="1">
      <c r="A7250" s="2" t="s">
        <v>14057</v>
      </c>
      <c r="B7250" s="2" t="s">
        <v>14058</v>
      </c>
      <c r="C7250" s="2" t="s">
        <v>26</v>
      </c>
      <c r="D7250" s="2" t="s">
        <v>27</v>
      </c>
      <c r="E7250" s="5">
        <v>-28789</v>
      </c>
      <c r="F7250" s="3" t="s">
        <v>36</v>
      </c>
      <c r="G7250" s="3" t="s">
        <v>52</v>
      </c>
      <c r="H7250" s="2" t="s">
        <v>21</v>
      </c>
      <c r="I7250" s="2" t="s">
        <v>14059</v>
      </c>
      <c r="J7250" s="3" t="str">
        <f>HYPERLINK("https://www.boe.es/gazeta/dias/1821/03/05/pdfs/GGB-1821-64.pdf#page=2","Abrir facsímil")</f>
        <v>Abrir facsímil</v>
      </c>
      <c r="K7250" s="3" t="s">
        <v>23</v>
      </c>
    </row>
    <row r="7251" spans="1:11" ht="42" customHeight="1">
      <c r="A7251" s="2" t="s">
        <v>14060</v>
      </c>
      <c r="B7251" s="2" t="s">
        <v>14061</v>
      </c>
      <c r="C7251" s="2" t="s">
        <v>26</v>
      </c>
      <c r="D7251" s="2" t="s">
        <v>27</v>
      </c>
      <c r="E7251" s="5">
        <v>-28762</v>
      </c>
      <c r="F7251" s="3" t="s">
        <v>608</v>
      </c>
      <c r="G7251" s="3" t="s">
        <v>609</v>
      </c>
      <c r="H7251" s="2" t="s">
        <v>21</v>
      </c>
      <c r="I7251" s="2" t="s">
        <v>14062</v>
      </c>
      <c r="J7251" s="3" t="str">
        <f>HYPERLINK("https://www.boe.es/gazeta/dias/1821/04/01/pdfs/GMD-1821-93.pdf#page=7","Abrir facsímil")</f>
        <v>Abrir facsímil</v>
      </c>
      <c r="K7251" s="3" t="s">
        <v>23</v>
      </c>
    </row>
    <row r="7252" spans="1:11" ht="42" customHeight="1">
      <c r="A7252" s="2" t="s">
        <v>14063</v>
      </c>
      <c r="B7252" s="2" t="s">
        <v>14064</v>
      </c>
      <c r="C7252" s="2" t="s">
        <v>40</v>
      </c>
      <c r="D7252" s="2" t="s">
        <v>41</v>
      </c>
      <c r="E7252" s="5">
        <v>-28706</v>
      </c>
      <c r="F7252" s="3" t="s">
        <v>4791</v>
      </c>
      <c r="G7252" s="3" t="s">
        <v>88</v>
      </c>
      <c r="H7252" s="2" t="s">
        <v>21</v>
      </c>
      <c r="I7252" s="2" t="s">
        <v>14065</v>
      </c>
      <c r="J7252" s="3" t="str">
        <f>HYPERLINK("https://www.boe.es/gazeta/dias/1821/05/27/pdfs/GMD-1821-149.pdf#page=4","Abrir facsímil")</f>
        <v>Abrir facsímil</v>
      </c>
      <c r="K7252" s="3" t="s">
        <v>23</v>
      </c>
    </row>
    <row r="7253" spans="1:11" ht="42" customHeight="1">
      <c r="A7253" s="2" t="s">
        <v>14066</v>
      </c>
      <c r="B7253" s="2" t="s">
        <v>14067</v>
      </c>
      <c r="C7253" s="2" t="s">
        <v>40</v>
      </c>
      <c r="D7253" s="2" t="s">
        <v>41</v>
      </c>
      <c r="E7253" s="5">
        <v>-28765</v>
      </c>
      <c r="F7253" s="3" t="s">
        <v>974</v>
      </c>
      <c r="G7253" s="3" t="s">
        <v>1483</v>
      </c>
      <c r="H7253" s="2" t="s">
        <v>21</v>
      </c>
      <c r="I7253" s="2" t="s">
        <v>14068</v>
      </c>
      <c r="J7253" s="3" t="str">
        <f>HYPERLINK("https://www.boe.es/gazeta/dias/1821/03/29/pdfs/GMD-1821-90.pdf#page=4","Abrir facsímil")</f>
        <v>Abrir facsímil</v>
      </c>
      <c r="K7253" s="3" t="s">
        <v>23</v>
      </c>
    </row>
    <row r="7254" spans="1:11" ht="42" customHeight="1">
      <c r="A7254" s="2" t="s">
        <v>14069</v>
      </c>
      <c r="B7254" s="2" t="s">
        <v>14070</v>
      </c>
      <c r="C7254" s="2" t="s">
        <v>26</v>
      </c>
      <c r="D7254" s="2" t="s">
        <v>405</v>
      </c>
      <c r="E7254" s="5">
        <v>-28546</v>
      </c>
      <c r="F7254" s="3" t="s">
        <v>6425</v>
      </c>
      <c r="G7254" s="3" t="s">
        <v>52</v>
      </c>
      <c r="H7254" s="2" t="s">
        <v>21</v>
      </c>
      <c r="I7254" s="2" t="s">
        <v>14071</v>
      </c>
      <c r="J7254" s="3" t="str">
        <f>HYPERLINK("https://www.boe.es/gazeta/dias/1821/11/03/pdfs/GMD-1821-314E.pdf#page=2","Abrir facsímil")</f>
        <v>Abrir facsímil</v>
      </c>
      <c r="K7254" s="3" t="s">
        <v>23</v>
      </c>
    </row>
    <row r="7255" spans="1:11" ht="42" customHeight="1">
      <c r="A7255" s="2" t="s">
        <v>14069</v>
      </c>
      <c r="B7255" s="2" t="s">
        <v>14070</v>
      </c>
      <c r="C7255" s="2" t="s">
        <v>40</v>
      </c>
      <c r="D7255" s="2" t="s">
        <v>41</v>
      </c>
      <c r="E7255" s="5">
        <v>-28542</v>
      </c>
      <c r="F7255" s="3" t="s">
        <v>221</v>
      </c>
      <c r="G7255" s="3" t="s">
        <v>20</v>
      </c>
      <c r="H7255" s="2" t="s">
        <v>21</v>
      </c>
      <c r="I7255" s="2" t="s">
        <v>14072</v>
      </c>
      <c r="J7255" s="3" t="str">
        <f>HYPERLINK("https://www.boe.es/gazeta/dias/1821/11/07/pdfs/GMD-1821-318.pdf#page=3","Abrir facsímil")</f>
        <v>Abrir facsímil</v>
      </c>
      <c r="K7255" s="3" t="s">
        <v>23</v>
      </c>
    </row>
    <row r="7256" spans="1:11" ht="42" customHeight="1">
      <c r="A7256" s="2" t="s">
        <v>14069</v>
      </c>
      <c r="B7256" s="2" t="s">
        <v>14070</v>
      </c>
      <c r="C7256" s="2" t="s">
        <v>17</v>
      </c>
      <c r="D7256" s="2" t="s">
        <v>18</v>
      </c>
      <c r="E7256" s="5">
        <v>-28528</v>
      </c>
      <c r="F7256" s="3" t="s">
        <v>1872</v>
      </c>
      <c r="G7256" s="3" t="s">
        <v>162</v>
      </c>
      <c r="H7256" s="2" t="s">
        <v>21</v>
      </c>
      <c r="I7256" s="2" t="s">
        <v>14073</v>
      </c>
      <c r="J7256" s="3" t="str">
        <f>HYPERLINK("https://www.boe.es/gazeta/dias/1821/11/21/pdfs/GMD-1821-332.pdf#page=5","Abrir facsímil")</f>
        <v>Abrir facsímil</v>
      </c>
      <c r="K7256" s="3" t="s">
        <v>23</v>
      </c>
    </row>
    <row r="7257" spans="1:11" ht="42" customHeight="1">
      <c r="A7257" s="2" t="s">
        <v>14074</v>
      </c>
      <c r="B7257" s="2" t="s">
        <v>14075</v>
      </c>
      <c r="C7257" s="2" t="s">
        <v>40</v>
      </c>
      <c r="D7257" s="2" t="s">
        <v>41</v>
      </c>
      <c r="E7257" s="5">
        <v>-28833</v>
      </c>
      <c r="F7257" s="3" t="s">
        <v>1868</v>
      </c>
      <c r="G7257" s="3" t="s">
        <v>20</v>
      </c>
      <c r="H7257" s="2" t="s">
        <v>21</v>
      </c>
      <c r="I7257" s="2" t="s">
        <v>14076</v>
      </c>
      <c r="J7257" s="3" t="str">
        <f>HYPERLINK("https://www.boe.es/gazeta/dias/1821/01/20/pdfs/GGB-1821-20.pdf#page=3","Abrir facsímil")</f>
        <v>Abrir facsímil</v>
      </c>
      <c r="K7257" s="3" t="s">
        <v>23</v>
      </c>
    </row>
    <row r="7258" spans="1:11" ht="42" customHeight="1">
      <c r="A7258" s="2" t="s">
        <v>14077</v>
      </c>
      <c r="B7258" s="2" t="s">
        <v>14078</v>
      </c>
      <c r="C7258" s="2" t="s">
        <v>114</v>
      </c>
      <c r="D7258" s="2" t="s">
        <v>27</v>
      </c>
      <c r="E7258" s="5">
        <v>-28793</v>
      </c>
      <c r="F7258" s="3" t="s">
        <v>157</v>
      </c>
      <c r="G7258" s="3" t="s">
        <v>162</v>
      </c>
      <c r="H7258" s="2" t="s">
        <v>21</v>
      </c>
      <c r="I7258" s="2" t="s">
        <v>14079</v>
      </c>
      <c r="J7258" s="3" t="str">
        <f>HYPERLINK("https://www.boe.es/gazeta/dias/1821/03/01/pdfs/GGB-1821-60.pdf#page=5","Abrir facsímil")</f>
        <v>Abrir facsímil</v>
      </c>
      <c r="K7258" s="3" t="s">
        <v>23</v>
      </c>
    </row>
    <row r="7259" spans="1:11" ht="42" customHeight="1">
      <c r="A7259" s="2" t="s">
        <v>14080</v>
      </c>
      <c r="B7259" s="2" t="s">
        <v>14080</v>
      </c>
      <c r="C7259" s="2" t="s">
        <v>40</v>
      </c>
      <c r="D7259" s="2" t="s">
        <v>41</v>
      </c>
      <c r="E7259" s="5">
        <v>-28732</v>
      </c>
      <c r="F7259" s="3" t="s">
        <v>2628</v>
      </c>
      <c r="G7259" s="3" t="s">
        <v>43</v>
      </c>
      <c r="H7259" s="2" t="s">
        <v>21</v>
      </c>
      <c r="I7259" s="2" t="s">
        <v>14081</v>
      </c>
      <c r="J7259" s="3" t="str">
        <f>HYPERLINK("https://www.boe.es/gazeta/dias/1821/05/01/pdfs/GMD-1821-123.pdf#page=1","Abrir facsímil")</f>
        <v>Abrir facsímil</v>
      </c>
      <c r="K7259" s="3" t="s">
        <v>23</v>
      </c>
    </row>
    <row r="7260" spans="1:11" ht="42" customHeight="1">
      <c r="A7260" s="2" t="s">
        <v>14082</v>
      </c>
      <c r="B7260" s="2" t="s">
        <v>14083</v>
      </c>
      <c r="C7260" s="2" t="s">
        <v>17</v>
      </c>
      <c r="D7260" s="2" t="s">
        <v>18</v>
      </c>
      <c r="E7260" s="5">
        <v>-28721</v>
      </c>
      <c r="F7260" s="3" t="s">
        <v>92</v>
      </c>
      <c r="G7260" s="3" t="s">
        <v>43</v>
      </c>
      <c r="H7260" s="2" t="s">
        <v>21</v>
      </c>
      <c r="I7260" s="2" t="s">
        <v>14084</v>
      </c>
      <c r="J7260" s="3" t="str">
        <f>HYPERLINK("https://www.boe.es/gazeta/dias/1821/05/12/pdfs/GMD-1821-134.pdf#page=1","Abrir facsímil")</f>
        <v>Abrir facsímil</v>
      </c>
      <c r="K7260" s="3" t="s">
        <v>23</v>
      </c>
    </row>
    <row r="7261" spans="1:11" ht="42" customHeight="1">
      <c r="A7261" s="2" t="s">
        <v>14085</v>
      </c>
      <c r="B7261" s="2" t="s">
        <v>14085</v>
      </c>
      <c r="C7261" s="2" t="s">
        <v>40</v>
      </c>
      <c r="D7261" s="2" t="s">
        <v>41</v>
      </c>
      <c r="E7261" s="5">
        <v>-28779</v>
      </c>
      <c r="F7261" s="3" t="s">
        <v>1002</v>
      </c>
      <c r="G7261" s="3" t="s">
        <v>20</v>
      </c>
      <c r="H7261" s="2" t="s">
        <v>21</v>
      </c>
      <c r="I7261" s="2" t="s">
        <v>14086</v>
      </c>
      <c r="J7261" s="3" t="str">
        <f>HYPERLINK("https://www.boe.es/gazeta/dias/1821/03/15/pdfs/GMD-1821-74.pdf#page=3","Abrir facsímil")</f>
        <v>Abrir facsímil</v>
      </c>
      <c r="K7261" s="3" t="s">
        <v>23</v>
      </c>
    </row>
    <row r="7262" spans="1:11" ht="42" customHeight="1">
      <c r="A7262" s="2" t="s">
        <v>14085</v>
      </c>
      <c r="B7262" s="2" t="s">
        <v>14085</v>
      </c>
      <c r="C7262" s="2" t="s">
        <v>40</v>
      </c>
      <c r="D7262" s="2" t="s">
        <v>41</v>
      </c>
      <c r="E7262" s="5">
        <v>-28708</v>
      </c>
      <c r="F7262" s="3" t="s">
        <v>528</v>
      </c>
      <c r="G7262" s="3" t="s">
        <v>20</v>
      </c>
      <c r="H7262" s="2" t="s">
        <v>21</v>
      </c>
      <c r="I7262" s="2" t="s">
        <v>14087</v>
      </c>
      <c r="J7262" s="3" t="str">
        <f>HYPERLINK("https://www.boe.es/gazeta/dias/1821/05/25/pdfs/GMD-1821-147.pdf#page=3","Abrir facsímil")</f>
        <v>Abrir facsímil</v>
      </c>
      <c r="K7262" s="3" t="s">
        <v>23</v>
      </c>
    </row>
    <row r="7263" spans="1:11" ht="42" customHeight="1">
      <c r="A7263" s="2" t="s">
        <v>14085</v>
      </c>
      <c r="B7263" s="2" t="s">
        <v>14085</v>
      </c>
      <c r="C7263" s="2" t="s">
        <v>40</v>
      </c>
      <c r="D7263" s="2" t="s">
        <v>41</v>
      </c>
      <c r="E7263" s="5">
        <v>-28703</v>
      </c>
      <c r="F7263" s="3" t="s">
        <v>231</v>
      </c>
      <c r="G7263" s="3" t="s">
        <v>20</v>
      </c>
      <c r="H7263" s="2" t="s">
        <v>21</v>
      </c>
      <c r="I7263" s="2" t="s">
        <v>14088</v>
      </c>
      <c r="J7263" s="3" t="str">
        <f>HYPERLINK("https://www.boe.es/gazeta/dias/1821/05/30/pdfs/GMD-1821-152.pdf#page=3","Abrir facsímil")</f>
        <v>Abrir facsímil</v>
      </c>
      <c r="K7263" s="3" t="s">
        <v>23</v>
      </c>
    </row>
    <row r="7264" spans="1:11" ht="42" customHeight="1">
      <c r="A7264" s="2" t="s">
        <v>14085</v>
      </c>
      <c r="B7264" s="2" t="s">
        <v>14085</v>
      </c>
      <c r="C7264" s="2" t="s">
        <v>40</v>
      </c>
      <c r="D7264" s="2" t="s">
        <v>41</v>
      </c>
      <c r="E7264" s="5">
        <v>-28536</v>
      </c>
      <c r="F7264" s="3" t="s">
        <v>553</v>
      </c>
      <c r="G7264" s="3" t="s">
        <v>29</v>
      </c>
      <c r="H7264" s="2" t="s">
        <v>21</v>
      </c>
      <c r="I7264" s="2" t="s">
        <v>14089</v>
      </c>
      <c r="J7264" s="3" t="str">
        <f>HYPERLINK("https://www.boe.es/gazeta/dias/1821/11/13/pdfs/GMD-1821-324.pdf#page=6","Abrir facsímil")</f>
        <v>Abrir facsímil</v>
      </c>
      <c r="K7264" s="3" t="s">
        <v>23</v>
      </c>
    </row>
    <row r="7265" spans="1:11" ht="42" customHeight="1">
      <c r="A7265" s="2" t="s">
        <v>14085</v>
      </c>
      <c r="B7265" s="2" t="s">
        <v>14085</v>
      </c>
      <c r="C7265" s="2" t="s">
        <v>40</v>
      </c>
      <c r="D7265" s="2" t="s">
        <v>41</v>
      </c>
      <c r="E7265" s="5">
        <v>-28522</v>
      </c>
      <c r="F7265" s="3" t="s">
        <v>1083</v>
      </c>
      <c r="G7265" s="3" t="s">
        <v>1288</v>
      </c>
      <c r="H7265" s="2" t="s">
        <v>21</v>
      </c>
      <c r="I7265" s="2" t="s">
        <v>14090</v>
      </c>
      <c r="J7265" s="3" t="str">
        <f>HYPERLINK("https://www.boe.es/gazeta/dias/1821/11/27/pdfs/GMD-1821-339.pdf#page=4","Abrir facsímil")</f>
        <v>Abrir facsímil</v>
      </c>
      <c r="K7265" s="3" t="s">
        <v>23</v>
      </c>
    </row>
    <row r="7266" spans="1:11" ht="42" customHeight="1">
      <c r="A7266" s="2" t="s">
        <v>14085</v>
      </c>
      <c r="B7266" s="2" t="s">
        <v>14085</v>
      </c>
      <c r="C7266" s="2" t="s">
        <v>26</v>
      </c>
      <c r="D7266" s="2" t="s">
        <v>27</v>
      </c>
      <c r="E7266" s="5">
        <v>-28519</v>
      </c>
      <c r="F7266" s="3" t="s">
        <v>880</v>
      </c>
      <c r="G7266" s="3" t="s">
        <v>3835</v>
      </c>
      <c r="H7266" s="2" t="s">
        <v>21</v>
      </c>
      <c r="I7266" s="2" t="s">
        <v>14091</v>
      </c>
      <c r="J7266" s="3" t="str">
        <f>HYPERLINK("https://www.boe.es/gazeta/dias/1821/11/30/pdfs/GMD-1821-342.pdf#page=3","Abrir facsímil")</f>
        <v>Abrir facsímil</v>
      </c>
      <c r="K7266" s="3" t="s">
        <v>23</v>
      </c>
    </row>
    <row r="7267" spans="1:11" ht="42" customHeight="1">
      <c r="A7267" s="2" t="s">
        <v>14085</v>
      </c>
      <c r="B7267" s="2" t="s">
        <v>14085</v>
      </c>
      <c r="C7267" s="2" t="s">
        <v>40</v>
      </c>
      <c r="D7267" s="2" t="s">
        <v>41</v>
      </c>
      <c r="E7267" s="5">
        <v>-28509</v>
      </c>
      <c r="F7267" s="3" t="s">
        <v>388</v>
      </c>
      <c r="G7267" s="3" t="s">
        <v>20</v>
      </c>
      <c r="H7267" s="2" t="s">
        <v>21</v>
      </c>
      <c r="I7267" s="2" t="s">
        <v>14092</v>
      </c>
      <c r="J7267" s="3" t="str">
        <f>HYPERLINK("https://www.boe.es/gazeta/dias/1821/12/10/pdfs/GMD-1821-352.pdf#page=3","Abrir facsímil")</f>
        <v>Abrir facsímil</v>
      </c>
      <c r="K7267" s="3" t="s">
        <v>23</v>
      </c>
    </row>
    <row r="7268" spans="1:11" ht="42" customHeight="1">
      <c r="A7268" s="2" t="s">
        <v>14085</v>
      </c>
      <c r="B7268" s="2" t="s">
        <v>14085</v>
      </c>
      <c r="C7268" s="2" t="s">
        <v>40</v>
      </c>
      <c r="D7268" s="2" t="s">
        <v>41</v>
      </c>
      <c r="E7268" s="5">
        <v>-28509</v>
      </c>
      <c r="F7268" s="3" t="s">
        <v>388</v>
      </c>
      <c r="G7268" s="3" t="s">
        <v>88</v>
      </c>
      <c r="H7268" s="2" t="s">
        <v>21</v>
      </c>
      <c r="I7268" s="2" t="s">
        <v>14093</v>
      </c>
      <c r="J7268" s="3" t="str">
        <f>HYPERLINK("https://www.boe.es/gazeta/dias/1821/12/10/pdfs/GMD-1821-352.pdf#page=4","Abrir facsímil")</f>
        <v>Abrir facsímil</v>
      </c>
      <c r="K7268" s="3" t="s">
        <v>23</v>
      </c>
    </row>
    <row r="7269" spans="1:11" ht="42" customHeight="1">
      <c r="A7269" s="2" t="s">
        <v>14085</v>
      </c>
      <c r="B7269" s="2" t="s">
        <v>14085</v>
      </c>
      <c r="C7269" s="2" t="s">
        <v>40</v>
      </c>
      <c r="D7269" s="2" t="s">
        <v>41</v>
      </c>
      <c r="E7269" s="5">
        <v>-28509</v>
      </c>
      <c r="F7269" s="3" t="s">
        <v>388</v>
      </c>
      <c r="G7269" s="3" t="s">
        <v>162</v>
      </c>
      <c r="H7269" s="2" t="s">
        <v>21</v>
      </c>
      <c r="I7269" s="2" t="s">
        <v>14094</v>
      </c>
      <c r="J7269" s="3" t="str">
        <f>HYPERLINK("https://www.boe.es/gazeta/dias/1821/12/10/pdfs/GMD-1821-352.pdf#page=5","Abrir facsímil")</f>
        <v>Abrir facsímil</v>
      </c>
      <c r="K7269" s="3" t="s">
        <v>23</v>
      </c>
    </row>
    <row r="7270" spans="1:11" ht="42" customHeight="1">
      <c r="A7270" s="2" t="s">
        <v>14085</v>
      </c>
      <c r="B7270" s="2" t="s">
        <v>14085</v>
      </c>
      <c r="C7270" s="2" t="s">
        <v>17</v>
      </c>
      <c r="D7270" s="2" t="s">
        <v>18</v>
      </c>
      <c r="E7270" s="5">
        <v>-28508</v>
      </c>
      <c r="F7270" s="3" t="s">
        <v>42</v>
      </c>
      <c r="G7270" s="3" t="s">
        <v>52</v>
      </c>
      <c r="H7270" s="2" t="s">
        <v>21</v>
      </c>
      <c r="I7270" s="2" t="s">
        <v>14095</v>
      </c>
      <c r="J7270" s="3" t="str">
        <f>HYPERLINK("https://www.boe.es/gazeta/dias/1821/12/11/pdfs/GMD-1821-353.pdf#page=2","Abrir facsímil")</f>
        <v>Abrir facsímil</v>
      </c>
      <c r="K7270" s="3" t="s">
        <v>23</v>
      </c>
    </row>
    <row r="7271" spans="1:11" ht="42" customHeight="1">
      <c r="A7271" s="2" t="s">
        <v>14085</v>
      </c>
      <c r="B7271" s="2" t="s">
        <v>14085</v>
      </c>
      <c r="C7271" s="2" t="s">
        <v>174</v>
      </c>
      <c r="D7271" s="2" t="s">
        <v>27</v>
      </c>
      <c r="E7271" s="5">
        <v>-28508</v>
      </c>
      <c r="F7271" s="3" t="s">
        <v>42</v>
      </c>
      <c r="G7271" s="3" t="s">
        <v>20</v>
      </c>
      <c r="H7271" s="2" t="s">
        <v>21</v>
      </c>
      <c r="I7271" s="2" t="s">
        <v>14096</v>
      </c>
      <c r="J7271" s="3" t="str">
        <f>HYPERLINK("https://www.boe.es/gazeta/dias/1821/12/11/pdfs/GMD-1821-353.pdf#page=3","Abrir facsímil")</f>
        <v>Abrir facsímil</v>
      </c>
      <c r="K7271" s="3" t="s">
        <v>23</v>
      </c>
    </row>
    <row r="7272" spans="1:11" ht="42" customHeight="1">
      <c r="A7272" s="2" t="s">
        <v>14085</v>
      </c>
      <c r="B7272" s="2" t="s">
        <v>14085</v>
      </c>
      <c r="C7272" s="2" t="s">
        <v>35</v>
      </c>
      <c r="D7272" s="2" t="s">
        <v>27</v>
      </c>
      <c r="E7272" s="5">
        <v>-28501</v>
      </c>
      <c r="F7272" s="3" t="s">
        <v>456</v>
      </c>
      <c r="G7272" s="3" t="s">
        <v>88</v>
      </c>
      <c r="H7272" s="2" t="s">
        <v>21</v>
      </c>
      <c r="I7272" s="2" t="s">
        <v>14097</v>
      </c>
      <c r="J7272" s="3" t="str">
        <f>HYPERLINK("https://www.boe.es/gazeta/dias/1821/12/18/pdfs/GMD-1821-361.pdf#page=4","Abrir facsímil")</f>
        <v>Abrir facsímil</v>
      </c>
      <c r="K7272" s="3" t="s">
        <v>23</v>
      </c>
    </row>
    <row r="7273" spans="1:11" ht="42" customHeight="1">
      <c r="A7273" s="2" t="s">
        <v>14085</v>
      </c>
      <c r="B7273" s="2" t="s">
        <v>14085</v>
      </c>
      <c r="C7273" s="2" t="s">
        <v>26</v>
      </c>
      <c r="D7273" s="2" t="s">
        <v>27</v>
      </c>
      <c r="E7273" s="5">
        <v>-28499</v>
      </c>
      <c r="F7273" s="3" t="s">
        <v>954</v>
      </c>
      <c r="G7273" s="3" t="s">
        <v>20</v>
      </c>
      <c r="H7273" s="2" t="s">
        <v>21</v>
      </c>
      <c r="I7273" s="2" t="s">
        <v>14098</v>
      </c>
      <c r="J7273" s="3" t="str">
        <f>HYPERLINK("https://www.boe.es/gazeta/dias/1821/12/20/pdfs/GMD-1821-363.pdf#page=3","Abrir facsímil")</f>
        <v>Abrir facsímil</v>
      </c>
      <c r="K7273" s="3" t="s">
        <v>23</v>
      </c>
    </row>
    <row r="7274" spans="1:11" ht="42" customHeight="1">
      <c r="A7274" s="2" t="s">
        <v>14085</v>
      </c>
      <c r="B7274" s="2" t="s">
        <v>14085</v>
      </c>
      <c r="C7274" s="2" t="s">
        <v>17</v>
      </c>
      <c r="D7274" s="2" t="s">
        <v>18</v>
      </c>
      <c r="E7274" s="5">
        <v>-28492</v>
      </c>
      <c r="F7274" s="3" t="s">
        <v>1550</v>
      </c>
      <c r="G7274" s="3" t="s">
        <v>88</v>
      </c>
      <c r="H7274" s="2" t="s">
        <v>21</v>
      </c>
      <c r="I7274" s="2" t="s">
        <v>14099</v>
      </c>
      <c r="J7274" s="3" t="str">
        <f>HYPERLINK("https://www.boe.es/gazeta/dias/1821/12/27/pdfs/GMD-1821-370.pdf#page=4","Abrir facsímil")</f>
        <v>Abrir facsímil</v>
      </c>
      <c r="K7274" s="3" t="s">
        <v>23</v>
      </c>
    </row>
    <row r="7275" spans="1:11" ht="42" customHeight="1">
      <c r="A7275" s="2" t="s">
        <v>14100</v>
      </c>
      <c r="B7275" s="2" t="s">
        <v>14101</v>
      </c>
      <c r="C7275" s="2" t="s">
        <v>35</v>
      </c>
      <c r="D7275" s="2" t="s">
        <v>27</v>
      </c>
      <c r="E7275" s="5">
        <v>-28702</v>
      </c>
      <c r="F7275" s="3" t="s">
        <v>1176</v>
      </c>
      <c r="G7275" s="3" t="s">
        <v>88</v>
      </c>
      <c r="H7275" s="2" t="s">
        <v>21</v>
      </c>
      <c r="I7275" s="2" t="s">
        <v>14102</v>
      </c>
      <c r="J7275" s="3" t="str">
        <f>HYPERLINK("https://www.boe.es/gazeta/dias/1821/05/31/pdfs/GMD-1821-153.pdf#page=4","Abrir facsímil")</f>
        <v>Abrir facsímil</v>
      </c>
      <c r="K7275" s="3" t="s">
        <v>23</v>
      </c>
    </row>
    <row r="7276" spans="1:11" ht="42" customHeight="1">
      <c r="A7276" s="2" t="s">
        <v>14103</v>
      </c>
      <c r="B7276" s="2" t="s">
        <v>14104</v>
      </c>
      <c r="C7276" s="2" t="s">
        <v>17</v>
      </c>
      <c r="D7276" s="2" t="s">
        <v>18</v>
      </c>
      <c r="E7276" s="5">
        <v>-28535</v>
      </c>
      <c r="F7276" s="3" t="s">
        <v>96</v>
      </c>
      <c r="G7276" s="3" t="s">
        <v>52</v>
      </c>
      <c r="H7276" s="2" t="s">
        <v>21</v>
      </c>
      <c r="I7276" s="2" t="s">
        <v>14105</v>
      </c>
      <c r="J7276" s="3" t="str">
        <f>HYPERLINK("https://www.boe.es/gazeta/dias/1821/11/14/pdfs/GMD-1821-325.pdf#page=2","Abrir facsímil")</f>
        <v>Abrir facsímil</v>
      </c>
      <c r="K7276" s="3" t="s">
        <v>23</v>
      </c>
    </row>
    <row r="7277" spans="1:11" ht="42" customHeight="1">
      <c r="A7277" s="2" t="s">
        <v>14106</v>
      </c>
      <c r="B7277" s="2" t="s">
        <v>14107</v>
      </c>
      <c r="C7277" s="2" t="s">
        <v>17</v>
      </c>
      <c r="D7277" s="2" t="s">
        <v>18</v>
      </c>
      <c r="E7277" s="5">
        <v>-28719</v>
      </c>
      <c r="F7277" s="3" t="s">
        <v>647</v>
      </c>
      <c r="G7277" s="3" t="s">
        <v>20</v>
      </c>
      <c r="H7277" s="2" t="s">
        <v>21</v>
      </c>
      <c r="I7277" s="2" t="s">
        <v>14108</v>
      </c>
      <c r="J7277" s="3" t="str">
        <f>HYPERLINK("https://www.boe.es/gazeta/dias/1821/05/14/pdfs/GMD-1821-136.pdf#page=3","Abrir facsímil")</f>
        <v>Abrir facsímil</v>
      </c>
      <c r="K7277" s="3" t="s">
        <v>23</v>
      </c>
    </row>
    <row r="7278" spans="1:11" ht="42" customHeight="1">
      <c r="A7278" s="2" t="s">
        <v>14109</v>
      </c>
      <c r="B7278" s="2" t="s">
        <v>14110</v>
      </c>
      <c r="C7278" s="2" t="s">
        <v>40</v>
      </c>
      <c r="D7278" s="2" t="s">
        <v>41</v>
      </c>
      <c r="E7278" s="5">
        <v>-28745</v>
      </c>
      <c r="F7278" s="3" t="s">
        <v>1020</v>
      </c>
      <c r="G7278" s="3" t="s">
        <v>88</v>
      </c>
      <c r="H7278" s="2" t="s">
        <v>30</v>
      </c>
      <c r="I7278" s="2" t="s">
        <v>14111</v>
      </c>
      <c r="J7278" s="3" t="str">
        <f>HYPERLINK("https://www.boe.es/gazeta/dias/1821/04/18/pdfs/GMD-1821-110.pdf#page=4","Abrir facsímil")</f>
        <v>Abrir facsímil</v>
      </c>
      <c r="K7278" s="3" t="s">
        <v>32</v>
      </c>
    </row>
    <row r="7279" spans="1:11" ht="42" customHeight="1">
      <c r="A7279" s="2" t="s">
        <v>14112</v>
      </c>
      <c r="B7279" s="2" t="s">
        <v>14113</v>
      </c>
      <c r="C7279" s="2" t="s">
        <v>35</v>
      </c>
      <c r="D7279" s="2" t="s">
        <v>27</v>
      </c>
      <c r="E7279" s="5">
        <v>-28765</v>
      </c>
      <c r="F7279" s="3" t="s">
        <v>974</v>
      </c>
      <c r="G7279" s="3" t="s">
        <v>52</v>
      </c>
      <c r="H7279" s="2" t="s">
        <v>21</v>
      </c>
      <c r="I7279" s="2" t="s">
        <v>14114</v>
      </c>
      <c r="J7279" s="3" t="str">
        <f>HYPERLINK("https://www.boe.es/gazeta/dias/1821/03/29/pdfs/GMD-1821-90.pdf#page=2","Abrir facsímil")</f>
        <v>Abrir facsímil</v>
      </c>
      <c r="K7279" s="3" t="s">
        <v>23</v>
      </c>
    </row>
    <row r="7280" spans="1:11" ht="42" customHeight="1">
      <c r="A7280" s="2" t="s">
        <v>14115</v>
      </c>
      <c r="B7280" s="2" t="s">
        <v>14116</v>
      </c>
      <c r="C7280" s="2" t="s">
        <v>40</v>
      </c>
      <c r="D7280" s="2" t="s">
        <v>41</v>
      </c>
      <c r="E7280" s="5">
        <v>-28764</v>
      </c>
      <c r="F7280" s="3" t="s">
        <v>924</v>
      </c>
      <c r="G7280" s="3" t="s">
        <v>52</v>
      </c>
      <c r="H7280" s="2" t="s">
        <v>21</v>
      </c>
      <c r="I7280" s="2" t="s">
        <v>14117</v>
      </c>
      <c r="J7280" s="3" t="str">
        <f>HYPERLINK("https://www.boe.es/gazeta/dias/1821/03/30/pdfs/GMD-1821-91.pdf#page=2","Abrir facsímil")</f>
        <v>Abrir facsímil</v>
      </c>
      <c r="K7280" s="3" t="s">
        <v>23</v>
      </c>
    </row>
    <row r="7281" spans="1:11" ht="42" customHeight="1">
      <c r="A7281" s="2" t="s">
        <v>14118</v>
      </c>
      <c r="B7281" s="2" t="s">
        <v>14119</v>
      </c>
      <c r="C7281" s="2" t="s">
        <v>26</v>
      </c>
      <c r="D7281" s="2" t="s">
        <v>27</v>
      </c>
      <c r="E7281" s="5">
        <v>-28841</v>
      </c>
      <c r="F7281" s="3" t="s">
        <v>765</v>
      </c>
      <c r="G7281" s="3" t="s">
        <v>20</v>
      </c>
      <c r="H7281" s="2" t="s">
        <v>21</v>
      </c>
      <c r="I7281" s="2" t="s">
        <v>14120</v>
      </c>
      <c r="J7281" s="3" t="str">
        <f>HYPERLINK("https://www.boe.es/gazeta/dias/1821/01/12/pdfs/GGB-1821-12.pdf#page=3","Abrir facsímil")</f>
        <v>Abrir facsímil</v>
      </c>
      <c r="K7281" s="3" t="s">
        <v>23</v>
      </c>
    </row>
    <row r="7282" spans="1:11" ht="42" customHeight="1">
      <c r="A7282" s="2" t="s">
        <v>14121</v>
      </c>
      <c r="B7282" s="2" t="s">
        <v>14122</v>
      </c>
      <c r="C7282" s="2" t="s">
        <v>26</v>
      </c>
      <c r="D7282" s="2" t="s">
        <v>27</v>
      </c>
      <c r="E7282" s="5">
        <v>-28701</v>
      </c>
      <c r="F7282" s="3" t="s">
        <v>202</v>
      </c>
      <c r="G7282" s="3" t="s">
        <v>88</v>
      </c>
      <c r="H7282" s="2" t="s">
        <v>30</v>
      </c>
      <c r="I7282" s="2" t="s">
        <v>14123</v>
      </c>
      <c r="J7282" s="3" t="str">
        <f>HYPERLINK("https://www.boe.es/gazeta/dias/1821/06/01/pdfs/GMD-1821-154.pdf#page=4","Abrir facsímil")</f>
        <v>Abrir facsímil</v>
      </c>
      <c r="K7282" s="3" t="s">
        <v>32</v>
      </c>
    </row>
    <row r="7283" spans="1:11" ht="42" customHeight="1">
      <c r="A7283" s="2" t="s">
        <v>14124</v>
      </c>
      <c r="B7283" s="2" t="s">
        <v>14125</v>
      </c>
      <c r="C7283" s="2" t="s">
        <v>114</v>
      </c>
      <c r="D7283" s="2" t="s">
        <v>27</v>
      </c>
      <c r="E7283" s="5">
        <v>-28719</v>
      </c>
      <c r="F7283" s="3" t="s">
        <v>647</v>
      </c>
      <c r="G7283" s="3" t="s">
        <v>20</v>
      </c>
      <c r="H7283" s="2" t="s">
        <v>21</v>
      </c>
      <c r="I7283" s="2" t="s">
        <v>14126</v>
      </c>
      <c r="J7283" s="3" t="str">
        <f>HYPERLINK("https://www.boe.es/gazeta/dias/1821/05/14/pdfs/GMD-1821-136.pdf#page=3","Abrir facsímil")</f>
        <v>Abrir facsímil</v>
      </c>
      <c r="K7283" s="3" t="s">
        <v>23</v>
      </c>
    </row>
    <row r="7284" spans="1:11" ht="42" customHeight="1">
      <c r="A7284" s="2" t="s">
        <v>14124</v>
      </c>
      <c r="B7284" s="2" t="s">
        <v>14125</v>
      </c>
      <c r="C7284" s="2" t="s">
        <v>17</v>
      </c>
      <c r="D7284" s="2" t="s">
        <v>18</v>
      </c>
      <c r="E7284" s="5">
        <v>-28676</v>
      </c>
      <c r="F7284" s="3" t="s">
        <v>534</v>
      </c>
      <c r="G7284" s="3" t="s">
        <v>20</v>
      </c>
      <c r="H7284" s="2" t="s">
        <v>21</v>
      </c>
      <c r="I7284" s="2" t="s">
        <v>14127</v>
      </c>
      <c r="J7284" s="3" t="str">
        <f>HYPERLINK("https://www.boe.es/gazeta/dias/1821/06/26/pdfs/GMD-1821-179.pdf#page=3","Abrir facsímil")</f>
        <v>Abrir facsímil</v>
      </c>
      <c r="K7284" s="3" t="s">
        <v>23</v>
      </c>
    </row>
    <row r="7285" spans="1:11" ht="42" customHeight="1">
      <c r="A7285" s="2" t="s">
        <v>14128</v>
      </c>
      <c r="B7285" s="2" t="s">
        <v>14129</v>
      </c>
      <c r="C7285" s="2" t="s">
        <v>35</v>
      </c>
      <c r="D7285" s="2" t="s">
        <v>27</v>
      </c>
      <c r="E7285" s="5">
        <v>-28711</v>
      </c>
      <c r="F7285" s="3" t="s">
        <v>1048</v>
      </c>
      <c r="G7285" s="3" t="s">
        <v>43</v>
      </c>
      <c r="H7285" s="2" t="s">
        <v>21</v>
      </c>
      <c r="I7285" s="2" t="s">
        <v>14130</v>
      </c>
      <c r="J7285" s="3" t="str">
        <f>HYPERLINK("https://www.boe.es/gazeta/dias/1821/05/22/pdfs/GMD-1821-144.pdf#page=1","Abrir facsímil")</f>
        <v>Abrir facsímil</v>
      </c>
      <c r="K7285" s="3" t="s">
        <v>23</v>
      </c>
    </row>
    <row r="7286" spans="1:11" ht="42" customHeight="1">
      <c r="A7286" s="2" t="s">
        <v>14131</v>
      </c>
      <c r="B7286" s="2" t="s">
        <v>14132</v>
      </c>
      <c r="C7286" s="2" t="s">
        <v>174</v>
      </c>
      <c r="D7286" s="2" t="s">
        <v>27</v>
      </c>
      <c r="E7286" s="5">
        <v>-28707</v>
      </c>
      <c r="F7286" s="3" t="s">
        <v>495</v>
      </c>
      <c r="G7286" s="3" t="s">
        <v>52</v>
      </c>
      <c r="H7286" s="2" t="s">
        <v>21</v>
      </c>
      <c r="I7286" s="2" t="s">
        <v>14133</v>
      </c>
      <c r="J7286" s="3" t="str">
        <f>HYPERLINK("https://www.boe.es/gazeta/dias/1821/05/26/pdfs/GMD-1821-148.pdf#page=2","Abrir facsímil")</f>
        <v>Abrir facsímil</v>
      </c>
      <c r="K7286" s="3" t="s">
        <v>23</v>
      </c>
    </row>
    <row r="7287" spans="1:11" ht="42" customHeight="1">
      <c r="A7287" s="2" t="s">
        <v>14134</v>
      </c>
      <c r="B7287" s="2" t="s">
        <v>14135</v>
      </c>
      <c r="C7287" s="2" t="s">
        <v>17</v>
      </c>
      <c r="D7287" s="2" t="s">
        <v>18</v>
      </c>
      <c r="E7287" s="5">
        <v>-28607</v>
      </c>
      <c r="F7287" s="3" t="s">
        <v>740</v>
      </c>
      <c r="G7287" s="3" t="s">
        <v>88</v>
      </c>
      <c r="H7287" s="2" t="s">
        <v>21</v>
      </c>
      <c r="I7287" s="2" t="s">
        <v>14136</v>
      </c>
      <c r="J7287" s="3" t="str">
        <f>HYPERLINK("https://www.boe.es/gazeta/dias/1821/09/03/pdfs/GMD-1821-251.pdf#page=4","Abrir facsímil")</f>
        <v>Abrir facsímil</v>
      </c>
      <c r="K7287" s="3" t="s">
        <v>23</v>
      </c>
    </row>
    <row r="7288" spans="1:11" ht="42" customHeight="1">
      <c r="A7288" s="2" t="s">
        <v>14137</v>
      </c>
      <c r="B7288" s="2" t="s">
        <v>14138</v>
      </c>
      <c r="C7288" s="2" t="s">
        <v>35</v>
      </c>
      <c r="D7288" s="2" t="s">
        <v>27</v>
      </c>
      <c r="E7288" s="5">
        <v>-28636</v>
      </c>
      <c r="F7288" s="3" t="s">
        <v>122</v>
      </c>
      <c r="G7288" s="3" t="s">
        <v>20</v>
      </c>
      <c r="H7288" s="2" t="s">
        <v>21</v>
      </c>
      <c r="I7288" s="2" t="s">
        <v>14139</v>
      </c>
      <c r="J7288" s="3" t="str">
        <f>HYPERLINK("https://www.boe.es/gazeta/dias/1821/08/05/pdfs/GMD-1821-221.pdf#page=3","Abrir facsímil")</f>
        <v>Abrir facsímil</v>
      </c>
      <c r="K7288" s="3" t="s">
        <v>23</v>
      </c>
    </row>
    <row r="7289" spans="1:11" ht="42" customHeight="1">
      <c r="A7289" s="2" t="s">
        <v>14140</v>
      </c>
      <c r="B7289" s="2" t="s">
        <v>14141</v>
      </c>
      <c r="C7289" s="2" t="s">
        <v>17</v>
      </c>
      <c r="D7289" s="2" t="s">
        <v>18</v>
      </c>
      <c r="E7289" s="5">
        <v>-28763</v>
      </c>
      <c r="F7289" s="3" t="s">
        <v>1145</v>
      </c>
      <c r="G7289" s="3" t="s">
        <v>52</v>
      </c>
      <c r="H7289" s="2" t="s">
        <v>21</v>
      </c>
      <c r="I7289" s="2" t="s">
        <v>14142</v>
      </c>
      <c r="J7289" s="3" t="str">
        <f>HYPERLINK("https://www.boe.es/gazeta/dias/1821/03/31/pdfs/GMD-1821-92.pdf#page=2","Abrir facsímil")</f>
        <v>Abrir facsímil</v>
      </c>
      <c r="K7289" s="3" t="s">
        <v>23</v>
      </c>
    </row>
    <row r="7290" spans="1:11" ht="42" customHeight="1">
      <c r="A7290" s="2" t="s">
        <v>14140</v>
      </c>
      <c r="B7290" s="2" t="s">
        <v>14141</v>
      </c>
      <c r="C7290" s="2" t="s">
        <v>40</v>
      </c>
      <c r="D7290" s="2" t="s">
        <v>41</v>
      </c>
      <c r="E7290" s="5">
        <v>-28592</v>
      </c>
      <c r="F7290" s="3" t="s">
        <v>518</v>
      </c>
      <c r="G7290" s="3" t="s">
        <v>88</v>
      </c>
      <c r="H7290" s="2" t="s">
        <v>21</v>
      </c>
      <c r="I7290" s="2" t="s">
        <v>14143</v>
      </c>
      <c r="J7290" s="3" t="str">
        <f>HYPERLINK("https://www.boe.es/gazeta/dias/1821/09/18/pdfs/GMD-1821-266.pdf#page=4","Abrir facsímil")</f>
        <v>Abrir facsímil</v>
      </c>
      <c r="K7290" s="3" t="s">
        <v>23</v>
      </c>
    </row>
    <row r="7291" spans="1:11" ht="42" customHeight="1">
      <c r="A7291" s="2" t="s">
        <v>14144</v>
      </c>
      <c r="B7291" s="2" t="s">
        <v>14145</v>
      </c>
      <c r="C7291" s="2" t="s">
        <v>40</v>
      </c>
      <c r="D7291" s="2" t="s">
        <v>41</v>
      </c>
      <c r="E7291" s="5">
        <v>-28835</v>
      </c>
      <c r="F7291" s="3" t="s">
        <v>1362</v>
      </c>
      <c r="G7291" s="3" t="s">
        <v>88</v>
      </c>
      <c r="H7291" s="2" t="s">
        <v>21</v>
      </c>
      <c r="I7291" s="2" t="s">
        <v>14146</v>
      </c>
      <c r="J7291" s="3" t="str">
        <f>HYPERLINK("https://www.boe.es/gazeta/dias/1821/01/18/pdfs/GGB-1821-18.pdf#page=4","Abrir facsímil")</f>
        <v>Abrir facsímil</v>
      </c>
      <c r="K7291" s="3" t="s">
        <v>23</v>
      </c>
    </row>
    <row r="7292" spans="1:11" ht="42" customHeight="1">
      <c r="A7292" s="2" t="s">
        <v>14144</v>
      </c>
      <c r="B7292" s="2" t="s">
        <v>14145</v>
      </c>
      <c r="C7292" s="2" t="s">
        <v>40</v>
      </c>
      <c r="D7292" s="2" t="s">
        <v>41</v>
      </c>
      <c r="E7292" s="5">
        <v>-28788</v>
      </c>
      <c r="F7292" s="3" t="s">
        <v>996</v>
      </c>
      <c r="G7292" s="3" t="s">
        <v>20</v>
      </c>
      <c r="H7292" s="2" t="s">
        <v>21</v>
      </c>
      <c r="I7292" s="2" t="s">
        <v>14147</v>
      </c>
      <c r="J7292" s="3" t="str">
        <f>HYPERLINK("https://www.boe.es/gazeta/dias/1821/03/06/pdfs/GGB-1821-65.pdf#page=3","Abrir facsímil")</f>
        <v>Abrir facsímil</v>
      </c>
      <c r="K7292" s="3" t="s">
        <v>23</v>
      </c>
    </row>
    <row r="7293" spans="1:11" ht="42" customHeight="1">
      <c r="A7293" s="2" t="s">
        <v>14144</v>
      </c>
      <c r="B7293" s="2" t="s">
        <v>14145</v>
      </c>
      <c r="C7293" s="2" t="s">
        <v>40</v>
      </c>
      <c r="D7293" s="2" t="s">
        <v>41</v>
      </c>
      <c r="E7293" s="5">
        <v>-28693</v>
      </c>
      <c r="F7293" s="3" t="s">
        <v>74</v>
      </c>
      <c r="G7293" s="3" t="s">
        <v>1846</v>
      </c>
      <c r="H7293" s="2" t="s">
        <v>21</v>
      </c>
      <c r="I7293" s="2" t="s">
        <v>14148</v>
      </c>
      <c r="J7293" s="3" t="str">
        <f>HYPERLINK("https://www.boe.es/gazeta/dias/1821/06/09/pdfs/GMD-1821-162.pdf#page=6","Abrir facsímil")</f>
        <v>Abrir facsímil</v>
      </c>
      <c r="K7293" s="3" t="s">
        <v>23</v>
      </c>
    </row>
    <row r="7294" spans="1:11" ht="42" customHeight="1">
      <c r="A7294" s="2" t="s">
        <v>14144</v>
      </c>
      <c r="B7294" s="2" t="s">
        <v>14145</v>
      </c>
      <c r="C7294" s="2" t="s">
        <v>40</v>
      </c>
      <c r="D7294" s="2" t="s">
        <v>41</v>
      </c>
      <c r="E7294" s="5">
        <v>-28640</v>
      </c>
      <c r="F7294" s="3" t="s">
        <v>1590</v>
      </c>
      <c r="G7294" s="3" t="s">
        <v>29</v>
      </c>
      <c r="H7294" s="2" t="s">
        <v>21</v>
      </c>
      <c r="I7294" s="2" t="s">
        <v>14149</v>
      </c>
      <c r="J7294" s="3" t="str">
        <f>HYPERLINK("https://www.boe.es/gazeta/dias/1821/08/01/pdfs/GMD-1821-217.pdf#page=6","Abrir facsímil")</f>
        <v>Abrir facsímil</v>
      </c>
      <c r="K7294" s="3" t="s">
        <v>23</v>
      </c>
    </row>
    <row r="7295" spans="1:11" ht="42" customHeight="1">
      <c r="A7295" s="2" t="s">
        <v>14144</v>
      </c>
      <c r="B7295" s="2" t="s">
        <v>14145</v>
      </c>
      <c r="C7295" s="2" t="s">
        <v>40</v>
      </c>
      <c r="D7295" s="2" t="s">
        <v>41</v>
      </c>
      <c r="E7295" s="5">
        <v>-28495</v>
      </c>
      <c r="F7295" s="3" t="s">
        <v>227</v>
      </c>
      <c r="G7295" s="3" t="s">
        <v>20</v>
      </c>
      <c r="H7295" s="2" t="s">
        <v>21</v>
      </c>
      <c r="I7295" s="2" t="s">
        <v>14150</v>
      </c>
      <c r="J7295" s="3" t="str">
        <f>HYPERLINK("https://www.boe.es/gazeta/dias/1821/12/24/pdfs/GMD-1821-367.pdf#page=3","Abrir facsímil")</f>
        <v>Abrir facsímil</v>
      </c>
      <c r="K7295" s="3" t="s">
        <v>23</v>
      </c>
    </row>
    <row r="7296" spans="1:11" ht="42" customHeight="1">
      <c r="A7296" s="2" t="s">
        <v>14151</v>
      </c>
      <c r="B7296" s="2" t="s">
        <v>14152</v>
      </c>
      <c r="C7296" s="2" t="s">
        <v>26</v>
      </c>
      <c r="D7296" s="2" t="s">
        <v>27</v>
      </c>
      <c r="E7296" s="5">
        <v>-28528</v>
      </c>
      <c r="F7296" s="3" t="s">
        <v>1872</v>
      </c>
      <c r="G7296" s="3" t="s">
        <v>52</v>
      </c>
      <c r="H7296" s="2" t="s">
        <v>21</v>
      </c>
      <c r="I7296" s="2" t="s">
        <v>14153</v>
      </c>
      <c r="J7296" s="3" t="str">
        <f>HYPERLINK("https://www.boe.es/gazeta/dias/1821/11/21/pdfs/GMD-1821-332.pdf#page=2","Abrir facsímil")</f>
        <v>Abrir facsímil</v>
      </c>
      <c r="K7296" s="3" t="s">
        <v>23</v>
      </c>
    </row>
    <row r="7297" spans="1:11" ht="42" customHeight="1">
      <c r="A7297" s="2" t="s">
        <v>14154</v>
      </c>
      <c r="B7297" s="2" t="s">
        <v>14155</v>
      </c>
      <c r="C7297" s="2" t="s">
        <v>40</v>
      </c>
      <c r="D7297" s="2" t="s">
        <v>41</v>
      </c>
      <c r="E7297" s="5">
        <v>-28704</v>
      </c>
      <c r="F7297" s="3" t="s">
        <v>1050</v>
      </c>
      <c r="G7297" s="3" t="s">
        <v>52</v>
      </c>
      <c r="H7297" s="2" t="s">
        <v>21</v>
      </c>
      <c r="I7297" s="2" t="s">
        <v>14156</v>
      </c>
      <c r="J7297" s="3" t="str">
        <f>HYPERLINK("https://www.boe.es/gazeta/dias/1821/05/29/pdfs/GMD-1821-151.pdf#page=2","Abrir facsímil")</f>
        <v>Abrir facsímil</v>
      </c>
      <c r="K7297" s="3" t="s">
        <v>23</v>
      </c>
    </row>
    <row r="7298" spans="1:11" ht="42" customHeight="1">
      <c r="A7298" s="2" t="s">
        <v>14157</v>
      </c>
      <c r="B7298" s="2" t="s">
        <v>14158</v>
      </c>
      <c r="C7298" s="2" t="s">
        <v>26</v>
      </c>
      <c r="D7298" s="2" t="s">
        <v>27</v>
      </c>
      <c r="E7298" s="5">
        <v>-28528</v>
      </c>
      <c r="F7298" s="3" t="s">
        <v>1872</v>
      </c>
      <c r="G7298" s="3" t="s">
        <v>52</v>
      </c>
      <c r="H7298" s="2" t="s">
        <v>21</v>
      </c>
      <c r="I7298" s="2" t="s">
        <v>14159</v>
      </c>
      <c r="J7298" s="3" t="str">
        <f>HYPERLINK("https://www.boe.es/gazeta/dias/1821/11/21/pdfs/GMD-1821-332.pdf#page=2","Abrir facsímil")</f>
        <v>Abrir facsímil</v>
      </c>
      <c r="K7298" s="3" t="s">
        <v>23</v>
      </c>
    </row>
    <row r="7299" spans="1:11" ht="42" customHeight="1">
      <c r="A7299" s="2" t="s">
        <v>14160</v>
      </c>
      <c r="B7299" s="2" t="s">
        <v>14161</v>
      </c>
      <c r="C7299" s="2" t="s">
        <v>26</v>
      </c>
      <c r="D7299" s="2" t="s">
        <v>27</v>
      </c>
      <c r="E7299" s="5">
        <v>-28641</v>
      </c>
      <c r="F7299" s="3" t="s">
        <v>398</v>
      </c>
      <c r="G7299" s="3" t="s">
        <v>88</v>
      </c>
      <c r="H7299" s="2" t="s">
        <v>21</v>
      </c>
      <c r="I7299" s="2" t="s">
        <v>14162</v>
      </c>
      <c r="J7299" s="3" t="str">
        <f>HYPERLINK("https://www.boe.es/gazeta/dias/1821/07/31/pdfs/GMD-1821-216.pdf#page=4","Abrir facsímil")</f>
        <v>Abrir facsímil</v>
      </c>
      <c r="K7299" s="3" t="s">
        <v>23</v>
      </c>
    </row>
    <row r="7300" spans="1:11" ht="42" customHeight="1">
      <c r="A7300" s="2" t="s">
        <v>14163</v>
      </c>
      <c r="B7300" s="2" t="s">
        <v>14164</v>
      </c>
      <c r="C7300" s="2" t="s">
        <v>17</v>
      </c>
      <c r="D7300" s="2" t="s">
        <v>18</v>
      </c>
      <c r="E7300" s="5">
        <v>-28565</v>
      </c>
      <c r="F7300" s="3" t="s">
        <v>326</v>
      </c>
      <c r="G7300" s="3" t="s">
        <v>162</v>
      </c>
      <c r="H7300" s="2" t="s">
        <v>21</v>
      </c>
      <c r="I7300" s="2" t="s">
        <v>14165</v>
      </c>
      <c r="J7300" s="3" t="str">
        <f>HYPERLINK("https://www.boe.es/gazeta/dias/1821/10/15/pdfs/GMD-1821-294.pdf#page=5","Abrir facsímil")</f>
        <v>Abrir facsímil</v>
      </c>
      <c r="K7300" s="3" t="s">
        <v>23</v>
      </c>
    </row>
    <row r="7301" spans="1:11" ht="42" customHeight="1">
      <c r="A7301" s="2" t="s">
        <v>14166</v>
      </c>
      <c r="B7301" s="2" t="s">
        <v>14167</v>
      </c>
      <c r="C7301" s="2" t="s">
        <v>40</v>
      </c>
      <c r="D7301" s="2" t="s">
        <v>41</v>
      </c>
      <c r="E7301" s="5">
        <v>-28722</v>
      </c>
      <c r="F7301" s="3" t="s">
        <v>623</v>
      </c>
      <c r="G7301" s="3" t="s">
        <v>20</v>
      </c>
      <c r="H7301" s="2" t="s">
        <v>21</v>
      </c>
      <c r="I7301" s="2" t="s">
        <v>14168</v>
      </c>
      <c r="J7301" s="3" t="str">
        <f>HYPERLINK("https://www.boe.es/gazeta/dias/1821/05/11/pdfs/GMD-1821-133.pdf#page=3","Abrir facsímil")</f>
        <v>Abrir facsímil</v>
      </c>
      <c r="K7301" s="3" t="s">
        <v>23</v>
      </c>
    </row>
    <row r="7302" spans="1:11" ht="42" customHeight="1">
      <c r="A7302" s="2" t="s">
        <v>14169</v>
      </c>
      <c r="B7302" s="2" t="s">
        <v>14170</v>
      </c>
      <c r="C7302" s="2" t="s">
        <v>26</v>
      </c>
      <c r="D7302" s="2" t="s">
        <v>27</v>
      </c>
      <c r="E7302" s="5">
        <v>-28663</v>
      </c>
      <c r="F7302" s="3" t="s">
        <v>3032</v>
      </c>
      <c r="G7302" s="3" t="s">
        <v>88</v>
      </c>
      <c r="H7302" s="2" t="s">
        <v>21</v>
      </c>
      <c r="I7302" s="2" t="s">
        <v>14171</v>
      </c>
      <c r="J7302" s="3" t="str">
        <f>HYPERLINK("https://www.boe.es/gazeta/dias/1821/07/09/pdfs/GMD-1821-194.pdf#page=4","Abrir facsímil")</f>
        <v>Abrir facsímil</v>
      </c>
      <c r="K7302" s="3" t="s">
        <v>23</v>
      </c>
    </row>
    <row r="7303" spans="1:11" ht="42" customHeight="1">
      <c r="A7303" s="2" t="s">
        <v>14172</v>
      </c>
      <c r="B7303" s="2" t="s">
        <v>14172</v>
      </c>
      <c r="C7303" s="2" t="s">
        <v>35</v>
      </c>
      <c r="D7303" s="2" t="s">
        <v>27</v>
      </c>
      <c r="E7303" s="5">
        <v>-28844</v>
      </c>
      <c r="F7303" s="3" t="s">
        <v>1743</v>
      </c>
      <c r="G7303" s="3" t="s">
        <v>52</v>
      </c>
      <c r="H7303" s="2" t="s">
        <v>21</v>
      </c>
      <c r="I7303" s="2" t="s">
        <v>14173</v>
      </c>
      <c r="J7303" s="3" t="str">
        <f>HYPERLINK("https://www.boe.es/gazeta/dias/1821/01/09/pdfs/GGB-1821-9.pdf#page=2","Abrir facsímil")</f>
        <v>Abrir facsímil</v>
      </c>
      <c r="K7303" s="3" t="s">
        <v>23</v>
      </c>
    </row>
    <row r="7304" spans="1:11" ht="42" customHeight="1">
      <c r="A7304" s="2" t="s">
        <v>14172</v>
      </c>
      <c r="B7304" s="2" t="s">
        <v>14172</v>
      </c>
      <c r="C7304" s="2" t="s">
        <v>40</v>
      </c>
      <c r="D7304" s="2" t="s">
        <v>41</v>
      </c>
      <c r="E7304" s="5">
        <v>-28840</v>
      </c>
      <c r="F7304" s="3" t="s">
        <v>161</v>
      </c>
      <c r="G7304" s="3" t="s">
        <v>20</v>
      </c>
      <c r="H7304" s="2" t="s">
        <v>21</v>
      </c>
      <c r="I7304" s="2" t="s">
        <v>14174</v>
      </c>
      <c r="J7304" s="3" t="str">
        <f>HYPERLINK("https://www.boe.es/gazeta/dias/1821/01/13/pdfs/GGB-1821-13.pdf#page=3","Abrir facsímil")</f>
        <v>Abrir facsímil</v>
      </c>
      <c r="K7304" s="3" t="s">
        <v>23</v>
      </c>
    </row>
    <row r="7305" spans="1:11" ht="42" customHeight="1">
      <c r="A7305" s="2" t="s">
        <v>14172</v>
      </c>
      <c r="B7305" s="2" t="s">
        <v>14172</v>
      </c>
      <c r="C7305" s="2" t="s">
        <v>17</v>
      </c>
      <c r="D7305" s="2" t="s">
        <v>18</v>
      </c>
      <c r="E7305" s="5">
        <v>-28827</v>
      </c>
      <c r="F7305" s="3" t="s">
        <v>1382</v>
      </c>
      <c r="G7305" s="3" t="s">
        <v>52</v>
      </c>
      <c r="H7305" s="2" t="s">
        <v>21</v>
      </c>
      <c r="I7305" s="2" t="s">
        <v>14175</v>
      </c>
      <c r="J7305" s="3" t="str">
        <f>HYPERLINK("https://www.boe.es/gazeta/dias/1821/01/26/pdfs/GGB-1821-26.pdf#page=2","Abrir facsímil")</f>
        <v>Abrir facsímil</v>
      </c>
      <c r="K7305" s="3" t="s">
        <v>23</v>
      </c>
    </row>
    <row r="7306" spans="1:11" ht="42" customHeight="1">
      <c r="A7306" s="2" t="s">
        <v>14172</v>
      </c>
      <c r="B7306" s="2" t="s">
        <v>14172</v>
      </c>
      <c r="C7306" s="2" t="s">
        <v>40</v>
      </c>
      <c r="D7306" s="2" t="s">
        <v>41</v>
      </c>
      <c r="E7306" s="5">
        <v>-28821</v>
      </c>
      <c r="F7306" s="3" t="s">
        <v>371</v>
      </c>
      <c r="G7306" s="3" t="s">
        <v>52</v>
      </c>
      <c r="H7306" s="2" t="s">
        <v>21</v>
      </c>
      <c r="I7306" s="2" t="s">
        <v>14176</v>
      </c>
      <c r="J7306" s="3" t="str">
        <f>HYPERLINK("https://www.boe.es/gazeta/dias/1821/02/01/pdfs/GGB-1821-32.pdf#page=2","Abrir facsímil")</f>
        <v>Abrir facsímil</v>
      </c>
      <c r="K7306" s="3" t="s">
        <v>23</v>
      </c>
    </row>
    <row r="7307" spans="1:11" ht="42" customHeight="1">
      <c r="A7307" s="2" t="s">
        <v>14172</v>
      </c>
      <c r="B7307" s="2" t="s">
        <v>14172</v>
      </c>
      <c r="C7307" s="2" t="s">
        <v>17</v>
      </c>
      <c r="D7307" s="2" t="s">
        <v>18</v>
      </c>
      <c r="E7307" s="5">
        <v>-28820</v>
      </c>
      <c r="F7307" s="3" t="s">
        <v>1430</v>
      </c>
      <c r="G7307" s="3" t="s">
        <v>52</v>
      </c>
      <c r="H7307" s="2" t="s">
        <v>21</v>
      </c>
      <c r="I7307" s="2" t="s">
        <v>14177</v>
      </c>
      <c r="J7307" s="3" t="str">
        <f>HYPERLINK("https://www.boe.es/gazeta/dias/1821/02/02/pdfs/GGB-1821-33.pdf#page=2","Abrir facsímil")</f>
        <v>Abrir facsímil</v>
      </c>
      <c r="K7307" s="3" t="s">
        <v>23</v>
      </c>
    </row>
    <row r="7308" spans="1:11" ht="42" customHeight="1">
      <c r="A7308" s="2" t="s">
        <v>14178</v>
      </c>
      <c r="B7308" s="2" t="s">
        <v>14178</v>
      </c>
      <c r="C7308" s="2" t="s">
        <v>174</v>
      </c>
      <c r="D7308" s="2" t="s">
        <v>27</v>
      </c>
      <c r="E7308" s="5">
        <v>-28840</v>
      </c>
      <c r="F7308" s="3" t="s">
        <v>161</v>
      </c>
      <c r="G7308" s="3" t="s">
        <v>20</v>
      </c>
      <c r="H7308" s="2" t="s">
        <v>21</v>
      </c>
      <c r="I7308" s="2" t="s">
        <v>14179</v>
      </c>
      <c r="J7308" s="3" t="str">
        <f>HYPERLINK("https://www.boe.es/gazeta/dias/1821/01/13/pdfs/GGB-1821-13.pdf#page=3","Abrir facsímil")</f>
        <v>Abrir facsímil</v>
      </c>
      <c r="K7308" s="3" t="s">
        <v>23</v>
      </c>
    </row>
    <row r="7309" spans="1:11" ht="42" customHeight="1">
      <c r="A7309" s="2" t="s">
        <v>14180</v>
      </c>
      <c r="B7309" s="2" t="s">
        <v>14181</v>
      </c>
      <c r="C7309" s="2" t="s">
        <v>26</v>
      </c>
      <c r="D7309" s="2" t="s">
        <v>27</v>
      </c>
      <c r="E7309" s="5">
        <v>-28620</v>
      </c>
      <c r="F7309" s="3" t="s">
        <v>87</v>
      </c>
      <c r="G7309" s="3" t="s">
        <v>88</v>
      </c>
      <c r="H7309" s="2" t="s">
        <v>30</v>
      </c>
      <c r="I7309" s="2" t="s">
        <v>14182</v>
      </c>
      <c r="J7309" s="3" t="str">
        <f>HYPERLINK("https://www.boe.es/gazeta/dias/1821/08/21/pdfs/GMD-1821-238.pdf#page=4","Abrir facsímil")</f>
        <v>Abrir facsímil</v>
      </c>
      <c r="K7309" s="3" t="s">
        <v>32</v>
      </c>
    </row>
    <row r="7310" spans="1:11" ht="42" customHeight="1">
      <c r="A7310" s="2" t="s">
        <v>14183</v>
      </c>
      <c r="B7310" s="2" t="s">
        <v>14183</v>
      </c>
      <c r="C7310" s="2" t="s">
        <v>40</v>
      </c>
      <c r="D7310" s="2" t="s">
        <v>41</v>
      </c>
      <c r="E7310" s="5">
        <v>-28817</v>
      </c>
      <c r="F7310" s="3" t="s">
        <v>2703</v>
      </c>
      <c r="G7310" s="3" t="s">
        <v>88</v>
      </c>
      <c r="H7310" s="2" t="s">
        <v>21</v>
      </c>
      <c r="I7310" s="2" t="s">
        <v>14184</v>
      </c>
      <c r="J7310" s="3" t="str">
        <f>HYPERLINK("https://www.boe.es/gazeta/dias/1821/02/05/pdfs/GGB-1821-36.pdf#page=4","Abrir facsímil")</f>
        <v>Abrir facsímil</v>
      </c>
      <c r="K7310" s="3" t="s">
        <v>23</v>
      </c>
    </row>
    <row r="7311" spans="1:11" ht="42" customHeight="1">
      <c r="A7311" s="2" t="s">
        <v>14183</v>
      </c>
      <c r="B7311" s="2" t="s">
        <v>14183</v>
      </c>
      <c r="C7311" s="2" t="s">
        <v>40</v>
      </c>
      <c r="D7311" s="2" t="s">
        <v>41</v>
      </c>
      <c r="E7311" s="5">
        <v>-28778</v>
      </c>
      <c r="F7311" s="3" t="s">
        <v>1301</v>
      </c>
      <c r="G7311" s="3" t="s">
        <v>20</v>
      </c>
      <c r="H7311" s="2" t="s">
        <v>21</v>
      </c>
      <c r="I7311" s="2" t="s">
        <v>14185</v>
      </c>
      <c r="J7311" s="3" t="str">
        <f>HYPERLINK("https://www.boe.es/gazeta/dias/1821/03/16/pdfs/GMD-1821-75.pdf#page=3","Abrir facsímil")</f>
        <v>Abrir facsímil</v>
      </c>
      <c r="K7311" s="3" t="s">
        <v>23</v>
      </c>
    </row>
    <row r="7312" spans="1:11" ht="42" customHeight="1">
      <c r="A7312" s="2" t="s">
        <v>14183</v>
      </c>
      <c r="B7312" s="2" t="s">
        <v>14183</v>
      </c>
      <c r="C7312" s="2" t="s">
        <v>40</v>
      </c>
      <c r="D7312" s="2" t="s">
        <v>41</v>
      </c>
      <c r="E7312" s="5">
        <v>-28720</v>
      </c>
      <c r="F7312" s="3" t="s">
        <v>492</v>
      </c>
      <c r="G7312" s="3" t="s">
        <v>52</v>
      </c>
      <c r="H7312" s="2" t="s">
        <v>21</v>
      </c>
      <c r="I7312" s="2" t="s">
        <v>14186</v>
      </c>
      <c r="J7312" s="3" t="str">
        <f>HYPERLINK("https://www.boe.es/gazeta/dias/1821/05/13/pdfs/GMD-1821-135.pdf#page=2","Abrir facsímil")</f>
        <v>Abrir facsímil</v>
      </c>
      <c r="K7312" s="3" t="s">
        <v>23</v>
      </c>
    </row>
    <row r="7313" spans="1:11" ht="42" customHeight="1">
      <c r="A7313" s="2" t="s">
        <v>14183</v>
      </c>
      <c r="B7313" s="2" t="s">
        <v>14183</v>
      </c>
      <c r="C7313" s="2" t="s">
        <v>40</v>
      </c>
      <c r="D7313" s="2" t="s">
        <v>41</v>
      </c>
      <c r="E7313" s="5">
        <v>-28675</v>
      </c>
      <c r="F7313" s="3" t="s">
        <v>943</v>
      </c>
      <c r="G7313" s="3" t="s">
        <v>52</v>
      </c>
      <c r="H7313" s="2" t="s">
        <v>21</v>
      </c>
      <c r="I7313" s="2" t="s">
        <v>14187</v>
      </c>
      <c r="J7313" s="3" t="str">
        <f>HYPERLINK("https://www.boe.es/gazeta/dias/1821/06/27/pdfs/GMD-1821-180.pdf#page=2","Abrir facsímil")</f>
        <v>Abrir facsímil</v>
      </c>
      <c r="K7313" s="3" t="s">
        <v>23</v>
      </c>
    </row>
    <row r="7314" spans="1:11" ht="42" customHeight="1">
      <c r="A7314" s="2" t="s">
        <v>14183</v>
      </c>
      <c r="B7314" s="2" t="s">
        <v>14183</v>
      </c>
      <c r="C7314" s="2" t="s">
        <v>40</v>
      </c>
      <c r="D7314" s="2" t="s">
        <v>41</v>
      </c>
      <c r="E7314" s="5">
        <v>-28591</v>
      </c>
      <c r="F7314" s="3" t="s">
        <v>3638</v>
      </c>
      <c r="G7314" s="3" t="s">
        <v>20</v>
      </c>
      <c r="H7314" s="2" t="s">
        <v>21</v>
      </c>
      <c r="I7314" s="2" t="s">
        <v>14188</v>
      </c>
      <c r="J7314" s="3" t="str">
        <f>HYPERLINK("https://www.boe.es/gazeta/dias/1821/09/19/pdfs/GMD-1821-267.pdf#page=3","Abrir facsímil")</f>
        <v>Abrir facsímil</v>
      </c>
      <c r="K7314" s="3" t="s">
        <v>23</v>
      </c>
    </row>
    <row r="7315" spans="1:11" ht="42" customHeight="1">
      <c r="A7315" s="2" t="s">
        <v>14183</v>
      </c>
      <c r="B7315" s="2" t="s">
        <v>14183</v>
      </c>
      <c r="C7315" s="2" t="s">
        <v>40</v>
      </c>
      <c r="D7315" s="2" t="s">
        <v>41</v>
      </c>
      <c r="E7315" s="5">
        <v>-28591</v>
      </c>
      <c r="F7315" s="3" t="s">
        <v>3638</v>
      </c>
      <c r="G7315" s="3" t="s">
        <v>88</v>
      </c>
      <c r="H7315" s="2" t="s">
        <v>21</v>
      </c>
      <c r="I7315" s="2" t="s">
        <v>14189</v>
      </c>
      <c r="J7315" s="3" t="str">
        <f>HYPERLINK("https://www.boe.es/gazeta/dias/1821/09/19/pdfs/GMD-1821-267.pdf#page=4","Abrir facsímil")</f>
        <v>Abrir facsímil</v>
      </c>
      <c r="K7315" s="3" t="s">
        <v>23</v>
      </c>
    </row>
    <row r="7316" spans="1:11" ht="42" customHeight="1">
      <c r="A7316" s="2" t="s">
        <v>14183</v>
      </c>
      <c r="B7316" s="2" t="s">
        <v>14183</v>
      </c>
      <c r="C7316" s="2" t="s">
        <v>40</v>
      </c>
      <c r="D7316" s="2" t="s">
        <v>41</v>
      </c>
      <c r="E7316" s="5">
        <v>-28534</v>
      </c>
      <c r="F7316" s="3" t="s">
        <v>414</v>
      </c>
      <c r="G7316" s="3" t="s">
        <v>162</v>
      </c>
      <c r="H7316" s="2" t="s">
        <v>21</v>
      </c>
      <c r="I7316" s="2" t="s">
        <v>14190</v>
      </c>
      <c r="J7316" s="3" t="str">
        <f>HYPERLINK("https://www.boe.es/gazeta/dias/1821/11/15/pdfs/GMD-1821-326.pdf#page=5","Abrir facsímil")</f>
        <v>Abrir facsímil</v>
      </c>
      <c r="K7316" s="3" t="s">
        <v>23</v>
      </c>
    </row>
    <row r="7317" spans="1:11" ht="42" customHeight="1">
      <c r="A7317" s="2" t="s">
        <v>14183</v>
      </c>
      <c r="B7317" s="2" t="s">
        <v>14183</v>
      </c>
      <c r="C7317" s="2" t="s">
        <v>40</v>
      </c>
      <c r="D7317" s="2" t="s">
        <v>41</v>
      </c>
      <c r="E7317" s="5">
        <v>-28531</v>
      </c>
      <c r="F7317" s="3" t="s">
        <v>365</v>
      </c>
      <c r="G7317" s="3" t="s">
        <v>52</v>
      </c>
      <c r="H7317" s="2" t="s">
        <v>21</v>
      </c>
      <c r="I7317" s="2" t="s">
        <v>14191</v>
      </c>
      <c r="J7317" s="3" t="str">
        <f>HYPERLINK("https://www.boe.es/gazeta/dias/1821/11/18/pdfs/GMD-1821-329.pdf#page=2","Abrir facsímil")</f>
        <v>Abrir facsímil</v>
      </c>
      <c r="K7317" s="3" t="s">
        <v>23</v>
      </c>
    </row>
    <row r="7318" spans="1:11" ht="42" customHeight="1">
      <c r="A7318" s="2" t="s">
        <v>14192</v>
      </c>
      <c r="B7318" s="2" t="s">
        <v>14193</v>
      </c>
      <c r="C7318" s="2" t="s">
        <v>40</v>
      </c>
      <c r="D7318" s="2" t="s">
        <v>41</v>
      </c>
      <c r="E7318" s="5">
        <v>-28818</v>
      </c>
      <c r="F7318" s="3" t="s">
        <v>2337</v>
      </c>
      <c r="G7318" s="3" t="s">
        <v>88</v>
      </c>
      <c r="H7318" s="2" t="s">
        <v>21</v>
      </c>
      <c r="I7318" s="2" t="s">
        <v>14194</v>
      </c>
      <c r="J7318" s="3" t="str">
        <f>HYPERLINK("https://www.boe.es/gazeta/dias/1821/02/04/pdfs/GGB-1821-35.pdf#page=4","Abrir facsímil")</f>
        <v>Abrir facsímil</v>
      </c>
      <c r="K7318" s="3" t="s">
        <v>23</v>
      </c>
    </row>
    <row r="7319" spans="1:11" ht="42" customHeight="1">
      <c r="A7319" s="2" t="s">
        <v>14192</v>
      </c>
      <c r="B7319" s="2" t="s">
        <v>14193</v>
      </c>
      <c r="C7319" s="2" t="s">
        <v>40</v>
      </c>
      <c r="D7319" s="2" t="s">
        <v>41</v>
      </c>
      <c r="E7319" s="5">
        <v>-28784</v>
      </c>
      <c r="F7319" s="3" t="s">
        <v>451</v>
      </c>
      <c r="G7319" s="3" t="s">
        <v>88</v>
      </c>
      <c r="H7319" s="2" t="s">
        <v>21</v>
      </c>
      <c r="I7319" s="2" t="s">
        <v>14195</v>
      </c>
      <c r="J7319" s="3" t="str">
        <f>HYPERLINK("https://www.boe.es/gazeta/dias/1821/03/10/pdfs/GGB-1821-69.pdf#page=4","Abrir facsímil")</f>
        <v>Abrir facsímil</v>
      </c>
      <c r="K7319" s="3" t="s">
        <v>23</v>
      </c>
    </row>
    <row r="7320" spans="1:11" ht="42" customHeight="1">
      <c r="A7320" s="2" t="s">
        <v>14192</v>
      </c>
      <c r="B7320" s="2" t="s">
        <v>14193</v>
      </c>
      <c r="C7320" s="2" t="s">
        <v>40</v>
      </c>
      <c r="D7320" s="2" t="s">
        <v>41</v>
      </c>
      <c r="E7320" s="5">
        <v>-28727</v>
      </c>
      <c r="F7320" s="3" t="s">
        <v>200</v>
      </c>
      <c r="G7320" s="3" t="s">
        <v>20</v>
      </c>
      <c r="H7320" s="2" t="s">
        <v>21</v>
      </c>
      <c r="I7320" s="2" t="s">
        <v>14196</v>
      </c>
      <c r="J7320" s="3" t="str">
        <f>HYPERLINK("https://www.boe.es/gazeta/dias/1821/05/06/pdfs/GMD-1821-128.pdf#page=3","Abrir facsímil")</f>
        <v>Abrir facsímil</v>
      </c>
      <c r="K7320" s="3" t="s">
        <v>23</v>
      </c>
    </row>
    <row r="7321" spans="1:11" ht="42" customHeight="1">
      <c r="A7321" s="2" t="s">
        <v>14192</v>
      </c>
      <c r="B7321" s="2" t="s">
        <v>14193</v>
      </c>
      <c r="C7321" s="2" t="s">
        <v>40</v>
      </c>
      <c r="D7321" s="2" t="s">
        <v>41</v>
      </c>
      <c r="E7321" s="5">
        <v>-28720</v>
      </c>
      <c r="F7321" s="3" t="s">
        <v>492</v>
      </c>
      <c r="G7321" s="3" t="s">
        <v>52</v>
      </c>
      <c r="H7321" s="2" t="s">
        <v>21</v>
      </c>
      <c r="I7321" s="2" t="s">
        <v>14197</v>
      </c>
      <c r="J7321" s="3" t="str">
        <f>HYPERLINK("https://www.boe.es/gazeta/dias/1821/05/13/pdfs/GMD-1821-135.pdf#page=2","Abrir facsímil")</f>
        <v>Abrir facsímil</v>
      </c>
      <c r="K7321" s="3" t="s">
        <v>23</v>
      </c>
    </row>
    <row r="7322" spans="1:11" ht="42" customHeight="1">
      <c r="A7322" s="2" t="s">
        <v>14192</v>
      </c>
      <c r="B7322" s="2" t="s">
        <v>14193</v>
      </c>
      <c r="C7322" s="2" t="s">
        <v>40</v>
      </c>
      <c r="D7322" s="2" t="s">
        <v>41</v>
      </c>
      <c r="E7322" s="5">
        <v>-28591</v>
      </c>
      <c r="F7322" s="3" t="s">
        <v>3638</v>
      </c>
      <c r="G7322" s="3" t="s">
        <v>20</v>
      </c>
      <c r="H7322" s="2" t="s">
        <v>21</v>
      </c>
      <c r="I7322" s="2" t="s">
        <v>14198</v>
      </c>
      <c r="J7322" s="3" t="str">
        <f>HYPERLINK("https://www.boe.es/gazeta/dias/1821/09/19/pdfs/GMD-1821-267.pdf#page=3","Abrir facsímil")</f>
        <v>Abrir facsímil</v>
      </c>
      <c r="K7322" s="3" t="s">
        <v>23</v>
      </c>
    </row>
    <row r="7323" spans="1:11" ht="42" customHeight="1">
      <c r="A7323" s="2" t="s">
        <v>14199</v>
      </c>
      <c r="B7323" s="2" t="s">
        <v>14200</v>
      </c>
      <c r="C7323" s="2" t="s">
        <v>40</v>
      </c>
      <c r="D7323" s="2" t="s">
        <v>41</v>
      </c>
      <c r="E7323" s="5">
        <v>-28530</v>
      </c>
      <c r="F7323" s="3" t="s">
        <v>237</v>
      </c>
      <c r="G7323" s="3" t="s">
        <v>52</v>
      </c>
      <c r="H7323" s="2" t="s">
        <v>21</v>
      </c>
      <c r="I7323" s="2" t="s">
        <v>14201</v>
      </c>
      <c r="J7323" s="3" t="str">
        <f>HYPERLINK("https://www.boe.es/gazeta/dias/1821/11/19/pdfs/GMD-1821-330.pdf#page=2","Abrir facsímil")</f>
        <v>Abrir facsímil</v>
      </c>
      <c r="K7323" s="3" t="s">
        <v>23</v>
      </c>
    </row>
    <row r="7324" spans="1:11" ht="42" customHeight="1">
      <c r="A7324" s="2" t="s">
        <v>14202</v>
      </c>
      <c r="B7324" s="2" t="s">
        <v>14203</v>
      </c>
      <c r="C7324" s="2" t="s">
        <v>26</v>
      </c>
      <c r="D7324" s="2" t="s">
        <v>27</v>
      </c>
      <c r="E7324" s="5">
        <v>-28810</v>
      </c>
      <c r="F7324" s="3" t="s">
        <v>308</v>
      </c>
      <c r="G7324" s="3" t="s">
        <v>88</v>
      </c>
      <c r="H7324" s="2" t="s">
        <v>21</v>
      </c>
      <c r="I7324" s="2" t="s">
        <v>14204</v>
      </c>
      <c r="J7324" s="3" t="str">
        <f>HYPERLINK("https://www.boe.es/gazeta/dias/1821/02/12/pdfs/GGB-1821-43.pdf#page=4","Abrir facsímil")</f>
        <v>Abrir facsímil</v>
      </c>
      <c r="K7324" s="3" t="s">
        <v>23</v>
      </c>
    </row>
    <row r="7325" spans="1:11" ht="42" customHeight="1">
      <c r="A7325" s="2" t="s">
        <v>14205</v>
      </c>
      <c r="B7325" s="2" t="s">
        <v>14206</v>
      </c>
      <c r="C7325" s="2" t="s">
        <v>17</v>
      </c>
      <c r="D7325" s="2" t="s">
        <v>18</v>
      </c>
      <c r="E7325" s="5">
        <v>-28829</v>
      </c>
      <c r="F7325" s="3" t="s">
        <v>2980</v>
      </c>
      <c r="G7325" s="3" t="s">
        <v>88</v>
      </c>
      <c r="H7325" s="2" t="s">
        <v>21</v>
      </c>
      <c r="I7325" s="2" t="s">
        <v>14207</v>
      </c>
      <c r="J7325" s="3" t="str">
        <f>HYPERLINK("https://www.boe.es/gazeta/dias/1821/01/24/pdfs/GGB-1821-24.pdf#page=4","Abrir facsímil")</f>
        <v>Abrir facsímil</v>
      </c>
      <c r="K7325" s="3" t="s">
        <v>23</v>
      </c>
    </row>
    <row r="7326" spans="1:11" ht="42" customHeight="1">
      <c r="A7326" s="2" t="s">
        <v>14208</v>
      </c>
      <c r="B7326" s="2" t="s">
        <v>14208</v>
      </c>
      <c r="C7326" s="2" t="s">
        <v>26</v>
      </c>
      <c r="D7326" s="2" t="s">
        <v>27</v>
      </c>
      <c r="E7326" s="5">
        <v>-28760</v>
      </c>
      <c r="F7326" s="3" t="s">
        <v>170</v>
      </c>
      <c r="G7326" s="3" t="s">
        <v>88</v>
      </c>
      <c r="H7326" s="2" t="s">
        <v>21</v>
      </c>
      <c r="I7326" s="2" t="s">
        <v>14209</v>
      </c>
      <c r="J7326" s="3" t="str">
        <f>HYPERLINK("https://www.boe.es/gazeta/dias/1821/04/03/pdfs/GMD-1821-95.pdf#page=4","Abrir facsímil")</f>
        <v>Abrir facsímil</v>
      </c>
      <c r="K7326" s="3" t="s">
        <v>23</v>
      </c>
    </row>
    <row r="7327" spans="1:11" ht="42" customHeight="1">
      <c r="A7327" s="2" t="s">
        <v>14208</v>
      </c>
      <c r="B7327" s="2" t="s">
        <v>14208</v>
      </c>
      <c r="C7327" s="2" t="s">
        <v>26</v>
      </c>
      <c r="D7327" s="2" t="s">
        <v>27</v>
      </c>
      <c r="E7327" s="5">
        <v>-28733</v>
      </c>
      <c r="F7327" s="3" t="s">
        <v>1033</v>
      </c>
      <c r="G7327" s="3" t="s">
        <v>7434</v>
      </c>
      <c r="H7327" s="2" t="s">
        <v>21</v>
      </c>
      <c r="I7327" s="2" t="s">
        <v>14210</v>
      </c>
      <c r="J7327" s="3" t="str">
        <f>HYPERLINK("https://www.boe.es/gazeta/dias/1821/04/30/pdfs/GMD-1821-122.pdf#page=4","Abrir facsímil")</f>
        <v>Abrir facsímil</v>
      </c>
      <c r="K7327" s="3" t="s">
        <v>23</v>
      </c>
    </row>
    <row r="7328" spans="1:11" ht="42" customHeight="1">
      <c r="A7328" s="2" t="s">
        <v>14211</v>
      </c>
      <c r="B7328" s="2" t="s">
        <v>14211</v>
      </c>
      <c r="C7328" s="2" t="s">
        <v>40</v>
      </c>
      <c r="D7328" s="2" t="s">
        <v>41</v>
      </c>
      <c r="E7328" s="5">
        <v>-28831</v>
      </c>
      <c r="F7328" s="3" t="s">
        <v>3179</v>
      </c>
      <c r="G7328" s="3" t="s">
        <v>43</v>
      </c>
      <c r="H7328" s="2" t="s">
        <v>21</v>
      </c>
      <c r="I7328" s="2" t="s">
        <v>14212</v>
      </c>
      <c r="J7328" s="3" t="str">
        <f>HYPERLINK("https://www.boe.es/gazeta/dias/1821/01/22/pdfs/GGB-1821-22.pdf#page=1","Abrir facsímil")</f>
        <v>Abrir facsímil</v>
      </c>
      <c r="K7328" s="3" t="s">
        <v>23</v>
      </c>
    </row>
    <row r="7329" spans="1:11" ht="42" customHeight="1">
      <c r="A7329" s="2" t="s">
        <v>14213</v>
      </c>
      <c r="B7329" s="2" t="s">
        <v>14213</v>
      </c>
      <c r="C7329" s="2" t="s">
        <v>17</v>
      </c>
      <c r="D7329" s="2" t="s">
        <v>18</v>
      </c>
      <c r="E7329" s="5">
        <v>-28724</v>
      </c>
      <c r="F7329" s="3" t="s">
        <v>1305</v>
      </c>
      <c r="G7329" s="3" t="s">
        <v>43</v>
      </c>
      <c r="H7329" s="2" t="s">
        <v>21</v>
      </c>
      <c r="I7329" s="2" t="s">
        <v>14214</v>
      </c>
      <c r="J7329" s="3" t="str">
        <f>HYPERLINK("https://www.boe.es/gazeta/dias/1821/05/09/pdfs/GMD-1821-131.pdf#page=1","Abrir facsímil")</f>
        <v>Abrir facsímil</v>
      </c>
      <c r="K7329" s="3" t="s">
        <v>23</v>
      </c>
    </row>
    <row r="7330" spans="1:11" ht="42" customHeight="1">
      <c r="A7330" s="2" t="s">
        <v>14213</v>
      </c>
      <c r="B7330" s="2" t="s">
        <v>14213</v>
      </c>
      <c r="C7330" s="2" t="s">
        <v>26</v>
      </c>
      <c r="D7330" s="2" t="s">
        <v>27</v>
      </c>
      <c r="E7330" s="5">
        <v>-28543</v>
      </c>
      <c r="F7330" s="3" t="s">
        <v>136</v>
      </c>
      <c r="G7330" s="3" t="s">
        <v>43</v>
      </c>
      <c r="H7330" s="2" t="s">
        <v>21</v>
      </c>
      <c r="I7330" s="2" t="s">
        <v>14215</v>
      </c>
      <c r="J7330" s="3" t="str">
        <f>HYPERLINK("https://www.boe.es/gazeta/dias/1821/11/06/pdfs/GMD-1821-317.pdf#page=1","Abrir facsímil")</f>
        <v>Abrir facsímil</v>
      </c>
      <c r="K7330" s="3" t="s">
        <v>23</v>
      </c>
    </row>
    <row r="7331" spans="1:11" ht="42" customHeight="1">
      <c r="A7331" s="2" t="s">
        <v>14216</v>
      </c>
      <c r="B7331" s="2" t="s">
        <v>14216</v>
      </c>
      <c r="C7331" s="2" t="s">
        <v>279</v>
      </c>
      <c r="D7331" s="2" t="s">
        <v>27</v>
      </c>
      <c r="E7331" s="5">
        <v>-28789</v>
      </c>
      <c r="F7331" s="3" t="s">
        <v>36</v>
      </c>
      <c r="G7331" s="3" t="s">
        <v>993</v>
      </c>
      <c r="H7331" s="2" t="s">
        <v>21</v>
      </c>
      <c r="I7331" s="2" t="s">
        <v>14217</v>
      </c>
      <c r="J7331" s="3" t="str">
        <f>HYPERLINK("https://www.boe.es/gazeta/dias/1821/03/05/pdfs/GGB-1821-64.pdf#page=4","Abrir facsímil")</f>
        <v>Abrir facsímil</v>
      </c>
      <c r="K7331" s="3" t="s">
        <v>23</v>
      </c>
    </row>
    <row r="7332" spans="1:11" ht="42" customHeight="1">
      <c r="A7332" s="2" t="s">
        <v>14218</v>
      </c>
      <c r="B7332" s="2" t="s">
        <v>14219</v>
      </c>
      <c r="C7332" s="2" t="s">
        <v>70</v>
      </c>
      <c r="D7332" s="2" t="s">
        <v>27</v>
      </c>
      <c r="E7332" s="5">
        <v>-28791</v>
      </c>
      <c r="F7332" s="3" t="s">
        <v>47</v>
      </c>
      <c r="G7332" s="3" t="s">
        <v>88</v>
      </c>
      <c r="H7332" s="2" t="s">
        <v>21</v>
      </c>
      <c r="I7332" s="2" t="s">
        <v>14220</v>
      </c>
      <c r="J7332" s="3" t="str">
        <f>HYPERLINK("https://www.boe.es/gazeta/dias/1821/03/03/pdfs/GGB-1821-62.pdf#page=4","Abrir facsímil")</f>
        <v>Abrir facsímil</v>
      </c>
      <c r="K7332" s="3" t="s">
        <v>23</v>
      </c>
    </row>
    <row r="7333" spans="1:11" ht="42" customHeight="1">
      <c r="A7333" s="2" t="s">
        <v>14221</v>
      </c>
      <c r="B7333" s="2" t="s">
        <v>14222</v>
      </c>
      <c r="C7333" s="2" t="s">
        <v>17</v>
      </c>
      <c r="D7333" s="2" t="s">
        <v>18</v>
      </c>
      <c r="E7333" s="5">
        <v>-28811</v>
      </c>
      <c r="F7333" s="3" t="s">
        <v>5734</v>
      </c>
      <c r="G7333" s="3" t="s">
        <v>88</v>
      </c>
      <c r="H7333" s="2" t="s">
        <v>21</v>
      </c>
      <c r="I7333" s="2" t="s">
        <v>14223</v>
      </c>
      <c r="J7333" s="3" t="str">
        <f>HYPERLINK("https://www.boe.es/gazeta/dias/1821/02/11/pdfs/GGB-1821-42.pdf#page=4","Abrir facsímil")</f>
        <v>Abrir facsímil</v>
      </c>
      <c r="K7333" s="3" t="s">
        <v>23</v>
      </c>
    </row>
    <row r="7334" spans="1:11" ht="42" customHeight="1">
      <c r="A7334" s="2" t="s">
        <v>14224</v>
      </c>
      <c r="B7334" s="2" t="s">
        <v>14224</v>
      </c>
      <c r="C7334" s="2" t="s">
        <v>17</v>
      </c>
      <c r="D7334" s="2" t="s">
        <v>18</v>
      </c>
      <c r="E7334" s="5">
        <v>-28544</v>
      </c>
      <c r="F7334" s="3" t="s">
        <v>139</v>
      </c>
      <c r="G7334" s="3" t="s">
        <v>20</v>
      </c>
      <c r="H7334" s="2" t="s">
        <v>21</v>
      </c>
      <c r="I7334" s="2" t="s">
        <v>14225</v>
      </c>
      <c r="J7334" s="3" t="str">
        <f>HYPERLINK("https://www.boe.es/gazeta/dias/1821/11/05/pdfs/GMD-1821-316.pdf#page=3","Abrir facsímil")</f>
        <v>Abrir facsímil</v>
      </c>
      <c r="K7334" s="3" t="s">
        <v>23</v>
      </c>
    </row>
    <row r="7335" spans="1:11" ht="42" customHeight="1">
      <c r="A7335" s="2" t="s">
        <v>14226</v>
      </c>
      <c r="B7335" s="2" t="s">
        <v>14226</v>
      </c>
      <c r="C7335" s="2" t="s">
        <v>40</v>
      </c>
      <c r="D7335" s="2" t="s">
        <v>41</v>
      </c>
      <c r="E7335" s="5">
        <v>-28710</v>
      </c>
      <c r="F7335" s="3" t="s">
        <v>375</v>
      </c>
      <c r="G7335" s="3" t="s">
        <v>52</v>
      </c>
      <c r="H7335" s="2" t="s">
        <v>21</v>
      </c>
      <c r="I7335" s="2" t="s">
        <v>14227</v>
      </c>
      <c r="J7335" s="3" t="str">
        <f>HYPERLINK("https://www.boe.es/gazeta/dias/1821/05/23/pdfs/GMD-1821-145.pdf#page=2","Abrir facsímil")</f>
        <v>Abrir facsímil</v>
      </c>
      <c r="K7335" s="3" t="s">
        <v>23</v>
      </c>
    </row>
    <row r="7336" spans="1:11" ht="42" customHeight="1">
      <c r="A7336" s="2" t="s">
        <v>14228</v>
      </c>
      <c r="B7336" s="2" t="s">
        <v>14228</v>
      </c>
      <c r="C7336" s="2" t="s">
        <v>17</v>
      </c>
      <c r="D7336" s="2" t="s">
        <v>18</v>
      </c>
      <c r="E7336" s="5">
        <v>-28790</v>
      </c>
      <c r="F7336" s="3" t="s">
        <v>991</v>
      </c>
      <c r="G7336" s="3" t="s">
        <v>20</v>
      </c>
      <c r="H7336" s="2" t="s">
        <v>21</v>
      </c>
      <c r="I7336" s="2" t="s">
        <v>14229</v>
      </c>
      <c r="J7336" s="3" t="str">
        <f>HYPERLINK("https://www.boe.es/gazeta/dias/1821/03/04/pdfs/GGB-1821-63.pdf#page=3","Abrir facsímil")</f>
        <v>Abrir facsímil</v>
      </c>
      <c r="K7336" s="3" t="s">
        <v>23</v>
      </c>
    </row>
    <row r="7337" spans="1:11" ht="42" customHeight="1">
      <c r="A7337" s="2" t="s">
        <v>14228</v>
      </c>
      <c r="B7337" s="2" t="s">
        <v>14228</v>
      </c>
      <c r="C7337" s="2" t="s">
        <v>35</v>
      </c>
      <c r="D7337" s="2" t="s">
        <v>27</v>
      </c>
      <c r="E7337" s="5">
        <v>-28777</v>
      </c>
      <c r="F7337" s="3" t="s">
        <v>1004</v>
      </c>
      <c r="G7337" s="3" t="s">
        <v>1005</v>
      </c>
      <c r="H7337" s="2" t="s">
        <v>21</v>
      </c>
      <c r="I7337" s="2" t="s">
        <v>14230</v>
      </c>
      <c r="J7337" s="3" t="str">
        <f>HYPERLINK("https://www.boe.es/gazeta/dias/1821/03/17/pdfs/GMD-1821-76.pdf#page=2","Abrir facsímil")</f>
        <v>Abrir facsímil</v>
      </c>
      <c r="K7337" s="3" t="s">
        <v>23</v>
      </c>
    </row>
    <row r="7338" spans="1:11" ht="42" customHeight="1">
      <c r="A7338" s="2" t="s">
        <v>14228</v>
      </c>
      <c r="B7338" s="2" t="s">
        <v>14228</v>
      </c>
      <c r="C7338" s="2" t="s">
        <v>17</v>
      </c>
      <c r="D7338" s="2" t="s">
        <v>18</v>
      </c>
      <c r="E7338" s="5">
        <v>-28777</v>
      </c>
      <c r="F7338" s="3" t="s">
        <v>1004</v>
      </c>
      <c r="G7338" s="3" t="s">
        <v>20</v>
      </c>
      <c r="H7338" s="2" t="s">
        <v>21</v>
      </c>
      <c r="I7338" s="2" t="s">
        <v>14231</v>
      </c>
      <c r="J7338" s="3" t="str">
        <f>HYPERLINK("https://www.boe.es/gazeta/dias/1821/03/17/pdfs/GMD-1821-76.pdf#page=3","Abrir facsímil")</f>
        <v>Abrir facsímil</v>
      </c>
      <c r="K7338" s="3" t="s">
        <v>23</v>
      </c>
    </row>
    <row r="7339" spans="1:11" ht="42" customHeight="1">
      <c r="A7339" s="2" t="s">
        <v>14228</v>
      </c>
      <c r="B7339" s="2" t="s">
        <v>14228</v>
      </c>
      <c r="C7339" s="2" t="s">
        <v>17</v>
      </c>
      <c r="D7339" s="2" t="s">
        <v>18</v>
      </c>
      <c r="E7339" s="5">
        <v>-28776</v>
      </c>
      <c r="F7339" s="3" t="s">
        <v>312</v>
      </c>
      <c r="G7339" s="3" t="s">
        <v>88</v>
      </c>
      <c r="H7339" s="2" t="s">
        <v>21</v>
      </c>
      <c r="I7339" s="2" t="s">
        <v>14232</v>
      </c>
      <c r="J7339" s="3" t="str">
        <f>HYPERLINK("https://www.boe.es/gazeta/dias/1821/03/18/pdfs/GMD-1821-77.pdf#page=4","Abrir facsímil")</f>
        <v>Abrir facsímil</v>
      </c>
      <c r="K7339" s="3" t="s">
        <v>23</v>
      </c>
    </row>
    <row r="7340" spans="1:11" ht="42" customHeight="1">
      <c r="A7340" s="2" t="s">
        <v>14228</v>
      </c>
      <c r="B7340" s="2" t="s">
        <v>14228</v>
      </c>
      <c r="C7340" s="2" t="s">
        <v>17</v>
      </c>
      <c r="D7340" s="2" t="s">
        <v>18</v>
      </c>
      <c r="E7340" s="5">
        <v>-28772</v>
      </c>
      <c r="F7340" s="3" t="s">
        <v>62</v>
      </c>
      <c r="G7340" s="3" t="s">
        <v>52</v>
      </c>
      <c r="H7340" s="2" t="s">
        <v>21</v>
      </c>
      <c r="I7340" s="2" t="s">
        <v>14233</v>
      </c>
      <c r="J7340" s="3" t="str">
        <f>HYPERLINK("https://www.boe.es/gazeta/dias/1821/03/22/pdfs/GMD-1821-81.pdf#page=2","Abrir facsímil")</f>
        <v>Abrir facsímil</v>
      </c>
      <c r="K7340" s="3" t="s">
        <v>23</v>
      </c>
    </row>
    <row r="7341" spans="1:11" ht="42" customHeight="1">
      <c r="A7341" s="2" t="s">
        <v>14228</v>
      </c>
      <c r="B7341" s="2" t="s">
        <v>14228</v>
      </c>
      <c r="C7341" s="2" t="s">
        <v>17</v>
      </c>
      <c r="D7341" s="2" t="s">
        <v>18</v>
      </c>
      <c r="E7341" s="5">
        <v>-28771</v>
      </c>
      <c r="F7341" s="3" t="s">
        <v>110</v>
      </c>
      <c r="G7341" s="3" t="s">
        <v>162</v>
      </c>
      <c r="H7341" s="2" t="s">
        <v>21</v>
      </c>
      <c r="I7341" s="2" t="s">
        <v>14234</v>
      </c>
      <c r="J7341" s="3" t="str">
        <f>HYPERLINK("https://www.boe.es/gazeta/dias/1821/03/23/pdfs/GMD-1821-83.pdf#page=5","Abrir facsímil")</f>
        <v>Abrir facsímil</v>
      </c>
      <c r="K7341" s="3" t="s">
        <v>23</v>
      </c>
    </row>
    <row r="7342" spans="1:11" ht="42" customHeight="1">
      <c r="A7342" s="2" t="s">
        <v>14228</v>
      </c>
      <c r="B7342" s="2" t="s">
        <v>14228</v>
      </c>
      <c r="C7342" s="2" t="s">
        <v>17</v>
      </c>
      <c r="D7342" s="2" t="s">
        <v>18</v>
      </c>
      <c r="E7342" s="5">
        <v>-28762</v>
      </c>
      <c r="F7342" s="3" t="s">
        <v>608</v>
      </c>
      <c r="G7342" s="3" t="s">
        <v>162</v>
      </c>
      <c r="H7342" s="2" t="s">
        <v>21</v>
      </c>
      <c r="I7342" s="2" t="s">
        <v>14235</v>
      </c>
      <c r="J7342" s="3" t="str">
        <f>HYPERLINK("https://www.boe.es/gazeta/dias/1821/04/01/pdfs/GMD-1821-93.pdf#page=5","Abrir facsímil")</f>
        <v>Abrir facsímil</v>
      </c>
      <c r="K7342" s="3" t="s">
        <v>23</v>
      </c>
    </row>
    <row r="7343" spans="1:11" ht="42" customHeight="1">
      <c r="A7343" s="2" t="s">
        <v>14228</v>
      </c>
      <c r="B7343" s="2" t="s">
        <v>14228</v>
      </c>
      <c r="C7343" s="2" t="s">
        <v>17</v>
      </c>
      <c r="D7343" s="2" t="s">
        <v>18</v>
      </c>
      <c r="E7343" s="5">
        <v>-28734</v>
      </c>
      <c r="F7343" s="3" t="s">
        <v>1553</v>
      </c>
      <c r="G7343" s="3" t="s">
        <v>20</v>
      </c>
      <c r="H7343" s="2" t="s">
        <v>21</v>
      </c>
      <c r="I7343" s="2" t="s">
        <v>14236</v>
      </c>
      <c r="J7343" s="3" t="str">
        <f>HYPERLINK("https://www.boe.es/gazeta/dias/1821/04/29/pdfs/GMD-1821-121.pdf#page=3","Abrir facsímil")</f>
        <v>Abrir facsímil</v>
      </c>
      <c r="K7343" s="3" t="s">
        <v>23</v>
      </c>
    </row>
    <row r="7344" spans="1:11" ht="42" customHeight="1">
      <c r="A7344" s="2" t="s">
        <v>14228</v>
      </c>
      <c r="B7344" s="2" t="s">
        <v>14228</v>
      </c>
      <c r="C7344" s="2" t="s">
        <v>17</v>
      </c>
      <c r="D7344" s="2" t="s">
        <v>18</v>
      </c>
      <c r="E7344" s="5">
        <v>-28732</v>
      </c>
      <c r="F7344" s="3" t="s">
        <v>2628</v>
      </c>
      <c r="G7344" s="3" t="s">
        <v>52</v>
      </c>
      <c r="H7344" s="2" t="s">
        <v>21</v>
      </c>
      <c r="I7344" s="2" t="s">
        <v>14237</v>
      </c>
      <c r="J7344" s="3" t="str">
        <f>HYPERLINK("https://www.boe.es/gazeta/dias/1821/05/01/pdfs/GMD-1821-123.pdf#page=2","Abrir facsímil")</f>
        <v>Abrir facsímil</v>
      </c>
      <c r="K7344" s="3" t="s">
        <v>23</v>
      </c>
    </row>
    <row r="7345" spans="1:11" ht="42" customHeight="1">
      <c r="A7345" s="2" t="s">
        <v>14228</v>
      </c>
      <c r="B7345" s="2" t="s">
        <v>14228</v>
      </c>
      <c r="C7345" s="2" t="s">
        <v>40</v>
      </c>
      <c r="D7345" s="2" t="s">
        <v>41</v>
      </c>
      <c r="E7345" s="5">
        <v>-28727</v>
      </c>
      <c r="F7345" s="3" t="s">
        <v>200</v>
      </c>
      <c r="G7345" s="3" t="s">
        <v>20</v>
      </c>
      <c r="H7345" s="2" t="s">
        <v>21</v>
      </c>
      <c r="I7345" s="2" t="s">
        <v>14238</v>
      </c>
      <c r="J7345" s="3" t="str">
        <f>HYPERLINK("https://www.boe.es/gazeta/dias/1821/05/06/pdfs/GMD-1821-128.pdf#page=3","Abrir facsímil")</f>
        <v>Abrir facsímil</v>
      </c>
      <c r="K7345" s="3" t="s">
        <v>23</v>
      </c>
    </row>
    <row r="7346" spans="1:11" ht="42" customHeight="1">
      <c r="A7346" s="2" t="s">
        <v>14228</v>
      </c>
      <c r="B7346" s="2" t="s">
        <v>14228</v>
      </c>
      <c r="C7346" s="2" t="s">
        <v>70</v>
      </c>
      <c r="D7346" s="2" t="s">
        <v>27</v>
      </c>
      <c r="E7346" s="5">
        <v>-28721</v>
      </c>
      <c r="F7346" s="3" t="s">
        <v>92</v>
      </c>
      <c r="G7346" s="3" t="s">
        <v>52</v>
      </c>
      <c r="H7346" s="2" t="s">
        <v>21</v>
      </c>
      <c r="I7346" s="2" t="s">
        <v>14239</v>
      </c>
      <c r="J7346" s="3" t="str">
        <f>HYPERLINK("https://www.boe.es/gazeta/dias/1821/05/12/pdfs/GMD-1821-134.pdf#page=2","Abrir facsímil")</f>
        <v>Abrir facsímil</v>
      </c>
      <c r="K7346" s="3" t="s">
        <v>23</v>
      </c>
    </row>
    <row r="7347" spans="1:11" ht="42" customHeight="1">
      <c r="A7347" s="2" t="s">
        <v>14228</v>
      </c>
      <c r="B7347" s="2" t="s">
        <v>14228</v>
      </c>
      <c r="C7347" s="2" t="s">
        <v>40</v>
      </c>
      <c r="D7347" s="2" t="s">
        <v>41</v>
      </c>
      <c r="E7347" s="5">
        <v>-28714</v>
      </c>
      <c r="F7347" s="3" t="s">
        <v>522</v>
      </c>
      <c r="G7347" s="3" t="s">
        <v>52</v>
      </c>
      <c r="H7347" s="2" t="s">
        <v>21</v>
      </c>
      <c r="I7347" s="2" t="s">
        <v>14240</v>
      </c>
      <c r="J7347" s="3" t="str">
        <f>HYPERLINK("https://www.boe.es/gazeta/dias/1821/05/19/pdfs/GMD-1821-141.pdf#page=2","Abrir facsímil")</f>
        <v>Abrir facsímil</v>
      </c>
      <c r="K7347" s="3" t="s">
        <v>23</v>
      </c>
    </row>
    <row r="7348" spans="1:11" ht="42" customHeight="1">
      <c r="A7348" s="2" t="s">
        <v>14228</v>
      </c>
      <c r="B7348" s="2" t="s">
        <v>14228</v>
      </c>
      <c r="C7348" s="2" t="s">
        <v>35</v>
      </c>
      <c r="D7348" s="2" t="s">
        <v>27</v>
      </c>
      <c r="E7348" s="5">
        <v>-28714</v>
      </c>
      <c r="F7348" s="3" t="s">
        <v>522</v>
      </c>
      <c r="G7348" s="3" t="s">
        <v>20</v>
      </c>
      <c r="H7348" s="2" t="s">
        <v>21</v>
      </c>
      <c r="I7348" s="2" t="s">
        <v>14241</v>
      </c>
      <c r="J7348" s="3" t="str">
        <f>HYPERLINK("https://www.boe.es/gazeta/dias/1821/05/19/pdfs/GMD-1821-141.pdf#page=3","Abrir facsímil")</f>
        <v>Abrir facsímil</v>
      </c>
      <c r="K7348" s="3" t="s">
        <v>23</v>
      </c>
    </row>
    <row r="7349" spans="1:11" ht="42" customHeight="1">
      <c r="A7349" s="2" t="s">
        <v>14228</v>
      </c>
      <c r="B7349" s="2" t="s">
        <v>14228</v>
      </c>
      <c r="C7349" s="2" t="s">
        <v>40</v>
      </c>
      <c r="D7349" s="2" t="s">
        <v>41</v>
      </c>
      <c r="E7349" s="5">
        <v>-28713</v>
      </c>
      <c r="F7349" s="3" t="s">
        <v>1976</v>
      </c>
      <c r="G7349" s="3" t="s">
        <v>52</v>
      </c>
      <c r="H7349" s="2" t="s">
        <v>21</v>
      </c>
      <c r="I7349" s="2" t="s">
        <v>14242</v>
      </c>
      <c r="J7349" s="3" t="str">
        <f>HYPERLINK("https://www.boe.es/gazeta/dias/1821/05/20/pdfs/GMD-1821-142.pdf#page=2","Abrir facsímil")</f>
        <v>Abrir facsímil</v>
      </c>
      <c r="K7349" s="3" t="s">
        <v>23</v>
      </c>
    </row>
    <row r="7350" spans="1:11" ht="42" customHeight="1">
      <c r="A7350" s="2" t="s">
        <v>14228</v>
      </c>
      <c r="B7350" s="2" t="s">
        <v>14228</v>
      </c>
      <c r="C7350" s="2" t="s">
        <v>114</v>
      </c>
      <c r="D7350" s="2" t="s">
        <v>27</v>
      </c>
      <c r="E7350" s="5">
        <v>-28709</v>
      </c>
      <c r="F7350" s="3" t="s">
        <v>1434</v>
      </c>
      <c r="G7350" s="3" t="s">
        <v>1435</v>
      </c>
      <c r="H7350" s="2" t="s">
        <v>21</v>
      </c>
      <c r="I7350" s="2" t="s">
        <v>14243</v>
      </c>
      <c r="J7350" s="3" t="str">
        <f>HYPERLINK("https://www.boe.es/gazeta/dias/1821/05/24/pdfs/GMD-1821-146.pdf#page=2","Abrir facsímil")</f>
        <v>Abrir facsímil</v>
      </c>
      <c r="K7350" s="3" t="s">
        <v>23</v>
      </c>
    </row>
    <row r="7351" spans="1:11" ht="42" customHeight="1">
      <c r="A7351" s="2" t="s">
        <v>14228</v>
      </c>
      <c r="B7351" s="2" t="s">
        <v>14228</v>
      </c>
      <c r="C7351" s="2" t="s">
        <v>40</v>
      </c>
      <c r="D7351" s="2" t="s">
        <v>41</v>
      </c>
      <c r="E7351" s="5">
        <v>-28708</v>
      </c>
      <c r="F7351" s="3" t="s">
        <v>528</v>
      </c>
      <c r="G7351" s="3" t="s">
        <v>20</v>
      </c>
      <c r="H7351" s="2" t="s">
        <v>21</v>
      </c>
      <c r="I7351" s="2" t="s">
        <v>14244</v>
      </c>
      <c r="J7351" s="3" t="str">
        <f>HYPERLINK("https://www.boe.es/gazeta/dias/1821/05/25/pdfs/GMD-1821-147.pdf#page=3","Abrir facsímil")</f>
        <v>Abrir facsímil</v>
      </c>
      <c r="K7351" s="3" t="s">
        <v>23</v>
      </c>
    </row>
    <row r="7352" spans="1:11" ht="42" customHeight="1">
      <c r="A7352" s="2" t="s">
        <v>14228</v>
      </c>
      <c r="B7352" s="2" t="s">
        <v>14228</v>
      </c>
      <c r="C7352" s="2" t="s">
        <v>17</v>
      </c>
      <c r="D7352" s="2" t="s">
        <v>18</v>
      </c>
      <c r="E7352" s="5">
        <v>-28707</v>
      </c>
      <c r="F7352" s="3" t="s">
        <v>495</v>
      </c>
      <c r="G7352" s="3" t="s">
        <v>52</v>
      </c>
      <c r="H7352" s="2" t="s">
        <v>21</v>
      </c>
      <c r="I7352" s="2" t="s">
        <v>14245</v>
      </c>
      <c r="J7352" s="3" t="str">
        <f>HYPERLINK("https://www.boe.es/gazeta/dias/1821/05/26/pdfs/GMD-1821-148.pdf#page=2","Abrir facsímil")</f>
        <v>Abrir facsímil</v>
      </c>
      <c r="K7352" s="3" t="s">
        <v>23</v>
      </c>
    </row>
    <row r="7353" spans="1:11" ht="42" customHeight="1">
      <c r="A7353" s="2" t="s">
        <v>14228</v>
      </c>
      <c r="B7353" s="2" t="s">
        <v>14228</v>
      </c>
      <c r="C7353" s="2" t="s">
        <v>26</v>
      </c>
      <c r="D7353" s="2" t="s">
        <v>27</v>
      </c>
      <c r="E7353" s="5">
        <v>-28702</v>
      </c>
      <c r="F7353" s="3" t="s">
        <v>1176</v>
      </c>
      <c r="G7353" s="3" t="s">
        <v>88</v>
      </c>
      <c r="H7353" s="2" t="s">
        <v>21</v>
      </c>
      <c r="I7353" s="2" t="s">
        <v>14246</v>
      </c>
      <c r="J7353" s="3" t="str">
        <f>HYPERLINK("https://www.boe.es/gazeta/dias/1821/05/31/pdfs/GMD-1821-153.pdf#page=4","Abrir facsímil")</f>
        <v>Abrir facsímil</v>
      </c>
      <c r="K7353" s="3" t="s">
        <v>23</v>
      </c>
    </row>
    <row r="7354" spans="1:11" ht="42" customHeight="1">
      <c r="A7354" s="2" t="s">
        <v>14228</v>
      </c>
      <c r="B7354" s="2" t="s">
        <v>14228</v>
      </c>
      <c r="C7354" s="2" t="s">
        <v>40</v>
      </c>
      <c r="D7354" s="2" t="s">
        <v>41</v>
      </c>
      <c r="E7354" s="5">
        <v>-28635</v>
      </c>
      <c r="F7354" s="3" t="s">
        <v>1210</v>
      </c>
      <c r="G7354" s="3" t="s">
        <v>20</v>
      </c>
      <c r="H7354" s="2" t="s">
        <v>21</v>
      </c>
      <c r="I7354" s="2" t="s">
        <v>14247</v>
      </c>
      <c r="J7354" s="3" t="str">
        <f>HYPERLINK("https://www.boe.es/gazeta/dias/1821/08/06/pdfs/GMD-1821-222.pdf#page=3","Abrir facsímil")</f>
        <v>Abrir facsímil</v>
      </c>
      <c r="K7354" s="3" t="s">
        <v>23</v>
      </c>
    </row>
    <row r="7355" spans="1:11" ht="42" customHeight="1">
      <c r="A7355" s="2" t="s">
        <v>14228</v>
      </c>
      <c r="B7355" s="2" t="s">
        <v>14228</v>
      </c>
      <c r="C7355" s="2" t="s">
        <v>26</v>
      </c>
      <c r="D7355" s="2" t="s">
        <v>27</v>
      </c>
      <c r="E7355" s="5">
        <v>-28577</v>
      </c>
      <c r="F7355" s="3" t="s">
        <v>858</v>
      </c>
      <c r="G7355" s="3" t="s">
        <v>88</v>
      </c>
      <c r="H7355" s="2" t="s">
        <v>21</v>
      </c>
      <c r="I7355" s="2" t="s">
        <v>14248</v>
      </c>
      <c r="J7355" s="3" t="str">
        <f>HYPERLINK("https://www.boe.es/gazeta/dias/1821/10/03/pdfs/GMD-1821-282.pdf#page=4","Abrir facsímil")</f>
        <v>Abrir facsímil</v>
      </c>
      <c r="K7355" s="3" t="s">
        <v>23</v>
      </c>
    </row>
    <row r="7356" spans="1:11" ht="42" customHeight="1">
      <c r="A7356" s="2" t="s">
        <v>14228</v>
      </c>
      <c r="B7356" s="2" t="s">
        <v>14228</v>
      </c>
      <c r="C7356" s="2" t="s">
        <v>35</v>
      </c>
      <c r="D7356" s="2" t="s">
        <v>27</v>
      </c>
      <c r="E7356" s="5">
        <v>-28569</v>
      </c>
      <c r="F7356" s="3" t="s">
        <v>512</v>
      </c>
      <c r="G7356" s="3" t="s">
        <v>88</v>
      </c>
      <c r="H7356" s="2" t="s">
        <v>21</v>
      </c>
      <c r="I7356" s="2" t="s">
        <v>14249</v>
      </c>
      <c r="J7356" s="3" t="str">
        <f>HYPERLINK("https://www.boe.es/gazeta/dias/1821/10/11/pdfs/GMD-1821-290.pdf#page=4","Abrir facsímil")</f>
        <v>Abrir facsímil</v>
      </c>
      <c r="K7356" s="3" t="s">
        <v>23</v>
      </c>
    </row>
    <row r="7357" spans="1:11" ht="42" customHeight="1">
      <c r="A7357" s="2" t="s">
        <v>14228</v>
      </c>
      <c r="B7357" s="2" t="s">
        <v>14228</v>
      </c>
      <c r="C7357" s="2" t="s">
        <v>114</v>
      </c>
      <c r="D7357" s="2" t="s">
        <v>27</v>
      </c>
      <c r="E7357" s="5">
        <v>-28565</v>
      </c>
      <c r="F7357" s="3" t="s">
        <v>326</v>
      </c>
      <c r="G7357" s="3" t="s">
        <v>88</v>
      </c>
      <c r="H7357" s="2" t="s">
        <v>21</v>
      </c>
      <c r="I7357" s="2" t="s">
        <v>14250</v>
      </c>
      <c r="J7357" s="3" t="str">
        <f>HYPERLINK("https://www.boe.es/gazeta/dias/1821/10/15/pdfs/GMD-1821-294.pdf#page=4","Abrir facsímil")</f>
        <v>Abrir facsímil</v>
      </c>
      <c r="K7357" s="3" t="s">
        <v>23</v>
      </c>
    </row>
    <row r="7358" spans="1:11" ht="42" customHeight="1">
      <c r="A7358" s="2" t="s">
        <v>14228</v>
      </c>
      <c r="B7358" s="2" t="s">
        <v>14228</v>
      </c>
      <c r="C7358" s="2" t="s">
        <v>26</v>
      </c>
      <c r="D7358" s="2" t="s">
        <v>27</v>
      </c>
      <c r="E7358" s="5">
        <v>-28561</v>
      </c>
      <c r="F7358" s="3" t="s">
        <v>240</v>
      </c>
      <c r="G7358" s="3" t="s">
        <v>162</v>
      </c>
      <c r="H7358" s="2" t="s">
        <v>21</v>
      </c>
      <c r="I7358" s="2" t="s">
        <v>14251</v>
      </c>
      <c r="J7358" s="3" t="str">
        <f>HYPERLINK("https://www.boe.es/gazeta/dias/1821/10/19/pdfs/GMD-1821-298.pdf#page=5","Abrir facsímil")</f>
        <v>Abrir facsímil</v>
      </c>
      <c r="K7358" s="3" t="s">
        <v>23</v>
      </c>
    </row>
    <row r="7359" spans="1:11" ht="42" customHeight="1">
      <c r="A7359" s="2" t="s">
        <v>14228</v>
      </c>
      <c r="B7359" s="2" t="s">
        <v>14228</v>
      </c>
      <c r="C7359" s="2" t="s">
        <v>17</v>
      </c>
      <c r="D7359" s="2" t="s">
        <v>18</v>
      </c>
      <c r="E7359" s="5">
        <v>-28561</v>
      </c>
      <c r="F7359" s="3" t="s">
        <v>240</v>
      </c>
      <c r="G7359" s="3" t="s">
        <v>29</v>
      </c>
      <c r="H7359" s="2" t="s">
        <v>21</v>
      </c>
      <c r="I7359" s="2" t="s">
        <v>14252</v>
      </c>
      <c r="J7359" s="3" t="str">
        <f>HYPERLINK("https://www.boe.es/gazeta/dias/1821/10/19/pdfs/GMD-1821-298.pdf#page=6","Abrir facsímil")</f>
        <v>Abrir facsímil</v>
      </c>
      <c r="K7359" s="3" t="s">
        <v>23</v>
      </c>
    </row>
    <row r="7360" spans="1:11" ht="42" customHeight="1">
      <c r="A7360" s="2" t="s">
        <v>14228</v>
      </c>
      <c r="B7360" s="2" t="s">
        <v>14228</v>
      </c>
      <c r="C7360" s="2" t="s">
        <v>17</v>
      </c>
      <c r="D7360" s="2" t="s">
        <v>18</v>
      </c>
      <c r="E7360" s="5">
        <v>-28556</v>
      </c>
      <c r="F7360" s="3" t="s">
        <v>264</v>
      </c>
      <c r="G7360" s="3" t="s">
        <v>88</v>
      </c>
      <c r="H7360" s="2" t="s">
        <v>21</v>
      </c>
      <c r="I7360" s="2" t="s">
        <v>14253</v>
      </c>
      <c r="J7360" s="3" t="str">
        <f>HYPERLINK("https://www.boe.es/gazeta/dias/1821/10/24/pdfs/GMD-1821-303.pdf#page=4","Abrir facsímil")</f>
        <v>Abrir facsímil</v>
      </c>
      <c r="K7360" s="3" t="s">
        <v>23</v>
      </c>
    </row>
    <row r="7361" spans="1:11" ht="42" customHeight="1">
      <c r="A7361" s="2" t="s">
        <v>14228</v>
      </c>
      <c r="B7361" s="2" t="s">
        <v>14228</v>
      </c>
      <c r="C7361" s="2" t="s">
        <v>26</v>
      </c>
      <c r="D7361" s="2" t="s">
        <v>27</v>
      </c>
      <c r="E7361" s="5">
        <v>-28556</v>
      </c>
      <c r="F7361" s="3" t="s">
        <v>264</v>
      </c>
      <c r="G7361" s="3" t="s">
        <v>162</v>
      </c>
      <c r="H7361" s="2" t="s">
        <v>21</v>
      </c>
      <c r="I7361" s="2" t="s">
        <v>14254</v>
      </c>
      <c r="J7361" s="3" t="str">
        <f>HYPERLINK("https://www.boe.es/gazeta/dias/1821/10/24/pdfs/GMD-1821-303.pdf#page=5","Abrir facsímil")</f>
        <v>Abrir facsímil</v>
      </c>
      <c r="K7361" s="3" t="s">
        <v>23</v>
      </c>
    </row>
    <row r="7362" spans="1:11" ht="42" customHeight="1">
      <c r="A7362" s="2" t="s">
        <v>14228</v>
      </c>
      <c r="B7362" s="2" t="s">
        <v>14228</v>
      </c>
      <c r="C7362" s="2" t="s">
        <v>40</v>
      </c>
      <c r="D7362" s="2" t="s">
        <v>41</v>
      </c>
      <c r="E7362" s="5">
        <v>-28544</v>
      </c>
      <c r="F7362" s="3" t="s">
        <v>139</v>
      </c>
      <c r="G7362" s="3" t="s">
        <v>20</v>
      </c>
      <c r="H7362" s="2" t="s">
        <v>21</v>
      </c>
      <c r="I7362" s="2" t="s">
        <v>14255</v>
      </c>
      <c r="J7362" s="3" t="str">
        <f>HYPERLINK("https://www.boe.es/gazeta/dias/1821/11/05/pdfs/GMD-1821-316.pdf#page=3","Abrir facsímil")</f>
        <v>Abrir facsímil</v>
      </c>
      <c r="K7362" s="3" t="s">
        <v>23</v>
      </c>
    </row>
    <row r="7363" spans="1:11" ht="42" customHeight="1">
      <c r="A7363" s="2" t="s">
        <v>14228</v>
      </c>
      <c r="B7363" s="2" t="s">
        <v>14228</v>
      </c>
      <c r="C7363" s="2" t="s">
        <v>26</v>
      </c>
      <c r="D7363" s="2" t="s">
        <v>27</v>
      </c>
      <c r="E7363" s="5">
        <v>-28538</v>
      </c>
      <c r="F7363" s="3" t="s">
        <v>395</v>
      </c>
      <c r="G7363" s="3" t="s">
        <v>20</v>
      </c>
      <c r="H7363" s="2" t="s">
        <v>21</v>
      </c>
      <c r="I7363" s="2" t="s">
        <v>14256</v>
      </c>
      <c r="J7363" s="3" t="str">
        <f>HYPERLINK("https://www.boe.es/gazeta/dias/1821/11/11/pdfs/GMD-1821-322.pdf#page=3","Abrir facsímil")</f>
        <v>Abrir facsímil</v>
      </c>
      <c r="K7363" s="3" t="s">
        <v>23</v>
      </c>
    </row>
    <row r="7364" spans="1:11" ht="42" customHeight="1">
      <c r="A7364" s="2" t="s">
        <v>14228</v>
      </c>
      <c r="B7364" s="2" t="s">
        <v>14228</v>
      </c>
      <c r="C7364" s="2" t="s">
        <v>35</v>
      </c>
      <c r="D7364" s="2" t="s">
        <v>27</v>
      </c>
      <c r="E7364" s="5">
        <v>-28522</v>
      </c>
      <c r="F7364" s="3" t="s">
        <v>1083</v>
      </c>
      <c r="G7364" s="3" t="s">
        <v>29</v>
      </c>
      <c r="H7364" s="2" t="s">
        <v>21</v>
      </c>
      <c r="I7364" s="2" t="s">
        <v>14257</v>
      </c>
      <c r="J7364" s="3" t="str">
        <f>HYPERLINK("https://www.boe.es/gazeta/dias/1821/11/27/pdfs/GMD-1821-339.pdf#page=6","Abrir facsímil")</f>
        <v>Abrir facsímil</v>
      </c>
      <c r="K7364" s="3" t="s">
        <v>23</v>
      </c>
    </row>
    <row r="7365" spans="1:11" ht="42" customHeight="1">
      <c r="A7365" s="2" t="s">
        <v>14228</v>
      </c>
      <c r="B7365" s="2" t="s">
        <v>14228</v>
      </c>
      <c r="C7365" s="2" t="s">
        <v>17</v>
      </c>
      <c r="D7365" s="2" t="s">
        <v>18</v>
      </c>
      <c r="E7365" s="5">
        <v>-28491</v>
      </c>
      <c r="F7365" s="3" t="s">
        <v>573</v>
      </c>
      <c r="G7365" s="3" t="s">
        <v>3891</v>
      </c>
      <c r="H7365" s="2" t="s">
        <v>21</v>
      </c>
      <c r="I7365" s="2" t="s">
        <v>14258</v>
      </c>
      <c r="J7365" s="3" t="str">
        <f>HYPERLINK("https://www.boe.es/gazeta/dias/1821/12/28/pdfs/GMD-1821-371.pdf#page=2","Abrir facsímil")</f>
        <v>Abrir facsímil</v>
      </c>
      <c r="K7365" s="3" t="s">
        <v>23</v>
      </c>
    </row>
    <row r="7366" spans="1:11" ht="42" customHeight="1">
      <c r="A7366" s="2" t="s">
        <v>14259</v>
      </c>
      <c r="B7366" s="2" t="s">
        <v>14260</v>
      </c>
      <c r="C7366" s="2" t="s">
        <v>17</v>
      </c>
      <c r="D7366" s="2" t="s">
        <v>18</v>
      </c>
      <c r="E7366" s="5">
        <v>-28532</v>
      </c>
      <c r="F7366" s="3" t="s">
        <v>1415</v>
      </c>
      <c r="G7366" s="3" t="s">
        <v>29</v>
      </c>
      <c r="H7366" s="2" t="s">
        <v>21</v>
      </c>
      <c r="I7366" s="2" t="s">
        <v>14261</v>
      </c>
      <c r="J7366" s="3" t="str">
        <f>HYPERLINK("https://www.boe.es/gazeta/dias/1821/11/17/pdfs/GMD-1821-328.pdf#page=6","Abrir facsímil")</f>
        <v>Abrir facsímil</v>
      </c>
      <c r="K7366" s="3" t="s">
        <v>23</v>
      </c>
    </row>
    <row r="7367" spans="1:11" ht="42" customHeight="1">
      <c r="A7367" s="2" t="s">
        <v>14262</v>
      </c>
      <c r="B7367" s="2" t="s">
        <v>14263</v>
      </c>
      <c r="C7367" s="2" t="s">
        <v>17</v>
      </c>
      <c r="D7367" s="2" t="s">
        <v>18</v>
      </c>
      <c r="E7367" s="5">
        <v>-28842</v>
      </c>
      <c r="F7367" s="3" t="s">
        <v>660</v>
      </c>
      <c r="G7367" s="3" t="s">
        <v>88</v>
      </c>
      <c r="H7367" s="2" t="s">
        <v>21</v>
      </c>
      <c r="I7367" s="2" t="s">
        <v>14264</v>
      </c>
      <c r="J7367" s="3" t="str">
        <f>HYPERLINK("https://www.boe.es/gazeta/dias/1821/01/11/pdfs/GGB-1821-11.pdf#page=4","Abrir facsímil")</f>
        <v>Abrir facsímil</v>
      </c>
      <c r="K7367" s="3" t="s">
        <v>23</v>
      </c>
    </row>
    <row r="7368" spans="1:11" ht="42" customHeight="1">
      <c r="A7368" s="2" t="s">
        <v>14265</v>
      </c>
      <c r="B7368" s="2" t="s">
        <v>14266</v>
      </c>
      <c r="C7368" s="2" t="s">
        <v>40</v>
      </c>
      <c r="D7368" s="2" t="s">
        <v>41</v>
      </c>
      <c r="E7368" s="5">
        <v>-28848</v>
      </c>
      <c r="F7368" s="3" t="s">
        <v>5247</v>
      </c>
      <c r="G7368" s="3" t="s">
        <v>20</v>
      </c>
      <c r="H7368" s="2" t="s">
        <v>21</v>
      </c>
      <c r="I7368" s="2" t="s">
        <v>14267</v>
      </c>
      <c r="J7368" s="3" t="str">
        <f>HYPERLINK("https://www.boe.es/gazeta/dias/1821/01/05/pdfs/GGB-1821-5.pdf#page=3","Abrir facsímil")</f>
        <v>Abrir facsímil</v>
      </c>
      <c r="K7368" s="3" t="s">
        <v>23</v>
      </c>
    </row>
    <row r="7369" spans="1:11" ht="42" customHeight="1">
      <c r="A7369" s="2" t="s">
        <v>14265</v>
      </c>
      <c r="B7369" s="2" t="s">
        <v>14266</v>
      </c>
      <c r="C7369" s="2" t="s">
        <v>17</v>
      </c>
      <c r="D7369" s="2" t="s">
        <v>18</v>
      </c>
      <c r="E7369" s="5">
        <v>-28844</v>
      </c>
      <c r="F7369" s="3" t="s">
        <v>1743</v>
      </c>
      <c r="G7369" s="3" t="s">
        <v>29</v>
      </c>
      <c r="H7369" s="2" t="s">
        <v>21</v>
      </c>
      <c r="I7369" s="2" t="s">
        <v>14268</v>
      </c>
      <c r="J7369" s="3" t="str">
        <f>HYPERLINK("https://www.boe.es/gazeta/dias/1821/01/09/pdfs/GGB-1821-9.pdf#page=6","Abrir facsímil")</f>
        <v>Abrir facsímil</v>
      </c>
      <c r="K7369" s="3" t="s">
        <v>23</v>
      </c>
    </row>
    <row r="7370" spans="1:11" ht="42" customHeight="1">
      <c r="A7370" s="2" t="s">
        <v>14265</v>
      </c>
      <c r="B7370" s="2" t="s">
        <v>14266</v>
      </c>
      <c r="C7370" s="2" t="s">
        <v>17</v>
      </c>
      <c r="D7370" s="2" t="s">
        <v>18</v>
      </c>
      <c r="E7370" s="5">
        <v>-28838</v>
      </c>
      <c r="F7370" s="3" t="s">
        <v>7260</v>
      </c>
      <c r="G7370" s="3" t="s">
        <v>88</v>
      </c>
      <c r="H7370" s="2" t="s">
        <v>21</v>
      </c>
      <c r="I7370" s="2" t="s">
        <v>14269</v>
      </c>
      <c r="J7370" s="3" t="str">
        <f>HYPERLINK("https://www.boe.es/gazeta/dias/1821/01/15/pdfs/GGB-1821-15.pdf#page=4","Abrir facsímil")</f>
        <v>Abrir facsímil</v>
      </c>
      <c r="K7370" s="3" t="s">
        <v>23</v>
      </c>
    </row>
    <row r="7371" spans="1:11" ht="42" customHeight="1">
      <c r="A7371" s="2" t="s">
        <v>14265</v>
      </c>
      <c r="B7371" s="2" t="s">
        <v>14266</v>
      </c>
      <c r="C7371" s="2" t="s">
        <v>17</v>
      </c>
      <c r="D7371" s="2" t="s">
        <v>18</v>
      </c>
      <c r="E7371" s="5">
        <v>-28836</v>
      </c>
      <c r="F7371" s="3" t="s">
        <v>601</v>
      </c>
      <c r="G7371" s="3" t="s">
        <v>88</v>
      </c>
      <c r="H7371" s="2" t="s">
        <v>21</v>
      </c>
      <c r="I7371" s="2" t="s">
        <v>14270</v>
      </c>
      <c r="J7371" s="3" t="str">
        <f>HYPERLINK("https://www.boe.es/gazeta/dias/1821/01/17/pdfs/GGB-1821-17.pdf#page=4","Abrir facsímil")</f>
        <v>Abrir facsímil</v>
      </c>
      <c r="K7371" s="3" t="s">
        <v>23</v>
      </c>
    </row>
    <row r="7372" spans="1:11" ht="42" customHeight="1">
      <c r="A7372" s="2" t="s">
        <v>14265</v>
      </c>
      <c r="B7372" s="2" t="s">
        <v>14266</v>
      </c>
      <c r="C7372" s="2" t="s">
        <v>40</v>
      </c>
      <c r="D7372" s="2" t="s">
        <v>41</v>
      </c>
      <c r="E7372" s="5">
        <v>-28833</v>
      </c>
      <c r="F7372" s="3" t="s">
        <v>1868</v>
      </c>
      <c r="G7372" s="3" t="s">
        <v>88</v>
      </c>
      <c r="H7372" s="2" t="s">
        <v>21</v>
      </c>
      <c r="I7372" s="2" t="s">
        <v>14271</v>
      </c>
      <c r="J7372" s="3" t="str">
        <f>HYPERLINK("https://www.boe.es/gazeta/dias/1821/01/20/pdfs/GGB-1821-20.pdf#page=4","Abrir facsímil")</f>
        <v>Abrir facsímil</v>
      </c>
      <c r="K7372" s="3" t="s">
        <v>23</v>
      </c>
    </row>
    <row r="7373" spans="1:11" ht="42" customHeight="1">
      <c r="A7373" s="2" t="s">
        <v>14265</v>
      </c>
      <c r="B7373" s="2" t="s">
        <v>14266</v>
      </c>
      <c r="C7373" s="2" t="s">
        <v>17</v>
      </c>
      <c r="D7373" s="2" t="s">
        <v>18</v>
      </c>
      <c r="E7373" s="5">
        <v>-28831</v>
      </c>
      <c r="F7373" s="3" t="s">
        <v>3179</v>
      </c>
      <c r="G7373" s="3" t="s">
        <v>5731</v>
      </c>
      <c r="H7373" s="2" t="s">
        <v>21</v>
      </c>
      <c r="I7373" s="2" t="s">
        <v>14272</v>
      </c>
      <c r="J7373" s="3" t="str">
        <f>HYPERLINK("https://www.boe.es/gazeta/dias/1821/01/22/pdfs/GGB-1821-22.pdf#page=4","Abrir facsímil")</f>
        <v>Abrir facsímil</v>
      </c>
      <c r="K7373" s="3" t="s">
        <v>23</v>
      </c>
    </row>
    <row r="7374" spans="1:11" ht="42" customHeight="1">
      <c r="A7374" s="2" t="s">
        <v>14265</v>
      </c>
      <c r="B7374" s="2" t="s">
        <v>14266</v>
      </c>
      <c r="C7374" s="2" t="s">
        <v>17</v>
      </c>
      <c r="D7374" s="2" t="s">
        <v>18</v>
      </c>
      <c r="E7374" s="5">
        <v>-28830</v>
      </c>
      <c r="F7374" s="3" t="s">
        <v>3230</v>
      </c>
      <c r="G7374" s="3" t="s">
        <v>88</v>
      </c>
      <c r="H7374" s="2" t="s">
        <v>21</v>
      </c>
      <c r="I7374" s="2" t="s">
        <v>14273</v>
      </c>
      <c r="J7374" s="3" t="str">
        <f>HYPERLINK("https://www.boe.es/gazeta/dias/1821/01/23/pdfs/GGB-1821-23.pdf#page=4","Abrir facsímil")</f>
        <v>Abrir facsímil</v>
      </c>
      <c r="K7374" s="3" t="s">
        <v>23</v>
      </c>
    </row>
    <row r="7375" spans="1:11" ht="42" customHeight="1">
      <c r="A7375" s="2" t="s">
        <v>14265</v>
      </c>
      <c r="B7375" s="2" t="s">
        <v>14266</v>
      </c>
      <c r="C7375" s="2" t="s">
        <v>17</v>
      </c>
      <c r="D7375" s="2" t="s">
        <v>18</v>
      </c>
      <c r="E7375" s="5">
        <v>-28829</v>
      </c>
      <c r="F7375" s="3" t="s">
        <v>2980</v>
      </c>
      <c r="G7375" s="3" t="s">
        <v>88</v>
      </c>
      <c r="H7375" s="2" t="s">
        <v>21</v>
      </c>
      <c r="I7375" s="2" t="s">
        <v>14274</v>
      </c>
      <c r="J7375" s="3" t="str">
        <f>HYPERLINK("https://www.boe.es/gazeta/dias/1821/01/24/pdfs/GGB-1821-24.pdf#page=4","Abrir facsímil")</f>
        <v>Abrir facsímil</v>
      </c>
      <c r="K7375" s="3" t="s">
        <v>23</v>
      </c>
    </row>
    <row r="7376" spans="1:11" ht="42" customHeight="1">
      <c r="A7376" s="2" t="s">
        <v>14275</v>
      </c>
      <c r="B7376" s="2" t="s">
        <v>14276</v>
      </c>
      <c r="C7376" s="2" t="s">
        <v>17</v>
      </c>
      <c r="D7376" s="2" t="s">
        <v>18</v>
      </c>
      <c r="E7376" s="5">
        <v>-28818</v>
      </c>
      <c r="F7376" s="3" t="s">
        <v>2337</v>
      </c>
      <c r="G7376" s="3" t="s">
        <v>4055</v>
      </c>
      <c r="H7376" s="2" t="s">
        <v>21</v>
      </c>
      <c r="I7376" s="2" t="s">
        <v>14277</v>
      </c>
      <c r="J7376" s="3" t="str">
        <f>HYPERLINK("https://www.boe.es/gazeta/dias/1821/02/04/pdfs/GGB-1821-35.pdf#page=6","Abrir facsímil")</f>
        <v>Abrir facsímil</v>
      </c>
      <c r="K7376" s="3" t="s">
        <v>23</v>
      </c>
    </row>
    <row r="7377" spans="1:11" ht="42" customHeight="1">
      <c r="A7377" s="2" t="s">
        <v>14265</v>
      </c>
      <c r="B7377" s="2" t="s">
        <v>14266</v>
      </c>
      <c r="C7377" s="2" t="s">
        <v>17</v>
      </c>
      <c r="D7377" s="2" t="s">
        <v>18</v>
      </c>
      <c r="E7377" s="5">
        <v>-28814</v>
      </c>
      <c r="F7377" s="3" t="s">
        <v>2090</v>
      </c>
      <c r="G7377" s="3" t="s">
        <v>88</v>
      </c>
      <c r="H7377" s="2" t="s">
        <v>21</v>
      </c>
      <c r="I7377" s="2" t="s">
        <v>14278</v>
      </c>
      <c r="J7377" s="3" t="str">
        <f>HYPERLINK("https://www.boe.es/gazeta/dias/1821/02/08/pdfs/GGB-1821-39.pdf#page=4","Abrir facsímil")</f>
        <v>Abrir facsímil</v>
      </c>
      <c r="K7377" s="3" t="s">
        <v>23</v>
      </c>
    </row>
    <row r="7378" spans="1:11" ht="42" customHeight="1">
      <c r="A7378" s="2" t="s">
        <v>14265</v>
      </c>
      <c r="B7378" s="2" t="s">
        <v>14266</v>
      </c>
      <c r="C7378" s="2" t="s">
        <v>17</v>
      </c>
      <c r="D7378" s="2" t="s">
        <v>18</v>
      </c>
      <c r="E7378" s="5">
        <v>-28798</v>
      </c>
      <c r="F7378" s="3" t="s">
        <v>60</v>
      </c>
      <c r="G7378" s="3" t="s">
        <v>88</v>
      </c>
      <c r="H7378" s="2" t="s">
        <v>21</v>
      </c>
      <c r="I7378" s="2" t="s">
        <v>14279</v>
      </c>
      <c r="J7378" s="3" t="str">
        <f>HYPERLINK("https://www.boe.es/gazeta/dias/1821/02/24/pdfs/GGB-1821-55.pdf#page=4","Abrir facsímil")</f>
        <v>Abrir facsímil</v>
      </c>
      <c r="K7378" s="3" t="s">
        <v>23</v>
      </c>
    </row>
    <row r="7379" spans="1:11" ht="42" customHeight="1">
      <c r="A7379" s="2" t="s">
        <v>14275</v>
      </c>
      <c r="B7379" s="2" t="s">
        <v>14276</v>
      </c>
      <c r="C7379" s="2" t="s">
        <v>17</v>
      </c>
      <c r="D7379" s="2" t="s">
        <v>18</v>
      </c>
      <c r="E7379" s="5">
        <v>-28788</v>
      </c>
      <c r="F7379" s="3" t="s">
        <v>996</v>
      </c>
      <c r="G7379" s="3" t="s">
        <v>88</v>
      </c>
      <c r="H7379" s="2" t="s">
        <v>21</v>
      </c>
      <c r="I7379" s="2" t="s">
        <v>14280</v>
      </c>
      <c r="J7379" s="3" t="str">
        <f>HYPERLINK("https://www.boe.es/gazeta/dias/1821/03/06/pdfs/GGB-1821-65.pdf#page=4","Abrir facsímil")</f>
        <v>Abrir facsímil</v>
      </c>
      <c r="K7379" s="3" t="s">
        <v>23</v>
      </c>
    </row>
    <row r="7380" spans="1:11" ht="42" customHeight="1">
      <c r="A7380" s="2" t="s">
        <v>14265</v>
      </c>
      <c r="B7380" s="2" t="s">
        <v>14266</v>
      </c>
      <c r="C7380" s="2" t="s">
        <v>17</v>
      </c>
      <c r="D7380" s="2" t="s">
        <v>18</v>
      </c>
      <c r="E7380" s="5">
        <v>-28779</v>
      </c>
      <c r="F7380" s="3" t="s">
        <v>1002</v>
      </c>
      <c r="G7380" s="3" t="s">
        <v>88</v>
      </c>
      <c r="H7380" s="2" t="s">
        <v>21</v>
      </c>
      <c r="I7380" s="2" t="s">
        <v>14281</v>
      </c>
      <c r="J7380" s="3" t="str">
        <f>HYPERLINK("https://www.boe.es/gazeta/dias/1821/03/15/pdfs/GMD-1821-74.pdf#page=4","Abrir facsímil")</f>
        <v>Abrir facsímil</v>
      </c>
      <c r="K7380" s="3" t="s">
        <v>23</v>
      </c>
    </row>
    <row r="7381" spans="1:11" ht="42" customHeight="1">
      <c r="A7381" s="2" t="s">
        <v>14265</v>
      </c>
      <c r="B7381" s="2" t="s">
        <v>14266</v>
      </c>
      <c r="C7381" s="2" t="s">
        <v>17</v>
      </c>
      <c r="D7381" s="2" t="s">
        <v>18</v>
      </c>
      <c r="E7381" s="5">
        <v>-28776</v>
      </c>
      <c r="F7381" s="3" t="s">
        <v>312</v>
      </c>
      <c r="G7381" s="3" t="s">
        <v>29</v>
      </c>
      <c r="H7381" s="2" t="s">
        <v>21</v>
      </c>
      <c r="I7381" s="2" t="s">
        <v>14282</v>
      </c>
      <c r="J7381" s="3" t="str">
        <f>HYPERLINK("https://www.boe.es/gazeta/dias/1821/03/18/pdfs/GMD-1821-77.pdf#page=6","Abrir facsímil")</f>
        <v>Abrir facsímil</v>
      </c>
      <c r="K7381" s="3" t="s">
        <v>23</v>
      </c>
    </row>
    <row r="7382" spans="1:11" ht="42" customHeight="1">
      <c r="A7382" s="2" t="s">
        <v>14265</v>
      </c>
      <c r="B7382" s="2" t="s">
        <v>14266</v>
      </c>
      <c r="C7382" s="2" t="s">
        <v>17</v>
      </c>
      <c r="D7382" s="2" t="s">
        <v>18</v>
      </c>
      <c r="E7382" s="5">
        <v>-28773</v>
      </c>
      <c r="F7382" s="3" t="s">
        <v>1755</v>
      </c>
      <c r="G7382" s="3" t="s">
        <v>29</v>
      </c>
      <c r="H7382" s="2" t="s">
        <v>21</v>
      </c>
      <c r="I7382" s="2" t="s">
        <v>14283</v>
      </c>
      <c r="J7382" s="3" t="str">
        <f>HYPERLINK("https://www.boe.es/gazeta/dias/1821/03/21/pdfs/GMD-1821-80.pdf#page=6","Abrir facsímil")</f>
        <v>Abrir facsímil</v>
      </c>
      <c r="K7382" s="3" t="s">
        <v>23</v>
      </c>
    </row>
    <row r="7383" spans="1:11" ht="42" customHeight="1">
      <c r="A7383" s="2" t="s">
        <v>14265</v>
      </c>
      <c r="B7383" s="2" t="s">
        <v>14266</v>
      </c>
      <c r="C7383" s="2" t="s">
        <v>17</v>
      </c>
      <c r="D7383" s="2" t="s">
        <v>18</v>
      </c>
      <c r="E7383" s="5">
        <v>-28735</v>
      </c>
      <c r="F7383" s="3" t="s">
        <v>836</v>
      </c>
      <c r="G7383" s="3" t="s">
        <v>88</v>
      </c>
      <c r="H7383" s="2" t="s">
        <v>21</v>
      </c>
      <c r="I7383" s="2" t="s">
        <v>14284</v>
      </c>
      <c r="J7383" s="3" t="str">
        <f>HYPERLINK("https://www.boe.es/gazeta/dias/1821/04/28/pdfs/GMD-1821-120.pdf#page=4","Abrir facsímil")</f>
        <v>Abrir facsímil</v>
      </c>
      <c r="K7383" s="3" t="s">
        <v>23</v>
      </c>
    </row>
    <row r="7384" spans="1:11" ht="42" customHeight="1">
      <c r="A7384" s="2" t="s">
        <v>14265</v>
      </c>
      <c r="B7384" s="2" t="s">
        <v>14266</v>
      </c>
      <c r="C7384" s="2" t="s">
        <v>17</v>
      </c>
      <c r="D7384" s="2" t="s">
        <v>18</v>
      </c>
      <c r="E7384" s="5">
        <v>-28691</v>
      </c>
      <c r="F7384" s="3" t="s">
        <v>716</v>
      </c>
      <c r="G7384" s="3" t="s">
        <v>20</v>
      </c>
      <c r="H7384" s="2" t="s">
        <v>21</v>
      </c>
      <c r="I7384" s="2" t="s">
        <v>14285</v>
      </c>
      <c r="J7384" s="3" t="str">
        <f>HYPERLINK("https://www.boe.es/gazeta/dias/1821/06/11/pdfs/GMD-1821-164.pdf#page=3","Abrir facsímil")</f>
        <v>Abrir facsímil</v>
      </c>
      <c r="K7384" s="3" t="s">
        <v>23</v>
      </c>
    </row>
    <row r="7385" spans="1:11" ht="42" customHeight="1">
      <c r="A7385" s="2" t="s">
        <v>14265</v>
      </c>
      <c r="B7385" s="2" t="s">
        <v>14266</v>
      </c>
      <c r="C7385" s="2" t="s">
        <v>17</v>
      </c>
      <c r="D7385" s="2" t="s">
        <v>18</v>
      </c>
      <c r="E7385" s="5">
        <v>-28689</v>
      </c>
      <c r="F7385" s="3" t="s">
        <v>194</v>
      </c>
      <c r="G7385" s="3" t="s">
        <v>205</v>
      </c>
      <c r="H7385" s="2" t="s">
        <v>21</v>
      </c>
      <c r="I7385" s="2" t="s">
        <v>14286</v>
      </c>
      <c r="J7385" s="3" t="str">
        <f>HYPERLINK("https://www.boe.es/gazeta/dias/1821/06/13/pdfs/GMD-1821-166.pdf#page=6","Abrir facsímil")</f>
        <v>Abrir facsímil</v>
      </c>
      <c r="K7385" s="3" t="s">
        <v>23</v>
      </c>
    </row>
    <row r="7386" spans="1:11" ht="42" customHeight="1">
      <c r="A7386" s="2" t="s">
        <v>14265</v>
      </c>
      <c r="B7386" s="2" t="s">
        <v>14266</v>
      </c>
      <c r="C7386" s="2" t="s">
        <v>17</v>
      </c>
      <c r="D7386" s="2" t="s">
        <v>18</v>
      </c>
      <c r="E7386" s="5">
        <v>-28674</v>
      </c>
      <c r="F7386" s="3" t="s">
        <v>536</v>
      </c>
      <c r="G7386" s="3" t="s">
        <v>29</v>
      </c>
      <c r="H7386" s="2" t="s">
        <v>21</v>
      </c>
      <c r="I7386" s="2" t="s">
        <v>14287</v>
      </c>
      <c r="J7386" s="3" t="str">
        <f>HYPERLINK("https://www.boe.es/gazeta/dias/1821/06/28/pdfs/GMD-1821-181.pdf#page=6","Abrir facsímil")</f>
        <v>Abrir facsímil</v>
      </c>
      <c r="K7386" s="3" t="s">
        <v>23</v>
      </c>
    </row>
    <row r="7387" spans="1:11" ht="42" customHeight="1">
      <c r="A7387" s="2" t="s">
        <v>14265</v>
      </c>
      <c r="B7387" s="2" t="s">
        <v>14266</v>
      </c>
      <c r="C7387" s="2" t="s">
        <v>17</v>
      </c>
      <c r="D7387" s="2" t="s">
        <v>18</v>
      </c>
      <c r="E7387" s="5">
        <v>-28657</v>
      </c>
      <c r="F7387" s="3" t="s">
        <v>5977</v>
      </c>
      <c r="G7387" s="3" t="s">
        <v>88</v>
      </c>
      <c r="H7387" s="2" t="s">
        <v>21</v>
      </c>
      <c r="I7387" s="2" t="s">
        <v>14288</v>
      </c>
      <c r="J7387" s="3" t="str">
        <f>HYPERLINK("https://www.boe.es/gazeta/dias/1821/07/15/pdfs/GMD-1821-200.pdf#page=4","Abrir facsímil")</f>
        <v>Abrir facsímil</v>
      </c>
      <c r="K7387" s="3" t="s">
        <v>23</v>
      </c>
    </row>
    <row r="7388" spans="1:11" ht="42" customHeight="1">
      <c r="A7388" s="2" t="s">
        <v>14265</v>
      </c>
      <c r="B7388" s="2" t="s">
        <v>14266</v>
      </c>
      <c r="C7388" s="2" t="s">
        <v>17</v>
      </c>
      <c r="D7388" s="2" t="s">
        <v>18</v>
      </c>
      <c r="E7388" s="5">
        <v>-28644</v>
      </c>
      <c r="F7388" s="3" t="s">
        <v>1340</v>
      </c>
      <c r="G7388" s="3" t="s">
        <v>88</v>
      </c>
      <c r="H7388" s="2" t="s">
        <v>21</v>
      </c>
      <c r="I7388" s="2" t="s">
        <v>14289</v>
      </c>
      <c r="J7388" s="3" t="str">
        <f>HYPERLINK("https://www.boe.es/gazeta/dias/1821/07/28/pdfs/GMD-1821-213.pdf#page=4","Abrir facsímil")</f>
        <v>Abrir facsímil</v>
      </c>
      <c r="K7388" s="3" t="s">
        <v>23</v>
      </c>
    </row>
    <row r="7389" spans="1:11" ht="42" customHeight="1">
      <c r="A7389" s="2" t="s">
        <v>14265</v>
      </c>
      <c r="B7389" s="2" t="s">
        <v>14266</v>
      </c>
      <c r="C7389" s="2" t="s">
        <v>40</v>
      </c>
      <c r="D7389" s="2" t="s">
        <v>41</v>
      </c>
      <c r="E7389" s="5">
        <v>-28641</v>
      </c>
      <c r="F7389" s="3" t="s">
        <v>398</v>
      </c>
      <c r="G7389" s="3" t="s">
        <v>20</v>
      </c>
      <c r="H7389" s="2" t="s">
        <v>21</v>
      </c>
      <c r="I7389" s="2" t="s">
        <v>14290</v>
      </c>
      <c r="J7389" s="3" t="str">
        <f>HYPERLINK("https://www.boe.es/gazeta/dias/1821/07/31/pdfs/GMD-1821-216.pdf#page=3","Abrir facsímil")</f>
        <v>Abrir facsímil</v>
      </c>
      <c r="K7389" s="3" t="s">
        <v>23</v>
      </c>
    </row>
    <row r="7390" spans="1:11" ht="42" customHeight="1">
      <c r="A7390" s="2" t="s">
        <v>14275</v>
      </c>
      <c r="B7390" s="2" t="s">
        <v>14276</v>
      </c>
      <c r="C7390" s="2" t="s">
        <v>17</v>
      </c>
      <c r="D7390" s="2" t="s">
        <v>18</v>
      </c>
      <c r="E7390" s="5">
        <v>-28641</v>
      </c>
      <c r="F7390" s="3" t="s">
        <v>398</v>
      </c>
      <c r="G7390" s="3" t="s">
        <v>88</v>
      </c>
      <c r="H7390" s="2" t="s">
        <v>21</v>
      </c>
      <c r="I7390" s="2" t="s">
        <v>14291</v>
      </c>
      <c r="J7390" s="3" t="str">
        <f>HYPERLINK("https://www.boe.es/gazeta/dias/1821/07/31/pdfs/GMD-1821-216.pdf#page=4","Abrir facsímil")</f>
        <v>Abrir facsímil</v>
      </c>
      <c r="K7390" s="3" t="s">
        <v>23</v>
      </c>
    </row>
    <row r="7391" spans="1:11" ht="42" customHeight="1">
      <c r="A7391" s="2" t="s">
        <v>14265</v>
      </c>
      <c r="B7391" s="2" t="s">
        <v>14266</v>
      </c>
      <c r="C7391" s="2" t="s">
        <v>17</v>
      </c>
      <c r="D7391" s="2" t="s">
        <v>18</v>
      </c>
      <c r="E7391" s="5">
        <v>-28616</v>
      </c>
      <c r="F7391" s="3" t="s">
        <v>1912</v>
      </c>
      <c r="G7391" s="3" t="s">
        <v>6462</v>
      </c>
      <c r="H7391" s="2" t="s">
        <v>21</v>
      </c>
      <c r="I7391" s="2" t="s">
        <v>14292</v>
      </c>
      <c r="J7391" s="3" t="str">
        <f>HYPERLINK("https://www.boe.es/gazeta/dias/1821/08/25/pdfs/GMD-1821-242.pdf#page=4","Abrir facsímil")</f>
        <v>Abrir facsímil</v>
      </c>
      <c r="K7391" s="3" t="s">
        <v>23</v>
      </c>
    </row>
    <row r="7392" spans="1:11" ht="42" customHeight="1">
      <c r="A7392" s="2" t="s">
        <v>14265</v>
      </c>
      <c r="B7392" s="2" t="s">
        <v>14266</v>
      </c>
      <c r="C7392" s="2" t="s">
        <v>17</v>
      </c>
      <c r="D7392" s="2" t="s">
        <v>18</v>
      </c>
      <c r="E7392" s="5">
        <v>-28607</v>
      </c>
      <c r="F7392" s="3" t="s">
        <v>740</v>
      </c>
      <c r="G7392" s="3" t="s">
        <v>88</v>
      </c>
      <c r="H7392" s="2" t="s">
        <v>21</v>
      </c>
      <c r="I7392" s="2" t="s">
        <v>14293</v>
      </c>
      <c r="J7392" s="3" t="str">
        <f>HYPERLINK("https://www.boe.es/gazeta/dias/1821/09/03/pdfs/GMD-1821-251.pdf#page=4","Abrir facsímil")</f>
        <v>Abrir facsímil</v>
      </c>
      <c r="K7392" s="3" t="s">
        <v>23</v>
      </c>
    </row>
    <row r="7393" spans="1:11" ht="42" customHeight="1">
      <c r="A7393" s="2" t="s">
        <v>14265</v>
      </c>
      <c r="B7393" s="2" t="s">
        <v>14266</v>
      </c>
      <c r="C7393" s="2" t="s">
        <v>17</v>
      </c>
      <c r="D7393" s="2" t="s">
        <v>18</v>
      </c>
      <c r="E7393" s="5">
        <v>-28604</v>
      </c>
      <c r="F7393" s="3" t="s">
        <v>729</v>
      </c>
      <c r="G7393" s="3" t="s">
        <v>29</v>
      </c>
      <c r="H7393" s="2" t="s">
        <v>21</v>
      </c>
      <c r="I7393" s="2" t="s">
        <v>14294</v>
      </c>
      <c r="J7393" s="3" t="str">
        <f>HYPERLINK("https://www.boe.es/gazeta/dias/1821/09/06/pdfs/GMD-1821-254.pdf#page=6","Abrir facsímil")</f>
        <v>Abrir facsímil</v>
      </c>
      <c r="K7393" s="3" t="s">
        <v>23</v>
      </c>
    </row>
    <row r="7394" spans="1:11" ht="42" customHeight="1">
      <c r="A7394" s="2" t="s">
        <v>14265</v>
      </c>
      <c r="B7394" s="2" t="s">
        <v>14266</v>
      </c>
      <c r="C7394" s="2" t="s">
        <v>40</v>
      </c>
      <c r="D7394" s="2" t="s">
        <v>41</v>
      </c>
      <c r="E7394" s="5">
        <v>-28599</v>
      </c>
      <c r="F7394" s="3" t="s">
        <v>902</v>
      </c>
      <c r="G7394" s="3" t="s">
        <v>88</v>
      </c>
      <c r="H7394" s="2" t="s">
        <v>21</v>
      </c>
      <c r="I7394" s="2" t="s">
        <v>14295</v>
      </c>
      <c r="J7394" s="3" t="str">
        <f>HYPERLINK("https://www.boe.es/gazeta/dias/1821/09/11/pdfs/GMD-1821-259.pdf#page=4","Abrir facsímil")</f>
        <v>Abrir facsímil</v>
      </c>
      <c r="K7394" s="3" t="s">
        <v>23</v>
      </c>
    </row>
    <row r="7395" spans="1:11" ht="42" customHeight="1">
      <c r="A7395" s="2" t="s">
        <v>14265</v>
      </c>
      <c r="B7395" s="2" t="s">
        <v>14266</v>
      </c>
      <c r="C7395" s="2" t="s">
        <v>40</v>
      </c>
      <c r="D7395" s="2" t="s">
        <v>41</v>
      </c>
      <c r="E7395" s="5">
        <v>-28507</v>
      </c>
      <c r="F7395" s="3" t="s">
        <v>1158</v>
      </c>
      <c r="G7395" s="3" t="s">
        <v>20</v>
      </c>
      <c r="H7395" s="2" t="s">
        <v>21</v>
      </c>
      <c r="I7395" s="2" t="s">
        <v>14296</v>
      </c>
      <c r="J7395" s="3" t="str">
        <f>HYPERLINK("https://www.boe.es/gazeta/dias/1821/12/12/pdfs/GMD-1821-354.pdf#page=3","Abrir facsímil")</f>
        <v>Abrir facsímil</v>
      </c>
      <c r="K7395" s="3" t="s">
        <v>23</v>
      </c>
    </row>
    <row r="7396" spans="1:11" ht="42" customHeight="1">
      <c r="A7396" s="2" t="s">
        <v>14297</v>
      </c>
      <c r="B7396" s="2" t="s">
        <v>14298</v>
      </c>
      <c r="C7396" s="2" t="s">
        <v>17</v>
      </c>
      <c r="D7396" s="2" t="s">
        <v>18</v>
      </c>
      <c r="E7396" s="5">
        <v>-28791</v>
      </c>
      <c r="F7396" s="3" t="s">
        <v>47</v>
      </c>
      <c r="G7396" s="3" t="s">
        <v>88</v>
      </c>
      <c r="H7396" s="2" t="s">
        <v>21</v>
      </c>
      <c r="I7396" s="2" t="s">
        <v>14299</v>
      </c>
      <c r="J7396" s="3" t="str">
        <f>HYPERLINK("https://www.boe.es/gazeta/dias/1821/03/03/pdfs/GGB-1821-62.pdf#page=4","Abrir facsímil")</f>
        <v>Abrir facsímil</v>
      </c>
      <c r="K7396" s="3" t="s">
        <v>23</v>
      </c>
    </row>
    <row r="7397" spans="1:11" ht="42" customHeight="1">
      <c r="A7397" s="2" t="s">
        <v>14300</v>
      </c>
      <c r="B7397" s="2" t="s">
        <v>14301</v>
      </c>
      <c r="C7397" s="2" t="s">
        <v>17</v>
      </c>
      <c r="D7397" s="2" t="s">
        <v>18</v>
      </c>
      <c r="E7397" s="5">
        <v>-28645</v>
      </c>
      <c r="F7397" s="3" t="s">
        <v>2579</v>
      </c>
      <c r="G7397" s="3" t="s">
        <v>88</v>
      </c>
      <c r="H7397" s="2" t="s">
        <v>21</v>
      </c>
      <c r="I7397" s="2" t="s">
        <v>14302</v>
      </c>
      <c r="J7397" s="3" t="str">
        <f>HYPERLINK("https://www.boe.es/gazeta/dias/1821/07/27/pdfs/GMD-1821-212.pdf#page=4","Abrir facsímil")</f>
        <v>Abrir facsímil</v>
      </c>
      <c r="K7397" s="3" t="s">
        <v>23</v>
      </c>
    </row>
    <row r="7398" spans="1:11" ht="42" customHeight="1">
      <c r="A7398" s="2" t="s">
        <v>14303</v>
      </c>
      <c r="B7398" s="2" t="s">
        <v>14304</v>
      </c>
      <c r="C7398" s="2" t="s">
        <v>17</v>
      </c>
      <c r="D7398" s="2" t="s">
        <v>18</v>
      </c>
      <c r="E7398" s="5">
        <v>-28754</v>
      </c>
      <c r="F7398" s="3" t="s">
        <v>1942</v>
      </c>
      <c r="G7398" s="3" t="s">
        <v>88</v>
      </c>
      <c r="H7398" s="2" t="s">
        <v>21</v>
      </c>
      <c r="I7398" s="2" t="s">
        <v>14305</v>
      </c>
      <c r="J7398" s="3" t="str">
        <f>HYPERLINK("https://www.boe.es/gazeta/dias/1821/04/09/pdfs/GMD-1821-101.pdf#page=4","Abrir facsímil")</f>
        <v>Abrir facsímil</v>
      </c>
      <c r="K7398" s="3" t="s">
        <v>23</v>
      </c>
    </row>
    <row r="7399" spans="1:11" ht="42" customHeight="1">
      <c r="A7399" s="2" t="s">
        <v>14306</v>
      </c>
      <c r="B7399" s="2" t="s">
        <v>14307</v>
      </c>
      <c r="C7399" s="2" t="s">
        <v>70</v>
      </c>
      <c r="D7399" s="2" t="s">
        <v>27</v>
      </c>
      <c r="E7399" s="5">
        <v>-28798</v>
      </c>
      <c r="F7399" s="3" t="s">
        <v>60</v>
      </c>
      <c r="G7399" s="3" t="s">
        <v>88</v>
      </c>
      <c r="H7399" s="2" t="s">
        <v>21</v>
      </c>
      <c r="I7399" s="2" t="s">
        <v>14308</v>
      </c>
      <c r="J7399" s="3" t="str">
        <f>HYPERLINK("https://www.boe.es/gazeta/dias/1821/02/24/pdfs/GGB-1821-55.pdf#page=4","Abrir facsímil")</f>
        <v>Abrir facsímil</v>
      </c>
      <c r="K7399" s="3" t="s">
        <v>23</v>
      </c>
    </row>
    <row r="7400" spans="1:11" ht="42" customHeight="1">
      <c r="A7400" s="2" t="s">
        <v>14309</v>
      </c>
      <c r="B7400" s="2" t="s">
        <v>14309</v>
      </c>
      <c r="C7400" s="2" t="s">
        <v>40</v>
      </c>
      <c r="D7400" s="2" t="s">
        <v>41</v>
      </c>
      <c r="E7400" s="5">
        <v>-28618</v>
      </c>
      <c r="F7400" s="3" t="s">
        <v>4041</v>
      </c>
      <c r="G7400" s="3" t="s">
        <v>52</v>
      </c>
      <c r="H7400" s="2" t="s">
        <v>21</v>
      </c>
      <c r="I7400" s="2" t="s">
        <v>14310</v>
      </c>
      <c r="J7400" s="3" t="str">
        <f>HYPERLINK("https://www.boe.es/gazeta/dias/1821/08/23/pdfs/GMD-1821-240.pdf#page=2","Abrir facsímil")</f>
        <v>Abrir facsímil</v>
      </c>
      <c r="K7400" s="3" t="s">
        <v>23</v>
      </c>
    </row>
    <row r="7401" spans="1:11" ht="42" customHeight="1">
      <c r="A7401" s="2" t="s">
        <v>14311</v>
      </c>
      <c r="B7401" s="2" t="s">
        <v>14311</v>
      </c>
      <c r="C7401" s="2" t="s">
        <v>70</v>
      </c>
      <c r="D7401" s="2" t="s">
        <v>27</v>
      </c>
      <c r="E7401" s="5">
        <v>-28805</v>
      </c>
      <c r="F7401" s="3" t="s">
        <v>382</v>
      </c>
      <c r="G7401" s="3" t="s">
        <v>20</v>
      </c>
      <c r="H7401" s="2" t="s">
        <v>21</v>
      </c>
      <c r="I7401" s="2" t="s">
        <v>14312</v>
      </c>
      <c r="J7401" s="3" t="str">
        <f>HYPERLINK("https://www.boe.es/gazeta/dias/1821/02/17/pdfs/GGB-1821-48.pdf#page=3","Abrir facsímil")</f>
        <v>Abrir facsímil</v>
      </c>
      <c r="K7401" s="3" t="s">
        <v>23</v>
      </c>
    </row>
    <row r="7402" spans="1:11" ht="42" customHeight="1">
      <c r="A7402" s="2" t="s">
        <v>14311</v>
      </c>
      <c r="B7402" s="2" t="s">
        <v>14311</v>
      </c>
      <c r="C7402" s="2" t="s">
        <v>40</v>
      </c>
      <c r="D7402" s="2" t="s">
        <v>41</v>
      </c>
      <c r="E7402" s="5">
        <v>-28795</v>
      </c>
      <c r="F7402" s="3" t="s">
        <v>2287</v>
      </c>
      <c r="G7402" s="3" t="s">
        <v>20</v>
      </c>
      <c r="H7402" s="2" t="s">
        <v>21</v>
      </c>
      <c r="I7402" s="2" t="s">
        <v>14313</v>
      </c>
      <c r="J7402" s="3" t="str">
        <f>HYPERLINK("https://www.boe.es/gazeta/dias/1821/02/27/pdfs/GGB-1821-58.pdf#page=3","Abrir facsímil")</f>
        <v>Abrir facsímil</v>
      </c>
      <c r="K7402" s="3" t="s">
        <v>23</v>
      </c>
    </row>
    <row r="7403" spans="1:11" ht="42" customHeight="1">
      <c r="A7403" s="2" t="s">
        <v>14311</v>
      </c>
      <c r="B7403" s="2" t="s">
        <v>14311</v>
      </c>
      <c r="C7403" s="2" t="s">
        <v>17</v>
      </c>
      <c r="D7403" s="2" t="s">
        <v>18</v>
      </c>
      <c r="E7403" s="5">
        <v>-28786</v>
      </c>
      <c r="F7403" s="3" t="s">
        <v>1933</v>
      </c>
      <c r="G7403" s="3" t="s">
        <v>52</v>
      </c>
      <c r="H7403" s="2" t="s">
        <v>21</v>
      </c>
      <c r="I7403" s="2" t="s">
        <v>14314</v>
      </c>
      <c r="J7403" s="3" t="str">
        <f>HYPERLINK("https://www.boe.es/gazeta/dias/1821/03/08/pdfs/GGB-1821-67.pdf#page=2","Abrir facsímil")</f>
        <v>Abrir facsímil</v>
      </c>
      <c r="K7403" s="3" t="s">
        <v>23</v>
      </c>
    </row>
    <row r="7404" spans="1:11" ht="42" customHeight="1">
      <c r="A7404" s="2" t="s">
        <v>14311</v>
      </c>
      <c r="B7404" s="2" t="s">
        <v>14311</v>
      </c>
      <c r="C7404" s="2" t="s">
        <v>70</v>
      </c>
      <c r="D7404" s="2" t="s">
        <v>27</v>
      </c>
      <c r="E7404" s="5">
        <v>-28783</v>
      </c>
      <c r="F7404" s="3" t="s">
        <v>198</v>
      </c>
      <c r="G7404" s="3" t="s">
        <v>52</v>
      </c>
      <c r="H7404" s="2" t="s">
        <v>21</v>
      </c>
      <c r="I7404" s="2" t="s">
        <v>14315</v>
      </c>
      <c r="J7404" s="3" t="str">
        <f>HYPERLINK("https://www.boe.es/gazeta/dias/1821/03/11/pdfs/GGB-1821-70.pdf#page=2","Abrir facsímil")</f>
        <v>Abrir facsímil</v>
      </c>
      <c r="K7404" s="3" t="s">
        <v>23</v>
      </c>
    </row>
    <row r="7405" spans="1:11" ht="42" customHeight="1">
      <c r="A7405" s="2" t="s">
        <v>14311</v>
      </c>
      <c r="B7405" s="2" t="s">
        <v>14311</v>
      </c>
      <c r="C7405" s="2" t="s">
        <v>17</v>
      </c>
      <c r="D7405" s="2" t="s">
        <v>18</v>
      </c>
      <c r="E7405" s="5">
        <v>-28781</v>
      </c>
      <c r="F7405" s="3" t="s">
        <v>149</v>
      </c>
      <c r="G7405" s="3" t="s">
        <v>52</v>
      </c>
      <c r="H7405" s="2" t="s">
        <v>21</v>
      </c>
      <c r="I7405" s="2" t="s">
        <v>14316</v>
      </c>
      <c r="J7405" s="3" t="str">
        <f>HYPERLINK("https://www.boe.es/gazeta/dias/1821/03/13/pdfs/GMD-1821-72.pdf#page=2","Abrir facsímil")</f>
        <v>Abrir facsímil</v>
      </c>
      <c r="K7405" s="3" t="s">
        <v>23</v>
      </c>
    </row>
    <row r="7406" spans="1:11" ht="42" customHeight="1">
      <c r="A7406" s="2" t="s">
        <v>14311</v>
      </c>
      <c r="B7406" s="2" t="s">
        <v>14311</v>
      </c>
      <c r="C7406" s="2" t="s">
        <v>35</v>
      </c>
      <c r="D7406" s="2" t="s">
        <v>27</v>
      </c>
      <c r="E7406" s="5">
        <v>-28746</v>
      </c>
      <c r="F7406" s="3" t="s">
        <v>687</v>
      </c>
      <c r="G7406" s="3" t="s">
        <v>20</v>
      </c>
      <c r="H7406" s="2" t="s">
        <v>21</v>
      </c>
      <c r="I7406" s="2" t="s">
        <v>14317</v>
      </c>
      <c r="J7406" s="3" t="str">
        <f>HYPERLINK("https://www.boe.es/gazeta/dias/1821/04/17/pdfs/GMD-1821-109.pdf#page=3","Abrir facsímil")</f>
        <v>Abrir facsímil</v>
      </c>
      <c r="K7406" s="3" t="s">
        <v>23</v>
      </c>
    </row>
    <row r="7407" spans="1:11" ht="42" customHeight="1">
      <c r="A7407" s="2" t="s">
        <v>14311</v>
      </c>
      <c r="B7407" s="2" t="s">
        <v>14311</v>
      </c>
      <c r="C7407" s="2" t="s">
        <v>26</v>
      </c>
      <c r="D7407" s="2" t="s">
        <v>27</v>
      </c>
      <c r="E7407" s="5">
        <v>-28734</v>
      </c>
      <c r="F7407" s="3" t="s">
        <v>1553</v>
      </c>
      <c r="G7407" s="3" t="s">
        <v>2625</v>
      </c>
      <c r="H7407" s="2" t="s">
        <v>21</v>
      </c>
      <c r="I7407" s="2" t="s">
        <v>14318</v>
      </c>
      <c r="J7407" s="3" t="str">
        <f>HYPERLINK("https://www.boe.es/gazeta/dias/1821/04/29/pdfs/GMD-1821-121.pdf#page=2","Abrir facsímil")</f>
        <v>Abrir facsímil</v>
      </c>
      <c r="K7407" s="3" t="s">
        <v>23</v>
      </c>
    </row>
    <row r="7408" spans="1:11" ht="42" customHeight="1">
      <c r="A7408" s="2" t="s">
        <v>14311</v>
      </c>
      <c r="B7408" s="2" t="s">
        <v>14311</v>
      </c>
      <c r="C7408" s="2" t="s">
        <v>17</v>
      </c>
      <c r="D7408" s="2" t="s">
        <v>18</v>
      </c>
      <c r="E7408" s="5">
        <v>-28722</v>
      </c>
      <c r="F7408" s="3" t="s">
        <v>623</v>
      </c>
      <c r="G7408" s="3" t="s">
        <v>43</v>
      </c>
      <c r="H7408" s="2" t="s">
        <v>21</v>
      </c>
      <c r="I7408" s="2" t="s">
        <v>14319</v>
      </c>
      <c r="J7408" s="3" t="str">
        <f>HYPERLINK("https://www.boe.es/gazeta/dias/1821/05/11/pdfs/GMD-1821-133.pdf#page=1","Abrir facsímil")</f>
        <v>Abrir facsímil</v>
      </c>
      <c r="K7408" s="3" t="s">
        <v>23</v>
      </c>
    </row>
    <row r="7409" spans="1:11" ht="42" customHeight="1">
      <c r="A7409" s="2" t="s">
        <v>14311</v>
      </c>
      <c r="B7409" s="2" t="s">
        <v>14311</v>
      </c>
      <c r="C7409" s="2" t="s">
        <v>26</v>
      </c>
      <c r="D7409" s="2" t="s">
        <v>27</v>
      </c>
      <c r="E7409" s="5">
        <v>-28700</v>
      </c>
      <c r="F7409" s="3" t="s">
        <v>701</v>
      </c>
      <c r="G7409" s="3" t="s">
        <v>43</v>
      </c>
      <c r="H7409" s="2" t="s">
        <v>21</v>
      </c>
      <c r="I7409" s="2" t="s">
        <v>14320</v>
      </c>
      <c r="J7409" s="3" t="str">
        <f>HYPERLINK("https://www.boe.es/gazeta/dias/1821/06/02/pdfs/GMD-1821-155.pdf#page=1","Abrir facsímil")</f>
        <v>Abrir facsímil</v>
      </c>
      <c r="K7409" s="3" t="s">
        <v>23</v>
      </c>
    </row>
    <row r="7410" spans="1:11" ht="42" customHeight="1">
      <c r="A7410" s="2" t="s">
        <v>14311</v>
      </c>
      <c r="B7410" s="2" t="s">
        <v>14311</v>
      </c>
      <c r="C7410" s="2" t="s">
        <v>26</v>
      </c>
      <c r="D7410" s="2" t="s">
        <v>27</v>
      </c>
      <c r="E7410" s="5">
        <v>-28699</v>
      </c>
      <c r="F7410" s="3" t="s">
        <v>280</v>
      </c>
      <c r="G7410" s="3" t="s">
        <v>52</v>
      </c>
      <c r="H7410" s="2" t="s">
        <v>21</v>
      </c>
      <c r="I7410" s="2" t="s">
        <v>14321</v>
      </c>
      <c r="J7410" s="3" t="str">
        <f>HYPERLINK("https://www.boe.es/gazeta/dias/1821/06/03/pdfs/GMD-1821-156.pdf#page=2","Abrir facsímil")</f>
        <v>Abrir facsímil</v>
      </c>
      <c r="K7410" s="3" t="s">
        <v>23</v>
      </c>
    </row>
    <row r="7411" spans="1:11" ht="42" customHeight="1">
      <c r="A7411" s="2" t="s">
        <v>14311</v>
      </c>
      <c r="B7411" s="2" t="s">
        <v>14311</v>
      </c>
      <c r="C7411" s="2" t="s">
        <v>17</v>
      </c>
      <c r="D7411" s="2" t="s">
        <v>18</v>
      </c>
      <c r="E7411" s="5">
        <v>-28690</v>
      </c>
      <c r="F7411" s="3" t="s">
        <v>846</v>
      </c>
      <c r="G7411" s="3" t="s">
        <v>43</v>
      </c>
      <c r="H7411" s="2" t="s">
        <v>21</v>
      </c>
      <c r="I7411" s="2" t="s">
        <v>14322</v>
      </c>
      <c r="J7411" s="3" t="str">
        <f>HYPERLINK("https://www.boe.es/gazeta/dias/1821/06/12/pdfs/GMD-1821-165.pdf#page=1","Abrir facsímil")</f>
        <v>Abrir facsímil</v>
      </c>
      <c r="K7411" s="3" t="s">
        <v>23</v>
      </c>
    </row>
    <row r="7412" spans="1:11" ht="42" customHeight="1">
      <c r="A7412" s="2" t="s">
        <v>14311</v>
      </c>
      <c r="B7412" s="2" t="s">
        <v>14311</v>
      </c>
      <c r="C7412" s="2" t="s">
        <v>279</v>
      </c>
      <c r="D7412" s="2" t="s">
        <v>27</v>
      </c>
      <c r="E7412" s="5">
        <v>-28624</v>
      </c>
      <c r="F7412" s="3" t="s">
        <v>78</v>
      </c>
      <c r="G7412" s="3" t="s">
        <v>20</v>
      </c>
      <c r="H7412" s="2" t="s">
        <v>21</v>
      </c>
      <c r="I7412" s="2" t="s">
        <v>14323</v>
      </c>
      <c r="J7412" s="3" t="str">
        <f>HYPERLINK("https://www.boe.es/gazeta/dias/1821/08/17/pdfs/GMD-1821-234.pdf#page=3","Abrir facsímil")</f>
        <v>Abrir facsímil</v>
      </c>
      <c r="K7412" s="3" t="s">
        <v>23</v>
      </c>
    </row>
    <row r="7413" spans="1:11" ht="42" customHeight="1">
      <c r="A7413" s="2" t="s">
        <v>14311</v>
      </c>
      <c r="B7413" s="2" t="s">
        <v>14311</v>
      </c>
      <c r="C7413" s="2" t="s">
        <v>17</v>
      </c>
      <c r="D7413" s="2" t="s">
        <v>18</v>
      </c>
      <c r="E7413" s="5">
        <v>-28614</v>
      </c>
      <c r="F7413" s="3" t="s">
        <v>4451</v>
      </c>
      <c r="G7413" s="3" t="s">
        <v>20</v>
      </c>
      <c r="H7413" s="2" t="s">
        <v>21</v>
      </c>
      <c r="I7413" s="2" t="s">
        <v>14324</v>
      </c>
      <c r="J7413" s="3" t="str">
        <f>HYPERLINK("https://www.boe.es/gazeta/dias/1821/08/27/pdfs/GMD-1821-244.pdf#page=3","Abrir facsímil")</f>
        <v>Abrir facsímil</v>
      </c>
      <c r="K7413" s="3" t="s">
        <v>23</v>
      </c>
    </row>
    <row r="7414" spans="1:11" ht="42" customHeight="1">
      <c r="A7414" s="2" t="s">
        <v>14311</v>
      </c>
      <c r="B7414" s="2" t="s">
        <v>14311</v>
      </c>
      <c r="C7414" s="2" t="s">
        <v>17</v>
      </c>
      <c r="D7414" s="2" t="s">
        <v>18</v>
      </c>
      <c r="E7414" s="5">
        <v>-28612</v>
      </c>
      <c r="F7414" s="3" t="s">
        <v>1902</v>
      </c>
      <c r="G7414" s="3" t="s">
        <v>20</v>
      </c>
      <c r="H7414" s="2" t="s">
        <v>21</v>
      </c>
      <c r="I7414" s="2" t="s">
        <v>14325</v>
      </c>
      <c r="J7414" s="3" t="str">
        <f>HYPERLINK("https://www.boe.es/gazeta/dias/1821/08/29/pdfs/GMD-1821-246.pdf#page=3","Abrir facsímil")</f>
        <v>Abrir facsímil</v>
      </c>
      <c r="K7414" s="3" t="s">
        <v>23</v>
      </c>
    </row>
    <row r="7415" spans="1:11" ht="42" customHeight="1">
      <c r="A7415" s="2" t="s">
        <v>14311</v>
      </c>
      <c r="B7415" s="2" t="s">
        <v>14311</v>
      </c>
      <c r="C7415" s="2" t="s">
        <v>40</v>
      </c>
      <c r="D7415" s="2" t="s">
        <v>41</v>
      </c>
      <c r="E7415" s="5">
        <v>-28557</v>
      </c>
      <c r="F7415" s="3" t="s">
        <v>316</v>
      </c>
      <c r="G7415" s="3" t="s">
        <v>20</v>
      </c>
      <c r="H7415" s="2" t="s">
        <v>21</v>
      </c>
      <c r="I7415" s="2" t="s">
        <v>14326</v>
      </c>
      <c r="J7415" s="3" t="str">
        <f>HYPERLINK("https://www.boe.es/gazeta/dias/1821/10/23/pdfs/GMD-1821-302.pdf#page=3","Abrir facsímil")</f>
        <v>Abrir facsímil</v>
      </c>
      <c r="K7415" s="3" t="s">
        <v>23</v>
      </c>
    </row>
    <row r="7416" spans="1:11" ht="42" customHeight="1">
      <c r="A7416" s="2" t="s">
        <v>14327</v>
      </c>
      <c r="B7416" s="2" t="s">
        <v>14328</v>
      </c>
      <c r="C7416" s="2" t="s">
        <v>26</v>
      </c>
      <c r="D7416" s="2" t="s">
        <v>27</v>
      </c>
      <c r="E7416" s="5">
        <v>-28651</v>
      </c>
      <c r="F7416" s="3" t="s">
        <v>1518</v>
      </c>
      <c r="G7416" s="3" t="s">
        <v>88</v>
      </c>
      <c r="H7416" s="2" t="s">
        <v>21</v>
      </c>
      <c r="I7416" s="2" t="s">
        <v>14329</v>
      </c>
      <c r="J7416" s="3" t="str">
        <f>HYPERLINK("https://www.boe.es/gazeta/dias/1821/07/21/pdfs/GMD-1821-206.pdf#page=4","Abrir facsímil")</f>
        <v>Abrir facsímil</v>
      </c>
      <c r="K7416" s="3" t="s">
        <v>23</v>
      </c>
    </row>
    <row r="7417" spans="1:11" ht="42" customHeight="1">
      <c r="A7417" s="2" t="s">
        <v>14330</v>
      </c>
      <c r="B7417" s="2" t="s">
        <v>14331</v>
      </c>
      <c r="C7417" s="2" t="s">
        <v>40</v>
      </c>
      <c r="D7417" s="2" t="s">
        <v>41</v>
      </c>
      <c r="E7417" s="5">
        <v>-28507</v>
      </c>
      <c r="F7417" s="3" t="s">
        <v>1158</v>
      </c>
      <c r="G7417" s="3" t="s">
        <v>20</v>
      </c>
      <c r="H7417" s="2" t="s">
        <v>21</v>
      </c>
      <c r="I7417" s="2" t="s">
        <v>14332</v>
      </c>
      <c r="J7417" s="3" t="str">
        <f>HYPERLINK("https://www.boe.es/gazeta/dias/1821/12/12/pdfs/GMD-1821-354.pdf#page=3","Abrir facsímil")</f>
        <v>Abrir facsímil</v>
      </c>
      <c r="K7417" s="3" t="s">
        <v>23</v>
      </c>
    </row>
    <row r="7418" spans="1:11" ht="42" customHeight="1">
      <c r="A7418" s="2" t="s">
        <v>14333</v>
      </c>
      <c r="B7418" s="2" t="s">
        <v>14334</v>
      </c>
      <c r="C7418" s="2" t="s">
        <v>17</v>
      </c>
      <c r="D7418" s="2" t="s">
        <v>18</v>
      </c>
      <c r="E7418" s="5">
        <v>-28696</v>
      </c>
      <c r="F7418" s="3" t="s">
        <v>497</v>
      </c>
      <c r="G7418" s="3" t="s">
        <v>88</v>
      </c>
      <c r="H7418" s="2" t="s">
        <v>21</v>
      </c>
      <c r="I7418" s="2" t="s">
        <v>14335</v>
      </c>
      <c r="J7418" s="3" t="str">
        <f>HYPERLINK("https://www.boe.es/gazeta/dias/1821/06/06/pdfs/GMD-1821-159.pdf#page=4","Abrir facsímil")</f>
        <v>Abrir facsímil</v>
      </c>
      <c r="K7418" s="3" t="s">
        <v>23</v>
      </c>
    </row>
    <row r="7419" spans="1:11" ht="42" customHeight="1">
      <c r="A7419" s="2" t="s">
        <v>14336</v>
      </c>
      <c r="B7419" s="2" t="s">
        <v>14336</v>
      </c>
      <c r="C7419" s="2" t="s">
        <v>17</v>
      </c>
      <c r="D7419" s="2" t="s">
        <v>18</v>
      </c>
      <c r="E7419" s="5">
        <v>-28783</v>
      </c>
      <c r="F7419" s="3" t="s">
        <v>198</v>
      </c>
      <c r="G7419" s="3" t="s">
        <v>52</v>
      </c>
      <c r="H7419" s="2" t="s">
        <v>21</v>
      </c>
      <c r="I7419" s="2" t="s">
        <v>14337</v>
      </c>
      <c r="J7419" s="3" t="str">
        <f>HYPERLINK("https://www.boe.es/gazeta/dias/1821/03/11/pdfs/GGB-1821-70.pdf#page=2","Abrir facsímil")</f>
        <v>Abrir facsímil</v>
      </c>
      <c r="K7419" s="3" t="s">
        <v>23</v>
      </c>
    </row>
    <row r="7420" spans="1:11" ht="42" customHeight="1">
      <c r="A7420" s="2" t="s">
        <v>14338</v>
      </c>
      <c r="B7420" s="2" t="s">
        <v>14339</v>
      </c>
      <c r="C7420" s="2" t="s">
        <v>40</v>
      </c>
      <c r="D7420" s="2" t="s">
        <v>41</v>
      </c>
      <c r="E7420" s="5">
        <v>-28836</v>
      </c>
      <c r="F7420" s="3" t="s">
        <v>601</v>
      </c>
      <c r="G7420" s="3" t="s">
        <v>52</v>
      </c>
      <c r="H7420" s="2" t="s">
        <v>21</v>
      </c>
      <c r="I7420" s="2" t="s">
        <v>14340</v>
      </c>
      <c r="J7420" s="3" t="str">
        <f>HYPERLINK("https://www.boe.es/gazeta/dias/1821/01/17/pdfs/GGB-1821-17.pdf#page=2","Abrir facsímil")</f>
        <v>Abrir facsímil</v>
      </c>
      <c r="K7420" s="3" t="s">
        <v>23</v>
      </c>
    </row>
    <row r="7421" spans="1:11" ht="42" customHeight="1">
      <c r="A7421" s="2" t="s">
        <v>14341</v>
      </c>
      <c r="B7421" s="2" t="s">
        <v>14342</v>
      </c>
      <c r="C7421" s="2" t="s">
        <v>40</v>
      </c>
      <c r="D7421" s="2" t="s">
        <v>41</v>
      </c>
      <c r="E7421" s="5">
        <v>-28667</v>
      </c>
      <c r="F7421" s="3" t="s">
        <v>107</v>
      </c>
      <c r="G7421" s="3" t="s">
        <v>52</v>
      </c>
      <c r="H7421" s="2" t="s">
        <v>21</v>
      </c>
      <c r="I7421" s="2" t="s">
        <v>14343</v>
      </c>
      <c r="J7421" s="3" t="str">
        <f>HYPERLINK("https://www.boe.es/gazeta/dias/1821/07/05/pdfs/GMD-1821-189.pdf#page=2","Abrir facsímil")</f>
        <v>Abrir facsímil</v>
      </c>
      <c r="K7421" s="3" t="s">
        <v>23</v>
      </c>
    </row>
    <row r="7422" spans="1:11" ht="42" customHeight="1">
      <c r="A7422" s="2" t="s">
        <v>14344</v>
      </c>
      <c r="B7422" s="2" t="s">
        <v>14345</v>
      </c>
      <c r="C7422" s="2" t="s">
        <v>26</v>
      </c>
      <c r="D7422" s="2" t="s">
        <v>27</v>
      </c>
      <c r="E7422" s="5">
        <v>-28519</v>
      </c>
      <c r="F7422" s="3" t="s">
        <v>880</v>
      </c>
      <c r="G7422" s="3" t="s">
        <v>88</v>
      </c>
      <c r="H7422" s="2" t="s">
        <v>21</v>
      </c>
      <c r="I7422" s="2" t="s">
        <v>14346</v>
      </c>
      <c r="J7422" s="3" t="str">
        <f>HYPERLINK("https://www.boe.es/gazeta/dias/1821/11/30/pdfs/GMD-1821-342.pdf#page=4","Abrir facsímil")</f>
        <v>Abrir facsímil</v>
      </c>
      <c r="K7422" s="3" t="s">
        <v>23</v>
      </c>
    </row>
    <row r="7423" spans="1:11" ht="42" customHeight="1">
      <c r="A7423" s="2" t="s">
        <v>14347</v>
      </c>
      <c r="B7423" s="2" t="s">
        <v>14348</v>
      </c>
      <c r="C7423" s="2" t="s">
        <v>114</v>
      </c>
      <c r="D7423" s="2" t="s">
        <v>27</v>
      </c>
      <c r="E7423" s="5">
        <v>-28644</v>
      </c>
      <c r="F7423" s="3" t="s">
        <v>1340</v>
      </c>
      <c r="G7423" s="3" t="s">
        <v>88</v>
      </c>
      <c r="H7423" s="2" t="s">
        <v>21</v>
      </c>
      <c r="I7423" s="2" t="s">
        <v>14349</v>
      </c>
      <c r="J7423" s="3" t="str">
        <f>HYPERLINK("https://www.boe.es/gazeta/dias/1821/07/28/pdfs/GMD-1821-213.pdf#page=4","Abrir facsímil")</f>
        <v>Abrir facsímil</v>
      </c>
      <c r="K7423" s="3" t="s">
        <v>23</v>
      </c>
    </row>
    <row r="7424" spans="1:11" ht="42" customHeight="1">
      <c r="A7424" s="2" t="s">
        <v>14350</v>
      </c>
      <c r="B7424" s="2" t="s">
        <v>14351</v>
      </c>
      <c r="C7424" s="2" t="s">
        <v>26</v>
      </c>
      <c r="D7424" s="2" t="s">
        <v>27</v>
      </c>
      <c r="E7424" s="5">
        <v>-28813</v>
      </c>
      <c r="F7424" s="3" t="s">
        <v>268</v>
      </c>
      <c r="G7424" s="3" t="s">
        <v>20</v>
      </c>
      <c r="H7424" s="2" t="s">
        <v>21</v>
      </c>
      <c r="I7424" s="2" t="s">
        <v>14352</v>
      </c>
      <c r="J7424" s="3" t="str">
        <f>HYPERLINK("https://www.boe.es/gazeta/dias/1821/02/09/pdfs/GGB-1821-40.pdf#page=3","Abrir facsímil")</f>
        <v>Abrir facsímil</v>
      </c>
      <c r="K7424" s="3" t="s">
        <v>23</v>
      </c>
    </row>
    <row r="7425" spans="1:11" ht="42" customHeight="1">
      <c r="A7425" s="2" t="s">
        <v>14353</v>
      </c>
      <c r="B7425" s="2" t="s">
        <v>14354</v>
      </c>
      <c r="C7425" s="2" t="s">
        <v>70</v>
      </c>
      <c r="D7425" s="2" t="s">
        <v>27</v>
      </c>
      <c r="E7425" s="5">
        <v>-28607</v>
      </c>
      <c r="F7425" s="3" t="s">
        <v>740</v>
      </c>
      <c r="G7425" s="3" t="s">
        <v>88</v>
      </c>
      <c r="H7425" s="2" t="s">
        <v>21</v>
      </c>
      <c r="I7425" s="2" t="s">
        <v>14355</v>
      </c>
      <c r="J7425" s="3" t="str">
        <f>HYPERLINK("https://www.boe.es/gazeta/dias/1821/09/03/pdfs/GMD-1821-251.pdf#page=4","Abrir facsímil")</f>
        <v>Abrir facsímil</v>
      </c>
      <c r="K7425" s="3" t="s">
        <v>23</v>
      </c>
    </row>
    <row r="7426" spans="1:11" ht="42" customHeight="1">
      <c r="A7426" s="2" t="s">
        <v>14356</v>
      </c>
      <c r="B7426" s="2" t="s">
        <v>14357</v>
      </c>
      <c r="C7426" s="2" t="s">
        <v>26</v>
      </c>
      <c r="D7426" s="2" t="s">
        <v>27</v>
      </c>
      <c r="E7426" s="5">
        <v>-28711</v>
      </c>
      <c r="F7426" s="3" t="s">
        <v>1048</v>
      </c>
      <c r="G7426" s="3" t="s">
        <v>52</v>
      </c>
      <c r="H7426" s="2" t="s">
        <v>21</v>
      </c>
      <c r="I7426" s="2" t="s">
        <v>14358</v>
      </c>
      <c r="J7426" s="3" t="str">
        <f>HYPERLINK("https://www.boe.es/gazeta/dias/1821/05/22/pdfs/GMD-1821-144.pdf#page=2","Abrir facsímil")</f>
        <v>Abrir facsímil</v>
      </c>
      <c r="K7426" s="3" t="s">
        <v>23</v>
      </c>
    </row>
    <row r="7427" spans="1:11" ht="42" customHeight="1">
      <c r="A7427" s="2" t="s">
        <v>14359</v>
      </c>
      <c r="B7427" s="2" t="s">
        <v>14360</v>
      </c>
      <c r="C7427" s="2" t="s">
        <v>40</v>
      </c>
      <c r="D7427" s="2" t="s">
        <v>41</v>
      </c>
      <c r="E7427" s="5">
        <v>-28686</v>
      </c>
      <c r="F7427" s="3" t="s">
        <v>115</v>
      </c>
      <c r="G7427" s="3" t="s">
        <v>52</v>
      </c>
      <c r="H7427" s="2" t="s">
        <v>21</v>
      </c>
      <c r="I7427" s="2" t="s">
        <v>14361</v>
      </c>
      <c r="J7427" s="3" t="str">
        <f>HYPERLINK("https://www.boe.es/gazeta/dias/1821/06/16/pdfs/GMD-1821-169.pdf#page=2","Abrir facsímil")</f>
        <v>Abrir facsímil</v>
      </c>
      <c r="K7427" s="3" t="s">
        <v>23</v>
      </c>
    </row>
    <row r="7428" spans="1:11" ht="42" customHeight="1">
      <c r="A7428" s="2" t="s">
        <v>14362</v>
      </c>
      <c r="B7428" s="2" t="s">
        <v>14362</v>
      </c>
      <c r="C7428" s="2" t="s">
        <v>17</v>
      </c>
      <c r="D7428" s="2" t="s">
        <v>18</v>
      </c>
      <c r="E7428" s="5">
        <v>-28849</v>
      </c>
      <c r="F7428" s="3" t="s">
        <v>1989</v>
      </c>
      <c r="G7428" s="3" t="s">
        <v>88</v>
      </c>
      <c r="H7428" s="2" t="s">
        <v>21</v>
      </c>
      <c r="I7428" s="2" t="s">
        <v>14363</v>
      </c>
      <c r="J7428" s="3" t="str">
        <f>HYPERLINK("https://www.boe.es/gazeta/dias/1821/01/04/pdfs/GGB-1821-4.pdf#page=4","Abrir facsímil")</f>
        <v>Abrir facsímil</v>
      </c>
      <c r="K7428" s="3" t="s">
        <v>23</v>
      </c>
    </row>
    <row r="7429" spans="1:11" ht="42" customHeight="1">
      <c r="A7429" s="2" t="s">
        <v>14362</v>
      </c>
      <c r="B7429" s="2" t="s">
        <v>14362</v>
      </c>
      <c r="C7429" s="2" t="s">
        <v>40</v>
      </c>
      <c r="D7429" s="2" t="s">
        <v>41</v>
      </c>
      <c r="E7429" s="5">
        <v>-28830</v>
      </c>
      <c r="F7429" s="3" t="s">
        <v>3230</v>
      </c>
      <c r="G7429" s="3" t="s">
        <v>43</v>
      </c>
      <c r="H7429" s="2" t="s">
        <v>21</v>
      </c>
      <c r="I7429" s="2" t="s">
        <v>14364</v>
      </c>
      <c r="J7429" s="3" t="str">
        <f>HYPERLINK("https://www.boe.es/gazeta/dias/1821/01/23/pdfs/GGB-1821-23.pdf#page=1","Abrir facsímil")</f>
        <v>Abrir facsímil</v>
      </c>
      <c r="K7429" s="3" t="s">
        <v>23</v>
      </c>
    </row>
    <row r="7430" spans="1:11" ht="42" customHeight="1">
      <c r="A7430" s="2" t="s">
        <v>14362</v>
      </c>
      <c r="B7430" s="2" t="s">
        <v>14362</v>
      </c>
      <c r="C7430" s="2" t="s">
        <v>26</v>
      </c>
      <c r="D7430" s="2" t="s">
        <v>27</v>
      </c>
      <c r="E7430" s="5">
        <v>-28778</v>
      </c>
      <c r="F7430" s="3" t="s">
        <v>1301</v>
      </c>
      <c r="G7430" s="3" t="s">
        <v>52</v>
      </c>
      <c r="H7430" s="2" t="s">
        <v>21</v>
      </c>
      <c r="I7430" s="2" t="s">
        <v>14365</v>
      </c>
      <c r="J7430" s="3" t="str">
        <f>HYPERLINK("https://www.boe.es/gazeta/dias/1821/03/16/pdfs/GMD-1821-75.pdf#page=2","Abrir facsímil")</f>
        <v>Abrir facsímil</v>
      </c>
      <c r="K7430" s="3" t="s">
        <v>23</v>
      </c>
    </row>
    <row r="7431" spans="1:11" ht="42" customHeight="1">
      <c r="A7431" s="2" t="s">
        <v>14362</v>
      </c>
      <c r="B7431" s="2" t="s">
        <v>14362</v>
      </c>
      <c r="C7431" s="2" t="s">
        <v>40</v>
      </c>
      <c r="D7431" s="2" t="s">
        <v>41</v>
      </c>
      <c r="E7431" s="5">
        <v>-28763</v>
      </c>
      <c r="F7431" s="3" t="s">
        <v>1145</v>
      </c>
      <c r="G7431" s="3" t="s">
        <v>43</v>
      </c>
      <c r="H7431" s="2" t="s">
        <v>21</v>
      </c>
      <c r="I7431" s="2" t="s">
        <v>14366</v>
      </c>
      <c r="J7431" s="3" t="str">
        <f>HYPERLINK("https://www.boe.es/gazeta/dias/1821/03/31/pdfs/GMD-1821-92.pdf#page=1","Abrir facsímil")</f>
        <v>Abrir facsímil</v>
      </c>
      <c r="K7431" s="3" t="s">
        <v>23</v>
      </c>
    </row>
    <row r="7432" spans="1:11" ht="42" customHeight="1">
      <c r="A7432" s="2" t="s">
        <v>14362</v>
      </c>
      <c r="B7432" s="2" t="s">
        <v>14362</v>
      </c>
      <c r="C7432" s="2" t="s">
        <v>40</v>
      </c>
      <c r="D7432" s="2" t="s">
        <v>41</v>
      </c>
      <c r="E7432" s="5">
        <v>-28746</v>
      </c>
      <c r="F7432" s="3" t="s">
        <v>687</v>
      </c>
      <c r="G7432" s="3" t="s">
        <v>52</v>
      </c>
      <c r="H7432" s="2" t="s">
        <v>21</v>
      </c>
      <c r="I7432" s="2" t="s">
        <v>14367</v>
      </c>
      <c r="J7432" s="3" t="str">
        <f>HYPERLINK("https://www.boe.es/gazeta/dias/1821/04/17/pdfs/GMD-1821-109.pdf#page=2","Abrir facsímil")</f>
        <v>Abrir facsímil</v>
      </c>
      <c r="K7432" s="3" t="s">
        <v>23</v>
      </c>
    </row>
    <row r="7433" spans="1:11" ht="42" customHeight="1">
      <c r="A7433" s="2" t="s">
        <v>14362</v>
      </c>
      <c r="B7433" s="2" t="s">
        <v>14362</v>
      </c>
      <c r="C7433" s="2" t="s">
        <v>40</v>
      </c>
      <c r="D7433" s="2" t="s">
        <v>41</v>
      </c>
      <c r="E7433" s="5">
        <v>-28743</v>
      </c>
      <c r="F7433" s="3" t="s">
        <v>51</v>
      </c>
      <c r="G7433" s="3" t="s">
        <v>43</v>
      </c>
      <c r="H7433" s="2" t="s">
        <v>21</v>
      </c>
      <c r="I7433" s="2" t="s">
        <v>14368</v>
      </c>
      <c r="J7433" s="3" t="str">
        <f>HYPERLINK("https://www.boe.es/gazeta/dias/1821/04/20/pdfs/GMD-1821-112.pdf#page=1","Abrir facsímil")</f>
        <v>Abrir facsímil</v>
      </c>
      <c r="K7433" s="3" t="s">
        <v>23</v>
      </c>
    </row>
    <row r="7434" spans="1:11" ht="42" customHeight="1">
      <c r="A7434" s="2" t="s">
        <v>14362</v>
      </c>
      <c r="B7434" s="2" t="s">
        <v>14362</v>
      </c>
      <c r="C7434" s="2" t="s">
        <v>26</v>
      </c>
      <c r="D7434" s="2" t="s">
        <v>27</v>
      </c>
      <c r="E7434" s="5">
        <v>-28638</v>
      </c>
      <c r="F7434" s="3" t="s">
        <v>736</v>
      </c>
      <c r="G7434" s="3" t="s">
        <v>43</v>
      </c>
      <c r="H7434" s="2" t="s">
        <v>21</v>
      </c>
      <c r="I7434" s="2" t="s">
        <v>14369</v>
      </c>
      <c r="J7434" s="3" t="str">
        <f>HYPERLINK("https://www.boe.es/gazeta/dias/1821/08/03/pdfs/GMD-1821-219.pdf#page=1","Abrir facsímil")</f>
        <v>Abrir facsímil</v>
      </c>
      <c r="K7434" s="3" t="s">
        <v>23</v>
      </c>
    </row>
    <row r="7435" spans="1:11" ht="42" customHeight="1">
      <c r="A7435" s="2" t="s">
        <v>14362</v>
      </c>
      <c r="B7435" s="2" t="s">
        <v>14362</v>
      </c>
      <c r="C7435" s="2" t="s">
        <v>174</v>
      </c>
      <c r="D7435" s="2" t="s">
        <v>27</v>
      </c>
      <c r="E7435" s="5">
        <v>-28635</v>
      </c>
      <c r="F7435" s="3" t="s">
        <v>1210</v>
      </c>
      <c r="G7435" s="3" t="s">
        <v>52</v>
      </c>
      <c r="H7435" s="2" t="s">
        <v>21</v>
      </c>
      <c r="I7435" s="2" t="s">
        <v>14370</v>
      </c>
      <c r="J7435" s="3" t="str">
        <f>HYPERLINK("https://www.boe.es/gazeta/dias/1821/08/06/pdfs/GMD-1821-222.pdf#page=2","Abrir facsímil")</f>
        <v>Abrir facsímil</v>
      </c>
      <c r="K7435" s="3" t="s">
        <v>23</v>
      </c>
    </row>
    <row r="7436" spans="1:11" ht="42" customHeight="1">
      <c r="A7436" s="2" t="s">
        <v>14362</v>
      </c>
      <c r="B7436" s="2" t="s">
        <v>14362</v>
      </c>
      <c r="C7436" s="2" t="s">
        <v>40</v>
      </c>
      <c r="D7436" s="2" t="s">
        <v>41</v>
      </c>
      <c r="E7436" s="5">
        <v>-28616</v>
      </c>
      <c r="F7436" s="3" t="s">
        <v>1912</v>
      </c>
      <c r="G7436" s="3" t="s">
        <v>43</v>
      </c>
      <c r="H7436" s="2" t="s">
        <v>21</v>
      </c>
      <c r="I7436" s="2" t="s">
        <v>14371</v>
      </c>
      <c r="J7436" s="3" t="str">
        <f>HYPERLINK("https://www.boe.es/gazeta/dias/1821/08/25/pdfs/GMD-1821-242.pdf#page=1","Abrir facsímil")</f>
        <v>Abrir facsímil</v>
      </c>
      <c r="K7436" s="3" t="s">
        <v>23</v>
      </c>
    </row>
    <row r="7437" spans="1:11" ht="42" customHeight="1">
      <c r="A7437" s="2" t="s">
        <v>14362</v>
      </c>
      <c r="B7437" s="2" t="s">
        <v>14362</v>
      </c>
      <c r="C7437" s="2" t="s">
        <v>17</v>
      </c>
      <c r="D7437" s="2" t="s">
        <v>18</v>
      </c>
      <c r="E7437" s="5">
        <v>-28612</v>
      </c>
      <c r="F7437" s="3" t="s">
        <v>1902</v>
      </c>
      <c r="G7437" s="3" t="s">
        <v>52</v>
      </c>
      <c r="H7437" s="2" t="s">
        <v>21</v>
      </c>
      <c r="I7437" s="2" t="s">
        <v>14372</v>
      </c>
      <c r="J7437" s="3" t="str">
        <f>HYPERLINK("https://www.boe.es/gazeta/dias/1821/08/29/pdfs/GMD-1821-246.pdf#page=2","Abrir facsímil")</f>
        <v>Abrir facsímil</v>
      </c>
      <c r="K7437" s="3" t="s">
        <v>23</v>
      </c>
    </row>
    <row r="7438" spans="1:11" ht="42" customHeight="1">
      <c r="A7438" s="2" t="s">
        <v>14362</v>
      </c>
      <c r="B7438" s="2" t="s">
        <v>14362</v>
      </c>
      <c r="C7438" s="2" t="s">
        <v>35</v>
      </c>
      <c r="D7438" s="2" t="s">
        <v>27</v>
      </c>
      <c r="E7438" s="5">
        <v>-28606</v>
      </c>
      <c r="F7438" s="3" t="s">
        <v>1799</v>
      </c>
      <c r="G7438" s="3" t="s">
        <v>88</v>
      </c>
      <c r="H7438" s="2" t="s">
        <v>21</v>
      </c>
      <c r="I7438" s="2" t="s">
        <v>14373</v>
      </c>
      <c r="J7438" s="3" t="str">
        <f>HYPERLINK("https://www.boe.es/gazeta/dias/1821/09/04/pdfs/GMD-1821-252.pdf#page=4","Abrir facsímil")</f>
        <v>Abrir facsímil</v>
      </c>
      <c r="K7438" s="3" t="s">
        <v>23</v>
      </c>
    </row>
    <row r="7439" spans="1:11" ht="42" customHeight="1">
      <c r="A7439" s="2" t="s">
        <v>14362</v>
      </c>
      <c r="B7439" s="2" t="s">
        <v>14362</v>
      </c>
      <c r="C7439" s="2" t="s">
        <v>26</v>
      </c>
      <c r="D7439" s="2" t="s">
        <v>27</v>
      </c>
      <c r="E7439" s="5">
        <v>-28605</v>
      </c>
      <c r="F7439" s="3" t="s">
        <v>3173</v>
      </c>
      <c r="G7439" s="3" t="s">
        <v>43</v>
      </c>
      <c r="H7439" s="2" t="s">
        <v>21</v>
      </c>
      <c r="I7439" s="2" t="s">
        <v>14374</v>
      </c>
      <c r="J7439" s="3" t="str">
        <f>HYPERLINK("https://www.boe.es/gazeta/dias/1821/09/05/pdfs/GMD-1821-253.pdf#page=1","Abrir facsímil")</f>
        <v>Abrir facsímil</v>
      </c>
      <c r="K7439" s="3" t="s">
        <v>23</v>
      </c>
    </row>
    <row r="7440" spans="1:11" ht="42" customHeight="1">
      <c r="A7440" s="2" t="s">
        <v>14362</v>
      </c>
      <c r="B7440" s="2" t="s">
        <v>14362</v>
      </c>
      <c r="C7440" s="2" t="s">
        <v>17</v>
      </c>
      <c r="D7440" s="2" t="s">
        <v>18</v>
      </c>
      <c r="E7440" s="5">
        <v>-28543</v>
      </c>
      <c r="F7440" s="3" t="s">
        <v>136</v>
      </c>
      <c r="G7440" s="3" t="s">
        <v>88</v>
      </c>
      <c r="H7440" s="2" t="s">
        <v>21</v>
      </c>
      <c r="I7440" s="2" t="s">
        <v>14375</v>
      </c>
      <c r="J7440" s="3" t="str">
        <f>HYPERLINK("https://www.boe.es/gazeta/dias/1821/11/06/pdfs/GMD-1821-317.pdf#page=4","Abrir facsímil")</f>
        <v>Abrir facsímil</v>
      </c>
      <c r="K7440" s="3" t="s">
        <v>23</v>
      </c>
    </row>
    <row r="7441" spans="1:11" ht="42" customHeight="1">
      <c r="A7441" s="2" t="s">
        <v>14376</v>
      </c>
      <c r="B7441" s="2" t="s">
        <v>14377</v>
      </c>
      <c r="C7441" s="2" t="s">
        <v>70</v>
      </c>
      <c r="D7441" s="2" t="s">
        <v>27</v>
      </c>
      <c r="E7441" s="5">
        <v>-28514</v>
      </c>
      <c r="F7441" s="3" t="s">
        <v>103</v>
      </c>
      <c r="G7441" s="3" t="s">
        <v>52</v>
      </c>
      <c r="H7441" s="2" t="s">
        <v>30</v>
      </c>
      <c r="I7441" s="2" t="s">
        <v>14378</v>
      </c>
      <c r="J7441" s="3" t="str">
        <f>HYPERLINK("https://www.boe.es/gazeta/dias/1821/12/05/pdfs/GMD-1821-347.pdf#page=2","Abrir facsímil")</f>
        <v>Abrir facsímil</v>
      </c>
      <c r="K7441" s="3" t="s">
        <v>32</v>
      </c>
    </row>
    <row r="7442" spans="1:11" ht="42" customHeight="1">
      <c r="A7442" s="2" t="s">
        <v>14379</v>
      </c>
      <c r="B7442" s="2" t="s">
        <v>14380</v>
      </c>
      <c r="C7442" s="2" t="s">
        <v>40</v>
      </c>
      <c r="D7442" s="2" t="s">
        <v>41</v>
      </c>
      <c r="E7442" s="5">
        <v>-28762</v>
      </c>
      <c r="F7442" s="3" t="s">
        <v>608</v>
      </c>
      <c r="G7442" s="3" t="s">
        <v>88</v>
      </c>
      <c r="H7442" s="2" t="s">
        <v>30</v>
      </c>
      <c r="I7442" s="2" t="s">
        <v>14381</v>
      </c>
      <c r="J7442" s="3" t="str">
        <f>HYPERLINK("https://www.boe.es/gazeta/dias/1821/04/01/pdfs/GMD-1821-93.pdf#page=4","Abrir facsímil")</f>
        <v>Abrir facsímil</v>
      </c>
      <c r="K7442" s="3" t="s">
        <v>32</v>
      </c>
    </row>
    <row r="7443" spans="1:11" ht="42" customHeight="1">
      <c r="A7443" s="2" t="s">
        <v>14382</v>
      </c>
      <c r="B7443" s="2" t="s">
        <v>14383</v>
      </c>
      <c r="C7443" s="2" t="s">
        <v>17</v>
      </c>
      <c r="D7443" s="2" t="s">
        <v>18</v>
      </c>
      <c r="E7443" s="5">
        <v>-28654</v>
      </c>
      <c r="F7443" s="3" t="s">
        <v>674</v>
      </c>
      <c r="G7443" s="3" t="s">
        <v>88</v>
      </c>
      <c r="H7443" s="2" t="s">
        <v>30</v>
      </c>
      <c r="I7443" s="2" t="s">
        <v>14384</v>
      </c>
      <c r="J7443" s="3" t="str">
        <f>HYPERLINK("https://www.boe.es/gazeta/dias/1821/07/18/pdfs/GMD-1821-203.pdf#page=4","Abrir facsímil")</f>
        <v>Abrir facsímil</v>
      </c>
      <c r="K7443" s="3" t="s">
        <v>32</v>
      </c>
    </row>
    <row r="7444" spans="1:11" ht="42" customHeight="1">
      <c r="A7444" s="2" t="s">
        <v>14385</v>
      </c>
      <c r="B7444" s="2" t="s">
        <v>14386</v>
      </c>
      <c r="C7444" s="2" t="s">
        <v>40</v>
      </c>
      <c r="D7444" s="2" t="s">
        <v>41</v>
      </c>
      <c r="E7444" s="5">
        <v>-28774</v>
      </c>
      <c r="F7444" s="3" t="s">
        <v>1221</v>
      </c>
      <c r="G7444" s="3" t="s">
        <v>52</v>
      </c>
      <c r="H7444" s="2" t="s">
        <v>21</v>
      </c>
      <c r="I7444" s="2" t="s">
        <v>14387</v>
      </c>
      <c r="J7444" s="3" t="str">
        <f>HYPERLINK("https://www.boe.es/gazeta/dias/1821/03/20/pdfs/GMD-1821-79.pdf#page=2","Abrir facsímil")</f>
        <v>Abrir facsímil</v>
      </c>
      <c r="K7444" s="3" t="s">
        <v>23</v>
      </c>
    </row>
    <row r="7445" spans="1:11" ht="42" customHeight="1">
      <c r="A7445" s="2" t="s">
        <v>14388</v>
      </c>
      <c r="B7445" s="2" t="s">
        <v>14389</v>
      </c>
      <c r="C7445" s="2" t="s">
        <v>40</v>
      </c>
      <c r="D7445" s="2" t="s">
        <v>41</v>
      </c>
      <c r="E7445" s="5">
        <v>-28722</v>
      </c>
      <c r="F7445" s="3" t="s">
        <v>623</v>
      </c>
      <c r="G7445" s="3" t="s">
        <v>43</v>
      </c>
      <c r="H7445" s="2" t="s">
        <v>21</v>
      </c>
      <c r="I7445" s="2" t="s">
        <v>14390</v>
      </c>
      <c r="J7445" s="3" t="str">
        <f>HYPERLINK("https://www.boe.es/gazeta/dias/1821/05/11/pdfs/GMD-1821-133.pdf#page=1","Abrir facsímil")</f>
        <v>Abrir facsímil</v>
      </c>
      <c r="K7445" s="3" t="s">
        <v>23</v>
      </c>
    </row>
    <row r="7446" spans="1:11" ht="42" customHeight="1">
      <c r="A7446" s="2" t="s">
        <v>14391</v>
      </c>
      <c r="B7446" s="2" t="s">
        <v>14392</v>
      </c>
      <c r="C7446" s="2" t="s">
        <v>40</v>
      </c>
      <c r="D7446" s="2" t="s">
        <v>41</v>
      </c>
      <c r="E7446" s="5">
        <v>-28616</v>
      </c>
      <c r="F7446" s="3" t="s">
        <v>1912</v>
      </c>
      <c r="G7446" s="3" t="s">
        <v>52</v>
      </c>
      <c r="H7446" s="2" t="s">
        <v>30</v>
      </c>
      <c r="I7446" s="2" t="s">
        <v>14393</v>
      </c>
      <c r="J7446" s="3" t="str">
        <f>HYPERLINK("https://www.boe.es/gazeta/dias/1821/08/25/pdfs/GMD-1821-242.pdf#page=2","Abrir facsímil")</f>
        <v>Abrir facsímil</v>
      </c>
      <c r="K7446" s="3" t="s">
        <v>32</v>
      </c>
    </row>
    <row r="7447" spans="1:11" ht="42" customHeight="1">
      <c r="A7447" s="2" t="s">
        <v>14394</v>
      </c>
      <c r="B7447" s="2" t="s">
        <v>14395</v>
      </c>
      <c r="C7447" s="2" t="s">
        <v>26</v>
      </c>
      <c r="D7447" s="2" t="s">
        <v>27</v>
      </c>
      <c r="E7447" s="5">
        <v>-28582</v>
      </c>
      <c r="F7447" s="3" t="s">
        <v>3039</v>
      </c>
      <c r="G7447" s="3" t="s">
        <v>88</v>
      </c>
      <c r="H7447" s="2" t="s">
        <v>30</v>
      </c>
      <c r="I7447" s="2" t="s">
        <v>14396</v>
      </c>
      <c r="J7447" s="3" t="str">
        <f>HYPERLINK("https://www.boe.es/gazeta/dias/1821/09/28/pdfs/GMD-1821-276.pdf#page=4","Abrir facsímil")</f>
        <v>Abrir facsímil</v>
      </c>
      <c r="K7447" s="3" t="s">
        <v>32</v>
      </c>
    </row>
    <row r="7448" spans="1:11" ht="42" customHeight="1">
      <c r="A7448" s="2" t="s">
        <v>14397</v>
      </c>
      <c r="B7448" s="2" t="s">
        <v>14398</v>
      </c>
      <c r="C7448" s="2" t="s">
        <v>279</v>
      </c>
      <c r="D7448" s="2" t="s">
        <v>27</v>
      </c>
      <c r="E7448" s="5">
        <v>-28501</v>
      </c>
      <c r="F7448" s="3" t="s">
        <v>456</v>
      </c>
      <c r="G7448" s="3" t="s">
        <v>20</v>
      </c>
      <c r="H7448" s="2" t="s">
        <v>30</v>
      </c>
      <c r="I7448" s="2" t="s">
        <v>14399</v>
      </c>
      <c r="J7448" s="3" t="str">
        <f>HYPERLINK("https://www.boe.es/gazeta/dias/1821/12/18/pdfs/GMD-1821-361.pdf#page=3","Abrir facsímil")</f>
        <v>Abrir facsímil</v>
      </c>
      <c r="K7448" s="3" t="s">
        <v>32</v>
      </c>
    </row>
    <row r="7449" spans="1:11" ht="42" customHeight="1">
      <c r="A7449" s="2" t="s">
        <v>14400</v>
      </c>
      <c r="B7449" s="2" t="s">
        <v>14400</v>
      </c>
      <c r="C7449" s="2" t="s">
        <v>26</v>
      </c>
      <c r="D7449" s="2" t="s">
        <v>27</v>
      </c>
      <c r="E7449" s="5">
        <v>-28693</v>
      </c>
      <c r="F7449" s="3" t="s">
        <v>74</v>
      </c>
      <c r="G7449" s="3" t="s">
        <v>1846</v>
      </c>
      <c r="H7449" s="2" t="s">
        <v>21</v>
      </c>
      <c r="I7449" s="2" t="s">
        <v>14401</v>
      </c>
      <c r="J7449" s="3" t="str">
        <f>HYPERLINK("https://www.boe.es/gazeta/dias/1821/06/09/pdfs/GMD-1821-162.pdf#page=6","Abrir facsímil")</f>
        <v>Abrir facsímil</v>
      </c>
      <c r="K7449" s="3" t="s">
        <v>23</v>
      </c>
    </row>
    <row r="7450" spans="1:11" ht="42" customHeight="1">
      <c r="A7450" s="2" t="s">
        <v>14402</v>
      </c>
      <c r="B7450" s="2" t="s">
        <v>14403</v>
      </c>
      <c r="C7450" s="2" t="s">
        <v>17</v>
      </c>
      <c r="D7450" s="2" t="s">
        <v>18</v>
      </c>
      <c r="E7450" s="5">
        <v>-28565</v>
      </c>
      <c r="F7450" s="3" t="s">
        <v>326</v>
      </c>
      <c r="G7450" s="3" t="s">
        <v>162</v>
      </c>
      <c r="H7450" s="2" t="s">
        <v>21</v>
      </c>
      <c r="I7450" s="2" t="s">
        <v>14404</v>
      </c>
      <c r="J7450" s="3" t="str">
        <f>HYPERLINK("https://www.boe.es/gazeta/dias/1821/10/15/pdfs/GMD-1821-294.pdf#page=5","Abrir facsímil")</f>
        <v>Abrir facsímil</v>
      </c>
      <c r="K7450" s="3" t="s">
        <v>23</v>
      </c>
    </row>
    <row r="7451" spans="1:11" ht="42" customHeight="1">
      <c r="A7451" s="2" t="s">
        <v>14405</v>
      </c>
      <c r="B7451" s="2" t="s">
        <v>14406</v>
      </c>
      <c r="C7451" s="2" t="s">
        <v>40</v>
      </c>
      <c r="D7451" s="2" t="s">
        <v>41</v>
      </c>
      <c r="E7451" s="5">
        <v>-28637</v>
      </c>
      <c r="F7451" s="3" t="s">
        <v>3049</v>
      </c>
      <c r="G7451" s="3" t="s">
        <v>88</v>
      </c>
      <c r="H7451" s="2" t="s">
        <v>21</v>
      </c>
      <c r="I7451" s="2" t="s">
        <v>14407</v>
      </c>
      <c r="J7451" s="3" t="str">
        <f>HYPERLINK("https://www.boe.es/gazeta/dias/1821/08/04/pdfs/GMD-1821-220.pdf#page=4","Abrir facsímil")</f>
        <v>Abrir facsímil</v>
      </c>
      <c r="K7451" s="3" t="s">
        <v>23</v>
      </c>
    </row>
    <row r="7452" spans="1:11" ht="42" customHeight="1">
      <c r="A7452" s="2" t="s">
        <v>14408</v>
      </c>
      <c r="B7452" s="2" t="s">
        <v>14408</v>
      </c>
      <c r="C7452" s="2" t="s">
        <v>174</v>
      </c>
      <c r="D7452" s="2" t="s">
        <v>27</v>
      </c>
      <c r="E7452" s="5">
        <v>-28847</v>
      </c>
      <c r="F7452" s="3" t="s">
        <v>288</v>
      </c>
      <c r="G7452" s="3" t="s">
        <v>289</v>
      </c>
      <c r="H7452" s="2" t="s">
        <v>21</v>
      </c>
      <c r="I7452" s="2" t="s">
        <v>14409</v>
      </c>
      <c r="J7452" s="3" t="str">
        <f>HYPERLINK("https://www.boe.es/gazeta/dias/1821/01/06/pdfs/GGB-1821-6.pdf#page=4","Abrir facsímil")</f>
        <v>Abrir facsímil</v>
      </c>
      <c r="K7452" s="3" t="s">
        <v>23</v>
      </c>
    </row>
    <row r="7453" spans="1:11" ht="42" customHeight="1">
      <c r="A7453" s="2" t="s">
        <v>14410</v>
      </c>
      <c r="B7453" s="2" t="s">
        <v>14411</v>
      </c>
      <c r="C7453" s="2" t="s">
        <v>174</v>
      </c>
      <c r="D7453" s="2" t="s">
        <v>27</v>
      </c>
      <c r="E7453" s="5">
        <v>-28644</v>
      </c>
      <c r="F7453" s="3" t="s">
        <v>1340</v>
      </c>
      <c r="G7453" s="3" t="s">
        <v>20</v>
      </c>
      <c r="H7453" s="2" t="s">
        <v>21</v>
      </c>
      <c r="I7453" s="2" t="s">
        <v>14412</v>
      </c>
      <c r="J7453" s="3" t="str">
        <f>HYPERLINK("https://www.boe.es/gazeta/dias/1821/07/28/pdfs/GMD-1821-213.pdf#page=3","Abrir facsímil")</f>
        <v>Abrir facsímil</v>
      </c>
      <c r="K7453" s="3" t="s">
        <v>23</v>
      </c>
    </row>
    <row r="7454" spans="1:11" ht="42" customHeight="1">
      <c r="A7454" s="2" t="s">
        <v>14413</v>
      </c>
      <c r="B7454" s="2" t="s">
        <v>14414</v>
      </c>
      <c r="C7454" s="2" t="s">
        <v>26</v>
      </c>
      <c r="D7454" s="2" t="s">
        <v>27</v>
      </c>
      <c r="E7454" s="5">
        <v>-28547</v>
      </c>
      <c r="F7454" s="3" t="s">
        <v>247</v>
      </c>
      <c r="G7454" s="3" t="s">
        <v>248</v>
      </c>
      <c r="H7454" s="2" t="s">
        <v>21</v>
      </c>
      <c r="I7454" s="2" t="s">
        <v>14415</v>
      </c>
      <c r="J7454" s="3" t="str">
        <f>HYPERLINK("https://www.boe.es/gazeta/dias/1821/11/02/pdfs/GMD-1821-312.pdf#page=2","Abrir facsímil")</f>
        <v>Abrir facsímil</v>
      </c>
      <c r="K7454" s="3" t="s">
        <v>23</v>
      </c>
    </row>
    <row r="7455" spans="1:11" ht="42" customHeight="1">
      <c r="A7455" s="2" t="s">
        <v>14416</v>
      </c>
      <c r="B7455" s="2" t="s">
        <v>14417</v>
      </c>
      <c r="C7455" s="2" t="s">
        <v>174</v>
      </c>
      <c r="D7455" s="2" t="s">
        <v>27</v>
      </c>
      <c r="E7455" s="5">
        <v>-28541</v>
      </c>
      <c r="F7455" s="3" t="s">
        <v>275</v>
      </c>
      <c r="G7455" s="3" t="s">
        <v>29</v>
      </c>
      <c r="H7455" s="2" t="s">
        <v>21</v>
      </c>
      <c r="I7455" s="2" t="s">
        <v>14418</v>
      </c>
      <c r="J7455" s="3" t="str">
        <f>HYPERLINK("https://www.boe.es/gazeta/dias/1821/11/08/pdfs/GMD-1821-319.pdf#page=6","Abrir facsímil")</f>
        <v>Abrir facsímil</v>
      </c>
      <c r="K7455" s="3" t="s">
        <v>23</v>
      </c>
    </row>
    <row r="7456" spans="1:11" ht="42" customHeight="1">
      <c r="A7456" s="2" t="s">
        <v>14419</v>
      </c>
      <c r="B7456" s="2" t="s">
        <v>14420</v>
      </c>
      <c r="C7456" s="2" t="s">
        <v>70</v>
      </c>
      <c r="D7456" s="2" t="s">
        <v>27</v>
      </c>
      <c r="E7456" s="5">
        <v>-28648</v>
      </c>
      <c r="F7456" s="3" t="s">
        <v>1520</v>
      </c>
      <c r="G7456" s="3" t="s">
        <v>43</v>
      </c>
      <c r="H7456" s="2" t="s">
        <v>21</v>
      </c>
      <c r="I7456" s="2" t="s">
        <v>14421</v>
      </c>
      <c r="J7456" s="3" t="str">
        <f>HYPERLINK("https://www.boe.es/gazeta/dias/1821/07/24/pdfs/GMD-1821-209.pdf#page=1","Abrir facsímil")</f>
        <v>Abrir facsímil</v>
      </c>
      <c r="K7456" s="3" t="s">
        <v>23</v>
      </c>
    </row>
    <row r="7457" spans="1:11" ht="42" customHeight="1">
      <c r="A7457" s="2" t="s">
        <v>14422</v>
      </c>
      <c r="B7457" s="2" t="s">
        <v>14423</v>
      </c>
      <c r="C7457" s="2" t="s">
        <v>40</v>
      </c>
      <c r="D7457" s="2" t="s">
        <v>41</v>
      </c>
      <c r="E7457" s="5">
        <v>-28511</v>
      </c>
      <c r="F7457" s="3" t="s">
        <v>340</v>
      </c>
      <c r="G7457" s="3" t="s">
        <v>52</v>
      </c>
      <c r="H7457" s="2" t="s">
        <v>21</v>
      </c>
      <c r="I7457" s="2" t="s">
        <v>14424</v>
      </c>
      <c r="J7457" s="3" t="str">
        <f>HYPERLINK("https://www.boe.es/gazeta/dias/1821/12/08/pdfs/GMD-1821-350.pdf#page=2","Abrir facsímil")</f>
        <v>Abrir facsímil</v>
      </c>
      <c r="K7457" s="3" t="s">
        <v>23</v>
      </c>
    </row>
    <row r="7458" spans="1:11" ht="42" customHeight="1">
      <c r="A7458" s="2" t="s">
        <v>14425</v>
      </c>
      <c r="B7458" s="2" t="s">
        <v>14426</v>
      </c>
      <c r="C7458" s="2" t="s">
        <v>40</v>
      </c>
      <c r="D7458" s="2" t="s">
        <v>41</v>
      </c>
      <c r="E7458" s="5">
        <v>-28650</v>
      </c>
      <c r="F7458" s="3" t="s">
        <v>3285</v>
      </c>
      <c r="G7458" s="3" t="s">
        <v>20</v>
      </c>
      <c r="H7458" s="2" t="s">
        <v>21</v>
      </c>
      <c r="I7458" s="2" t="s">
        <v>14427</v>
      </c>
      <c r="J7458" s="3" t="str">
        <f>HYPERLINK("https://www.boe.es/gazeta/dias/1821/07/22/pdfs/GMD-1821-207.pdf#page=3","Abrir facsímil")</f>
        <v>Abrir facsímil</v>
      </c>
      <c r="K7458" s="3" t="s">
        <v>23</v>
      </c>
    </row>
    <row r="7459" spans="1:11" ht="42" customHeight="1">
      <c r="A7459" s="2" t="s">
        <v>14428</v>
      </c>
      <c r="B7459" s="2" t="s">
        <v>14428</v>
      </c>
      <c r="C7459" s="2" t="s">
        <v>17</v>
      </c>
      <c r="D7459" s="2" t="s">
        <v>18</v>
      </c>
      <c r="E7459" s="5">
        <v>-28751</v>
      </c>
      <c r="F7459" s="3" t="s">
        <v>356</v>
      </c>
      <c r="G7459" s="3" t="s">
        <v>20</v>
      </c>
      <c r="H7459" s="2" t="s">
        <v>21</v>
      </c>
      <c r="I7459" s="2" t="s">
        <v>14429</v>
      </c>
      <c r="J7459" s="3" t="str">
        <f>HYPERLINK("https://www.boe.es/gazeta/dias/1821/04/12/pdfs/GMD-1821-104.pdf#page=3","Abrir facsímil")</f>
        <v>Abrir facsímil</v>
      </c>
      <c r="K7459" s="3" t="s">
        <v>23</v>
      </c>
    </row>
    <row r="7460" spans="1:11" ht="42" customHeight="1">
      <c r="A7460" s="2" t="s">
        <v>14430</v>
      </c>
      <c r="B7460" s="2" t="s">
        <v>14431</v>
      </c>
      <c r="C7460" s="2" t="s">
        <v>40</v>
      </c>
      <c r="D7460" s="2" t="s">
        <v>41</v>
      </c>
      <c r="E7460" s="5">
        <v>-28705</v>
      </c>
      <c r="F7460" s="3" t="s">
        <v>1844</v>
      </c>
      <c r="G7460" s="3" t="s">
        <v>52</v>
      </c>
      <c r="H7460" s="2" t="s">
        <v>21</v>
      </c>
      <c r="I7460" s="2" t="s">
        <v>14432</v>
      </c>
      <c r="J7460" s="3" t="str">
        <f>HYPERLINK("https://www.boe.es/gazeta/dias/1821/05/28/pdfs/GMD-1821-150.pdf#page=2","Abrir facsímil")</f>
        <v>Abrir facsímil</v>
      </c>
      <c r="K7460" s="3" t="s">
        <v>23</v>
      </c>
    </row>
    <row r="7461" spans="1:11" ht="42" customHeight="1">
      <c r="A7461" s="2" t="s">
        <v>14433</v>
      </c>
      <c r="B7461" s="2" t="s">
        <v>14433</v>
      </c>
      <c r="C7461" s="2" t="s">
        <v>26</v>
      </c>
      <c r="D7461" s="2" t="s">
        <v>27</v>
      </c>
      <c r="E7461" s="5">
        <v>-28752</v>
      </c>
      <c r="F7461" s="3" t="s">
        <v>1012</v>
      </c>
      <c r="G7461" s="3" t="s">
        <v>1013</v>
      </c>
      <c r="H7461" s="2" t="s">
        <v>21</v>
      </c>
      <c r="I7461" s="2" t="s">
        <v>14434</v>
      </c>
      <c r="J7461" s="3" t="str">
        <f>HYPERLINK("https://www.boe.es/gazeta/dias/1821/04/11/pdfs/GMD-1821-103.pdf#page=3","Abrir facsímil")</f>
        <v>Abrir facsímil</v>
      </c>
      <c r="K7461" s="3" t="s">
        <v>23</v>
      </c>
    </row>
    <row r="7462" spans="1:11" ht="42" customHeight="1">
      <c r="A7462" s="2" t="s">
        <v>14433</v>
      </c>
      <c r="B7462" s="2" t="s">
        <v>14433</v>
      </c>
      <c r="C7462" s="2" t="s">
        <v>35</v>
      </c>
      <c r="D7462" s="2" t="s">
        <v>27</v>
      </c>
      <c r="E7462" s="5">
        <v>-28510</v>
      </c>
      <c r="F7462" s="3" t="s">
        <v>83</v>
      </c>
      <c r="G7462" s="3" t="s">
        <v>88</v>
      </c>
      <c r="H7462" s="2" t="s">
        <v>21</v>
      </c>
      <c r="I7462" s="2" t="s">
        <v>14435</v>
      </c>
      <c r="J7462" s="3" t="str">
        <f>HYPERLINK("https://www.boe.es/gazeta/dias/1821/12/09/pdfs/GMD-1821-351.pdf#page=4","Abrir facsímil")</f>
        <v>Abrir facsímil</v>
      </c>
      <c r="K7462" s="3" t="s">
        <v>23</v>
      </c>
    </row>
    <row r="7463" spans="1:11" ht="42" customHeight="1">
      <c r="A7463" s="2" t="s">
        <v>14436</v>
      </c>
      <c r="B7463" s="2" t="s">
        <v>14437</v>
      </c>
      <c r="C7463" s="2" t="s">
        <v>114</v>
      </c>
      <c r="D7463" s="2" t="s">
        <v>27</v>
      </c>
      <c r="E7463" s="5">
        <v>-28667</v>
      </c>
      <c r="F7463" s="3" t="s">
        <v>107</v>
      </c>
      <c r="G7463" s="3" t="s">
        <v>52</v>
      </c>
      <c r="H7463" s="2" t="s">
        <v>21</v>
      </c>
      <c r="I7463" s="2" t="s">
        <v>14438</v>
      </c>
      <c r="J7463" s="3" t="str">
        <f>HYPERLINK("https://www.boe.es/gazeta/dias/1821/07/05/pdfs/GMD-1821-189.pdf#page=2","Abrir facsímil")</f>
        <v>Abrir facsímil</v>
      </c>
      <c r="K7463" s="3" t="s">
        <v>23</v>
      </c>
    </row>
    <row r="7464" spans="1:11" ht="42" customHeight="1">
      <c r="A7464" s="2" t="s">
        <v>14439</v>
      </c>
      <c r="B7464" s="2" t="s">
        <v>14440</v>
      </c>
      <c r="C7464" s="2" t="s">
        <v>114</v>
      </c>
      <c r="D7464" s="2" t="s">
        <v>27</v>
      </c>
      <c r="E7464" s="5">
        <v>-28805</v>
      </c>
      <c r="F7464" s="3" t="s">
        <v>382</v>
      </c>
      <c r="G7464" s="3" t="s">
        <v>20</v>
      </c>
      <c r="H7464" s="2" t="s">
        <v>21</v>
      </c>
      <c r="I7464" s="2" t="s">
        <v>14441</v>
      </c>
      <c r="J7464" s="3" t="str">
        <f>HYPERLINK("https://www.boe.es/gazeta/dias/1821/02/17/pdfs/GGB-1821-48.pdf#page=3","Abrir facsímil")</f>
        <v>Abrir facsímil</v>
      </c>
      <c r="K7464" s="3" t="s">
        <v>23</v>
      </c>
    </row>
    <row r="7465" spans="1:11" ht="42" customHeight="1">
      <c r="A7465" s="2" t="s">
        <v>14442</v>
      </c>
      <c r="B7465" s="2" t="s">
        <v>14443</v>
      </c>
      <c r="C7465" s="2" t="s">
        <v>26</v>
      </c>
      <c r="D7465" s="2" t="s">
        <v>27</v>
      </c>
      <c r="E7465" s="5">
        <v>-28547</v>
      </c>
      <c r="F7465" s="3" t="s">
        <v>247</v>
      </c>
      <c r="G7465" s="3" t="s">
        <v>248</v>
      </c>
      <c r="H7465" s="2" t="s">
        <v>21</v>
      </c>
      <c r="I7465" s="2" t="s">
        <v>14444</v>
      </c>
      <c r="J7465" s="3" t="str">
        <f>HYPERLINK("https://www.boe.es/gazeta/dias/1821/11/02/pdfs/GMD-1821-312.pdf#page=2","Abrir facsímil")</f>
        <v>Abrir facsímil</v>
      </c>
      <c r="K7465" s="3" t="s">
        <v>23</v>
      </c>
    </row>
    <row r="7466" spans="1:11" ht="42" customHeight="1">
      <c r="A7466" s="2" t="s">
        <v>14445</v>
      </c>
      <c r="B7466" s="2" t="s">
        <v>14446</v>
      </c>
      <c r="C7466" s="2" t="s">
        <v>26</v>
      </c>
      <c r="D7466" s="2" t="s">
        <v>27</v>
      </c>
      <c r="E7466" s="5">
        <v>-28547</v>
      </c>
      <c r="F7466" s="3" t="s">
        <v>247</v>
      </c>
      <c r="G7466" s="3" t="s">
        <v>248</v>
      </c>
      <c r="H7466" s="2" t="s">
        <v>21</v>
      </c>
      <c r="I7466" s="2" t="s">
        <v>14447</v>
      </c>
      <c r="J7466" s="3" t="str">
        <f>HYPERLINK("https://www.boe.es/gazeta/dias/1821/11/02/pdfs/GMD-1821-312.pdf#page=2","Abrir facsímil")</f>
        <v>Abrir facsímil</v>
      </c>
      <c r="K7466" s="3" t="s">
        <v>23</v>
      </c>
    </row>
    <row r="7467" spans="1:11" ht="42" customHeight="1">
      <c r="A7467" s="2" t="s">
        <v>14448</v>
      </c>
      <c r="B7467" s="2" t="s">
        <v>14449</v>
      </c>
      <c r="C7467" s="2" t="s">
        <v>17</v>
      </c>
      <c r="D7467" s="2" t="s">
        <v>18</v>
      </c>
      <c r="E7467" s="5">
        <v>-28741</v>
      </c>
      <c r="F7467" s="3" t="s">
        <v>1841</v>
      </c>
      <c r="G7467" s="3" t="s">
        <v>88</v>
      </c>
      <c r="H7467" s="2" t="s">
        <v>21</v>
      </c>
      <c r="I7467" s="2" t="s">
        <v>14450</v>
      </c>
      <c r="J7467" s="3" t="str">
        <f>HYPERLINK("https://www.boe.es/gazeta/dias/1821/04/22/pdfs/GMD-1821-114.pdf#page=4","Abrir facsímil")</f>
        <v>Abrir facsímil</v>
      </c>
      <c r="K7467" s="3" t="s">
        <v>23</v>
      </c>
    </row>
    <row r="7468" spans="1:11" ht="42" customHeight="1">
      <c r="A7468" s="2" t="s">
        <v>14451</v>
      </c>
      <c r="B7468" s="2" t="s">
        <v>14451</v>
      </c>
      <c r="C7468" s="2" t="s">
        <v>17</v>
      </c>
      <c r="D7468" s="2" t="s">
        <v>18</v>
      </c>
      <c r="E7468" s="5">
        <v>-28535</v>
      </c>
      <c r="F7468" s="3" t="s">
        <v>96</v>
      </c>
      <c r="G7468" s="3" t="s">
        <v>43</v>
      </c>
      <c r="H7468" s="2" t="s">
        <v>21</v>
      </c>
      <c r="I7468" s="2" t="s">
        <v>14452</v>
      </c>
      <c r="J7468" s="3" t="str">
        <f>HYPERLINK("https://www.boe.es/gazeta/dias/1821/11/14/pdfs/GMD-1821-325.pdf#page=1","Abrir facsímil")</f>
        <v>Abrir facsímil</v>
      </c>
      <c r="K7468" s="3" t="s">
        <v>23</v>
      </c>
    </row>
    <row r="7469" spans="1:11" ht="42" customHeight="1">
      <c r="A7469" s="2" t="s">
        <v>14453</v>
      </c>
      <c r="B7469" s="2" t="s">
        <v>14453</v>
      </c>
      <c r="C7469" s="2" t="s">
        <v>40</v>
      </c>
      <c r="D7469" s="2" t="s">
        <v>41</v>
      </c>
      <c r="E7469" s="5">
        <v>-28668</v>
      </c>
      <c r="F7469" s="3" t="s">
        <v>2130</v>
      </c>
      <c r="G7469" s="3" t="s">
        <v>88</v>
      </c>
      <c r="H7469" s="2" t="s">
        <v>21</v>
      </c>
      <c r="I7469" s="2" t="s">
        <v>14454</v>
      </c>
      <c r="J7469" s="3" t="str">
        <f>HYPERLINK("https://www.boe.es/gazeta/dias/1821/07/04/pdfs/GMD-1821-188.pdf#page=4","Abrir facsímil")</f>
        <v>Abrir facsímil</v>
      </c>
      <c r="K7469" s="3" t="s">
        <v>23</v>
      </c>
    </row>
    <row r="7470" spans="1:11" ht="42" customHeight="1">
      <c r="A7470" s="2" t="s">
        <v>14455</v>
      </c>
      <c r="B7470" s="2" t="s">
        <v>14456</v>
      </c>
      <c r="C7470" s="2" t="s">
        <v>17</v>
      </c>
      <c r="D7470" s="2" t="s">
        <v>18</v>
      </c>
      <c r="E7470" s="5">
        <v>-28728</v>
      </c>
      <c r="F7470" s="3" t="s">
        <v>1038</v>
      </c>
      <c r="G7470" s="3" t="s">
        <v>20</v>
      </c>
      <c r="H7470" s="2" t="s">
        <v>21</v>
      </c>
      <c r="I7470" s="2" t="s">
        <v>14457</v>
      </c>
      <c r="J7470" s="3" t="str">
        <f>HYPERLINK("https://www.boe.es/gazeta/dias/1821/05/05/pdfs/GMD-1821-127.pdf#page=3","Abrir facsímil")</f>
        <v>Abrir facsímil</v>
      </c>
      <c r="K7470" s="3" t="s">
        <v>23</v>
      </c>
    </row>
    <row r="7471" spans="1:11" ht="42" customHeight="1">
      <c r="A7471" s="2" t="s">
        <v>14458</v>
      </c>
      <c r="B7471" s="2" t="s">
        <v>14458</v>
      </c>
      <c r="C7471" s="2" t="s">
        <v>40</v>
      </c>
      <c r="D7471" s="2" t="s">
        <v>41</v>
      </c>
      <c r="E7471" s="5">
        <v>-28694</v>
      </c>
      <c r="F7471" s="3" t="s">
        <v>1057</v>
      </c>
      <c r="G7471" s="3" t="s">
        <v>20</v>
      </c>
      <c r="H7471" s="2" t="s">
        <v>21</v>
      </c>
      <c r="I7471" s="2" t="s">
        <v>14459</v>
      </c>
      <c r="J7471" s="3" t="str">
        <f>HYPERLINK("https://www.boe.es/gazeta/dias/1821/06/08/pdfs/GMD-1821-161.pdf#page=3","Abrir facsímil")</f>
        <v>Abrir facsímil</v>
      </c>
      <c r="K7471" s="3" t="s">
        <v>23</v>
      </c>
    </row>
    <row r="7472" spans="1:11" ht="42" customHeight="1">
      <c r="A7472" s="2" t="s">
        <v>14458</v>
      </c>
      <c r="B7472" s="2" t="s">
        <v>14458</v>
      </c>
      <c r="C7472" s="2" t="s">
        <v>35</v>
      </c>
      <c r="D7472" s="2" t="s">
        <v>27</v>
      </c>
      <c r="E7472" s="5">
        <v>-28690</v>
      </c>
      <c r="F7472" s="3" t="s">
        <v>846</v>
      </c>
      <c r="G7472" s="3" t="s">
        <v>20</v>
      </c>
      <c r="H7472" s="2" t="s">
        <v>21</v>
      </c>
      <c r="I7472" s="2" t="s">
        <v>14460</v>
      </c>
      <c r="J7472" s="3" t="str">
        <f>HYPERLINK("https://www.boe.es/gazeta/dias/1821/06/12/pdfs/GMD-1821-165.pdf#page=3","Abrir facsímil")</f>
        <v>Abrir facsímil</v>
      </c>
      <c r="K7472" s="3" t="s">
        <v>23</v>
      </c>
    </row>
    <row r="7473" spans="1:11" ht="42" customHeight="1">
      <c r="A7473" s="2" t="s">
        <v>14458</v>
      </c>
      <c r="B7473" s="2" t="s">
        <v>14458</v>
      </c>
      <c r="C7473" s="2" t="s">
        <v>35</v>
      </c>
      <c r="D7473" s="2" t="s">
        <v>27</v>
      </c>
      <c r="E7473" s="5">
        <v>-28672</v>
      </c>
      <c r="F7473" s="3" t="s">
        <v>964</v>
      </c>
      <c r="G7473" s="3" t="s">
        <v>20</v>
      </c>
      <c r="H7473" s="2" t="s">
        <v>21</v>
      </c>
      <c r="I7473" s="2" t="s">
        <v>14461</v>
      </c>
      <c r="J7473" s="3" t="str">
        <f>HYPERLINK("https://www.boe.es/gazeta/dias/1821/06/30/pdfs/GMD-1821-183.pdf#page=3","Abrir facsímil")</f>
        <v>Abrir facsímil</v>
      </c>
      <c r="K7473" s="3" t="s">
        <v>23</v>
      </c>
    </row>
    <row r="7474" spans="1:11" ht="42" customHeight="1">
      <c r="A7474" s="2" t="s">
        <v>14458</v>
      </c>
      <c r="B7474" s="2" t="s">
        <v>14458</v>
      </c>
      <c r="C7474" s="2" t="s">
        <v>26</v>
      </c>
      <c r="D7474" s="2" t="s">
        <v>27</v>
      </c>
      <c r="E7474" s="5">
        <v>-28552</v>
      </c>
      <c r="F7474" s="3" t="s">
        <v>28</v>
      </c>
      <c r="G7474" s="3" t="s">
        <v>2457</v>
      </c>
      <c r="H7474" s="2" t="s">
        <v>21</v>
      </c>
      <c r="I7474" s="2" t="s">
        <v>14462</v>
      </c>
      <c r="J7474" s="3" t="str">
        <f>HYPERLINK("https://www.boe.es/gazeta/dias/1821/10/28/pdfs/GMD-1821-307.pdf#page=4","Abrir facsímil")</f>
        <v>Abrir facsímil</v>
      </c>
      <c r="K7474" s="3" t="s">
        <v>23</v>
      </c>
    </row>
    <row r="7475" spans="1:11" ht="42" customHeight="1">
      <c r="A7475" s="2" t="s">
        <v>14458</v>
      </c>
      <c r="B7475" s="2" t="s">
        <v>14458</v>
      </c>
      <c r="C7475" s="2" t="s">
        <v>26</v>
      </c>
      <c r="D7475" s="2" t="s">
        <v>27</v>
      </c>
      <c r="E7475" s="5">
        <v>-28551</v>
      </c>
      <c r="F7475" s="3" t="s">
        <v>542</v>
      </c>
      <c r="G7475" s="3" t="s">
        <v>543</v>
      </c>
      <c r="H7475" s="2" t="s">
        <v>21</v>
      </c>
      <c r="I7475" s="2" t="s">
        <v>14463</v>
      </c>
      <c r="J7475" s="3" t="str">
        <f>HYPERLINK("https://www.boe.es/gazeta/dias/1821/10/29/pdfs/GMD-1821-308.pdf#page=3","Abrir facsímil")</f>
        <v>Abrir facsímil</v>
      </c>
      <c r="K7475" s="3" t="s">
        <v>23</v>
      </c>
    </row>
    <row r="7476" spans="1:11" ht="42" customHeight="1">
      <c r="A7476" s="2" t="s">
        <v>14458</v>
      </c>
      <c r="B7476" s="2" t="s">
        <v>14458</v>
      </c>
      <c r="C7476" s="2" t="s">
        <v>26</v>
      </c>
      <c r="D7476" s="2" t="s">
        <v>27</v>
      </c>
      <c r="E7476" s="5">
        <v>-28551</v>
      </c>
      <c r="F7476" s="3" t="s">
        <v>542</v>
      </c>
      <c r="G7476" s="3" t="s">
        <v>88</v>
      </c>
      <c r="H7476" s="2" t="s">
        <v>21</v>
      </c>
      <c r="I7476" s="2" t="s">
        <v>14464</v>
      </c>
      <c r="J7476" s="3" t="str">
        <f>HYPERLINK("https://www.boe.es/gazeta/dias/1821/10/29/pdfs/GMD-1821-308.pdf#page=4","Abrir facsímil")</f>
        <v>Abrir facsímil</v>
      </c>
      <c r="K7476" s="3" t="s">
        <v>23</v>
      </c>
    </row>
    <row r="7477" spans="1:11" ht="42" customHeight="1">
      <c r="A7477" s="2" t="s">
        <v>14458</v>
      </c>
      <c r="B7477" s="2" t="s">
        <v>14458</v>
      </c>
      <c r="C7477" s="2" t="s">
        <v>26</v>
      </c>
      <c r="D7477" s="2" t="s">
        <v>27</v>
      </c>
      <c r="E7477" s="5">
        <v>-28550</v>
      </c>
      <c r="F7477" s="3" t="s">
        <v>546</v>
      </c>
      <c r="G7477" s="3" t="s">
        <v>88</v>
      </c>
      <c r="H7477" s="2" t="s">
        <v>21</v>
      </c>
      <c r="I7477" s="2" t="s">
        <v>14465</v>
      </c>
      <c r="J7477" s="3" t="str">
        <f>HYPERLINK("https://www.boe.es/gazeta/dias/1821/10/30/pdfs/GMD-1821-309.pdf#page=4","Abrir facsímil")</f>
        <v>Abrir facsímil</v>
      </c>
      <c r="K7477" s="3" t="s">
        <v>23</v>
      </c>
    </row>
    <row r="7478" spans="1:11" ht="42" customHeight="1">
      <c r="A7478" s="2" t="s">
        <v>14458</v>
      </c>
      <c r="B7478" s="2" t="s">
        <v>14458</v>
      </c>
      <c r="C7478" s="2" t="s">
        <v>35</v>
      </c>
      <c r="D7478" s="2" t="s">
        <v>27</v>
      </c>
      <c r="E7478" s="5">
        <v>-28549</v>
      </c>
      <c r="F7478" s="3" t="s">
        <v>930</v>
      </c>
      <c r="G7478" s="3" t="s">
        <v>20</v>
      </c>
      <c r="H7478" s="2" t="s">
        <v>21</v>
      </c>
      <c r="I7478" s="2" t="s">
        <v>14466</v>
      </c>
      <c r="J7478" s="3" t="str">
        <f>HYPERLINK("https://www.boe.es/gazeta/dias/1821/10/31/pdfs/GMD-1821-310.pdf#page=3","Abrir facsímil")</f>
        <v>Abrir facsímil</v>
      </c>
      <c r="K7478" s="3" t="s">
        <v>23</v>
      </c>
    </row>
    <row r="7479" spans="1:11" ht="42" customHeight="1">
      <c r="A7479" s="2" t="s">
        <v>14458</v>
      </c>
      <c r="B7479" s="2" t="s">
        <v>14458</v>
      </c>
      <c r="C7479" s="2" t="s">
        <v>114</v>
      </c>
      <c r="D7479" s="2" t="s">
        <v>27</v>
      </c>
      <c r="E7479" s="5">
        <v>-28549</v>
      </c>
      <c r="F7479" s="3" t="s">
        <v>930</v>
      </c>
      <c r="G7479" s="3" t="s">
        <v>88</v>
      </c>
      <c r="H7479" s="2" t="s">
        <v>21</v>
      </c>
      <c r="I7479" s="2" t="s">
        <v>14467</v>
      </c>
      <c r="J7479" s="3" t="str">
        <f>HYPERLINK("https://www.boe.es/gazeta/dias/1821/10/31/pdfs/GMD-1821-310.pdf#page=4","Abrir facsímil")</f>
        <v>Abrir facsímil</v>
      </c>
      <c r="K7479" s="3" t="s">
        <v>23</v>
      </c>
    </row>
    <row r="7480" spans="1:11" ht="42" customHeight="1">
      <c r="A7480" s="2" t="s">
        <v>14458</v>
      </c>
      <c r="B7480" s="2" t="s">
        <v>14458</v>
      </c>
      <c r="C7480" s="2" t="s">
        <v>26</v>
      </c>
      <c r="D7480" s="2" t="s">
        <v>27</v>
      </c>
      <c r="E7480" s="5">
        <v>-28549</v>
      </c>
      <c r="F7480" s="3" t="s">
        <v>930</v>
      </c>
      <c r="G7480" s="3" t="s">
        <v>162</v>
      </c>
      <c r="H7480" s="2" t="s">
        <v>21</v>
      </c>
      <c r="I7480" s="2" t="s">
        <v>14468</v>
      </c>
      <c r="J7480" s="3" t="str">
        <f>HYPERLINK("https://www.boe.es/gazeta/dias/1821/10/31/pdfs/GMD-1821-310.pdf#page=5","Abrir facsímil")</f>
        <v>Abrir facsímil</v>
      </c>
      <c r="K7480" s="3" t="s">
        <v>23</v>
      </c>
    </row>
    <row r="7481" spans="1:11" ht="42" customHeight="1">
      <c r="A7481" s="2" t="s">
        <v>14458</v>
      </c>
      <c r="B7481" s="2" t="s">
        <v>14458</v>
      </c>
      <c r="C7481" s="2" t="s">
        <v>35</v>
      </c>
      <c r="D7481" s="2" t="s">
        <v>27</v>
      </c>
      <c r="E7481" s="5">
        <v>-28543</v>
      </c>
      <c r="F7481" s="3" t="s">
        <v>136</v>
      </c>
      <c r="G7481" s="3" t="s">
        <v>162</v>
      </c>
      <c r="H7481" s="2" t="s">
        <v>21</v>
      </c>
      <c r="I7481" s="2" t="s">
        <v>14469</v>
      </c>
      <c r="J7481" s="3" t="str">
        <f>HYPERLINK("https://www.boe.es/gazeta/dias/1821/11/06/pdfs/GMD-1821-317.pdf#page=5","Abrir facsímil")</f>
        <v>Abrir facsímil</v>
      </c>
      <c r="K7481" s="3" t="s">
        <v>23</v>
      </c>
    </row>
    <row r="7482" spans="1:11" ht="42" customHeight="1">
      <c r="A7482" s="2" t="s">
        <v>14458</v>
      </c>
      <c r="B7482" s="2" t="s">
        <v>14458</v>
      </c>
      <c r="C7482" s="2" t="s">
        <v>26</v>
      </c>
      <c r="D7482" s="2" t="s">
        <v>27</v>
      </c>
      <c r="E7482" s="5">
        <v>-28539</v>
      </c>
      <c r="F7482" s="3" t="s">
        <v>153</v>
      </c>
      <c r="G7482" s="3" t="s">
        <v>162</v>
      </c>
      <c r="H7482" s="2" t="s">
        <v>21</v>
      </c>
      <c r="I7482" s="2" t="s">
        <v>14470</v>
      </c>
      <c r="J7482" s="3" t="str">
        <f>HYPERLINK("https://www.boe.es/gazeta/dias/1821/11/10/pdfs/GMD-1821-321.pdf#page=5","Abrir facsímil")</f>
        <v>Abrir facsímil</v>
      </c>
      <c r="K7482" s="3" t="s">
        <v>23</v>
      </c>
    </row>
    <row r="7483" spans="1:11" ht="42" customHeight="1">
      <c r="A7483" s="2" t="s">
        <v>14458</v>
      </c>
      <c r="B7483" s="2" t="s">
        <v>14458</v>
      </c>
      <c r="C7483" s="2" t="s">
        <v>26</v>
      </c>
      <c r="D7483" s="2" t="s">
        <v>27</v>
      </c>
      <c r="E7483" s="5">
        <v>-28538</v>
      </c>
      <c r="F7483" s="3" t="s">
        <v>395</v>
      </c>
      <c r="G7483" s="3" t="s">
        <v>20</v>
      </c>
      <c r="H7483" s="2" t="s">
        <v>21</v>
      </c>
      <c r="I7483" s="2" t="s">
        <v>14471</v>
      </c>
      <c r="J7483" s="3" t="str">
        <f>HYPERLINK("https://www.boe.es/gazeta/dias/1821/11/11/pdfs/GMD-1821-322.pdf#page=3","Abrir facsímil")</f>
        <v>Abrir facsímil</v>
      </c>
      <c r="K7483" s="3" t="s">
        <v>23</v>
      </c>
    </row>
    <row r="7484" spans="1:11" ht="42" customHeight="1">
      <c r="A7484" s="2" t="s">
        <v>14458</v>
      </c>
      <c r="B7484" s="2" t="s">
        <v>14458</v>
      </c>
      <c r="C7484" s="2" t="s">
        <v>17</v>
      </c>
      <c r="D7484" s="2" t="s">
        <v>18</v>
      </c>
      <c r="E7484" s="5">
        <v>-28535</v>
      </c>
      <c r="F7484" s="3" t="s">
        <v>96</v>
      </c>
      <c r="G7484" s="3" t="s">
        <v>88</v>
      </c>
      <c r="H7484" s="2" t="s">
        <v>21</v>
      </c>
      <c r="I7484" s="2" t="s">
        <v>14472</v>
      </c>
      <c r="J7484" s="3" t="str">
        <f>HYPERLINK("https://www.boe.es/gazeta/dias/1821/11/14/pdfs/GMD-1821-325.pdf#page=4","Abrir facsímil")</f>
        <v>Abrir facsímil</v>
      </c>
      <c r="K7484" s="3" t="s">
        <v>23</v>
      </c>
    </row>
    <row r="7485" spans="1:11" ht="42" customHeight="1">
      <c r="A7485" s="2" t="s">
        <v>14458</v>
      </c>
      <c r="B7485" s="2" t="s">
        <v>14458</v>
      </c>
      <c r="C7485" s="2" t="s">
        <v>174</v>
      </c>
      <c r="D7485" s="2" t="s">
        <v>27</v>
      </c>
      <c r="E7485" s="5">
        <v>-28534</v>
      </c>
      <c r="F7485" s="3" t="s">
        <v>414</v>
      </c>
      <c r="G7485" s="3" t="s">
        <v>88</v>
      </c>
      <c r="H7485" s="2" t="s">
        <v>21</v>
      </c>
      <c r="I7485" s="2" t="s">
        <v>14473</v>
      </c>
      <c r="J7485" s="3" t="str">
        <f>HYPERLINK("https://www.boe.es/gazeta/dias/1821/11/15/pdfs/GMD-1821-326.pdf#page=4","Abrir facsímil")</f>
        <v>Abrir facsímil</v>
      </c>
      <c r="K7485" s="3" t="s">
        <v>23</v>
      </c>
    </row>
    <row r="7486" spans="1:11" ht="42" customHeight="1">
      <c r="A7486" s="2" t="s">
        <v>14458</v>
      </c>
      <c r="B7486" s="2" t="s">
        <v>14458</v>
      </c>
      <c r="C7486" s="2" t="s">
        <v>17</v>
      </c>
      <c r="D7486" s="2" t="s">
        <v>18</v>
      </c>
      <c r="E7486" s="5">
        <v>-28534</v>
      </c>
      <c r="F7486" s="3" t="s">
        <v>414</v>
      </c>
      <c r="G7486" s="3" t="s">
        <v>162</v>
      </c>
      <c r="H7486" s="2" t="s">
        <v>21</v>
      </c>
      <c r="I7486" s="2" t="s">
        <v>14474</v>
      </c>
      <c r="J7486" s="3" t="str">
        <f>HYPERLINK("https://www.boe.es/gazeta/dias/1821/11/15/pdfs/GMD-1821-326.pdf#page=5","Abrir facsímil")</f>
        <v>Abrir facsímil</v>
      </c>
      <c r="K7486" s="3" t="s">
        <v>23</v>
      </c>
    </row>
    <row r="7487" spans="1:11" ht="42" customHeight="1">
      <c r="A7487" s="2" t="s">
        <v>14475</v>
      </c>
      <c r="B7487" s="2" t="s">
        <v>14475</v>
      </c>
      <c r="C7487" s="2" t="s">
        <v>35</v>
      </c>
      <c r="D7487" s="2" t="s">
        <v>27</v>
      </c>
      <c r="E7487" s="5">
        <v>-28516</v>
      </c>
      <c r="F7487" s="3" t="s">
        <v>514</v>
      </c>
      <c r="G7487" s="3" t="s">
        <v>88</v>
      </c>
      <c r="H7487" s="2" t="s">
        <v>21</v>
      </c>
      <c r="I7487" s="2" t="s">
        <v>14476</v>
      </c>
      <c r="J7487" s="3" t="str">
        <f>HYPERLINK("https://www.boe.es/gazeta/dias/1821/12/03/pdfs/GMD-1821-345.pdf#page=4","Abrir facsímil")</f>
        <v>Abrir facsímil</v>
      </c>
      <c r="K7487" s="3" t="s">
        <v>23</v>
      </c>
    </row>
    <row r="7488" spans="1:11" ht="42" customHeight="1">
      <c r="A7488" s="2" t="s">
        <v>14458</v>
      </c>
      <c r="B7488" s="2" t="s">
        <v>14458</v>
      </c>
      <c r="C7488" s="2" t="s">
        <v>35</v>
      </c>
      <c r="D7488" s="2" t="s">
        <v>27</v>
      </c>
      <c r="E7488" s="5">
        <v>-28516</v>
      </c>
      <c r="F7488" s="3" t="s">
        <v>514</v>
      </c>
      <c r="G7488" s="3" t="s">
        <v>162</v>
      </c>
      <c r="H7488" s="2" t="s">
        <v>21</v>
      </c>
      <c r="I7488" s="2" t="s">
        <v>14477</v>
      </c>
      <c r="J7488" s="3" t="str">
        <f>HYPERLINK("https://www.boe.es/gazeta/dias/1821/12/03/pdfs/GMD-1821-345.pdf#page=5","Abrir facsímil")</f>
        <v>Abrir facsímil</v>
      </c>
      <c r="K7488" s="3" t="s">
        <v>23</v>
      </c>
    </row>
    <row r="7489" spans="1:11" ht="42" customHeight="1">
      <c r="A7489" s="2" t="s">
        <v>14458</v>
      </c>
      <c r="B7489" s="2" t="s">
        <v>14458</v>
      </c>
      <c r="C7489" s="2" t="s">
        <v>35</v>
      </c>
      <c r="D7489" s="2" t="s">
        <v>27</v>
      </c>
      <c r="E7489" s="5">
        <v>-28512</v>
      </c>
      <c r="F7489" s="3" t="s">
        <v>66</v>
      </c>
      <c r="G7489" s="3" t="s">
        <v>52</v>
      </c>
      <c r="H7489" s="2" t="s">
        <v>21</v>
      </c>
      <c r="I7489" s="2" t="s">
        <v>14478</v>
      </c>
      <c r="J7489" s="3" t="str">
        <f>HYPERLINK("https://www.boe.es/gazeta/dias/1821/12/07/pdfs/GMD-1821-349.pdf#page=2","Abrir facsímil")</f>
        <v>Abrir facsímil</v>
      </c>
      <c r="K7489" s="3" t="s">
        <v>23</v>
      </c>
    </row>
    <row r="7490" spans="1:11" ht="42" customHeight="1">
      <c r="A7490" s="2" t="s">
        <v>14458</v>
      </c>
      <c r="B7490" s="2" t="s">
        <v>14458</v>
      </c>
      <c r="C7490" s="2" t="s">
        <v>17</v>
      </c>
      <c r="D7490" s="2" t="s">
        <v>18</v>
      </c>
      <c r="E7490" s="5">
        <v>-28491</v>
      </c>
      <c r="F7490" s="3" t="s">
        <v>573</v>
      </c>
      <c r="G7490" s="3" t="s">
        <v>3891</v>
      </c>
      <c r="H7490" s="2" t="s">
        <v>21</v>
      </c>
      <c r="I7490" s="2" t="s">
        <v>14479</v>
      </c>
      <c r="J7490" s="3" t="str">
        <f>HYPERLINK("https://www.boe.es/gazeta/dias/1821/12/28/pdfs/GMD-1821-371.pdf#page=2","Abrir facsímil")</f>
        <v>Abrir facsímil</v>
      </c>
      <c r="K7490" s="3" t="s">
        <v>23</v>
      </c>
    </row>
    <row r="7491" spans="1:11" ht="42" customHeight="1">
      <c r="A7491" s="2" t="s">
        <v>14480</v>
      </c>
      <c r="B7491" s="2" t="s">
        <v>14481</v>
      </c>
      <c r="C7491" s="2" t="s">
        <v>114</v>
      </c>
      <c r="D7491" s="2" t="s">
        <v>27</v>
      </c>
      <c r="E7491" s="5">
        <v>-28573</v>
      </c>
      <c r="F7491" s="3" t="s">
        <v>19</v>
      </c>
      <c r="G7491" s="3" t="s">
        <v>52</v>
      </c>
      <c r="H7491" s="2" t="s">
        <v>21</v>
      </c>
      <c r="I7491" s="2" t="s">
        <v>14482</v>
      </c>
      <c r="J7491" s="3" t="str">
        <f>HYPERLINK("https://www.boe.es/gazeta/dias/1821/10/07/pdfs/GMD-1821-286.pdf#page=2","Abrir facsímil")</f>
        <v>Abrir facsímil</v>
      </c>
      <c r="K7491" s="3" t="s">
        <v>23</v>
      </c>
    </row>
    <row r="7492" spans="1:11" ht="42" customHeight="1">
      <c r="A7492" s="2" t="s">
        <v>14480</v>
      </c>
      <c r="B7492" s="2" t="s">
        <v>14481</v>
      </c>
      <c r="C7492" s="2" t="s">
        <v>17</v>
      </c>
      <c r="D7492" s="2" t="s">
        <v>18</v>
      </c>
      <c r="E7492" s="5">
        <v>-28562</v>
      </c>
      <c r="F7492" s="3" t="s">
        <v>3093</v>
      </c>
      <c r="G7492" s="3" t="s">
        <v>88</v>
      </c>
      <c r="H7492" s="2" t="s">
        <v>21</v>
      </c>
      <c r="I7492" s="2" t="s">
        <v>14483</v>
      </c>
      <c r="J7492" s="3" t="str">
        <f>HYPERLINK("https://www.boe.es/gazeta/dias/1821/10/18/pdfs/GMD-1821-297.pdf#page=4","Abrir facsímil")</f>
        <v>Abrir facsímil</v>
      </c>
      <c r="K7492" s="3" t="s">
        <v>23</v>
      </c>
    </row>
    <row r="7493" spans="1:11" ht="42" customHeight="1">
      <c r="A7493" s="2" t="s">
        <v>14484</v>
      </c>
      <c r="B7493" s="2" t="s">
        <v>14485</v>
      </c>
      <c r="C7493" s="2" t="s">
        <v>26</v>
      </c>
      <c r="D7493" s="2" t="s">
        <v>27</v>
      </c>
      <c r="E7493" s="5">
        <v>-28578</v>
      </c>
      <c r="F7493" s="3" t="s">
        <v>899</v>
      </c>
      <c r="G7493" s="3" t="s">
        <v>52</v>
      </c>
      <c r="H7493" s="2" t="s">
        <v>21</v>
      </c>
      <c r="I7493" s="2" t="s">
        <v>14486</v>
      </c>
      <c r="J7493" s="3" t="str">
        <f>HYPERLINK("https://www.boe.es/gazeta/dias/1821/10/02/pdfs/GMD-1821-281.pdf#page=2","Abrir facsímil")</f>
        <v>Abrir facsímil</v>
      </c>
      <c r="K7493" s="3" t="s">
        <v>23</v>
      </c>
    </row>
    <row r="7494" spans="1:11" ht="42" customHeight="1">
      <c r="A7494" s="2" t="s">
        <v>14487</v>
      </c>
      <c r="B7494" s="2" t="s">
        <v>14488</v>
      </c>
      <c r="C7494" s="2" t="s">
        <v>17</v>
      </c>
      <c r="D7494" s="2" t="s">
        <v>18</v>
      </c>
      <c r="E7494" s="5">
        <v>-28729</v>
      </c>
      <c r="F7494" s="3" t="s">
        <v>838</v>
      </c>
      <c r="G7494" s="3" t="s">
        <v>52</v>
      </c>
      <c r="H7494" s="2" t="s">
        <v>21</v>
      </c>
      <c r="I7494" s="2" t="s">
        <v>14489</v>
      </c>
      <c r="J7494" s="3" t="str">
        <f>HYPERLINK("https://www.boe.es/gazeta/dias/1821/05/04/pdfs/GMD-1821-126.pdf#page=2","Abrir facsímil")</f>
        <v>Abrir facsímil</v>
      </c>
      <c r="K7494" s="3" t="s">
        <v>23</v>
      </c>
    </row>
    <row r="7495" spans="1:11" ht="42" customHeight="1">
      <c r="A7495" s="2" t="s">
        <v>14490</v>
      </c>
      <c r="B7495" s="2" t="s">
        <v>14490</v>
      </c>
      <c r="C7495" s="2" t="s">
        <v>114</v>
      </c>
      <c r="D7495" s="2" t="s">
        <v>27</v>
      </c>
      <c r="E7495" s="5">
        <v>-28551</v>
      </c>
      <c r="F7495" s="3" t="s">
        <v>542</v>
      </c>
      <c r="G7495" s="3" t="s">
        <v>543</v>
      </c>
      <c r="H7495" s="2" t="s">
        <v>21</v>
      </c>
      <c r="I7495" s="2" t="s">
        <v>14491</v>
      </c>
      <c r="J7495" s="3" t="str">
        <f>HYPERLINK("https://www.boe.es/gazeta/dias/1821/10/29/pdfs/GMD-1821-308.pdf#page=3","Abrir facsímil")</f>
        <v>Abrir facsímil</v>
      </c>
      <c r="K7495" s="3" t="s">
        <v>23</v>
      </c>
    </row>
    <row r="7496" spans="1:11" ht="42" customHeight="1">
      <c r="A7496" s="2" t="s">
        <v>14492</v>
      </c>
      <c r="B7496" s="2" t="s">
        <v>14493</v>
      </c>
      <c r="C7496" s="2" t="s">
        <v>40</v>
      </c>
      <c r="D7496" s="2" t="s">
        <v>41</v>
      </c>
      <c r="E7496" s="5">
        <v>-28683</v>
      </c>
      <c r="F7496" s="3" t="s">
        <v>332</v>
      </c>
      <c r="G7496" s="3" t="s">
        <v>333</v>
      </c>
      <c r="H7496" s="2" t="s">
        <v>21</v>
      </c>
      <c r="I7496" s="2" t="s">
        <v>14494</v>
      </c>
      <c r="J7496" s="3" t="str">
        <f>HYPERLINK("https://www.boe.es/gazeta/dias/1821/06/19/pdfs/GMD-1821-172.pdf#page=8","Abrir facsímil")</f>
        <v>Abrir facsímil</v>
      </c>
      <c r="K7496" s="3" t="s">
        <v>23</v>
      </c>
    </row>
    <row r="7497" spans="1:11" ht="42" customHeight="1">
      <c r="A7497" s="2" t="s">
        <v>14495</v>
      </c>
      <c r="B7497" s="2" t="s">
        <v>14496</v>
      </c>
      <c r="C7497" s="2" t="s">
        <v>40</v>
      </c>
      <c r="D7497" s="2" t="s">
        <v>41</v>
      </c>
      <c r="E7497" s="5">
        <v>-28525</v>
      </c>
      <c r="F7497" s="3" t="s">
        <v>186</v>
      </c>
      <c r="G7497" s="3" t="s">
        <v>52</v>
      </c>
      <c r="H7497" s="2" t="s">
        <v>21</v>
      </c>
      <c r="I7497" s="2" t="s">
        <v>14497</v>
      </c>
      <c r="J7497" s="3" t="str">
        <f>HYPERLINK("https://www.boe.es/gazeta/dias/1821/11/24/pdfs/GMD-1821-335.pdf#page=2","Abrir facsímil")</f>
        <v>Abrir facsímil</v>
      </c>
      <c r="K7497" s="3" t="s">
        <v>23</v>
      </c>
    </row>
    <row r="7498" spans="1:11" ht="42" customHeight="1">
      <c r="A7498" s="2" t="s">
        <v>14498</v>
      </c>
      <c r="B7498" s="2" t="s">
        <v>14499</v>
      </c>
      <c r="C7498" s="2" t="s">
        <v>40</v>
      </c>
      <c r="D7498" s="2" t="s">
        <v>41</v>
      </c>
      <c r="E7498" s="5">
        <v>-28563</v>
      </c>
      <c r="F7498" s="3" t="s">
        <v>118</v>
      </c>
      <c r="G7498" s="3" t="s">
        <v>52</v>
      </c>
      <c r="H7498" s="2" t="s">
        <v>21</v>
      </c>
      <c r="I7498" s="2" t="s">
        <v>14500</v>
      </c>
      <c r="J7498" s="3" t="str">
        <f>HYPERLINK("https://www.boe.es/gazeta/dias/1821/10/17/pdfs/GMD-1821-296.pdf#page=2","Abrir facsímil")</f>
        <v>Abrir facsímil</v>
      </c>
      <c r="K7498" s="3" t="s">
        <v>23</v>
      </c>
    </row>
    <row r="7499" spans="1:11" ht="42" customHeight="1">
      <c r="A7499" s="2" t="s">
        <v>14501</v>
      </c>
      <c r="B7499" s="2" t="s">
        <v>14502</v>
      </c>
      <c r="C7499" s="2" t="s">
        <v>26</v>
      </c>
      <c r="D7499" s="2" t="s">
        <v>27</v>
      </c>
      <c r="E7499" s="5">
        <v>-28710</v>
      </c>
      <c r="F7499" s="3" t="s">
        <v>375</v>
      </c>
      <c r="G7499" s="3" t="s">
        <v>88</v>
      </c>
      <c r="H7499" s="2" t="s">
        <v>21</v>
      </c>
      <c r="I7499" s="2" t="s">
        <v>14503</v>
      </c>
      <c r="J7499" s="3" t="str">
        <f>HYPERLINK("https://www.boe.es/gazeta/dias/1821/05/23/pdfs/GMD-1821-145.pdf#page=4","Abrir facsímil")</f>
        <v>Abrir facsímil</v>
      </c>
      <c r="K7499" s="3" t="s">
        <v>23</v>
      </c>
    </row>
    <row r="7500" spans="1:11" ht="42" customHeight="1">
      <c r="A7500" s="2" t="s">
        <v>14504</v>
      </c>
      <c r="B7500" s="2" t="s">
        <v>14505</v>
      </c>
      <c r="C7500" s="2" t="s">
        <v>40</v>
      </c>
      <c r="D7500" s="2" t="s">
        <v>41</v>
      </c>
      <c r="E7500" s="5">
        <v>-28739</v>
      </c>
      <c r="F7500" s="3" t="s">
        <v>1024</v>
      </c>
      <c r="G7500" s="3" t="s">
        <v>52</v>
      </c>
      <c r="H7500" s="2" t="s">
        <v>30</v>
      </c>
      <c r="I7500" s="2" t="s">
        <v>14506</v>
      </c>
      <c r="J7500" s="3" t="str">
        <f>HYPERLINK("https://www.boe.es/gazeta/dias/1821/04/24/pdfs/GMD-1821-116.pdf#page=2","Abrir facsímil")</f>
        <v>Abrir facsímil</v>
      </c>
      <c r="K7500" s="3" t="s">
        <v>32</v>
      </c>
    </row>
    <row r="7501" spans="1:11" ht="42" customHeight="1">
      <c r="A7501" s="2" t="s">
        <v>14507</v>
      </c>
      <c r="B7501" s="2" t="s">
        <v>14508</v>
      </c>
      <c r="C7501" s="2" t="s">
        <v>26</v>
      </c>
      <c r="D7501" s="2" t="s">
        <v>27</v>
      </c>
      <c r="E7501" s="5">
        <v>-28708</v>
      </c>
      <c r="F7501" s="3" t="s">
        <v>528</v>
      </c>
      <c r="G7501" s="3" t="s">
        <v>1716</v>
      </c>
      <c r="H7501" s="2" t="s">
        <v>30</v>
      </c>
      <c r="I7501" s="2" t="s">
        <v>14509</v>
      </c>
      <c r="J7501" s="3" t="str">
        <f>HYPERLINK("https://www.boe.es/gazeta/dias/1821/05/25/pdfs/GMD-1821-147.pdf#page=2","Abrir facsímil")</f>
        <v>Abrir facsímil</v>
      </c>
      <c r="K7501" s="3" t="s">
        <v>32</v>
      </c>
    </row>
    <row r="7502" spans="1:11" ht="42" customHeight="1">
      <c r="A7502" s="2" t="s">
        <v>14510</v>
      </c>
      <c r="B7502" s="2" t="s">
        <v>14511</v>
      </c>
      <c r="C7502" s="2" t="s">
        <v>40</v>
      </c>
      <c r="D7502" s="2" t="s">
        <v>41</v>
      </c>
      <c r="E7502" s="5">
        <v>-28716</v>
      </c>
      <c r="F7502" s="3" t="s">
        <v>842</v>
      </c>
      <c r="G7502" s="3" t="s">
        <v>52</v>
      </c>
      <c r="H7502" s="2" t="s">
        <v>30</v>
      </c>
      <c r="I7502" s="2" t="s">
        <v>14512</v>
      </c>
      <c r="J7502" s="3" t="str">
        <f>HYPERLINK("https://www.boe.es/gazeta/dias/1821/05/17/pdfs/GMD-1821-139.pdf#page=2","Abrir facsímil")</f>
        <v>Abrir facsímil</v>
      </c>
      <c r="K7502" s="3" t="s">
        <v>32</v>
      </c>
    </row>
    <row r="7503" spans="1:11" ht="42" customHeight="1">
      <c r="A7503" s="2" t="s">
        <v>14510</v>
      </c>
      <c r="B7503" s="2" t="s">
        <v>14511</v>
      </c>
      <c r="C7503" s="2" t="s">
        <v>40</v>
      </c>
      <c r="D7503" s="2" t="s">
        <v>41</v>
      </c>
      <c r="E7503" s="5">
        <v>-28713</v>
      </c>
      <c r="F7503" s="3" t="s">
        <v>1976</v>
      </c>
      <c r="G7503" s="3" t="s">
        <v>52</v>
      </c>
      <c r="H7503" s="2" t="s">
        <v>30</v>
      </c>
      <c r="I7503" s="2" t="s">
        <v>14513</v>
      </c>
      <c r="J7503" s="3" t="str">
        <f>HYPERLINK("https://www.boe.es/gazeta/dias/1821/05/20/pdfs/GMD-1821-142.pdf#page=2","Abrir facsímil")</f>
        <v>Abrir facsímil</v>
      </c>
      <c r="K7503" s="3" t="s">
        <v>32</v>
      </c>
    </row>
    <row r="7504" spans="1:11" ht="42" customHeight="1">
      <c r="A7504" s="2" t="s">
        <v>14514</v>
      </c>
      <c r="B7504" s="2" t="s">
        <v>14515</v>
      </c>
      <c r="C7504" s="2" t="s">
        <v>40</v>
      </c>
      <c r="D7504" s="2" t="s">
        <v>41</v>
      </c>
      <c r="E7504" s="5">
        <v>-28757</v>
      </c>
      <c r="F7504" s="3" t="s">
        <v>472</v>
      </c>
      <c r="G7504" s="3" t="s">
        <v>52</v>
      </c>
      <c r="H7504" s="2" t="s">
        <v>30</v>
      </c>
      <c r="I7504" s="2" t="s">
        <v>14516</v>
      </c>
      <c r="J7504" s="3" t="str">
        <f>HYPERLINK("https://www.boe.es/gazeta/dias/1821/04/06/pdfs/GMD-1821-98.pdf#page=2","Abrir facsímil")</f>
        <v>Abrir facsímil</v>
      </c>
      <c r="K7504" s="3" t="s">
        <v>32</v>
      </c>
    </row>
    <row r="7505" spans="1:11" ht="42" customHeight="1">
      <c r="A7505" s="2" t="s">
        <v>14514</v>
      </c>
      <c r="B7505" s="2" t="s">
        <v>14515</v>
      </c>
      <c r="C7505" s="2" t="s">
        <v>26</v>
      </c>
      <c r="D7505" s="2" t="s">
        <v>27</v>
      </c>
      <c r="E7505" s="5">
        <v>-28681</v>
      </c>
      <c r="F7505" s="3" t="s">
        <v>210</v>
      </c>
      <c r="G7505" s="3" t="s">
        <v>52</v>
      </c>
      <c r="H7505" s="2" t="s">
        <v>30</v>
      </c>
      <c r="I7505" s="2" t="s">
        <v>14517</v>
      </c>
      <c r="J7505" s="3" t="str">
        <f>HYPERLINK("https://www.boe.es/gazeta/dias/1821/06/21/pdfs/GMD-1821-174.pdf#page=2","Abrir facsímil")</f>
        <v>Abrir facsímil</v>
      </c>
      <c r="K7505" s="3" t="s">
        <v>32</v>
      </c>
    </row>
    <row r="7506" spans="1:11" ht="42" customHeight="1">
      <c r="A7506" s="2" t="s">
        <v>14518</v>
      </c>
      <c r="B7506" s="2" t="s">
        <v>14519</v>
      </c>
      <c r="C7506" s="2" t="s">
        <v>17</v>
      </c>
      <c r="D7506" s="2" t="s">
        <v>18</v>
      </c>
      <c r="E7506" s="5">
        <v>-28782</v>
      </c>
      <c r="F7506" s="3" t="s">
        <v>508</v>
      </c>
      <c r="G7506" s="3" t="s">
        <v>20</v>
      </c>
      <c r="H7506" s="2" t="s">
        <v>30</v>
      </c>
      <c r="I7506" s="2" t="s">
        <v>14520</v>
      </c>
      <c r="J7506" s="3" t="str">
        <f>HYPERLINK("https://www.boe.es/gazeta/dias/1821/03/12/pdfs/GMD-1821-71.pdf#page=3","Abrir facsímil")</f>
        <v>Abrir facsímil</v>
      </c>
      <c r="K7506" s="3" t="s">
        <v>32</v>
      </c>
    </row>
    <row r="7507" spans="1:11" ht="42" customHeight="1">
      <c r="A7507" s="2" t="s">
        <v>14521</v>
      </c>
      <c r="B7507" s="2" t="s">
        <v>14522</v>
      </c>
      <c r="C7507" s="2" t="s">
        <v>35</v>
      </c>
      <c r="D7507" s="2" t="s">
        <v>27</v>
      </c>
      <c r="E7507" s="5">
        <v>-28768</v>
      </c>
      <c r="F7507" s="3" t="s">
        <v>1114</v>
      </c>
      <c r="G7507" s="3" t="s">
        <v>20</v>
      </c>
      <c r="H7507" s="2" t="s">
        <v>30</v>
      </c>
      <c r="I7507" s="2" t="s">
        <v>14523</v>
      </c>
      <c r="J7507" s="3" t="str">
        <f>HYPERLINK("https://www.boe.es/gazeta/dias/1821/03/26/pdfs/GMD-1821-86.pdf#page=3","Abrir facsímil")</f>
        <v>Abrir facsímil</v>
      </c>
      <c r="K7507" s="3" t="s">
        <v>32</v>
      </c>
    </row>
    <row r="7508" spans="1:11" ht="42" customHeight="1">
      <c r="A7508" s="2" t="s">
        <v>14521</v>
      </c>
      <c r="B7508" s="2" t="s">
        <v>14522</v>
      </c>
      <c r="C7508" s="2" t="s">
        <v>35</v>
      </c>
      <c r="D7508" s="2" t="s">
        <v>27</v>
      </c>
      <c r="E7508" s="5">
        <v>-28746</v>
      </c>
      <c r="F7508" s="3" t="s">
        <v>687</v>
      </c>
      <c r="G7508" s="3" t="s">
        <v>162</v>
      </c>
      <c r="H7508" s="2" t="s">
        <v>30</v>
      </c>
      <c r="I7508" s="2" t="s">
        <v>14524</v>
      </c>
      <c r="J7508" s="3" t="str">
        <f>HYPERLINK("https://www.boe.es/gazeta/dias/1821/04/17/pdfs/GMD-1821-109.pdf#page=5","Abrir facsímil")</f>
        <v>Abrir facsímil</v>
      </c>
      <c r="K7508" s="3" t="s">
        <v>32</v>
      </c>
    </row>
    <row r="7509" spans="1:11" ht="42" customHeight="1">
      <c r="A7509" s="2" t="s">
        <v>14521</v>
      </c>
      <c r="B7509" s="2" t="s">
        <v>14522</v>
      </c>
      <c r="C7509" s="2" t="s">
        <v>17</v>
      </c>
      <c r="D7509" s="2" t="s">
        <v>18</v>
      </c>
      <c r="E7509" s="5">
        <v>-28725</v>
      </c>
      <c r="F7509" s="3" t="s">
        <v>440</v>
      </c>
      <c r="G7509" s="3" t="s">
        <v>20</v>
      </c>
      <c r="H7509" s="2" t="s">
        <v>30</v>
      </c>
      <c r="I7509" s="2" t="s">
        <v>14525</v>
      </c>
      <c r="J7509" s="3" t="str">
        <f>HYPERLINK("https://www.boe.es/gazeta/dias/1821/05/08/pdfs/GMD-1821-130.pdf#page=3","Abrir facsímil")</f>
        <v>Abrir facsímil</v>
      </c>
      <c r="K7509" s="3" t="s">
        <v>32</v>
      </c>
    </row>
    <row r="7510" spans="1:11" ht="42" customHeight="1">
      <c r="A7510" s="2" t="s">
        <v>14526</v>
      </c>
      <c r="B7510" s="2" t="s">
        <v>14527</v>
      </c>
      <c r="C7510" s="2" t="s">
        <v>35</v>
      </c>
      <c r="D7510" s="2" t="s">
        <v>27</v>
      </c>
      <c r="E7510" s="5">
        <v>-28766</v>
      </c>
      <c r="F7510" s="3" t="s">
        <v>1481</v>
      </c>
      <c r="G7510" s="3" t="s">
        <v>52</v>
      </c>
      <c r="H7510" s="2" t="s">
        <v>30</v>
      </c>
      <c r="I7510" s="2" t="s">
        <v>14528</v>
      </c>
      <c r="J7510" s="3" t="str">
        <f>HYPERLINK("https://www.boe.es/gazeta/dias/1821/03/28/pdfs/GMD-1821-88.pdf#page=2","Abrir facsímil")</f>
        <v>Abrir facsímil</v>
      </c>
      <c r="K7510" s="3" t="s">
        <v>32</v>
      </c>
    </row>
    <row r="7511" spans="1:11" ht="42" customHeight="1">
      <c r="A7511" s="2" t="s">
        <v>14529</v>
      </c>
      <c r="B7511" s="2" t="s">
        <v>14530</v>
      </c>
      <c r="C7511" s="2" t="s">
        <v>279</v>
      </c>
      <c r="D7511" s="2" t="s">
        <v>27</v>
      </c>
      <c r="E7511" s="5">
        <v>-28735</v>
      </c>
      <c r="F7511" s="3" t="s">
        <v>836</v>
      </c>
      <c r="G7511" s="3" t="s">
        <v>52</v>
      </c>
      <c r="H7511" s="2" t="s">
        <v>30</v>
      </c>
      <c r="I7511" s="2" t="s">
        <v>14531</v>
      </c>
      <c r="J7511" s="3" t="str">
        <f>HYPERLINK("https://www.boe.es/gazeta/dias/1821/04/28/pdfs/GMD-1821-120.pdf#page=2","Abrir facsímil")</f>
        <v>Abrir facsímil</v>
      </c>
      <c r="K7511" s="3" t="s">
        <v>32</v>
      </c>
    </row>
    <row r="7512" spans="1:11" ht="42" customHeight="1">
      <c r="A7512" s="2" t="s">
        <v>14532</v>
      </c>
      <c r="B7512" s="2" t="s">
        <v>14533</v>
      </c>
      <c r="C7512" s="2" t="s">
        <v>26</v>
      </c>
      <c r="D7512" s="2" t="s">
        <v>27</v>
      </c>
      <c r="E7512" s="5">
        <v>-28779</v>
      </c>
      <c r="F7512" s="3" t="s">
        <v>1002</v>
      </c>
      <c r="G7512" s="3" t="s">
        <v>43</v>
      </c>
      <c r="H7512" s="2" t="s">
        <v>30</v>
      </c>
      <c r="I7512" s="2" t="s">
        <v>14534</v>
      </c>
      <c r="J7512" s="3" t="str">
        <f>HYPERLINK("https://www.boe.es/gazeta/dias/1821/03/15/pdfs/GMD-1821-74.pdf#page=1","Abrir facsímil")</f>
        <v>Abrir facsímil</v>
      </c>
      <c r="K7512" s="3" t="s">
        <v>32</v>
      </c>
    </row>
    <row r="7513" spans="1:11" ht="42" customHeight="1">
      <c r="A7513" s="2" t="s">
        <v>14535</v>
      </c>
      <c r="B7513" s="2" t="s">
        <v>14536</v>
      </c>
      <c r="C7513" s="2" t="s">
        <v>26</v>
      </c>
      <c r="D7513" s="2" t="s">
        <v>27</v>
      </c>
      <c r="E7513" s="5">
        <v>-28754</v>
      </c>
      <c r="F7513" s="3" t="s">
        <v>1942</v>
      </c>
      <c r="G7513" s="3" t="s">
        <v>52</v>
      </c>
      <c r="H7513" s="2" t="s">
        <v>30</v>
      </c>
      <c r="I7513" s="2" t="s">
        <v>14537</v>
      </c>
      <c r="J7513" s="3" t="str">
        <f>HYPERLINK("https://www.boe.es/gazeta/dias/1821/04/09/pdfs/GMD-1821-101.pdf#page=2","Abrir facsímil")</f>
        <v>Abrir facsímil</v>
      </c>
      <c r="K7513" s="3" t="s">
        <v>32</v>
      </c>
    </row>
    <row r="7514" spans="1:11" ht="42" customHeight="1">
      <c r="A7514" s="2" t="s">
        <v>14538</v>
      </c>
      <c r="B7514" s="2" t="s">
        <v>14539</v>
      </c>
      <c r="C7514" s="2" t="s">
        <v>35</v>
      </c>
      <c r="D7514" s="2" t="s">
        <v>27</v>
      </c>
      <c r="E7514" s="5">
        <v>-28713</v>
      </c>
      <c r="F7514" s="3" t="s">
        <v>1976</v>
      </c>
      <c r="G7514" s="3" t="s">
        <v>52</v>
      </c>
      <c r="H7514" s="2" t="s">
        <v>30</v>
      </c>
      <c r="I7514" s="2" t="s">
        <v>14540</v>
      </c>
      <c r="J7514" s="3" t="str">
        <f>HYPERLINK("https://www.boe.es/gazeta/dias/1821/05/20/pdfs/GMD-1821-142.pdf#page=2","Abrir facsímil")</f>
        <v>Abrir facsímil</v>
      </c>
      <c r="K7514" s="3" t="s">
        <v>32</v>
      </c>
    </row>
    <row r="7515" spans="1:11" ht="42" customHeight="1">
      <c r="A7515" s="2" t="s">
        <v>14541</v>
      </c>
      <c r="B7515" s="2" t="s">
        <v>14542</v>
      </c>
      <c r="C7515" s="2" t="s">
        <v>40</v>
      </c>
      <c r="D7515" s="2" t="s">
        <v>41</v>
      </c>
      <c r="E7515" s="5">
        <v>-28718</v>
      </c>
      <c r="F7515" s="3" t="s">
        <v>583</v>
      </c>
      <c r="G7515" s="3" t="s">
        <v>52</v>
      </c>
      <c r="H7515" s="2" t="s">
        <v>30</v>
      </c>
      <c r="I7515" s="2" t="s">
        <v>14543</v>
      </c>
      <c r="J7515" s="3" t="str">
        <f>HYPERLINK("https://www.boe.es/gazeta/dias/1821/05/15/pdfs/GMD-1821-137.pdf#page=2","Abrir facsímil")</f>
        <v>Abrir facsímil</v>
      </c>
      <c r="K7515" s="3" t="s">
        <v>32</v>
      </c>
    </row>
    <row r="7516" spans="1:11" ht="42" customHeight="1">
      <c r="A7516" s="2" t="s">
        <v>14541</v>
      </c>
      <c r="B7516" s="2" t="s">
        <v>14542</v>
      </c>
      <c r="C7516" s="2" t="s">
        <v>40</v>
      </c>
      <c r="D7516" s="2" t="s">
        <v>41</v>
      </c>
      <c r="E7516" s="5">
        <v>-28681</v>
      </c>
      <c r="F7516" s="3" t="s">
        <v>210</v>
      </c>
      <c r="G7516" s="3" t="s">
        <v>52</v>
      </c>
      <c r="H7516" s="2" t="s">
        <v>30</v>
      </c>
      <c r="I7516" s="2" t="s">
        <v>14544</v>
      </c>
      <c r="J7516" s="3" t="str">
        <f>HYPERLINK("https://www.boe.es/gazeta/dias/1821/06/21/pdfs/GMD-1821-174.pdf#page=2","Abrir facsímil")</f>
        <v>Abrir facsímil</v>
      </c>
      <c r="K7516" s="3" t="s">
        <v>32</v>
      </c>
    </row>
    <row r="7517" spans="1:11" ht="42" customHeight="1">
      <c r="A7517" s="2" t="s">
        <v>14545</v>
      </c>
      <c r="B7517" s="2" t="s">
        <v>14546</v>
      </c>
      <c r="C7517" s="2" t="s">
        <v>17</v>
      </c>
      <c r="D7517" s="2" t="s">
        <v>18</v>
      </c>
      <c r="E7517" s="5">
        <v>-28680</v>
      </c>
      <c r="F7517" s="3" t="s">
        <v>531</v>
      </c>
      <c r="G7517" s="3" t="s">
        <v>52</v>
      </c>
      <c r="H7517" s="2" t="s">
        <v>30</v>
      </c>
      <c r="I7517" s="2" t="s">
        <v>14547</v>
      </c>
      <c r="J7517" s="3" t="str">
        <f>HYPERLINK("https://www.boe.es/gazeta/dias/1821/06/22/pdfs/GMD-1821-175.pdf#page=2","Abrir facsímil")</f>
        <v>Abrir facsímil</v>
      </c>
      <c r="K7517" s="3" t="s">
        <v>32</v>
      </c>
    </row>
    <row r="7518" spans="1:11" ht="42" customHeight="1">
      <c r="A7518" s="2" t="s">
        <v>14548</v>
      </c>
      <c r="B7518" s="2" t="s">
        <v>14549</v>
      </c>
      <c r="C7518" s="2" t="s">
        <v>26</v>
      </c>
      <c r="D7518" s="2" t="s">
        <v>27</v>
      </c>
      <c r="E7518" s="5">
        <v>-28752</v>
      </c>
      <c r="F7518" s="3" t="s">
        <v>1012</v>
      </c>
      <c r="G7518" s="3" t="s">
        <v>52</v>
      </c>
      <c r="H7518" s="2" t="s">
        <v>30</v>
      </c>
      <c r="I7518" s="2" t="s">
        <v>14550</v>
      </c>
      <c r="J7518" s="3" t="str">
        <f>HYPERLINK("https://www.boe.es/gazeta/dias/1821/04/11/pdfs/GMD-1821-103.pdf#page=2","Abrir facsímil")</f>
        <v>Abrir facsímil</v>
      </c>
      <c r="K7518" s="3" t="s">
        <v>32</v>
      </c>
    </row>
    <row r="7519" spans="1:11" ht="42" customHeight="1">
      <c r="A7519" s="2" t="s">
        <v>14551</v>
      </c>
      <c r="B7519" s="2" t="s">
        <v>14552</v>
      </c>
      <c r="C7519" s="2" t="s">
        <v>40</v>
      </c>
      <c r="D7519" s="2" t="s">
        <v>41</v>
      </c>
      <c r="E7519" s="5">
        <v>-28675</v>
      </c>
      <c r="F7519" s="3" t="s">
        <v>943</v>
      </c>
      <c r="G7519" s="3" t="s">
        <v>88</v>
      </c>
      <c r="H7519" s="2" t="s">
        <v>30</v>
      </c>
      <c r="I7519" s="2" t="s">
        <v>14553</v>
      </c>
      <c r="J7519" s="3" t="str">
        <f>HYPERLINK("https://www.boe.es/gazeta/dias/1821/06/27/pdfs/GMD-1821-180.pdf#page=4","Abrir facsímil")</f>
        <v>Abrir facsímil</v>
      </c>
      <c r="K7519" s="3" t="s">
        <v>32</v>
      </c>
    </row>
    <row r="7520" spans="1:11" ht="42" customHeight="1">
      <c r="A7520" s="2" t="s">
        <v>14554</v>
      </c>
      <c r="B7520" s="2" t="s">
        <v>14555</v>
      </c>
      <c r="C7520" s="2" t="s">
        <v>26</v>
      </c>
      <c r="D7520" s="2" t="s">
        <v>27</v>
      </c>
      <c r="E7520" s="5">
        <v>-28719</v>
      </c>
      <c r="F7520" s="3" t="s">
        <v>647</v>
      </c>
      <c r="G7520" s="3" t="s">
        <v>20</v>
      </c>
      <c r="H7520" s="2" t="s">
        <v>30</v>
      </c>
      <c r="I7520" s="2" t="s">
        <v>14556</v>
      </c>
      <c r="J7520" s="3" t="str">
        <f>HYPERLINK("https://www.boe.es/gazeta/dias/1821/05/14/pdfs/GMD-1821-136.pdf#page=3","Abrir facsímil")</f>
        <v>Abrir facsímil</v>
      </c>
      <c r="K7520" s="3" t="s">
        <v>32</v>
      </c>
    </row>
    <row r="7521" spans="1:11" ht="42" customHeight="1">
      <c r="A7521" s="2" t="s">
        <v>14557</v>
      </c>
      <c r="B7521" s="2" t="s">
        <v>14558</v>
      </c>
      <c r="C7521" s="2" t="s">
        <v>40</v>
      </c>
      <c r="D7521" s="2" t="s">
        <v>41</v>
      </c>
      <c r="E7521" s="5">
        <v>-28679</v>
      </c>
      <c r="F7521" s="3" t="s">
        <v>213</v>
      </c>
      <c r="G7521" s="3" t="s">
        <v>88</v>
      </c>
      <c r="H7521" s="2" t="s">
        <v>30</v>
      </c>
      <c r="I7521" s="2" t="s">
        <v>14559</v>
      </c>
      <c r="J7521" s="3" t="str">
        <f>HYPERLINK("https://www.boe.es/gazeta/dias/1821/06/23/pdfs/GMD-1821-176.pdf#page=4","Abrir facsímil")</f>
        <v>Abrir facsímil</v>
      </c>
      <c r="K7521" s="3" t="s">
        <v>32</v>
      </c>
    </row>
    <row r="7522" spans="1:11" ht="42" customHeight="1">
      <c r="A7522" s="2" t="s">
        <v>14560</v>
      </c>
      <c r="B7522" s="2" t="s">
        <v>14561</v>
      </c>
      <c r="C7522" s="2" t="s">
        <v>40</v>
      </c>
      <c r="D7522" s="2" t="s">
        <v>41</v>
      </c>
      <c r="E7522" s="5">
        <v>-28696</v>
      </c>
      <c r="F7522" s="3" t="s">
        <v>497</v>
      </c>
      <c r="G7522" s="3" t="s">
        <v>43</v>
      </c>
      <c r="H7522" s="2" t="s">
        <v>30</v>
      </c>
      <c r="I7522" s="2" t="s">
        <v>14562</v>
      </c>
      <c r="J7522" s="3" t="str">
        <f>HYPERLINK("https://www.boe.es/gazeta/dias/1821/06/06/pdfs/GMD-1821-159.pdf#page=1","Abrir facsímil")</f>
        <v>Abrir facsímil</v>
      </c>
      <c r="K7522" s="3" t="s">
        <v>32</v>
      </c>
    </row>
    <row r="7523" spans="1:11" ht="42" customHeight="1">
      <c r="A7523" s="2" t="s">
        <v>14563</v>
      </c>
      <c r="B7523" s="2" t="s">
        <v>14564</v>
      </c>
      <c r="C7523" s="2" t="s">
        <v>40</v>
      </c>
      <c r="D7523" s="2" t="s">
        <v>41</v>
      </c>
      <c r="E7523" s="5">
        <v>-28780</v>
      </c>
      <c r="F7523" s="3" t="s">
        <v>143</v>
      </c>
      <c r="G7523" s="3" t="s">
        <v>52</v>
      </c>
      <c r="H7523" s="2" t="s">
        <v>30</v>
      </c>
      <c r="I7523" s="2" t="s">
        <v>14565</v>
      </c>
      <c r="J7523" s="3" t="str">
        <f>HYPERLINK("https://www.boe.es/gazeta/dias/1821/03/14/pdfs/GMD-1821-73.pdf#page=2","Abrir facsímil")</f>
        <v>Abrir facsímil</v>
      </c>
      <c r="K7523" s="3" t="s">
        <v>32</v>
      </c>
    </row>
    <row r="7524" spans="1:11" ht="42" customHeight="1">
      <c r="A7524" s="2" t="s">
        <v>14566</v>
      </c>
      <c r="B7524" s="2" t="s">
        <v>14567</v>
      </c>
      <c r="C7524" s="2" t="s">
        <v>40</v>
      </c>
      <c r="D7524" s="2" t="s">
        <v>41</v>
      </c>
      <c r="E7524" s="5">
        <v>-28730</v>
      </c>
      <c r="F7524" s="3" t="s">
        <v>747</v>
      </c>
      <c r="G7524" s="3" t="s">
        <v>20</v>
      </c>
      <c r="H7524" s="2" t="s">
        <v>30</v>
      </c>
      <c r="I7524" s="2" t="s">
        <v>14568</v>
      </c>
      <c r="J7524" s="3" t="str">
        <f>HYPERLINK("https://www.boe.es/gazeta/dias/1821/05/03/pdfs/GMD-1821-125.pdf#page=3","Abrir facsímil")</f>
        <v>Abrir facsímil</v>
      </c>
      <c r="K7524" s="3" t="s">
        <v>32</v>
      </c>
    </row>
    <row r="7525" spans="1:11" ht="42" customHeight="1">
      <c r="A7525" s="2" t="s">
        <v>14569</v>
      </c>
      <c r="B7525" s="2" t="s">
        <v>14570</v>
      </c>
      <c r="C7525" s="2" t="s">
        <v>70</v>
      </c>
      <c r="D7525" s="2" t="s">
        <v>27</v>
      </c>
      <c r="E7525" s="5">
        <v>-28762</v>
      </c>
      <c r="F7525" s="3" t="s">
        <v>608</v>
      </c>
      <c r="G7525" s="3" t="s">
        <v>162</v>
      </c>
      <c r="H7525" s="2" t="s">
        <v>30</v>
      </c>
      <c r="I7525" s="2" t="s">
        <v>14571</v>
      </c>
      <c r="J7525" s="3" t="str">
        <f>HYPERLINK("https://www.boe.es/gazeta/dias/1821/04/01/pdfs/GMD-1821-93.pdf#page=5","Abrir facsímil")</f>
        <v>Abrir facsímil</v>
      </c>
      <c r="K7525" s="3" t="s">
        <v>32</v>
      </c>
    </row>
    <row r="7526" spans="1:11" ht="42" customHeight="1">
      <c r="A7526" s="2" t="s">
        <v>14572</v>
      </c>
      <c r="B7526" s="2" t="s">
        <v>14573</v>
      </c>
      <c r="C7526" s="2" t="s">
        <v>40</v>
      </c>
      <c r="D7526" s="2" t="s">
        <v>41</v>
      </c>
      <c r="E7526" s="5">
        <v>-28707</v>
      </c>
      <c r="F7526" s="3" t="s">
        <v>495</v>
      </c>
      <c r="G7526" s="3" t="s">
        <v>52</v>
      </c>
      <c r="H7526" s="2" t="s">
        <v>30</v>
      </c>
      <c r="I7526" s="2" t="s">
        <v>14574</v>
      </c>
      <c r="J7526" s="3" t="str">
        <f>HYPERLINK("https://www.boe.es/gazeta/dias/1821/05/26/pdfs/GMD-1821-148.pdf#page=2","Abrir facsímil")</f>
        <v>Abrir facsímil</v>
      </c>
      <c r="K7526" s="3" t="s">
        <v>32</v>
      </c>
    </row>
    <row r="7527" spans="1:11" ht="42" customHeight="1">
      <c r="A7527" s="2" t="s">
        <v>14575</v>
      </c>
      <c r="B7527" s="2" t="s">
        <v>14576</v>
      </c>
      <c r="C7527" s="2" t="s">
        <v>17</v>
      </c>
      <c r="D7527" s="2" t="s">
        <v>18</v>
      </c>
      <c r="E7527" s="5">
        <v>-28698</v>
      </c>
      <c r="F7527" s="3" t="s">
        <v>2067</v>
      </c>
      <c r="G7527" s="3" t="s">
        <v>3804</v>
      </c>
      <c r="H7527" s="2" t="s">
        <v>30</v>
      </c>
      <c r="I7527" s="2" t="s">
        <v>14577</v>
      </c>
      <c r="J7527" s="3" t="str">
        <f>HYPERLINK("https://www.boe.es/gazeta/dias/1821/06/04/pdfs/GMD-1821-157.pdf#page=2","Abrir facsímil")</f>
        <v>Abrir facsímil</v>
      </c>
      <c r="K7527" s="3" t="s">
        <v>32</v>
      </c>
    </row>
    <row r="7528" spans="1:11" ht="42" customHeight="1">
      <c r="A7528" s="2" t="s">
        <v>14578</v>
      </c>
      <c r="B7528" s="2" t="s">
        <v>14579</v>
      </c>
      <c r="C7528" s="2" t="s">
        <v>17</v>
      </c>
      <c r="D7528" s="2" t="s">
        <v>18</v>
      </c>
      <c r="E7528" s="5">
        <v>-28712</v>
      </c>
      <c r="F7528" s="3" t="s">
        <v>695</v>
      </c>
      <c r="G7528" s="3" t="s">
        <v>52</v>
      </c>
      <c r="H7528" s="2" t="s">
        <v>30</v>
      </c>
      <c r="I7528" s="2" t="s">
        <v>14580</v>
      </c>
      <c r="J7528" s="3" t="str">
        <f>HYPERLINK("https://www.boe.es/gazeta/dias/1821/05/21/pdfs/GMD-1821-143.pdf#page=2","Abrir facsímil")</f>
        <v>Abrir facsímil</v>
      </c>
      <c r="K7528" s="3" t="s">
        <v>32</v>
      </c>
    </row>
    <row r="7529" spans="1:11" ht="42" customHeight="1">
      <c r="A7529" s="2" t="s">
        <v>14581</v>
      </c>
      <c r="B7529" s="2" t="s">
        <v>14582</v>
      </c>
      <c r="C7529" s="2" t="s">
        <v>35</v>
      </c>
      <c r="D7529" s="2" t="s">
        <v>27</v>
      </c>
      <c r="E7529" s="5">
        <v>-28779</v>
      </c>
      <c r="F7529" s="3" t="s">
        <v>1002</v>
      </c>
      <c r="G7529" s="3" t="s">
        <v>52</v>
      </c>
      <c r="H7529" s="2" t="s">
        <v>30</v>
      </c>
      <c r="I7529" s="2" t="s">
        <v>14583</v>
      </c>
      <c r="J7529" s="3" t="str">
        <f>HYPERLINK("https://www.boe.es/gazeta/dias/1821/03/15/pdfs/GMD-1821-74.pdf#page=2","Abrir facsímil")</f>
        <v>Abrir facsímil</v>
      </c>
      <c r="K7529" s="3" t="s">
        <v>32</v>
      </c>
    </row>
    <row r="7530" spans="1:11" ht="42" customHeight="1">
      <c r="A7530" s="2" t="s">
        <v>14584</v>
      </c>
      <c r="B7530" s="2" t="s">
        <v>14585</v>
      </c>
      <c r="C7530" s="2" t="s">
        <v>17</v>
      </c>
      <c r="D7530" s="2" t="s">
        <v>18</v>
      </c>
      <c r="E7530" s="5">
        <v>-28720</v>
      </c>
      <c r="F7530" s="3" t="s">
        <v>492</v>
      </c>
      <c r="G7530" s="3" t="s">
        <v>43</v>
      </c>
      <c r="H7530" s="2" t="s">
        <v>30</v>
      </c>
      <c r="I7530" s="2" t="s">
        <v>14586</v>
      </c>
      <c r="J7530" s="3" t="str">
        <f>HYPERLINK("https://www.boe.es/gazeta/dias/1821/05/13/pdfs/GMD-1821-135.pdf#page=1","Abrir facsímil")</f>
        <v>Abrir facsímil</v>
      </c>
      <c r="K7530" s="3" t="s">
        <v>32</v>
      </c>
    </row>
    <row r="7531" spans="1:11" ht="42" customHeight="1">
      <c r="A7531" s="2" t="s">
        <v>14584</v>
      </c>
      <c r="B7531" s="2" t="s">
        <v>14585</v>
      </c>
      <c r="C7531" s="2" t="s">
        <v>17</v>
      </c>
      <c r="D7531" s="2" t="s">
        <v>18</v>
      </c>
      <c r="E7531" s="5">
        <v>-28713</v>
      </c>
      <c r="F7531" s="3" t="s">
        <v>1976</v>
      </c>
      <c r="G7531" s="3" t="s">
        <v>52</v>
      </c>
      <c r="H7531" s="2" t="s">
        <v>30</v>
      </c>
      <c r="I7531" s="2" t="s">
        <v>14587</v>
      </c>
      <c r="J7531" s="3" t="str">
        <f>HYPERLINK("https://www.boe.es/gazeta/dias/1821/05/20/pdfs/GMD-1821-142.pdf#page=2","Abrir facsímil")</f>
        <v>Abrir facsímil</v>
      </c>
      <c r="K7531" s="3" t="s">
        <v>32</v>
      </c>
    </row>
    <row r="7532" spans="1:11" ht="42" customHeight="1">
      <c r="A7532" s="2" t="s">
        <v>14588</v>
      </c>
      <c r="B7532" s="2" t="s">
        <v>14588</v>
      </c>
      <c r="C7532" s="2" t="s">
        <v>26</v>
      </c>
      <c r="D7532" s="2" t="s">
        <v>27</v>
      </c>
      <c r="E7532" s="5">
        <v>-28690</v>
      </c>
      <c r="F7532" s="3" t="s">
        <v>846</v>
      </c>
      <c r="G7532" s="3" t="s">
        <v>43</v>
      </c>
      <c r="H7532" s="2" t="s">
        <v>21</v>
      </c>
      <c r="I7532" s="2" t="s">
        <v>14589</v>
      </c>
      <c r="J7532" s="3" t="str">
        <f>HYPERLINK("https://www.boe.es/gazeta/dias/1821/06/12/pdfs/GMD-1821-165.pdf#page=1","Abrir facsímil")</f>
        <v>Abrir facsímil</v>
      </c>
      <c r="K7532" s="3" t="s">
        <v>23</v>
      </c>
    </row>
    <row r="7533" spans="1:11" ht="42" customHeight="1">
      <c r="A7533" s="2" t="s">
        <v>14590</v>
      </c>
      <c r="B7533" s="2" t="s">
        <v>14590</v>
      </c>
      <c r="C7533" s="2" t="s">
        <v>40</v>
      </c>
      <c r="D7533" s="2" t="s">
        <v>41</v>
      </c>
      <c r="E7533" s="5">
        <v>-28774</v>
      </c>
      <c r="F7533" s="3" t="s">
        <v>1221</v>
      </c>
      <c r="G7533" s="3" t="s">
        <v>20</v>
      </c>
      <c r="H7533" s="2" t="s">
        <v>21</v>
      </c>
      <c r="I7533" s="2" t="s">
        <v>14591</v>
      </c>
      <c r="J7533" s="3" t="str">
        <f>HYPERLINK("https://www.boe.es/gazeta/dias/1821/03/20/pdfs/GMD-1821-79.pdf#page=3","Abrir facsímil")</f>
        <v>Abrir facsímil</v>
      </c>
      <c r="K7533" s="3" t="s">
        <v>23</v>
      </c>
    </row>
    <row r="7534" spans="1:11" ht="42" customHeight="1">
      <c r="A7534" s="2" t="s">
        <v>14592</v>
      </c>
      <c r="B7534" s="2" t="s">
        <v>14592</v>
      </c>
      <c r="C7534" s="2" t="s">
        <v>17</v>
      </c>
      <c r="D7534" s="2" t="s">
        <v>18</v>
      </c>
      <c r="E7534" s="5">
        <v>-28517</v>
      </c>
      <c r="F7534" s="3" t="s">
        <v>563</v>
      </c>
      <c r="G7534" s="3" t="s">
        <v>88</v>
      </c>
      <c r="H7534" s="2" t="s">
        <v>21</v>
      </c>
      <c r="I7534" s="2" t="s">
        <v>14593</v>
      </c>
      <c r="J7534" s="3" t="str">
        <f>HYPERLINK("https://www.boe.es/gazeta/dias/1821/12/02/pdfs/GMD-1821-344.pdf#page=4","Abrir facsímil")</f>
        <v>Abrir facsímil</v>
      </c>
      <c r="K7534" s="3" t="s">
        <v>23</v>
      </c>
    </row>
    <row r="7535" spans="1:11" ht="42" customHeight="1">
      <c r="A7535" s="2" t="s">
        <v>14594</v>
      </c>
      <c r="B7535" s="2" t="s">
        <v>14595</v>
      </c>
      <c r="C7535" s="2" t="s">
        <v>40</v>
      </c>
      <c r="D7535" s="2" t="s">
        <v>41</v>
      </c>
      <c r="E7535" s="5">
        <v>-28828</v>
      </c>
      <c r="F7535" s="3" t="s">
        <v>1864</v>
      </c>
      <c r="G7535" s="3" t="s">
        <v>88</v>
      </c>
      <c r="H7535" s="2" t="s">
        <v>21</v>
      </c>
      <c r="I7535" s="2" t="s">
        <v>14596</v>
      </c>
      <c r="J7535" s="3" t="str">
        <f>HYPERLINK("https://www.boe.es/gazeta/dias/1821/01/25/pdfs/GGB-1821-25.pdf#page=4","Abrir facsímil")</f>
        <v>Abrir facsímil</v>
      </c>
      <c r="K7535" s="3" t="s">
        <v>23</v>
      </c>
    </row>
    <row r="7536" spans="1:11" ht="42" customHeight="1">
      <c r="A7536" s="2" t="s">
        <v>14597</v>
      </c>
      <c r="B7536" s="2" t="s">
        <v>14598</v>
      </c>
      <c r="C7536" s="2" t="s">
        <v>40</v>
      </c>
      <c r="D7536" s="2" t="s">
        <v>41</v>
      </c>
      <c r="E7536" s="5">
        <v>-28831</v>
      </c>
      <c r="F7536" s="3" t="s">
        <v>3179</v>
      </c>
      <c r="G7536" s="3" t="s">
        <v>20</v>
      </c>
      <c r="H7536" s="2" t="s">
        <v>21</v>
      </c>
      <c r="I7536" s="2" t="s">
        <v>14599</v>
      </c>
      <c r="J7536" s="3" t="str">
        <f>HYPERLINK("https://www.boe.es/gazeta/dias/1821/01/22/pdfs/GGB-1821-22.pdf#page=3","Abrir facsímil")</f>
        <v>Abrir facsímil</v>
      </c>
      <c r="K7536" s="3" t="s">
        <v>23</v>
      </c>
    </row>
    <row r="7537" spans="1:11" ht="42" customHeight="1">
      <c r="A7537" s="2" t="s">
        <v>14600</v>
      </c>
      <c r="B7537" s="2" t="s">
        <v>14601</v>
      </c>
      <c r="C7537" s="2" t="s">
        <v>114</v>
      </c>
      <c r="D7537" s="2" t="s">
        <v>27</v>
      </c>
      <c r="E7537" s="5">
        <v>-28531</v>
      </c>
      <c r="F7537" s="3" t="s">
        <v>365</v>
      </c>
      <c r="G7537" s="3" t="s">
        <v>29</v>
      </c>
      <c r="H7537" s="2" t="s">
        <v>21</v>
      </c>
      <c r="I7537" s="2" t="s">
        <v>14602</v>
      </c>
      <c r="J7537" s="3" t="str">
        <f>HYPERLINK("https://www.boe.es/gazeta/dias/1821/11/18/pdfs/GMD-1821-329.pdf#page=6","Abrir facsímil")</f>
        <v>Abrir facsímil</v>
      </c>
      <c r="K7537" s="3" t="s">
        <v>23</v>
      </c>
    </row>
    <row r="7538" spans="1:11" ht="42" customHeight="1">
      <c r="A7538" s="2" t="s">
        <v>14603</v>
      </c>
      <c r="B7538" s="2" t="s">
        <v>14604</v>
      </c>
      <c r="C7538" s="2" t="s">
        <v>35</v>
      </c>
      <c r="D7538" s="2" t="s">
        <v>27</v>
      </c>
      <c r="E7538" s="5">
        <v>-28752</v>
      </c>
      <c r="F7538" s="3" t="s">
        <v>1012</v>
      </c>
      <c r="G7538" s="3" t="s">
        <v>52</v>
      </c>
      <c r="H7538" s="2" t="s">
        <v>21</v>
      </c>
      <c r="I7538" s="2" t="s">
        <v>14605</v>
      </c>
      <c r="J7538" s="3" t="str">
        <f>HYPERLINK("https://www.boe.es/gazeta/dias/1821/04/11/pdfs/GMD-1821-103.pdf#page=2","Abrir facsímil")</f>
        <v>Abrir facsímil</v>
      </c>
      <c r="K7538" s="3" t="s">
        <v>23</v>
      </c>
    </row>
    <row r="7539" spans="1:11" ht="42" customHeight="1">
      <c r="A7539" s="2" t="s">
        <v>14606</v>
      </c>
      <c r="B7539" s="2" t="s">
        <v>14607</v>
      </c>
      <c r="C7539" s="2" t="s">
        <v>35</v>
      </c>
      <c r="D7539" s="2" t="s">
        <v>27</v>
      </c>
      <c r="E7539" s="5">
        <v>-28677</v>
      </c>
      <c r="F7539" s="3" t="s">
        <v>361</v>
      </c>
      <c r="G7539" s="3" t="s">
        <v>29</v>
      </c>
      <c r="H7539" s="2" t="s">
        <v>21</v>
      </c>
      <c r="I7539" s="2" t="s">
        <v>14608</v>
      </c>
      <c r="J7539" s="3" t="str">
        <f>HYPERLINK("https://www.boe.es/gazeta/dias/1821/06/25/pdfs/GMD-1821-178.pdf#page=6","Abrir facsímil")</f>
        <v>Abrir facsímil</v>
      </c>
      <c r="K7539" s="3" t="s">
        <v>23</v>
      </c>
    </row>
    <row r="7540" spans="1:11" ht="42" customHeight="1">
      <c r="A7540" s="2" t="s">
        <v>14609</v>
      </c>
      <c r="B7540" s="2" t="s">
        <v>14609</v>
      </c>
      <c r="C7540" s="2" t="s">
        <v>26</v>
      </c>
      <c r="D7540" s="2" t="s">
        <v>27</v>
      </c>
      <c r="E7540" s="5">
        <v>-28582</v>
      </c>
      <c r="F7540" s="3" t="s">
        <v>3039</v>
      </c>
      <c r="G7540" s="3" t="s">
        <v>52</v>
      </c>
      <c r="H7540" s="2" t="s">
        <v>21</v>
      </c>
      <c r="I7540" s="2" t="s">
        <v>14610</v>
      </c>
      <c r="J7540" s="3" t="str">
        <f>HYPERLINK("https://www.boe.es/gazeta/dias/1821/09/28/pdfs/GMD-1821-276.pdf#page=2","Abrir facsímil")</f>
        <v>Abrir facsímil</v>
      </c>
      <c r="K7540" s="3" t="s">
        <v>23</v>
      </c>
    </row>
    <row r="7541" spans="1:11" ht="42" customHeight="1">
      <c r="A7541" s="2" t="s">
        <v>14611</v>
      </c>
      <c r="B7541" s="2" t="s">
        <v>14611</v>
      </c>
      <c r="C7541" s="2" t="s">
        <v>35</v>
      </c>
      <c r="D7541" s="2" t="s">
        <v>27</v>
      </c>
      <c r="E7541" s="5">
        <v>-28782</v>
      </c>
      <c r="F7541" s="3" t="s">
        <v>508</v>
      </c>
      <c r="G7541" s="3" t="s">
        <v>43</v>
      </c>
      <c r="H7541" s="2" t="s">
        <v>21</v>
      </c>
      <c r="I7541" s="2" t="s">
        <v>14612</v>
      </c>
      <c r="J7541" s="3" t="str">
        <f>HYPERLINK("https://www.boe.es/gazeta/dias/1821/03/12/pdfs/GMD-1821-71.pdf#page=1","Abrir facsímil")</f>
        <v>Abrir facsímil</v>
      </c>
      <c r="K7541" s="3" t="s">
        <v>23</v>
      </c>
    </row>
    <row r="7542" spans="1:11" ht="42" customHeight="1">
      <c r="A7542" s="2" t="s">
        <v>14613</v>
      </c>
      <c r="B7542" s="2" t="s">
        <v>14614</v>
      </c>
      <c r="C7542" s="2" t="s">
        <v>26</v>
      </c>
      <c r="D7542" s="2" t="s">
        <v>27</v>
      </c>
      <c r="E7542" s="5">
        <v>-28600</v>
      </c>
      <c r="F7542" s="3" t="s">
        <v>99</v>
      </c>
      <c r="G7542" s="3" t="s">
        <v>20</v>
      </c>
      <c r="H7542" s="2" t="s">
        <v>21</v>
      </c>
      <c r="I7542" s="2" t="s">
        <v>14615</v>
      </c>
      <c r="J7542" s="3" t="str">
        <f>HYPERLINK("https://www.boe.es/gazeta/dias/1821/09/10/pdfs/GMD-1821-258.pdf#page=3","Abrir facsímil")</f>
        <v>Abrir facsímil</v>
      </c>
      <c r="K7542" s="3" t="s">
        <v>23</v>
      </c>
    </row>
    <row r="7543" spans="1:11" ht="42" customHeight="1">
      <c r="A7543" s="2" t="s">
        <v>14616</v>
      </c>
      <c r="B7543" s="2" t="s">
        <v>14617</v>
      </c>
      <c r="C7543" s="2" t="s">
        <v>35</v>
      </c>
      <c r="D7543" s="2" t="s">
        <v>27</v>
      </c>
      <c r="E7543" s="5">
        <v>-28600</v>
      </c>
      <c r="F7543" s="3" t="s">
        <v>99</v>
      </c>
      <c r="G7543" s="3" t="s">
        <v>20</v>
      </c>
      <c r="H7543" s="2" t="s">
        <v>21</v>
      </c>
      <c r="I7543" s="2" t="s">
        <v>14618</v>
      </c>
      <c r="J7543" s="3" t="str">
        <f>HYPERLINK("https://www.boe.es/gazeta/dias/1821/09/10/pdfs/GMD-1821-258.pdf#page=3","Abrir facsímil")</f>
        <v>Abrir facsímil</v>
      </c>
      <c r="K7543" s="3" t="s">
        <v>23</v>
      </c>
    </row>
    <row r="7544" spans="1:11" ht="42" customHeight="1">
      <c r="A7544" s="2" t="s">
        <v>14619</v>
      </c>
      <c r="B7544" s="2" t="s">
        <v>14620</v>
      </c>
      <c r="C7544" s="2" t="s">
        <v>17</v>
      </c>
      <c r="D7544" s="2" t="s">
        <v>18</v>
      </c>
      <c r="E7544" s="5">
        <v>-28779</v>
      </c>
      <c r="F7544" s="3" t="s">
        <v>1002</v>
      </c>
      <c r="G7544" s="3" t="s">
        <v>88</v>
      </c>
      <c r="H7544" s="2" t="s">
        <v>21</v>
      </c>
      <c r="I7544" s="2" t="s">
        <v>14621</v>
      </c>
      <c r="J7544" s="3" t="str">
        <f>HYPERLINK("https://www.boe.es/gazeta/dias/1821/03/15/pdfs/GMD-1821-74.pdf#page=4","Abrir facsímil")</f>
        <v>Abrir facsímil</v>
      </c>
      <c r="K7544" s="3" t="s">
        <v>23</v>
      </c>
    </row>
    <row r="7545" spans="1:11" ht="42" customHeight="1">
      <c r="A7545" s="2" t="s">
        <v>14622</v>
      </c>
      <c r="B7545" s="2" t="s">
        <v>14623</v>
      </c>
      <c r="C7545" s="2" t="s">
        <v>26</v>
      </c>
      <c r="D7545" s="2" t="s">
        <v>27</v>
      </c>
      <c r="E7545" s="5">
        <v>-28617</v>
      </c>
      <c r="F7545" s="3" t="s">
        <v>436</v>
      </c>
      <c r="G7545" s="3" t="s">
        <v>20</v>
      </c>
      <c r="H7545" s="2" t="s">
        <v>21</v>
      </c>
      <c r="I7545" s="2" t="s">
        <v>14624</v>
      </c>
      <c r="J7545" s="3" t="str">
        <f>HYPERLINK("https://www.boe.es/gazeta/dias/1821/08/24/pdfs/GMD-1821-241.pdf#page=3","Abrir facsímil")</f>
        <v>Abrir facsímil</v>
      </c>
      <c r="K7545" s="3" t="s">
        <v>23</v>
      </c>
    </row>
    <row r="7546" spans="1:11" ht="42" customHeight="1">
      <c r="A7546" s="2" t="s">
        <v>14625</v>
      </c>
      <c r="B7546" s="2" t="s">
        <v>14625</v>
      </c>
      <c r="C7546" s="2" t="s">
        <v>17</v>
      </c>
      <c r="D7546" s="2" t="s">
        <v>18</v>
      </c>
      <c r="E7546" s="5">
        <v>-28535</v>
      </c>
      <c r="F7546" s="3" t="s">
        <v>96</v>
      </c>
      <c r="G7546" s="3" t="s">
        <v>52</v>
      </c>
      <c r="H7546" s="2" t="s">
        <v>21</v>
      </c>
      <c r="I7546" s="2" t="s">
        <v>14626</v>
      </c>
      <c r="J7546" s="3" t="str">
        <f>HYPERLINK("https://www.boe.es/gazeta/dias/1821/11/14/pdfs/GMD-1821-325.pdf#page=2","Abrir facsímil")</f>
        <v>Abrir facsímil</v>
      </c>
      <c r="K7546" s="3" t="s">
        <v>23</v>
      </c>
    </row>
    <row r="7547" spans="1:11" ht="42" customHeight="1">
      <c r="A7547" s="2" t="s">
        <v>14627</v>
      </c>
      <c r="B7547" s="2" t="s">
        <v>14628</v>
      </c>
      <c r="C7547" s="2" t="s">
        <v>70</v>
      </c>
      <c r="D7547" s="2" t="s">
        <v>27</v>
      </c>
      <c r="E7547" s="5">
        <v>-28525</v>
      </c>
      <c r="F7547" s="3" t="s">
        <v>186</v>
      </c>
      <c r="G7547" s="3" t="s">
        <v>88</v>
      </c>
      <c r="H7547" s="2" t="s">
        <v>30</v>
      </c>
      <c r="I7547" s="2" t="s">
        <v>14629</v>
      </c>
      <c r="J7547" s="3" t="str">
        <f>HYPERLINK("https://www.boe.es/gazeta/dias/1821/11/24/pdfs/GMD-1821-335.pdf#page=4","Abrir facsímil")</f>
        <v>Abrir facsímil</v>
      </c>
      <c r="K7547" s="3" t="s">
        <v>32</v>
      </c>
    </row>
    <row r="7548" spans="1:11" ht="42" customHeight="1">
      <c r="A7548" s="2" t="s">
        <v>14630</v>
      </c>
      <c r="B7548" s="2" t="s">
        <v>14631</v>
      </c>
      <c r="C7548" s="2" t="s">
        <v>17</v>
      </c>
      <c r="D7548" s="2" t="s">
        <v>18</v>
      </c>
      <c r="E7548" s="5">
        <v>-28829</v>
      </c>
      <c r="F7548" s="3" t="s">
        <v>2980</v>
      </c>
      <c r="G7548" s="3" t="s">
        <v>20</v>
      </c>
      <c r="H7548" s="2" t="s">
        <v>30</v>
      </c>
      <c r="I7548" s="2" t="s">
        <v>14632</v>
      </c>
      <c r="J7548" s="3" t="str">
        <f>HYPERLINK("https://www.boe.es/gazeta/dias/1821/01/24/pdfs/GGB-1821-24.pdf#page=3","Abrir facsímil")</f>
        <v>Abrir facsímil</v>
      </c>
      <c r="K7548" s="3" t="s">
        <v>32</v>
      </c>
    </row>
    <row r="7549" spans="1:11" ht="42" customHeight="1">
      <c r="A7549" s="2" t="s">
        <v>14633</v>
      </c>
      <c r="B7549" s="2" t="s">
        <v>14633</v>
      </c>
      <c r="C7549" s="2" t="s">
        <v>40</v>
      </c>
      <c r="D7549" s="2" t="s">
        <v>41</v>
      </c>
      <c r="E7549" s="5">
        <v>-28844</v>
      </c>
      <c r="F7549" s="3" t="s">
        <v>1743</v>
      </c>
      <c r="G7549" s="3" t="s">
        <v>52</v>
      </c>
      <c r="H7549" s="2" t="s">
        <v>21</v>
      </c>
      <c r="I7549" s="2" t="s">
        <v>14634</v>
      </c>
      <c r="J7549" s="3" t="str">
        <f>HYPERLINK("https://www.boe.es/gazeta/dias/1821/01/09/pdfs/GGB-1821-9.pdf#page=2","Abrir facsímil")</f>
        <v>Abrir facsímil</v>
      </c>
      <c r="K7549" s="3" t="s">
        <v>23</v>
      </c>
    </row>
    <row r="7550" spans="1:11" ht="42" customHeight="1">
      <c r="A7550" s="2" t="s">
        <v>14635</v>
      </c>
      <c r="B7550" s="2" t="s">
        <v>14635</v>
      </c>
      <c r="C7550" s="2" t="s">
        <v>174</v>
      </c>
      <c r="D7550" s="2" t="s">
        <v>27</v>
      </c>
      <c r="E7550" s="5">
        <v>-28775</v>
      </c>
      <c r="F7550" s="3" t="s">
        <v>132</v>
      </c>
      <c r="G7550" s="3" t="s">
        <v>20</v>
      </c>
      <c r="H7550" s="2" t="s">
        <v>21</v>
      </c>
      <c r="I7550" s="2" t="s">
        <v>14636</v>
      </c>
      <c r="J7550" s="3" t="str">
        <f>HYPERLINK("https://www.boe.es/gazeta/dias/1821/03/19/pdfs/GMD-1821-78.pdf#page=3","Abrir facsímil")</f>
        <v>Abrir facsímil</v>
      </c>
      <c r="K7550" s="3" t="s">
        <v>23</v>
      </c>
    </row>
    <row r="7551" spans="1:11" ht="42" customHeight="1">
      <c r="A7551" s="2" t="s">
        <v>14637</v>
      </c>
      <c r="B7551" s="2" t="s">
        <v>14637</v>
      </c>
      <c r="C7551" s="2" t="s">
        <v>17</v>
      </c>
      <c r="D7551" s="2" t="s">
        <v>18</v>
      </c>
      <c r="E7551" s="5">
        <v>-28784</v>
      </c>
      <c r="F7551" s="3" t="s">
        <v>451</v>
      </c>
      <c r="G7551" s="3" t="s">
        <v>20</v>
      </c>
      <c r="H7551" s="2" t="s">
        <v>21</v>
      </c>
      <c r="I7551" s="2" t="s">
        <v>14638</v>
      </c>
      <c r="J7551" s="3" t="str">
        <f>HYPERLINK("https://www.boe.es/gazeta/dias/1821/03/10/pdfs/GGB-1821-69.pdf#page=3","Abrir facsímil")</f>
        <v>Abrir facsímil</v>
      </c>
      <c r="K7551" s="3" t="s">
        <v>23</v>
      </c>
    </row>
    <row r="7552" spans="1:11" ht="42" customHeight="1">
      <c r="A7552" s="2" t="s">
        <v>14637</v>
      </c>
      <c r="B7552" s="2" t="s">
        <v>14637</v>
      </c>
      <c r="C7552" s="2" t="s">
        <v>40</v>
      </c>
      <c r="D7552" s="2" t="s">
        <v>41</v>
      </c>
      <c r="E7552" s="5">
        <v>-28531</v>
      </c>
      <c r="F7552" s="3" t="s">
        <v>365</v>
      </c>
      <c r="G7552" s="3" t="s">
        <v>88</v>
      </c>
      <c r="H7552" s="2" t="s">
        <v>21</v>
      </c>
      <c r="I7552" s="2" t="s">
        <v>14639</v>
      </c>
      <c r="J7552" s="3" t="str">
        <f>HYPERLINK("https://www.boe.es/gazeta/dias/1821/11/18/pdfs/GMD-1821-329.pdf#page=4","Abrir facsímil")</f>
        <v>Abrir facsímil</v>
      </c>
      <c r="K7552" s="3" t="s">
        <v>23</v>
      </c>
    </row>
    <row r="7553" spans="1:11" ht="42" customHeight="1">
      <c r="A7553" s="2" t="s">
        <v>14640</v>
      </c>
      <c r="B7553" s="2" t="s">
        <v>14641</v>
      </c>
      <c r="C7553" s="2" t="s">
        <v>26</v>
      </c>
      <c r="D7553" s="2" t="s">
        <v>27</v>
      </c>
      <c r="E7553" s="5">
        <v>-28626</v>
      </c>
      <c r="F7553" s="3" t="s">
        <v>468</v>
      </c>
      <c r="G7553" s="3" t="s">
        <v>88</v>
      </c>
      <c r="H7553" s="2" t="s">
        <v>21</v>
      </c>
      <c r="I7553" s="2" t="s">
        <v>14642</v>
      </c>
      <c r="J7553" s="3" t="str">
        <f>HYPERLINK("https://www.boe.es/gazeta/dias/1821/08/15/pdfs/GMD-1821-232.pdf#page=4","Abrir facsímil")</f>
        <v>Abrir facsímil</v>
      </c>
      <c r="K7553" s="3" t="s">
        <v>23</v>
      </c>
    </row>
    <row r="7554" spans="1:11" ht="42" customHeight="1">
      <c r="A7554" s="2" t="s">
        <v>14643</v>
      </c>
      <c r="B7554" s="2" t="s">
        <v>14643</v>
      </c>
      <c r="C7554" s="2" t="s">
        <v>17</v>
      </c>
      <c r="D7554" s="2" t="s">
        <v>18</v>
      </c>
      <c r="E7554" s="5">
        <v>-28697</v>
      </c>
      <c r="F7554" s="3" t="s">
        <v>166</v>
      </c>
      <c r="G7554" s="3" t="s">
        <v>1357</v>
      </c>
      <c r="H7554" s="2" t="s">
        <v>21</v>
      </c>
      <c r="I7554" s="2" t="s">
        <v>14644</v>
      </c>
      <c r="J7554" s="3" t="str">
        <f>HYPERLINK("https://www.boe.es/gazeta/dias/1821/06/05/pdfs/GMD-1821-158.pdf#page=4","Abrir facsímil")</f>
        <v>Abrir facsímil</v>
      </c>
      <c r="K7554" s="3" t="s">
        <v>23</v>
      </c>
    </row>
    <row r="7555" spans="1:11" ht="42" customHeight="1">
      <c r="A7555" s="2" t="s">
        <v>14643</v>
      </c>
      <c r="B7555" s="2" t="s">
        <v>14643</v>
      </c>
      <c r="C7555" s="2" t="s">
        <v>26</v>
      </c>
      <c r="D7555" s="2" t="s">
        <v>27</v>
      </c>
      <c r="E7555" s="5">
        <v>-28586</v>
      </c>
      <c r="F7555" s="3" t="s">
        <v>587</v>
      </c>
      <c r="G7555" s="3" t="s">
        <v>588</v>
      </c>
      <c r="H7555" s="2" t="s">
        <v>21</v>
      </c>
      <c r="I7555" s="2" t="s">
        <v>14645</v>
      </c>
      <c r="J7555" s="3" t="str">
        <f>HYPERLINK("https://www.boe.es/gazeta/dias/1821/09/24/pdfs/GMD-1821-272.pdf#page=3","Abrir facsímil")</f>
        <v>Abrir facsímil</v>
      </c>
      <c r="K7555" s="3" t="s">
        <v>23</v>
      </c>
    </row>
    <row r="7556" spans="1:11" ht="42" customHeight="1">
      <c r="A7556" s="2" t="s">
        <v>14643</v>
      </c>
      <c r="B7556" s="2" t="s">
        <v>14643</v>
      </c>
      <c r="C7556" s="2" t="s">
        <v>17</v>
      </c>
      <c r="D7556" s="2" t="s">
        <v>18</v>
      </c>
      <c r="E7556" s="5">
        <v>-28553</v>
      </c>
      <c r="F7556" s="3" t="s">
        <v>182</v>
      </c>
      <c r="G7556" s="3" t="s">
        <v>20</v>
      </c>
      <c r="H7556" s="2" t="s">
        <v>21</v>
      </c>
      <c r="I7556" s="2" t="s">
        <v>14646</v>
      </c>
      <c r="J7556" s="3" t="str">
        <f>HYPERLINK("https://www.boe.es/gazeta/dias/1821/10/27/pdfs/GMD-1821-306.pdf#page=3","Abrir facsímil")</f>
        <v>Abrir facsímil</v>
      </c>
      <c r="K7556" s="3" t="s">
        <v>23</v>
      </c>
    </row>
    <row r="7557" spans="1:11" ht="42" customHeight="1">
      <c r="A7557" s="2" t="s">
        <v>14643</v>
      </c>
      <c r="B7557" s="2" t="s">
        <v>14643</v>
      </c>
      <c r="C7557" s="2" t="s">
        <v>70</v>
      </c>
      <c r="D7557" s="2" t="s">
        <v>27</v>
      </c>
      <c r="E7557" s="5">
        <v>-28531</v>
      </c>
      <c r="F7557" s="3" t="s">
        <v>365</v>
      </c>
      <c r="G7557" s="3" t="s">
        <v>88</v>
      </c>
      <c r="H7557" s="2" t="s">
        <v>21</v>
      </c>
      <c r="I7557" s="2" t="s">
        <v>14647</v>
      </c>
      <c r="J7557" s="3" t="str">
        <f>HYPERLINK("https://www.boe.es/gazeta/dias/1821/11/18/pdfs/GMD-1821-329.pdf#page=4","Abrir facsímil")</f>
        <v>Abrir facsímil</v>
      </c>
      <c r="K7557" s="3" t="s">
        <v>23</v>
      </c>
    </row>
    <row r="7558" spans="1:11" ht="42" customHeight="1">
      <c r="A7558" s="2" t="s">
        <v>14643</v>
      </c>
      <c r="B7558" s="2" t="s">
        <v>14643</v>
      </c>
      <c r="C7558" s="2" t="s">
        <v>17</v>
      </c>
      <c r="D7558" s="2" t="s">
        <v>18</v>
      </c>
      <c r="E7558" s="5">
        <v>-28528</v>
      </c>
      <c r="F7558" s="3" t="s">
        <v>1872</v>
      </c>
      <c r="G7558" s="3" t="s">
        <v>29</v>
      </c>
      <c r="H7558" s="2" t="s">
        <v>21</v>
      </c>
      <c r="I7558" s="2" t="s">
        <v>14648</v>
      </c>
      <c r="J7558" s="3" t="str">
        <f>HYPERLINK("https://www.boe.es/gazeta/dias/1821/11/21/pdfs/GMD-1821-332.pdf#page=6","Abrir facsímil")</f>
        <v>Abrir facsímil</v>
      </c>
      <c r="K7558" s="3" t="s">
        <v>23</v>
      </c>
    </row>
    <row r="7559" spans="1:11" ht="42" customHeight="1">
      <c r="A7559" s="2" t="s">
        <v>14643</v>
      </c>
      <c r="B7559" s="2" t="s">
        <v>14643</v>
      </c>
      <c r="C7559" s="2" t="s">
        <v>40</v>
      </c>
      <c r="D7559" s="2" t="s">
        <v>41</v>
      </c>
      <c r="E7559" s="5">
        <v>-28513</v>
      </c>
      <c r="F7559" s="3" t="s">
        <v>502</v>
      </c>
      <c r="G7559" s="3" t="s">
        <v>88</v>
      </c>
      <c r="H7559" s="2" t="s">
        <v>21</v>
      </c>
      <c r="I7559" s="2" t="s">
        <v>14649</v>
      </c>
      <c r="J7559" s="3" t="str">
        <f>HYPERLINK("https://www.boe.es/gazeta/dias/1821/12/06/pdfs/GMD-1821-348.pdf#page=4","Abrir facsímil")</f>
        <v>Abrir facsímil</v>
      </c>
      <c r="K7559" s="3" t="s">
        <v>23</v>
      </c>
    </row>
    <row r="7560" spans="1:11" ht="42" customHeight="1">
      <c r="A7560" s="2" t="s">
        <v>14643</v>
      </c>
      <c r="B7560" s="2" t="s">
        <v>14643</v>
      </c>
      <c r="C7560" s="2" t="s">
        <v>17</v>
      </c>
      <c r="D7560" s="2" t="s">
        <v>18</v>
      </c>
      <c r="E7560" s="5">
        <v>-28503</v>
      </c>
      <c r="F7560" s="3" t="s">
        <v>947</v>
      </c>
      <c r="G7560" s="3" t="s">
        <v>88</v>
      </c>
      <c r="H7560" s="2" t="s">
        <v>21</v>
      </c>
      <c r="I7560" s="2" t="s">
        <v>14650</v>
      </c>
      <c r="J7560" s="3" t="str">
        <f>HYPERLINK("https://www.boe.es/gazeta/dias/1821/12/16/pdfs/GMD-1821-359.pdf#page=4","Abrir facsímil")</f>
        <v>Abrir facsímil</v>
      </c>
      <c r="K7560" s="3" t="s">
        <v>23</v>
      </c>
    </row>
    <row r="7561" spans="1:11" ht="42" customHeight="1">
      <c r="A7561" s="2" t="s">
        <v>14643</v>
      </c>
      <c r="B7561" s="2" t="s">
        <v>14643</v>
      </c>
      <c r="C7561" s="2" t="s">
        <v>40</v>
      </c>
      <c r="D7561" s="2" t="s">
        <v>41</v>
      </c>
      <c r="E7561" s="5">
        <v>-28501</v>
      </c>
      <c r="F7561" s="3" t="s">
        <v>456</v>
      </c>
      <c r="G7561" s="3" t="s">
        <v>88</v>
      </c>
      <c r="H7561" s="2" t="s">
        <v>21</v>
      </c>
      <c r="I7561" s="2" t="s">
        <v>14651</v>
      </c>
      <c r="J7561" s="3" t="str">
        <f>HYPERLINK("https://www.boe.es/gazeta/dias/1821/12/18/pdfs/GMD-1821-361.pdf#page=4","Abrir facsímil")</f>
        <v>Abrir facsímil</v>
      </c>
      <c r="K7561" s="3" t="s">
        <v>23</v>
      </c>
    </row>
    <row r="7562" spans="1:11" ht="42" customHeight="1">
      <c r="A7562" s="2" t="s">
        <v>14643</v>
      </c>
      <c r="B7562" s="2" t="s">
        <v>14643</v>
      </c>
      <c r="C7562" s="2" t="s">
        <v>17</v>
      </c>
      <c r="D7562" s="2" t="s">
        <v>18</v>
      </c>
      <c r="E7562" s="5">
        <v>-28492</v>
      </c>
      <c r="F7562" s="3" t="s">
        <v>1550</v>
      </c>
      <c r="G7562" s="3" t="s">
        <v>88</v>
      </c>
      <c r="H7562" s="2" t="s">
        <v>21</v>
      </c>
      <c r="I7562" s="2" t="s">
        <v>14652</v>
      </c>
      <c r="J7562" s="3" t="str">
        <f>HYPERLINK("https://www.boe.es/gazeta/dias/1821/12/27/pdfs/GMD-1821-370.pdf#page=4","Abrir facsímil")</f>
        <v>Abrir facsímil</v>
      </c>
      <c r="K7562" s="3" t="s">
        <v>23</v>
      </c>
    </row>
    <row r="7563" spans="1:11" ht="42" customHeight="1">
      <c r="A7563" s="2" t="s">
        <v>14653</v>
      </c>
      <c r="B7563" s="2" t="s">
        <v>14654</v>
      </c>
      <c r="C7563" s="2" t="s">
        <v>114</v>
      </c>
      <c r="D7563" s="2" t="s">
        <v>27</v>
      </c>
      <c r="E7563" s="5">
        <v>-28743</v>
      </c>
      <c r="F7563" s="3" t="s">
        <v>51</v>
      </c>
      <c r="G7563" s="3" t="s">
        <v>88</v>
      </c>
      <c r="H7563" s="2" t="s">
        <v>21</v>
      </c>
      <c r="I7563" s="2" t="s">
        <v>14655</v>
      </c>
      <c r="J7563" s="3" t="str">
        <f>HYPERLINK("https://www.boe.es/gazeta/dias/1821/04/20/pdfs/GMD-1821-112.pdf#page=4","Abrir facsímil")</f>
        <v>Abrir facsímil</v>
      </c>
      <c r="K7563" s="3" t="s">
        <v>23</v>
      </c>
    </row>
    <row r="7564" spans="1:11" ht="42" customHeight="1">
      <c r="A7564" s="2" t="s">
        <v>14656</v>
      </c>
      <c r="B7564" s="2" t="s">
        <v>14657</v>
      </c>
      <c r="C7564" s="2" t="s">
        <v>40</v>
      </c>
      <c r="D7564" s="2" t="s">
        <v>41</v>
      </c>
      <c r="E7564" s="5">
        <v>-28731</v>
      </c>
      <c r="F7564" s="3" t="s">
        <v>577</v>
      </c>
      <c r="G7564" s="3" t="s">
        <v>88</v>
      </c>
      <c r="H7564" s="2" t="s">
        <v>21</v>
      </c>
      <c r="I7564" s="2" t="s">
        <v>14658</v>
      </c>
      <c r="J7564" s="3" t="str">
        <f>HYPERLINK("https://www.boe.es/gazeta/dias/1821/05/02/pdfs/GMD-1821-124.pdf#page=4","Abrir facsímil")</f>
        <v>Abrir facsímil</v>
      </c>
      <c r="K7564" s="3" t="s">
        <v>23</v>
      </c>
    </row>
    <row r="7565" spans="1:11" ht="42" customHeight="1">
      <c r="A7565" s="2" t="s">
        <v>14659</v>
      </c>
      <c r="B7565" s="2" t="s">
        <v>14660</v>
      </c>
      <c r="C7565" s="2" t="s">
        <v>40</v>
      </c>
      <c r="D7565" s="2" t="s">
        <v>41</v>
      </c>
      <c r="E7565" s="5">
        <v>-28683</v>
      </c>
      <c r="F7565" s="3" t="s">
        <v>332</v>
      </c>
      <c r="G7565" s="3" t="s">
        <v>333</v>
      </c>
      <c r="H7565" s="2" t="s">
        <v>21</v>
      </c>
      <c r="I7565" s="2" t="s">
        <v>14661</v>
      </c>
      <c r="J7565" s="3" t="str">
        <f>HYPERLINK("https://www.boe.es/gazeta/dias/1821/06/19/pdfs/GMD-1821-172.pdf#page=8","Abrir facsímil")</f>
        <v>Abrir facsímil</v>
      </c>
      <c r="K7565" s="3" t="s">
        <v>23</v>
      </c>
    </row>
    <row r="7566" spans="1:11" ht="42" customHeight="1">
      <c r="A7566" s="2" t="s">
        <v>14662</v>
      </c>
      <c r="B7566" s="2" t="s">
        <v>14662</v>
      </c>
      <c r="C7566" s="2" t="s">
        <v>40</v>
      </c>
      <c r="D7566" s="2" t="s">
        <v>41</v>
      </c>
      <c r="E7566" s="5">
        <v>-28787</v>
      </c>
      <c r="F7566" s="3" t="s">
        <v>486</v>
      </c>
      <c r="G7566" s="3" t="s">
        <v>52</v>
      </c>
      <c r="H7566" s="2" t="s">
        <v>21</v>
      </c>
      <c r="I7566" s="2" t="s">
        <v>14663</v>
      </c>
      <c r="J7566" s="3" t="str">
        <f>HYPERLINK("https://www.boe.es/gazeta/dias/1821/03/07/pdfs/GGB-1821-66.pdf#page=2","Abrir facsímil")</f>
        <v>Abrir facsímil</v>
      </c>
      <c r="K7566" s="3" t="s">
        <v>23</v>
      </c>
    </row>
    <row r="7567" spans="1:11" ht="42" customHeight="1">
      <c r="A7567" s="2" t="s">
        <v>14662</v>
      </c>
      <c r="B7567" s="2" t="s">
        <v>14662</v>
      </c>
      <c r="C7567" s="2" t="s">
        <v>26</v>
      </c>
      <c r="D7567" s="2" t="s">
        <v>27</v>
      </c>
      <c r="E7567" s="5">
        <v>-28784</v>
      </c>
      <c r="F7567" s="3" t="s">
        <v>451</v>
      </c>
      <c r="G7567" s="3" t="s">
        <v>20</v>
      </c>
      <c r="H7567" s="2" t="s">
        <v>21</v>
      </c>
      <c r="I7567" s="2" t="s">
        <v>14664</v>
      </c>
      <c r="J7567" s="3" t="str">
        <f>HYPERLINK("https://www.boe.es/gazeta/dias/1821/03/10/pdfs/GGB-1821-69.pdf#page=3","Abrir facsímil")</f>
        <v>Abrir facsímil</v>
      </c>
      <c r="K7567" s="3" t="s">
        <v>23</v>
      </c>
    </row>
    <row r="7568" spans="1:11" ht="42" customHeight="1">
      <c r="A7568" s="2" t="s">
        <v>14662</v>
      </c>
      <c r="B7568" s="2" t="s">
        <v>14662</v>
      </c>
      <c r="C7568" s="2" t="s">
        <v>174</v>
      </c>
      <c r="D7568" s="2" t="s">
        <v>27</v>
      </c>
      <c r="E7568" s="5">
        <v>-28778</v>
      </c>
      <c r="F7568" s="3" t="s">
        <v>1301</v>
      </c>
      <c r="G7568" s="3" t="s">
        <v>29</v>
      </c>
      <c r="H7568" s="2" t="s">
        <v>21</v>
      </c>
      <c r="I7568" s="2" t="s">
        <v>14665</v>
      </c>
      <c r="J7568" s="3" t="str">
        <f>HYPERLINK("https://www.boe.es/gazeta/dias/1821/03/16/pdfs/GMD-1821-75.pdf#page=6","Abrir facsímil")</f>
        <v>Abrir facsímil</v>
      </c>
      <c r="K7568" s="3" t="s">
        <v>23</v>
      </c>
    </row>
    <row r="7569" spans="1:11" ht="42" customHeight="1">
      <c r="A7569" s="2" t="s">
        <v>14662</v>
      </c>
      <c r="B7569" s="2" t="s">
        <v>14662</v>
      </c>
      <c r="C7569" s="2" t="s">
        <v>35</v>
      </c>
      <c r="D7569" s="2" t="s">
        <v>27</v>
      </c>
      <c r="E7569" s="5">
        <v>-28766</v>
      </c>
      <c r="F7569" s="3" t="s">
        <v>1481</v>
      </c>
      <c r="G7569" s="3" t="s">
        <v>20</v>
      </c>
      <c r="H7569" s="2" t="s">
        <v>21</v>
      </c>
      <c r="I7569" s="2" t="s">
        <v>14666</v>
      </c>
      <c r="J7569" s="3" t="str">
        <f>HYPERLINK("https://www.boe.es/gazeta/dias/1821/03/28/pdfs/GMD-1821-88.pdf#page=3","Abrir facsímil")</f>
        <v>Abrir facsímil</v>
      </c>
      <c r="K7569" s="3" t="s">
        <v>23</v>
      </c>
    </row>
    <row r="7570" spans="1:11" ht="42" customHeight="1">
      <c r="A7570" s="2" t="s">
        <v>14662</v>
      </c>
      <c r="B7570" s="2" t="s">
        <v>14662</v>
      </c>
      <c r="C7570" s="2" t="s">
        <v>70</v>
      </c>
      <c r="D7570" s="2" t="s">
        <v>27</v>
      </c>
      <c r="E7570" s="5">
        <v>-28765</v>
      </c>
      <c r="F7570" s="3" t="s">
        <v>974</v>
      </c>
      <c r="G7570" s="3" t="s">
        <v>20</v>
      </c>
      <c r="H7570" s="2" t="s">
        <v>21</v>
      </c>
      <c r="I7570" s="2" t="s">
        <v>14667</v>
      </c>
      <c r="J7570" s="3" t="str">
        <f>HYPERLINK("https://www.boe.es/gazeta/dias/1821/03/29/pdfs/GMD-1821-90.pdf#page=3","Abrir facsímil")</f>
        <v>Abrir facsímil</v>
      </c>
      <c r="K7570" s="3" t="s">
        <v>23</v>
      </c>
    </row>
    <row r="7571" spans="1:11" ht="42" customHeight="1">
      <c r="A7571" s="2" t="s">
        <v>14662</v>
      </c>
      <c r="B7571" s="2" t="s">
        <v>14662</v>
      </c>
      <c r="C7571" s="2" t="s">
        <v>40</v>
      </c>
      <c r="D7571" s="2" t="s">
        <v>41</v>
      </c>
      <c r="E7571" s="5">
        <v>-28755</v>
      </c>
      <c r="F7571" s="3" t="s">
        <v>906</v>
      </c>
      <c r="G7571" s="3" t="s">
        <v>52</v>
      </c>
      <c r="H7571" s="2" t="s">
        <v>21</v>
      </c>
      <c r="I7571" s="2" t="s">
        <v>14668</v>
      </c>
      <c r="J7571" s="3" t="str">
        <f>HYPERLINK("https://www.boe.es/gazeta/dias/1821/04/08/pdfs/GMD-1821-100.pdf#page=2","Abrir facsímil")</f>
        <v>Abrir facsímil</v>
      </c>
      <c r="K7571" s="3" t="s">
        <v>23</v>
      </c>
    </row>
    <row r="7572" spans="1:11" ht="42" customHeight="1">
      <c r="A7572" s="2" t="s">
        <v>14662</v>
      </c>
      <c r="B7572" s="2" t="s">
        <v>14662</v>
      </c>
      <c r="C7572" s="2" t="s">
        <v>35</v>
      </c>
      <c r="D7572" s="2" t="s">
        <v>27</v>
      </c>
      <c r="E7572" s="5">
        <v>-28740</v>
      </c>
      <c r="F7572" s="3" t="s">
        <v>2800</v>
      </c>
      <c r="G7572" s="3" t="s">
        <v>20</v>
      </c>
      <c r="H7572" s="2" t="s">
        <v>21</v>
      </c>
      <c r="I7572" s="2" t="s">
        <v>14669</v>
      </c>
      <c r="J7572" s="3" t="str">
        <f>HYPERLINK("https://www.boe.es/gazeta/dias/1821/04/23/pdfs/GMD-1821-115.pdf#page=3","Abrir facsímil")</f>
        <v>Abrir facsímil</v>
      </c>
      <c r="K7572" s="3" t="s">
        <v>23</v>
      </c>
    </row>
    <row r="7573" spans="1:11" ht="42" customHeight="1">
      <c r="A7573" s="2" t="s">
        <v>14662</v>
      </c>
      <c r="B7573" s="2" t="s">
        <v>14662</v>
      </c>
      <c r="C7573" s="2" t="s">
        <v>17</v>
      </c>
      <c r="D7573" s="2" t="s">
        <v>18</v>
      </c>
      <c r="E7573" s="5">
        <v>-28693</v>
      </c>
      <c r="F7573" s="3" t="s">
        <v>74</v>
      </c>
      <c r="G7573" s="3" t="s">
        <v>20</v>
      </c>
      <c r="H7573" s="2" t="s">
        <v>21</v>
      </c>
      <c r="I7573" s="2" t="s">
        <v>14670</v>
      </c>
      <c r="J7573" s="3" t="str">
        <f>HYPERLINK("https://www.boe.es/gazeta/dias/1821/06/09/pdfs/GMD-1821-162.pdf#page=3","Abrir facsímil")</f>
        <v>Abrir facsímil</v>
      </c>
      <c r="K7573" s="3" t="s">
        <v>23</v>
      </c>
    </row>
    <row r="7574" spans="1:11" ht="42" customHeight="1">
      <c r="A7574" s="2" t="s">
        <v>14662</v>
      </c>
      <c r="B7574" s="2" t="s">
        <v>14662</v>
      </c>
      <c r="C7574" s="2" t="s">
        <v>35</v>
      </c>
      <c r="D7574" s="2" t="s">
        <v>27</v>
      </c>
      <c r="E7574" s="5">
        <v>-28689</v>
      </c>
      <c r="F7574" s="3" t="s">
        <v>194</v>
      </c>
      <c r="G7574" s="3" t="s">
        <v>88</v>
      </c>
      <c r="H7574" s="2" t="s">
        <v>21</v>
      </c>
      <c r="I7574" s="2" t="s">
        <v>14671</v>
      </c>
      <c r="J7574" s="3" t="str">
        <f>HYPERLINK("https://www.boe.es/gazeta/dias/1821/06/13/pdfs/GMD-1821-166.pdf#page=4","Abrir facsímil")</f>
        <v>Abrir facsímil</v>
      </c>
      <c r="K7574" s="3" t="s">
        <v>23</v>
      </c>
    </row>
    <row r="7575" spans="1:11" ht="42" customHeight="1">
      <c r="A7575" s="2" t="s">
        <v>14662</v>
      </c>
      <c r="B7575" s="2" t="s">
        <v>14662</v>
      </c>
      <c r="C7575" s="2" t="s">
        <v>17</v>
      </c>
      <c r="D7575" s="2" t="s">
        <v>18</v>
      </c>
      <c r="E7575" s="5">
        <v>-28683</v>
      </c>
      <c r="F7575" s="3" t="s">
        <v>332</v>
      </c>
      <c r="G7575" s="3" t="s">
        <v>88</v>
      </c>
      <c r="H7575" s="2" t="s">
        <v>21</v>
      </c>
      <c r="I7575" s="2" t="s">
        <v>14672</v>
      </c>
      <c r="J7575" s="3" t="str">
        <f>HYPERLINK("https://www.boe.es/gazeta/dias/1821/06/19/pdfs/GMD-1821-172.pdf#page=4","Abrir facsímil")</f>
        <v>Abrir facsímil</v>
      </c>
      <c r="K7575" s="3" t="s">
        <v>23</v>
      </c>
    </row>
    <row r="7576" spans="1:11" ht="42" customHeight="1">
      <c r="A7576" s="2" t="s">
        <v>14662</v>
      </c>
      <c r="B7576" s="2" t="s">
        <v>14662</v>
      </c>
      <c r="C7576" s="2" t="s">
        <v>70</v>
      </c>
      <c r="D7576" s="2" t="s">
        <v>27</v>
      </c>
      <c r="E7576" s="5">
        <v>-28681</v>
      </c>
      <c r="F7576" s="3" t="s">
        <v>210</v>
      </c>
      <c r="G7576" s="3" t="s">
        <v>20</v>
      </c>
      <c r="H7576" s="2" t="s">
        <v>21</v>
      </c>
      <c r="I7576" s="2" t="s">
        <v>14673</v>
      </c>
      <c r="J7576" s="3" t="str">
        <f>HYPERLINK("https://www.boe.es/gazeta/dias/1821/06/21/pdfs/GMD-1821-174.pdf#page=3","Abrir facsímil")</f>
        <v>Abrir facsímil</v>
      </c>
      <c r="K7576" s="3" t="s">
        <v>23</v>
      </c>
    </row>
    <row r="7577" spans="1:11" ht="42" customHeight="1">
      <c r="A7577" s="2" t="s">
        <v>14662</v>
      </c>
      <c r="B7577" s="2" t="s">
        <v>14662</v>
      </c>
      <c r="C7577" s="2" t="s">
        <v>35</v>
      </c>
      <c r="D7577" s="2" t="s">
        <v>27</v>
      </c>
      <c r="E7577" s="5">
        <v>-28681</v>
      </c>
      <c r="F7577" s="3" t="s">
        <v>210</v>
      </c>
      <c r="G7577" s="3" t="s">
        <v>88</v>
      </c>
      <c r="H7577" s="2" t="s">
        <v>21</v>
      </c>
      <c r="I7577" s="2" t="s">
        <v>14674</v>
      </c>
      <c r="J7577" s="3" t="str">
        <f>HYPERLINK("https://www.boe.es/gazeta/dias/1821/06/21/pdfs/GMD-1821-174.pdf#page=4","Abrir facsímil")</f>
        <v>Abrir facsímil</v>
      </c>
      <c r="K7577" s="3" t="s">
        <v>23</v>
      </c>
    </row>
    <row r="7578" spans="1:11" ht="42" customHeight="1">
      <c r="A7578" s="2" t="s">
        <v>14662</v>
      </c>
      <c r="B7578" s="2" t="s">
        <v>14662</v>
      </c>
      <c r="C7578" s="2" t="s">
        <v>70</v>
      </c>
      <c r="D7578" s="2" t="s">
        <v>27</v>
      </c>
      <c r="E7578" s="5">
        <v>-28675</v>
      </c>
      <c r="F7578" s="3" t="s">
        <v>943</v>
      </c>
      <c r="G7578" s="3" t="s">
        <v>20</v>
      </c>
      <c r="H7578" s="2" t="s">
        <v>21</v>
      </c>
      <c r="I7578" s="2" t="s">
        <v>14675</v>
      </c>
      <c r="J7578" s="3" t="str">
        <f>HYPERLINK("https://www.boe.es/gazeta/dias/1821/06/27/pdfs/GMD-1821-180.pdf#page=3","Abrir facsímil")</f>
        <v>Abrir facsímil</v>
      </c>
      <c r="K7578" s="3" t="s">
        <v>23</v>
      </c>
    </row>
    <row r="7579" spans="1:11" ht="42" customHeight="1">
      <c r="A7579" s="2" t="s">
        <v>14662</v>
      </c>
      <c r="B7579" s="2" t="s">
        <v>14662</v>
      </c>
      <c r="C7579" s="2" t="s">
        <v>40</v>
      </c>
      <c r="D7579" s="2" t="s">
        <v>41</v>
      </c>
      <c r="E7579" s="5">
        <v>-28563</v>
      </c>
      <c r="F7579" s="3" t="s">
        <v>118</v>
      </c>
      <c r="G7579" s="3" t="s">
        <v>20</v>
      </c>
      <c r="H7579" s="2" t="s">
        <v>21</v>
      </c>
      <c r="I7579" s="2" t="s">
        <v>14676</v>
      </c>
      <c r="J7579" s="3" t="str">
        <f>HYPERLINK("https://www.boe.es/gazeta/dias/1821/10/17/pdfs/GMD-1821-296.pdf#page=3","Abrir facsímil")</f>
        <v>Abrir facsímil</v>
      </c>
      <c r="K7579" s="3" t="s">
        <v>23</v>
      </c>
    </row>
    <row r="7580" spans="1:11" ht="42" customHeight="1">
      <c r="A7580" s="2" t="s">
        <v>14662</v>
      </c>
      <c r="B7580" s="2" t="s">
        <v>14662</v>
      </c>
      <c r="C7580" s="2" t="s">
        <v>26</v>
      </c>
      <c r="D7580" s="2" t="s">
        <v>27</v>
      </c>
      <c r="E7580" s="5">
        <v>-28559</v>
      </c>
      <c r="F7580" s="3" t="s">
        <v>1078</v>
      </c>
      <c r="G7580" s="3" t="s">
        <v>88</v>
      </c>
      <c r="H7580" s="2" t="s">
        <v>21</v>
      </c>
      <c r="I7580" s="2" t="s">
        <v>14677</v>
      </c>
      <c r="J7580" s="3" t="str">
        <f>HYPERLINK("https://www.boe.es/gazeta/dias/1821/10/21/pdfs/GMD-1821-300.pdf#page=4","Abrir facsímil")</f>
        <v>Abrir facsímil</v>
      </c>
      <c r="K7580" s="3" t="s">
        <v>23</v>
      </c>
    </row>
    <row r="7581" spans="1:11" ht="42" customHeight="1">
      <c r="A7581" s="2" t="s">
        <v>14662</v>
      </c>
      <c r="B7581" s="2" t="s">
        <v>14662</v>
      </c>
      <c r="C7581" s="2" t="s">
        <v>35</v>
      </c>
      <c r="D7581" s="2" t="s">
        <v>27</v>
      </c>
      <c r="E7581" s="5">
        <v>-28536</v>
      </c>
      <c r="F7581" s="3" t="s">
        <v>553</v>
      </c>
      <c r="G7581" s="3" t="s">
        <v>88</v>
      </c>
      <c r="H7581" s="2" t="s">
        <v>21</v>
      </c>
      <c r="I7581" s="2" t="s">
        <v>14678</v>
      </c>
      <c r="J7581" s="3" t="str">
        <f>HYPERLINK("https://www.boe.es/gazeta/dias/1821/11/13/pdfs/GMD-1821-324.pdf#page=4","Abrir facsímil")</f>
        <v>Abrir facsímil</v>
      </c>
      <c r="K7581" s="3" t="s">
        <v>23</v>
      </c>
    </row>
    <row r="7582" spans="1:11" ht="42" customHeight="1">
      <c r="A7582" s="2" t="s">
        <v>14662</v>
      </c>
      <c r="B7582" s="2" t="s">
        <v>14662</v>
      </c>
      <c r="C7582" s="2" t="s">
        <v>26</v>
      </c>
      <c r="D7582" s="2" t="s">
        <v>27</v>
      </c>
      <c r="E7582" s="5">
        <v>-28535</v>
      </c>
      <c r="F7582" s="3" t="s">
        <v>96</v>
      </c>
      <c r="G7582" s="3" t="s">
        <v>20</v>
      </c>
      <c r="H7582" s="2" t="s">
        <v>21</v>
      </c>
      <c r="I7582" s="2" t="s">
        <v>14679</v>
      </c>
      <c r="J7582" s="3" t="str">
        <f>HYPERLINK("https://www.boe.es/gazeta/dias/1821/11/14/pdfs/GMD-1821-325.pdf#page=3","Abrir facsímil")</f>
        <v>Abrir facsímil</v>
      </c>
      <c r="K7582" s="3" t="s">
        <v>23</v>
      </c>
    </row>
    <row r="7583" spans="1:11" ht="42" customHeight="1">
      <c r="A7583" s="2" t="s">
        <v>14662</v>
      </c>
      <c r="B7583" s="2" t="s">
        <v>14662</v>
      </c>
      <c r="C7583" s="2" t="s">
        <v>70</v>
      </c>
      <c r="D7583" s="2" t="s">
        <v>27</v>
      </c>
      <c r="E7583" s="5">
        <v>-28534</v>
      </c>
      <c r="F7583" s="3" t="s">
        <v>414</v>
      </c>
      <c r="G7583" s="3" t="s">
        <v>20</v>
      </c>
      <c r="H7583" s="2" t="s">
        <v>21</v>
      </c>
      <c r="I7583" s="2" t="s">
        <v>14680</v>
      </c>
      <c r="J7583" s="3" t="str">
        <f>HYPERLINK("https://www.boe.es/gazeta/dias/1821/11/15/pdfs/GMD-1821-326.pdf#page=3","Abrir facsímil")</f>
        <v>Abrir facsímil</v>
      </c>
      <c r="K7583" s="3" t="s">
        <v>23</v>
      </c>
    </row>
    <row r="7584" spans="1:11" ht="42" customHeight="1">
      <c r="A7584" s="2" t="s">
        <v>14662</v>
      </c>
      <c r="B7584" s="2" t="s">
        <v>14662</v>
      </c>
      <c r="C7584" s="2" t="s">
        <v>26</v>
      </c>
      <c r="D7584" s="2" t="s">
        <v>27</v>
      </c>
      <c r="E7584" s="5">
        <v>-28521</v>
      </c>
      <c r="F7584" s="3" t="s">
        <v>499</v>
      </c>
      <c r="G7584" s="3" t="s">
        <v>52</v>
      </c>
      <c r="H7584" s="2" t="s">
        <v>21</v>
      </c>
      <c r="I7584" s="2" t="s">
        <v>14681</v>
      </c>
      <c r="J7584" s="3" t="str">
        <f>HYPERLINK("https://www.boe.es/gazeta/dias/1821/11/28/pdfs/GMD-1821-340.pdf#page=2","Abrir facsímil")</f>
        <v>Abrir facsímil</v>
      </c>
      <c r="K7584" s="3" t="s">
        <v>23</v>
      </c>
    </row>
    <row r="7585" spans="1:11" ht="42" customHeight="1">
      <c r="A7585" s="2" t="s">
        <v>14662</v>
      </c>
      <c r="B7585" s="2" t="s">
        <v>14662</v>
      </c>
      <c r="C7585" s="2" t="s">
        <v>174</v>
      </c>
      <c r="D7585" s="2" t="s">
        <v>27</v>
      </c>
      <c r="E7585" s="5">
        <v>-28521</v>
      </c>
      <c r="F7585" s="3" t="s">
        <v>499</v>
      </c>
      <c r="G7585" s="3" t="s">
        <v>20</v>
      </c>
      <c r="H7585" s="2" t="s">
        <v>21</v>
      </c>
      <c r="I7585" s="2" t="s">
        <v>14682</v>
      </c>
      <c r="J7585" s="3" t="str">
        <f>HYPERLINK("https://www.boe.es/gazeta/dias/1821/11/28/pdfs/GMD-1821-340.pdf#page=3","Abrir facsímil")</f>
        <v>Abrir facsímil</v>
      </c>
      <c r="K7585" s="3" t="s">
        <v>23</v>
      </c>
    </row>
    <row r="7586" spans="1:11" ht="42" customHeight="1">
      <c r="A7586" s="2" t="s">
        <v>14662</v>
      </c>
      <c r="B7586" s="2" t="s">
        <v>14662</v>
      </c>
      <c r="C7586" s="2" t="s">
        <v>40</v>
      </c>
      <c r="D7586" s="2" t="s">
        <v>41</v>
      </c>
      <c r="E7586" s="5">
        <v>-28520</v>
      </c>
      <c r="F7586" s="3" t="s">
        <v>878</v>
      </c>
      <c r="G7586" s="3" t="s">
        <v>43</v>
      </c>
      <c r="H7586" s="2" t="s">
        <v>21</v>
      </c>
      <c r="I7586" s="2" t="s">
        <v>14683</v>
      </c>
      <c r="J7586" s="3" t="str">
        <f>HYPERLINK("https://www.boe.es/gazeta/dias/1821/11/29/pdfs/GMD-1821-341.pdf#page=1","Abrir facsímil")</f>
        <v>Abrir facsímil</v>
      </c>
      <c r="K7586" s="3" t="s">
        <v>23</v>
      </c>
    </row>
    <row r="7587" spans="1:11" ht="42" customHeight="1">
      <c r="A7587" s="2" t="s">
        <v>14662</v>
      </c>
      <c r="B7587" s="2" t="s">
        <v>14662</v>
      </c>
      <c r="C7587" s="2" t="s">
        <v>40</v>
      </c>
      <c r="D7587" s="2" t="s">
        <v>41</v>
      </c>
      <c r="E7587" s="5">
        <v>-28517</v>
      </c>
      <c r="F7587" s="3" t="s">
        <v>563</v>
      </c>
      <c r="G7587" s="3" t="s">
        <v>88</v>
      </c>
      <c r="H7587" s="2" t="s">
        <v>21</v>
      </c>
      <c r="I7587" s="2" t="s">
        <v>14684</v>
      </c>
      <c r="J7587" s="3" t="str">
        <f>HYPERLINK("https://www.boe.es/gazeta/dias/1821/12/02/pdfs/GMD-1821-344.pdf#page=4","Abrir facsímil")</f>
        <v>Abrir facsímil</v>
      </c>
      <c r="K7587" s="3" t="s">
        <v>23</v>
      </c>
    </row>
    <row r="7588" spans="1:11" ht="42" customHeight="1">
      <c r="A7588" s="2" t="s">
        <v>14662</v>
      </c>
      <c r="B7588" s="2" t="s">
        <v>14662</v>
      </c>
      <c r="C7588" s="2" t="s">
        <v>26</v>
      </c>
      <c r="D7588" s="2" t="s">
        <v>27</v>
      </c>
      <c r="E7588" s="5">
        <v>-28509</v>
      </c>
      <c r="F7588" s="3" t="s">
        <v>388</v>
      </c>
      <c r="G7588" s="3" t="s">
        <v>29</v>
      </c>
      <c r="H7588" s="2" t="s">
        <v>21</v>
      </c>
      <c r="I7588" s="2" t="s">
        <v>14685</v>
      </c>
      <c r="J7588" s="3" t="str">
        <f>HYPERLINK("https://www.boe.es/gazeta/dias/1821/12/10/pdfs/GMD-1821-352.pdf#page=6","Abrir facsímil")</f>
        <v>Abrir facsímil</v>
      </c>
      <c r="K7588" s="3" t="s">
        <v>23</v>
      </c>
    </row>
    <row r="7589" spans="1:11" ht="42" customHeight="1">
      <c r="A7589" s="2" t="s">
        <v>14662</v>
      </c>
      <c r="B7589" s="2" t="s">
        <v>14662</v>
      </c>
      <c r="C7589" s="2" t="s">
        <v>17</v>
      </c>
      <c r="D7589" s="2" t="s">
        <v>18</v>
      </c>
      <c r="E7589" s="5">
        <v>-28509</v>
      </c>
      <c r="F7589" s="3" t="s">
        <v>388</v>
      </c>
      <c r="G7589" s="3" t="s">
        <v>609</v>
      </c>
      <c r="H7589" s="2" t="s">
        <v>21</v>
      </c>
      <c r="I7589" s="2" t="s">
        <v>14686</v>
      </c>
      <c r="J7589" s="3" t="str">
        <f>HYPERLINK("https://www.boe.es/gazeta/dias/1821/12/10/pdfs/GMD-1821-352.pdf#page=7","Abrir facsímil")</f>
        <v>Abrir facsímil</v>
      </c>
      <c r="K7589" s="3" t="s">
        <v>23</v>
      </c>
    </row>
    <row r="7590" spans="1:11" ht="42" customHeight="1">
      <c r="A7590" s="2" t="s">
        <v>14662</v>
      </c>
      <c r="B7590" s="2" t="s">
        <v>14662</v>
      </c>
      <c r="C7590" s="2" t="s">
        <v>40</v>
      </c>
      <c r="D7590" s="2" t="s">
        <v>41</v>
      </c>
      <c r="E7590" s="5">
        <v>-28489</v>
      </c>
      <c r="F7590" s="3" t="s">
        <v>3894</v>
      </c>
      <c r="G7590" s="3" t="s">
        <v>20</v>
      </c>
      <c r="H7590" s="2" t="s">
        <v>21</v>
      </c>
      <c r="I7590" s="2" t="s">
        <v>14687</v>
      </c>
      <c r="J7590" s="3" t="str">
        <f>HYPERLINK("https://www.boe.es/gazeta/dias/1821/12/30/pdfs/GMD-1821-373.pdf#page=3","Abrir facsímil")</f>
        <v>Abrir facsímil</v>
      </c>
      <c r="K7590" s="3" t="s">
        <v>23</v>
      </c>
    </row>
    <row r="7591" spans="1:11" ht="42" customHeight="1">
      <c r="A7591" s="2" t="s">
        <v>14662</v>
      </c>
      <c r="B7591" s="2" t="s">
        <v>14662</v>
      </c>
      <c r="C7591" s="2" t="s">
        <v>40</v>
      </c>
      <c r="D7591" s="2" t="s">
        <v>41</v>
      </c>
      <c r="E7591" s="5">
        <v>-28489</v>
      </c>
      <c r="F7591" s="3" t="s">
        <v>3894</v>
      </c>
      <c r="G7591" s="3" t="s">
        <v>88</v>
      </c>
      <c r="H7591" s="2" t="s">
        <v>21</v>
      </c>
      <c r="I7591" s="2" t="s">
        <v>14688</v>
      </c>
      <c r="J7591" s="3" t="str">
        <f>HYPERLINK("https://www.boe.es/gazeta/dias/1821/12/30/pdfs/GMD-1821-373.pdf#page=4","Abrir facsímil")</f>
        <v>Abrir facsímil</v>
      </c>
      <c r="K7591" s="3" t="s">
        <v>23</v>
      </c>
    </row>
    <row r="7592" spans="1:11" ht="42" customHeight="1">
      <c r="A7592" s="2" t="s">
        <v>14689</v>
      </c>
      <c r="B7592" s="2" t="s">
        <v>14690</v>
      </c>
      <c r="C7592" s="2" t="s">
        <v>40</v>
      </c>
      <c r="D7592" s="2" t="s">
        <v>41</v>
      </c>
      <c r="E7592" s="5">
        <v>-28654</v>
      </c>
      <c r="F7592" s="3" t="s">
        <v>674</v>
      </c>
      <c r="G7592" s="3" t="s">
        <v>88</v>
      </c>
      <c r="H7592" s="2" t="s">
        <v>30</v>
      </c>
      <c r="I7592" s="2" t="s">
        <v>14691</v>
      </c>
      <c r="J7592" s="3" t="str">
        <f>HYPERLINK("https://www.boe.es/gazeta/dias/1821/07/18/pdfs/GMD-1821-203.pdf#page=4","Abrir facsímil")</f>
        <v>Abrir facsímil</v>
      </c>
      <c r="K7592" s="3" t="s">
        <v>32</v>
      </c>
    </row>
    <row r="7593" spans="1:11" ht="42" customHeight="1">
      <c r="A7593" s="2" t="s">
        <v>14692</v>
      </c>
      <c r="B7593" s="2" t="s">
        <v>14693</v>
      </c>
      <c r="C7593" s="2" t="s">
        <v>17</v>
      </c>
      <c r="D7593" s="2" t="s">
        <v>18</v>
      </c>
      <c r="E7593" s="5">
        <v>-28713</v>
      </c>
      <c r="F7593" s="3" t="s">
        <v>1976</v>
      </c>
      <c r="G7593" s="3" t="s">
        <v>52</v>
      </c>
      <c r="H7593" s="2" t="s">
        <v>21</v>
      </c>
      <c r="I7593" s="2" t="s">
        <v>14694</v>
      </c>
      <c r="J7593" s="3" t="str">
        <f>HYPERLINK("https://www.boe.es/gazeta/dias/1821/05/20/pdfs/GMD-1821-142.pdf#page=2","Abrir facsímil")</f>
        <v>Abrir facsímil</v>
      </c>
      <c r="K7593" s="3" t="s">
        <v>23</v>
      </c>
    </row>
    <row r="7594" spans="1:11" ht="42" customHeight="1">
      <c r="A7594" s="2" t="s">
        <v>14695</v>
      </c>
      <c r="B7594" s="2" t="s">
        <v>14696</v>
      </c>
      <c r="C7594" s="2" t="s">
        <v>40</v>
      </c>
      <c r="D7594" s="2" t="s">
        <v>41</v>
      </c>
      <c r="E7594" s="5">
        <v>-28531</v>
      </c>
      <c r="F7594" s="3" t="s">
        <v>365</v>
      </c>
      <c r="G7594" s="3" t="s">
        <v>20</v>
      </c>
      <c r="H7594" s="2" t="s">
        <v>21</v>
      </c>
      <c r="I7594" s="2" t="s">
        <v>14697</v>
      </c>
      <c r="J7594" s="3" t="str">
        <f>HYPERLINK("https://www.boe.es/gazeta/dias/1821/11/18/pdfs/GMD-1821-329.pdf#page=3","Abrir facsímil")</f>
        <v>Abrir facsímil</v>
      </c>
      <c r="K7594" s="3" t="s">
        <v>23</v>
      </c>
    </row>
    <row r="7595" spans="1:11" ht="42" customHeight="1">
      <c r="A7595" s="2" t="s">
        <v>14698</v>
      </c>
      <c r="B7595" s="2" t="s">
        <v>14699</v>
      </c>
      <c r="C7595" s="2" t="s">
        <v>40</v>
      </c>
      <c r="D7595" s="2" t="s">
        <v>41</v>
      </c>
      <c r="E7595" s="5">
        <v>-28572</v>
      </c>
      <c r="F7595" s="3" t="s">
        <v>1072</v>
      </c>
      <c r="G7595" s="3" t="s">
        <v>52</v>
      </c>
      <c r="H7595" s="2" t="s">
        <v>21</v>
      </c>
      <c r="I7595" s="2" t="s">
        <v>14700</v>
      </c>
      <c r="J7595" s="3" t="str">
        <f>HYPERLINK("https://www.boe.es/gazeta/dias/1821/10/08/pdfs/GMD-1821-287.pdf#page=2","Abrir facsímil")</f>
        <v>Abrir facsímil</v>
      </c>
      <c r="K7595" s="3" t="s">
        <v>23</v>
      </c>
    </row>
    <row r="7596" spans="1:11" ht="42" customHeight="1">
      <c r="A7596" s="2" t="s">
        <v>14701</v>
      </c>
      <c r="B7596" s="2" t="s">
        <v>14702</v>
      </c>
      <c r="C7596" s="2" t="s">
        <v>17</v>
      </c>
      <c r="D7596" s="2" t="s">
        <v>18</v>
      </c>
      <c r="E7596" s="5">
        <v>-28511</v>
      </c>
      <c r="F7596" s="3" t="s">
        <v>340</v>
      </c>
      <c r="G7596" s="3" t="s">
        <v>52</v>
      </c>
      <c r="H7596" s="2" t="s">
        <v>21</v>
      </c>
      <c r="I7596" s="2" t="s">
        <v>14703</v>
      </c>
      <c r="J7596" s="3" t="str">
        <f>HYPERLINK("https://www.boe.es/gazeta/dias/1821/12/08/pdfs/GMD-1821-350.pdf#page=2","Abrir facsímil")</f>
        <v>Abrir facsímil</v>
      </c>
      <c r="K7596" s="3" t="s">
        <v>23</v>
      </c>
    </row>
    <row r="7597" spans="1:11" ht="42" customHeight="1">
      <c r="A7597" s="2" t="s">
        <v>14704</v>
      </c>
      <c r="B7597" s="2" t="s">
        <v>14705</v>
      </c>
      <c r="C7597" s="2" t="s">
        <v>17</v>
      </c>
      <c r="D7597" s="2" t="s">
        <v>18</v>
      </c>
      <c r="E7597" s="5">
        <v>-28625</v>
      </c>
      <c r="F7597" s="3" t="s">
        <v>738</v>
      </c>
      <c r="G7597" s="3" t="s">
        <v>88</v>
      </c>
      <c r="H7597" s="2" t="s">
        <v>30</v>
      </c>
      <c r="I7597" s="2" t="s">
        <v>14706</v>
      </c>
      <c r="J7597" s="3" t="str">
        <f>HYPERLINK("https://www.boe.es/gazeta/dias/1821/08/16/pdfs/GMD-1821-233.pdf#page=4","Abrir facsímil")</f>
        <v>Abrir facsímil</v>
      </c>
      <c r="K7597" s="3" t="s">
        <v>32</v>
      </c>
    </row>
    <row r="7598" spans="1:11" ht="42" customHeight="1">
      <c r="A7598" s="2" t="s">
        <v>14707</v>
      </c>
      <c r="B7598" s="2" t="s">
        <v>14708</v>
      </c>
      <c r="C7598" s="2" t="s">
        <v>40</v>
      </c>
      <c r="D7598" s="2" t="s">
        <v>41</v>
      </c>
      <c r="E7598" s="5">
        <v>-28508</v>
      </c>
      <c r="F7598" s="3" t="s">
        <v>42</v>
      </c>
      <c r="G7598" s="3" t="s">
        <v>43</v>
      </c>
      <c r="H7598" s="2" t="s">
        <v>21</v>
      </c>
      <c r="I7598" s="2" t="s">
        <v>14709</v>
      </c>
      <c r="J7598" s="3" t="str">
        <f>HYPERLINK("https://www.boe.es/gazeta/dias/1821/12/11/pdfs/GMD-1821-353.pdf#page=1","Abrir facsímil")</f>
        <v>Abrir facsímil</v>
      </c>
      <c r="K7598" s="3" t="s">
        <v>23</v>
      </c>
    </row>
    <row r="7599" spans="1:11" ht="42" customHeight="1">
      <c r="A7599" s="2" t="s">
        <v>14710</v>
      </c>
      <c r="B7599" s="2" t="s">
        <v>14711</v>
      </c>
      <c r="C7599" s="2" t="s">
        <v>17</v>
      </c>
      <c r="D7599" s="2" t="s">
        <v>18</v>
      </c>
      <c r="E7599" s="5">
        <v>-28587</v>
      </c>
      <c r="F7599" s="3" t="s">
        <v>392</v>
      </c>
      <c r="G7599" s="3" t="s">
        <v>88</v>
      </c>
      <c r="H7599" s="2" t="s">
        <v>21</v>
      </c>
      <c r="I7599" s="2" t="s">
        <v>14712</v>
      </c>
      <c r="J7599" s="3" t="str">
        <f>HYPERLINK("https://www.boe.es/gazeta/dias/1821/09/23/pdfs/GMD-1821-271.pdf#page=4","Abrir facsímil")</f>
        <v>Abrir facsímil</v>
      </c>
      <c r="K7599" s="3" t="s">
        <v>23</v>
      </c>
    </row>
    <row r="7600" spans="1:11" ht="42" customHeight="1">
      <c r="A7600" s="2" t="s">
        <v>14713</v>
      </c>
      <c r="B7600" s="2" t="s">
        <v>14714</v>
      </c>
      <c r="C7600" s="2" t="s">
        <v>26</v>
      </c>
      <c r="D7600" s="2" t="s">
        <v>27</v>
      </c>
      <c r="E7600" s="5">
        <v>-28718</v>
      </c>
      <c r="F7600" s="3" t="s">
        <v>583</v>
      </c>
      <c r="G7600" s="3" t="s">
        <v>88</v>
      </c>
      <c r="H7600" s="2" t="s">
        <v>21</v>
      </c>
      <c r="I7600" s="2" t="s">
        <v>14715</v>
      </c>
      <c r="J7600" s="3" t="str">
        <f>HYPERLINK("https://www.boe.es/gazeta/dias/1821/05/15/pdfs/GMD-1821-137.pdf#page=4","Abrir facsímil")</f>
        <v>Abrir facsímil</v>
      </c>
      <c r="K7600" s="3" t="s">
        <v>23</v>
      </c>
    </row>
    <row r="7601" spans="1:11" ht="42" customHeight="1">
      <c r="A7601" s="2" t="s">
        <v>14716</v>
      </c>
      <c r="B7601" s="2" t="s">
        <v>14717</v>
      </c>
      <c r="C7601" s="2" t="s">
        <v>40</v>
      </c>
      <c r="D7601" s="2" t="s">
        <v>41</v>
      </c>
      <c r="E7601" s="5">
        <v>-28692</v>
      </c>
      <c r="F7601" s="3" t="s">
        <v>3807</v>
      </c>
      <c r="G7601" s="3" t="s">
        <v>52</v>
      </c>
      <c r="H7601" s="2" t="s">
        <v>21</v>
      </c>
      <c r="I7601" s="2" t="s">
        <v>14718</v>
      </c>
      <c r="J7601" s="3" t="str">
        <f>HYPERLINK("https://www.boe.es/gazeta/dias/1821/06/10/pdfs/GMD-1821-163.pdf#page=2","Abrir facsímil")</f>
        <v>Abrir facsímil</v>
      </c>
      <c r="K7601" s="3" t="s">
        <v>23</v>
      </c>
    </row>
    <row r="7602" spans="1:11" ht="42" customHeight="1">
      <c r="A7602" s="2" t="s">
        <v>14719</v>
      </c>
      <c r="B7602" s="2" t="s">
        <v>14720</v>
      </c>
      <c r="C7602" s="2" t="s">
        <v>40</v>
      </c>
      <c r="D7602" s="2" t="s">
        <v>41</v>
      </c>
      <c r="E7602" s="5">
        <v>-28712</v>
      </c>
      <c r="F7602" s="3" t="s">
        <v>695</v>
      </c>
      <c r="G7602" s="3" t="s">
        <v>52</v>
      </c>
      <c r="H7602" s="2" t="s">
        <v>21</v>
      </c>
      <c r="I7602" s="2" t="s">
        <v>14721</v>
      </c>
      <c r="J7602" s="3" t="str">
        <f>HYPERLINK("https://www.boe.es/gazeta/dias/1821/05/21/pdfs/GMD-1821-143.pdf#page=2","Abrir facsímil")</f>
        <v>Abrir facsímil</v>
      </c>
      <c r="K7602" s="3" t="s">
        <v>23</v>
      </c>
    </row>
    <row r="7603" spans="1:11" ht="42" customHeight="1">
      <c r="A7603" s="2" t="s">
        <v>14722</v>
      </c>
      <c r="B7603" s="2" t="s">
        <v>14723</v>
      </c>
      <c r="C7603" s="2" t="s">
        <v>279</v>
      </c>
      <c r="D7603" s="2" t="s">
        <v>27</v>
      </c>
      <c r="E7603" s="5">
        <v>-28796</v>
      </c>
      <c r="F7603" s="3" t="s">
        <v>1421</v>
      </c>
      <c r="G7603" s="3" t="s">
        <v>8266</v>
      </c>
      <c r="H7603" s="2" t="s">
        <v>30</v>
      </c>
      <c r="I7603" s="2" t="s">
        <v>14724</v>
      </c>
      <c r="J7603" s="3" t="str">
        <f>HYPERLINK("https://www.boe.es/gazeta/dias/1821/02/26/pdfs/GGB-1821-57.pdf#page=4","Abrir facsímil")</f>
        <v>Abrir facsímil</v>
      </c>
      <c r="K7603" s="3" t="s">
        <v>32</v>
      </c>
    </row>
    <row r="7604" spans="1:11" ht="42" customHeight="1">
      <c r="A7604" s="2" t="s">
        <v>14725</v>
      </c>
      <c r="B7604" s="2" t="s">
        <v>14726</v>
      </c>
      <c r="C7604" s="2" t="s">
        <v>26</v>
      </c>
      <c r="D7604" s="2" t="s">
        <v>27</v>
      </c>
      <c r="E7604" s="5">
        <v>-28691</v>
      </c>
      <c r="F7604" s="3" t="s">
        <v>716</v>
      </c>
      <c r="G7604" s="3" t="s">
        <v>43</v>
      </c>
      <c r="H7604" s="2" t="s">
        <v>21</v>
      </c>
      <c r="I7604" s="2" t="s">
        <v>14727</v>
      </c>
      <c r="J7604" s="3" t="str">
        <f>HYPERLINK("https://www.boe.es/gazeta/dias/1821/06/11/pdfs/GMD-1821-164.pdf#page=1","Abrir facsímil")</f>
        <v>Abrir facsímil</v>
      </c>
      <c r="K7604" s="3" t="s">
        <v>23</v>
      </c>
    </row>
    <row r="7605" spans="1:11" ht="42" customHeight="1">
      <c r="A7605" s="2" t="s">
        <v>14728</v>
      </c>
      <c r="B7605" s="2" t="s">
        <v>14728</v>
      </c>
      <c r="C7605" s="2" t="s">
        <v>35</v>
      </c>
      <c r="D7605" s="2" t="s">
        <v>27</v>
      </c>
      <c r="E7605" s="5">
        <v>-28778</v>
      </c>
      <c r="F7605" s="3" t="s">
        <v>1301</v>
      </c>
      <c r="G7605" s="3" t="s">
        <v>88</v>
      </c>
      <c r="H7605" s="2" t="s">
        <v>21</v>
      </c>
      <c r="I7605" s="2" t="s">
        <v>14729</v>
      </c>
      <c r="J7605" s="3" t="str">
        <f>HYPERLINK("https://www.boe.es/gazeta/dias/1821/03/16/pdfs/GMD-1821-75.pdf#page=4","Abrir facsímil")</f>
        <v>Abrir facsímil</v>
      </c>
      <c r="K7605" s="3" t="s">
        <v>23</v>
      </c>
    </row>
    <row r="7606" spans="1:11" ht="42" customHeight="1">
      <c r="A7606" s="2" t="s">
        <v>14728</v>
      </c>
      <c r="B7606" s="2" t="s">
        <v>14728</v>
      </c>
      <c r="C7606" s="2" t="s">
        <v>17</v>
      </c>
      <c r="D7606" s="2" t="s">
        <v>18</v>
      </c>
      <c r="E7606" s="5">
        <v>-28778</v>
      </c>
      <c r="F7606" s="3" t="s">
        <v>1301</v>
      </c>
      <c r="G7606" s="3" t="s">
        <v>162</v>
      </c>
      <c r="H7606" s="2" t="s">
        <v>21</v>
      </c>
      <c r="I7606" s="2" t="s">
        <v>14730</v>
      </c>
      <c r="J7606" s="3" t="str">
        <f>HYPERLINK("https://www.boe.es/gazeta/dias/1821/03/16/pdfs/GMD-1821-75.pdf#page=5","Abrir facsímil")</f>
        <v>Abrir facsímil</v>
      </c>
      <c r="K7606" s="3" t="s">
        <v>23</v>
      </c>
    </row>
    <row r="7607" spans="1:11" ht="42" customHeight="1">
      <c r="A7607" s="2" t="s">
        <v>14728</v>
      </c>
      <c r="B7607" s="2" t="s">
        <v>14728</v>
      </c>
      <c r="C7607" s="2" t="s">
        <v>17</v>
      </c>
      <c r="D7607" s="2" t="s">
        <v>18</v>
      </c>
      <c r="E7607" s="5">
        <v>-28774</v>
      </c>
      <c r="F7607" s="3" t="s">
        <v>1221</v>
      </c>
      <c r="G7607" s="3" t="s">
        <v>20</v>
      </c>
      <c r="H7607" s="2" t="s">
        <v>21</v>
      </c>
      <c r="I7607" s="2" t="s">
        <v>14731</v>
      </c>
      <c r="J7607" s="3" t="str">
        <f>HYPERLINK("https://www.boe.es/gazeta/dias/1821/03/20/pdfs/GMD-1821-79.pdf#page=3","Abrir facsímil")</f>
        <v>Abrir facsímil</v>
      </c>
      <c r="K7607" s="3" t="s">
        <v>23</v>
      </c>
    </row>
    <row r="7608" spans="1:11" ht="42" customHeight="1">
      <c r="A7608" s="2" t="s">
        <v>14728</v>
      </c>
      <c r="B7608" s="2" t="s">
        <v>14728</v>
      </c>
      <c r="C7608" s="2" t="s">
        <v>40</v>
      </c>
      <c r="D7608" s="2" t="s">
        <v>41</v>
      </c>
      <c r="E7608" s="5">
        <v>-28752</v>
      </c>
      <c r="F7608" s="3" t="s">
        <v>1012</v>
      </c>
      <c r="G7608" s="3" t="s">
        <v>52</v>
      </c>
      <c r="H7608" s="2" t="s">
        <v>21</v>
      </c>
      <c r="I7608" s="2" t="s">
        <v>14732</v>
      </c>
      <c r="J7608" s="3" t="str">
        <f>HYPERLINK("https://www.boe.es/gazeta/dias/1821/04/11/pdfs/GMD-1821-103.pdf#page=2","Abrir facsímil")</f>
        <v>Abrir facsímil</v>
      </c>
      <c r="K7608" s="3" t="s">
        <v>23</v>
      </c>
    </row>
    <row r="7609" spans="1:11" ht="42" customHeight="1">
      <c r="A7609" s="2" t="s">
        <v>14728</v>
      </c>
      <c r="B7609" s="2" t="s">
        <v>14728</v>
      </c>
      <c r="C7609" s="2" t="s">
        <v>114</v>
      </c>
      <c r="D7609" s="2" t="s">
        <v>27</v>
      </c>
      <c r="E7609" s="5">
        <v>-28722</v>
      </c>
      <c r="F7609" s="3" t="s">
        <v>623</v>
      </c>
      <c r="G7609" s="3" t="s">
        <v>20</v>
      </c>
      <c r="H7609" s="2" t="s">
        <v>21</v>
      </c>
      <c r="I7609" s="2" t="s">
        <v>14733</v>
      </c>
      <c r="J7609" s="3" t="str">
        <f>HYPERLINK("https://www.boe.es/gazeta/dias/1821/05/11/pdfs/GMD-1821-133.pdf#page=3","Abrir facsímil")</f>
        <v>Abrir facsímil</v>
      </c>
      <c r="K7609" s="3" t="s">
        <v>23</v>
      </c>
    </row>
    <row r="7610" spans="1:11" ht="42" customHeight="1">
      <c r="A7610" s="2" t="s">
        <v>14728</v>
      </c>
      <c r="B7610" s="2" t="s">
        <v>14728</v>
      </c>
      <c r="C7610" s="2" t="s">
        <v>26</v>
      </c>
      <c r="D7610" s="2" t="s">
        <v>27</v>
      </c>
      <c r="E7610" s="5">
        <v>-28720</v>
      </c>
      <c r="F7610" s="3" t="s">
        <v>492</v>
      </c>
      <c r="G7610" s="3" t="s">
        <v>52</v>
      </c>
      <c r="H7610" s="2" t="s">
        <v>21</v>
      </c>
      <c r="I7610" s="2" t="s">
        <v>14734</v>
      </c>
      <c r="J7610" s="3" t="str">
        <f>HYPERLINK("https://www.boe.es/gazeta/dias/1821/05/13/pdfs/GMD-1821-135.pdf#page=2","Abrir facsímil")</f>
        <v>Abrir facsímil</v>
      </c>
      <c r="K7610" s="3" t="s">
        <v>23</v>
      </c>
    </row>
    <row r="7611" spans="1:11" ht="42" customHeight="1">
      <c r="A7611" s="2" t="s">
        <v>14728</v>
      </c>
      <c r="B7611" s="2" t="s">
        <v>14728</v>
      </c>
      <c r="C7611" s="2" t="s">
        <v>17</v>
      </c>
      <c r="D7611" s="2" t="s">
        <v>18</v>
      </c>
      <c r="E7611" s="5">
        <v>-28706</v>
      </c>
      <c r="F7611" s="3" t="s">
        <v>4791</v>
      </c>
      <c r="G7611" s="3" t="s">
        <v>52</v>
      </c>
      <c r="H7611" s="2" t="s">
        <v>21</v>
      </c>
      <c r="I7611" s="2" t="s">
        <v>14735</v>
      </c>
      <c r="J7611" s="3" t="str">
        <f>HYPERLINK("https://www.boe.es/gazeta/dias/1821/05/27/pdfs/GMD-1821-149.pdf#page=2","Abrir facsímil")</f>
        <v>Abrir facsímil</v>
      </c>
      <c r="K7611" s="3" t="s">
        <v>23</v>
      </c>
    </row>
    <row r="7612" spans="1:11" ht="42" customHeight="1">
      <c r="A7612" s="2" t="s">
        <v>14728</v>
      </c>
      <c r="B7612" s="2" t="s">
        <v>14728</v>
      </c>
      <c r="C7612" s="2" t="s">
        <v>35</v>
      </c>
      <c r="D7612" s="2" t="s">
        <v>27</v>
      </c>
      <c r="E7612" s="5">
        <v>-28705</v>
      </c>
      <c r="F7612" s="3" t="s">
        <v>1844</v>
      </c>
      <c r="G7612" s="3" t="s">
        <v>52</v>
      </c>
      <c r="H7612" s="2" t="s">
        <v>21</v>
      </c>
      <c r="I7612" s="2" t="s">
        <v>14736</v>
      </c>
      <c r="J7612" s="3" t="str">
        <f>HYPERLINK("https://www.boe.es/gazeta/dias/1821/05/28/pdfs/GMD-1821-150.pdf#page=2","Abrir facsímil")</f>
        <v>Abrir facsímil</v>
      </c>
      <c r="K7612" s="3" t="s">
        <v>23</v>
      </c>
    </row>
    <row r="7613" spans="1:11" ht="42" customHeight="1">
      <c r="A7613" s="2" t="s">
        <v>14728</v>
      </c>
      <c r="B7613" s="2" t="s">
        <v>14728</v>
      </c>
      <c r="C7613" s="2" t="s">
        <v>17</v>
      </c>
      <c r="D7613" s="2" t="s">
        <v>18</v>
      </c>
      <c r="E7613" s="5">
        <v>-28689</v>
      </c>
      <c r="F7613" s="3" t="s">
        <v>194</v>
      </c>
      <c r="G7613" s="3" t="s">
        <v>20</v>
      </c>
      <c r="H7613" s="2" t="s">
        <v>21</v>
      </c>
      <c r="I7613" s="2" t="s">
        <v>14737</v>
      </c>
      <c r="J7613" s="3" t="str">
        <f>HYPERLINK("https://www.boe.es/gazeta/dias/1821/06/13/pdfs/GMD-1821-166.pdf#page=3","Abrir facsímil")</f>
        <v>Abrir facsímil</v>
      </c>
      <c r="K7613" s="3" t="s">
        <v>23</v>
      </c>
    </row>
    <row r="7614" spans="1:11" ht="42" customHeight="1">
      <c r="A7614" s="2" t="s">
        <v>14728</v>
      </c>
      <c r="B7614" s="2" t="s">
        <v>14728</v>
      </c>
      <c r="C7614" s="2" t="s">
        <v>17</v>
      </c>
      <c r="D7614" s="2" t="s">
        <v>18</v>
      </c>
      <c r="E7614" s="5">
        <v>-28686</v>
      </c>
      <c r="F7614" s="3" t="s">
        <v>115</v>
      </c>
      <c r="G7614" s="3" t="s">
        <v>88</v>
      </c>
      <c r="H7614" s="2" t="s">
        <v>21</v>
      </c>
      <c r="I7614" s="2" t="s">
        <v>14738</v>
      </c>
      <c r="J7614" s="3" t="str">
        <f>HYPERLINK("https://www.boe.es/gazeta/dias/1821/06/16/pdfs/GMD-1821-169.pdf#page=4","Abrir facsímil")</f>
        <v>Abrir facsímil</v>
      </c>
      <c r="K7614" s="3" t="s">
        <v>23</v>
      </c>
    </row>
    <row r="7615" spans="1:11" ht="42" customHeight="1">
      <c r="A7615" s="2" t="s">
        <v>14728</v>
      </c>
      <c r="B7615" s="2" t="s">
        <v>14728</v>
      </c>
      <c r="C7615" s="2" t="s">
        <v>17</v>
      </c>
      <c r="D7615" s="2" t="s">
        <v>18</v>
      </c>
      <c r="E7615" s="5">
        <v>-28673</v>
      </c>
      <c r="F7615" s="3" t="s">
        <v>1069</v>
      </c>
      <c r="G7615" s="3" t="s">
        <v>52</v>
      </c>
      <c r="H7615" s="2" t="s">
        <v>21</v>
      </c>
      <c r="I7615" s="2" t="s">
        <v>14739</v>
      </c>
      <c r="J7615" s="3" t="str">
        <f>HYPERLINK("https://www.boe.es/gazeta/dias/1821/06/29/pdfs/GMD-1821-182.pdf#page=2","Abrir facsímil")</f>
        <v>Abrir facsímil</v>
      </c>
      <c r="K7615" s="3" t="s">
        <v>23</v>
      </c>
    </row>
    <row r="7616" spans="1:11" ht="42" customHeight="1">
      <c r="A7616" s="2" t="s">
        <v>14728</v>
      </c>
      <c r="B7616" s="2" t="s">
        <v>14728</v>
      </c>
      <c r="C7616" s="2" t="s">
        <v>35</v>
      </c>
      <c r="D7616" s="2" t="s">
        <v>27</v>
      </c>
      <c r="E7616" s="5">
        <v>-28576</v>
      </c>
      <c r="F7616" s="3" t="s">
        <v>1924</v>
      </c>
      <c r="G7616" s="3" t="s">
        <v>20</v>
      </c>
      <c r="H7616" s="2" t="s">
        <v>21</v>
      </c>
      <c r="I7616" s="2" t="s">
        <v>14740</v>
      </c>
      <c r="J7616" s="3" t="str">
        <f>HYPERLINK("https://www.boe.es/gazeta/dias/1821/10/04/pdfs/GMD-1821-283.pdf#page=3","Abrir facsímil")</f>
        <v>Abrir facsímil</v>
      </c>
      <c r="K7616" s="3" t="s">
        <v>23</v>
      </c>
    </row>
    <row r="7617" spans="1:11" ht="42" customHeight="1">
      <c r="A7617" s="2" t="s">
        <v>14728</v>
      </c>
      <c r="B7617" s="2" t="s">
        <v>14728</v>
      </c>
      <c r="C7617" s="2" t="s">
        <v>26</v>
      </c>
      <c r="D7617" s="2" t="s">
        <v>27</v>
      </c>
      <c r="E7617" s="5">
        <v>-28575</v>
      </c>
      <c r="F7617" s="3" t="s">
        <v>2453</v>
      </c>
      <c r="G7617" s="3" t="s">
        <v>88</v>
      </c>
      <c r="H7617" s="2" t="s">
        <v>21</v>
      </c>
      <c r="I7617" s="2" t="s">
        <v>14741</v>
      </c>
      <c r="J7617" s="3" t="str">
        <f>HYPERLINK("https://www.boe.es/gazeta/dias/1821/10/05/pdfs/GMD-1821-284.pdf#page=4","Abrir facsímil")</f>
        <v>Abrir facsímil</v>
      </c>
      <c r="K7617" s="3" t="s">
        <v>23</v>
      </c>
    </row>
    <row r="7618" spans="1:11" ht="42" customHeight="1">
      <c r="A7618" s="2" t="s">
        <v>14728</v>
      </c>
      <c r="B7618" s="2" t="s">
        <v>14728</v>
      </c>
      <c r="C7618" s="2" t="s">
        <v>26</v>
      </c>
      <c r="D7618" s="2" t="s">
        <v>27</v>
      </c>
      <c r="E7618" s="5">
        <v>-28564</v>
      </c>
      <c r="F7618" s="3" t="s">
        <v>861</v>
      </c>
      <c r="G7618" s="3" t="s">
        <v>20</v>
      </c>
      <c r="H7618" s="2" t="s">
        <v>21</v>
      </c>
      <c r="I7618" s="2" t="s">
        <v>14742</v>
      </c>
      <c r="J7618" s="3" t="str">
        <f>HYPERLINK("https://www.boe.es/gazeta/dias/1821/10/16/pdfs/GMD-1821-295.pdf#page=3","Abrir facsímil")</f>
        <v>Abrir facsímil</v>
      </c>
      <c r="K7618" s="3" t="s">
        <v>23</v>
      </c>
    </row>
    <row r="7619" spans="1:11" ht="42" customHeight="1">
      <c r="A7619" s="2" t="s">
        <v>14728</v>
      </c>
      <c r="B7619" s="2" t="s">
        <v>14728</v>
      </c>
      <c r="C7619" s="2" t="s">
        <v>114</v>
      </c>
      <c r="D7619" s="2" t="s">
        <v>27</v>
      </c>
      <c r="E7619" s="5">
        <v>-28561</v>
      </c>
      <c r="F7619" s="3" t="s">
        <v>240</v>
      </c>
      <c r="G7619" s="3" t="s">
        <v>29</v>
      </c>
      <c r="H7619" s="2" t="s">
        <v>21</v>
      </c>
      <c r="I7619" s="2" t="s">
        <v>14743</v>
      </c>
      <c r="J7619" s="3" t="str">
        <f>HYPERLINK("https://www.boe.es/gazeta/dias/1821/10/19/pdfs/GMD-1821-298.pdf#page=6","Abrir facsímil")</f>
        <v>Abrir facsímil</v>
      </c>
      <c r="K7619" s="3" t="s">
        <v>23</v>
      </c>
    </row>
    <row r="7620" spans="1:11" ht="42" customHeight="1">
      <c r="A7620" s="2" t="s">
        <v>14728</v>
      </c>
      <c r="B7620" s="2" t="s">
        <v>14728</v>
      </c>
      <c r="C7620" s="2" t="s">
        <v>26</v>
      </c>
      <c r="D7620" s="2" t="s">
        <v>27</v>
      </c>
      <c r="E7620" s="5">
        <v>-28548</v>
      </c>
      <c r="F7620" s="3" t="s">
        <v>782</v>
      </c>
      <c r="G7620" s="3" t="s">
        <v>20</v>
      </c>
      <c r="H7620" s="2" t="s">
        <v>21</v>
      </c>
      <c r="I7620" s="2" t="s">
        <v>14744</v>
      </c>
      <c r="J7620" s="3" t="str">
        <f>HYPERLINK("https://www.boe.es/gazeta/dias/1821/11/01/pdfs/GMD-1821-311.pdf#page=3","Abrir facsímil")</f>
        <v>Abrir facsímil</v>
      </c>
      <c r="K7620" s="3" t="s">
        <v>23</v>
      </c>
    </row>
    <row r="7621" spans="1:11" ht="42" customHeight="1">
      <c r="A7621" s="2" t="s">
        <v>14728</v>
      </c>
      <c r="B7621" s="2" t="s">
        <v>14728</v>
      </c>
      <c r="C7621" s="2" t="s">
        <v>17</v>
      </c>
      <c r="D7621" s="2" t="s">
        <v>18</v>
      </c>
      <c r="E7621" s="5">
        <v>-28533</v>
      </c>
      <c r="F7621" s="3" t="s">
        <v>559</v>
      </c>
      <c r="G7621" s="3" t="s">
        <v>88</v>
      </c>
      <c r="H7621" s="2" t="s">
        <v>21</v>
      </c>
      <c r="I7621" s="2" t="s">
        <v>14745</v>
      </c>
      <c r="J7621" s="3" t="str">
        <f>HYPERLINK("https://www.boe.es/gazeta/dias/1821/11/16/pdfs/GMD-1821-327.pdf#page=4","Abrir facsímil")</f>
        <v>Abrir facsímil</v>
      </c>
      <c r="K7621" s="3" t="s">
        <v>23</v>
      </c>
    </row>
    <row r="7622" spans="1:11" ht="42" customHeight="1">
      <c r="A7622" s="2" t="s">
        <v>14728</v>
      </c>
      <c r="B7622" s="2" t="s">
        <v>14728</v>
      </c>
      <c r="C7622" s="2" t="s">
        <v>70</v>
      </c>
      <c r="D7622" s="2" t="s">
        <v>27</v>
      </c>
      <c r="E7622" s="5">
        <v>-28504</v>
      </c>
      <c r="F7622" s="3" t="s">
        <v>1098</v>
      </c>
      <c r="G7622" s="3" t="s">
        <v>3862</v>
      </c>
      <c r="H7622" s="2" t="s">
        <v>21</v>
      </c>
      <c r="I7622" s="2" t="s">
        <v>14746</v>
      </c>
      <c r="J7622" s="3" t="str">
        <f>HYPERLINK("https://www.boe.es/gazeta/dias/1821/12/15/pdfs/GMD-1821-358.pdf#page=5","Abrir facsímil")</f>
        <v>Abrir facsímil</v>
      </c>
      <c r="K7622" s="3" t="s">
        <v>23</v>
      </c>
    </row>
    <row r="7623" spans="1:11" ht="42" customHeight="1">
      <c r="A7623" s="2" t="s">
        <v>14728</v>
      </c>
      <c r="B7623" s="2" t="s">
        <v>14728</v>
      </c>
      <c r="C7623" s="2" t="s">
        <v>40</v>
      </c>
      <c r="D7623" s="2" t="s">
        <v>41</v>
      </c>
      <c r="E7623" s="5">
        <v>-28504</v>
      </c>
      <c r="F7623" s="3" t="s">
        <v>1098</v>
      </c>
      <c r="G7623" s="3" t="s">
        <v>29</v>
      </c>
      <c r="H7623" s="2" t="s">
        <v>21</v>
      </c>
      <c r="I7623" s="2" t="s">
        <v>14747</v>
      </c>
      <c r="J7623" s="3" t="str">
        <f>HYPERLINK("https://www.boe.es/gazeta/dias/1821/12/15/pdfs/GMD-1821-358.pdf#page=6","Abrir facsímil")</f>
        <v>Abrir facsímil</v>
      </c>
      <c r="K7623" s="3" t="s">
        <v>23</v>
      </c>
    </row>
    <row r="7624" spans="1:11" ht="42" customHeight="1">
      <c r="A7624" s="2" t="s">
        <v>14728</v>
      </c>
      <c r="B7624" s="2" t="s">
        <v>14728</v>
      </c>
      <c r="C7624" s="2" t="s">
        <v>40</v>
      </c>
      <c r="D7624" s="2" t="s">
        <v>41</v>
      </c>
      <c r="E7624" s="5">
        <v>-28500</v>
      </c>
      <c r="F7624" s="3" t="s">
        <v>298</v>
      </c>
      <c r="G7624" s="3" t="s">
        <v>299</v>
      </c>
      <c r="H7624" s="2" t="s">
        <v>21</v>
      </c>
      <c r="I7624" s="2" t="s">
        <v>14748</v>
      </c>
      <c r="J7624" s="3" t="str">
        <f>HYPERLINK("https://www.boe.es/gazeta/dias/1821/12/19/pdfs/GMD-1821-362.pdf#page=4","Abrir facsímil")</f>
        <v>Abrir facsímil</v>
      </c>
      <c r="K7624" s="3" t="s">
        <v>23</v>
      </c>
    </row>
    <row r="7625" spans="1:11" ht="42" customHeight="1">
      <c r="A7625" s="2" t="s">
        <v>14728</v>
      </c>
      <c r="B7625" s="2" t="s">
        <v>14728</v>
      </c>
      <c r="C7625" s="2" t="s">
        <v>35</v>
      </c>
      <c r="D7625" s="2" t="s">
        <v>27</v>
      </c>
      <c r="E7625" s="5">
        <v>-28496</v>
      </c>
      <c r="F7625" s="3" t="s">
        <v>785</v>
      </c>
      <c r="G7625" s="3" t="s">
        <v>20</v>
      </c>
      <c r="H7625" s="2" t="s">
        <v>21</v>
      </c>
      <c r="I7625" s="2" t="s">
        <v>14749</v>
      </c>
      <c r="J7625" s="3" t="str">
        <f>HYPERLINK("https://www.boe.es/gazeta/dias/1821/12/23/pdfs/GMD-1821-366.pdf#page=3","Abrir facsímil")</f>
        <v>Abrir facsímil</v>
      </c>
      <c r="K7625" s="3" t="s">
        <v>23</v>
      </c>
    </row>
    <row r="7626" spans="1:11" ht="42" customHeight="1">
      <c r="A7626" s="2" t="s">
        <v>14728</v>
      </c>
      <c r="B7626" s="2" t="s">
        <v>14728</v>
      </c>
      <c r="C7626" s="2" t="s">
        <v>35</v>
      </c>
      <c r="D7626" s="2" t="s">
        <v>27</v>
      </c>
      <c r="E7626" s="5">
        <v>-28491</v>
      </c>
      <c r="F7626" s="3" t="s">
        <v>573</v>
      </c>
      <c r="G7626" s="3" t="s">
        <v>88</v>
      </c>
      <c r="H7626" s="2" t="s">
        <v>21</v>
      </c>
      <c r="I7626" s="2" t="s">
        <v>14750</v>
      </c>
      <c r="J7626" s="3" t="str">
        <f>HYPERLINK("https://www.boe.es/gazeta/dias/1821/12/28/pdfs/GMD-1821-371.pdf#page=4","Abrir facsímil")</f>
        <v>Abrir facsímil</v>
      </c>
      <c r="K7626" s="3" t="s">
        <v>23</v>
      </c>
    </row>
    <row r="7627" spans="1:11" ht="42" customHeight="1">
      <c r="A7627" s="2" t="s">
        <v>14751</v>
      </c>
      <c r="B7627" s="2" t="s">
        <v>14752</v>
      </c>
      <c r="C7627" s="2" t="s">
        <v>40</v>
      </c>
      <c r="D7627" s="2" t="s">
        <v>41</v>
      </c>
      <c r="E7627" s="5">
        <v>-28696</v>
      </c>
      <c r="F7627" s="3" t="s">
        <v>497</v>
      </c>
      <c r="G7627" s="3" t="s">
        <v>88</v>
      </c>
      <c r="H7627" s="2" t="s">
        <v>21</v>
      </c>
      <c r="I7627" s="2" t="s">
        <v>14753</v>
      </c>
      <c r="J7627" s="3" t="str">
        <f>HYPERLINK("https://www.boe.es/gazeta/dias/1821/06/06/pdfs/GMD-1821-159.pdf#page=4","Abrir facsímil")</f>
        <v>Abrir facsímil</v>
      </c>
      <c r="K7627" s="3" t="s">
        <v>23</v>
      </c>
    </row>
    <row r="7628" spans="1:11" ht="42" customHeight="1">
      <c r="A7628" s="2" t="s">
        <v>14754</v>
      </c>
      <c r="B7628" s="2" t="s">
        <v>14755</v>
      </c>
      <c r="C7628" s="2" t="s">
        <v>40</v>
      </c>
      <c r="D7628" s="2" t="s">
        <v>41</v>
      </c>
      <c r="E7628" s="5">
        <v>-28513</v>
      </c>
      <c r="F7628" s="3" t="s">
        <v>502</v>
      </c>
      <c r="G7628" s="3" t="s">
        <v>52</v>
      </c>
      <c r="H7628" s="2" t="s">
        <v>21</v>
      </c>
      <c r="I7628" s="2" t="s">
        <v>14756</v>
      </c>
      <c r="J7628" s="3" t="str">
        <f>HYPERLINK("https://www.boe.es/gazeta/dias/1821/12/06/pdfs/GMD-1821-348.pdf#page=2","Abrir facsímil")</f>
        <v>Abrir facsímil</v>
      </c>
      <c r="K7628" s="3" t="s">
        <v>23</v>
      </c>
    </row>
    <row r="7629" spans="1:11" ht="42" customHeight="1">
      <c r="A7629" s="2" t="s">
        <v>14757</v>
      </c>
      <c r="B7629" s="2" t="s">
        <v>14758</v>
      </c>
      <c r="C7629" s="2" t="s">
        <v>26</v>
      </c>
      <c r="D7629" s="2" t="s">
        <v>27</v>
      </c>
      <c r="E7629" s="5">
        <v>-28587</v>
      </c>
      <c r="F7629" s="3" t="s">
        <v>392</v>
      </c>
      <c r="G7629" s="3" t="s">
        <v>88</v>
      </c>
      <c r="H7629" s="2" t="s">
        <v>21</v>
      </c>
      <c r="I7629" s="2" t="s">
        <v>14759</v>
      </c>
      <c r="J7629" s="3" t="str">
        <f>HYPERLINK("https://www.boe.es/gazeta/dias/1821/09/23/pdfs/GMD-1821-271.pdf#page=4","Abrir facsímil")</f>
        <v>Abrir facsímil</v>
      </c>
      <c r="K7629" s="3" t="s">
        <v>23</v>
      </c>
    </row>
    <row r="7630" spans="1:11" ht="42" customHeight="1">
      <c r="A7630" s="2" t="s">
        <v>14760</v>
      </c>
      <c r="B7630" s="2" t="s">
        <v>14761</v>
      </c>
      <c r="C7630" s="2" t="s">
        <v>26</v>
      </c>
      <c r="D7630" s="2" t="s">
        <v>27</v>
      </c>
      <c r="E7630" s="5">
        <v>-28489</v>
      </c>
      <c r="F7630" s="3" t="s">
        <v>3894</v>
      </c>
      <c r="G7630" s="3" t="s">
        <v>52</v>
      </c>
      <c r="H7630" s="2" t="s">
        <v>21</v>
      </c>
      <c r="I7630" s="2" t="s">
        <v>14762</v>
      </c>
      <c r="J7630" s="3" t="str">
        <f>HYPERLINK("https://www.boe.es/gazeta/dias/1821/12/30/pdfs/GMD-1821-373.pdf#page=2","Abrir facsímil")</f>
        <v>Abrir facsímil</v>
      </c>
      <c r="K7630" s="3" t="s">
        <v>23</v>
      </c>
    </row>
    <row r="7631" spans="1:11" ht="42" customHeight="1">
      <c r="A7631" s="2" t="s">
        <v>14763</v>
      </c>
      <c r="B7631" s="2" t="s">
        <v>14764</v>
      </c>
      <c r="C7631" s="2" t="s">
        <v>17</v>
      </c>
      <c r="D7631" s="2" t="s">
        <v>18</v>
      </c>
      <c r="E7631" s="5">
        <v>-28528</v>
      </c>
      <c r="F7631" s="3" t="s">
        <v>1872</v>
      </c>
      <c r="G7631" s="3" t="s">
        <v>29</v>
      </c>
      <c r="H7631" s="2" t="s">
        <v>21</v>
      </c>
      <c r="I7631" s="2" t="s">
        <v>14765</v>
      </c>
      <c r="J7631" s="3" t="str">
        <f>HYPERLINK("https://www.boe.es/gazeta/dias/1821/11/21/pdfs/GMD-1821-332.pdf#page=6","Abrir facsímil")</f>
        <v>Abrir facsímil</v>
      </c>
      <c r="K7631" s="3" t="s">
        <v>23</v>
      </c>
    </row>
    <row r="7632" spans="1:11" ht="42" customHeight="1">
      <c r="A7632" s="2" t="s">
        <v>14766</v>
      </c>
      <c r="B7632" s="2" t="s">
        <v>14767</v>
      </c>
      <c r="C7632" s="2" t="s">
        <v>17</v>
      </c>
      <c r="D7632" s="2" t="s">
        <v>18</v>
      </c>
      <c r="E7632" s="5">
        <v>-28724</v>
      </c>
      <c r="F7632" s="3" t="s">
        <v>1305</v>
      </c>
      <c r="G7632" s="3" t="s">
        <v>52</v>
      </c>
      <c r="H7632" s="2" t="s">
        <v>21</v>
      </c>
      <c r="I7632" s="2" t="s">
        <v>14768</v>
      </c>
      <c r="J7632" s="3" t="str">
        <f>HYPERLINK("https://www.boe.es/gazeta/dias/1821/05/09/pdfs/GMD-1821-131.pdf#page=2","Abrir facsímil")</f>
        <v>Abrir facsímil</v>
      </c>
      <c r="K7632" s="3" t="s">
        <v>23</v>
      </c>
    </row>
    <row r="7633" spans="1:11" ht="42" customHeight="1">
      <c r="A7633" s="2" t="s">
        <v>14769</v>
      </c>
      <c r="B7633" s="2" t="s">
        <v>14769</v>
      </c>
      <c r="C7633" s="2" t="s">
        <v>26</v>
      </c>
      <c r="D7633" s="2" t="s">
        <v>27</v>
      </c>
      <c r="E7633" s="5">
        <v>-28751</v>
      </c>
      <c r="F7633" s="3" t="s">
        <v>356</v>
      </c>
      <c r="G7633" s="3" t="s">
        <v>20</v>
      </c>
      <c r="H7633" s="2" t="s">
        <v>21</v>
      </c>
      <c r="I7633" s="2" t="s">
        <v>14770</v>
      </c>
      <c r="J7633" s="3" t="str">
        <f>HYPERLINK("https://www.boe.es/gazeta/dias/1821/04/12/pdfs/GMD-1821-104.pdf#page=3","Abrir facsímil")</f>
        <v>Abrir facsímil</v>
      </c>
      <c r="K7633" s="3" t="s">
        <v>23</v>
      </c>
    </row>
    <row r="7634" spans="1:11" ht="42" customHeight="1">
      <c r="A7634" s="2" t="s">
        <v>14771</v>
      </c>
      <c r="B7634" s="2" t="s">
        <v>14772</v>
      </c>
      <c r="C7634" s="2" t="s">
        <v>40</v>
      </c>
      <c r="D7634" s="2" t="s">
        <v>41</v>
      </c>
      <c r="E7634" s="5">
        <v>-28662</v>
      </c>
      <c r="F7634" s="3" t="s">
        <v>3289</v>
      </c>
      <c r="G7634" s="3" t="s">
        <v>88</v>
      </c>
      <c r="H7634" s="2" t="s">
        <v>21</v>
      </c>
      <c r="I7634" s="2" t="s">
        <v>14773</v>
      </c>
      <c r="J7634" s="3" t="str">
        <f>HYPERLINK("https://www.boe.es/gazeta/dias/1821/07/10/pdfs/GMD-1821-195.pdf#page=4","Abrir facsímil")</f>
        <v>Abrir facsímil</v>
      </c>
      <c r="K7634" s="3" t="s">
        <v>23</v>
      </c>
    </row>
    <row r="7635" spans="1:11" ht="42" customHeight="1">
      <c r="A7635" s="2" t="s">
        <v>14774</v>
      </c>
      <c r="B7635" s="2" t="s">
        <v>14775</v>
      </c>
      <c r="C7635" s="2" t="s">
        <v>40</v>
      </c>
      <c r="D7635" s="2" t="s">
        <v>41</v>
      </c>
      <c r="E7635" s="5">
        <v>-28596</v>
      </c>
      <c r="F7635" s="3" t="s">
        <v>1275</v>
      </c>
      <c r="G7635" s="3" t="s">
        <v>52</v>
      </c>
      <c r="H7635" s="2" t="s">
        <v>30</v>
      </c>
      <c r="I7635" s="2" t="s">
        <v>14776</v>
      </c>
      <c r="J7635" s="3" t="str">
        <f>HYPERLINK("https://www.boe.es/gazeta/dias/1821/09/14/pdfs/GMD-1821-262.pdf#page=2","Abrir facsímil")</f>
        <v>Abrir facsímil</v>
      </c>
      <c r="K7635" s="3" t="s">
        <v>32</v>
      </c>
    </row>
    <row r="7636" spans="1:11" ht="42" customHeight="1">
      <c r="A7636" s="2" t="s">
        <v>14777</v>
      </c>
      <c r="B7636" s="2" t="s">
        <v>14778</v>
      </c>
      <c r="C7636" s="2" t="s">
        <v>70</v>
      </c>
      <c r="D7636" s="2" t="s">
        <v>27</v>
      </c>
      <c r="E7636" s="5">
        <v>-28849</v>
      </c>
      <c r="F7636" s="3" t="s">
        <v>1989</v>
      </c>
      <c r="G7636" s="3" t="s">
        <v>88</v>
      </c>
      <c r="H7636" s="2" t="s">
        <v>21</v>
      </c>
      <c r="I7636" s="2" t="s">
        <v>14779</v>
      </c>
      <c r="J7636" s="3" t="str">
        <f>HYPERLINK("https://www.boe.es/gazeta/dias/1821/01/04/pdfs/GGB-1821-4.pdf#page=4","Abrir facsímil")</f>
        <v>Abrir facsímil</v>
      </c>
      <c r="K7636" s="3" t="s">
        <v>23</v>
      </c>
    </row>
    <row r="7637" spans="1:11" ht="42" customHeight="1">
      <c r="A7637" s="2" t="s">
        <v>14780</v>
      </c>
      <c r="B7637" s="2" t="s">
        <v>14781</v>
      </c>
      <c r="C7637" s="2" t="s">
        <v>40</v>
      </c>
      <c r="D7637" s="2" t="s">
        <v>41</v>
      </c>
      <c r="E7637" s="5">
        <v>-28625</v>
      </c>
      <c r="F7637" s="3" t="s">
        <v>738</v>
      </c>
      <c r="G7637" s="3" t="s">
        <v>88</v>
      </c>
      <c r="H7637" s="2" t="s">
        <v>21</v>
      </c>
      <c r="I7637" s="2" t="s">
        <v>14782</v>
      </c>
      <c r="J7637" s="3" t="str">
        <f>HYPERLINK("https://www.boe.es/gazeta/dias/1821/08/16/pdfs/GMD-1821-233.pdf#page=4","Abrir facsímil")</f>
        <v>Abrir facsímil</v>
      </c>
      <c r="K7637" s="3" t="s">
        <v>23</v>
      </c>
    </row>
    <row r="7638" spans="1:11" ht="42" customHeight="1">
      <c r="A7638" s="2" t="s">
        <v>14783</v>
      </c>
      <c r="B7638" s="2" t="s">
        <v>14783</v>
      </c>
      <c r="C7638" s="2" t="s">
        <v>26</v>
      </c>
      <c r="D7638" s="2" t="s">
        <v>27</v>
      </c>
      <c r="E7638" s="5">
        <v>-28503</v>
      </c>
      <c r="F7638" s="3" t="s">
        <v>947</v>
      </c>
      <c r="G7638" s="3" t="s">
        <v>88</v>
      </c>
      <c r="H7638" s="2" t="s">
        <v>21</v>
      </c>
      <c r="I7638" s="2" t="s">
        <v>14784</v>
      </c>
      <c r="J7638" s="3" t="str">
        <f>HYPERLINK("https://www.boe.es/gazeta/dias/1821/12/16/pdfs/GMD-1821-359.pdf#page=4","Abrir facsímil")</f>
        <v>Abrir facsímil</v>
      </c>
      <c r="K7638" s="3" t="s">
        <v>23</v>
      </c>
    </row>
    <row r="7639" spans="1:11" ht="42" customHeight="1">
      <c r="A7639" s="2" t="s">
        <v>14785</v>
      </c>
      <c r="B7639" s="2" t="s">
        <v>14785</v>
      </c>
      <c r="C7639" s="2" t="s">
        <v>17</v>
      </c>
      <c r="D7639" s="2" t="s">
        <v>18</v>
      </c>
      <c r="E7639" s="5">
        <v>-28765</v>
      </c>
      <c r="F7639" s="3" t="s">
        <v>974</v>
      </c>
      <c r="G7639" s="3" t="s">
        <v>43</v>
      </c>
      <c r="H7639" s="2" t="s">
        <v>21</v>
      </c>
      <c r="I7639" s="2" t="s">
        <v>14786</v>
      </c>
      <c r="J7639" s="3" t="str">
        <f>HYPERLINK("https://www.boe.es/gazeta/dias/1821/03/29/pdfs/GMD-1821-90.pdf#page=1","Abrir facsímil")</f>
        <v>Abrir facsímil</v>
      </c>
      <c r="K7639" s="3" t="s">
        <v>23</v>
      </c>
    </row>
    <row r="7640" spans="1:11" ht="42" customHeight="1">
      <c r="A7640" s="2" t="s">
        <v>14787</v>
      </c>
      <c r="B7640" s="2" t="s">
        <v>14787</v>
      </c>
      <c r="C7640" s="2" t="s">
        <v>40</v>
      </c>
      <c r="D7640" s="2" t="s">
        <v>41</v>
      </c>
      <c r="E7640" s="5">
        <v>-28845</v>
      </c>
      <c r="F7640" s="3" t="s">
        <v>5185</v>
      </c>
      <c r="G7640" s="3" t="s">
        <v>43</v>
      </c>
      <c r="H7640" s="2" t="s">
        <v>21</v>
      </c>
      <c r="I7640" s="2" t="s">
        <v>14788</v>
      </c>
      <c r="J7640" s="3" t="str">
        <f>HYPERLINK("https://www.boe.es/gazeta/dias/1821/01/08/pdfs/GGB-1821-8.pdf#page=1","Abrir facsímil")</f>
        <v>Abrir facsímil</v>
      </c>
      <c r="K7640" s="3" t="s">
        <v>23</v>
      </c>
    </row>
    <row r="7641" spans="1:11" ht="42" customHeight="1">
      <c r="A7641" s="2" t="s">
        <v>14789</v>
      </c>
      <c r="B7641" s="2" t="s">
        <v>14790</v>
      </c>
      <c r="C7641" s="2" t="s">
        <v>35</v>
      </c>
      <c r="D7641" s="2" t="s">
        <v>27</v>
      </c>
      <c r="E7641" s="5">
        <v>-28575</v>
      </c>
      <c r="F7641" s="3" t="s">
        <v>2453</v>
      </c>
      <c r="G7641" s="3" t="s">
        <v>52</v>
      </c>
      <c r="H7641" s="2" t="s">
        <v>21</v>
      </c>
      <c r="I7641" s="2" t="s">
        <v>14791</v>
      </c>
      <c r="J7641" s="3" t="str">
        <f>HYPERLINK("https://www.boe.es/gazeta/dias/1821/10/05/pdfs/GMD-1821-284.pdf#page=2","Abrir facsímil")</f>
        <v>Abrir facsímil</v>
      </c>
      <c r="K7641" s="3" t="s">
        <v>23</v>
      </c>
    </row>
    <row r="7642" spans="1:11" ht="42" customHeight="1">
      <c r="A7642" s="2" t="s">
        <v>14792</v>
      </c>
      <c r="B7642" s="2" t="s">
        <v>14793</v>
      </c>
      <c r="C7642" s="2" t="s">
        <v>26</v>
      </c>
      <c r="D7642" s="2" t="s">
        <v>27</v>
      </c>
      <c r="E7642" s="5">
        <v>-28786</v>
      </c>
      <c r="F7642" s="3" t="s">
        <v>1933</v>
      </c>
      <c r="G7642" s="3" t="s">
        <v>20</v>
      </c>
      <c r="H7642" s="2" t="s">
        <v>21</v>
      </c>
      <c r="I7642" s="2" t="s">
        <v>14794</v>
      </c>
      <c r="J7642" s="3" t="str">
        <f>HYPERLINK("https://www.boe.es/gazeta/dias/1821/03/08/pdfs/GGB-1821-67.pdf#page=3","Abrir facsímil")</f>
        <v>Abrir facsímil</v>
      </c>
      <c r="K7642" s="3" t="s">
        <v>23</v>
      </c>
    </row>
    <row r="7643" spans="1:11" ht="42" customHeight="1">
      <c r="A7643" s="2" t="s">
        <v>14795</v>
      </c>
      <c r="B7643" s="2" t="s">
        <v>14796</v>
      </c>
      <c r="C7643" s="2" t="s">
        <v>70</v>
      </c>
      <c r="D7643" s="2" t="s">
        <v>27</v>
      </c>
      <c r="E7643" s="5">
        <v>-28728</v>
      </c>
      <c r="F7643" s="3" t="s">
        <v>1038</v>
      </c>
      <c r="G7643" s="3" t="s">
        <v>20</v>
      </c>
      <c r="H7643" s="2" t="s">
        <v>21</v>
      </c>
      <c r="I7643" s="2" t="s">
        <v>14797</v>
      </c>
      <c r="J7643" s="3" t="str">
        <f>HYPERLINK("https://www.boe.es/gazeta/dias/1821/05/05/pdfs/GMD-1821-127.pdf#page=3","Abrir facsímil")</f>
        <v>Abrir facsímil</v>
      </c>
      <c r="K7643" s="3" t="s">
        <v>23</v>
      </c>
    </row>
    <row r="7644" spans="1:11" ht="42" customHeight="1">
      <c r="A7644" s="2" t="s">
        <v>14795</v>
      </c>
      <c r="B7644" s="2" t="s">
        <v>14796</v>
      </c>
      <c r="C7644" s="2" t="s">
        <v>174</v>
      </c>
      <c r="D7644" s="2" t="s">
        <v>27</v>
      </c>
      <c r="E7644" s="5">
        <v>-28681</v>
      </c>
      <c r="F7644" s="3" t="s">
        <v>210</v>
      </c>
      <c r="G7644" s="3" t="s">
        <v>43</v>
      </c>
      <c r="H7644" s="2" t="s">
        <v>21</v>
      </c>
      <c r="I7644" s="2" t="s">
        <v>14798</v>
      </c>
      <c r="J7644" s="3" t="str">
        <f>HYPERLINK("https://www.boe.es/gazeta/dias/1821/06/21/pdfs/GMD-1821-174.pdf#page=1","Abrir facsímil")</f>
        <v>Abrir facsímil</v>
      </c>
      <c r="K7644" s="3" t="s">
        <v>23</v>
      </c>
    </row>
    <row r="7645" spans="1:11" ht="42" customHeight="1">
      <c r="A7645" s="2" t="s">
        <v>14799</v>
      </c>
      <c r="B7645" s="2" t="s">
        <v>14800</v>
      </c>
      <c r="C7645" s="2" t="s">
        <v>17</v>
      </c>
      <c r="D7645" s="2" t="s">
        <v>18</v>
      </c>
      <c r="E7645" s="5">
        <v>-28683</v>
      </c>
      <c r="F7645" s="3" t="s">
        <v>332</v>
      </c>
      <c r="G7645" s="3" t="s">
        <v>29</v>
      </c>
      <c r="H7645" s="2" t="s">
        <v>21</v>
      </c>
      <c r="I7645" s="2" t="s">
        <v>14801</v>
      </c>
      <c r="J7645" s="3" t="str">
        <f>HYPERLINK("https://www.boe.es/gazeta/dias/1821/06/19/pdfs/GMD-1821-172.pdf#page=6","Abrir facsímil")</f>
        <v>Abrir facsímil</v>
      </c>
      <c r="K7645" s="3" t="s">
        <v>23</v>
      </c>
    </row>
    <row r="7646" spans="1:11" ht="42" customHeight="1">
      <c r="A7646" s="2" t="s">
        <v>14802</v>
      </c>
      <c r="B7646" s="2" t="s">
        <v>14802</v>
      </c>
      <c r="C7646" s="2" t="s">
        <v>26</v>
      </c>
      <c r="D7646" s="2" t="s">
        <v>27</v>
      </c>
      <c r="E7646" s="5">
        <v>-28497</v>
      </c>
      <c r="F7646" s="3" t="s">
        <v>225</v>
      </c>
      <c r="G7646" s="3" t="s">
        <v>504</v>
      </c>
      <c r="H7646" s="2" t="s">
        <v>21</v>
      </c>
      <c r="I7646" s="2" t="s">
        <v>14803</v>
      </c>
      <c r="J7646" s="3" t="str">
        <f>HYPERLINK("https://www.boe.es/gazeta/dias/1821/12/22/pdfs/GMD-1821-365.pdf#page=6","Abrir facsímil")</f>
        <v>Abrir facsímil</v>
      </c>
      <c r="K7646" s="3" t="s">
        <v>23</v>
      </c>
    </row>
    <row r="7647" spans="1:11" ht="42" customHeight="1">
      <c r="A7647" s="2" t="s">
        <v>14804</v>
      </c>
      <c r="B7647" s="2" t="s">
        <v>14805</v>
      </c>
      <c r="C7647" s="2" t="s">
        <v>17</v>
      </c>
      <c r="D7647" s="2" t="s">
        <v>18</v>
      </c>
      <c r="E7647" s="5">
        <v>-28804</v>
      </c>
      <c r="F7647" s="3" t="s">
        <v>1580</v>
      </c>
      <c r="G7647" s="3" t="s">
        <v>52</v>
      </c>
      <c r="H7647" s="2" t="s">
        <v>21</v>
      </c>
      <c r="I7647" s="2" t="s">
        <v>14806</v>
      </c>
      <c r="J7647" s="3" t="str">
        <f>HYPERLINK("https://www.boe.es/gazeta/dias/1821/02/18/pdfs/GGB-1821-49.pdf#page=2","Abrir facsímil")</f>
        <v>Abrir facsímil</v>
      </c>
      <c r="K7647" s="3" t="s">
        <v>23</v>
      </c>
    </row>
    <row r="7648" spans="1:11" ht="42" customHeight="1">
      <c r="A7648" s="2" t="s">
        <v>14807</v>
      </c>
      <c r="B7648" s="2" t="s">
        <v>14807</v>
      </c>
      <c r="C7648" s="2" t="s">
        <v>17</v>
      </c>
      <c r="D7648" s="2" t="s">
        <v>18</v>
      </c>
      <c r="E7648" s="5">
        <v>-28605</v>
      </c>
      <c r="F7648" s="3" t="s">
        <v>3173</v>
      </c>
      <c r="G7648" s="3" t="s">
        <v>43</v>
      </c>
      <c r="H7648" s="2" t="s">
        <v>21</v>
      </c>
      <c r="I7648" s="2" t="s">
        <v>14808</v>
      </c>
      <c r="J7648" s="3" t="str">
        <f>HYPERLINK("https://www.boe.es/gazeta/dias/1821/09/05/pdfs/GMD-1821-253.pdf#page=1","Abrir facsímil")</f>
        <v>Abrir facsímil</v>
      </c>
      <c r="K7648" s="3" t="s">
        <v>23</v>
      </c>
    </row>
    <row r="7649" spans="1:11" ht="42" customHeight="1">
      <c r="A7649" s="2" t="s">
        <v>14809</v>
      </c>
      <c r="B7649" s="2" t="s">
        <v>14810</v>
      </c>
      <c r="C7649" s="2" t="s">
        <v>17</v>
      </c>
      <c r="D7649" s="2" t="s">
        <v>18</v>
      </c>
      <c r="E7649" s="5">
        <v>-28547</v>
      </c>
      <c r="F7649" s="3" t="s">
        <v>247</v>
      </c>
      <c r="G7649" s="3" t="s">
        <v>248</v>
      </c>
      <c r="H7649" s="2" t="s">
        <v>21</v>
      </c>
      <c r="I7649" s="2" t="s">
        <v>14811</v>
      </c>
      <c r="J7649" s="3" t="str">
        <f>HYPERLINK("https://www.boe.es/gazeta/dias/1821/11/02/pdfs/GMD-1821-312.pdf#page=2","Abrir facsímil")</f>
        <v>Abrir facsímil</v>
      </c>
      <c r="K7649" s="3" t="s">
        <v>23</v>
      </c>
    </row>
    <row r="7650" spans="1:11" ht="42" customHeight="1">
      <c r="A7650" s="2" t="s">
        <v>14812</v>
      </c>
      <c r="B7650" s="2" t="s">
        <v>14813</v>
      </c>
      <c r="C7650" s="2" t="s">
        <v>17</v>
      </c>
      <c r="D7650" s="2" t="s">
        <v>18</v>
      </c>
      <c r="E7650" s="5">
        <v>-28512</v>
      </c>
      <c r="F7650" s="3" t="s">
        <v>66</v>
      </c>
      <c r="G7650" s="3" t="s">
        <v>43</v>
      </c>
      <c r="H7650" s="2" t="s">
        <v>21</v>
      </c>
      <c r="I7650" s="2" t="s">
        <v>14814</v>
      </c>
      <c r="J7650" s="3" t="str">
        <f>HYPERLINK("https://www.boe.es/gazeta/dias/1821/12/07/pdfs/GMD-1821-349.pdf#page=1","Abrir facsímil")</f>
        <v>Abrir facsímil</v>
      </c>
      <c r="K7650" s="3" t="s">
        <v>23</v>
      </c>
    </row>
    <row r="7651" spans="1:11" ht="42" customHeight="1">
      <c r="A7651" s="2" t="s">
        <v>14815</v>
      </c>
      <c r="B7651" s="2" t="s">
        <v>14816</v>
      </c>
      <c r="C7651" s="2" t="s">
        <v>17</v>
      </c>
      <c r="D7651" s="2" t="s">
        <v>18</v>
      </c>
      <c r="E7651" s="5">
        <v>-28843</v>
      </c>
      <c r="F7651" s="3" t="s">
        <v>4068</v>
      </c>
      <c r="G7651" s="3" t="s">
        <v>52</v>
      </c>
      <c r="H7651" s="2" t="s">
        <v>21</v>
      </c>
      <c r="I7651" s="2" t="s">
        <v>14817</v>
      </c>
      <c r="J7651" s="3" t="str">
        <f>HYPERLINK("https://www.boe.es/gazeta/dias/1821/01/10/pdfs/GGB-1821-10.pdf#page=2","Abrir facsímil")</f>
        <v>Abrir facsímil</v>
      </c>
      <c r="K7651" s="3" t="s">
        <v>23</v>
      </c>
    </row>
    <row r="7652" spans="1:11" ht="42" customHeight="1">
      <c r="A7652" s="2" t="s">
        <v>14818</v>
      </c>
      <c r="B7652" s="2" t="s">
        <v>14818</v>
      </c>
      <c r="C7652" s="2" t="s">
        <v>40</v>
      </c>
      <c r="D7652" s="2" t="s">
        <v>41</v>
      </c>
      <c r="E7652" s="5">
        <v>-28574</v>
      </c>
      <c r="F7652" s="3" t="s">
        <v>779</v>
      </c>
      <c r="G7652" s="3" t="s">
        <v>43</v>
      </c>
      <c r="H7652" s="2" t="s">
        <v>21</v>
      </c>
      <c r="I7652" s="2" t="s">
        <v>14819</v>
      </c>
      <c r="J7652" s="3" t="str">
        <f>HYPERLINK("https://www.boe.es/gazeta/dias/1821/10/06/pdfs/GMD-1821-285.pdf#page=1","Abrir facsímil")</f>
        <v>Abrir facsímil</v>
      </c>
      <c r="K7652" s="3" t="s">
        <v>23</v>
      </c>
    </row>
    <row r="7653" spans="1:11" ht="42" customHeight="1">
      <c r="A7653" s="2" t="s">
        <v>14820</v>
      </c>
      <c r="B7653" s="2" t="s">
        <v>14820</v>
      </c>
      <c r="C7653" s="2" t="s">
        <v>70</v>
      </c>
      <c r="D7653" s="2" t="s">
        <v>27</v>
      </c>
      <c r="E7653" s="5">
        <v>-28770</v>
      </c>
      <c r="F7653" s="3" t="s">
        <v>1009</v>
      </c>
      <c r="G7653" s="3" t="s">
        <v>3233</v>
      </c>
      <c r="H7653" s="2" t="s">
        <v>21</v>
      </c>
      <c r="I7653" s="2" t="s">
        <v>14821</v>
      </c>
      <c r="J7653" s="3" t="str">
        <f>HYPERLINK("https://www.boe.es/gazeta/dias/1821/03/24/pdfs/GMD-1821-84.pdf#page=2","Abrir facsímil")</f>
        <v>Abrir facsímil</v>
      </c>
      <c r="K7653" s="3" t="s">
        <v>23</v>
      </c>
    </row>
    <row r="7654" spans="1:11" ht="42" customHeight="1">
      <c r="A7654" s="2" t="s">
        <v>14822</v>
      </c>
      <c r="B7654" s="2" t="s">
        <v>14822</v>
      </c>
      <c r="C7654" s="2" t="s">
        <v>17</v>
      </c>
      <c r="D7654" s="2" t="s">
        <v>18</v>
      </c>
      <c r="E7654" s="5">
        <v>-28774</v>
      </c>
      <c r="F7654" s="3" t="s">
        <v>1221</v>
      </c>
      <c r="G7654" s="3" t="s">
        <v>88</v>
      </c>
      <c r="H7654" s="2" t="s">
        <v>21</v>
      </c>
      <c r="I7654" s="2" t="s">
        <v>14823</v>
      </c>
      <c r="J7654" s="3" t="str">
        <f>HYPERLINK("https://www.boe.es/gazeta/dias/1821/03/20/pdfs/GMD-1821-79.pdf#page=4","Abrir facsímil")</f>
        <v>Abrir facsímil</v>
      </c>
      <c r="K7654" s="3" t="s">
        <v>23</v>
      </c>
    </row>
    <row r="7655" spans="1:11" ht="42" customHeight="1">
      <c r="A7655" s="2" t="s">
        <v>14824</v>
      </c>
      <c r="B7655" s="2" t="s">
        <v>14824</v>
      </c>
      <c r="C7655" s="2" t="s">
        <v>114</v>
      </c>
      <c r="D7655" s="2" t="s">
        <v>27</v>
      </c>
      <c r="E7655" s="5">
        <v>-28844</v>
      </c>
      <c r="F7655" s="3" t="s">
        <v>1743</v>
      </c>
      <c r="G7655" s="3" t="s">
        <v>52</v>
      </c>
      <c r="H7655" s="2" t="s">
        <v>21</v>
      </c>
      <c r="I7655" s="2" t="s">
        <v>14825</v>
      </c>
      <c r="J7655" s="3" t="str">
        <f>HYPERLINK("https://www.boe.es/gazeta/dias/1821/01/09/pdfs/GGB-1821-9.pdf#page=2","Abrir facsímil")</f>
        <v>Abrir facsímil</v>
      </c>
      <c r="K7655" s="3" t="s">
        <v>23</v>
      </c>
    </row>
    <row r="7656" spans="1:11" ht="42" customHeight="1">
      <c r="A7656" s="2" t="s">
        <v>14824</v>
      </c>
      <c r="B7656" s="2" t="s">
        <v>14824</v>
      </c>
      <c r="C7656" s="2" t="s">
        <v>17</v>
      </c>
      <c r="D7656" s="2" t="s">
        <v>18</v>
      </c>
      <c r="E7656" s="5">
        <v>-28771</v>
      </c>
      <c r="F7656" s="3" t="s">
        <v>110</v>
      </c>
      <c r="G7656" s="3" t="s">
        <v>43</v>
      </c>
      <c r="H7656" s="2" t="s">
        <v>21</v>
      </c>
      <c r="I7656" s="2" t="s">
        <v>14826</v>
      </c>
      <c r="J7656" s="3" t="str">
        <f>HYPERLINK("https://www.boe.es/gazeta/dias/1821/03/23/pdfs/GMD-1821-83.pdf#page=1","Abrir facsímil")</f>
        <v>Abrir facsímil</v>
      </c>
      <c r="K7656" s="3" t="s">
        <v>23</v>
      </c>
    </row>
    <row r="7657" spans="1:11" ht="42" customHeight="1">
      <c r="A7657" s="2" t="s">
        <v>14827</v>
      </c>
      <c r="B7657" s="2" t="s">
        <v>14827</v>
      </c>
      <c r="C7657" s="2" t="s">
        <v>40</v>
      </c>
      <c r="D7657" s="2" t="s">
        <v>41</v>
      </c>
      <c r="E7657" s="5">
        <v>-28840</v>
      </c>
      <c r="F7657" s="3" t="s">
        <v>161</v>
      </c>
      <c r="G7657" s="3" t="s">
        <v>52</v>
      </c>
      <c r="H7657" s="2" t="s">
        <v>21</v>
      </c>
      <c r="I7657" s="2" t="s">
        <v>14828</v>
      </c>
      <c r="J7657" s="3" t="str">
        <f>HYPERLINK("https://www.boe.es/gazeta/dias/1821/01/13/pdfs/GGB-1821-13.pdf#page=2","Abrir facsímil")</f>
        <v>Abrir facsímil</v>
      </c>
      <c r="K7657" s="3" t="s">
        <v>23</v>
      </c>
    </row>
    <row r="7658" spans="1:11" ht="42" customHeight="1">
      <c r="A7658" s="2" t="s">
        <v>14829</v>
      </c>
      <c r="B7658" s="2" t="s">
        <v>14830</v>
      </c>
      <c r="C7658" s="2" t="s">
        <v>279</v>
      </c>
      <c r="D7658" s="2" t="s">
        <v>27</v>
      </c>
      <c r="E7658" s="5">
        <v>-28534</v>
      </c>
      <c r="F7658" s="3" t="s">
        <v>414</v>
      </c>
      <c r="G7658" s="3" t="s">
        <v>20</v>
      </c>
      <c r="H7658" s="2" t="s">
        <v>21</v>
      </c>
      <c r="I7658" s="2" t="s">
        <v>14831</v>
      </c>
      <c r="J7658" s="3" t="str">
        <f>HYPERLINK("https://www.boe.es/gazeta/dias/1821/11/15/pdfs/GMD-1821-326.pdf#page=3","Abrir facsímil")</f>
        <v>Abrir facsímil</v>
      </c>
      <c r="K7658" s="3" t="s">
        <v>23</v>
      </c>
    </row>
    <row r="7659" spans="1:11" ht="42" customHeight="1">
      <c r="A7659" s="2" t="s">
        <v>14832</v>
      </c>
      <c r="B7659" s="2" t="s">
        <v>14832</v>
      </c>
      <c r="C7659" s="2" t="s">
        <v>35</v>
      </c>
      <c r="D7659" s="2" t="s">
        <v>27</v>
      </c>
      <c r="E7659" s="5">
        <v>-28579</v>
      </c>
      <c r="F7659" s="3" t="s">
        <v>743</v>
      </c>
      <c r="G7659" s="3" t="s">
        <v>52</v>
      </c>
      <c r="H7659" s="2" t="s">
        <v>21</v>
      </c>
      <c r="I7659" s="2" t="s">
        <v>14833</v>
      </c>
      <c r="J7659" s="3" t="str">
        <f>HYPERLINK("https://www.boe.es/gazeta/dias/1821/10/01/pdfs/GMD-1821-280.pdf#page=2","Abrir facsímil")</f>
        <v>Abrir facsímil</v>
      </c>
      <c r="K7659" s="3" t="s">
        <v>23</v>
      </c>
    </row>
    <row r="7660" spans="1:11" ht="42" customHeight="1">
      <c r="A7660" s="2" t="s">
        <v>14834</v>
      </c>
      <c r="B7660" s="2" t="s">
        <v>14834</v>
      </c>
      <c r="C7660" s="2" t="s">
        <v>40</v>
      </c>
      <c r="D7660" s="2" t="s">
        <v>41</v>
      </c>
      <c r="E7660" s="5">
        <v>-28721</v>
      </c>
      <c r="F7660" s="3" t="s">
        <v>92</v>
      </c>
      <c r="G7660" s="3" t="s">
        <v>43</v>
      </c>
      <c r="H7660" s="2" t="s">
        <v>21</v>
      </c>
      <c r="I7660" s="2" t="s">
        <v>14835</v>
      </c>
      <c r="J7660" s="3" t="str">
        <f>HYPERLINK("https://www.boe.es/gazeta/dias/1821/05/12/pdfs/GMD-1821-134.pdf#page=1","Abrir facsímil")</f>
        <v>Abrir facsímil</v>
      </c>
      <c r="K7660" s="3" t="s">
        <v>23</v>
      </c>
    </row>
    <row r="7661" spans="1:11" ht="42" customHeight="1">
      <c r="A7661" s="2" t="s">
        <v>14836</v>
      </c>
      <c r="B7661" s="2" t="s">
        <v>14836</v>
      </c>
      <c r="C7661" s="2" t="s">
        <v>40</v>
      </c>
      <c r="D7661" s="2" t="s">
        <v>41</v>
      </c>
      <c r="E7661" s="5">
        <v>-28783</v>
      </c>
      <c r="F7661" s="3" t="s">
        <v>198</v>
      </c>
      <c r="G7661" s="3" t="s">
        <v>88</v>
      </c>
      <c r="H7661" s="2" t="s">
        <v>21</v>
      </c>
      <c r="I7661" s="2" t="s">
        <v>14837</v>
      </c>
      <c r="J7661" s="3" t="str">
        <f>HYPERLINK("https://www.boe.es/gazeta/dias/1821/03/11/pdfs/GGB-1821-70.pdf#page=4","Abrir facsímil")</f>
        <v>Abrir facsímil</v>
      </c>
      <c r="K7661" s="3" t="s">
        <v>23</v>
      </c>
    </row>
    <row r="7662" spans="1:11" ht="42" customHeight="1">
      <c r="A7662" s="2" t="s">
        <v>14838</v>
      </c>
      <c r="B7662" s="2" t="s">
        <v>14839</v>
      </c>
      <c r="C7662" s="2" t="s">
        <v>26</v>
      </c>
      <c r="D7662" s="2" t="s">
        <v>27</v>
      </c>
      <c r="E7662" s="5">
        <v>-28813</v>
      </c>
      <c r="F7662" s="3" t="s">
        <v>268</v>
      </c>
      <c r="G7662" s="3" t="s">
        <v>20</v>
      </c>
      <c r="H7662" s="2" t="s">
        <v>21</v>
      </c>
      <c r="I7662" s="2" t="s">
        <v>14840</v>
      </c>
      <c r="J7662" s="3" t="str">
        <f>HYPERLINK("https://www.boe.es/gazeta/dias/1821/02/09/pdfs/GGB-1821-40.pdf#page=3","Abrir facsímil")</f>
        <v>Abrir facsímil</v>
      </c>
      <c r="K7662" s="3" t="s">
        <v>23</v>
      </c>
    </row>
    <row r="7663" spans="1:11" ht="42" customHeight="1">
      <c r="A7663" s="2" t="s">
        <v>14841</v>
      </c>
      <c r="B7663" s="2" t="s">
        <v>14841</v>
      </c>
      <c r="C7663" s="2" t="s">
        <v>40</v>
      </c>
      <c r="D7663" s="2" t="s">
        <v>41</v>
      </c>
      <c r="E7663" s="5">
        <v>-28651</v>
      </c>
      <c r="F7663" s="3" t="s">
        <v>1518</v>
      </c>
      <c r="G7663" s="3" t="s">
        <v>43</v>
      </c>
      <c r="H7663" s="2" t="s">
        <v>21</v>
      </c>
      <c r="I7663" s="2" t="s">
        <v>14842</v>
      </c>
      <c r="J7663" s="3" t="str">
        <f>HYPERLINK("https://www.boe.es/gazeta/dias/1821/07/21/pdfs/GMD-1821-206.pdf#page=1","Abrir facsímil")</f>
        <v>Abrir facsímil</v>
      </c>
      <c r="K7663" s="3" t="s">
        <v>23</v>
      </c>
    </row>
    <row r="7664" spans="1:11" ht="42" customHeight="1">
      <c r="A7664" s="2" t="s">
        <v>14843</v>
      </c>
      <c r="B7664" s="2" t="s">
        <v>14843</v>
      </c>
      <c r="C7664" s="2" t="s">
        <v>40</v>
      </c>
      <c r="D7664" s="2" t="s">
        <v>41</v>
      </c>
      <c r="E7664" s="5">
        <v>-28683</v>
      </c>
      <c r="F7664" s="3" t="s">
        <v>332</v>
      </c>
      <c r="G7664" s="3" t="s">
        <v>333</v>
      </c>
      <c r="H7664" s="2" t="s">
        <v>21</v>
      </c>
      <c r="I7664" s="2" t="s">
        <v>14844</v>
      </c>
      <c r="J7664" s="3" t="str">
        <f>HYPERLINK("https://www.boe.es/gazeta/dias/1821/06/19/pdfs/GMD-1821-172.pdf#page=8","Abrir facsímil")</f>
        <v>Abrir facsímil</v>
      </c>
      <c r="K7664" s="3" t="s">
        <v>23</v>
      </c>
    </row>
    <row r="7665" spans="1:11" ht="42" customHeight="1">
      <c r="A7665" s="2" t="s">
        <v>14845</v>
      </c>
      <c r="B7665" s="2" t="s">
        <v>14846</v>
      </c>
      <c r="C7665" s="2" t="s">
        <v>17</v>
      </c>
      <c r="D7665" s="2" t="s">
        <v>18</v>
      </c>
      <c r="E7665" s="5">
        <v>-28742</v>
      </c>
      <c r="F7665" s="3" t="s">
        <v>324</v>
      </c>
      <c r="G7665" s="3" t="s">
        <v>43</v>
      </c>
      <c r="H7665" s="2" t="s">
        <v>21</v>
      </c>
      <c r="I7665" s="2" t="s">
        <v>14847</v>
      </c>
      <c r="J7665" s="3" t="str">
        <f>HYPERLINK("https://www.boe.es/gazeta/dias/1821/04/21/pdfs/GMD-1821-113.pdf#page=1","Abrir facsímil")</f>
        <v>Abrir facsímil</v>
      </c>
      <c r="K7665" s="3" t="s">
        <v>23</v>
      </c>
    </row>
    <row r="7666" spans="1:11" ht="42" customHeight="1">
      <c r="A7666" s="2" t="s">
        <v>14848</v>
      </c>
      <c r="B7666" s="2" t="s">
        <v>14848</v>
      </c>
      <c r="C7666" s="2" t="s">
        <v>40</v>
      </c>
      <c r="D7666" s="2" t="s">
        <v>41</v>
      </c>
      <c r="E7666" s="5">
        <v>-28827</v>
      </c>
      <c r="F7666" s="3" t="s">
        <v>1382</v>
      </c>
      <c r="G7666" s="3" t="s">
        <v>52</v>
      </c>
      <c r="H7666" s="2" t="s">
        <v>21</v>
      </c>
      <c r="I7666" s="2" t="s">
        <v>14849</v>
      </c>
      <c r="J7666" s="3" t="str">
        <f>HYPERLINK("https://www.boe.es/gazeta/dias/1821/01/26/pdfs/GGB-1821-26.pdf#page=2","Abrir facsímil")</f>
        <v>Abrir facsímil</v>
      </c>
      <c r="K7666" s="3" t="s">
        <v>23</v>
      </c>
    </row>
    <row r="7667" spans="1:11" ht="42" customHeight="1">
      <c r="A7667" s="2" t="s">
        <v>14850</v>
      </c>
      <c r="B7667" s="2" t="s">
        <v>14850</v>
      </c>
      <c r="C7667" s="2" t="s">
        <v>174</v>
      </c>
      <c r="D7667" s="2" t="s">
        <v>27</v>
      </c>
      <c r="E7667" s="5">
        <v>-28836</v>
      </c>
      <c r="F7667" s="3" t="s">
        <v>601</v>
      </c>
      <c r="G7667" s="3" t="s">
        <v>88</v>
      </c>
      <c r="H7667" s="2" t="s">
        <v>21</v>
      </c>
      <c r="I7667" s="2" t="s">
        <v>14851</v>
      </c>
      <c r="J7667" s="3" t="str">
        <f>HYPERLINK("https://www.boe.es/gazeta/dias/1821/01/17/pdfs/GGB-1821-17.pdf#page=4","Abrir facsímil")</f>
        <v>Abrir facsímil</v>
      </c>
      <c r="K7667" s="3" t="s">
        <v>23</v>
      </c>
    </row>
    <row r="7668" spans="1:11" ht="42" customHeight="1">
      <c r="A7668" s="2" t="s">
        <v>14850</v>
      </c>
      <c r="B7668" s="2" t="s">
        <v>14850</v>
      </c>
      <c r="C7668" s="2" t="s">
        <v>17</v>
      </c>
      <c r="D7668" s="2" t="s">
        <v>18</v>
      </c>
      <c r="E7668" s="5">
        <v>-28687</v>
      </c>
      <c r="F7668" s="3" t="s">
        <v>851</v>
      </c>
      <c r="G7668" s="3" t="s">
        <v>52</v>
      </c>
      <c r="H7668" s="2" t="s">
        <v>21</v>
      </c>
      <c r="I7668" s="2" t="s">
        <v>14852</v>
      </c>
      <c r="J7668" s="3" t="str">
        <f>HYPERLINK("https://www.boe.es/gazeta/dias/1821/06/15/pdfs/GMD-1821-168.pdf#page=2","Abrir facsímil")</f>
        <v>Abrir facsímil</v>
      </c>
      <c r="K7668" s="3" t="s">
        <v>23</v>
      </c>
    </row>
    <row r="7669" spans="1:11" ht="42" customHeight="1">
      <c r="A7669" s="2" t="s">
        <v>14850</v>
      </c>
      <c r="B7669" s="2" t="s">
        <v>14850</v>
      </c>
      <c r="C7669" s="2" t="s">
        <v>40</v>
      </c>
      <c r="D7669" s="2" t="s">
        <v>41</v>
      </c>
      <c r="E7669" s="5">
        <v>-28544</v>
      </c>
      <c r="F7669" s="3" t="s">
        <v>139</v>
      </c>
      <c r="G7669" s="3" t="s">
        <v>43</v>
      </c>
      <c r="H7669" s="2" t="s">
        <v>21</v>
      </c>
      <c r="I7669" s="2" t="s">
        <v>14853</v>
      </c>
      <c r="J7669" s="3" t="str">
        <f>HYPERLINK("https://www.boe.es/gazeta/dias/1821/11/05/pdfs/GMD-1821-316.pdf#page=1","Abrir facsímil")</f>
        <v>Abrir facsímil</v>
      </c>
      <c r="K7669" s="3" t="s">
        <v>23</v>
      </c>
    </row>
    <row r="7670" spans="1:11" ht="42" customHeight="1">
      <c r="A7670" s="2" t="s">
        <v>14850</v>
      </c>
      <c r="B7670" s="2" t="s">
        <v>14850</v>
      </c>
      <c r="C7670" s="2" t="s">
        <v>40</v>
      </c>
      <c r="D7670" s="2" t="s">
        <v>41</v>
      </c>
      <c r="E7670" s="5">
        <v>-28515</v>
      </c>
      <c r="F7670" s="3" t="s">
        <v>260</v>
      </c>
      <c r="G7670" s="3" t="s">
        <v>20</v>
      </c>
      <c r="H7670" s="2" t="s">
        <v>21</v>
      </c>
      <c r="I7670" s="2" t="s">
        <v>14854</v>
      </c>
      <c r="J7670" s="3" t="str">
        <f>HYPERLINK("https://www.boe.es/gazeta/dias/1821/12/04/pdfs/GMD-1821-346.pdf#page=3","Abrir facsímil")</f>
        <v>Abrir facsímil</v>
      </c>
      <c r="K7670" s="3" t="s">
        <v>23</v>
      </c>
    </row>
    <row r="7671" spans="1:11" ht="42" customHeight="1">
      <c r="A7671" s="2" t="s">
        <v>14855</v>
      </c>
      <c r="B7671" s="2" t="s">
        <v>14855</v>
      </c>
      <c r="C7671" s="2" t="s">
        <v>40</v>
      </c>
      <c r="D7671" s="2" t="s">
        <v>41</v>
      </c>
      <c r="E7671" s="5">
        <v>-28531</v>
      </c>
      <c r="F7671" s="3" t="s">
        <v>365</v>
      </c>
      <c r="G7671" s="3" t="s">
        <v>43</v>
      </c>
      <c r="H7671" s="2" t="s">
        <v>21</v>
      </c>
      <c r="I7671" s="2" t="s">
        <v>14856</v>
      </c>
      <c r="J7671" s="3" t="str">
        <f>HYPERLINK("https://www.boe.es/gazeta/dias/1821/11/18/pdfs/GMD-1821-329.pdf#page=1","Abrir facsímil")</f>
        <v>Abrir facsímil</v>
      </c>
      <c r="K7671" s="3" t="s">
        <v>23</v>
      </c>
    </row>
    <row r="7672" spans="1:11" ht="42" customHeight="1">
      <c r="A7672" s="2" t="s">
        <v>14857</v>
      </c>
      <c r="B7672" s="2" t="s">
        <v>14857</v>
      </c>
      <c r="C7672" s="2" t="s">
        <v>26</v>
      </c>
      <c r="D7672" s="2" t="s">
        <v>27</v>
      </c>
      <c r="E7672" s="5">
        <v>-28556</v>
      </c>
      <c r="F7672" s="3" t="s">
        <v>264</v>
      </c>
      <c r="G7672" s="3" t="s">
        <v>29</v>
      </c>
      <c r="H7672" s="2" t="s">
        <v>21</v>
      </c>
      <c r="I7672" s="2" t="s">
        <v>14858</v>
      </c>
      <c r="J7672" s="3" t="str">
        <f>HYPERLINK("https://www.boe.es/gazeta/dias/1821/10/24/pdfs/GMD-1821-303.pdf#page=6","Abrir facsímil")</f>
        <v>Abrir facsímil</v>
      </c>
      <c r="K7672" s="3" t="s">
        <v>23</v>
      </c>
    </row>
    <row r="7673" spans="1:11" ht="42" customHeight="1">
      <c r="A7673" s="2" t="s">
        <v>14859</v>
      </c>
      <c r="B7673" s="2" t="s">
        <v>14860</v>
      </c>
      <c r="C7673" s="2" t="s">
        <v>35</v>
      </c>
      <c r="D7673" s="2" t="s">
        <v>27</v>
      </c>
      <c r="E7673" s="5">
        <v>-28713</v>
      </c>
      <c r="F7673" s="3" t="s">
        <v>1976</v>
      </c>
      <c r="G7673" s="3" t="s">
        <v>52</v>
      </c>
      <c r="H7673" s="2" t="s">
        <v>30</v>
      </c>
      <c r="I7673" s="2" t="s">
        <v>14861</v>
      </c>
      <c r="J7673" s="3" t="str">
        <f>HYPERLINK("https://www.boe.es/gazeta/dias/1821/05/20/pdfs/GMD-1821-142.pdf#page=2","Abrir facsímil")</f>
        <v>Abrir facsímil</v>
      </c>
      <c r="K7673" s="3" t="s">
        <v>32</v>
      </c>
    </row>
    <row r="7674" spans="1:11" ht="42" customHeight="1">
      <c r="A7674" s="2" t="s">
        <v>14862</v>
      </c>
      <c r="B7674" s="2" t="s">
        <v>14862</v>
      </c>
      <c r="C7674" s="2" t="s">
        <v>26</v>
      </c>
      <c r="D7674" s="2" t="s">
        <v>27</v>
      </c>
      <c r="E7674" s="5">
        <v>-28846</v>
      </c>
      <c r="F7674" s="3" t="s">
        <v>10722</v>
      </c>
      <c r="G7674" s="3" t="s">
        <v>88</v>
      </c>
      <c r="H7674" s="2" t="s">
        <v>21</v>
      </c>
      <c r="I7674" s="2" t="s">
        <v>14863</v>
      </c>
      <c r="J7674" s="3" t="str">
        <f>HYPERLINK("https://www.boe.es/gazeta/dias/1821/01/07/pdfs/GGB-1821-7.pdf#page=4","Abrir facsímil")</f>
        <v>Abrir facsímil</v>
      </c>
      <c r="K7674" s="3" t="s">
        <v>23</v>
      </c>
    </row>
    <row r="7675" spans="1:11" ht="42" customHeight="1">
      <c r="A7675" s="2" t="s">
        <v>14864</v>
      </c>
      <c r="B7675" s="2" t="s">
        <v>14865</v>
      </c>
      <c r="C7675" s="2" t="s">
        <v>26</v>
      </c>
      <c r="D7675" s="2" t="s">
        <v>27</v>
      </c>
      <c r="E7675" s="5">
        <v>-28688</v>
      </c>
      <c r="F7675" s="3" t="s">
        <v>1504</v>
      </c>
      <c r="G7675" s="3" t="s">
        <v>52</v>
      </c>
      <c r="H7675" s="2" t="s">
        <v>21</v>
      </c>
      <c r="I7675" s="2" t="s">
        <v>14866</v>
      </c>
      <c r="J7675" s="3" t="str">
        <f>HYPERLINK("https://www.boe.es/gazeta/dias/1821/06/14/pdfs/GMD-1821-167.pdf#page=2","Abrir facsímil")</f>
        <v>Abrir facsímil</v>
      </c>
      <c r="K7675" s="3" t="s">
        <v>23</v>
      </c>
    </row>
    <row r="7676" spans="1:11" ht="42" customHeight="1">
      <c r="A7676" s="2" t="s">
        <v>14867</v>
      </c>
      <c r="B7676" s="2" t="s">
        <v>14868</v>
      </c>
      <c r="C7676" s="2" t="s">
        <v>40</v>
      </c>
      <c r="D7676" s="2" t="s">
        <v>41</v>
      </c>
      <c r="E7676" s="5">
        <v>-28841</v>
      </c>
      <c r="F7676" s="3" t="s">
        <v>765</v>
      </c>
      <c r="G7676" s="3" t="s">
        <v>88</v>
      </c>
      <c r="H7676" s="2" t="s">
        <v>21</v>
      </c>
      <c r="I7676" s="2" t="s">
        <v>14869</v>
      </c>
      <c r="J7676" s="3" t="str">
        <f>HYPERLINK("https://www.boe.es/gazeta/dias/1821/01/12/pdfs/GGB-1821-12.pdf#page=4","Abrir facsímil")</f>
        <v>Abrir facsímil</v>
      </c>
      <c r="K7676" s="3" t="s">
        <v>23</v>
      </c>
    </row>
    <row r="7677" spans="1:11" ht="42" customHeight="1">
      <c r="A7677" s="2" t="s">
        <v>14870</v>
      </c>
      <c r="B7677" s="2" t="s">
        <v>14871</v>
      </c>
      <c r="C7677" s="2" t="s">
        <v>40</v>
      </c>
      <c r="D7677" s="2" t="s">
        <v>41</v>
      </c>
      <c r="E7677" s="5">
        <v>-28673</v>
      </c>
      <c r="F7677" s="3" t="s">
        <v>1069</v>
      </c>
      <c r="G7677" s="3" t="s">
        <v>88</v>
      </c>
      <c r="H7677" s="2" t="s">
        <v>21</v>
      </c>
      <c r="I7677" s="2" t="s">
        <v>14872</v>
      </c>
      <c r="J7677" s="3" t="str">
        <f>HYPERLINK("https://www.boe.es/gazeta/dias/1821/06/29/pdfs/GMD-1821-182.pdf#page=4","Abrir facsímil")</f>
        <v>Abrir facsímil</v>
      </c>
      <c r="K7677" s="3" t="s">
        <v>23</v>
      </c>
    </row>
    <row r="7678" spans="1:11" ht="42" customHeight="1">
      <c r="A7678" s="2" t="s">
        <v>14873</v>
      </c>
      <c r="B7678" s="2" t="s">
        <v>14874</v>
      </c>
      <c r="C7678" s="2" t="s">
        <v>40</v>
      </c>
      <c r="D7678" s="2" t="s">
        <v>41</v>
      </c>
      <c r="E7678" s="5">
        <v>-28760</v>
      </c>
      <c r="F7678" s="3" t="s">
        <v>170</v>
      </c>
      <c r="G7678" s="3" t="s">
        <v>88</v>
      </c>
      <c r="H7678" s="2" t="s">
        <v>21</v>
      </c>
      <c r="I7678" s="2" t="s">
        <v>14875</v>
      </c>
      <c r="J7678" s="3" t="str">
        <f>HYPERLINK("https://www.boe.es/gazeta/dias/1821/04/03/pdfs/GMD-1821-95.pdf#page=4","Abrir facsímil")</f>
        <v>Abrir facsímil</v>
      </c>
      <c r="K7678" s="3" t="s">
        <v>23</v>
      </c>
    </row>
    <row r="7679" spans="1:11" ht="42" customHeight="1">
      <c r="A7679" s="2" t="s">
        <v>14876</v>
      </c>
      <c r="B7679" s="2" t="s">
        <v>14877</v>
      </c>
      <c r="C7679" s="2" t="s">
        <v>174</v>
      </c>
      <c r="D7679" s="2" t="s">
        <v>27</v>
      </c>
      <c r="E7679" s="5">
        <v>-28709</v>
      </c>
      <c r="F7679" s="3" t="s">
        <v>1434</v>
      </c>
      <c r="G7679" s="3" t="s">
        <v>43</v>
      </c>
      <c r="H7679" s="2" t="s">
        <v>21</v>
      </c>
      <c r="I7679" s="2" t="s">
        <v>14878</v>
      </c>
      <c r="J7679" s="3" t="str">
        <f>HYPERLINK("https://www.boe.es/gazeta/dias/1821/05/24/pdfs/GMD-1821-146.pdf#page=1","Abrir facsímil")</f>
        <v>Abrir facsímil</v>
      </c>
      <c r="K7679" s="3" t="s">
        <v>23</v>
      </c>
    </row>
    <row r="7680" spans="1:11" ht="42" customHeight="1">
      <c r="A7680" s="2" t="s">
        <v>14879</v>
      </c>
      <c r="B7680" s="2" t="s">
        <v>14880</v>
      </c>
      <c r="C7680" s="2" t="s">
        <v>40</v>
      </c>
      <c r="D7680" s="2" t="s">
        <v>41</v>
      </c>
      <c r="E7680" s="5">
        <v>-28645</v>
      </c>
      <c r="F7680" s="3" t="s">
        <v>2579</v>
      </c>
      <c r="G7680" s="3" t="s">
        <v>88</v>
      </c>
      <c r="H7680" s="2" t="s">
        <v>21</v>
      </c>
      <c r="I7680" s="2" t="s">
        <v>14881</v>
      </c>
      <c r="J7680" s="3" t="str">
        <f>HYPERLINK("https://www.boe.es/gazeta/dias/1821/07/27/pdfs/GMD-1821-212.pdf#page=4","Abrir facsímil")</f>
        <v>Abrir facsímil</v>
      </c>
      <c r="K7680" s="3" t="s">
        <v>23</v>
      </c>
    </row>
    <row r="7681" spans="1:11" ht="42" customHeight="1">
      <c r="A7681" s="2" t="s">
        <v>14882</v>
      </c>
      <c r="B7681" s="2" t="s">
        <v>14883</v>
      </c>
      <c r="C7681" s="2" t="s">
        <v>26</v>
      </c>
      <c r="D7681" s="2" t="s">
        <v>27</v>
      </c>
      <c r="E7681" s="5">
        <v>-28541</v>
      </c>
      <c r="F7681" s="3" t="s">
        <v>275</v>
      </c>
      <c r="G7681" s="3" t="s">
        <v>52</v>
      </c>
      <c r="H7681" s="2" t="s">
        <v>21</v>
      </c>
      <c r="I7681" s="2" t="s">
        <v>14884</v>
      </c>
      <c r="J7681" s="3" t="str">
        <f>HYPERLINK("https://www.boe.es/gazeta/dias/1821/11/08/pdfs/GMD-1821-319.pdf#page=2","Abrir facsímil")</f>
        <v>Abrir facsímil</v>
      </c>
      <c r="K7681" s="3" t="s">
        <v>23</v>
      </c>
    </row>
    <row r="7682" spans="1:11" ht="42" customHeight="1">
      <c r="A7682" s="2" t="s">
        <v>14885</v>
      </c>
      <c r="B7682" s="2" t="s">
        <v>14886</v>
      </c>
      <c r="C7682" s="2" t="s">
        <v>35</v>
      </c>
      <c r="D7682" s="2" t="s">
        <v>27</v>
      </c>
      <c r="E7682" s="5">
        <v>-28784</v>
      </c>
      <c r="F7682" s="3" t="s">
        <v>451</v>
      </c>
      <c r="G7682" s="3" t="s">
        <v>52</v>
      </c>
      <c r="H7682" s="2" t="s">
        <v>21</v>
      </c>
      <c r="I7682" s="2" t="s">
        <v>14887</v>
      </c>
      <c r="J7682" s="3" t="str">
        <f>HYPERLINK("https://www.boe.es/gazeta/dias/1821/03/10/pdfs/GGB-1821-69.pdf#page=2","Abrir facsímil")</f>
        <v>Abrir facsímil</v>
      </c>
      <c r="K7682" s="3" t="s">
        <v>23</v>
      </c>
    </row>
    <row r="7683" spans="1:11" ht="42" customHeight="1">
      <c r="A7683" s="2" t="s">
        <v>14888</v>
      </c>
      <c r="B7683" s="2" t="s">
        <v>14889</v>
      </c>
      <c r="C7683" s="2" t="s">
        <v>26</v>
      </c>
      <c r="D7683" s="2" t="s">
        <v>27</v>
      </c>
      <c r="E7683" s="5">
        <v>-28547</v>
      </c>
      <c r="F7683" s="3" t="s">
        <v>247</v>
      </c>
      <c r="G7683" s="3" t="s">
        <v>248</v>
      </c>
      <c r="H7683" s="2" t="s">
        <v>21</v>
      </c>
      <c r="I7683" s="2" t="s">
        <v>14890</v>
      </c>
      <c r="J7683" s="3" t="str">
        <f>HYPERLINK("https://www.boe.es/gazeta/dias/1821/11/02/pdfs/GMD-1821-312.pdf#page=2","Abrir facsímil")</f>
        <v>Abrir facsímil</v>
      </c>
      <c r="K7683" s="3" t="s">
        <v>23</v>
      </c>
    </row>
    <row r="7684" spans="1:11" ht="42" customHeight="1">
      <c r="A7684" s="2" t="s">
        <v>14891</v>
      </c>
      <c r="B7684" s="2" t="s">
        <v>14892</v>
      </c>
      <c r="C7684" s="2" t="s">
        <v>17</v>
      </c>
      <c r="D7684" s="2" t="s">
        <v>18</v>
      </c>
      <c r="E7684" s="5">
        <v>-28662</v>
      </c>
      <c r="F7684" s="3" t="s">
        <v>3289</v>
      </c>
      <c r="G7684" s="3" t="s">
        <v>20</v>
      </c>
      <c r="H7684" s="2" t="s">
        <v>21</v>
      </c>
      <c r="I7684" s="2" t="s">
        <v>14893</v>
      </c>
      <c r="J7684" s="3" t="str">
        <f>HYPERLINK("https://www.boe.es/gazeta/dias/1821/07/10/pdfs/GMD-1821-195.pdf#page=3","Abrir facsímil")</f>
        <v>Abrir facsímil</v>
      </c>
      <c r="K7684" s="3" t="s">
        <v>23</v>
      </c>
    </row>
    <row r="7685" spans="1:11" ht="42" customHeight="1">
      <c r="A7685" s="2" t="s">
        <v>14894</v>
      </c>
      <c r="B7685" s="2" t="s">
        <v>14895</v>
      </c>
      <c r="C7685" s="2" t="s">
        <v>17</v>
      </c>
      <c r="D7685" s="2" t="s">
        <v>18</v>
      </c>
      <c r="E7685" s="5">
        <v>-28565</v>
      </c>
      <c r="F7685" s="3" t="s">
        <v>326</v>
      </c>
      <c r="G7685" s="3" t="s">
        <v>162</v>
      </c>
      <c r="H7685" s="2" t="s">
        <v>21</v>
      </c>
      <c r="I7685" s="2" t="s">
        <v>14896</v>
      </c>
      <c r="J7685" s="3" t="str">
        <f>HYPERLINK("https://www.boe.es/gazeta/dias/1821/10/15/pdfs/GMD-1821-294.pdf#page=5","Abrir facsímil")</f>
        <v>Abrir facsímil</v>
      </c>
      <c r="K7685" s="3" t="s">
        <v>23</v>
      </c>
    </row>
    <row r="7686" spans="1:11" ht="42" customHeight="1">
      <c r="A7686" s="2" t="s">
        <v>14897</v>
      </c>
      <c r="B7686" s="2" t="s">
        <v>14898</v>
      </c>
      <c r="C7686" s="2" t="s">
        <v>279</v>
      </c>
      <c r="D7686" s="2" t="s">
        <v>27</v>
      </c>
      <c r="E7686" s="5">
        <v>-28684</v>
      </c>
      <c r="F7686" s="3" t="s">
        <v>208</v>
      </c>
      <c r="G7686" s="3" t="s">
        <v>52</v>
      </c>
      <c r="H7686" s="2" t="s">
        <v>21</v>
      </c>
      <c r="I7686" s="2" t="s">
        <v>14899</v>
      </c>
      <c r="J7686" s="3" t="str">
        <f>HYPERLINK("https://www.boe.es/gazeta/dias/1821/06/18/pdfs/GMD-1821-171.pdf#page=2","Abrir facsímil")</f>
        <v>Abrir facsímil</v>
      </c>
      <c r="K7686" s="3" t="s">
        <v>23</v>
      </c>
    </row>
    <row r="7687" spans="1:11" ht="42" customHeight="1">
      <c r="A7687" s="2" t="s">
        <v>14900</v>
      </c>
      <c r="B7687" s="2" t="s">
        <v>14900</v>
      </c>
      <c r="C7687" s="2" t="s">
        <v>174</v>
      </c>
      <c r="D7687" s="2" t="s">
        <v>27</v>
      </c>
      <c r="E7687" s="5">
        <v>-28743</v>
      </c>
      <c r="F7687" s="3" t="s">
        <v>51</v>
      </c>
      <c r="G7687" s="3" t="s">
        <v>88</v>
      </c>
      <c r="H7687" s="2" t="s">
        <v>21</v>
      </c>
      <c r="I7687" s="2" t="s">
        <v>14901</v>
      </c>
      <c r="J7687" s="3" t="str">
        <f>HYPERLINK("https://www.boe.es/gazeta/dias/1821/04/20/pdfs/GMD-1821-112.pdf#page=4","Abrir facsímil")</f>
        <v>Abrir facsímil</v>
      </c>
      <c r="K7687" s="3" t="s">
        <v>23</v>
      </c>
    </row>
    <row r="7688" spans="1:11" ht="42" customHeight="1">
      <c r="A7688" s="2" t="s">
        <v>14900</v>
      </c>
      <c r="B7688" s="2" t="s">
        <v>14900</v>
      </c>
      <c r="C7688" s="2" t="s">
        <v>279</v>
      </c>
      <c r="D7688" s="2" t="s">
        <v>27</v>
      </c>
      <c r="E7688" s="5">
        <v>-28646</v>
      </c>
      <c r="F7688" s="3" t="s">
        <v>1457</v>
      </c>
      <c r="G7688" s="3" t="s">
        <v>79</v>
      </c>
      <c r="H7688" s="2" t="s">
        <v>21</v>
      </c>
      <c r="I7688" s="2" t="s">
        <v>14902</v>
      </c>
      <c r="J7688" s="3" t="str">
        <f>HYPERLINK("https://www.boe.es/gazeta/dias/1821/07/26/pdfs/GMD-1821-211.pdf#page=4","Abrir facsímil")</f>
        <v>Abrir facsímil</v>
      </c>
      <c r="K7688" s="3" t="s">
        <v>23</v>
      </c>
    </row>
    <row r="7689" spans="1:11" ht="42" customHeight="1">
      <c r="A7689" s="2" t="s">
        <v>14900</v>
      </c>
      <c r="B7689" s="2" t="s">
        <v>14900</v>
      </c>
      <c r="C7689" s="2" t="s">
        <v>17</v>
      </c>
      <c r="D7689" s="2" t="s">
        <v>18</v>
      </c>
      <c r="E7689" s="5">
        <v>-28501</v>
      </c>
      <c r="F7689" s="3" t="s">
        <v>456</v>
      </c>
      <c r="G7689" s="3" t="s">
        <v>1253</v>
      </c>
      <c r="H7689" s="2" t="s">
        <v>21</v>
      </c>
      <c r="I7689" s="2" t="s">
        <v>14903</v>
      </c>
      <c r="J7689" s="3" t="str">
        <f>HYPERLINK("https://www.boe.es/gazeta/dias/1821/12/18/pdfs/GMD-1821-361.pdf#page=6","Abrir facsímil")</f>
        <v>Abrir facsímil</v>
      </c>
      <c r="K7689" s="3" t="s">
        <v>23</v>
      </c>
    </row>
    <row r="7690" spans="1:11" ht="42" customHeight="1">
      <c r="A7690" s="2" t="s">
        <v>14904</v>
      </c>
      <c r="B7690" s="2" t="s">
        <v>14904</v>
      </c>
      <c r="C7690" s="2" t="s">
        <v>40</v>
      </c>
      <c r="D7690" s="2" t="s">
        <v>41</v>
      </c>
      <c r="E7690" s="5">
        <v>-28566</v>
      </c>
      <c r="F7690" s="3" t="s">
        <v>1529</v>
      </c>
      <c r="G7690" s="3" t="s">
        <v>43</v>
      </c>
      <c r="H7690" s="2" t="s">
        <v>21</v>
      </c>
      <c r="I7690" s="2" t="s">
        <v>14905</v>
      </c>
      <c r="J7690" s="3" t="str">
        <f>HYPERLINK("https://www.boe.es/gazeta/dias/1821/10/14/pdfs/GMD-1821-293.pdf#page=1","Abrir facsímil")</f>
        <v>Abrir facsímil</v>
      </c>
      <c r="K7690" s="3" t="s">
        <v>23</v>
      </c>
    </row>
    <row r="7691" spans="1:11" ht="42" customHeight="1">
      <c r="A7691" s="2" t="s">
        <v>14906</v>
      </c>
      <c r="B7691" s="2" t="s">
        <v>14906</v>
      </c>
      <c r="C7691" s="2" t="s">
        <v>26</v>
      </c>
      <c r="D7691" s="2" t="s">
        <v>27</v>
      </c>
      <c r="E7691" s="5">
        <v>-28535</v>
      </c>
      <c r="F7691" s="3" t="s">
        <v>96</v>
      </c>
      <c r="G7691" s="3" t="s">
        <v>52</v>
      </c>
      <c r="H7691" s="2" t="s">
        <v>21</v>
      </c>
      <c r="I7691" s="2" t="s">
        <v>14907</v>
      </c>
      <c r="J7691" s="3" t="str">
        <f>HYPERLINK("https://www.boe.es/gazeta/dias/1821/11/14/pdfs/GMD-1821-325.pdf#page=2","Abrir facsímil")</f>
        <v>Abrir facsímil</v>
      </c>
      <c r="K7691" s="3" t="s">
        <v>23</v>
      </c>
    </row>
    <row r="7692" spans="1:11" ht="42" customHeight="1">
      <c r="A7692" s="2" t="s">
        <v>14908</v>
      </c>
      <c r="B7692" s="2" t="s">
        <v>14909</v>
      </c>
      <c r="C7692" s="2" t="s">
        <v>40</v>
      </c>
      <c r="D7692" s="2" t="s">
        <v>41</v>
      </c>
      <c r="E7692" s="5">
        <v>-28531</v>
      </c>
      <c r="F7692" s="3" t="s">
        <v>365</v>
      </c>
      <c r="G7692" s="3" t="s">
        <v>20</v>
      </c>
      <c r="H7692" s="2" t="s">
        <v>30</v>
      </c>
      <c r="I7692" s="2" t="s">
        <v>14910</v>
      </c>
      <c r="J7692" s="3" t="str">
        <f>HYPERLINK("https://www.boe.es/gazeta/dias/1821/11/18/pdfs/GMD-1821-329.pdf#page=3","Abrir facsímil")</f>
        <v>Abrir facsímil</v>
      </c>
      <c r="K7692" s="3" t="s">
        <v>32</v>
      </c>
    </row>
    <row r="7693" spans="1:11" ht="42" customHeight="1">
      <c r="A7693" s="2" t="s">
        <v>14908</v>
      </c>
      <c r="B7693" s="2" t="s">
        <v>14909</v>
      </c>
      <c r="C7693" s="2" t="s">
        <v>174</v>
      </c>
      <c r="D7693" s="2" t="s">
        <v>27</v>
      </c>
      <c r="E7693" s="5">
        <v>-28511</v>
      </c>
      <c r="F7693" s="3" t="s">
        <v>340</v>
      </c>
      <c r="G7693" s="3" t="s">
        <v>52</v>
      </c>
      <c r="H7693" s="2" t="s">
        <v>30</v>
      </c>
      <c r="I7693" s="2" t="s">
        <v>14911</v>
      </c>
      <c r="J7693" s="3" t="str">
        <f>HYPERLINK("https://www.boe.es/gazeta/dias/1821/12/08/pdfs/GMD-1821-350.pdf#page=2","Abrir facsímil")</f>
        <v>Abrir facsímil</v>
      </c>
      <c r="K7693" s="3" t="s">
        <v>32</v>
      </c>
    </row>
    <row r="7694" spans="1:11" ht="42" customHeight="1">
      <c r="A7694" s="2" t="s">
        <v>14912</v>
      </c>
      <c r="B7694" s="2" t="s">
        <v>14913</v>
      </c>
      <c r="C7694" s="2" t="s">
        <v>114</v>
      </c>
      <c r="D7694" s="2" t="s">
        <v>27</v>
      </c>
      <c r="E7694" s="5">
        <v>-28777</v>
      </c>
      <c r="F7694" s="3" t="s">
        <v>1004</v>
      </c>
      <c r="G7694" s="3" t="s">
        <v>29</v>
      </c>
      <c r="H7694" s="2" t="s">
        <v>21</v>
      </c>
      <c r="I7694" s="2" t="s">
        <v>14914</v>
      </c>
      <c r="J7694" s="3" t="str">
        <f>HYPERLINK("https://www.boe.es/gazeta/dias/1821/03/17/pdfs/GMD-1821-76.pdf#page=6","Abrir facsímil")</f>
        <v>Abrir facsímil</v>
      </c>
      <c r="K7694" s="3" t="s">
        <v>23</v>
      </c>
    </row>
    <row r="7695" spans="1:11" ht="42" customHeight="1">
      <c r="A7695" s="2" t="s">
        <v>14915</v>
      </c>
      <c r="B7695" s="2" t="s">
        <v>14916</v>
      </c>
      <c r="C7695" s="2" t="s">
        <v>70</v>
      </c>
      <c r="D7695" s="2" t="s">
        <v>27</v>
      </c>
      <c r="E7695" s="5">
        <v>-28781</v>
      </c>
      <c r="F7695" s="3" t="s">
        <v>149</v>
      </c>
      <c r="G7695" s="3" t="s">
        <v>20</v>
      </c>
      <c r="H7695" s="2" t="s">
        <v>21</v>
      </c>
      <c r="I7695" s="2" t="s">
        <v>14917</v>
      </c>
      <c r="J7695" s="3" t="str">
        <f>HYPERLINK("https://www.boe.es/gazeta/dias/1821/03/13/pdfs/GMD-1821-72.pdf#page=3","Abrir facsímil")</f>
        <v>Abrir facsímil</v>
      </c>
      <c r="K7695" s="3" t="s">
        <v>23</v>
      </c>
    </row>
    <row r="7696" spans="1:11" ht="42" customHeight="1">
      <c r="A7696" s="2" t="s">
        <v>14918</v>
      </c>
      <c r="B7696" s="2" t="s">
        <v>14919</v>
      </c>
      <c r="C7696" s="2" t="s">
        <v>17</v>
      </c>
      <c r="D7696" s="2" t="s">
        <v>18</v>
      </c>
      <c r="E7696" s="5">
        <v>-28537</v>
      </c>
      <c r="F7696" s="3" t="s">
        <v>56</v>
      </c>
      <c r="G7696" s="3" t="s">
        <v>52</v>
      </c>
      <c r="H7696" s="2" t="s">
        <v>21</v>
      </c>
      <c r="I7696" s="2" t="s">
        <v>14920</v>
      </c>
      <c r="J7696" s="3" t="str">
        <f>HYPERLINK("https://www.boe.es/gazeta/dias/1821/11/12/pdfs/GMD-1821-323.pdf#page=2","Abrir facsímil")</f>
        <v>Abrir facsímil</v>
      </c>
      <c r="K7696" s="3" t="s">
        <v>23</v>
      </c>
    </row>
    <row r="7697" spans="1:11" ht="42" customHeight="1">
      <c r="A7697" s="2" t="s">
        <v>14921</v>
      </c>
      <c r="B7697" s="2" t="s">
        <v>14922</v>
      </c>
      <c r="C7697" s="2" t="s">
        <v>40</v>
      </c>
      <c r="D7697" s="2" t="s">
        <v>41</v>
      </c>
      <c r="E7697" s="5">
        <v>-28620</v>
      </c>
      <c r="F7697" s="3" t="s">
        <v>87</v>
      </c>
      <c r="G7697" s="3" t="s">
        <v>88</v>
      </c>
      <c r="H7697" s="2" t="s">
        <v>21</v>
      </c>
      <c r="I7697" s="2" t="s">
        <v>14923</v>
      </c>
      <c r="J7697" s="3" t="str">
        <f>HYPERLINK("https://www.boe.es/gazeta/dias/1821/08/21/pdfs/GMD-1821-238.pdf#page=4","Abrir facsímil")</f>
        <v>Abrir facsímil</v>
      </c>
      <c r="K7697" s="3" t="s">
        <v>23</v>
      </c>
    </row>
    <row r="7698" spans="1:11" ht="42" customHeight="1">
      <c r="A7698" s="2" t="s">
        <v>14924</v>
      </c>
      <c r="B7698" s="2" t="s">
        <v>14924</v>
      </c>
      <c r="C7698" s="2" t="s">
        <v>26</v>
      </c>
      <c r="D7698" s="2" t="s">
        <v>27</v>
      </c>
      <c r="E7698" s="5">
        <v>-28538</v>
      </c>
      <c r="F7698" s="3" t="s">
        <v>395</v>
      </c>
      <c r="G7698" s="3" t="s">
        <v>20</v>
      </c>
      <c r="H7698" s="2" t="s">
        <v>21</v>
      </c>
      <c r="I7698" s="2" t="s">
        <v>14925</v>
      </c>
      <c r="J7698" s="3" t="str">
        <f>HYPERLINK("https://www.boe.es/gazeta/dias/1821/11/11/pdfs/GMD-1821-322.pdf#page=3","Abrir facsímil")</f>
        <v>Abrir facsímil</v>
      </c>
      <c r="K7698" s="3" t="s">
        <v>23</v>
      </c>
    </row>
    <row r="7699" spans="1:11" ht="42" customHeight="1">
      <c r="A7699" s="2" t="s">
        <v>14924</v>
      </c>
      <c r="B7699" s="2" t="s">
        <v>14924</v>
      </c>
      <c r="C7699" s="2" t="s">
        <v>26</v>
      </c>
      <c r="D7699" s="2" t="s">
        <v>27</v>
      </c>
      <c r="E7699" s="5">
        <v>-28533</v>
      </c>
      <c r="F7699" s="3" t="s">
        <v>559</v>
      </c>
      <c r="G7699" s="3" t="s">
        <v>88</v>
      </c>
      <c r="H7699" s="2" t="s">
        <v>21</v>
      </c>
      <c r="I7699" s="2" t="s">
        <v>14926</v>
      </c>
      <c r="J7699" s="3" t="str">
        <f>HYPERLINK("https://www.boe.es/gazeta/dias/1821/11/16/pdfs/GMD-1821-327.pdf#page=4","Abrir facsímil")</f>
        <v>Abrir facsímil</v>
      </c>
      <c r="K7699" s="3" t="s">
        <v>23</v>
      </c>
    </row>
    <row r="7700" spans="1:11" ht="42" customHeight="1">
      <c r="A7700" s="2" t="s">
        <v>14924</v>
      </c>
      <c r="B7700" s="2" t="s">
        <v>14924</v>
      </c>
      <c r="C7700" s="2" t="s">
        <v>26</v>
      </c>
      <c r="D7700" s="2" t="s">
        <v>27</v>
      </c>
      <c r="E7700" s="5">
        <v>-28516</v>
      </c>
      <c r="F7700" s="3" t="s">
        <v>514</v>
      </c>
      <c r="G7700" s="3" t="s">
        <v>162</v>
      </c>
      <c r="H7700" s="2" t="s">
        <v>21</v>
      </c>
      <c r="I7700" s="2" t="s">
        <v>14927</v>
      </c>
      <c r="J7700" s="3" t="str">
        <f>HYPERLINK("https://www.boe.es/gazeta/dias/1821/12/03/pdfs/GMD-1821-345.pdf#page=5","Abrir facsímil")</f>
        <v>Abrir facsímil</v>
      </c>
      <c r="K7700" s="3" t="s">
        <v>23</v>
      </c>
    </row>
    <row r="7701" spans="1:11" ht="42" customHeight="1">
      <c r="A7701" s="2" t="s">
        <v>14928</v>
      </c>
      <c r="B7701" s="2" t="s">
        <v>14929</v>
      </c>
      <c r="C7701" s="2" t="s">
        <v>174</v>
      </c>
      <c r="D7701" s="2" t="s">
        <v>27</v>
      </c>
      <c r="E7701" s="5">
        <v>-28746</v>
      </c>
      <c r="F7701" s="3" t="s">
        <v>687</v>
      </c>
      <c r="G7701" s="3" t="s">
        <v>333</v>
      </c>
      <c r="H7701" s="2" t="s">
        <v>21</v>
      </c>
      <c r="I7701" s="2" t="s">
        <v>14930</v>
      </c>
      <c r="J7701" s="3" t="str">
        <f>HYPERLINK("https://www.boe.es/gazeta/dias/1821/04/17/pdfs/GMD-1821-109.pdf#page=8","Abrir facsímil")</f>
        <v>Abrir facsímil</v>
      </c>
      <c r="K7701" s="3" t="s">
        <v>23</v>
      </c>
    </row>
    <row r="7702" spans="1:11" ht="42" customHeight="1">
      <c r="A7702" s="2" t="s">
        <v>14928</v>
      </c>
      <c r="B7702" s="2" t="s">
        <v>14929</v>
      </c>
      <c r="C7702" s="2" t="s">
        <v>40</v>
      </c>
      <c r="D7702" s="2" t="s">
        <v>41</v>
      </c>
      <c r="E7702" s="5">
        <v>-28581</v>
      </c>
      <c r="F7702" s="3" t="s">
        <v>254</v>
      </c>
      <c r="G7702" s="3" t="s">
        <v>88</v>
      </c>
      <c r="H7702" s="2" t="s">
        <v>21</v>
      </c>
      <c r="I7702" s="2" t="s">
        <v>14931</v>
      </c>
      <c r="J7702" s="3" t="str">
        <f>HYPERLINK("https://www.boe.es/gazeta/dias/1821/09/29/pdfs/GMD-1821-278.pdf#page=4","Abrir facsímil")</f>
        <v>Abrir facsímil</v>
      </c>
      <c r="K7702" s="3" t="s">
        <v>23</v>
      </c>
    </row>
    <row r="7703" spans="1:11" ht="42" customHeight="1">
      <c r="A7703" s="2" t="s">
        <v>14932</v>
      </c>
      <c r="B7703" s="2" t="s">
        <v>14932</v>
      </c>
      <c r="C7703" s="2" t="s">
        <v>70</v>
      </c>
      <c r="D7703" s="2" t="s">
        <v>27</v>
      </c>
      <c r="E7703" s="5">
        <v>-28552</v>
      </c>
      <c r="F7703" s="3" t="s">
        <v>28</v>
      </c>
      <c r="G7703" s="3" t="s">
        <v>20</v>
      </c>
      <c r="H7703" s="2" t="s">
        <v>21</v>
      </c>
      <c r="I7703" s="2" t="s">
        <v>14933</v>
      </c>
      <c r="J7703" s="3" t="str">
        <f>HYPERLINK("https://www.boe.es/gazeta/dias/1821/10/28/pdfs/GMD-1821-307.pdf#page=3","Abrir facsímil")</f>
        <v>Abrir facsímil</v>
      </c>
      <c r="K7703" s="3" t="s">
        <v>23</v>
      </c>
    </row>
    <row r="7704" spans="1:11" ht="42" customHeight="1">
      <c r="A7704" s="2" t="s">
        <v>14934</v>
      </c>
      <c r="B7704" s="2" t="s">
        <v>14935</v>
      </c>
      <c r="C7704" s="2" t="s">
        <v>40</v>
      </c>
      <c r="D7704" s="2" t="s">
        <v>41</v>
      </c>
      <c r="E7704" s="5">
        <v>-28492</v>
      </c>
      <c r="F7704" s="3" t="s">
        <v>1550</v>
      </c>
      <c r="G7704" s="3" t="s">
        <v>88</v>
      </c>
      <c r="H7704" s="2" t="s">
        <v>21</v>
      </c>
      <c r="I7704" s="2" t="s">
        <v>14936</v>
      </c>
      <c r="J7704" s="3" t="str">
        <f>HYPERLINK("https://www.boe.es/gazeta/dias/1821/12/27/pdfs/GMD-1821-370.pdf#page=4","Abrir facsímil")</f>
        <v>Abrir facsímil</v>
      </c>
      <c r="K7704" s="3" t="s">
        <v>23</v>
      </c>
    </row>
    <row r="7705" spans="1:11" ht="42" customHeight="1">
      <c r="A7705" s="2" t="s">
        <v>14937</v>
      </c>
      <c r="B7705" s="2" t="s">
        <v>14937</v>
      </c>
      <c r="C7705" s="2" t="s">
        <v>40</v>
      </c>
      <c r="D7705" s="2" t="s">
        <v>41</v>
      </c>
      <c r="E7705" s="5">
        <v>-28798</v>
      </c>
      <c r="F7705" s="3" t="s">
        <v>60</v>
      </c>
      <c r="G7705" s="3" t="s">
        <v>43</v>
      </c>
      <c r="H7705" s="2" t="s">
        <v>21</v>
      </c>
      <c r="I7705" s="2" t="s">
        <v>14938</v>
      </c>
      <c r="J7705" s="3" t="str">
        <f>HYPERLINK("https://www.boe.es/gazeta/dias/1821/02/24/pdfs/GGB-1821-55.pdf#page=1","Abrir facsímil")</f>
        <v>Abrir facsímil</v>
      </c>
      <c r="K7705" s="3" t="s">
        <v>23</v>
      </c>
    </row>
    <row r="7706" spans="1:11" ht="42" customHeight="1">
      <c r="A7706" s="2" t="s">
        <v>14937</v>
      </c>
      <c r="B7706" s="2" t="s">
        <v>14937</v>
      </c>
      <c r="C7706" s="2" t="s">
        <v>40</v>
      </c>
      <c r="D7706" s="2" t="s">
        <v>41</v>
      </c>
      <c r="E7706" s="5">
        <v>-28781</v>
      </c>
      <c r="F7706" s="3" t="s">
        <v>149</v>
      </c>
      <c r="G7706" s="3" t="s">
        <v>162</v>
      </c>
      <c r="H7706" s="2" t="s">
        <v>21</v>
      </c>
      <c r="I7706" s="2" t="s">
        <v>14939</v>
      </c>
      <c r="J7706" s="3" t="str">
        <f>HYPERLINK("https://www.boe.es/gazeta/dias/1821/03/13/pdfs/GMD-1821-72.pdf#page=5","Abrir facsímil")</f>
        <v>Abrir facsímil</v>
      </c>
      <c r="K7706" s="3" t="s">
        <v>23</v>
      </c>
    </row>
    <row r="7707" spans="1:11" ht="42" customHeight="1">
      <c r="A7707" s="2" t="s">
        <v>14937</v>
      </c>
      <c r="B7707" s="2" t="s">
        <v>14937</v>
      </c>
      <c r="C7707" s="2" t="s">
        <v>40</v>
      </c>
      <c r="D7707" s="2" t="s">
        <v>41</v>
      </c>
      <c r="E7707" s="5">
        <v>-28778</v>
      </c>
      <c r="F7707" s="3" t="s">
        <v>1301</v>
      </c>
      <c r="G7707" s="3" t="s">
        <v>43</v>
      </c>
      <c r="H7707" s="2" t="s">
        <v>21</v>
      </c>
      <c r="I7707" s="2" t="s">
        <v>14940</v>
      </c>
      <c r="J7707" s="3" t="str">
        <f>HYPERLINK("https://www.boe.es/gazeta/dias/1821/03/16/pdfs/GMD-1821-75.pdf#page=1","Abrir facsímil")</f>
        <v>Abrir facsímil</v>
      </c>
      <c r="K7707" s="3" t="s">
        <v>23</v>
      </c>
    </row>
    <row r="7708" spans="1:11" ht="42" customHeight="1">
      <c r="A7708" s="2" t="s">
        <v>14937</v>
      </c>
      <c r="B7708" s="2" t="s">
        <v>14937</v>
      </c>
      <c r="C7708" s="2" t="s">
        <v>40</v>
      </c>
      <c r="D7708" s="2" t="s">
        <v>41</v>
      </c>
      <c r="E7708" s="5">
        <v>-28730</v>
      </c>
      <c r="F7708" s="3" t="s">
        <v>747</v>
      </c>
      <c r="G7708" s="3" t="s">
        <v>43</v>
      </c>
      <c r="H7708" s="2" t="s">
        <v>21</v>
      </c>
      <c r="I7708" s="2" t="s">
        <v>14941</v>
      </c>
      <c r="J7708" s="3" t="str">
        <f>HYPERLINK("https://www.boe.es/gazeta/dias/1821/05/03/pdfs/GMD-1821-125.pdf#page=1","Abrir facsímil")</f>
        <v>Abrir facsímil</v>
      </c>
      <c r="K7708" s="3" t="s">
        <v>23</v>
      </c>
    </row>
    <row r="7709" spans="1:11" ht="42" customHeight="1">
      <c r="A7709" s="2" t="s">
        <v>14937</v>
      </c>
      <c r="B7709" s="2" t="s">
        <v>14937</v>
      </c>
      <c r="C7709" s="2" t="s">
        <v>40</v>
      </c>
      <c r="D7709" s="2" t="s">
        <v>41</v>
      </c>
      <c r="E7709" s="5">
        <v>-28710</v>
      </c>
      <c r="F7709" s="3" t="s">
        <v>375</v>
      </c>
      <c r="G7709" s="3" t="s">
        <v>43</v>
      </c>
      <c r="H7709" s="2" t="s">
        <v>21</v>
      </c>
      <c r="I7709" s="2" t="s">
        <v>14942</v>
      </c>
      <c r="J7709" s="3" t="str">
        <f>HYPERLINK("https://www.boe.es/gazeta/dias/1821/05/23/pdfs/GMD-1821-145.pdf#page=1","Abrir facsímil")</f>
        <v>Abrir facsímil</v>
      </c>
      <c r="K7709" s="3" t="s">
        <v>23</v>
      </c>
    </row>
    <row r="7710" spans="1:11" ht="42" customHeight="1">
      <c r="A7710" s="2" t="s">
        <v>14943</v>
      </c>
      <c r="B7710" s="2" t="s">
        <v>14943</v>
      </c>
      <c r="C7710" s="2" t="s">
        <v>40</v>
      </c>
      <c r="D7710" s="2" t="s">
        <v>41</v>
      </c>
      <c r="E7710" s="5">
        <v>-28751</v>
      </c>
      <c r="F7710" s="3" t="s">
        <v>356</v>
      </c>
      <c r="G7710" s="3" t="s">
        <v>88</v>
      </c>
      <c r="H7710" s="2" t="s">
        <v>21</v>
      </c>
      <c r="I7710" s="2" t="s">
        <v>14944</v>
      </c>
      <c r="J7710" s="3" t="str">
        <f>HYPERLINK("https://www.boe.es/gazeta/dias/1821/04/12/pdfs/GMD-1821-104.pdf#page=4","Abrir facsímil")</f>
        <v>Abrir facsímil</v>
      </c>
      <c r="K7710" s="3" t="s">
        <v>23</v>
      </c>
    </row>
    <row r="7711" spans="1:11" ht="42" customHeight="1">
      <c r="A7711" s="2" t="s">
        <v>14945</v>
      </c>
      <c r="B7711" s="2" t="s">
        <v>14945</v>
      </c>
      <c r="C7711" s="2" t="s">
        <v>40</v>
      </c>
      <c r="D7711" s="2" t="s">
        <v>41</v>
      </c>
      <c r="E7711" s="5">
        <v>-28682</v>
      </c>
      <c r="F7711" s="3" t="s">
        <v>1064</v>
      </c>
      <c r="G7711" s="3" t="s">
        <v>52</v>
      </c>
      <c r="H7711" s="2" t="s">
        <v>21</v>
      </c>
      <c r="I7711" s="2" t="s">
        <v>14946</v>
      </c>
      <c r="J7711" s="3" t="str">
        <f>HYPERLINK("https://www.boe.es/gazeta/dias/1821/06/20/pdfs/GMD-1821-173.pdf#page=2","Abrir facsímil")</f>
        <v>Abrir facsímil</v>
      </c>
      <c r="K7711" s="3" t="s">
        <v>23</v>
      </c>
    </row>
    <row r="7712" spans="1:11" ht="42" customHeight="1">
      <c r="A7712" s="2" t="s">
        <v>14947</v>
      </c>
      <c r="B7712" s="2" t="s">
        <v>14948</v>
      </c>
      <c r="C7712" s="2" t="s">
        <v>174</v>
      </c>
      <c r="D7712" s="2" t="s">
        <v>27</v>
      </c>
      <c r="E7712" s="5">
        <v>-28553</v>
      </c>
      <c r="F7712" s="3" t="s">
        <v>182</v>
      </c>
      <c r="G7712" s="3" t="s">
        <v>29</v>
      </c>
      <c r="H7712" s="2" t="s">
        <v>21</v>
      </c>
      <c r="I7712" s="2" t="s">
        <v>14949</v>
      </c>
      <c r="J7712" s="3" t="str">
        <f>HYPERLINK("https://www.boe.es/gazeta/dias/1821/10/27/pdfs/GMD-1821-306.pdf#page=6","Abrir facsímil")</f>
        <v>Abrir facsímil</v>
      </c>
      <c r="K7712" s="3" t="s">
        <v>23</v>
      </c>
    </row>
    <row r="7713" spans="1:11" ht="42" customHeight="1">
      <c r="A7713" s="2" t="s">
        <v>14950</v>
      </c>
      <c r="B7713" s="2" t="s">
        <v>14951</v>
      </c>
      <c r="C7713" s="2" t="s">
        <v>35</v>
      </c>
      <c r="D7713" s="2" t="s">
        <v>27</v>
      </c>
      <c r="E7713" s="5">
        <v>-28791</v>
      </c>
      <c r="F7713" s="3" t="s">
        <v>47</v>
      </c>
      <c r="G7713" s="3" t="s">
        <v>20</v>
      </c>
      <c r="H7713" s="2" t="s">
        <v>21</v>
      </c>
      <c r="I7713" s="2" t="s">
        <v>14952</v>
      </c>
      <c r="J7713" s="3" t="str">
        <f>HYPERLINK("https://www.boe.es/gazeta/dias/1821/03/03/pdfs/GGB-1821-62.pdf#page=3","Abrir facsímil")</f>
        <v>Abrir facsímil</v>
      </c>
      <c r="K7713" s="3" t="s">
        <v>23</v>
      </c>
    </row>
    <row r="7714" spans="1:11" ht="42" customHeight="1">
      <c r="A7714" s="2" t="s">
        <v>14953</v>
      </c>
      <c r="B7714" s="2" t="s">
        <v>14954</v>
      </c>
      <c r="C7714" s="2" t="s">
        <v>17</v>
      </c>
      <c r="D7714" s="2" t="s">
        <v>18</v>
      </c>
      <c r="E7714" s="5">
        <v>-28547</v>
      </c>
      <c r="F7714" s="3" t="s">
        <v>247</v>
      </c>
      <c r="G7714" s="3" t="s">
        <v>248</v>
      </c>
      <c r="H7714" s="2" t="s">
        <v>21</v>
      </c>
      <c r="I7714" s="2" t="s">
        <v>14955</v>
      </c>
      <c r="J7714" s="3" t="str">
        <f>HYPERLINK("https://www.boe.es/gazeta/dias/1821/11/02/pdfs/GMD-1821-312.pdf#page=2","Abrir facsímil")</f>
        <v>Abrir facsímil</v>
      </c>
      <c r="K7714" s="3" t="s">
        <v>23</v>
      </c>
    </row>
    <row r="7715" spans="1:11" ht="42" customHeight="1">
      <c r="A7715" s="2" t="s">
        <v>14956</v>
      </c>
      <c r="B7715" s="2" t="s">
        <v>14957</v>
      </c>
      <c r="C7715" s="2" t="s">
        <v>35</v>
      </c>
      <c r="D7715" s="2" t="s">
        <v>27</v>
      </c>
      <c r="E7715" s="5">
        <v>-28755</v>
      </c>
      <c r="F7715" s="3" t="s">
        <v>906</v>
      </c>
      <c r="G7715" s="3" t="s">
        <v>907</v>
      </c>
      <c r="H7715" s="2" t="s">
        <v>30</v>
      </c>
      <c r="I7715" s="2" t="s">
        <v>14958</v>
      </c>
      <c r="J7715" s="3" t="str">
        <f>HYPERLINK("https://www.boe.es/gazeta/dias/1821/04/08/pdfs/GMD-1821-100.pdf#page=4","Abrir facsímil")</f>
        <v>Abrir facsímil</v>
      </c>
      <c r="K7715" s="3" t="s">
        <v>32</v>
      </c>
    </row>
    <row r="7716" spans="1:11" ht="42" customHeight="1">
      <c r="A7716" s="2" t="s">
        <v>14959</v>
      </c>
      <c r="B7716" s="2" t="s">
        <v>14960</v>
      </c>
      <c r="C7716" s="2" t="s">
        <v>17</v>
      </c>
      <c r="D7716" s="2" t="s">
        <v>18</v>
      </c>
      <c r="E7716" s="5">
        <v>-28511</v>
      </c>
      <c r="F7716" s="3" t="s">
        <v>340</v>
      </c>
      <c r="G7716" s="3" t="s">
        <v>52</v>
      </c>
      <c r="H7716" s="2" t="s">
        <v>21</v>
      </c>
      <c r="I7716" s="2" t="s">
        <v>14961</v>
      </c>
      <c r="J7716" s="3" t="str">
        <f>HYPERLINK("https://www.boe.es/gazeta/dias/1821/12/08/pdfs/GMD-1821-350.pdf#page=2","Abrir facsímil")</f>
        <v>Abrir facsímil</v>
      </c>
      <c r="K7716" s="3" t="s">
        <v>23</v>
      </c>
    </row>
    <row r="7717" spans="1:11" ht="42" customHeight="1">
      <c r="A7717" s="2" t="s">
        <v>14962</v>
      </c>
      <c r="B7717" s="2" t="s">
        <v>14963</v>
      </c>
      <c r="C7717" s="2" t="s">
        <v>174</v>
      </c>
      <c r="D7717" s="2" t="s">
        <v>27</v>
      </c>
      <c r="E7717" s="5">
        <v>-28834</v>
      </c>
      <c r="F7717" s="3" t="s">
        <v>369</v>
      </c>
      <c r="G7717" s="3" t="s">
        <v>88</v>
      </c>
      <c r="H7717" s="2" t="s">
        <v>21</v>
      </c>
      <c r="I7717" s="2" t="s">
        <v>14964</v>
      </c>
      <c r="J7717" s="3" t="str">
        <f>HYPERLINK("https://www.boe.es/gazeta/dias/1821/01/19/pdfs/GGB-1821-19.pdf#page=4","Abrir facsímil")</f>
        <v>Abrir facsímil</v>
      </c>
      <c r="K7717" s="3" t="s">
        <v>23</v>
      </c>
    </row>
    <row r="7718" spans="1:11" ht="42" customHeight="1">
      <c r="A7718" s="2" t="s">
        <v>14965</v>
      </c>
      <c r="B7718" s="2" t="s">
        <v>14966</v>
      </c>
      <c r="C7718" s="2" t="s">
        <v>40</v>
      </c>
      <c r="D7718" s="2" t="s">
        <v>41</v>
      </c>
      <c r="E7718" s="5">
        <v>-28822</v>
      </c>
      <c r="F7718" s="3" t="s">
        <v>1748</v>
      </c>
      <c r="G7718" s="3" t="s">
        <v>20</v>
      </c>
      <c r="H7718" s="2" t="s">
        <v>21</v>
      </c>
      <c r="I7718" s="2" t="s">
        <v>14967</v>
      </c>
      <c r="J7718" s="3" t="str">
        <f>HYPERLINK("https://www.boe.es/gazeta/dias/1821/01/31/pdfs/GGB-1821-31.pdf#page=3","Abrir facsímil")</f>
        <v>Abrir facsímil</v>
      </c>
      <c r="K7718" s="3" t="s">
        <v>23</v>
      </c>
    </row>
    <row r="7719" spans="1:11" ht="42" customHeight="1">
      <c r="A7719" s="2" t="s">
        <v>14968</v>
      </c>
      <c r="B7719" s="2" t="s">
        <v>14969</v>
      </c>
      <c r="C7719" s="2" t="s">
        <v>17</v>
      </c>
      <c r="D7719" s="2" t="s">
        <v>18</v>
      </c>
      <c r="E7719" s="5">
        <v>-28556</v>
      </c>
      <c r="F7719" s="3" t="s">
        <v>264</v>
      </c>
      <c r="G7719" s="3" t="s">
        <v>29</v>
      </c>
      <c r="H7719" s="2" t="s">
        <v>21</v>
      </c>
      <c r="I7719" s="2" t="s">
        <v>14970</v>
      </c>
      <c r="J7719" s="3" t="str">
        <f>HYPERLINK("https://www.boe.es/gazeta/dias/1821/10/24/pdfs/GMD-1821-303.pdf#page=6","Abrir facsímil")</f>
        <v>Abrir facsímil</v>
      </c>
      <c r="K7719" s="3" t="s">
        <v>23</v>
      </c>
    </row>
    <row r="7720" spans="1:11" ht="42" customHeight="1">
      <c r="A7720" s="2" t="s">
        <v>14971</v>
      </c>
      <c r="B7720" s="2" t="s">
        <v>14971</v>
      </c>
      <c r="C7720" s="2" t="s">
        <v>17</v>
      </c>
      <c r="D7720" s="2" t="s">
        <v>18</v>
      </c>
      <c r="E7720" s="5">
        <v>-28586</v>
      </c>
      <c r="F7720" s="3" t="s">
        <v>587</v>
      </c>
      <c r="G7720" s="3" t="s">
        <v>588</v>
      </c>
      <c r="H7720" s="2" t="s">
        <v>21</v>
      </c>
      <c r="I7720" s="2" t="s">
        <v>14972</v>
      </c>
      <c r="J7720" s="3" t="str">
        <f>HYPERLINK("https://www.boe.es/gazeta/dias/1821/09/24/pdfs/GMD-1821-272.pdf#page=3","Abrir facsímil")</f>
        <v>Abrir facsímil</v>
      </c>
      <c r="K7720" s="3" t="s">
        <v>23</v>
      </c>
    </row>
    <row r="7721" spans="1:11" ht="42" customHeight="1">
      <c r="A7721" s="2" t="s">
        <v>14973</v>
      </c>
      <c r="B7721" s="2" t="s">
        <v>14973</v>
      </c>
      <c r="C7721" s="2" t="s">
        <v>40</v>
      </c>
      <c r="D7721" s="2" t="s">
        <v>41</v>
      </c>
      <c r="E7721" s="5">
        <v>-28582</v>
      </c>
      <c r="F7721" s="3" t="s">
        <v>3039</v>
      </c>
      <c r="G7721" s="3" t="s">
        <v>52</v>
      </c>
      <c r="H7721" s="2" t="s">
        <v>21</v>
      </c>
      <c r="I7721" s="2" t="s">
        <v>14974</v>
      </c>
      <c r="J7721" s="3" t="str">
        <f>HYPERLINK("https://www.boe.es/gazeta/dias/1821/09/28/pdfs/GMD-1821-276.pdf#page=2","Abrir facsímil")</f>
        <v>Abrir facsímil</v>
      </c>
      <c r="K7721" s="3" t="s">
        <v>23</v>
      </c>
    </row>
    <row r="7722" spans="1:11" ht="42" customHeight="1">
      <c r="A7722" s="2" t="s">
        <v>14975</v>
      </c>
      <c r="B7722" s="2" t="s">
        <v>14976</v>
      </c>
      <c r="C7722" s="2" t="s">
        <v>26</v>
      </c>
      <c r="D7722" s="2" t="s">
        <v>27</v>
      </c>
      <c r="E7722" s="5">
        <v>-28551</v>
      </c>
      <c r="F7722" s="3" t="s">
        <v>542</v>
      </c>
      <c r="G7722" s="3" t="s">
        <v>52</v>
      </c>
      <c r="H7722" s="2" t="s">
        <v>30</v>
      </c>
      <c r="I7722" s="2" t="s">
        <v>14977</v>
      </c>
      <c r="J7722" s="3" t="str">
        <f>HYPERLINK("https://www.boe.es/gazeta/dias/1821/10/29/pdfs/GMD-1821-308.pdf#page=2","Abrir facsímil")</f>
        <v>Abrir facsímil</v>
      </c>
      <c r="K7722" s="3" t="s">
        <v>32</v>
      </c>
    </row>
    <row r="7723" spans="1:11" ht="42" customHeight="1">
      <c r="A7723" s="2" t="s">
        <v>14978</v>
      </c>
      <c r="B7723" s="2" t="s">
        <v>14979</v>
      </c>
      <c r="C7723" s="2" t="s">
        <v>17</v>
      </c>
      <c r="D7723" s="2" t="s">
        <v>18</v>
      </c>
      <c r="E7723" s="5">
        <v>-28798</v>
      </c>
      <c r="F7723" s="3" t="s">
        <v>60</v>
      </c>
      <c r="G7723" s="3" t="s">
        <v>20</v>
      </c>
      <c r="H7723" s="2" t="s">
        <v>30</v>
      </c>
      <c r="I7723" s="2" t="s">
        <v>14980</v>
      </c>
      <c r="J7723" s="3" t="str">
        <f>HYPERLINK("https://www.boe.es/gazeta/dias/1821/02/24/pdfs/GGB-1821-55.pdf#page=3","Abrir facsímil")</f>
        <v>Abrir facsímil</v>
      </c>
      <c r="K7723" s="3" t="s">
        <v>32</v>
      </c>
    </row>
    <row r="7724" spans="1:11" ht="42" customHeight="1">
      <c r="A7724" s="2" t="s">
        <v>14981</v>
      </c>
      <c r="B7724" s="2" t="s">
        <v>14982</v>
      </c>
      <c r="C7724" s="2" t="s">
        <v>17</v>
      </c>
      <c r="D7724" s="2" t="s">
        <v>18</v>
      </c>
      <c r="E7724" s="5">
        <v>-28513</v>
      </c>
      <c r="F7724" s="3" t="s">
        <v>502</v>
      </c>
      <c r="G7724" s="3" t="s">
        <v>20</v>
      </c>
      <c r="H7724" s="2" t="s">
        <v>30</v>
      </c>
      <c r="I7724" s="2" t="s">
        <v>14983</v>
      </c>
      <c r="J7724" s="3" t="str">
        <f>HYPERLINK("https://www.boe.es/gazeta/dias/1821/12/06/pdfs/GMD-1821-348.pdf#page=3","Abrir facsímil")</f>
        <v>Abrir facsímil</v>
      </c>
      <c r="K7724" s="3" t="s">
        <v>32</v>
      </c>
    </row>
    <row r="7725" spans="1:11" ht="42" customHeight="1">
      <c r="A7725" s="2" t="s">
        <v>14984</v>
      </c>
      <c r="B7725" s="2" t="s">
        <v>14984</v>
      </c>
      <c r="C7725" s="2" t="s">
        <v>40</v>
      </c>
      <c r="D7725" s="2" t="s">
        <v>41</v>
      </c>
      <c r="E7725" s="5">
        <v>-28608</v>
      </c>
      <c r="F7725" s="3" t="s">
        <v>805</v>
      </c>
      <c r="G7725" s="3" t="s">
        <v>806</v>
      </c>
      <c r="H7725" s="2" t="s">
        <v>21</v>
      </c>
      <c r="I7725" s="2" t="s">
        <v>14985</v>
      </c>
      <c r="J7725" s="3" t="str">
        <f>HYPERLINK("https://www.boe.es/gazeta/dias/1821/09/02/pdfs/GMD-1821-250.pdf#page=2","Abrir facsímil")</f>
        <v>Abrir facsímil</v>
      </c>
      <c r="K7725" s="3" t="s">
        <v>23</v>
      </c>
    </row>
    <row r="7726" spans="1:11" ht="42" customHeight="1">
      <c r="A7726" s="2" t="s">
        <v>14986</v>
      </c>
      <c r="B7726" s="2" t="s">
        <v>14986</v>
      </c>
      <c r="C7726" s="2" t="s">
        <v>40</v>
      </c>
      <c r="D7726" s="2" t="s">
        <v>41</v>
      </c>
      <c r="E7726" s="5">
        <v>-28700</v>
      </c>
      <c r="F7726" s="3" t="s">
        <v>701</v>
      </c>
      <c r="G7726" s="3" t="s">
        <v>52</v>
      </c>
      <c r="H7726" s="2" t="s">
        <v>21</v>
      </c>
      <c r="I7726" s="2" t="s">
        <v>14987</v>
      </c>
      <c r="J7726" s="3" t="str">
        <f>HYPERLINK("https://www.boe.es/gazeta/dias/1821/06/02/pdfs/GMD-1821-155.pdf#page=2","Abrir facsímil")</f>
        <v>Abrir facsímil</v>
      </c>
      <c r="K7726" s="3" t="s">
        <v>23</v>
      </c>
    </row>
    <row r="7727" spans="1:11" ht="42" customHeight="1">
      <c r="A7727" s="2" t="s">
        <v>14988</v>
      </c>
      <c r="B7727" s="2" t="s">
        <v>14988</v>
      </c>
      <c r="C7727" s="2" t="s">
        <v>17</v>
      </c>
      <c r="D7727" s="2" t="s">
        <v>18</v>
      </c>
      <c r="E7727" s="5">
        <v>-28679</v>
      </c>
      <c r="F7727" s="3" t="s">
        <v>213</v>
      </c>
      <c r="G7727" s="3" t="s">
        <v>88</v>
      </c>
      <c r="H7727" s="2" t="s">
        <v>21</v>
      </c>
      <c r="I7727" s="2" t="s">
        <v>14989</v>
      </c>
      <c r="J7727" s="3" t="str">
        <f>HYPERLINK("https://www.boe.es/gazeta/dias/1821/06/23/pdfs/GMD-1821-176.pdf#page=4","Abrir facsímil")</f>
        <v>Abrir facsímil</v>
      </c>
      <c r="K7727" s="3" t="s">
        <v>23</v>
      </c>
    </row>
    <row r="7728" spans="1:11" ht="42" customHeight="1">
      <c r="A7728" s="2" t="s">
        <v>14990</v>
      </c>
      <c r="B7728" s="2" t="s">
        <v>14991</v>
      </c>
      <c r="C7728" s="2" t="s">
        <v>17</v>
      </c>
      <c r="D7728" s="2" t="s">
        <v>18</v>
      </c>
      <c r="E7728" s="5">
        <v>-28684</v>
      </c>
      <c r="F7728" s="3" t="s">
        <v>208</v>
      </c>
      <c r="G7728" s="3" t="s">
        <v>88</v>
      </c>
      <c r="H7728" s="2" t="s">
        <v>21</v>
      </c>
      <c r="I7728" s="2" t="s">
        <v>14992</v>
      </c>
      <c r="J7728" s="3" t="str">
        <f>HYPERLINK("https://www.boe.es/gazeta/dias/1821/06/18/pdfs/GMD-1821-171.pdf#page=4","Abrir facsímil")</f>
        <v>Abrir facsímil</v>
      </c>
      <c r="K7728" s="3" t="s">
        <v>23</v>
      </c>
    </row>
    <row r="7729" spans="1:11" ht="42" customHeight="1">
      <c r="A7729" s="2" t="s">
        <v>14993</v>
      </c>
      <c r="B7729" s="2" t="s">
        <v>14994</v>
      </c>
      <c r="C7729" s="2" t="s">
        <v>17</v>
      </c>
      <c r="D7729" s="2" t="s">
        <v>18</v>
      </c>
      <c r="E7729" s="5">
        <v>-28684</v>
      </c>
      <c r="F7729" s="3" t="s">
        <v>208</v>
      </c>
      <c r="G7729" s="3" t="s">
        <v>88</v>
      </c>
      <c r="H7729" s="2" t="s">
        <v>21</v>
      </c>
      <c r="I7729" s="2" t="s">
        <v>14995</v>
      </c>
      <c r="J7729" s="3" t="str">
        <f>HYPERLINK("https://www.boe.es/gazeta/dias/1821/06/18/pdfs/GMD-1821-171.pdf#page=4","Abrir facsímil")</f>
        <v>Abrir facsímil</v>
      </c>
      <c r="K7729" s="3" t="s">
        <v>23</v>
      </c>
    </row>
    <row r="7730" spans="1:11" ht="42" customHeight="1">
      <c r="A7730" s="2" t="s">
        <v>14996</v>
      </c>
      <c r="B7730" s="2" t="s">
        <v>14997</v>
      </c>
      <c r="C7730" s="2" t="s">
        <v>35</v>
      </c>
      <c r="D7730" s="2" t="s">
        <v>27</v>
      </c>
      <c r="E7730" s="5">
        <v>-28717</v>
      </c>
      <c r="F7730" s="3" t="s">
        <v>1044</v>
      </c>
      <c r="G7730" s="3" t="s">
        <v>88</v>
      </c>
      <c r="H7730" s="2" t="s">
        <v>21</v>
      </c>
      <c r="I7730" s="2" t="s">
        <v>14998</v>
      </c>
      <c r="J7730" s="3" t="str">
        <f>HYPERLINK("https://www.boe.es/gazeta/dias/1821/05/16/pdfs/GMD-1821-138.pdf#page=4","Abrir facsímil")</f>
        <v>Abrir facsímil</v>
      </c>
      <c r="K7730" s="3" t="s">
        <v>23</v>
      </c>
    </row>
    <row r="7731" spans="1:11" ht="42" customHeight="1">
      <c r="A7731" s="2" t="s">
        <v>14996</v>
      </c>
      <c r="B7731" s="2" t="s">
        <v>14997</v>
      </c>
      <c r="C7731" s="2" t="s">
        <v>17</v>
      </c>
      <c r="D7731" s="2" t="s">
        <v>18</v>
      </c>
      <c r="E7731" s="5">
        <v>-28700</v>
      </c>
      <c r="F7731" s="3" t="s">
        <v>701</v>
      </c>
      <c r="G7731" s="3" t="s">
        <v>88</v>
      </c>
      <c r="H7731" s="2" t="s">
        <v>21</v>
      </c>
      <c r="I7731" s="2" t="s">
        <v>14999</v>
      </c>
      <c r="J7731" s="3" t="str">
        <f>HYPERLINK("https://www.boe.es/gazeta/dias/1821/06/02/pdfs/GMD-1821-155.pdf#page=4","Abrir facsímil")</f>
        <v>Abrir facsímil</v>
      </c>
      <c r="K7731" s="3" t="s">
        <v>23</v>
      </c>
    </row>
    <row r="7732" spans="1:11" ht="42" customHeight="1">
      <c r="A7732" s="2" t="s">
        <v>14996</v>
      </c>
      <c r="B7732" s="2" t="s">
        <v>14997</v>
      </c>
      <c r="C7732" s="2" t="s">
        <v>35</v>
      </c>
      <c r="D7732" s="2" t="s">
        <v>27</v>
      </c>
      <c r="E7732" s="5">
        <v>-28685</v>
      </c>
      <c r="F7732" s="3" t="s">
        <v>303</v>
      </c>
      <c r="G7732" s="3" t="s">
        <v>162</v>
      </c>
      <c r="H7732" s="2" t="s">
        <v>21</v>
      </c>
      <c r="I7732" s="2" t="s">
        <v>15000</v>
      </c>
      <c r="J7732" s="3" t="str">
        <f>HYPERLINK("https://www.boe.es/gazeta/dias/1821/06/17/pdfs/GMD-1821-170.pdf#page=5","Abrir facsímil")</f>
        <v>Abrir facsímil</v>
      </c>
      <c r="K7732" s="3" t="s">
        <v>23</v>
      </c>
    </row>
    <row r="7733" spans="1:11" ht="42" customHeight="1">
      <c r="A7733" s="2" t="s">
        <v>14996</v>
      </c>
      <c r="B7733" s="2" t="s">
        <v>14997</v>
      </c>
      <c r="C7733" s="2" t="s">
        <v>114</v>
      </c>
      <c r="D7733" s="2" t="s">
        <v>27</v>
      </c>
      <c r="E7733" s="5">
        <v>-28646</v>
      </c>
      <c r="F7733" s="3" t="s">
        <v>1457</v>
      </c>
      <c r="G7733" s="3" t="s">
        <v>20</v>
      </c>
      <c r="H7733" s="2" t="s">
        <v>21</v>
      </c>
      <c r="I7733" s="2" t="s">
        <v>15001</v>
      </c>
      <c r="J7733" s="3" t="str">
        <f>HYPERLINK("https://www.boe.es/gazeta/dias/1821/07/26/pdfs/GMD-1821-211.pdf#page=3","Abrir facsímil")</f>
        <v>Abrir facsímil</v>
      </c>
      <c r="K7733" s="3" t="s">
        <v>23</v>
      </c>
    </row>
    <row r="7734" spans="1:11" ht="42" customHeight="1">
      <c r="A7734" s="2" t="s">
        <v>15002</v>
      </c>
      <c r="B7734" s="2" t="s">
        <v>15003</v>
      </c>
      <c r="C7734" s="2" t="s">
        <v>40</v>
      </c>
      <c r="D7734" s="2" t="s">
        <v>41</v>
      </c>
      <c r="E7734" s="5">
        <v>-28835</v>
      </c>
      <c r="F7734" s="3" t="s">
        <v>1362</v>
      </c>
      <c r="G7734" s="3" t="s">
        <v>88</v>
      </c>
      <c r="H7734" s="2" t="s">
        <v>21</v>
      </c>
      <c r="I7734" s="2" t="s">
        <v>15004</v>
      </c>
      <c r="J7734" s="3" t="str">
        <f>HYPERLINK("https://www.boe.es/gazeta/dias/1821/01/18/pdfs/GGB-1821-18.pdf#page=4","Abrir facsímil")</f>
        <v>Abrir facsímil</v>
      </c>
      <c r="K7734" s="3" t="s">
        <v>23</v>
      </c>
    </row>
    <row r="7735" spans="1:11" ht="42" customHeight="1">
      <c r="A7735" s="2" t="s">
        <v>15005</v>
      </c>
      <c r="B7735" s="2" t="s">
        <v>15006</v>
      </c>
      <c r="C7735" s="2" t="s">
        <v>40</v>
      </c>
      <c r="D7735" s="2" t="s">
        <v>41</v>
      </c>
      <c r="E7735" s="5">
        <v>-28515</v>
      </c>
      <c r="F7735" s="3" t="s">
        <v>260</v>
      </c>
      <c r="G7735" s="3" t="s">
        <v>15007</v>
      </c>
      <c r="H7735" s="2" t="s">
        <v>21</v>
      </c>
      <c r="I7735" s="2" t="s">
        <v>15008</v>
      </c>
      <c r="J7735" s="3" t="str">
        <f>HYPERLINK("https://www.boe.es/gazeta/dias/1821/12/04/pdfs/GMD-1821-346.pdf#page=7","Abrir facsímil")</f>
        <v>Abrir facsímil</v>
      </c>
      <c r="K7735" s="3" t="s">
        <v>23</v>
      </c>
    </row>
    <row r="7736" spans="1:11" ht="42" customHeight="1">
      <c r="A7736" s="2" t="s">
        <v>15009</v>
      </c>
      <c r="B7736" s="2" t="s">
        <v>15010</v>
      </c>
      <c r="C7736" s="2" t="s">
        <v>35</v>
      </c>
      <c r="D7736" s="2" t="s">
        <v>27</v>
      </c>
      <c r="E7736" s="5">
        <v>-28847</v>
      </c>
      <c r="F7736" s="3" t="s">
        <v>288</v>
      </c>
      <c r="G7736" s="3" t="s">
        <v>289</v>
      </c>
      <c r="H7736" s="2" t="s">
        <v>21</v>
      </c>
      <c r="I7736" s="2" t="s">
        <v>15011</v>
      </c>
      <c r="J7736" s="3" t="str">
        <f>HYPERLINK("https://www.boe.es/gazeta/dias/1821/01/06/pdfs/GGB-1821-6.pdf#page=4","Abrir facsímil")</f>
        <v>Abrir facsímil</v>
      </c>
      <c r="K7736" s="3" t="s">
        <v>23</v>
      </c>
    </row>
    <row r="7737" spans="1:11" ht="42" customHeight="1">
      <c r="A7737" s="2" t="s">
        <v>15012</v>
      </c>
      <c r="B7737" s="2" t="s">
        <v>15013</v>
      </c>
      <c r="C7737" s="2" t="s">
        <v>174</v>
      </c>
      <c r="D7737" s="2" t="s">
        <v>27</v>
      </c>
      <c r="E7737" s="5">
        <v>-28714</v>
      </c>
      <c r="F7737" s="3" t="s">
        <v>522</v>
      </c>
      <c r="G7737" s="3" t="s">
        <v>8960</v>
      </c>
      <c r="H7737" s="2" t="s">
        <v>21</v>
      </c>
      <c r="I7737" s="2" t="s">
        <v>15014</v>
      </c>
      <c r="J7737" s="3" t="str">
        <f>HYPERLINK("https://www.boe.es/gazeta/dias/1821/05/19/pdfs/GMD-1821-141.pdf#page=4","Abrir facsímil")</f>
        <v>Abrir facsímil</v>
      </c>
      <c r="K7737" s="3" t="s">
        <v>23</v>
      </c>
    </row>
    <row r="7738" spans="1:11" ht="42" customHeight="1">
      <c r="A7738" s="2" t="s">
        <v>15015</v>
      </c>
      <c r="B7738" s="2" t="s">
        <v>15015</v>
      </c>
      <c r="C7738" s="2" t="s">
        <v>40</v>
      </c>
      <c r="D7738" s="2" t="s">
        <v>41</v>
      </c>
      <c r="E7738" s="5">
        <v>-28783</v>
      </c>
      <c r="F7738" s="3" t="s">
        <v>198</v>
      </c>
      <c r="G7738" s="3" t="s">
        <v>20</v>
      </c>
      <c r="H7738" s="2" t="s">
        <v>21</v>
      </c>
      <c r="I7738" s="2" t="s">
        <v>15016</v>
      </c>
      <c r="J7738" s="3" t="str">
        <f>HYPERLINK("https://www.boe.es/gazeta/dias/1821/03/11/pdfs/GGB-1821-70.pdf#page=3","Abrir facsímil")</f>
        <v>Abrir facsímil</v>
      </c>
      <c r="K7738" s="3" t="s">
        <v>23</v>
      </c>
    </row>
    <row r="7739" spans="1:11" ht="42" customHeight="1">
      <c r="A7739" s="2" t="s">
        <v>15015</v>
      </c>
      <c r="B7739" s="2" t="s">
        <v>15015</v>
      </c>
      <c r="C7739" s="2" t="s">
        <v>40</v>
      </c>
      <c r="D7739" s="2" t="s">
        <v>41</v>
      </c>
      <c r="E7739" s="5">
        <v>-28648</v>
      </c>
      <c r="F7739" s="3" t="s">
        <v>1520</v>
      </c>
      <c r="G7739" s="3" t="s">
        <v>52</v>
      </c>
      <c r="H7739" s="2" t="s">
        <v>21</v>
      </c>
      <c r="I7739" s="2" t="s">
        <v>15017</v>
      </c>
      <c r="J7739" s="3" t="str">
        <f>HYPERLINK("https://www.boe.es/gazeta/dias/1821/07/24/pdfs/GMD-1821-209.pdf#page=2","Abrir facsímil")</f>
        <v>Abrir facsímil</v>
      </c>
      <c r="K7739" s="3" t="s">
        <v>23</v>
      </c>
    </row>
    <row r="7740" spans="1:11" ht="42" customHeight="1">
      <c r="A7740" s="2" t="s">
        <v>15018</v>
      </c>
      <c r="B7740" s="2" t="s">
        <v>15019</v>
      </c>
      <c r="C7740" s="2" t="s">
        <v>40</v>
      </c>
      <c r="D7740" s="2" t="s">
        <v>41</v>
      </c>
      <c r="E7740" s="5">
        <v>-28694</v>
      </c>
      <c r="F7740" s="3" t="s">
        <v>1057</v>
      </c>
      <c r="G7740" s="3" t="s">
        <v>52</v>
      </c>
      <c r="H7740" s="2" t="s">
        <v>21</v>
      </c>
      <c r="I7740" s="2" t="s">
        <v>15020</v>
      </c>
      <c r="J7740" s="3" t="str">
        <f>HYPERLINK("https://www.boe.es/gazeta/dias/1821/06/08/pdfs/GMD-1821-161.pdf#page=2","Abrir facsímil")</f>
        <v>Abrir facsímil</v>
      </c>
      <c r="K7740" s="3" t="s">
        <v>23</v>
      </c>
    </row>
    <row r="7741" spans="1:11" ht="42" customHeight="1">
      <c r="A7741" s="2" t="s">
        <v>15021</v>
      </c>
      <c r="B7741" s="2" t="s">
        <v>15022</v>
      </c>
      <c r="C7741" s="2" t="s">
        <v>17</v>
      </c>
      <c r="D7741" s="2" t="s">
        <v>18</v>
      </c>
      <c r="E7741" s="5">
        <v>-28785</v>
      </c>
      <c r="F7741" s="3" t="s">
        <v>1935</v>
      </c>
      <c r="G7741" s="3" t="s">
        <v>20</v>
      </c>
      <c r="H7741" s="2" t="s">
        <v>21</v>
      </c>
      <c r="I7741" s="2" t="s">
        <v>15023</v>
      </c>
      <c r="J7741" s="3" t="str">
        <f>HYPERLINK("https://www.boe.es/gazeta/dias/1821/03/09/pdfs/GGB-1821-68.pdf#page=3","Abrir facsímil")</f>
        <v>Abrir facsímil</v>
      </c>
      <c r="K7741" s="3" t="s">
        <v>23</v>
      </c>
    </row>
    <row r="7742" spans="1:11" ht="42" customHeight="1">
      <c r="A7742" s="2" t="s">
        <v>15024</v>
      </c>
      <c r="B7742" s="2" t="s">
        <v>15025</v>
      </c>
      <c r="C7742" s="2" t="s">
        <v>40</v>
      </c>
      <c r="D7742" s="2" t="s">
        <v>41</v>
      </c>
      <c r="E7742" s="5">
        <v>-28719</v>
      </c>
      <c r="F7742" s="3" t="s">
        <v>647</v>
      </c>
      <c r="G7742" s="3" t="s">
        <v>88</v>
      </c>
      <c r="H7742" s="2" t="s">
        <v>21</v>
      </c>
      <c r="I7742" s="2" t="s">
        <v>15026</v>
      </c>
      <c r="J7742" s="3" t="str">
        <f>HYPERLINK("https://www.boe.es/gazeta/dias/1821/05/14/pdfs/GMD-1821-136.pdf#page=4","Abrir facsímil")</f>
        <v>Abrir facsímil</v>
      </c>
      <c r="K7742" s="3" t="s">
        <v>23</v>
      </c>
    </row>
    <row r="7743" spans="1:11" ht="42" customHeight="1">
      <c r="A7743" s="2" t="s">
        <v>15027</v>
      </c>
      <c r="B7743" s="2" t="s">
        <v>15028</v>
      </c>
      <c r="C7743" s="2" t="s">
        <v>40</v>
      </c>
      <c r="D7743" s="2" t="s">
        <v>41</v>
      </c>
      <c r="E7743" s="5">
        <v>-28781</v>
      </c>
      <c r="F7743" s="3" t="s">
        <v>149</v>
      </c>
      <c r="G7743" s="3" t="s">
        <v>20</v>
      </c>
      <c r="H7743" s="2" t="s">
        <v>21</v>
      </c>
      <c r="I7743" s="2" t="s">
        <v>15029</v>
      </c>
      <c r="J7743" s="3" t="str">
        <f>HYPERLINK("https://www.boe.es/gazeta/dias/1821/03/13/pdfs/GMD-1821-72.pdf#page=3","Abrir facsímil")</f>
        <v>Abrir facsímil</v>
      </c>
      <c r="K7743" s="3" t="s">
        <v>23</v>
      </c>
    </row>
    <row r="7744" spans="1:11" ht="42" customHeight="1">
      <c r="A7744" s="2" t="s">
        <v>15030</v>
      </c>
      <c r="B7744" s="2" t="s">
        <v>15030</v>
      </c>
      <c r="C7744" s="2" t="s">
        <v>17</v>
      </c>
      <c r="D7744" s="2" t="s">
        <v>18</v>
      </c>
      <c r="E7744" s="5">
        <v>-28798</v>
      </c>
      <c r="F7744" s="3" t="s">
        <v>60</v>
      </c>
      <c r="G7744" s="3" t="s">
        <v>20</v>
      </c>
      <c r="H7744" s="2" t="s">
        <v>21</v>
      </c>
      <c r="I7744" s="2" t="s">
        <v>15031</v>
      </c>
      <c r="J7744" s="3" t="str">
        <f>HYPERLINK("https://www.boe.es/gazeta/dias/1821/02/24/pdfs/GGB-1821-55.pdf#page=3","Abrir facsímil")</f>
        <v>Abrir facsímil</v>
      </c>
      <c r="K7744" s="3" t="s">
        <v>23</v>
      </c>
    </row>
    <row r="7745" spans="1:11" ht="42" customHeight="1">
      <c r="A7745" s="2" t="s">
        <v>15032</v>
      </c>
      <c r="B7745" s="2" t="s">
        <v>15032</v>
      </c>
      <c r="C7745" s="2" t="s">
        <v>35</v>
      </c>
      <c r="D7745" s="2" t="s">
        <v>27</v>
      </c>
      <c r="E7745" s="5">
        <v>-28513</v>
      </c>
      <c r="F7745" s="3" t="s">
        <v>502</v>
      </c>
      <c r="G7745" s="3" t="s">
        <v>20</v>
      </c>
      <c r="H7745" s="2" t="s">
        <v>21</v>
      </c>
      <c r="I7745" s="2" t="s">
        <v>15033</v>
      </c>
      <c r="J7745" s="3" t="str">
        <f>HYPERLINK("https://www.boe.es/gazeta/dias/1821/12/06/pdfs/GMD-1821-348.pdf#page=3","Abrir facsímil")</f>
        <v>Abrir facsímil</v>
      </c>
      <c r="K7745" s="3" t="s">
        <v>23</v>
      </c>
    </row>
    <row r="7746" spans="1:11" ht="42" customHeight="1">
      <c r="A7746" s="2" t="s">
        <v>15032</v>
      </c>
      <c r="B7746" s="2" t="s">
        <v>15032</v>
      </c>
      <c r="C7746" s="2" t="s">
        <v>35</v>
      </c>
      <c r="D7746" s="2" t="s">
        <v>27</v>
      </c>
      <c r="E7746" s="5">
        <v>-28513</v>
      </c>
      <c r="F7746" s="3" t="s">
        <v>502</v>
      </c>
      <c r="G7746" s="3" t="s">
        <v>88</v>
      </c>
      <c r="H7746" s="2" t="s">
        <v>21</v>
      </c>
      <c r="I7746" s="2" t="s">
        <v>15034</v>
      </c>
      <c r="J7746" s="3" t="str">
        <f>HYPERLINK("https://www.boe.es/gazeta/dias/1821/12/06/pdfs/GMD-1821-348.pdf#page=4","Abrir facsímil")</f>
        <v>Abrir facsímil</v>
      </c>
      <c r="K7746" s="3" t="s">
        <v>23</v>
      </c>
    </row>
    <row r="7747" spans="1:11" ht="42" customHeight="1">
      <c r="A7747" s="2" t="s">
        <v>15035</v>
      </c>
      <c r="B7747" s="2" t="s">
        <v>15036</v>
      </c>
      <c r="C7747" s="2" t="s">
        <v>17</v>
      </c>
      <c r="D7747" s="2" t="s">
        <v>18</v>
      </c>
      <c r="E7747" s="5">
        <v>-28513</v>
      </c>
      <c r="F7747" s="3" t="s">
        <v>502</v>
      </c>
      <c r="G7747" s="3" t="s">
        <v>20</v>
      </c>
      <c r="H7747" s="2" t="s">
        <v>21</v>
      </c>
      <c r="I7747" s="2" t="s">
        <v>15037</v>
      </c>
      <c r="J7747" s="3" t="str">
        <f>HYPERLINK("https://www.boe.es/gazeta/dias/1821/12/06/pdfs/GMD-1821-348.pdf#page=3","Abrir facsímil")</f>
        <v>Abrir facsímil</v>
      </c>
      <c r="K7747" s="3" t="s">
        <v>23</v>
      </c>
    </row>
    <row r="7748" spans="1:11" ht="42" customHeight="1">
      <c r="A7748" s="2" t="s">
        <v>15038</v>
      </c>
      <c r="B7748" s="2" t="s">
        <v>15039</v>
      </c>
      <c r="C7748" s="2" t="s">
        <v>35</v>
      </c>
      <c r="D7748" s="2" t="s">
        <v>27</v>
      </c>
      <c r="E7748" s="5">
        <v>-28489</v>
      </c>
      <c r="F7748" s="3" t="s">
        <v>3894</v>
      </c>
      <c r="G7748" s="3" t="s">
        <v>88</v>
      </c>
      <c r="H7748" s="2" t="s">
        <v>21</v>
      </c>
      <c r="I7748" s="2" t="s">
        <v>15040</v>
      </c>
      <c r="J7748" s="3" t="str">
        <f>HYPERLINK("https://www.boe.es/gazeta/dias/1821/12/30/pdfs/GMD-1821-373.pdf#page=4","Abrir facsímil")</f>
        <v>Abrir facsímil</v>
      </c>
      <c r="K7748" s="3" t="s">
        <v>23</v>
      </c>
    </row>
    <row r="7749" spans="1:11" ht="42" customHeight="1">
      <c r="A7749" s="2" t="s">
        <v>15041</v>
      </c>
      <c r="B7749" s="2" t="s">
        <v>15041</v>
      </c>
      <c r="C7749" s="2" t="s">
        <v>40</v>
      </c>
      <c r="D7749" s="2" t="s">
        <v>41</v>
      </c>
      <c r="E7749" s="5">
        <v>-28513</v>
      </c>
      <c r="F7749" s="3" t="s">
        <v>502</v>
      </c>
      <c r="G7749" s="3" t="s">
        <v>20</v>
      </c>
      <c r="H7749" s="2" t="s">
        <v>21</v>
      </c>
      <c r="I7749" s="2" t="s">
        <v>15042</v>
      </c>
      <c r="J7749" s="3" t="str">
        <f>HYPERLINK("https://www.boe.es/gazeta/dias/1821/12/06/pdfs/GMD-1821-348.pdf#page=3","Abrir facsímil")</f>
        <v>Abrir facsímil</v>
      </c>
      <c r="K7749" s="3" t="s">
        <v>23</v>
      </c>
    </row>
    <row r="7750" spans="1:11" ht="42" customHeight="1">
      <c r="A7750" s="2" t="s">
        <v>15043</v>
      </c>
      <c r="B7750" s="2" t="s">
        <v>15044</v>
      </c>
      <c r="C7750" s="2" t="s">
        <v>17</v>
      </c>
      <c r="D7750" s="2" t="s">
        <v>18</v>
      </c>
      <c r="E7750" s="5">
        <v>-28690</v>
      </c>
      <c r="F7750" s="3" t="s">
        <v>846</v>
      </c>
      <c r="G7750" s="3" t="s">
        <v>43</v>
      </c>
      <c r="H7750" s="2" t="s">
        <v>21</v>
      </c>
      <c r="I7750" s="2" t="s">
        <v>15045</v>
      </c>
      <c r="J7750" s="3" t="str">
        <f>HYPERLINK("https://www.boe.es/gazeta/dias/1821/06/12/pdfs/GMD-1821-165.pdf#page=1","Abrir facsímil")</f>
        <v>Abrir facsímil</v>
      </c>
      <c r="K7750" s="3" t="s">
        <v>23</v>
      </c>
    </row>
    <row r="7751" spans="1:11" ht="42" customHeight="1">
      <c r="A7751" s="2" t="s">
        <v>15046</v>
      </c>
      <c r="B7751" s="2" t="s">
        <v>15047</v>
      </c>
      <c r="C7751" s="2" t="s">
        <v>26</v>
      </c>
      <c r="D7751" s="2" t="s">
        <v>27</v>
      </c>
      <c r="E7751" s="5">
        <v>-28654</v>
      </c>
      <c r="F7751" s="3" t="s">
        <v>674</v>
      </c>
      <c r="G7751" s="3" t="s">
        <v>20</v>
      </c>
      <c r="H7751" s="2" t="s">
        <v>21</v>
      </c>
      <c r="I7751" s="2" t="s">
        <v>15048</v>
      </c>
      <c r="J7751" s="3" t="str">
        <f>HYPERLINK("https://www.boe.es/gazeta/dias/1821/07/18/pdfs/GMD-1821-203.pdf#page=3","Abrir facsímil")</f>
        <v>Abrir facsímil</v>
      </c>
      <c r="K7751" s="3" t="s">
        <v>23</v>
      </c>
    </row>
    <row r="7752" spans="1:11" ht="42" customHeight="1">
      <c r="A7752" s="2" t="s">
        <v>15049</v>
      </c>
      <c r="B7752" s="2" t="s">
        <v>15049</v>
      </c>
      <c r="C7752" s="2" t="s">
        <v>26</v>
      </c>
      <c r="D7752" s="2" t="s">
        <v>27</v>
      </c>
      <c r="E7752" s="5">
        <v>-28688</v>
      </c>
      <c r="F7752" s="3" t="s">
        <v>1504</v>
      </c>
      <c r="G7752" s="3" t="s">
        <v>20</v>
      </c>
      <c r="H7752" s="2" t="s">
        <v>21</v>
      </c>
      <c r="I7752" s="2" t="s">
        <v>15050</v>
      </c>
      <c r="J7752" s="3" t="str">
        <f>HYPERLINK("https://www.boe.es/gazeta/dias/1821/06/14/pdfs/GMD-1821-167.pdf#page=3","Abrir facsímil")</f>
        <v>Abrir facsímil</v>
      </c>
      <c r="K7752" s="3" t="s">
        <v>23</v>
      </c>
    </row>
    <row r="7753" spans="1:11" ht="42" customHeight="1">
      <c r="A7753" s="2" t="s">
        <v>15051</v>
      </c>
      <c r="B7753" s="2" t="s">
        <v>15052</v>
      </c>
      <c r="C7753" s="2" t="s">
        <v>17</v>
      </c>
      <c r="D7753" s="2" t="s">
        <v>18</v>
      </c>
      <c r="E7753" s="5">
        <v>-28510</v>
      </c>
      <c r="F7753" s="3" t="s">
        <v>83</v>
      </c>
      <c r="G7753" s="3" t="s">
        <v>52</v>
      </c>
      <c r="H7753" s="2" t="s">
        <v>21</v>
      </c>
      <c r="I7753" s="2" t="s">
        <v>15053</v>
      </c>
      <c r="J7753" s="3" t="str">
        <f>HYPERLINK("https://www.boe.es/gazeta/dias/1821/12/09/pdfs/GMD-1821-351.pdf#page=2","Abrir facsímil")</f>
        <v>Abrir facsímil</v>
      </c>
      <c r="K7753" s="3" t="s">
        <v>23</v>
      </c>
    </row>
    <row r="7754" spans="1:11" ht="42" customHeight="1">
      <c r="A7754" s="2" t="s">
        <v>15054</v>
      </c>
      <c r="B7754" s="2" t="s">
        <v>15055</v>
      </c>
      <c r="C7754" s="2" t="s">
        <v>17</v>
      </c>
      <c r="D7754" s="2" t="s">
        <v>18</v>
      </c>
      <c r="E7754" s="5">
        <v>-28784</v>
      </c>
      <c r="F7754" s="3" t="s">
        <v>451</v>
      </c>
      <c r="G7754" s="3" t="s">
        <v>88</v>
      </c>
      <c r="H7754" s="2" t="s">
        <v>21</v>
      </c>
      <c r="I7754" s="2" t="s">
        <v>15056</v>
      </c>
      <c r="J7754" s="3" t="str">
        <f>HYPERLINK("https://www.boe.es/gazeta/dias/1821/03/10/pdfs/GGB-1821-69.pdf#page=4","Abrir facsímil")</f>
        <v>Abrir facsímil</v>
      </c>
      <c r="K7754" s="3" t="s">
        <v>23</v>
      </c>
    </row>
    <row r="7755" spans="1:11" ht="42" customHeight="1">
      <c r="A7755" s="2" t="s">
        <v>15054</v>
      </c>
      <c r="B7755" s="2" t="s">
        <v>15055</v>
      </c>
      <c r="C7755" s="2" t="s">
        <v>17</v>
      </c>
      <c r="D7755" s="2" t="s">
        <v>18</v>
      </c>
      <c r="E7755" s="5">
        <v>-28688</v>
      </c>
      <c r="F7755" s="3" t="s">
        <v>1504</v>
      </c>
      <c r="G7755" s="3" t="s">
        <v>20</v>
      </c>
      <c r="H7755" s="2" t="s">
        <v>21</v>
      </c>
      <c r="I7755" s="2" t="s">
        <v>15057</v>
      </c>
      <c r="J7755" s="3" t="str">
        <f>HYPERLINK("https://www.boe.es/gazeta/dias/1821/06/14/pdfs/GMD-1821-167.pdf#page=3","Abrir facsímil")</f>
        <v>Abrir facsímil</v>
      </c>
      <c r="K7755" s="3" t="s">
        <v>23</v>
      </c>
    </row>
    <row r="7756" spans="1:11" ht="42" customHeight="1">
      <c r="A7756" s="2" t="s">
        <v>15054</v>
      </c>
      <c r="B7756" s="2" t="s">
        <v>15055</v>
      </c>
      <c r="C7756" s="2" t="s">
        <v>17</v>
      </c>
      <c r="D7756" s="2" t="s">
        <v>18</v>
      </c>
      <c r="E7756" s="5">
        <v>-28687</v>
      </c>
      <c r="F7756" s="3" t="s">
        <v>851</v>
      </c>
      <c r="G7756" s="3" t="s">
        <v>52</v>
      </c>
      <c r="H7756" s="2" t="s">
        <v>21</v>
      </c>
      <c r="I7756" s="2" t="s">
        <v>15058</v>
      </c>
      <c r="J7756" s="3" t="str">
        <f>HYPERLINK("https://www.boe.es/gazeta/dias/1821/06/15/pdfs/GMD-1821-168.pdf#page=2","Abrir facsímil")</f>
        <v>Abrir facsímil</v>
      </c>
      <c r="K7756" s="3" t="s">
        <v>23</v>
      </c>
    </row>
    <row r="7757" spans="1:11" ht="42" customHeight="1">
      <c r="A7757" s="2" t="s">
        <v>15059</v>
      </c>
      <c r="B7757" s="2" t="s">
        <v>15060</v>
      </c>
      <c r="C7757" s="2" t="s">
        <v>17</v>
      </c>
      <c r="D7757" s="2" t="s">
        <v>18</v>
      </c>
      <c r="E7757" s="5">
        <v>-28691</v>
      </c>
      <c r="F7757" s="3" t="s">
        <v>716</v>
      </c>
      <c r="G7757" s="3" t="s">
        <v>20</v>
      </c>
      <c r="H7757" s="2" t="s">
        <v>21</v>
      </c>
      <c r="I7757" s="2" t="s">
        <v>15061</v>
      </c>
      <c r="J7757" s="3" t="str">
        <f>HYPERLINK("https://www.boe.es/gazeta/dias/1821/06/11/pdfs/GMD-1821-164.pdf#page=3","Abrir facsímil")</f>
        <v>Abrir facsímil</v>
      </c>
      <c r="K7757" s="3" t="s">
        <v>23</v>
      </c>
    </row>
    <row r="7758" spans="1:11" ht="42" customHeight="1">
      <c r="A7758" s="2" t="s">
        <v>15062</v>
      </c>
      <c r="B7758" s="2" t="s">
        <v>15062</v>
      </c>
      <c r="C7758" s="2" t="s">
        <v>17</v>
      </c>
      <c r="D7758" s="2" t="s">
        <v>18</v>
      </c>
      <c r="E7758" s="5">
        <v>-28542</v>
      </c>
      <c r="F7758" s="3" t="s">
        <v>221</v>
      </c>
      <c r="G7758" s="3" t="s">
        <v>88</v>
      </c>
      <c r="H7758" s="2" t="s">
        <v>21</v>
      </c>
      <c r="I7758" s="2" t="s">
        <v>15063</v>
      </c>
      <c r="J7758" s="3" t="str">
        <f>HYPERLINK("https://www.boe.es/gazeta/dias/1821/11/07/pdfs/GMD-1821-318.pdf#page=4","Abrir facsímil")</f>
        <v>Abrir facsímil</v>
      </c>
      <c r="K7758" s="3" t="s">
        <v>23</v>
      </c>
    </row>
    <row r="7759" spans="1:11" ht="42" customHeight="1">
      <c r="A7759" s="2" t="s">
        <v>15064</v>
      </c>
      <c r="B7759" s="2" t="s">
        <v>15065</v>
      </c>
      <c r="C7759" s="2" t="s">
        <v>40</v>
      </c>
      <c r="D7759" s="2" t="s">
        <v>41</v>
      </c>
      <c r="E7759" s="5">
        <v>-28813</v>
      </c>
      <c r="F7759" s="3" t="s">
        <v>268</v>
      </c>
      <c r="G7759" s="3" t="s">
        <v>20</v>
      </c>
      <c r="H7759" s="2" t="s">
        <v>21</v>
      </c>
      <c r="I7759" s="2" t="s">
        <v>15066</v>
      </c>
      <c r="J7759" s="3" t="str">
        <f>HYPERLINK("https://www.boe.es/gazeta/dias/1821/02/09/pdfs/GGB-1821-40.pdf#page=3","Abrir facsímil")</f>
        <v>Abrir facsímil</v>
      </c>
      <c r="K7759" s="3" t="s">
        <v>23</v>
      </c>
    </row>
    <row r="7760" spans="1:11" ht="42" customHeight="1">
      <c r="A7760" s="2" t="s">
        <v>15067</v>
      </c>
      <c r="B7760" s="2" t="s">
        <v>15068</v>
      </c>
      <c r="C7760" s="2" t="s">
        <v>26</v>
      </c>
      <c r="D7760" s="2" t="s">
        <v>27</v>
      </c>
      <c r="E7760" s="5">
        <v>-28813</v>
      </c>
      <c r="F7760" s="3" t="s">
        <v>268</v>
      </c>
      <c r="G7760" s="3" t="s">
        <v>20</v>
      </c>
      <c r="H7760" s="2" t="s">
        <v>21</v>
      </c>
      <c r="I7760" s="2" t="s">
        <v>15069</v>
      </c>
      <c r="J7760" s="3" t="str">
        <f>HYPERLINK("https://www.boe.es/gazeta/dias/1821/02/09/pdfs/GGB-1821-40.pdf#page=3","Abrir facsímil")</f>
        <v>Abrir facsímil</v>
      </c>
      <c r="K7760" s="3" t="s">
        <v>23</v>
      </c>
    </row>
    <row r="7761" spans="1:11" ht="42" customHeight="1">
      <c r="A7761" s="2" t="s">
        <v>15070</v>
      </c>
      <c r="B7761" s="2" t="s">
        <v>15070</v>
      </c>
      <c r="C7761" s="2" t="s">
        <v>35</v>
      </c>
      <c r="D7761" s="2" t="s">
        <v>27</v>
      </c>
      <c r="E7761" s="5">
        <v>-28524</v>
      </c>
      <c r="F7761" s="3" t="s">
        <v>874</v>
      </c>
      <c r="G7761" s="3" t="s">
        <v>162</v>
      </c>
      <c r="H7761" s="2" t="s">
        <v>21</v>
      </c>
      <c r="I7761" s="2" t="s">
        <v>15071</v>
      </c>
      <c r="J7761" s="3" t="str">
        <f>HYPERLINK("https://www.boe.es/gazeta/dias/1821/11/25/pdfs/GMD-1821-336.pdf#page=5","Abrir facsímil")</f>
        <v>Abrir facsímil</v>
      </c>
      <c r="K7761" s="3" t="s">
        <v>23</v>
      </c>
    </row>
    <row r="7762" spans="1:11" ht="42" customHeight="1">
      <c r="A7762" s="2" t="s">
        <v>15072</v>
      </c>
      <c r="B7762" s="2" t="s">
        <v>15072</v>
      </c>
      <c r="C7762" s="2" t="s">
        <v>40</v>
      </c>
      <c r="D7762" s="2" t="s">
        <v>41</v>
      </c>
      <c r="E7762" s="5">
        <v>-28791</v>
      </c>
      <c r="F7762" s="3" t="s">
        <v>47</v>
      </c>
      <c r="G7762" s="3" t="s">
        <v>88</v>
      </c>
      <c r="H7762" s="2" t="s">
        <v>21</v>
      </c>
      <c r="I7762" s="2" t="s">
        <v>15073</v>
      </c>
      <c r="J7762" s="3" t="str">
        <f>HYPERLINK("https://www.boe.es/gazeta/dias/1821/03/03/pdfs/GGB-1821-62.pdf#page=4","Abrir facsímil")</f>
        <v>Abrir facsímil</v>
      </c>
      <c r="K7762" s="3" t="s">
        <v>23</v>
      </c>
    </row>
    <row r="7763" spans="1:11" ht="42" customHeight="1">
      <c r="A7763" s="2" t="s">
        <v>15072</v>
      </c>
      <c r="B7763" s="2" t="s">
        <v>15072</v>
      </c>
      <c r="C7763" s="2" t="s">
        <v>17</v>
      </c>
      <c r="D7763" s="2" t="s">
        <v>18</v>
      </c>
      <c r="E7763" s="5">
        <v>-28787</v>
      </c>
      <c r="F7763" s="3" t="s">
        <v>486</v>
      </c>
      <c r="G7763" s="3" t="s">
        <v>52</v>
      </c>
      <c r="H7763" s="2" t="s">
        <v>21</v>
      </c>
      <c r="I7763" s="2" t="s">
        <v>15074</v>
      </c>
      <c r="J7763" s="3" t="str">
        <f>HYPERLINK("https://www.boe.es/gazeta/dias/1821/03/07/pdfs/GGB-1821-66.pdf#page=2","Abrir facsímil")</f>
        <v>Abrir facsímil</v>
      </c>
      <c r="K7763" s="3" t="s">
        <v>23</v>
      </c>
    </row>
    <row r="7764" spans="1:11" ht="42" customHeight="1">
      <c r="A7764" s="2" t="s">
        <v>15072</v>
      </c>
      <c r="B7764" s="2" t="s">
        <v>15072</v>
      </c>
      <c r="C7764" s="2" t="s">
        <v>40</v>
      </c>
      <c r="D7764" s="2" t="s">
        <v>41</v>
      </c>
      <c r="E7764" s="5">
        <v>-28784</v>
      </c>
      <c r="F7764" s="3" t="s">
        <v>451</v>
      </c>
      <c r="G7764" s="3" t="s">
        <v>20</v>
      </c>
      <c r="H7764" s="2" t="s">
        <v>21</v>
      </c>
      <c r="I7764" s="2" t="s">
        <v>15075</v>
      </c>
      <c r="J7764" s="3" t="str">
        <f>HYPERLINK("https://www.boe.es/gazeta/dias/1821/03/10/pdfs/GGB-1821-69.pdf#page=3","Abrir facsímil")</f>
        <v>Abrir facsímil</v>
      </c>
      <c r="K7764" s="3" t="s">
        <v>23</v>
      </c>
    </row>
    <row r="7765" spans="1:11" ht="42" customHeight="1">
      <c r="A7765" s="2" t="s">
        <v>15072</v>
      </c>
      <c r="B7765" s="2" t="s">
        <v>15072</v>
      </c>
      <c r="C7765" s="2" t="s">
        <v>17</v>
      </c>
      <c r="D7765" s="2" t="s">
        <v>18</v>
      </c>
      <c r="E7765" s="5">
        <v>-28782</v>
      </c>
      <c r="F7765" s="3" t="s">
        <v>508</v>
      </c>
      <c r="G7765" s="3" t="s">
        <v>88</v>
      </c>
      <c r="H7765" s="2" t="s">
        <v>21</v>
      </c>
      <c r="I7765" s="2" t="s">
        <v>15076</v>
      </c>
      <c r="J7765" s="3" t="str">
        <f>HYPERLINK("https://www.boe.es/gazeta/dias/1821/03/12/pdfs/GMD-1821-71.pdf#page=4","Abrir facsímil")</f>
        <v>Abrir facsímil</v>
      </c>
      <c r="K7765" s="3" t="s">
        <v>23</v>
      </c>
    </row>
    <row r="7766" spans="1:11" ht="42" customHeight="1">
      <c r="A7766" s="2" t="s">
        <v>15072</v>
      </c>
      <c r="B7766" s="2" t="s">
        <v>15072</v>
      </c>
      <c r="C7766" s="2" t="s">
        <v>40</v>
      </c>
      <c r="D7766" s="2" t="s">
        <v>41</v>
      </c>
      <c r="E7766" s="5">
        <v>-28780</v>
      </c>
      <c r="F7766" s="3" t="s">
        <v>143</v>
      </c>
      <c r="G7766" s="3" t="s">
        <v>52</v>
      </c>
      <c r="H7766" s="2" t="s">
        <v>21</v>
      </c>
      <c r="I7766" s="2" t="s">
        <v>15077</v>
      </c>
      <c r="J7766" s="3" t="str">
        <f>HYPERLINK("https://www.boe.es/gazeta/dias/1821/03/14/pdfs/GMD-1821-73.pdf#page=2","Abrir facsímil")</f>
        <v>Abrir facsímil</v>
      </c>
      <c r="K7766" s="3" t="s">
        <v>23</v>
      </c>
    </row>
    <row r="7767" spans="1:11" ht="42" customHeight="1">
      <c r="A7767" s="2" t="s">
        <v>15072</v>
      </c>
      <c r="B7767" s="2" t="s">
        <v>15072</v>
      </c>
      <c r="C7767" s="2" t="s">
        <v>17</v>
      </c>
      <c r="D7767" s="2" t="s">
        <v>18</v>
      </c>
      <c r="E7767" s="5">
        <v>-28772</v>
      </c>
      <c r="F7767" s="3" t="s">
        <v>62</v>
      </c>
      <c r="G7767" s="3" t="s">
        <v>20</v>
      </c>
      <c r="H7767" s="2" t="s">
        <v>21</v>
      </c>
      <c r="I7767" s="2" t="s">
        <v>15078</v>
      </c>
      <c r="J7767" s="3" t="str">
        <f>HYPERLINK("https://www.boe.es/gazeta/dias/1821/03/22/pdfs/GMD-1821-81.pdf#page=3","Abrir facsímil")</f>
        <v>Abrir facsímil</v>
      </c>
      <c r="K7767" s="3" t="s">
        <v>23</v>
      </c>
    </row>
    <row r="7768" spans="1:11" ht="42" customHeight="1">
      <c r="A7768" s="2" t="s">
        <v>15072</v>
      </c>
      <c r="B7768" s="2" t="s">
        <v>15072</v>
      </c>
      <c r="C7768" s="2" t="s">
        <v>35</v>
      </c>
      <c r="D7768" s="2" t="s">
        <v>27</v>
      </c>
      <c r="E7768" s="5">
        <v>-28732</v>
      </c>
      <c r="F7768" s="3" t="s">
        <v>2628</v>
      </c>
      <c r="G7768" s="3" t="s">
        <v>52</v>
      </c>
      <c r="H7768" s="2" t="s">
        <v>21</v>
      </c>
      <c r="I7768" s="2" t="s">
        <v>15079</v>
      </c>
      <c r="J7768" s="3" t="str">
        <f>HYPERLINK("https://www.boe.es/gazeta/dias/1821/05/01/pdfs/GMD-1821-123.pdf#page=2","Abrir facsímil")</f>
        <v>Abrir facsímil</v>
      </c>
      <c r="K7768" s="3" t="s">
        <v>23</v>
      </c>
    </row>
    <row r="7769" spans="1:11" ht="42" customHeight="1">
      <c r="A7769" s="2" t="s">
        <v>15072</v>
      </c>
      <c r="B7769" s="2" t="s">
        <v>15072</v>
      </c>
      <c r="C7769" s="2" t="s">
        <v>17</v>
      </c>
      <c r="D7769" s="2" t="s">
        <v>18</v>
      </c>
      <c r="E7769" s="5">
        <v>-28732</v>
      </c>
      <c r="F7769" s="3" t="s">
        <v>2628</v>
      </c>
      <c r="G7769" s="3" t="s">
        <v>20</v>
      </c>
      <c r="H7769" s="2" t="s">
        <v>21</v>
      </c>
      <c r="I7769" s="2" t="s">
        <v>15080</v>
      </c>
      <c r="J7769" s="3" t="str">
        <f>HYPERLINK("https://www.boe.es/gazeta/dias/1821/05/01/pdfs/GMD-1821-123.pdf#page=3","Abrir facsímil")</f>
        <v>Abrir facsímil</v>
      </c>
      <c r="K7769" s="3" t="s">
        <v>23</v>
      </c>
    </row>
    <row r="7770" spans="1:11" ht="42" customHeight="1">
      <c r="A7770" s="2" t="s">
        <v>15072</v>
      </c>
      <c r="B7770" s="2" t="s">
        <v>15072</v>
      </c>
      <c r="C7770" s="2" t="s">
        <v>35</v>
      </c>
      <c r="D7770" s="2" t="s">
        <v>27</v>
      </c>
      <c r="E7770" s="5">
        <v>-28723</v>
      </c>
      <c r="F7770" s="3" t="s">
        <v>840</v>
      </c>
      <c r="G7770" s="3" t="s">
        <v>20</v>
      </c>
      <c r="H7770" s="2" t="s">
        <v>21</v>
      </c>
      <c r="I7770" s="2" t="s">
        <v>15081</v>
      </c>
      <c r="J7770" s="3" t="str">
        <f>HYPERLINK("https://www.boe.es/gazeta/dias/1821/05/10/pdfs/GMD-1821-132.pdf#page=3","Abrir facsímil")</f>
        <v>Abrir facsímil</v>
      </c>
      <c r="K7770" s="3" t="s">
        <v>23</v>
      </c>
    </row>
    <row r="7771" spans="1:11" ht="42" customHeight="1">
      <c r="A7771" s="2" t="s">
        <v>15072</v>
      </c>
      <c r="B7771" s="2" t="s">
        <v>15072</v>
      </c>
      <c r="C7771" s="2" t="s">
        <v>26</v>
      </c>
      <c r="D7771" s="2" t="s">
        <v>27</v>
      </c>
      <c r="E7771" s="5">
        <v>-28713</v>
      </c>
      <c r="F7771" s="3" t="s">
        <v>1976</v>
      </c>
      <c r="G7771" s="3" t="s">
        <v>52</v>
      </c>
      <c r="H7771" s="2" t="s">
        <v>21</v>
      </c>
      <c r="I7771" s="2" t="s">
        <v>15082</v>
      </c>
      <c r="J7771" s="3" t="str">
        <f>HYPERLINK("https://www.boe.es/gazeta/dias/1821/05/20/pdfs/GMD-1821-142.pdf#page=2","Abrir facsímil")</f>
        <v>Abrir facsímil</v>
      </c>
      <c r="K7771" s="3" t="s">
        <v>23</v>
      </c>
    </row>
    <row r="7772" spans="1:11" ht="42" customHeight="1">
      <c r="A7772" s="2" t="s">
        <v>15072</v>
      </c>
      <c r="B7772" s="2" t="s">
        <v>15072</v>
      </c>
      <c r="C7772" s="2" t="s">
        <v>114</v>
      </c>
      <c r="D7772" s="2" t="s">
        <v>27</v>
      </c>
      <c r="E7772" s="5">
        <v>-28705</v>
      </c>
      <c r="F7772" s="3" t="s">
        <v>1844</v>
      </c>
      <c r="G7772" s="3" t="s">
        <v>20</v>
      </c>
      <c r="H7772" s="2" t="s">
        <v>21</v>
      </c>
      <c r="I7772" s="2" t="s">
        <v>15083</v>
      </c>
      <c r="J7772" s="3" t="str">
        <f>HYPERLINK("https://www.boe.es/gazeta/dias/1821/05/28/pdfs/GMD-1821-150.pdf#page=3","Abrir facsímil")</f>
        <v>Abrir facsímil</v>
      </c>
      <c r="K7772" s="3" t="s">
        <v>23</v>
      </c>
    </row>
    <row r="7773" spans="1:11" ht="42" customHeight="1">
      <c r="A7773" s="2" t="s">
        <v>15072</v>
      </c>
      <c r="B7773" s="2" t="s">
        <v>15072</v>
      </c>
      <c r="C7773" s="2" t="s">
        <v>70</v>
      </c>
      <c r="D7773" s="2" t="s">
        <v>27</v>
      </c>
      <c r="E7773" s="5">
        <v>-28704</v>
      </c>
      <c r="F7773" s="3" t="s">
        <v>1050</v>
      </c>
      <c r="G7773" s="3" t="s">
        <v>20</v>
      </c>
      <c r="H7773" s="2" t="s">
        <v>21</v>
      </c>
      <c r="I7773" s="2" t="s">
        <v>15084</v>
      </c>
      <c r="J7773" s="3" t="str">
        <f>HYPERLINK("https://www.boe.es/gazeta/dias/1821/05/29/pdfs/GMD-1821-151.pdf#page=3","Abrir facsímil")</f>
        <v>Abrir facsímil</v>
      </c>
      <c r="K7773" s="3" t="s">
        <v>23</v>
      </c>
    </row>
    <row r="7774" spans="1:11" ht="42" customHeight="1">
      <c r="A7774" s="2" t="s">
        <v>15072</v>
      </c>
      <c r="B7774" s="2" t="s">
        <v>15072</v>
      </c>
      <c r="C7774" s="2" t="s">
        <v>174</v>
      </c>
      <c r="D7774" s="2" t="s">
        <v>27</v>
      </c>
      <c r="E7774" s="5">
        <v>-28701</v>
      </c>
      <c r="F7774" s="3" t="s">
        <v>202</v>
      </c>
      <c r="G7774" s="3" t="s">
        <v>52</v>
      </c>
      <c r="H7774" s="2" t="s">
        <v>21</v>
      </c>
      <c r="I7774" s="2" t="s">
        <v>15085</v>
      </c>
      <c r="J7774" s="3" t="str">
        <f>HYPERLINK("https://www.boe.es/gazeta/dias/1821/06/01/pdfs/GMD-1821-154.pdf#page=2","Abrir facsímil")</f>
        <v>Abrir facsímil</v>
      </c>
      <c r="K7774" s="3" t="s">
        <v>23</v>
      </c>
    </row>
    <row r="7775" spans="1:11" ht="42" customHeight="1">
      <c r="A7775" s="2" t="s">
        <v>15072</v>
      </c>
      <c r="B7775" s="2" t="s">
        <v>15072</v>
      </c>
      <c r="C7775" s="2" t="s">
        <v>26</v>
      </c>
      <c r="D7775" s="2" t="s">
        <v>27</v>
      </c>
      <c r="E7775" s="5">
        <v>-28698</v>
      </c>
      <c r="F7775" s="3" t="s">
        <v>2067</v>
      </c>
      <c r="G7775" s="3" t="s">
        <v>20</v>
      </c>
      <c r="H7775" s="2" t="s">
        <v>21</v>
      </c>
      <c r="I7775" s="2" t="s">
        <v>15086</v>
      </c>
      <c r="J7775" s="3" t="str">
        <f>HYPERLINK("https://www.boe.es/gazeta/dias/1821/06/04/pdfs/GMD-1821-157.pdf#page=3","Abrir facsímil")</f>
        <v>Abrir facsímil</v>
      </c>
      <c r="K7775" s="3" t="s">
        <v>23</v>
      </c>
    </row>
    <row r="7776" spans="1:11" ht="42" customHeight="1">
      <c r="A7776" s="2" t="s">
        <v>15072</v>
      </c>
      <c r="B7776" s="2" t="s">
        <v>15072</v>
      </c>
      <c r="C7776" s="2" t="s">
        <v>26</v>
      </c>
      <c r="D7776" s="2" t="s">
        <v>27</v>
      </c>
      <c r="E7776" s="5">
        <v>-28696</v>
      </c>
      <c r="F7776" s="3" t="s">
        <v>497</v>
      </c>
      <c r="G7776" s="3" t="s">
        <v>20</v>
      </c>
      <c r="H7776" s="2" t="s">
        <v>21</v>
      </c>
      <c r="I7776" s="2" t="s">
        <v>15087</v>
      </c>
      <c r="J7776" s="3" t="str">
        <f>HYPERLINK("https://www.boe.es/gazeta/dias/1821/06/06/pdfs/GMD-1821-159.pdf#page=3","Abrir facsímil")</f>
        <v>Abrir facsímil</v>
      </c>
      <c r="K7776" s="3" t="s">
        <v>23</v>
      </c>
    </row>
    <row r="7777" spans="1:11" ht="42" customHeight="1">
      <c r="A7777" s="2" t="s">
        <v>15072</v>
      </c>
      <c r="B7777" s="2" t="s">
        <v>15072</v>
      </c>
      <c r="C7777" s="2" t="s">
        <v>40</v>
      </c>
      <c r="D7777" s="2" t="s">
        <v>41</v>
      </c>
      <c r="E7777" s="5">
        <v>-28682</v>
      </c>
      <c r="F7777" s="3" t="s">
        <v>1064</v>
      </c>
      <c r="G7777" s="3" t="s">
        <v>162</v>
      </c>
      <c r="H7777" s="2" t="s">
        <v>21</v>
      </c>
      <c r="I7777" s="2" t="s">
        <v>15088</v>
      </c>
      <c r="J7777" s="3" t="str">
        <f>HYPERLINK("https://www.boe.es/gazeta/dias/1821/06/20/pdfs/GMD-1821-173.pdf#page=5","Abrir facsímil")</f>
        <v>Abrir facsímil</v>
      </c>
      <c r="K7777" s="3" t="s">
        <v>23</v>
      </c>
    </row>
    <row r="7778" spans="1:11" ht="42" customHeight="1">
      <c r="A7778" s="2" t="s">
        <v>15072</v>
      </c>
      <c r="B7778" s="2" t="s">
        <v>15072</v>
      </c>
      <c r="C7778" s="2" t="s">
        <v>26</v>
      </c>
      <c r="D7778" s="2" t="s">
        <v>27</v>
      </c>
      <c r="E7778" s="5">
        <v>-28677</v>
      </c>
      <c r="F7778" s="3" t="s">
        <v>361</v>
      </c>
      <c r="G7778" s="3" t="s">
        <v>88</v>
      </c>
      <c r="H7778" s="2" t="s">
        <v>21</v>
      </c>
      <c r="I7778" s="2" t="s">
        <v>15089</v>
      </c>
      <c r="J7778" s="3" t="str">
        <f>HYPERLINK("https://www.boe.es/gazeta/dias/1821/06/25/pdfs/GMD-1821-178.pdf#page=4","Abrir facsímil")</f>
        <v>Abrir facsímil</v>
      </c>
      <c r="K7778" s="3" t="s">
        <v>23</v>
      </c>
    </row>
    <row r="7779" spans="1:11" ht="42" customHeight="1">
      <c r="A7779" s="2" t="s">
        <v>15072</v>
      </c>
      <c r="B7779" s="2" t="s">
        <v>15072</v>
      </c>
      <c r="C7779" s="2" t="s">
        <v>114</v>
      </c>
      <c r="D7779" s="2" t="s">
        <v>27</v>
      </c>
      <c r="E7779" s="5">
        <v>-28519</v>
      </c>
      <c r="F7779" s="3" t="s">
        <v>880</v>
      </c>
      <c r="G7779" s="3" t="s">
        <v>52</v>
      </c>
      <c r="H7779" s="2" t="s">
        <v>21</v>
      </c>
      <c r="I7779" s="2" t="s">
        <v>15090</v>
      </c>
      <c r="J7779" s="3" t="str">
        <f>HYPERLINK("https://www.boe.es/gazeta/dias/1821/11/30/pdfs/GMD-1821-342.pdf#page=2","Abrir facsímil")</f>
        <v>Abrir facsímil</v>
      </c>
      <c r="K7779" s="3" t="s">
        <v>23</v>
      </c>
    </row>
    <row r="7780" spans="1:11" ht="42" customHeight="1">
      <c r="A7780" s="2" t="s">
        <v>15072</v>
      </c>
      <c r="B7780" s="2" t="s">
        <v>15072</v>
      </c>
      <c r="C7780" s="2" t="s">
        <v>35</v>
      </c>
      <c r="D7780" s="2" t="s">
        <v>27</v>
      </c>
      <c r="E7780" s="5">
        <v>-28517</v>
      </c>
      <c r="F7780" s="3" t="s">
        <v>563</v>
      </c>
      <c r="G7780" s="3" t="s">
        <v>52</v>
      </c>
      <c r="H7780" s="2" t="s">
        <v>21</v>
      </c>
      <c r="I7780" s="2" t="s">
        <v>15091</v>
      </c>
      <c r="J7780" s="3" t="str">
        <f>HYPERLINK("https://www.boe.es/gazeta/dias/1821/12/02/pdfs/GMD-1821-344.pdf#page=2","Abrir facsímil")</f>
        <v>Abrir facsímil</v>
      </c>
      <c r="K7780" s="3" t="s">
        <v>23</v>
      </c>
    </row>
    <row r="7781" spans="1:11" ht="42" customHeight="1">
      <c r="A7781" s="2" t="s">
        <v>15072</v>
      </c>
      <c r="B7781" s="2" t="s">
        <v>15072</v>
      </c>
      <c r="C7781" s="2" t="s">
        <v>17</v>
      </c>
      <c r="D7781" s="2" t="s">
        <v>18</v>
      </c>
      <c r="E7781" s="5">
        <v>-28491</v>
      </c>
      <c r="F7781" s="3" t="s">
        <v>573</v>
      </c>
      <c r="G7781" s="3" t="s">
        <v>20</v>
      </c>
      <c r="H7781" s="2" t="s">
        <v>21</v>
      </c>
      <c r="I7781" s="2" t="s">
        <v>15092</v>
      </c>
      <c r="J7781" s="3" t="str">
        <f>HYPERLINK("https://www.boe.es/gazeta/dias/1821/12/28/pdfs/GMD-1821-371.pdf#page=3","Abrir facsímil")</f>
        <v>Abrir facsímil</v>
      </c>
      <c r="K7781" s="3" t="s">
        <v>23</v>
      </c>
    </row>
    <row r="7782" spans="1:11" ht="42" customHeight="1">
      <c r="A7782" s="2" t="s">
        <v>15093</v>
      </c>
      <c r="B7782" s="2" t="s">
        <v>15094</v>
      </c>
      <c r="C7782" s="2" t="s">
        <v>26</v>
      </c>
      <c r="D7782" s="2" t="s">
        <v>27</v>
      </c>
      <c r="E7782" s="5">
        <v>-28760</v>
      </c>
      <c r="F7782" s="3" t="s">
        <v>170</v>
      </c>
      <c r="G7782" s="3" t="s">
        <v>52</v>
      </c>
      <c r="H7782" s="2" t="s">
        <v>21</v>
      </c>
      <c r="I7782" s="2" t="s">
        <v>15095</v>
      </c>
      <c r="J7782" s="3" t="str">
        <f>HYPERLINK("https://www.boe.es/gazeta/dias/1821/04/03/pdfs/GMD-1821-95.pdf#page=2","Abrir facsímil")</f>
        <v>Abrir facsímil</v>
      </c>
      <c r="K7782" s="3" t="s">
        <v>23</v>
      </c>
    </row>
    <row r="7783" spans="1:11" ht="42" customHeight="1">
      <c r="A7783" s="2" t="s">
        <v>15096</v>
      </c>
      <c r="B7783" s="2" t="s">
        <v>15097</v>
      </c>
      <c r="C7783" s="2" t="s">
        <v>114</v>
      </c>
      <c r="D7783" s="2" t="s">
        <v>27</v>
      </c>
      <c r="E7783" s="5">
        <v>-28793</v>
      </c>
      <c r="F7783" s="3" t="s">
        <v>157</v>
      </c>
      <c r="G7783" s="3" t="s">
        <v>162</v>
      </c>
      <c r="H7783" s="2" t="s">
        <v>21</v>
      </c>
      <c r="I7783" s="2" t="s">
        <v>15098</v>
      </c>
      <c r="J7783" s="3" t="str">
        <f>HYPERLINK("https://www.boe.es/gazeta/dias/1821/03/01/pdfs/GGB-1821-60.pdf#page=5","Abrir facsímil")</f>
        <v>Abrir facsímil</v>
      </c>
      <c r="K7783" s="3" t="s">
        <v>23</v>
      </c>
    </row>
    <row r="7784" spans="1:11" ht="42" customHeight="1">
      <c r="A7784" s="2" t="s">
        <v>15099</v>
      </c>
      <c r="B7784" s="2" t="s">
        <v>15100</v>
      </c>
      <c r="C7784" s="2" t="s">
        <v>17</v>
      </c>
      <c r="D7784" s="2" t="s">
        <v>18</v>
      </c>
      <c r="E7784" s="5">
        <v>-28646</v>
      </c>
      <c r="F7784" s="3" t="s">
        <v>1457</v>
      </c>
      <c r="G7784" s="3" t="s">
        <v>79</v>
      </c>
      <c r="H7784" s="2" t="s">
        <v>21</v>
      </c>
      <c r="I7784" s="2" t="s">
        <v>15101</v>
      </c>
      <c r="J7784" s="3" t="str">
        <f>HYPERLINK("https://www.boe.es/gazeta/dias/1821/07/26/pdfs/GMD-1821-211.pdf#page=4","Abrir facsímil")</f>
        <v>Abrir facsímil</v>
      </c>
      <c r="K7784" s="3" t="s">
        <v>23</v>
      </c>
    </row>
    <row r="7785" spans="1:11" ht="42" customHeight="1">
      <c r="A7785" s="2" t="s">
        <v>15102</v>
      </c>
      <c r="B7785" s="2" t="s">
        <v>15102</v>
      </c>
      <c r="C7785" s="2" t="s">
        <v>17</v>
      </c>
      <c r="D7785" s="2" t="s">
        <v>18</v>
      </c>
      <c r="E7785" s="5">
        <v>-28592</v>
      </c>
      <c r="F7785" s="3" t="s">
        <v>518</v>
      </c>
      <c r="G7785" s="3" t="s">
        <v>88</v>
      </c>
      <c r="H7785" s="2" t="s">
        <v>21</v>
      </c>
      <c r="I7785" s="2" t="s">
        <v>15103</v>
      </c>
      <c r="J7785" s="3" t="str">
        <f>HYPERLINK("https://www.boe.es/gazeta/dias/1821/09/18/pdfs/GMD-1821-266.pdf#page=4","Abrir facsímil")</f>
        <v>Abrir facsímil</v>
      </c>
      <c r="K7785" s="3" t="s">
        <v>23</v>
      </c>
    </row>
    <row r="7786" spans="1:11" ht="42" customHeight="1">
      <c r="A7786" s="2" t="s">
        <v>15104</v>
      </c>
      <c r="B7786" s="2" t="s">
        <v>15105</v>
      </c>
      <c r="C7786" s="2" t="s">
        <v>35</v>
      </c>
      <c r="D7786" s="2" t="s">
        <v>27</v>
      </c>
      <c r="E7786" s="5">
        <v>-28820</v>
      </c>
      <c r="F7786" s="3" t="s">
        <v>1430</v>
      </c>
      <c r="G7786" s="3" t="s">
        <v>162</v>
      </c>
      <c r="H7786" s="2" t="s">
        <v>21</v>
      </c>
      <c r="I7786" s="2" t="s">
        <v>15106</v>
      </c>
      <c r="J7786" s="3" t="str">
        <f>HYPERLINK("https://www.boe.es/gazeta/dias/1821/02/02/pdfs/GGB-1821-33.pdf#page=5","Abrir facsímil")</f>
        <v>Abrir facsímil</v>
      </c>
      <c r="K7786" s="3" t="s">
        <v>23</v>
      </c>
    </row>
    <row r="7787" spans="1:11" ht="42" customHeight="1">
      <c r="A7787" s="2" t="s">
        <v>15107</v>
      </c>
      <c r="B7787" s="2" t="s">
        <v>15107</v>
      </c>
      <c r="C7787" s="2" t="s">
        <v>35</v>
      </c>
      <c r="D7787" s="2" t="s">
        <v>27</v>
      </c>
      <c r="E7787" s="5">
        <v>-28496</v>
      </c>
      <c r="F7787" s="3" t="s">
        <v>785</v>
      </c>
      <c r="G7787" s="3" t="s">
        <v>88</v>
      </c>
      <c r="H7787" s="2" t="s">
        <v>21</v>
      </c>
      <c r="I7787" s="2" t="s">
        <v>15108</v>
      </c>
      <c r="J7787" s="3" t="str">
        <f>HYPERLINK("https://www.boe.es/gazeta/dias/1821/12/23/pdfs/GMD-1821-366.pdf#page=4","Abrir facsímil")</f>
        <v>Abrir facsímil</v>
      </c>
      <c r="K7787" s="3" t="s">
        <v>23</v>
      </c>
    </row>
    <row r="7788" spans="1:11" ht="42" customHeight="1">
      <c r="A7788" s="2" t="s">
        <v>15109</v>
      </c>
      <c r="B7788" s="2" t="s">
        <v>15110</v>
      </c>
      <c r="C7788" s="2" t="s">
        <v>17</v>
      </c>
      <c r="D7788" s="2" t="s">
        <v>18</v>
      </c>
      <c r="E7788" s="5">
        <v>-28577</v>
      </c>
      <c r="F7788" s="3" t="s">
        <v>858</v>
      </c>
      <c r="G7788" s="3" t="s">
        <v>88</v>
      </c>
      <c r="H7788" s="2" t="s">
        <v>21</v>
      </c>
      <c r="I7788" s="2" t="s">
        <v>15111</v>
      </c>
      <c r="J7788" s="3" t="str">
        <f>HYPERLINK("https://www.boe.es/gazeta/dias/1821/10/03/pdfs/GMD-1821-282.pdf#page=4","Abrir facsímil")</f>
        <v>Abrir facsímil</v>
      </c>
      <c r="K7788" s="3" t="s">
        <v>23</v>
      </c>
    </row>
    <row r="7789" spans="1:11" ht="42" customHeight="1">
      <c r="A7789" s="2" t="s">
        <v>15112</v>
      </c>
      <c r="B7789" s="2" t="s">
        <v>15112</v>
      </c>
      <c r="C7789" s="2" t="s">
        <v>40</v>
      </c>
      <c r="D7789" s="2" t="s">
        <v>41</v>
      </c>
      <c r="E7789" s="5">
        <v>-28734</v>
      </c>
      <c r="F7789" s="3" t="s">
        <v>1553</v>
      </c>
      <c r="G7789" s="3" t="s">
        <v>20</v>
      </c>
      <c r="H7789" s="2" t="s">
        <v>21</v>
      </c>
      <c r="I7789" s="2" t="s">
        <v>15113</v>
      </c>
      <c r="J7789" s="3" t="str">
        <f>HYPERLINK("https://www.boe.es/gazeta/dias/1821/04/29/pdfs/GMD-1821-121.pdf#page=3","Abrir facsímil")</f>
        <v>Abrir facsímil</v>
      </c>
      <c r="K7789" s="3" t="s">
        <v>23</v>
      </c>
    </row>
    <row r="7790" spans="1:11" ht="42" customHeight="1">
      <c r="A7790" s="2" t="s">
        <v>15114</v>
      </c>
      <c r="B7790" s="2" t="s">
        <v>15114</v>
      </c>
      <c r="C7790" s="2" t="s">
        <v>40</v>
      </c>
      <c r="D7790" s="2" t="s">
        <v>41</v>
      </c>
      <c r="E7790" s="5">
        <v>-28624</v>
      </c>
      <c r="F7790" s="3" t="s">
        <v>78</v>
      </c>
      <c r="G7790" s="3" t="s">
        <v>79</v>
      </c>
      <c r="H7790" s="2" t="s">
        <v>21</v>
      </c>
      <c r="I7790" s="2" t="s">
        <v>15115</v>
      </c>
      <c r="J7790" s="3" t="str">
        <f>HYPERLINK("https://www.boe.es/gazeta/dias/1821/08/17/pdfs/GMD-1821-234.pdf#page=4","Abrir facsímil")</f>
        <v>Abrir facsímil</v>
      </c>
      <c r="K7790" s="3" t="s">
        <v>23</v>
      </c>
    </row>
    <row r="7791" spans="1:11" ht="42" customHeight="1">
      <c r="A7791" s="2" t="s">
        <v>15116</v>
      </c>
      <c r="B7791" s="2" t="s">
        <v>15116</v>
      </c>
      <c r="C7791" s="2" t="s">
        <v>26</v>
      </c>
      <c r="D7791" s="2" t="s">
        <v>27</v>
      </c>
      <c r="E7791" s="5">
        <v>-28503</v>
      </c>
      <c r="F7791" s="3" t="s">
        <v>947</v>
      </c>
      <c r="G7791" s="3" t="s">
        <v>162</v>
      </c>
      <c r="H7791" s="2" t="s">
        <v>21</v>
      </c>
      <c r="I7791" s="2" t="s">
        <v>15117</v>
      </c>
      <c r="J7791" s="3" t="str">
        <f>HYPERLINK("https://www.boe.es/gazeta/dias/1821/12/16/pdfs/GMD-1821-359.pdf#page=5","Abrir facsímil")</f>
        <v>Abrir facsímil</v>
      </c>
      <c r="K7791" s="3" t="s">
        <v>23</v>
      </c>
    </row>
    <row r="7792" spans="1:11" ht="42" customHeight="1">
      <c r="A7792" s="2" t="s">
        <v>15118</v>
      </c>
      <c r="B7792" s="2" t="s">
        <v>15119</v>
      </c>
      <c r="C7792" s="2" t="s">
        <v>17</v>
      </c>
      <c r="D7792" s="2" t="s">
        <v>18</v>
      </c>
      <c r="E7792" s="5">
        <v>-28620</v>
      </c>
      <c r="F7792" s="3" t="s">
        <v>87</v>
      </c>
      <c r="G7792" s="3" t="s">
        <v>88</v>
      </c>
      <c r="H7792" s="2" t="s">
        <v>21</v>
      </c>
      <c r="I7792" s="2" t="s">
        <v>15120</v>
      </c>
      <c r="J7792" s="3" t="str">
        <f>HYPERLINK("https://www.boe.es/gazeta/dias/1821/08/21/pdfs/GMD-1821-238.pdf#page=4","Abrir facsímil")</f>
        <v>Abrir facsímil</v>
      </c>
      <c r="K7792" s="3" t="s">
        <v>23</v>
      </c>
    </row>
    <row r="7793" spans="1:11" ht="42" customHeight="1">
      <c r="A7793" s="2" t="s">
        <v>15121</v>
      </c>
      <c r="B7793" s="2" t="s">
        <v>15122</v>
      </c>
      <c r="C7793" s="2" t="s">
        <v>114</v>
      </c>
      <c r="D7793" s="2" t="s">
        <v>27</v>
      </c>
      <c r="E7793" s="5">
        <v>-28805</v>
      </c>
      <c r="F7793" s="3" t="s">
        <v>382</v>
      </c>
      <c r="G7793" s="3" t="s">
        <v>88</v>
      </c>
      <c r="H7793" s="2" t="s">
        <v>21</v>
      </c>
      <c r="I7793" s="2" t="s">
        <v>15123</v>
      </c>
      <c r="J7793" s="3" t="str">
        <f>HYPERLINK("https://www.boe.es/gazeta/dias/1821/02/17/pdfs/GGB-1821-48.pdf#page=4","Abrir facsímil")</f>
        <v>Abrir facsímil</v>
      </c>
      <c r="K7793" s="3" t="s">
        <v>23</v>
      </c>
    </row>
    <row r="7794" spans="1:11" ht="42" customHeight="1">
      <c r="A7794" s="2" t="s">
        <v>15124</v>
      </c>
      <c r="B7794" s="2" t="s">
        <v>15125</v>
      </c>
      <c r="C7794" s="2" t="s">
        <v>17</v>
      </c>
      <c r="D7794" s="2" t="s">
        <v>18</v>
      </c>
      <c r="E7794" s="5">
        <v>-28740</v>
      </c>
      <c r="F7794" s="3" t="s">
        <v>2800</v>
      </c>
      <c r="G7794" s="3" t="s">
        <v>88</v>
      </c>
      <c r="H7794" s="2" t="s">
        <v>21</v>
      </c>
      <c r="I7794" s="2" t="s">
        <v>15126</v>
      </c>
      <c r="J7794" s="3" t="str">
        <f>HYPERLINK("https://www.boe.es/gazeta/dias/1821/04/23/pdfs/GMD-1821-115.pdf#page=4","Abrir facsímil")</f>
        <v>Abrir facsímil</v>
      </c>
      <c r="K7794" s="3" t="s">
        <v>23</v>
      </c>
    </row>
    <row r="7795" spans="1:11" ht="42" customHeight="1">
      <c r="A7795" s="2" t="s">
        <v>15124</v>
      </c>
      <c r="B7795" s="2" t="s">
        <v>15125</v>
      </c>
      <c r="C7795" s="2" t="s">
        <v>17</v>
      </c>
      <c r="D7795" s="2" t="s">
        <v>18</v>
      </c>
      <c r="E7795" s="5">
        <v>-28521</v>
      </c>
      <c r="F7795" s="3" t="s">
        <v>499</v>
      </c>
      <c r="G7795" s="3" t="s">
        <v>20</v>
      </c>
      <c r="H7795" s="2" t="s">
        <v>21</v>
      </c>
      <c r="I7795" s="2" t="s">
        <v>15127</v>
      </c>
      <c r="J7795" s="3" t="str">
        <f>HYPERLINK("https://www.boe.es/gazeta/dias/1821/11/28/pdfs/GMD-1821-340.pdf#page=3","Abrir facsímil")</f>
        <v>Abrir facsímil</v>
      </c>
      <c r="K7795" s="3" t="s">
        <v>23</v>
      </c>
    </row>
    <row r="7796" spans="1:11" ht="42" customHeight="1">
      <c r="A7796" s="2" t="s">
        <v>15128</v>
      </c>
      <c r="B7796" s="2" t="s">
        <v>15128</v>
      </c>
      <c r="C7796" s="2" t="s">
        <v>35</v>
      </c>
      <c r="D7796" s="2" t="s">
        <v>27</v>
      </c>
      <c r="E7796" s="5">
        <v>-28561</v>
      </c>
      <c r="F7796" s="3" t="s">
        <v>240</v>
      </c>
      <c r="G7796" s="3" t="s">
        <v>29</v>
      </c>
      <c r="H7796" s="2" t="s">
        <v>21</v>
      </c>
      <c r="I7796" s="2" t="s">
        <v>15129</v>
      </c>
      <c r="J7796" s="3" t="str">
        <f>HYPERLINK("https://www.boe.es/gazeta/dias/1821/10/19/pdfs/GMD-1821-298.pdf#page=6","Abrir facsímil")</f>
        <v>Abrir facsímil</v>
      </c>
      <c r="K7796" s="3" t="s">
        <v>23</v>
      </c>
    </row>
    <row r="7797" spans="1:11" ht="42" customHeight="1">
      <c r="A7797" s="2" t="s">
        <v>15128</v>
      </c>
      <c r="B7797" s="2" t="s">
        <v>15128</v>
      </c>
      <c r="C7797" s="2" t="s">
        <v>114</v>
      </c>
      <c r="D7797" s="2" t="s">
        <v>27</v>
      </c>
      <c r="E7797" s="5">
        <v>-28551</v>
      </c>
      <c r="F7797" s="3" t="s">
        <v>542</v>
      </c>
      <c r="G7797" s="3" t="s">
        <v>543</v>
      </c>
      <c r="H7797" s="2" t="s">
        <v>21</v>
      </c>
      <c r="I7797" s="2" t="s">
        <v>15130</v>
      </c>
      <c r="J7797" s="3" t="str">
        <f>HYPERLINK("https://www.boe.es/gazeta/dias/1821/10/29/pdfs/GMD-1821-308.pdf#page=3","Abrir facsímil")</f>
        <v>Abrir facsímil</v>
      </c>
      <c r="K7797" s="3" t="s">
        <v>23</v>
      </c>
    </row>
    <row r="7798" spans="1:11" ht="42" customHeight="1">
      <c r="A7798" s="2" t="s">
        <v>15131</v>
      </c>
      <c r="B7798" s="2" t="s">
        <v>15131</v>
      </c>
      <c r="C7798" s="2" t="s">
        <v>26</v>
      </c>
      <c r="D7798" s="2" t="s">
        <v>27</v>
      </c>
      <c r="E7798" s="5">
        <v>-28499</v>
      </c>
      <c r="F7798" s="3" t="s">
        <v>954</v>
      </c>
      <c r="G7798" s="3" t="s">
        <v>43</v>
      </c>
      <c r="H7798" s="2" t="s">
        <v>21</v>
      </c>
      <c r="I7798" s="2" t="s">
        <v>15132</v>
      </c>
      <c r="J7798" s="3" t="str">
        <f>HYPERLINK("https://www.boe.es/gazeta/dias/1821/12/20/pdfs/GMD-1821-363.pdf#page=1","Abrir facsímil")</f>
        <v>Abrir facsímil</v>
      </c>
      <c r="K7798" s="3" t="s">
        <v>23</v>
      </c>
    </row>
    <row r="7799" spans="1:11" ht="42" customHeight="1">
      <c r="A7799" s="2" t="s">
        <v>15133</v>
      </c>
      <c r="B7799" s="2" t="s">
        <v>15134</v>
      </c>
      <c r="C7799" s="2" t="s">
        <v>40</v>
      </c>
      <c r="D7799" s="2" t="s">
        <v>41</v>
      </c>
      <c r="E7799" s="5">
        <v>-28518</v>
      </c>
      <c r="F7799" s="3" t="s">
        <v>410</v>
      </c>
      <c r="G7799" s="3" t="s">
        <v>52</v>
      </c>
      <c r="H7799" s="2" t="s">
        <v>21</v>
      </c>
      <c r="I7799" s="2" t="s">
        <v>15135</v>
      </c>
      <c r="J7799" s="3" t="str">
        <f>HYPERLINK("https://www.boe.es/gazeta/dias/1821/12/01/pdfs/GMD-1821-343.pdf#page=2","Abrir facsímil")</f>
        <v>Abrir facsímil</v>
      </c>
      <c r="K7799" s="3" t="s">
        <v>23</v>
      </c>
    </row>
    <row r="7800" spans="1:11" ht="42" customHeight="1">
      <c r="A7800" s="2" t="s">
        <v>15136</v>
      </c>
      <c r="B7800" s="2" t="s">
        <v>15136</v>
      </c>
      <c r="C7800" s="2" t="s">
        <v>26</v>
      </c>
      <c r="D7800" s="2" t="s">
        <v>27</v>
      </c>
      <c r="E7800" s="5">
        <v>-28543</v>
      </c>
      <c r="F7800" s="3" t="s">
        <v>136</v>
      </c>
      <c r="G7800" s="3" t="s">
        <v>162</v>
      </c>
      <c r="H7800" s="2" t="s">
        <v>21</v>
      </c>
      <c r="I7800" s="2" t="s">
        <v>15137</v>
      </c>
      <c r="J7800" s="3" t="str">
        <f>HYPERLINK("https://www.boe.es/gazeta/dias/1821/11/06/pdfs/GMD-1821-317.pdf#page=5","Abrir facsímil")</f>
        <v>Abrir facsímil</v>
      </c>
      <c r="K7800" s="3" t="s">
        <v>23</v>
      </c>
    </row>
    <row r="7801" spans="1:11" ht="42" customHeight="1">
      <c r="A7801" s="2" t="s">
        <v>15138</v>
      </c>
      <c r="B7801" s="2" t="s">
        <v>15138</v>
      </c>
      <c r="C7801" s="2" t="s">
        <v>114</v>
      </c>
      <c r="D7801" s="2" t="s">
        <v>27</v>
      </c>
      <c r="E7801" s="5">
        <v>-28535</v>
      </c>
      <c r="F7801" s="3" t="s">
        <v>96</v>
      </c>
      <c r="G7801" s="3" t="s">
        <v>88</v>
      </c>
      <c r="H7801" s="2" t="s">
        <v>21</v>
      </c>
      <c r="I7801" s="2" t="s">
        <v>15139</v>
      </c>
      <c r="J7801" s="3" t="str">
        <f>HYPERLINK("https://www.boe.es/gazeta/dias/1821/11/14/pdfs/GMD-1821-325.pdf#page=4","Abrir facsímil")</f>
        <v>Abrir facsímil</v>
      </c>
      <c r="K7801" s="3" t="s">
        <v>23</v>
      </c>
    </row>
    <row r="7802" spans="1:11" ht="42" customHeight="1">
      <c r="A7802" s="2" t="s">
        <v>15140</v>
      </c>
      <c r="B7802" s="2" t="s">
        <v>15140</v>
      </c>
      <c r="C7802" s="2" t="s">
        <v>40</v>
      </c>
      <c r="D7802" s="2" t="s">
        <v>41</v>
      </c>
      <c r="E7802" s="5">
        <v>-28783</v>
      </c>
      <c r="F7802" s="3" t="s">
        <v>198</v>
      </c>
      <c r="G7802" s="3" t="s">
        <v>88</v>
      </c>
      <c r="H7802" s="2" t="s">
        <v>21</v>
      </c>
      <c r="I7802" s="2" t="s">
        <v>15141</v>
      </c>
      <c r="J7802" s="3" t="str">
        <f>HYPERLINK("https://www.boe.es/gazeta/dias/1821/03/11/pdfs/GGB-1821-70.pdf#page=4","Abrir facsímil")</f>
        <v>Abrir facsímil</v>
      </c>
      <c r="K7802" s="3" t="s">
        <v>23</v>
      </c>
    </row>
    <row r="7803" spans="1:11" ht="42" customHeight="1">
      <c r="A7803" s="2" t="s">
        <v>15142</v>
      </c>
      <c r="B7803" s="2" t="s">
        <v>15142</v>
      </c>
      <c r="C7803" s="2" t="s">
        <v>26</v>
      </c>
      <c r="D7803" s="2" t="s">
        <v>27</v>
      </c>
      <c r="E7803" s="5">
        <v>-28548</v>
      </c>
      <c r="F7803" s="3" t="s">
        <v>782</v>
      </c>
      <c r="G7803" s="3" t="s">
        <v>162</v>
      </c>
      <c r="H7803" s="2" t="s">
        <v>21</v>
      </c>
      <c r="I7803" s="2" t="s">
        <v>15143</v>
      </c>
      <c r="J7803" s="3" t="str">
        <f>HYPERLINK("https://www.boe.es/gazeta/dias/1821/11/01/pdfs/GMD-1821-311.pdf#page=5","Abrir facsímil")</f>
        <v>Abrir facsímil</v>
      </c>
      <c r="K7803" s="3" t="s">
        <v>23</v>
      </c>
    </row>
    <row r="7804" spans="1:11" ht="42" customHeight="1">
      <c r="A7804" s="2" t="s">
        <v>15140</v>
      </c>
      <c r="B7804" s="2" t="s">
        <v>15140</v>
      </c>
      <c r="C7804" s="2" t="s">
        <v>26</v>
      </c>
      <c r="D7804" s="2" t="s">
        <v>27</v>
      </c>
      <c r="E7804" s="5">
        <v>-28545</v>
      </c>
      <c r="F7804" s="3" t="s">
        <v>284</v>
      </c>
      <c r="G7804" s="3" t="s">
        <v>88</v>
      </c>
      <c r="H7804" s="2" t="s">
        <v>21</v>
      </c>
      <c r="I7804" s="2" t="s">
        <v>15144</v>
      </c>
      <c r="J7804" s="3" t="str">
        <f>HYPERLINK("https://www.boe.es/gazeta/dias/1821/11/04/pdfs/GMD-1821-315.pdf#page=4","Abrir facsímil")</f>
        <v>Abrir facsímil</v>
      </c>
      <c r="K7804" s="3" t="s">
        <v>23</v>
      </c>
    </row>
    <row r="7805" spans="1:11" ht="42" customHeight="1">
      <c r="A7805" s="2" t="s">
        <v>15140</v>
      </c>
      <c r="B7805" s="2" t="s">
        <v>15140</v>
      </c>
      <c r="C7805" s="2" t="s">
        <v>35</v>
      </c>
      <c r="D7805" s="2" t="s">
        <v>27</v>
      </c>
      <c r="E7805" s="5">
        <v>-28543</v>
      </c>
      <c r="F7805" s="3" t="s">
        <v>136</v>
      </c>
      <c r="G7805" s="3" t="s">
        <v>88</v>
      </c>
      <c r="H7805" s="2" t="s">
        <v>21</v>
      </c>
      <c r="I7805" s="2" t="s">
        <v>15145</v>
      </c>
      <c r="J7805" s="3" t="str">
        <f>HYPERLINK("https://www.boe.es/gazeta/dias/1821/11/06/pdfs/GMD-1821-317.pdf#page=4","Abrir facsímil")</f>
        <v>Abrir facsímil</v>
      </c>
      <c r="K7805" s="3" t="s">
        <v>23</v>
      </c>
    </row>
    <row r="7806" spans="1:11" ht="42" customHeight="1">
      <c r="A7806" s="2" t="s">
        <v>15140</v>
      </c>
      <c r="B7806" s="2" t="s">
        <v>15140</v>
      </c>
      <c r="C7806" s="2" t="s">
        <v>26</v>
      </c>
      <c r="D7806" s="2" t="s">
        <v>27</v>
      </c>
      <c r="E7806" s="5">
        <v>-28542</v>
      </c>
      <c r="F7806" s="3" t="s">
        <v>221</v>
      </c>
      <c r="G7806" s="3" t="s">
        <v>162</v>
      </c>
      <c r="H7806" s="2" t="s">
        <v>21</v>
      </c>
      <c r="I7806" s="2" t="s">
        <v>15146</v>
      </c>
      <c r="J7806" s="3" t="str">
        <f>HYPERLINK("https://www.boe.es/gazeta/dias/1821/11/07/pdfs/GMD-1821-318.pdf#page=5","Abrir facsímil")</f>
        <v>Abrir facsímil</v>
      </c>
      <c r="K7806" s="3" t="s">
        <v>23</v>
      </c>
    </row>
    <row r="7807" spans="1:11" ht="42" customHeight="1">
      <c r="A7807" s="2" t="s">
        <v>15140</v>
      </c>
      <c r="B7807" s="2" t="s">
        <v>15140</v>
      </c>
      <c r="C7807" s="2" t="s">
        <v>40</v>
      </c>
      <c r="D7807" s="2" t="s">
        <v>41</v>
      </c>
      <c r="E7807" s="5">
        <v>-28542</v>
      </c>
      <c r="F7807" s="3" t="s">
        <v>221</v>
      </c>
      <c r="G7807" s="3" t="s">
        <v>29</v>
      </c>
      <c r="H7807" s="2" t="s">
        <v>21</v>
      </c>
      <c r="I7807" s="2" t="s">
        <v>15147</v>
      </c>
      <c r="J7807" s="3" t="str">
        <f>HYPERLINK("https://www.boe.es/gazeta/dias/1821/11/07/pdfs/GMD-1821-318.pdf#page=6","Abrir facsímil")</f>
        <v>Abrir facsímil</v>
      </c>
      <c r="K7807" s="3" t="s">
        <v>23</v>
      </c>
    </row>
    <row r="7808" spans="1:11" ht="42" customHeight="1">
      <c r="A7808" s="2" t="s">
        <v>15148</v>
      </c>
      <c r="B7808" s="2" t="s">
        <v>15148</v>
      </c>
      <c r="C7808" s="2" t="s">
        <v>35</v>
      </c>
      <c r="D7808" s="2" t="s">
        <v>27</v>
      </c>
      <c r="E7808" s="5">
        <v>-28538</v>
      </c>
      <c r="F7808" s="3" t="s">
        <v>395</v>
      </c>
      <c r="G7808" s="3" t="s">
        <v>162</v>
      </c>
      <c r="H7808" s="2" t="s">
        <v>21</v>
      </c>
      <c r="I7808" s="2" t="s">
        <v>15149</v>
      </c>
      <c r="J7808" s="3" t="str">
        <f>HYPERLINK("https://www.boe.es/gazeta/dias/1821/11/11/pdfs/GMD-1821-322.pdf#page=5","Abrir facsímil")</f>
        <v>Abrir facsímil</v>
      </c>
      <c r="K7808" s="3" t="s">
        <v>23</v>
      </c>
    </row>
    <row r="7809" spans="1:11" ht="42" customHeight="1">
      <c r="A7809" s="2" t="s">
        <v>15140</v>
      </c>
      <c r="B7809" s="2" t="s">
        <v>15140</v>
      </c>
      <c r="C7809" s="2" t="s">
        <v>35</v>
      </c>
      <c r="D7809" s="2" t="s">
        <v>27</v>
      </c>
      <c r="E7809" s="5">
        <v>-28534</v>
      </c>
      <c r="F7809" s="3" t="s">
        <v>414</v>
      </c>
      <c r="G7809" s="3" t="s">
        <v>88</v>
      </c>
      <c r="H7809" s="2" t="s">
        <v>21</v>
      </c>
      <c r="I7809" s="2" t="s">
        <v>15150</v>
      </c>
      <c r="J7809" s="3" t="str">
        <f>HYPERLINK("https://www.boe.es/gazeta/dias/1821/11/15/pdfs/GMD-1821-326.pdf#page=4","Abrir facsímil")</f>
        <v>Abrir facsímil</v>
      </c>
      <c r="K7809" s="3" t="s">
        <v>23</v>
      </c>
    </row>
    <row r="7810" spans="1:11" ht="42" customHeight="1">
      <c r="A7810" s="2" t="s">
        <v>15140</v>
      </c>
      <c r="B7810" s="2" t="s">
        <v>15140</v>
      </c>
      <c r="C7810" s="2" t="s">
        <v>40</v>
      </c>
      <c r="D7810" s="2" t="s">
        <v>41</v>
      </c>
      <c r="E7810" s="5">
        <v>-28534</v>
      </c>
      <c r="F7810" s="3" t="s">
        <v>414</v>
      </c>
      <c r="G7810" s="3" t="s">
        <v>162</v>
      </c>
      <c r="H7810" s="2" t="s">
        <v>21</v>
      </c>
      <c r="I7810" s="2" t="s">
        <v>15151</v>
      </c>
      <c r="J7810" s="3" t="str">
        <f>HYPERLINK("https://www.boe.es/gazeta/dias/1821/11/15/pdfs/GMD-1821-326.pdf#page=5","Abrir facsímil")</f>
        <v>Abrir facsímil</v>
      </c>
      <c r="K7810" s="3" t="s">
        <v>23</v>
      </c>
    </row>
    <row r="7811" spans="1:11" ht="42" customHeight="1">
      <c r="A7811" s="2" t="s">
        <v>15152</v>
      </c>
      <c r="B7811" s="2" t="s">
        <v>15152</v>
      </c>
      <c r="C7811" s="2" t="s">
        <v>40</v>
      </c>
      <c r="D7811" s="2" t="s">
        <v>41</v>
      </c>
      <c r="E7811" s="5">
        <v>-28600</v>
      </c>
      <c r="F7811" s="3" t="s">
        <v>99</v>
      </c>
      <c r="G7811" s="3" t="s">
        <v>88</v>
      </c>
      <c r="H7811" s="2" t="s">
        <v>21</v>
      </c>
      <c r="I7811" s="2" t="s">
        <v>15153</v>
      </c>
      <c r="J7811" s="3" t="str">
        <f>HYPERLINK("https://www.boe.es/gazeta/dias/1821/09/10/pdfs/GMD-1821-258.pdf#page=4","Abrir facsímil")</f>
        <v>Abrir facsímil</v>
      </c>
      <c r="K7811" s="3" t="s">
        <v>23</v>
      </c>
    </row>
    <row r="7812" spans="1:11" ht="42" customHeight="1">
      <c r="A7812" s="2" t="s">
        <v>15154</v>
      </c>
      <c r="B7812" s="2" t="s">
        <v>15155</v>
      </c>
      <c r="C7812" s="2" t="s">
        <v>17</v>
      </c>
      <c r="D7812" s="2" t="s">
        <v>18</v>
      </c>
      <c r="E7812" s="5">
        <v>-28595</v>
      </c>
      <c r="F7812" s="3" t="s">
        <v>1621</v>
      </c>
      <c r="G7812" s="3" t="s">
        <v>88</v>
      </c>
      <c r="H7812" s="2" t="s">
        <v>21</v>
      </c>
      <c r="I7812" s="2" t="s">
        <v>15156</v>
      </c>
      <c r="J7812" s="3" t="str">
        <f>HYPERLINK("https://www.boe.es/gazeta/dias/1821/09/15/pdfs/GMD-1821-263.pdf#page=4","Abrir facsímil")</f>
        <v>Abrir facsímil</v>
      </c>
      <c r="K7812" s="3" t="s">
        <v>23</v>
      </c>
    </row>
    <row r="7813" spans="1:11" ht="42" customHeight="1">
      <c r="A7813" s="2" t="s">
        <v>15157</v>
      </c>
      <c r="B7813" s="2" t="s">
        <v>15157</v>
      </c>
      <c r="C7813" s="2" t="s">
        <v>35</v>
      </c>
      <c r="D7813" s="2" t="s">
        <v>27</v>
      </c>
      <c r="E7813" s="5">
        <v>-28730</v>
      </c>
      <c r="F7813" s="3" t="s">
        <v>747</v>
      </c>
      <c r="G7813" s="3" t="s">
        <v>88</v>
      </c>
      <c r="H7813" s="2" t="s">
        <v>21</v>
      </c>
      <c r="I7813" s="2" t="s">
        <v>15158</v>
      </c>
      <c r="J7813" s="3" t="str">
        <f>HYPERLINK("https://www.boe.es/gazeta/dias/1821/05/03/pdfs/GMD-1821-125.pdf#page=4","Abrir facsímil")</f>
        <v>Abrir facsímil</v>
      </c>
      <c r="K7813" s="3" t="s">
        <v>23</v>
      </c>
    </row>
    <row r="7814" spans="1:11" ht="42" customHeight="1">
      <c r="A7814" s="2" t="s">
        <v>15159</v>
      </c>
      <c r="B7814" s="2" t="s">
        <v>15159</v>
      </c>
      <c r="C7814" s="2" t="s">
        <v>40</v>
      </c>
      <c r="D7814" s="2" t="s">
        <v>41</v>
      </c>
      <c r="E7814" s="5">
        <v>-28796</v>
      </c>
      <c r="F7814" s="3" t="s">
        <v>1421</v>
      </c>
      <c r="G7814" s="3" t="s">
        <v>43</v>
      </c>
      <c r="H7814" s="2" t="s">
        <v>21</v>
      </c>
      <c r="I7814" s="2" t="s">
        <v>15160</v>
      </c>
      <c r="J7814" s="3" t="str">
        <f>HYPERLINK("https://www.boe.es/gazeta/dias/1821/02/26/pdfs/GGB-1821-57.pdf#page=1","Abrir facsímil")</f>
        <v>Abrir facsímil</v>
      </c>
      <c r="K7814" s="3" t="s">
        <v>23</v>
      </c>
    </row>
    <row r="7815" spans="1:11" ht="42" customHeight="1">
      <c r="A7815" s="2" t="s">
        <v>15161</v>
      </c>
      <c r="B7815" s="2" t="s">
        <v>15162</v>
      </c>
      <c r="C7815" s="2" t="s">
        <v>40</v>
      </c>
      <c r="D7815" s="2" t="s">
        <v>41</v>
      </c>
      <c r="E7815" s="5">
        <v>-28696</v>
      </c>
      <c r="F7815" s="3" t="s">
        <v>497</v>
      </c>
      <c r="G7815" s="3" t="s">
        <v>88</v>
      </c>
      <c r="H7815" s="2" t="s">
        <v>21</v>
      </c>
      <c r="I7815" s="2" t="s">
        <v>15163</v>
      </c>
      <c r="J7815" s="3" t="str">
        <f>HYPERLINK("https://www.boe.es/gazeta/dias/1821/06/06/pdfs/GMD-1821-159.pdf#page=4","Abrir facsímil")</f>
        <v>Abrir facsímil</v>
      </c>
      <c r="K7815" s="3" t="s">
        <v>23</v>
      </c>
    </row>
    <row r="7816" spans="1:11" ht="42" customHeight="1">
      <c r="A7816" s="2" t="s">
        <v>15164</v>
      </c>
      <c r="B7816" s="2" t="s">
        <v>15165</v>
      </c>
      <c r="C7816" s="2" t="s">
        <v>114</v>
      </c>
      <c r="D7816" s="2" t="s">
        <v>27</v>
      </c>
      <c r="E7816" s="5">
        <v>-28644</v>
      </c>
      <c r="F7816" s="3" t="s">
        <v>1340</v>
      </c>
      <c r="G7816" s="3" t="s">
        <v>88</v>
      </c>
      <c r="H7816" s="2" t="s">
        <v>21</v>
      </c>
      <c r="I7816" s="2" t="s">
        <v>15166</v>
      </c>
      <c r="J7816" s="3" t="str">
        <f>HYPERLINK("https://www.boe.es/gazeta/dias/1821/07/28/pdfs/GMD-1821-213.pdf#page=4","Abrir facsímil")</f>
        <v>Abrir facsímil</v>
      </c>
      <c r="K7816" s="3" t="s">
        <v>23</v>
      </c>
    </row>
    <row r="7817" spans="1:11" ht="42" customHeight="1">
      <c r="A7817" s="2" t="s">
        <v>15167</v>
      </c>
      <c r="B7817" s="2" t="s">
        <v>15168</v>
      </c>
      <c r="C7817" s="2" t="s">
        <v>40</v>
      </c>
      <c r="D7817" s="2" t="s">
        <v>41</v>
      </c>
      <c r="E7817" s="5">
        <v>-28547</v>
      </c>
      <c r="F7817" s="3" t="s">
        <v>247</v>
      </c>
      <c r="G7817" s="3" t="s">
        <v>248</v>
      </c>
      <c r="H7817" s="2" t="s">
        <v>21</v>
      </c>
      <c r="I7817" s="2" t="s">
        <v>15169</v>
      </c>
      <c r="J7817" s="3" t="str">
        <f>HYPERLINK("https://www.boe.es/gazeta/dias/1821/11/02/pdfs/GMD-1821-312.pdf#page=2","Abrir facsímil")</f>
        <v>Abrir facsímil</v>
      </c>
      <c r="K7817" s="3" t="s">
        <v>23</v>
      </c>
    </row>
    <row r="7818" spans="1:11" ht="42" customHeight="1">
      <c r="A7818" s="2" t="s">
        <v>15170</v>
      </c>
      <c r="B7818" s="2" t="s">
        <v>15171</v>
      </c>
      <c r="C7818" s="2" t="s">
        <v>35</v>
      </c>
      <c r="D7818" s="2" t="s">
        <v>27</v>
      </c>
      <c r="E7818" s="5">
        <v>-28774</v>
      </c>
      <c r="F7818" s="3" t="s">
        <v>1221</v>
      </c>
      <c r="G7818" s="3" t="s">
        <v>52</v>
      </c>
      <c r="H7818" s="2" t="s">
        <v>21</v>
      </c>
      <c r="I7818" s="2" t="s">
        <v>15172</v>
      </c>
      <c r="J7818" s="3" t="str">
        <f>HYPERLINK("https://www.boe.es/gazeta/dias/1821/03/20/pdfs/GMD-1821-79.pdf#page=2","Abrir facsímil")</f>
        <v>Abrir facsímil</v>
      </c>
      <c r="K7818" s="3" t="s">
        <v>23</v>
      </c>
    </row>
    <row r="7819" spans="1:11" ht="42" customHeight="1">
      <c r="A7819" s="2" t="s">
        <v>15173</v>
      </c>
      <c r="B7819" s="2" t="s">
        <v>15174</v>
      </c>
      <c r="C7819" s="2" t="s">
        <v>114</v>
      </c>
      <c r="D7819" s="2" t="s">
        <v>27</v>
      </c>
      <c r="E7819" s="5">
        <v>-28650</v>
      </c>
      <c r="F7819" s="3" t="s">
        <v>3285</v>
      </c>
      <c r="G7819" s="3" t="s">
        <v>52</v>
      </c>
      <c r="H7819" s="2" t="s">
        <v>21</v>
      </c>
      <c r="I7819" s="2" t="s">
        <v>15175</v>
      </c>
      <c r="J7819" s="3" t="str">
        <f>HYPERLINK("https://www.boe.es/gazeta/dias/1821/07/22/pdfs/GMD-1821-207.pdf#page=2","Abrir facsímil")</f>
        <v>Abrir facsímil</v>
      </c>
      <c r="K7819" s="3" t="s">
        <v>23</v>
      </c>
    </row>
    <row r="7820" spans="1:11" ht="42" customHeight="1">
      <c r="A7820" s="2" t="s">
        <v>15176</v>
      </c>
      <c r="B7820" s="2" t="s">
        <v>15177</v>
      </c>
      <c r="C7820" s="2" t="s">
        <v>40</v>
      </c>
      <c r="D7820" s="2" t="s">
        <v>41</v>
      </c>
      <c r="E7820" s="5">
        <v>-28696</v>
      </c>
      <c r="F7820" s="3" t="s">
        <v>497</v>
      </c>
      <c r="G7820" s="3" t="s">
        <v>88</v>
      </c>
      <c r="H7820" s="2" t="s">
        <v>21</v>
      </c>
      <c r="I7820" s="2" t="s">
        <v>15178</v>
      </c>
      <c r="J7820" s="3" t="str">
        <f>HYPERLINK("https://www.boe.es/gazeta/dias/1821/06/06/pdfs/GMD-1821-159.pdf#page=4","Abrir facsímil")</f>
        <v>Abrir facsímil</v>
      </c>
      <c r="K7820" s="3" t="s">
        <v>23</v>
      </c>
    </row>
    <row r="7821" spans="1:11" ht="42" customHeight="1">
      <c r="A7821" s="2" t="s">
        <v>15179</v>
      </c>
      <c r="B7821" s="2" t="s">
        <v>15180</v>
      </c>
      <c r="C7821" s="2" t="s">
        <v>114</v>
      </c>
      <c r="D7821" s="2" t="s">
        <v>27</v>
      </c>
      <c r="E7821" s="5">
        <v>-28595</v>
      </c>
      <c r="F7821" s="3" t="s">
        <v>1621</v>
      </c>
      <c r="G7821" s="3" t="s">
        <v>88</v>
      </c>
      <c r="H7821" s="2" t="s">
        <v>21</v>
      </c>
      <c r="I7821" s="2" t="s">
        <v>15181</v>
      </c>
      <c r="J7821" s="3" t="str">
        <f>HYPERLINK("https://www.boe.es/gazeta/dias/1821/09/15/pdfs/GMD-1821-263.pdf#page=4","Abrir facsímil")</f>
        <v>Abrir facsímil</v>
      </c>
      <c r="K7821" s="3" t="s">
        <v>23</v>
      </c>
    </row>
    <row r="7822" spans="1:11" ht="42" customHeight="1">
      <c r="A7822" s="2" t="s">
        <v>15182</v>
      </c>
      <c r="B7822" s="2" t="s">
        <v>15183</v>
      </c>
      <c r="C7822" s="2" t="s">
        <v>35</v>
      </c>
      <c r="D7822" s="2" t="s">
        <v>27</v>
      </c>
      <c r="E7822" s="5">
        <v>-28595</v>
      </c>
      <c r="F7822" s="3" t="s">
        <v>1621</v>
      </c>
      <c r="G7822" s="3" t="s">
        <v>88</v>
      </c>
      <c r="H7822" s="2" t="s">
        <v>21</v>
      </c>
      <c r="I7822" s="2" t="s">
        <v>15184</v>
      </c>
      <c r="J7822" s="3" t="str">
        <f>HYPERLINK("https://www.boe.es/gazeta/dias/1821/09/15/pdfs/GMD-1821-263.pdf#page=4","Abrir facsímil")</f>
        <v>Abrir facsímil</v>
      </c>
      <c r="K7822" s="3" t="s">
        <v>23</v>
      </c>
    </row>
    <row r="7823" spans="1:11" ht="42" customHeight="1">
      <c r="A7823" s="2" t="s">
        <v>15185</v>
      </c>
      <c r="B7823" s="2" t="s">
        <v>15186</v>
      </c>
      <c r="C7823" s="2" t="s">
        <v>17</v>
      </c>
      <c r="D7823" s="2" t="s">
        <v>18</v>
      </c>
      <c r="E7823" s="5">
        <v>-28788</v>
      </c>
      <c r="F7823" s="3" t="s">
        <v>996</v>
      </c>
      <c r="G7823" s="3" t="s">
        <v>88</v>
      </c>
      <c r="H7823" s="2" t="s">
        <v>30</v>
      </c>
      <c r="I7823" s="2" t="s">
        <v>15187</v>
      </c>
      <c r="J7823" s="3" t="str">
        <f>HYPERLINK("https://www.boe.es/gazeta/dias/1821/03/06/pdfs/GGB-1821-65.pdf#page=4","Abrir facsímil")</f>
        <v>Abrir facsímil</v>
      </c>
      <c r="K7823" s="3" t="s">
        <v>32</v>
      </c>
    </row>
    <row r="7824" spans="1:11" ht="42" customHeight="1">
      <c r="A7824" s="2" t="s">
        <v>15185</v>
      </c>
      <c r="B7824" s="2" t="s">
        <v>15186</v>
      </c>
      <c r="C7824" s="2" t="s">
        <v>40</v>
      </c>
      <c r="D7824" s="2" t="s">
        <v>41</v>
      </c>
      <c r="E7824" s="5">
        <v>-28680</v>
      </c>
      <c r="F7824" s="3" t="s">
        <v>531</v>
      </c>
      <c r="G7824" s="3" t="s">
        <v>88</v>
      </c>
      <c r="H7824" s="2" t="s">
        <v>30</v>
      </c>
      <c r="I7824" s="2" t="s">
        <v>15188</v>
      </c>
      <c r="J7824" s="3" t="str">
        <f>HYPERLINK("https://www.boe.es/gazeta/dias/1821/06/22/pdfs/GMD-1821-175.pdf#page=4","Abrir facsímil")</f>
        <v>Abrir facsímil</v>
      </c>
      <c r="K7824" s="3" t="s">
        <v>32</v>
      </c>
    </row>
    <row r="7825" spans="1:11" ht="42" customHeight="1">
      <c r="A7825" s="2" t="s">
        <v>15185</v>
      </c>
      <c r="B7825" s="2" t="s">
        <v>15186</v>
      </c>
      <c r="C7825" s="2" t="s">
        <v>494</v>
      </c>
      <c r="D7825" s="2" t="s">
        <v>18</v>
      </c>
      <c r="E7825" s="5">
        <v>-28595</v>
      </c>
      <c r="F7825" s="3" t="s">
        <v>1621</v>
      </c>
      <c r="G7825" s="3" t="s">
        <v>88</v>
      </c>
      <c r="H7825" s="2" t="s">
        <v>30</v>
      </c>
      <c r="I7825" s="2" t="s">
        <v>15189</v>
      </c>
      <c r="J7825" s="3" t="str">
        <f>HYPERLINK("https://www.boe.es/gazeta/dias/1821/09/15/pdfs/GMD-1821-263.pdf#page=4","Abrir facsímil")</f>
        <v>Abrir facsímil</v>
      </c>
      <c r="K7825" s="3" t="s">
        <v>32</v>
      </c>
    </row>
    <row r="7826" spans="1:11" ht="42" customHeight="1">
      <c r="A7826" s="2" t="s">
        <v>15190</v>
      </c>
      <c r="B7826" s="2" t="s">
        <v>15191</v>
      </c>
      <c r="C7826" s="2" t="s">
        <v>26</v>
      </c>
      <c r="D7826" s="2" t="s">
        <v>27</v>
      </c>
      <c r="E7826" s="5">
        <v>-28770</v>
      </c>
      <c r="F7826" s="3" t="s">
        <v>1009</v>
      </c>
      <c r="G7826" s="3" t="s">
        <v>29</v>
      </c>
      <c r="H7826" s="2" t="s">
        <v>30</v>
      </c>
      <c r="I7826" s="2" t="s">
        <v>15192</v>
      </c>
      <c r="J7826" s="3" t="str">
        <f>HYPERLINK("https://www.boe.es/gazeta/dias/1821/03/24/pdfs/GMD-1821-84.pdf#page=6","Abrir facsímil")</f>
        <v>Abrir facsímil</v>
      </c>
      <c r="K7826" s="3" t="s">
        <v>32</v>
      </c>
    </row>
    <row r="7827" spans="1:11" ht="42" customHeight="1">
      <c r="A7827" s="2" t="s">
        <v>15193</v>
      </c>
      <c r="B7827" s="2" t="s">
        <v>15193</v>
      </c>
      <c r="C7827" s="2" t="s">
        <v>17</v>
      </c>
      <c r="D7827" s="2" t="s">
        <v>18</v>
      </c>
      <c r="E7827" s="5">
        <v>-28524</v>
      </c>
      <c r="F7827" s="3" t="s">
        <v>874</v>
      </c>
      <c r="G7827" s="3" t="s">
        <v>875</v>
      </c>
      <c r="H7827" s="2" t="s">
        <v>21</v>
      </c>
      <c r="I7827" s="2" t="s">
        <v>15194</v>
      </c>
      <c r="J7827" s="3" t="str">
        <f>HYPERLINK("https://www.boe.es/gazeta/dias/1821/11/25/pdfs/GMD-1821-336.pdf#page=3","Abrir facsímil")</f>
        <v>Abrir facsímil</v>
      </c>
      <c r="K7827" s="3" t="s">
        <v>23</v>
      </c>
    </row>
    <row r="7828" spans="1:11" ht="42" customHeight="1">
      <c r="A7828" s="2" t="s">
        <v>15195</v>
      </c>
      <c r="B7828" s="2" t="s">
        <v>15196</v>
      </c>
      <c r="C7828" s="2" t="s">
        <v>26</v>
      </c>
      <c r="D7828" s="2" t="s">
        <v>27</v>
      </c>
      <c r="E7828" s="5">
        <v>-28776</v>
      </c>
      <c r="F7828" s="3" t="s">
        <v>312</v>
      </c>
      <c r="G7828" s="3" t="s">
        <v>29</v>
      </c>
      <c r="H7828" s="2" t="s">
        <v>21</v>
      </c>
      <c r="I7828" s="2" t="s">
        <v>15197</v>
      </c>
      <c r="J7828" s="3" t="str">
        <f>HYPERLINK("https://www.boe.es/gazeta/dias/1821/03/18/pdfs/GMD-1821-77.pdf#page=6","Abrir facsímil")</f>
        <v>Abrir facsímil</v>
      </c>
      <c r="K7828" s="3" t="s">
        <v>23</v>
      </c>
    </row>
    <row r="7829" spans="1:11" ht="42" customHeight="1">
      <c r="A7829" s="2" t="s">
        <v>15198</v>
      </c>
      <c r="B7829" s="2" t="s">
        <v>15199</v>
      </c>
      <c r="C7829" s="2" t="s">
        <v>40</v>
      </c>
      <c r="D7829" s="2" t="s">
        <v>41</v>
      </c>
      <c r="E7829" s="5">
        <v>-28507</v>
      </c>
      <c r="F7829" s="3" t="s">
        <v>1158</v>
      </c>
      <c r="G7829" s="3" t="s">
        <v>20</v>
      </c>
      <c r="H7829" s="2" t="s">
        <v>21</v>
      </c>
      <c r="I7829" s="2" t="s">
        <v>15200</v>
      </c>
      <c r="J7829" s="3" t="str">
        <f>HYPERLINK("https://www.boe.es/gazeta/dias/1821/12/12/pdfs/GMD-1821-354.pdf#page=3","Abrir facsímil")</f>
        <v>Abrir facsímil</v>
      </c>
      <c r="K7829" s="3" t="s">
        <v>23</v>
      </c>
    </row>
    <row r="7830" spans="1:11" ht="42" customHeight="1">
      <c r="A7830" s="2" t="s">
        <v>15201</v>
      </c>
      <c r="B7830" s="2" t="s">
        <v>15201</v>
      </c>
      <c r="C7830" s="2" t="s">
        <v>35</v>
      </c>
      <c r="D7830" s="2" t="s">
        <v>27</v>
      </c>
      <c r="E7830" s="5">
        <v>-28729</v>
      </c>
      <c r="F7830" s="3" t="s">
        <v>838</v>
      </c>
      <c r="G7830" s="3" t="s">
        <v>20</v>
      </c>
      <c r="H7830" s="2" t="s">
        <v>21</v>
      </c>
      <c r="I7830" s="2" t="s">
        <v>15202</v>
      </c>
      <c r="J7830" s="3" t="str">
        <f>HYPERLINK("https://www.boe.es/gazeta/dias/1821/05/04/pdfs/GMD-1821-126.pdf#page=3","Abrir facsímil")</f>
        <v>Abrir facsímil</v>
      </c>
      <c r="K7830" s="3" t="s">
        <v>23</v>
      </c>
    </row>
    <row r="7831" spans="1:11" ht="42" customHeight="1">
      <c r="A7831" s="2" t="s">
        <v>15201</v>
      </c>
      <c r="B7831" s="2" t="s">
        <v>15201</v>
      </c>
      <c r="C7831" s="2" t="s">
        <v>35</v>
      </c>
      <c r="D7831" s="2" t="s">
        <v>27</v>
      </c>
      <c r="E7831" s="5">
        <v>-28556</v>
      </c>
      <c r="F7831" s="3" t="s">
        <v>264</v>
      </c>
      <c r="G7831" s="3" t="s">
        <v>88</v>
      </c>
      <c r="H7831" s="2" t="s">
        <v>21</v>
      </c>
      <c r="I7831" s="2" t="s">
        <v>15203</v>
      </c>
      <c r="J7831" s="3" t="str">
        <f>HYPERLINK("https://www.boe.es/gazeta/dias/1821/10/24/pdfs/GMD-1821-303.pdf#page=4","Abrir facsímil")</f>
        <v>Abrir facsímil</v>
      </c>
      <c r="K7831" s="3" t="s">
        <v>23</v>
      </c>
    </row>
    <row r="7832" spans="1:11" ht="42" customHeight="1">
      <c r="A7832" s="2" t="s">
        <v>15201</v>
      </c>
      <c r="B7832" s="2" t="s">
        <v>15201</v>
      </c>
      <c r="C7832" s="2" t="s">
        <v>35</v>
      </c>
      <c r="D7832" s="2" t="s">
        <v>27</v>
      </c>
      <c r="E7832" s="5">
        <v>-28530</v>
      </c>
      <c r="F7832" s="3" t="s">
        <v>237</v>
      </c>
      <c r="G7832" s="3" t="s">
        <v>20</v>
      </c>
      <c r="H7832" s="2" t="s">
        <v>21</v>
      </c>
      <c r="I7832" s="2" t="s">
        <v>15204</v>
      </c>
      <c r="J7832" s="3" t="str">
        <f>HYPERLINK("https://www.boe.es/gazeta/dias/1821/11/19/pdfs/GMD-1821-330.pdf#page=3","Abrir facsímil")</f>
        <v>Abrir facsímil</v>
      </c>
      <c r="K7832" s="3" t="s">
        <v>23</v>
      </c>
    </row>
    <row r="7833" spans="1:11" ht="42" customHeight="1">
      <c r="A7833" s="2" t="s">
        <v>15201</v>
      </c>
      <c r="B7833" s="2" t="s">
        <v>15201</v>
      </c>
      <c r="C7833" s="2" t="s">
        <v>70</v>
      </c>
      <c r="D7833" s="2" t="s">
        <v>27</v>
      </c>
      <c r="E7833" s="5">
        <v>-28492</v>
      </c>
      <c r="F7833" s="3" t="s">
        <v>1550</v>
      </c>
      <c r="G7833" s="3" t="s">
        <v>20</v>
      </c>
      <c r="H7833" s="2" t="s">
        <v>21</v>
      </c>
      <c r="I7833" s="2" t="s">
        <v>15205</v>
      </c>
      <c r="J7833" s="3" t="str">
        <f>HYPERLINK("https://www.boe.es/gazeta/dias/1821/12/27/pdfs/GMD-1821-370.pdf#page=3","Abrir facsímil")</f>
        <v>Abrir facsímil</v>
      </c>
      <c r="K7833" s="3" t="s">
        <v>23</v>
      </c>
    </row>
    <row r="7834" spans="1:11" ht="42" customHeight="1">
      <c r="A7834" s="2" t="s">
        <v>15206</v>
      </c>
      <c r="B7834" s="2" t="s">
        <v>15207</v>
      </c>
      <c r="C7834" s="2" t="s">
        <v>35</v>
      </c>
      <c r="D7834" s="2" t="s">
        <v>27</v>
      </c>
      <c r="E7834" s="5">
        <v>-28541</v>
      </c>
      <c r="F7834" s="3" t="s">
        <v>275</v>
      </c>
      <c r="G7834" s="3" t="s">
        <v>52</v>
      </c>
      <c r="H7834" s="2" t="s">
        <v>21</v>
      </c>
      <c r="I7834" s="2" t="s">
        <v>15208</v>
      </c>
      <c r="J7834" s="3" t="str">
        <f>HYPERLINK("https://www.boe.es/gazeta/dias/1821/11/08/pdfs/GMD-1821-319.pdf#page=2","Abrir facsímil")</f>
        <v>Abrir facsímil</v>
      </c>
      <c r="K7834" s="3" t="s">
        <v>23</v>
      </c>
    </row>
    <row r="7835" spans="1:11" ht="42" customHeight="1">
      <c r="A7835" s="2" t="s">
        <v>15209</v>
      </c>
      <c r="B7835" s="2" t="s">
        <v>15210</v>
      </c>
      <c r="C7835" s="2" t="s">
        <v>40</v>
      </c>
      <c r="D7835" s="2" t="s">
        <v>41</v>
      </c>
      <c r="E7835" s="5">
        <v>-28827</v>
      </c>
      <c r="F7835" s="3" t="s">
        <v>1382</v>
      </c>
      <c r="G7835" s="3" t="s">
        <v>20</v>
      </c>
      <c r="H7835" s="2" t="s">
        <v>21</v>
      </c>
      <c r="I7835" s="2" t="s">
        <v>15211</v>
      </c>
      <c r="J7835" s="3" t="str">
        <f>HYPERLINK("https://www.boe.es/gazeta/dias/1821/01/26/pdfs/GGB-1821-26.pdf#page=3","Abrir facsímil")</f>
        <v>Abrir facsímil</v>
      </c>
      <c r="K7835" s="3" t="s">
        <v>23</v>
      </c>
    </row>
    <row r="7836" spans="1:11" ht="42" customHeight="1">
      <c r="A7836" s="2" t="s">
        <v>15212</v>
      </c>
      <c r="B7836" s="2" t="s">
        <v>15212</v>
      </c>
      <c r="C7836" s="2" t="s">
        <v>40</v>
      </c>
      <c r="D7836" s="2" t="s">
        <v>41</v>
      </c>
      <c r="E7836" s="5">
        <v>-28767</v>
      </c>
      <c r="F7836" s="3" t="s">
        <v>1439</v>
      </c>
      <c r="G7836" s="3" t="s">
        <v>1440</v>
      </c>
      <c r="H7836" s="2" t="s">
        <v>21</v>
      </c>
      <c r="I7836" s="2" t="s">
        <v>15213</v>
      </c>
      <c r="J7836" s="3" t="str">
        <f>HYPERLINK("https://www.boe.es/gazeta/dias/1821/03/27/pdfs/GMD-1821-87.pdf#page=3","Abrir facsímil")</f>
        <v>Abrir facsímil</v>
      </c>
      <c r="K7836" s="3" t="s">
        <v>23</v>
      </c>
    </row>
    <row r="7837" spans="1:11" ht="42" customHeight="1">
      <c r="A7837" s="2" t="s">
        <v>15212</v>
      </c>
      <c r="B7837" s="2" t="s">
        <v>15212</v>
      </c>
      <c r="C7837" s="2" t="s">
        <v>40</v>
      </c>
      <c r="D7837" s="2" t="s">
        <v>41</v>
      </c>
      <c r="E7837" s="5">
        <v>-28529</v>
      </c>
      <c r="F7837" s="3" t="s">
        <v>525</v>
      </c>
      <c r="G7837" s="3" t="s">
        <v>20</v>
      </c>
      <c r="H7837" s="2" t="s">
        <v>21</v>
      </c>
      <c r="I7837" s="2" t="s">
        <v>15214</v>
      </c>
      <c r="J7837" s="3" t="str">
        <f>HYPERLINK("https://www.boe.es/gazeta/dias/1821/11/20/pdfs/GMD-1821-331.pdf#page=3","Abrir facsímil")</f>
        <v>Abrir facsímil</v>
      </c>
      <c r="K7837" s="3" t="s">
        <v>23</v>
      </c>
    </row>
    <row r="7838" spans="1:11" ht="42" customHeight="1">
      <c r="A7838" s="2" t="s">
        <v>15215</v>
      </c>
      <c r="B7838" s="2" t="s">
        <v>15215</v>
      </c>
      <c r="C7838" s="2" t="s">
        <v>17</v>
      </c>
      <c r="D7838" s="2" t="s">
        <v>18</v>
      </c>
      <c r="E7838" s="5">
        <v>-28784</v>
      </c>
      <c r="F7838" s="3" t="s">
        <v>451</v>
      </c>
      <c r="G7838" s="3" t="s">
        <v>88</v>
      </c>
      <c r="H7838" s="2" t="s">
        <v>21</v>
      </c>
      <c r="I7838" s="2" t="s">
        <v>15216</v>
      </c>
      <c r="J7838" s="3" t="str">
        <f>HYPERLINK("https://www.boe.es/gazeta/dias/1821/03/10/pdfs/GGB-1821-69.pdf#page=4","Abrir facsímil")</f>
        <v>Abrir facsímil</v>
      </c>
      <c r="K7838" s="3" t="s">
        <v>23</v>
      </c>
    </row>
    <row r="7839" spans="1:11" ht="42" customHeight="1">
      <c r="A7839" s="2" t="s">
        <v>15215</v>
      </c>
      <c r="B7839" s="2" t="s">
        <v>15215</v>
      </c>
      <c r="C7839" s="2" t="s">
        <v>35</v>
      </c>
      <c r="D7839" s="2" t="s">
        <v>27</v>
      </c>
      <c r="E7839" s="5">
        <v>-28770</v>
      </c>
      <c r="F7839" s="3" t="s">
        <v>1009</v>
      </c>
      <c r="G7839" s="3" t="s">
        <v>88</v>
      </c>
      <c r="H7839" s="2" t="s">
        <v>21</v>
      </c>
      <c r="I7839" s="2" t="s">
        <v>15217</v>
      </c>
      <c r="J7839" s="3" t="str">
        <f>HYPERLINK("https://www.boe.es/gazeta/dias/1821/03/24/pdfs/GMD-1821-84.pdf#page=4","Abrir facsímil")</f>
        <v>Abrir facsímil</v>
      </c>
      <c r="K7839" s="3" t="s">
        <v>23</v>
      </c>
    </row>
    <row r="7840" spans="1:11" ht="42" customHeight="1">
      <c r="A7840" s="2" t="s">
        <v>15215</v>
      </c>
      <c r="B7840" s="2" t="s">
        <v>15215</v>
      </c>
      <c r="C7840" s="2" t="s">
        <v>17</v>
      </c>
      <c r="D7840" s="2" t="s">
        <v>18</v>
      </c>
      <c r="E7840" s="5">
        <v>-28769</v>
      </c>
      <c r="F7840" s="3" t="s">
        <v>489</v>
      </c>
      <c r="G7840" s="3" t="s">
        <v>490</v>
      </c>
      <c r="H7840" s="2" t="s">
        <v>21</v>
      </c>
      <c r="I7840" s="2" t="s">
        <v>15218</v>
      </c>
      <c r="J7840" s="3" t="str">
        <f>HYPERLINK("https://www.boe.es/gazeta/dias/1821/03/25/pdfs/GMD-1821-85.pdf#page=3","Abrir facsímil")</f>
        <v>Abrir facsímil</v>
      </c>
      <c r="K7840" s="3" t="s">
        <v>23</v>
      </c>
    </row>
    <row r="7841" spans="1:11" ht="42" customHeight="1">
      <c r="A7841" s="2" t="s">
        <v>15219</v>
      </c>
      <c r="B7841" s="2" t="s">
        <v>15219</v>
      </c>
      <c r="C7841" s="2" t="s">
        <v>35</v>
      </c>
      <c r="D7841" s="2" t="s">
        <v>27</v>
      </c>
      <c r="E7841" s="5">
        <v>-28767</v>
      </c>
      <c r="F7841" s="3" t="s">
        <v>1439</v>
      </c>
      <c r="G7841" s="3" t="s">
        <v>1440</v>
      </c>
      <c r="H7841" s="2" t="s">
        <v>21</v>
      </c>
      <c r="I7841" s="2" t="s">
        <v>15220</v>
      </c>
      <c r="J7841" s="3" t="str">
        <f>HYPERLINK("https://www.boe.es/gazeta/dias/1821/03/27/pdfs/GMD-1821-87.pdf#page=3","Abrir facsímil")</f>
        <v>Abrir facsímil</v>
      </c>
      <c r="K7841" s="3" t="s">
        <v>23</v>
      </c>
    </row>
    <row r="7842" spans="1:11" ht="42" customHeight="1">
      <c r="A7842" s="2" t="s">
        <v>15215</v>
      </c>
      <c r="B7842" s="2" t="s">
        <v>15215</v>
      </c>
      <c r="C7842" s="2" t="s">
        <v>17</v>
      </c>
      <c r="D7842" s="2" t="s">
        <v>18</v>
      </c>
      <c r="E7842" s="5">
        <v>-28757</v>
      </c>
      <c r="F7842" s="3" t="s">
        <v>472</v>
      </c>
      <c r="G7842" s="3" t="s">
        <v>20</v>
      </c>
      <c r="H7842" s="2" t="s">
        <v>21</v>
      </c>
      <c r="I7842" s="2" t="s">
        <v>15221</v>
      </c>
      <c r="J7842" s="3" t="str">
        <f>HYPERLINK("https://www.boe.es/gazeta/dias/1821/04/06/pdfs/GMD-1821-98.pdf#page=3","Abrir facsímil")</f>
        <v>Abrir facsímil</v>
      </c>
      <c r="K7842" s="3" t="s">
        <v>23</v>
      </c>
    </row>
    <row r="7843" spans="1:11" ht="42" customHeight="1">
      <c r="A7843" s="2" t="s">
        <v>15215</v>
      </c>
      <c r="B7843" s="2" t="s">
        <v>15215</v>
      </c>
      <c r="C7843" s="2" t="s">
        <v>174</v>
      </c>
      <c r="D7843" s="2" t="s">
        <v>27</v>
      </c>
      <c r="E7843" s="5">
        <v>-28737</v>
      </c>
      <c r="F7843" s="3" t="s">
        <v>732</v>
      </c>
      <c r="G7843" s="3" t="s">
        <v>20</v>
      </c>
      <c r="H7843" s="2" t="s">
        <v>21</v>
      </c>
      <c r="I7843" s="2" t="s">
        <v>15222</v>
      </c>
      <c r="J7843" s="3" t="str">
        <f>HYPERLINK("https://www.boe.es/gazeta/dias/1821/04/26/pdfs/GMD-1821-118.pdf#page=3","Abrir facsímil")</f>
        <v>Abrir facsímil</v>
      </c>
      <c r="K7843" s="3" t="s">
        <v>23</v>
      </c>
    </row>
    <row r="7844" spans="1:11" ht="42" customHeight="1">
      <c r="A7844" s="2" t="s">
        <v>15215</v>
      </c>
      <c r="B7844" s="2" t="s">
        <v>15215</v>
      </c>
      <c r="C7844" s="2" t="s">
        <v>17</v>
      </c>
      <c r="D7844" s="2" t="s">
        <v>18</v>
      </c>
      <c r="E7844" s="5">
        <v>-28733</v>
      </c>
      <c r="F7844" s="3" t="s">
        <v>1033</v>
      </c>
      <c r="G7844" s="3" t="s">
        <v>52</v>
      </c>
      <c r="H7844" s="2" t="s">
        <v>21</v>
      </c>
      <c r="I7844" s="2" t="s">
        <v>15223</v>
      </c>
      <c r="J7844" s="3" t="str">
        <f>HYPERLINK("https://www.boe.es/gazeta/dias/1821/04/30/pdfs/GMD-1821-122.pdf#page=2","Abrir facsímil")</f>
        <v>Abrir facsímil</v>
      </c>
      <c r="K7844" s="3" t="s">
        <v>23</v>
      </c>
    </row>
    <row r="7845" spans="1:11" ht="42" customHeight="1">
      <c r="A7845" s="2" t="s">
        <v>15215</v>
      </c>
      <c r="B7845" s="2" t="s">
        <v>15215</v>
      </c>
      <c r="C7845" s="2" t="s">
        <v>40</v>
      </c>
      <c r="D7845" s="2" t="s">
        <v>41</v>
      </c>
      <c r="E7845" s="5">
        <v>-28730</v>
      </c>
      <c r="F7845" s="3" t="s">
        <v>747</v>
      </c>
      <c r="G7845" s="3" t="s">
        <v>20</v>
      </c>
      <c r="H7845" s="2" t="s">
        <v>21</v>
      </c>
      <c r="I7845" s="2" t="s">
        <v>15224</v>
      </c>
      <c r="J7845" s="3" t="str">
        <f>HYPERLINK("https://www.boe.es/gazeta/dias/1821/05/03/pdfs/GMD-1821-125.pdf#page=3","Abrir facsímil")</f>
        <v>Abrir facsímil</v>
      </c>
      <c r="K7845" s="3" t="s">
        <v>23</v>
      </c>
    </row>
    <row r="7846" spans="1:11" ht="42" customHeight="1">
      <c r="A7846" s="2" t="s">
        <v>15215</v>
      </c>
      <c r="B7846" s="2" t="s">
        <v>15215</v>
      </c>
      <c r="C7846" s="2" t="s">
        <v>17</v>
      </c>
      <c r="D7846" s="2" t="s">
        <v>18</v>
      </c>
      <c r="E7846" s="5">
        <v>-28729</v>
      </c>
      <c r="F7846" s="3" t="s">
        <v>838</v>
      </c>
      <c r="G7846" s="3" t="s">
        <v>20</v>
      </c>
      <c r="H7846" s="2" t="s">
        <v>21</v>
      </c>
      <c r="I7846" s="2" t="s">
        <v>15225</v>
      </c>
      <c r="J7846" s="3" t="str">
        <f>HYPERLINK("https://www.boe.es/gazeta/dias/1821/05/04/pdfs/GMD-1821-126.pdf#page=3","Abrir facsímil")</f>
        <v>Abrir facsímil</v>
      </c>
      <c r="K7846" s="3" t="s">
        <v>23</v>
      </c>
    </row>
    <row r="7847" spans="1:11" ht="42" customHeight="1">
      <c r="A7847" s="2" t="s">
        <v>15215</v>
      </c>
      <c r="B7847" s="2" t="s">
        <v>15215</v>
      </c>
      <c r="C7847" s="2" t="s">
        <v>40</v>
      </c>
      <c r="D7847" s="2" t="s">
        <v>41</v>
      </c>
      <c r="E7847" s="5">
        <v>-28712</v>
      </c>
      <c r="F7847" s="3" t="s">
        <v>695</v>
      </c>
      <c r="G7847" s="3" t="s">
        <v>20</v>
      </c>
      <c r="H7847" s="2" t="s">
        <v>21</v>
      </c>
      <c r="I7847" s="2" t="s">
        <v>15226</v>
      </c>
      <c r="J7847" s="3" t="str">
        <f>HYPERLINK("https://www.boe.es/gazeta/dias/1821/05/21/pdfs/GMD-1821-143.pdf#page=3","Abrir facsímil")</f>
        <v>Abrir facsímil</v>
      </c>
      <c r="K7847" s="3" t="s">
        <v>23</v>
      </c>
    </row>
    <row r="7848" spans="1:11" ht="42" customHeight="1">
      <c r="A7848" s="2" t="s">
        <v>15215</v>
      </c>
      <c r="B7848" s="2" t="s">
        <v>15215</v>
      </c>
      <c r="C7848" s="2" t="s">
        <v>35</v>
      </c>
      <c r="D7848" s="2" t="s">
        <v>27</v>
      </c>
      <c r="E7848" s="5">
        <v>-28708</v>
      </c>
      <c r="F7848" s="3" t="s">
        <v>528</v>
      </c>
      <c r="G7848" s="3" t="s">
        <v>20</v>
      </c>
      <c r="H7848" s="2" t="s">
        <v>21</v>
      </c>
      <c r="I7848" s="2" t="s">
        <v>15227</v>
      </c>
      <c r="J7848" s="3" t="str">
        <f>HYPERLINK("https://www.boe.es/gazeta/dias/1821/05/25/pdfs/GMD-1821-147.pdf#page=3","Abrir facsímil")</f>
        <v>Abrir facsímil</v>
      </c>
      <c r="K7848" s="3" t="s">
        <v>23</v>
      </c>
    </row>
    <row r="7849" spans="1:11" ht="42" customHeight="1">
      <c r="A7849" s="2" t="s">
        <v>15215</v>
      </c>
      <c r="B7849" s="2" t="s">
        <v>15215</v>
      </c>
      <c r="C7849" s="2" t="s">
        <v>17</v>
      </c>
      <c r="D7849" s="2" t="s">
        <v>18</v>
      </c>
      <c r="E7849" s="5">
        <v>-28706</v>
      </c>
      <c r="F7849" s="3" t="s">
        <v>4791</v>
      </c>
      <c r="G7849" s="3" t="s">
        <v>8867</v>
      </c>
      <c r="H7849" s="2" t="s">
        <v>21</v>
      </c>
      <c r="I7849" s="2" t="s">
        <v>15228</v>
      </c>
      <c r="J7849" s="3" t="str">
        <f>HYPERLINK("https://www.boe.es/gazeta/dias/1821/05/27/pdfs/GMD-1821-149.pdf#page=3","Abrir facsímil")</f>
        <v>Abrir facsímil</v>
      </c>
      <c r="K7849" s="3" t="s">
        <v>23</v>
      </c>
    </row>
    <row r="7850" spans="1:11" ht="42" customHeight="1">
      <c r="A7850" s="2" t="s">
        <v>15219</v>
      </c>
      <c r="B7850" s="2" t="s">
        <v>15219</v>
      </c>
      <c r="C7850" s="2" t="s">
        <v>17</v>
      </c>
      <c r="D7850" s="2" t="s">
        <v>18</v>
      </c>
      <c r="E7850" s="5">
        <v>-28575</v>
      </c>
      <c r="F7850" s="3" t="s">
        <v>2453</v>
      </c>
      <c r="G7850" s="3" t="s">
        <v>20</v>
      </c>
      <c r="H7850" s="2" t="s">
        <v>21</v>
      </c>
      <c r="I7850" s="2" t="s">
        <v>15229</v>
      </c>
      <c r="J7850" s="3" t="str">
        <f>HYPERLINK("https://www.boe.es/gazeta/dias/1821/10/05/pdfs/GMD-1821-284.pdf#page=3","Abrir facsímil")</f>
        <v>Abrir facsímil</v>
      </c>
      <c r="K7850" s="3" t="s">
        <v>23</v>
      </c>
    </row>
    <row r="7851" spans="1:11" ht="42" customHeight="1">
      <c r="A7851" s="2" t="s">
        <v>15230</v>
      </c>
      <c r="B7851" s="2" t="s">
        <v>15230</v>
      </c>
      <c r="C7851" s="2" t="s">
        <v>114</v>
      </c>
      <c r="D7851" s="2" t="s">
        <v>27</v>
      </c>
      <c r="E7851" s="5">
        <v>-28573</v>
      </c>
      <c r="F7851" s="3" t="s">
        <v>19</v>
      </c>
      <c r="G7851" s="3" t="s">
        <v>52</v>
      </c>
      <c r="H7851" s="2" t="s">
        <v>21</v>
      </c>
      <c r="I7851" s="2" t="s">
        <v>15231</v>
      </c>
      <c r="J7851" s="3" t="str">
        <f>HYPERLINK("https://www.boe.es/gazeta/dias/1821/10/07/pdfs/GMD-1821-286.pdf#page=2","Abrir facsímil")</f>
        <v>Abrir facsímil</v>
      </c>
      <c r="K7851" s="3" t="s">
        <v>23</v>
      </c>
    </row>
    <row r="7852" spans="1:11" ht="42" customHeight="1">
      <c r="A7852" s="2" t="s">
        <v>15215</v>
      </c>
      <c r="B7852" s="2" t="s">
        <v>15215</v>
      </c>
      <c r="C7852" s="2" t="s">
        <v>35</v>
      </c>
      <c r="D7852" s="2" t="s">
        <v>27</v>
      </c>
      <c r="E7852" s="5">
        <v>-28558</v>
      </c>
      <c r="F7852" s="3" t="s">
        <v>758</v>
      </c>
      <c r="G7852" s="3" t="s">
        <v>88</v>
      </c>
      <c r="H7852" s="2" t="s">
        <v>21</v>
      </c>
      <c r="I7852" s="2" t="s">
        <v>15232</v>
      </c>
      <c r="J7852" s="3" t="str">
        <f>HYPERLINK("https://www.boe.es/gazeta/dias/1821/10/22/pdfs/GMD-1821-301.pdf#page=4","Abrir facsímil")</f>
        <v>Abrir facsímil</v>
      </c>
      <c r="K7852" s="3" t="s">
        <v>23</v>
      </c>
    </row>
    <row r="7853" spans="1:11" ht="42" customHeight="1">
      <c r="A7853" s="2" t="s">
        <v>15215</v>
      </c>
      <c r="B7853" s="2" t="s">
        <v>15215</v>
      </c>
      <c r="C7853" s="2" t="s">
        <v>26</v>
      </c>
      <c r="D7853" s="2" t="s">
        <v>27</v>
      </c>
      <c r="E7853" s="5">
        <v>-28552</v>
      </c>
      <c r="F7853" s="3" t="s">
        <v>28</v>
      </c>
      <c r="G7853" s="3" t="s">
        <v>2457</v>
      </c>
      <c r="H7853" s="2" t="s">
        <v>21</v>
      </c>
      <c r="I7853" s="2" t="s">
        <v>15233</v>
      </c>
      <c r="J7853" s="3" t="str">
        <f>HYPERLINK("https://www.boe.es/gazeta/dias/1821/10/28/pdfs/GMD-1821-307.pdf#page=4","Abrir facsímil")</f>
        <v>Abrir facsímil</v>
      </c>
      <c r="K7853" s="3" t="s">
        <v>23</v>
      </c>
    </row>
    <row r="7854" spans="1:11" ht="42" customHeight="1">
      <c r="A7854" s="2" t="s">
        <v>15215</v>
      </c>
      <c r="B7854" s="2" t="s">
        <v>15215</v>
      </c>
      <c r="C7854" s="2" t="s">
        <v>279</v>
      </c>
      <c r="D7854" s="2" t="s">
        <v>27</v>
      </c>
      <c r="E7854" s="5">
        <v>-28552</v>
      </c>
      <c r="F7854" s="3" t="s">
        <v>28</v>
      </c>
      <c r="G7854" s="3" t="s">
        <v>162</v>
      </c>
      <c r="H7854" s="2" t="s">
        <v>21</v>
      </c>
      <c r="I7854" s="2" t="s">
        <v>15234</v>
      </c>
      <c r="J7854" s="3" t="str">
        <f>HYPERLINK("https://www.boe.es/gazeta/dias/1821/10/28/pdfs/GMD-1821-307.pdf#page=5","Abrir facsímil")</f>
        <v>Abrir facsímil</v>
      </c>
      <c r="K7854" s="3" t="s">
        <v>23</v>
      </c>
    </row>
    <row r="7855" spans="1:11" ht="42" customHeight="1">
      <c r="A7855" s="2" t="s">
        <v>15215</v>
      </c>
      <c r="B7855" s="2" t="s">
        <v>15215</v>
      </c>
      <c r="C7855" s="2" t="s">
        <v>40</v>
      </c>
      <c r="D7855" s="2" t="s">
        <v>41</v>
      </c>
      <c r="E7855" s="5">
        <v>-28551</v>
      </c>
      <c r="F7855" s="3" t="s">
        <v>542</v>
      </c>
      <c r="G7855" s="3" t="s">
        <v>88</v>
      </c>
      <c r="H7855" s="2" t="s">
        <v>21</v>
      </c>
      <c r="I7855" s="2" t="s">
        <v>15235</v>
      </c>
      <c r="J7855" s="3" t="str">
        <f>HYPERLINK("https://www.boe.es/gazeta/dias/1821/10/29/pdfs/GMD-1821-308.pdf#page=4","Abrir facsímil")</f>
        <v>Abrir facsímil</v>
      </c>
      <c r="K7855" s="3" t="s">
        <v>23</v>
      </c>
    </row>
    <row r="7856" spans="1:11" ht="42" customHeight="1">
      <c r="A7856" s="2" t="s">
        <v>15215</v>
      </c>
      <c r="B7856" s="2" t="s">
        <v>15215</v>
      </c>
      <c r="C7856" s="2" t="s">
        <v>35</v>
      </c>
      <c r="D7856" s="2" t="s">
        <v>27</v>
      </c>
      <c r="E7856" s="5">
        <v>-28550</v>
      </c>
      <c r="F7856" s="3" t="s">
        <v>546</v>
      </c>
      <c r="G7856" s="3" t="s">
        <v>88</v>
      </c>
      <c r="H7856" s="2" t="s">
        <v>21</v>
      </c>
      <c r="I7856" s="2" t="s">
        <v>15236</v>
      </c>
      <c r="J7856" s="3" t="str">
        <f>HYPERLINK("https://www.boe.es/gazeta/dias/1821/10/30/pdfs/GMD-1821-309.pdf#page=4","Abrir facsímil")</f>
        <v>Abrir facsímil</v>
      </c>
      <c r="K7856" s="3" t="s">
        <v>23</v>
      </c>
    </row>
    <row r="7857" spans="1:11" ht="42" customHeight="1">
      <c r="A7857" s="2" t="s">
        <v>15215</v>
      </c>
      <c r="B7857" s="2" t="s">
        <v>15215</v>
      </c>
      <c r="C7857" s="2" t="s">
        <v>26</v>
      </c>
      <c r="D7857" s="2" t="s">
        <v>27</v>
      </c>
      <c r="E7857" s="5">
        <v>-28550</v>
      </c>
      <c r="F7857" s="3" t="s">
        <v>546</v>
      </c>
      <c r="G7857" s="3" t="s">
        <v>162</v>
      </c>
      <c r="H7857" s="2" t="s">
        <v>21</v>
      </c>
      <c r="I7857" s="2" t="s">
        <v>15237</v>
      </c>
      <c r="J7857" s="3" t="str">
        <f>HYPERLINK("https://www.boe.es/gazeta/dias/1821/10/30/pdfs/GMD-1821-309.pdf#page=5","Abrir facsímil")</f>
        <v>Abrir facsímil</v>
      </c>
      <c r="K7857" s="3" t="s">
        <v>23</v>
      </c>
    </row>
    <row r="7858" spans="1:11" ht="42" customHeight="1">
      <c r="A7858" s="2" t="s">
        <v>15215</v>
      </c>
      <c r="B7858" s="2" t="s">
        <v>15215</v>
      </c>
      <c r="C7858" s="2" t="s">
        <v>26</v>
      </c>
      <c r="D7858" s="2" t="s">
        <v>27</v>
      </c>
      <c r="E7858" s="5">
        <v>-28549</v>
      </c>
      <c r="F7858" s="3" t="s">
        <v>930</v>
      </c>
      <c r="G7858" s="3" t="s">
        <v>88</v>
      </c>
      <c r="H7858" s="2" t="s">
        <v>21</v>
      </c>
      <c r="I7858" s="2" t="s">
        <v>15238</v>
      </c>
      <c r="J7858" s="3" t="str">
        <f>HYPERLINK("https://www.boe.es/gazeta/dias/1821/10/31/pdfs/GMD-1821-310.pdf#page=4","Abrir facsímil")</f>
        <v>Abrir facsímil</v>
      </c>
      <c r="K7858" s="3" t="s">
        <v>23</v>
      </c>
    </row>
    <row r="7859" spans="1:11" ht="42" customHeight="1">
      <c r="A7859" s="2" t="s">
        <v>15215</v>
      </c>
      <c r="B7859" s="2" t="s">
        <v>15215</v>
      </c>
      <c r="C7859" s="2" t="s">
        <v>35</v>
      </c>
      <c r="D7859" s="2" t="s">
        <v>27</v>
      </c>
      <c r="E7859" s="5">
        <v>-28549</v>
      </c>
      <c r="F7859" s="3" t="s">
        <v>930</v>
      </c>
      <c r="G7859" s="3" t="s">
        <v>162</v>
      </c>
      <c r="H7859" s="2" t="s">
        <v>21</v>
      </c>
      <c r="I7859" s="2" t="s">
        <v>15239</v>
      </c>
      <c r="J7859" s="3" t="str">
        <f>HYPERLINK("https://www.boe.es/gazeta/dias/1821/10/31/pdfs/GMD-1821-310.pdf#page=5","Abrir facsímil")</f>
        <v>Abrir facsímil</v>
      </c>
      <c r="K7859" s="3" t="s">
        <v>23</v>
      </c>
    </row>
    <row r="7860" spans="1:11" ht="42" customHeight="1">
      <c r="A7860" s="2" t="s">
        <v>15215</v>
      </c>
      <c r="B7860" s="2" t="s">
        <v>15215</v>
      </c>
      <c r="C7860" s="2" t="s">
        <v>35</v>
      </c>
      <c r="D7860" s="2" t="s">
        <v>27</v>
      </c>
      <c r="E7860" s="5">
        <v>-28548</v>
      </c>
      <c r="F7860" s="3" t="s">
        <v>782</v>
      </c>
      <c r="G7860" s="3" t="s">
        <v>20</v>
      </c>
      <c r="H7860" s="2" t="s">
        <v>21</v>
      </c>
      <c r="I7860" s="2" t="s">
        <v>15240</v>
      </c>
      <c r="J7860" s="3" t="str">
        <f>HYPERLINK("https://www.boe.es/gazeta/dias/1821/11/01/pdfs/GMD-1821-311.pdf#page=3","Abrir facsímil")</f>
        <v>Abrir facsímil</v>
      </c>
      <c r="K7860" s="3" t="s">
        <v>23</v>
      </c>
    </row>
    <row r="7861" spans="1:11" ht="42" customHeight="1">
      <c r="A7861" s="2" t="s">
        <v>15215</v>
      </c>
      <c r="B7861" s="2" t="s">
        <v>15215</v>
      </c>
      <c r="C7861" s="2" t="s">
        <v>26</v>
      </c>
      <c r="D7861" s="2" t="s">
        <v>27</v>
      </c>
      <c r="E7861" s="5">
        <v>-28548</v>
      </c>
      <c r="F7861" s="3" t="s">
        <v>782</v>
      </c>
      <c r="G7861" s="3" t="s">
        <v>88</v>
      </c>
      <c r="H7861" s="2" t="s">
        <v>21</v>
      </c>
      <c r="I7861" s="2" t="s">
        <v>15241</v>
      </c>
      <c r="J7861" s="3" t="str">
        <f>HYPERLINK("https://www.boe.es/gazeta/dias/1821/11/01/pdfs/GMD-1821-311.pdf#page=4","Abrir facsímil")</f>
        <v>Abrir facsímil</v>
      </c>
      <c r="K7861" s="3" t="s">
        <v>23</v>
      </c>
    </row>
    <row r="7862" spans="1:11" ht="42" customHeight="1">
      <c r="A7862" s="2" t="s">
        <v>15215</v>
      </c>
      <c r="B7862" s="2" t="s">
        <v>15215</v>
      </c>
      <c r="C7862" s="2" t="s">
        <v>26</v>
      </c>
      <c r="D7862" s="2" t="s">
        <v>27</v>
      </c>
      <c r="E7862" s="5">
        <v>-28547</v>
      </c>
      <c r="F7862" s="3" t="s">
        <v>247</v>
      </c>
      <c r="G7862" s="3" t="s">
        <v>29</v>
      </c>
      <c r="H7862" s="2" t="s">
        <v>21</v>
      </c>
      <c r="I7862" s="2" t="s">
        <v>15242</v>
      </c>
      <c r="J7862" s="3" t="str">
        <f>HYPERLINK("https://www.boe.es/gazeta/dias/1821/11/02/pdfs/GMD-1821-312.pdf#page=6","Abrir facsímil")</f>
        <v>Abrir facsímil</v>
      </c>
      <c r="K7862" s="3" t="s">
        <v>23</v>
      </c>
    </row>
    <row r="7863" spans="1:11" ht="42" customHeight="1">
      <c r="A7863" s="2" t="s">
        <v>15215</v>
      </c>
      <c r="B7863" s="2" t="s">
        <v>15215</v>
      </c>
      <c r="C7863" s="2" t="s">
        <v>26</v>
      </c>
      <c r="D7863" s="2" t="s">
        <v>27</v>
      </c>
      <c r="E7863" s="5">
        <v>-28545</v>
      </c>
      <c r="F7863" s="3" t="s">
        <v>284</v>
      </c>
      <c r="G7863" s="3" t="s">
        <v>88</v>
      </c>
      <c r="H7863" s="2" t="s">
        <v>21</v>
      </c>
      <c r="I7863" s="2" t="s">
        <v>15243</v>
      </c>
      <c r="J7863" s="3" t="str">
        <f>HYPERLINK("https://www.boe.es/gazeta/dias/1821/11/04/pdfs/GMD-1821-315.pdf#page=4","Abrir facsímil")</f>
        <v>Abrir facsímil</v>
      </c>
      <c r="K7863" s="3" t="s">
        <v>23</v>
      </c>
    </row>
    <row r="7864" spans="1:11" ht="42" customHeight="1">
      <c r="A7864" s="2" t="s">
        <v>15215</v>
      </c>
      <c r="B7864" s="2" t="s">
        <v>15215</v>
      </c>
      <c r="C7864" s="2" t="s">
        <v>70</v>
      </c>
      <c r="D7864" s="2" t="s">
        <v>27</v>
      </c>
      <c r="E7864" s="5">
        <v>-28545</v>
      </c>
      <c r="F7864" s="3" t="s">
        <v>284</v>
      </c>
      <c r="G7864" s="3" t="s">
        <v>162</v>
      </c>
      <c r="H7864" s="2" t="s">
        <v>21</v>
      </c>
      <c r="I7864" s="2" t="s">
        <v>15244</v>
      </c>
      <c r="J7864" s="3" t="str">
        <f>HYPERLINK("https://www.boe.es/gazeta/dias/1821/11/04/pdfs/GMD-1821-315.pdf#page=5","Abrir facsímil")</f>
        <v>Abrir facsímil</v>
      </c>
      <c r="K7864" s="3" t="s">
        <v>23</v>
      </c>
    </row>
    <row r="7865" spans="1:11" ht="42" customHeight="1">
      <c r="A7865" s="2" t="s">
        <v>15215</v>
      </c>
      <c r="B7865" s="2" t="s">
        <v>15215</v>
      </c>
      <c r="C7865" s="2" t="s">
        <v>114</v>
      </c>
      <c r="D7865" s="2" t="s">
        <v>27</v>
      </c>
      <c r="E7865" s="5">
        <v>-28544</v>
      </c>
      <c r="F7865" s="3" t="s">
        <v>139</v>
      </c>
      <c r="G7865" s="3" t="s">
        <v>52</v>
      </c>
      <c r="H7865" s="2" t="s">
        <v>21</v>
      </c>
      <c r="I7865" s="2" t="s">
        <v>15245</v>
      </c>
      <c r="J7865" s="3" t="str">
        <f>HYPERLINK("https://www.boe.es/gazeta/dias/1821/11/05/pdfs/GMD-1821-316.pdf#page=2","Abrir facsímil")</f>
        <v>Abrir facsímil</v>
      </c>
      <c r="K7865" s="3" t="s">
        <v>23</v>
      </c>
    </row>
    <row r="7866" spans="1:11" ht="42" customHeight="1">
      <c r="A7866" s="2" t="s">
        <v>15215</v>
      </c>
      <c r="B7866" s="2" t="s">
        <v>15215</v>
      </c>
      <c r="C7866" s="2" t="s">
        <v>35</v>
      </c>
      <c r="D7866" s="2" t="s">
        <v>27</v>
      </c>
      <c r="E7866" s="5">
        <v>-28544</v>
      </c>
      <c r="F7866" s="3" t="s">
        <v>139</v>
      </c>
      <c r="G7866" s="3" t="s">
        <v>20</v>
      </c>
      <c r="H7866" s="2" t="s">
        <v>21</v>
      </c>
      <c r="I7866" s="2" t="s">
        <v>15246</v>
      </c>
      <c r="J7866" s="3" t="str">
        <f>HYPERLINK("https://www.boe.es/gazeta/dias/1821/11/05/pdfs/GMD-1821-316.pdf#page=3","Abrir facsímil")</f>
        <v>Abrir facsímil</v>
      </c>
      <c r="K7866" s="3" t="s">
        <v>23</v>
      </c>
    </row>
    <row r="7867" spans="1:11" ht="42" customHeight="1">
      <c r="A7867" s="2" t="s">
        <v>15215</v>
      </c>
      <c r="B7867" s="2" t="s">
        <v>15215</v>
      </c>
      <c r="C7867" s="2" t="s">
        <v>26</v>
      </c>
      <c r="D7867" s="2" t="s">
        <v>27</v>
      </c>
      <c r="E7867" s="5">
        <v>-28544</v>
      </c>
      <c r="F7867" s="3" t="s">
        <v>139</v>
      </c>
      <c r="G7867" s="3" t="s">
        <v>88</v>
      </c>
      <c r="H7867" s="2" t="s">
        <v>21</v>
      </c>
      <c r="I7867" s="2" t="s">
        <v>15247</v>
      </c>
      <c r="J7867" s="3" t="str">
        <f>HYPERLINK("https://www.boe.es/gazeta/dias/1821/11/05/pdfs/GMD-1821-316.pdf#page=4","Abrir facsímil")</f>
        <v>Abrir facsímil</v>
      </c>
      <c r="K7867" s="3" t="s">
        <v>23</v>
      </c>
    </row>
    <row r="7868" spans="1:11" ht="42" customHeight="1">
      <c r="A7868" s="2" t="s">
        <v>15215</v>
      </c>
      <c r="B7868" s="2" t="s">
        <v>15215</v>
      </c>
      <c r="C7868" s="2" t="s">
        <v>26</v>
      </c>
      <c r="D7868" s="2" t="s">
        <v>27</v>
      </c>
      <c r="E7868" s="5">
        <v>-28543</v>
      </c>
      <c r="F7868" s="3" t="s">
        <v>136</v>
      </c>
      <c r="G7868" s="3" t="s">
        <v>162</v>
      </c>
      <c r="H7868" s="2" t="s">
        <v>21</v>
      </c>
      <c r="I7868" s="2" t="s">
        <v>15248</v>
      </c>
      <c r="J7868" s="3" t="str">
        <f>HYPERLINK("https://www.boe.es/gazeta/dias/1821/11/06/pdfs/GMD-1821-317.pdf#page=5","Abrir facsímil")</f>
        <v>Abrir facsímil</v>
      </c>
      <c r="K7868" s="3" t="s">
        <v>23</v>
      </c>
    </row>
    <row r="7869" spans="1:11" ht="42" customHeight="1">
      <c r="A7869" s="2" t="s">
        <v>15215</v>
      </c>
      <c r="B7869" s="2" t="s">
        <v>15215</v>
      </c>
      <c r="C7869" s="2" t="s">
        <v>26</v>
      </c>
      <c r="D7869" s="2" t="s">
        <v>27</v>
      </c>
      <c r="E7869" s="5">
        <v>-28543</v>
      </c>
      <c r="F7869" s="3" t="s">
        <v>136</v>
      </c>
      <c r="G7869" s="3" t="s">
        <v>29</v>
      </c>
      <c r="H7869" s="2" t="s">
        <v>21</v>
      </c>
      <c r="I7869" s="2" t="s">
        <v>15249</v>
      </c>
      <c r="J7869" s="3" t="str">
        <f>HYPERLINK("https://www.boe.es/gazeta/dias/1821/11/06/pdfs/GMD-1821-317.pdf#page=6","Abrir facsímil")</f>
        <v>Abrir facsímil</v>
      </c>
      <c r="K7869" s="3" t="s">
        <v>23</v>
      </c>
    </row>
    <row r="7870" spans="1:11" ht="42" customHeight="1">
      <c r="A7870" s="2" t="s">
        <v>15215</v>
      </c>
      <c r="B7870" s="2" t="s">
        <v>15215</v>
      </c>
      <c r="C7870" s="2" t="s">
        <v>26</v>
      </c>
      <c r="D7870" s="2" t="s">
        <v>27</v>
      </c>
      <c r="E7870" s="5">
        <v>-28543</v>
      </c>
      <c r="F7870" s="3" t="s">
        <v>136</v>
      </c>
      <c r="G7870" s="3" t="s">
        <v>609</v>
      </c>
      <c r="H7870" s="2" t="s">
        <v>21</v>
      </c>
      <c r="I7870" s="2" t="s">
        <v>15250</v>
      </c>
      <c r="J7870" s="3" t="str">
        <f>HYPERLINK("https://www.boe.es/gazeta/dias/1821/11/06/pdfs/GMD-1821-317.pdf#page=7","Abrir facsímil")</f>
        <v>Abrir facsímil</v>
      </c>
      <c r="K7870" s="3" t="s">
        <v>23</v>
      </c>
    </row>
    <row r="7871" spans="1:11" ht="42" customHeight="1">
      <c r="A7871" s="2" t="s">
        <v>15215</v>
      </c>
      <c r="B7871" s="2" t="s">
        <v>15215</v>
      </c>
      <c r="C7871" s="2" t="s">
        <v>40</v>
      </c>
      <c r="D7871" s="2" t="s">
        <v>41</v>
      </c>
      <c r="E7871" s="5">
        <v>-28542</v>
      </c>
      <c r="F7871" s="3" t="s">
        <v>221</v>
      </c>
      <c r="G7871" s="3" t="s">
        <v>88</v>
      </c>
      <c r="H7871" s="2" t="s">
        <v>21</v>
      </c>
      <c r="I7871" s="2" t="s">
        <v>15251</v>
      </c>
      <c r="J7871" s="3" t="str">
        <f>HYPERLINK("https://www.boe.es/gazeta/dias/1821/11/07/pdfs/GMD-1821-318.pdf#page=4","Abrir facsímil")</f>
        <v>Abrir facsímil</v>
      </c>
      <c r="K7871" s="3" t="s">
        <v>23</v>
      </c>
    </row>
    <row r="7872" spans="1:11" ht="42" customHeight="1">
      <c r="A7872" s="2" t="s">
        <v>15215</v>
      </c>
      <c r="B7872" s="2" t="s">
        <v>15215</v>
      </c>
      <c r="C7872" s="2" t="s">
        <v>35</v>
      </c>
      <c r="D7872" s="2" t="s">
        <v>27</v>
      </c>
      <c r="E7872" s="5">
        <v>-28541</v>
      </c>
      <c r="F7872" s="3" t="s">
        <v>275</v>
      </c>
      <c r="G7872" s="3" t="s">
        <v>88</v>
      </c>
      <c r="H7872" s="2" t="s">
        <v>21</v>
      </c>
      <c r="I7872" s="2" t="s">
        <v>15252</v>
      </c>
      <c r="J7872" s="3" t="str">
        <f>HYPERLINK("https://www.boe.es/gazeta/dias/1821/11/08/pdfs/GMD-1821-319.pdf#page=4","Abrir facsímil")</f>
        <v>Abrir facsímil</v>
      </c>
      <c r="K7872" s="3" t="s">
        <v>23</v>
      </c>
    </row>
    <row r="7873" spans="1:11" ht="42" customHeight="1">
      <c r="A7873" s="2" t="s">
        <v>15215</v>
      </c>
      <c r="B7873" s="2" t="s">
        <v>15215</v>
      </c>
      <c r="C7873" s="2" t="s">
        <v>70</v>
      </c>
      <c r="D7873" s="2" t="s">
        <v>27</v>
      </c>
      <c r="E7873" s="5">
        <v>-28541</v>
      </c>
      <c r="F7873" s="3" t="s">
        <v>275</v>
      </c>
      <c r="G7873" s="3" t="s">
        <v>29</v>
      </c>
      <c r="H7873" s="2" t="s">
        <v>21</v>
      </c>
      <c r="I7873" s="2" t="s">
        <v>15253</v>
      </c>
      <c r="J7873" s="3" t="str">
        <f>HYPERLINK("https://www.boe.es/gazeta/dias/1821/11/08/pdfs/GMD-1821-319.pdf#page=6","Abrir facsímil")</f>
        <v>Abrir facsímil</v>
      </c>
      <c r="K7873" s="3" t="s">
        <v>23</v>
      </c>
    </row>
    <row r="7874" spans="1:11" ht="42" customHeight="1">
      <c r="A7874" s="2" t="s">
        <v>15215</v>
      </c>
      <c r="B7874" s="2" t="s">
        <v>15215</v>
      </c>
      <c r="C7874" s="2" t="s">
        <v>114</v>
      </c>
      <c r="D7874" s="2" t="s">
        <v>27</v>
      </c>
      <c r="E7874" s="5">
        <v>-28539</v>
      </c>
      <c r="F7874" s="3" t="s">
        <v>153</v>
      </c>
      <c r="G7874" s="3" t="s">
        <v>29</v>
      </c>
      <c r="H7874" s="2" t="s">
        <v>21</v>
      </c>
      <c r="I7874" s="2" t="s">
        <v>15254</v>
      </c>
      <c r="J7874" s="3" t="str">
        <f>HYPERLINK("https://www.boe.es/gazeta/dias/1821/11/10/pdfs/GMD-1821-321.pdf#page=6","Abrir facsímil")</f>
        <v>Abrir facsímil</v>
      </c>
      <c r="K7874" s="3" t="s">
        <v>23</v>
      </c>
    </row>
    <row r="7875" spans="1:11" ht="42" customHeight="1">
      <c r="A7875" s="2" t="s">
        <v>15215</v>
      </c>
      <c r="B7875" s="2" t="s">
        <v>15215</v>
      </c>
      <c r="C7875" s="2" t="s">
        <v>35</v>
      </c>
      <c r="D7875" s="2" t="s">
        <v>27</v>
      </c>
      <c r="E7875" s="5">
        <v>-28538</v>
      </c>
      <c r="F7875" s="3" t="s">
        <v>395</v>
      </c>
      <c r="G7875" s="3" t="s">
        <v>20</v>
      </c>
      <c r="H7875" s="2" t="s">
        <v>21</v>
      </c>
      <c r="I7875" s="2" t="s">
        <v>15255</v>
      </c>
      <c r="J7875" s="3" t="str">
        <f>HYPERLINK("https://www.boe.es/gazeta/dias/1821/11/11/pdfs/GMD-1821-322.pdf#page=3","Abrir facsímil")</f>
        <v>Abrir facsímil</v>
      </c>
      <c r="K7875" s="3" t="s">
        <v>23</v>
      </c>
    </row>
    <row r="7876" spans="1:11" ht="42" customHeight="1">
      <c r="A7876" s="2" t="s">
        <v>15215</v>
      </c>
      <c r="B7876" s="2" t="s">
        <v>15215</v>
      </c>
      <c r="C7876" s="2" t="s">
        <v>35</v>
      </c>
      <c r="D7876" s="2" t="s">
        <v>27</v>
      </c>
      <c r="E7876" s="5">
        <v>-28537</v>
      </c>
      <c r="F7876" s="3" t="s">
        <v>56</v>
      </c>
      <c r="G7876" s="3" t="s">
        <v>88</v>
      </c>
      <c r="H7876" s="2" t="s">
        <v>21</v>
      </c>
      <c r="I7876" s="2" t="s">
        <v>15256</v>
      </c>
      <c r="J7876" s="3" t="str">
        <f>HYPERLINK("https://www.boe.es/gazeta/dias/1821/11/12/pdfs/GMD-1821-323.pdf#page=4","Abrir facsímil")</f>
        <v>Abrir facsímil</v>
      </c>
      <c r="K7876" s="3" t="s">
        <v>23</v>
      </c>
    </row>
    <row r="7877" spans="1:11" ht="42" customHeight="1">
      <c r="A7877" s="2" t="s">
        <v>15215</v>
      </c>
      <c r="B7877" s="2" t="s">
        <v>15215</v>
      </c>
      <c r="C7877" s="2" t="s">
        <v>17</v>
      </c>
      <c r="D7877" s="2" t="s">
        <v>18</v>
      </c>
      <c r="E7877" s="5">
        <v>-28536</v>
      </c>
      <c r="F7877" s="3" t="s">
        <v>553</v>
      </c>
      <c r="G7877" s="3" t="s">
        <v>162</v>
      </c>
      <c r="H7877" s="2" t="s">
        <v>21</v>
      </c>
      <c r="I7877" s="2" t="s">
        <v>15257</v>
      </c>
      <c r="J7877" s="3" t="str">
        <f>HYPERLINK("https://www.boe.es/gazeta/dias/1821/11/13/pdfs/GMD-1821-324.pdf#page=5","Abrir facsímil")</f>
        <v>Abrir facsímil</v>
      </c>
      <c r="K7877" s="3" t="s">
        <v>23</v>
      </c>
    </row>
    <row r="7878" spans="1:11" ht="42" customHeight="1">
      <c r="A7878" s="2" t="s">
        <v>15215</v>
      </c>
      <c r="B7878" s="2" t="s">
        <v>15215</v>
      </c>
      <c r="C7878" s="2" t="s">
        <v>114</v>
      </c>
      <c r="D7878" s="2" t="s">
        <v>27</v>
      </c>
      <c r="E7878" s="5">
        <v>-28535</v>
      </c>
      <c r="F7878" s="3" t="s">
        <v>96</v>
      </c>
      <c r="G7878" s="3" t="s">
        <v>88</v>
      </c>
      <c r="H7878" s="2" t="s">
        <v>21</v>
      </c>
      <c r="I7878" s="2" t="s">
        <v>15258</v>
      </c>
      <c r="J7878" s="3" t="str">
        <f>HYPERLINK("https://www.boe.es/gazeta/dias/1821/11/14/pdfs/GMD-1821-325.pdf#page=4","Abrir facsímil")</f>
        <v>Abrir facsímil</v>
      </c>
      <c r="K7878" s="3" t="s">
        <v>23</v>
      </c>
    </row>
    <row r="7879" spans="1:11" ht="42" customHeight="1">
      <c r="A7879" s="2" t="s">
        <v>15215</v>
      </c>
      <c r="B7879" s="2" t="s">
        <v>15215</v>
      </c>
      <c r="C7879" s="2" t="s">
        <v>35</v>
      </c>
      <c r="D7879" s="2" t="s">
        <v>27</v>
      </c>
      <c r="E7879" s="5">
        <v>-28533</v>
      </c>
      <c r="F7879" s="3" t="s">
        <v>559</v>
      </c>
      <c r="G7879" s="3" t="s">
        <v>29</v>
      </c>
      <c r="H7879" s="2" t="s">
        <v>21</v>
      </c>
      <c r="I7879" s="2" t="s">
        <v>15259</v>
      </c>
      <c r="J7879" s="3" t="str">
        <f>HYPERLINK("https://www.boe.es/gazeta/dias/1821/11/16/pdfs/GMD-1821-327.pdf#page=6","Abrir facsímil")</f>
        <v>Abrir facsímil</v>
      </c>
      <c r="K7879" s="3" t="s">
        <v>23</v>
      </c>
    </row>
    <row r="7880" spans="1:11" ht="42" customHeight="1">
      <c r="A7880" s="2" t="s">
        <v>15215</v>
      </c>
      <c r="B7880" s="2" t="s">
        <v>15215</v>
      </c>
      <c r="C7880" s="2" t="s">
        <v>35</v>
      </c>
      <c r="D7880" s="2" t="s">
        <v>27</v>
      </c>
      <c r="E7880" s="5">
        <v>-28530</v>
      </c>
      <c r="F7880" s="3" t="s">
        <v>237</v>
      </c>
      <c r="G7880" s="3" t="s">
        <v>20</v>
      </c>
      <c r="H7880" s="2" t="s">
        <v>21</v>
      </c>
      <c r="I7880" s="2" t="s">
        <v>15260</v>
      </c>
      <c r="J7880" s="3" t="str">
        <f>HYPERLINK("https://www.boe.es/gazeta/dias/1821/11/19/pdfs/GMD-1821-330.pdf#page=3","Abrir facsímil")</f>
        <v>Abrir facsímil</v>
      </c>
      <c r="K7880" s="3" t="s">
        <v>23</v>
      </c>
    </row>
    <row r="7881" spans="1:11" ht="42" customHeight="1">
      <c r="A7881" s="2" t="s">
        <v>15215</v>
      </c>
      <c r="B7881" s="2" t="s">
        <v>15215</v>
      </c>
      <c r="C7881" s="2" t="s">
        <v>70</v>
      </c>
      <c r="D7881" s="2" t="s">
        <v>27</v>
      </c>
      <c r="E7881" s="5">
        <v>-28529</v>
      </c>
      <c r="F7881" s="3" t="s">
        <v>525</v>
      </c>
      <c r="G7881" s="3" t="s">
        <v>20</v>
      </c>
      <c r="H7881" s="2" t="s">
        <v>21</v>
      </c>
      <c r="I7881" s="2" t="s">
        <v>15261</v>
      </c>
      <c r="J7881" s="3" t="str">
        <f>HYPERLINK("https://www.boe.es/gazeta/dias/1821/11/20/pdfs/GMD-1821-331.pdf#page=3","Abrir facsímil")</f>
        <v>Abrir facsímil</v>
      </c>
      <c r="K7881" s="3" t="s">
        <v>23</v>
      </c>
    </row>
    <row r="7882" spans="1:11" ht="42" customHeight="1">
      <c r="A7882" s="2" t="s">
        <v>15215</v>
      </c>
      <c r="B7882" s="2" t="s">
        <v>15215</v>
      </c>
      <c r="C7882" s="2" t="s">
        <v>17</v>
      </c>
      <c r="D7882" s="2" t="s">
        <v>18</v>
      </c>
      <c r="E7882" s="5">
        <v>-28526</v>
      </c>
      <c r="F7882" s="3" t="s">
        <v>223</v>
      </c>
      <c r="G7882" s="3" t="s">
        <v>10611</v>
      </c>
      <c r="H7882" s="2" t="s">
        <v>21</v>
      </c>
      <c r="I7882" s="2" t="s">
        <v>15262</v>
      </c>
      <c r="J7882" s="3" t="str">
        <f>HYPERLINK("https://www.boe.es/gazeta/dias/1821/11/23/pdfs/GMD-1821-334.pdf#page=5","Abrir facsímil")</f>
        <v>Abrir facsímil</v>
      </c>
      <c r="K7882" s="3" t="s">
        <v>23</v>
      </c>
    </row>
    <row r="7883" spans="1:11" ht="42" customHeight="1">
      <c r="A7883" s="2" t="s">
        <v>15215</v>
      </c>
      <c r="B7883" s="2" t="s">
        <v>15215</v>
      </c>
      <c r="C7883" s="2" t="s">
        <v>26</v>
      </c>
      <c r="D7883" s="2" t="s">
        <v>27</v>
      </c>
      <c r="E7883" s="5">
        <v>-28526</v>
      </c>
      <c r="F7883" s="3" t="s">
        <v>223</v>
      </c>
      <c r="G7883" s="3" t="s">
        <v>88</v>
      </c>
      <c r="H7883" s="2" t="s">
        <v>21</v>
      </c>
      <c r="I7883" s="2" t="s">
        <v>15263</v>
      </c>
      <c r="J7883" s="3" t="str">
        <f>HYPERLINK("https://www.boe.es/gazeta/dias/1821/11/23/pdfs/GMD-1821-334.pdf#page=4","Abrir facsímil")</f>
        <v>Abrir facsímil</v>
      </c>
      <c r="K7883" s="3" t="s">
        <v>23</v>
      </c>
    </row>
    <row r="7884" spans="1:11" ht="42" customHeight="1">
      <c r="A7884" s="2" t="s">
        <v>15215</v>
      </c>
      <c r="B7884" s="2" t="s">
        <v>15215</v>
      </c>
      <c r="C7884" s="2" t="s">
        <v>40</v>
      </c>
      <c r="D7884" s="2" t="s">
        <v>41</v>
      </c>
      <c r="E7884" s="5">
        <v>-28525</v>
      </c>
      <c r="F7884" s="3" t="s">
        <v>186</v>
      </c>
      <c r="G7884" s="3" t="s">
        <v>52</v>
      </c>
      <c r="H7884" s="2" t="s">
        <v>21</v>
      </c>
      <c r="I7884" s="2" t="s">
        <v>15264</v>
      </c>
      <c r="J7884" s="3" t="str">
        <f>HYPERLINK("https://www.boe.es/gazeta/dias/1821/11/24/pdfs/GMD-1821-335.pdf#page=2","Abrir facsímil")</f>
        <v>Abrir facsímil</v>
      </c>
      <c r="K7884" s="3" t="s">
        <v>23</v>
      </c>
    </row>
    <row r="7885" spans="1:11" ht="42" customHeight="1">
      <c r="A7885" s="2" t="s">
        <v>15215</v>
      </c>
      <c r="B7885" s="2" t="s">
        <v>15215</v>
      </c>
      <c r="C7885" s="2" t="s">
        <v>40</v>
      </c>
      <c r="D7885" s="2" t="s">
        <v>41</v>
      </c>
      <c r="E7885" s="5">
        <v>-28518</v>
      </c>
      <c r="F7885" s="3" t="s">
        <v>410</v>
      </c>
      <c r="G7885" s="3" t="s">
        <v>20</v>
      </c>
      <c r="H7885" s="2" t="s">
        <v>21</v>
      </c>
      <c r="I7885" s="2" t="s">
        <v>15265</v>
      </c>
      <c r="J7885" s="3" t="str">
        <f>HYPERLINK("https://www.boe.es/gazeta/dias/1821/12/01/pdfs/GMD-1821-343.pdf#page=3","Abrir facsímil")</f>
        <v>Abrir facsímil</v>
      </c>
      <c r="K7885" s="3" t="s">
        <v>23</v>
      </c>
    </row>
    <row r="7886" spans="1:11" ht="42" customHeight="1">
      <c r="A7886" s="2" t="s">
        <v>15215</v>
      </c>
      <c r="B7886" s="2" t="s">
        <v>15215</v>
      </c>
      <c r="C7886" s="2" t="s">
        <v>26</v>
      </c>
      <c r="D7886" s="2" t="s">
        <v>27</v>
      </c>
      <c r="E7886" s="5">
        <v>-28518</v>
      </c>
      <c r="F7886" s="3" t="s">
        <v>410</v>
      </c>
      <c r="G7886" s="3" t="s">
        <v>88</v>
      </c>
      <c r="H7886" s="2" t="s">
        <v>21</v>
      </c>
      <c r="I7886" s="2" t="s">
        <v>15266</v>
      </c>
      <c r="J7886" s="3" t="str">
        <f>HYPERLINK("https://www.boe.es/gazeta/dias/1821/12/01/pdfs/GMD-1821-343.pdf#page=4","Abrir facsímil")</f>
        <v>Abrir facsímil</v>
      </c>
      <c r="K7886" s="3" t="s">
        <v>23</v>
      </c>
    </row>
    <row r="7887" spans="1:11" ht="42" customHeight="1">
      <c r="A7887" s="2" t="s">
        <v>15215</v>
      </c>
      <c r="B7887" s="2" t="s">
        <v>15215</v>
      </c>
      <c r="C7887" s="2" t="s">
        <v>40</v>
      </c>
      <c r="D7887" s="2" t="s">
        <v>41</v>
      </c>
      <c r="E7887" s="5">
        <v>-28517</v>
      </c>
      <c r="F7887" s="3" t="s">
        <v>563</v>
      </c>
      <c r="G7887" s="3" t="s">
        <v>52</v>
      </c>
      <c r="H7887" s="2" t="s">
        <v>21</v>
      </c>
      <c r="I7887" s="2" t="s">
        <v>15267</v>
      </c>
      <c r="J7887" s="3" t="str">
        <f>HYPERLINK("https://www.boe.es/gazeta/dias/1821/12/02/pdfs/GMD-1821-344.pdf#page=2","Abrir facsímil")</f>
        <v>Abrir facsímil</v>
      </c>
      <c r="K7887" s="3" t="s">
        <v>23</v>
      </c>
    </row>
    <row r="7888" spans="1:11" ht="42" customHeight="1">
      <c r="A7888" s="2" t="s">
        <v>15215</v>
      </c>
      <c r="B7888" s="2" t="s">
        <v>15215</v>
      </c>
      <c r="C7888" s="2" t="s">
        <v>26</v>
      </c>
      <c r="D7888" s="2" t="s">
        <v>27</v>
      </c>
      <c r="E7888" s="5">
        <v>-28517</v>
      </c>
      <c r="F7888" s="3" t="s">
        <v>563</v>
      </c>
      <c r="G7888" s="3" t="s">
        <v>20</v>
      </c>
      <c r="H7888" s="2" t="s">
        <v>21</v>
      </c>
      <c r="I7888" s="2" t="s">
        <v>15268</v>
      </c>
      <c r="J7888" s="3" t="str">
        <f>HYPERLINK("https://www.boe.es/gazeta/dias/1821/12/02/pdfs/GMD-1821-344.pdf#page=3","Abrir facsímil")</f>
        <v>Abrir facsímil</v>
      </c>
      <c r="K7888" s="3" t="s">
        <v>23</v>
      </c>
    </row>
    <row r="7889" spans="1:11" ht="42" customHeight="1">
      <c r="A7889" s="2" t="s">
        <v>15215</v>
      </c>
      <c r="B7889" s="2" t="s">
        <v>15215</v>
      </c>
      <c r="C7889" s="2" t="s">
        <v>35</v>
      </c>
      <c r="D7889" s="2" t="s">
        <v>27</v>
      </c>
      <c r="E7889" s="5">
        <v>-28512</v>
      </c>
      <c r="F7889" s="3" t="s">
        <v>66</v>
      </c>
      <c r="G7889" s="3" t="s">
        <v>52</v>
      </c>
      <c r="H7889" s="2" t="s">
        <v>21</v>
      </c>
      <c r="I7889" s="2" t="s">
        <v>15269</v>
      </c>
      <c r="J7889" s="3" t="str">
        <f>HYPERLINK("https://www.boe.es/gazeta/dias/1821/12/07/pdfs/GMD-1821-349.pdf#page=2","Abrir facsímil")</f>
        <v>Abrir facsímil</v>
      </c>
      <c r="K7889" s="3" t="s">
        <v>23</v>
      </c>
    </row>
    <row r="7890" spans="1:11" ht="42" customHeight="1">
      <c r="A7890" s="2" t="s">
        <v>15215</v>
      </c>
      <c r="B7890" s="2" t="s">
        <v>15215</v>
      </c>
      <c r="C7890" s="2" t="s">
        <v>35</v>
      </c>
      <c r="D7890" s="2" t="s">
        <v>27</v>
      </c>
      <c r="E7890" s="5">
        <v>-28496</v>
      </c>
      <c r="F7890" s="3" t="s">
        <v>785</v>
      </c>
      <c r="G7890" s="3" t="s">
        <v>88</v>
      </c>
      <c r="H7890" s="2" t="s">
        <v>21</v>
      </c>
      <c r="I7890" s="2" t="s">
        <v>15270</v>
      </c>
      <c r="J7890" s="3" t="str">
        <f>HYPERLINK("https://www.boe.es/gazeta/dias/1821/12/23/pdfs/GMD-1821-366.pdf#page=4","Abrir facsímil")</f>
        <v>Abrir facsímil</v>
      </c>
      <c r="K7890" s="3" t="s">
        <v>23</v>
      </c>
    </row>
    <row r="7891" spans="1:11" ht="42" customHeight="1">
      <c r="A7891" s="2" t="s">
        <v>15215</v>
      </c>
      <c r="B7891" s="2" t="s">
        <v>15215</v>
      </c>
      <c r="C7891" s="2" t="s">
        <v>17</v>
      </c>
      <c r="D7891" s="2" t="s">
        <v>18</v>
      </c>
      <c r="E7891" s="5">
        <v>-28491</v>
      </c>
      <c r="F7891" s="3" t="s">
        <v>573</v>
      </c>
      <c r="G7891" s="3" t="s">
        <v>20</v>
      </c>
      <c r="H7891" s="2" t="s">
        <v>21</v>
      </c>
      <c r="I7891" s="2" t="s">
        <v>15271</v>
      </c>
      <c r="J7891" s="3" t="str">
        <f>HYPERLINK("https://www.boe.es/gazeta/dias/1821/12/28/pdfs/GMD-1821-371.pdf#page=3","Abrir facsímil")</f>
        <v>Abrir facsímil</v>
      </c>
      <c r="K7891" s="3" t="s">
        <v>23</v>
      </c>
    </row>
    <row r="7892" spans="1:11" ht="42" customHeight="1">
      <c r="A7892" s="2" t="s">
        <v>15215</v>
      </c>
      <c r="B7892" s="2" t="s">
        <v>15215</v>
      </c>
      <c r="C7892" s="2" t="s">
        <v>70</v>
      </c>
      <c r="D7892" s="2" t="s">
        <v>27</v>
      </c>
      <c r="E7892" s="5">
        <v>-28490</v>
      </c>
      <c r="F7892" s="3" t="s">
        <v>801</v>
      </c>
      <c r="G7892" s="3" t="s">
        <v>802</v>
      </c>
      <c r="H7892" s="2" t="s">
        <v>21</v>
      </c>
      <c r="I7892" s="2" t="s">
        <v>15272</v>
      </c>
      <c r="J7892" s="3" t="str">
        <f>HYPERLINK("https://www.boe.es/gazeta/dias/1821/12/29/pdfs/GMD-1821-372.pdf#page=3","Abrir facsímil")</f>
        <v>Abrir facsímil</v>
      </c>
      <c r="K7892" s="3" t="s">
        <v>23</v>
      </c>
    </row>
    <row r="7893" spans="1:11" ht="42" customHeight="1">
      <c r="A7893" s="2" t="s">
        <v>15273</v>
      </c>
      <c r="B7893" s="2" t="s">
        <v>15274</v>
      </c>
      <c r="C7893" s="2" t="s">
        <v>174</v>
      </c>
      <c r="D7893" s="2" t="s">
        <v>27</v>
      </c>
      <c r="E7893" s="5">
        <v>-28629</v>
      </c>
      <c r="F7893" s="3" t="s">
        <v>235</v>
      </c>
      <c r="G7893" s="3" t="s">
        <v>88</v>
      </c>
      <c r="H7893" s="2" t="s">
        <v>21</v>
      </c>
      <c r="I7893" s="2" t="s">
        <v>15275</v>
      </c>
      <c r="J7893" s="3" t="str">
        <f>HYPERLINK("https://www.boe.es/gazeta/dias/1821/08/12/pdfs/GMD-1821-229.pdf#page=4","Abrir facsímil")</f>
        <v>Abrir facsímil</v>
      </c>
      <c r="K7893" s="3" t="s">
        <v>23</v>
      </c>
    </row>
    <row r="7894" spans="1:11" ht="42" customHeight="1">
      <c r="A7894" s="2" t="s">
        <v>15276</v>
      </c>
      <c r="B7894" s="2" t="s">
        <v>15277</v>
      </c>
      <c r="C7894" s="2" t="s">
        <v>17</v>
      </c>
      <c r="D7894" s="2" t="s">
        <v>18</v>
      </c>
      <c r="E7894" s="5">
        <v>-28639</v>
      </c>
      <c r="F7894" s="3" t="s">
        <v>3316</v>
      </c>
      <c r="G7894" s="3" t="s">
        <v>88</v>
      </c>
      <c r="H7894" s="2" t="s">
        <v>21</v>
      </c>
      <c r="I7894" s="2" t="s">
        <v>15278</v>
      </c>
      <c r="J7894" s="3" t="str">
        <f>HYPERLINK("https://www.boe.es/gazeta/dias/1821/08/02/pdfs/GMD-1821-218.pdf#page=4","Abrir facsímil")</f>
        <v>Abrir facsímil</v>
      </c>
      <c r="K7894" s="3" t="s">
        <v>23</v>
      </c>
    </row>
    <row r="7895" spans="1:11" ht="42" customHeight="1">
      <c r="A7895" s="2" t="s">
        <v>15279</v>
      </c>
      <c r="B7895" s="2" t="s">
        <v>15280</v>
      </c>
      <c r="C7895" s="2" t="s">
        <v>17</v>
      </c>
      <c r="D7895" s="2" t="s">
        <v>18</v>
      </c>
      <c r="E7895" s="5">
        <v>-28776</v>
      </c>
      <c r="F7895" s="3" t="s">
        <v>312</v>
      </c>
      <c r="G7895" s="3" t="s">
        <v>162</v>
      </c>
      <c r="H7895" s="2" t="s">
        <v>21</v>
      </c>
      <c r="I7895" s="2" t="s">
        <v>15281</v>
      </c>
      <c r="J7895" s="3" t="str">
        <f>HYPERLINK("https://www.boe.es/gazeta/dias/1821/03/18/pdfs/GMD-1821-77.pdf#page=5","Abrir facsímil")</f>
        <v>Abrir facsímil</v>
      </c>
      <c r="K7895" s="3" t="s">
        <v>23</v>
      </c>
    </row>
    <row r="7896" spans="1:11" ht="42" customHeight="1">
      <c r="A7896" s="2" t="s">
        <v>15282</v>
      </c>
      <c r="B7896" s="2" t="s">
        <v>15283</v>
      </c>
      <c r="C7896" s="2" t="s">
        <v>40</v>
      </c>
      <c r="D7896" s="2" t="s">
        <v>41</v>
      </c>
      <c r="E7896" s="5">
        <v>-28662</v>
      </c>
      <c r="F7896" s="3" t="s">
        <v>3289</v>
      </c>
      <c r="G7896" s="3" t="s">
        <v>52</v>
      </c>
      <c r="H7896" s="2" t="s">
        <v>21</v>
      </c>
      <c r="I7896" s="2" t="s">
        <v>15284</v>
      </c>
      <c r="J7896" s="3" t="str">
        <f>HYPERLINK("https://www.boe.es/gazeta/dias/1821/07/10/pdfs/GMD-1821-195.pdf#page=2","Abrir facsímil")</f>
        <v>Abrir facsímil</v>
      </c>
      <c r="K7896" s="3" t="s">
        <v>23</v>
      </c>
    </row>
    <row r="7897" spans="1:11" ht="42" customHeight="1">
      <c r="A7897" s="2" t="s">
        <v>15285</v>
      </c>
      <c r="B7897" s="2" t="s">
        <v>15286</v>
      </c>
      <c r="C7897" s="2" t="s">
        <v>40</v>
      </c>
      <c r="D7897" s="2" t="s">
        <v>41</v>
      </c>
      <c r="E7897" s="5">
        <v>-28509</v>
      </c>
      <c r="F7897" s="3" t="s">
        <v>388</v>
      </c>
      <c r="G7897" s="3" t="s">
        <v>333</v>
      </c>
      <c r="H7897" s="2" t="s">
        <v>21</v>
      </c>
      <c r="I7897" s="2" t="s">
        <v>15287</v>
      </c>
      <c r="J7897" s="3" t="str">
        <f>HYPERLINK("https://www.boe.es/gazeta/dias/1821/12/10/pdfs/GMD-1821-352.pdf#page=8","Abrir facsímil")</f>
        <v>Abrir facsímil</v>
      </c>
      <c r="K7897" s="3" t="s">
        <v>23</v>
      </c>
    </row>
    <row r="7898" spans="1:11" ht="42" customHeight="1">
      <c r="A7898" s="2" t="s">
        <v>15288</v>
      </c>
      <c r="B7898" s="2" t="s">
        <v>15288</v>
      </c>
      <c r="C7898" s="2" t="s">
        <v>114</v>
      </c>
      <c r="D7898" s="2" t="s">
        <v>27</v>
      </c>
      <c r="E7898" s="5">
        <v>-28536</v>
      </c>
      <c r="F7898" s="3" t="s">
        <v>553</v>
      </c>
      <c r="G7898" s="3" t="s">
        <v>20</v>
      </c>
      <c r="H7898" s="2" t="s">
        <v>21</v>
      </c>
      <c r="I7898" s="2" t="s">
        <v>15289</v>
      </c>
      <c r="J7898" s="3" t="str">
        <f>HYPERLINK("https://www.boe.es/gazeta/dias/1821/11/13/pdfs/GMD-1821-324.pdf#page=3","Abrir facsímil")</f>
        <v>Abrir facsímil</v>
      </c>
      <c r="K7898" s="3" t="s">
        <v>23</v>
      </c>
    </row>
    <row r="7899" spans="1:11" ht="42" customHeight="1">
      <c r="A7899" s="2" t="s">
        <v>15290</v>
      </c>
      <c r="B7899" s="2" t="s">
        <v>15291</v>
      </c>
      <c r="C7899" s="2" t="s">
        <v>70</v>
      </c>
      <c r="D7899" s="2" t="s">
        <v>27</v>
      </c>
      <c r="E7899" s="5">
        <v>-28770</v>
      </c>
      <c r="F7899" s="3" t="s">
        <v>1009</v>
      </c>
      <c r="G7899" s="3" t="s">
        <v>29</v>
      </c>
      <c r="H7899" s="2" t="s">
        <v>21</v>
      </c>
      <c r="I7899" s="2" t="s">
        <v>15292</v>
      </c>
      <c r="J7899" s="3" t="str">
        <f>HYPERLINK("https://www.boe.es/gazeta/dias/1821/03/24/pdfs/GMD-1821-84.pdf#page=6","Abrir facsímil")</f>
        <v>Abrir facsímil</v>
      </c>
      <c r="K7899" s="3" t="s">
        <v>23</v>
      </c>
    </row>
    <row r="7900" spans="1:11" ht="42" customHeight="1">
      <c r="A7900" s="2" t="s">
        <v>15293</v>
      </c>
      <c r="B7900" s="2" t="s">
        <v>15294</v>
      </c>
      <c r="C7900" s="2" t="s">
        <v>70</v>
      </c>
      <c r="D7900" s="2" t="s">
        <v>27</v>
      </c>
      <c r="E7900" s="5">
        <v>-28755</v>
      </c>
      <c r="F7900" s="3" t="s">
        <v>906</v>
      </c>
      <c r="G7900" s="3" t="s">
        <v>907</v>
      </c>
      <c r="H7900" s="2" t="s">
        <v>21</v>
      </c>
      <c r="I7900" s="2" t="s">
        <v>15295</v>
      </c>
      <c r="J7900" s="3" t="str">
        <f>HYPERLINK("https://www.boe.es/gazeta/dias/1821/04/08/pdfs/GMD-1821-100.pdf#page=4","Abrir facsímil")</f>
        <v>Abrir facsímil</v>
      </c>
      <c r="K7900" s="3" t="s">
        <v>23</v>
      </c>
    </row>
    <row r="7901" spans="1:11" ht="42" customHeight="1">
      <c r="A7901" s="2" t="s">
        <v>15296</v>
      </c>
      <c r="B7901" s="2" t="s">
        <v>15297</v>
      </c>
      <c r="C7901" s="2" t="s">
        <v>26</v>
      </c>
      <c r="D7901" s="2" t="s">
        <v>27</v>
      </c>
      <c r="E7901" s="5">
        <v>-28610</v>
      </c>
      <c r="F7901" s="3" t="s">
        <v>190</v>
      </c>
      <c r="G7901" s="3" t="s">
        <v>20</v>
      </c>
      <c r="H7901" s="2" t="s">
        <v>21</v>
      </c>
      <c r="I7901" s="2" t="s">
        <v>15298</v>
      </c>
      <c r="J7901" s="3" t="str">
        <f>HYPERLINK("https://www.boe.es/gazeta/dias/1821/08/31/pdfs/GMD-1821-248.pdf#page=3","Abrir facsímil")</f>
        <v>Abrir facsímil</v>
      </c>
      <c r="K7901" s="3" t="s">
        <v>23</v>
      </c>
    </row>
    <row r="7902" spans="1:11" ht="42" customHeight="1">
      <c r="A7902" s="2" t="s">
        <v>15299</v>
      </c>
      <c r="B7902" s="2" t="s">
        <v>15300</v>
      </c>
      <c r="C7902" s="2" t="s">
        <v>26</v>
      </c>
      <c r="D7902" s="2" t="s">
        <v>27</v>
      </c>
      <c r="E7902" s="5">
        <v>-28626</v>
      </c>
      <c r="F7902" s="3" t="s">
        <v>468</v>
      </c>
      <c r="G7902" s="3" t="s">
        <v>88</v>
      </c>
      <c r="H7902" s="2" t="s">
        <v>21</v>
      </c>
      <c r="I7902" s="2" t="s">
        <v>15301</v>
      </c>
      <c r="J7902" s="3" t="str">
        <f>HYPERLINK("https://www.boe.es/gazeta/dias/1821/08/15/pdfs/GMD-1821-232.pdf#page=4","Abrir facsímil")</f>
        <v>Abrir facsímil</v>
      </c>
      <c r="K7902" s="3" t="s">
        <v>23</v>
      </c>
    </row>
    <row r="7903" spans="1:11" ht="42" customHeight="1">
      <c r="A7903" s="2" t="s">
        <v>15302</v>
      </c>
      <c r="B7903" s="2" t="s">
        <v>15303</v>
      </c>
      <c r="C7903" s="2" t="s">
        <v>40</v>
      </c>
      <c r="D7903" s="2" t="s">
        <v>41</v>
      </c>
      <c r="E7903" s="5">
        <v>-28723</v>
      </c>
      <c r="F7903" s="3" t="s">
        <v>840</v>
      </c>
      <c r="G7903" s="3" t="s">
        <v>43</v>
      </c>
      <c r="H7903" s="2" t="s">
        <v>21</v>
      </c>
      <c r="I7903" s="2" t="s">
        <v>15304</v>
      </c>
      <c r="J7903" s="3" t="str">
        <f>HYPERLINK("https://www.boe.es/gazeta/dias/1821/05/10/pdfs/GMD-1821-132.pdf#page=1","Abrir facsímil")</f>
        <v>Abrir facsímil</v>
      </c>
      <c r="K7903" s="3" t="s">
        <v>23</v>
      </c>
    </row>
    <row r="7904" spans="1:11" ht="42" customHeight="1">
      <c r="A7904" s="2" t="s">
        <v>15305</v>
      </c>
      <c r="B7904" s="2" t="s">
        <v>15305</v>
      </c>
      <c r="C7904" s="2" t="s">
        <v>35</v>
      </c>
      <c r="D7904" s="2" t="s">
        <v>27</v>
      </c>
      <c r="E7904" s="5">
        <v>-28801</v>
      </c>
      <c r="F7904" s="3" t="s">
        <v>378</v>
      </c>
      <c r="G7904" s="3" t="s">
        <v>52</v>
      </c>
      <c r="H7904" s="2" t="s">
        <v>21</v>
      </c>
      <c r="I7904" s="2" t="s">
        <v>15306</v>
      </c>
      <c r="J7904" s="3" t="str">
        <f>HYPERLINK("https://www.boe.es/gazeta/dias/1821/02/21/pdfs/GGB-1821-52.pdf#page=2","Abrir facsímil")</f>
        <v>Abrir facsímil</v>
      </c>
      <c r="K7904" s="3" t="s">
        <v>23</v>
      </c>
    </row>
    <row r="7905" spans="1:11" ht="42" customHeight="1">
      <c r="A7905" s="2" t="s">
        <v>15307</v>
      </c>
      <c r="B7905" s="2" t="s">
        <v>15308</v>
      </c>
      <c r="C7905" s="2" t="s">
        <v>17</v>
      </c>
      <c r="D7905" s="2" t="s">
        <v>18</v>
      </c>
      <c r="E7905" s="5">
        <v>-28723</v>
      </c>
      <c r="F7905" s="3" t="s">
        <v>840</v>
      </c>
      <c r="G7905" s="3" t="s">
        <v>43</v>
      </c>
      <c r="H7905" s="2" t="s">
        <v>21</v>
      </c>
      <c r="I7905" s="2" t="s">
        <v>15309</v>
      </c>
      <c r="J7905" s="3" t="str">
        <f>HYPERLINK("https://www.boe.es/gazeta/dias/1821/05/10/pdfs/GMD-1821-132.pdf#page=1","Abrir facsímil")</f>
        <v>Abrir facsímil</v>
      </c>
      <c r="K7905" s="3" t="s">
        <v>23</v>
      </c>
    </row>
    <row r="7906" spans="1:11" ht="42" customHeight="1">
      <c r="A7906" s="2" t="s">
        <v>15310</v>
      </c>
      <c r="B7906" s="2" t="s">
        <v>15311</v>
      </c>
      <c r="C7906" s="2" t="s">
        <v>40</v>
      </c>
      <c r="D7906" s="2" t="s">
        <v>41</v>
      </c>
      <c r="E7906" s="5">
        <v>-28726</v>
      </c>
      <c r="F7906" s="3" t="s">
        <v>347</v>
      </c>
      <c r="G7906" s="3" t="s">
        <v>52</v>
      </c>
      <c r="H7906" s="2" t="s">
        <v>21</v>
      </c>
      <c r="I7906" s="2" t="s">
        <v>15312</v>
      </c>
      <c r="J7906" s="3" t="str">
        <f>HYPERLINK("https://www.boe.es/gazeta/dias/1821/05/07/pdfs/GMD-1821-129.pdf#page=2","Abrir facsímil")</f>
        <v>Abrir facsímil</v>
      </c>
      <c r="K7906" s="3" t="s">
        <v>23</v>
      </c>
    </row>
    <row r="7907" spans="1:11" ht="42" customHeight="1">
      <c r="A7907" s="2" t="s">
        <v>15313</v>
      </c>
      <c r="B7907" s="2" t="s">
        <v>15314</v>
      </c>
      <c r="C7907" s="2" t="s">
        <v>174</v>
      </c>
      <c r="D7907" s="2" t="s">
        <v>27</v>
      </c>
      <c r="E7907" s="5">
        <v>-28642</v>
      </c>
      <c r="F7907" s="3" t="s">
        <v>734</v>
      </c>
      <c r="G7907" s="3" t="s">
        <v>88</v>
      </c>
      <c r="H7907" s="2" t="s">
        <v>21</v>
      </c>
      <c r="I7907" s="2" t="s">
        <v>15315</v>
      </c>
      <c r="J7907" s="3" t="str">
        <f>HYPERLINK("https://www.boe.es/gazeta/dias/1821/07/30/pdfs/GMD-1821-215.pdf#page=4","Abrir facsímil")</f>
        <v>Abrir facsímil</v>
      </c>
      <c r="K7907" s="3" t="s">
        <v>23</v>
      </c>
    </row>
    <row r="7908" spans="1:11" ht="42" customHeight="1">
      <c r="A7908" s="2" t="s">
        <v>15316</v>
      </c>
      <c r="B7908" s="2" t="s">
        <v>15316</v>
      </c>
      <c r="C7908" s="2" t="s">
        <v>17</v>
      </c>
      <c r="D7908" s="2" t="s">
        <v>18</v>
      </c>
      <c r="E7908" s="5">
        <v>-28544</v>
      </c>
      <c r="F7908" s="3" t="s">
        <v>139</v>
      </c>
      <c r="G7908" s="3" t="s">
        <v>88</v>
      </c>
      <c r="H7908" s="2" t="s">
        <v>21</v>
      </c>
      <c r="I7908" s="2" t="s">
        <v>15317</v>
      </c>
      <c r="J7908" s="3" t="str">
        <f>HYPERLINK("https://www.boe.es/gazeta/dias/1821/11/05/pdfs/GMD-1821-316.pdf#page=4","Abrir facsímil")</f>
        <v>Abrir facsímil</v>
      </c>
      <c r="K7908" s="3" t="s">
        <v>23</v>
      </c>
    </row>
    <row r="7909" spans="1:11" ht="42" customHeight="1">
      <c r="A7909" s="2" t="s">
        <v>15318</v>
      </c>
      <c r="B7909" s="2" t="s">
        <v>15319</v>
      </c>
      <c r="C7909" s="2" t="s">
        <v>40</v>
      </c>
      <c r="D7909" s="2" t="s">
        <v>41</v>
      </c>
      <c r="E7909" s="5">
        <v>-28789</v>
      </c>
      <c r="F7909" s="3" t="s">
        <v>36</v>
      </c>
      <c r="G7909" s="3" t="s">
        <v>20</v>
      </c>
      <c r="H7909" s="2" t="s">
        <v>21</v>
      </c>
      <c r="I7909" s="2" t="s">
        <v>15320</v>
      </c>
      <c r="J7909" s="3" t="str">
        <f>HYPERLINK("https://www.boe.es/gazeta/dias/1821/03/05/pdfs/GGB-1821-64.pdf#page=3","Abrir facsímil")</f>
        <v>Abrir facsímil</v>
      </c>
      <c r="K7909" s="3" t="s">
        <v>23</v>
      </c>
    </row>
    <row r="7910" spans="1:11" ht="42" customHeight="1">
      <c r="A7910" s="2" t="s">
        <v>15321</v>
      </c>
      <c r="B7910" s="2" t="s">
        <v>15322</v>
      </c>
      <c r="C7910" s="2" t="s">
        <v>26</v>
      </c>
      <c r="D7910" s="2" t="s">
        <v>27</v>
      </c>
      <c r="E7910" s="5">
        <v>-28528</v>
      </c>
      <c r="F7910" s="3" t="s">
        <v>1872</v>
      </c>
      <c r="G7910" s="3" t="s">
        <v>52</v>
      </c>
      <c r="H7910" s="2" t="s">
        <v>30</v>
      </c>
      <c r="I7910" s="2" t="s">
        <v>15323</v>
      </c>
      <c r="J7910" s="3" t="str">
        <f>HYPERLINK("https://www.boe.es/gazeta/dias/1821/11/21/pdfs/GMD-1821-332.pdf#page=2","Abrir facsímil")</f>
        <v>Abrir facsímil</v>
      </c>
      <c r="K7910" s="3" t="s">
        <v>32</v>
      </c>
    </row>
    <row r="7911" spans="1:11" ht="42" customHeight="1">
      <c r="A7911" s="2" t="s">
        <v>15324</v>
      </c>
      <c r="B7911" s="2" t="s">
        <v>15325</v>
      </c>
      <c r="C7911" s="2" t="s">
        <v>35</v>
      </c>
      <c r="D7911" s="2" t="s">
        <v>27</v>
      </c>
      <c r="E7911" s="5">
        <v>-28734</v>
      </c>
      <c r="F7911" s="3" t="s">
        <v>1553</v>
      </c>
      <c r="G7911" s="3" t="s">
        <v>20</v>
      </c>
      <c r="H7911" s="2" t="s">
        <v>21</v>
      </c>
      <c r="I7911" s="2" t="s">
        <v>15326</v>
      </c>
      <c r="J7911" s="3" t="str">
        <f>HYPERLINK("https://www.boe.es/gazeta/dias/1821/04/29/pdfs/GMD-1821-121.pdf#page=3","Abrir facsímil")</f>
        <v>Abrir facsímil</v>
      </c>
      <c r="K7911" s="3" t="s">
        <v>23</v>
      </c>
    </row>
    <row r="7912" spans="1:11" ht="42" customHeight="1">
      <c r="A7912" s="2" t="s">
        <v>15327</v>
      </c>
      <c r="B7912" s="2" t="s">
        <v>15327</v>
      </c>
      <c r="C7912" s="2" t="s">
        <v>35</v>
      </c>
      <c r="D7912" s="2" t="s">
        <v>27</v>
      </c>
      <c r="E7912" s="5">
        <v>-28851</v>
      </c>
      <c r="F7912" s="3" t="s">
        <v>3227</v>
      </c>
      <c r="G7912" s="3" t="s">
        <v>52</v>
      </c>
      <c r="H7912" s="2" t="s">
        <v>21</v>
      </c>
      <c r="I7912" s="2" t="s">
        <v>15328</v>
      </c>
      <c r="J7912" s="3" t="str">
        <f>HYPERLINK("https://www.boe.es/gazeta/dias/1821/01/02/pdfs/GGB-1821-2.pdf#page=2","Abrir facsímil")</f>
        <v>Abrir facsímil</v>
      </c>
      <c r="K7912" s="3" t="s">
        <v>23</v>
      </c>
    </row>
    <row r="7913" spans="1:11" ht="42" customHeight="1">
      <c r="A7913" s="2" t="s">
        <v>15329</v>
      </c>
      <c r="B7913" s="2" t="s">
        <v>15330</v>
      </c>
      <c r="C7913" s="2" t="s">
        <v>26</v>
      </c>
      <c r="D7913" s="2" t="s">
        <v>27</v>
      </c>
      <c r="E7913" s="5">
        <v>-28691</v>
      </c>
      <c r="F7913" s="3" t="s">
        <v>716</v>
      </c>
      <c r="G7913" s="3" t="s">
        <v>43</v>
      </c>
      <c r="H7913" s="2" t="s">
        <v>21</v>
      </c>
      <c r="I7913" s="2" t="s">
        <v>15331</v>
      </c>
      <c r="J7913" s="3" t="str">
        <f>HYPERLINK("https://www.boe.es/gazeta/dias/1821/06/11/pdfs/GMD-1821-164.pdf#page=1","Abrir facsímil")</f>
        <v>Abrir facsímil</v>
      </c>
      <c r="K7913" s="3" t="s">
        <v>23</v>
      </c>
    </row>
    <row r="7914" spans="1:11" ht="42" customHeight="1">
      <c r="A7914" s="2" t="s">
        <v>15332</v>
      </c>
      <c r="B7914" s="2" t="s">
        <v>15333</v>
      </c>
      <c r="C7914" s="2" t="s">
        <v>40</v>
      </c>
      <c r="D7914" s="2" t="s">
        <v>41</v>
      </c>
      <c r="E7914" s="5">
        <v>-28528</v>
      </c>
      <c r="F7914" s="3" t="s">
        <v>1872</v>
      </c>
      <c r="G7914" s="3" t="s">
        <v>52</v>
      </c>
      <c r="H7914" s="2" t="s">
        <v>21</v>
      </c>
      <c r="I7914" s="2" t="s">
        <v>15334</v>
      </c>
      <c r="J7914" s="3" t="str">
        <f>HYPERLINK("https://www.boe.es/gazeta/dias/1821/11/21/pdfs/GMD-1821-332.pdf#page=2","Abrir facsímil")</f>
        <v>Abrir facsímil</v>
      </c>
      <c r="K7914" s="3" t="s">
        <v>23</v>
      </c>
    </row>
    <row r="7915" spans="1:11" ht="42" customHeight="1">
      <c r="A7915" s="2" t="s">
        <v>15335</v>
      </c>
      <c r="B7915" s="2" t="s">
        <v>15335</v>
      </c>
      <c r="C7915" s="2" t="s">
        <v>40</v>
      </c>
      <c r="D7915" s="2" t="s">
        <v>41</v>
      </c>
      <c r="E7915" s="5">
        <v>-28834</v>
      </c>
      <c r="F7915" s="3" t="s">
        <v>369</v>
      </c>
      <c r="G7915" s="3" t="s">
        <v>20</v>
      </c>
      <c r="H7915" s="2" t="s">
        <v>21</v>
      </c>
      <c r="I7915" s="2" t="s">
        <v>15336</v>
      </c>
      <c r="J7915" s="3" t="str">
        <f>HYPERLINK("https://www.boe.es/gazeta/dias/1821/01/19/pdfs/GGB-1821-19.pdf#page=3","Abrir facsímil")</f>
        <v>Abrir facsímil</v>
      </c>
      <c r="K7915" s="3" t="s">
        <v>23</v>
      </c>
    </row>
    <row r="7916" spans="1:11" ht="42" customHeight="1">
      <c r="A7916" s="2" t="s">
        <v>15337</v>
      </c>
      <c r="B7916" s="2" t="s">
        <v>15338</v>
      </c>
      <c r="C7916" s="2" t="s">
        <v>26</v>
      </c>
      <c r="D7916" s="2" t="s">
        <v>27</v>
      </c>
      <c r="E7916" s="5">
        <v>-28667</v>
      </c>
      <c r="F7916" s="3" t="s">
        <v>107</v>
      </c>
      <c r="G7916" s="3" t="s">
        <v>52</v>
      </c>
      <c r="H7916" s="2" t="s">
        <v>21</v>
      </c>
      <c r="I7916" s="2" t="s">
        <v>15339</v>
      </c>
      <c r="J7916" s="3" t="str">
        <f>HYPERLINK("https://www.boe.es/gazeta/dias/1821/07/05/pdfs/GMD-1821-189.pdf#page=2","Abrir facsímil")</f>
        <v>Abrir facsímil</v>
      </c>
      <c r="K7916" s="3" t="s">
        <v>23</v>
      </c>
    </row>
    <row r="7917" spans="1:11" ht="42" customHeight="1">
      <c r="A7917" s="2" t="s">
        <v>15340</v>
      </c>
      <c r="B7917" s="2" t="s">
        <v>15341</v>
      </c>
      <c r="C7917" s="2" t="s">
        <v>17</v>
      </c>
      <c r="D7917" s="2" t="s">
        <v>18</v>
      </c>
      <c r="E7917" s="5">
        <v>-28758</v>
      </c>
      <c r="F7917" s="3" t="s">
        <v>4115</v>
      </c>
      <c r="G7917" s="3" t="s">
        <v>7429</v>
      </c>
      <c r="H7917" s="2" t="s">
        <v>21</v>
      </c>
      <c r="I7917" s="2" t="s">
        <v>15342</v>
      </c>
      <c r="J7917" s="3" t="str">
        <f>HYPERLINK("https://www.boe.es/gazeta/dias/1821/04/05/pdfs/GMD-1821-97.pdf#page=4","Abrir facsímil")</f>
        <v>Abrir facsímil</v>
      </c>
      <c r="K7917" s="3" t="s">
        <v>23</v>
      </c>
    </row>
    <row r="7918" spans="1:11" ht="42" customHeight="1">
      <c r="A7918" s="2" t="s">
        <v>15340</v>
      </c>
      <c r="B7918" s="2" t="s">
        <v>15341</v>
      </c>
      <c r="C7918" s="2" t="s">
        <v>40</v>
      </c>
      <c r="D7918" s="2" t="s">
        <v>41</v>
      </c>
      <c r="E7918" s="5">
        <v>-28745</v>
      </c>
      <c r="F7918" s="3" t="s">
        <v>1020</v>
      </c>
      <c r="G7918" s="3" t="s">
        <v>88</v>
      </c>
      <c r="H7918" s="2" t="s">
        <v>21</v>
      </c>
      <c r="I7918" s="2" t="s">
        <v>15343</v>
      </c>
      <c r="J7918" s="3" t="str">
        <f>HYPERLINK("https://www.boe.es/gazeta/dias/1821/04/18/pdfs/GMD-1821-110.pdf#page=4","Abrir facsímil")</f>
        <v>Abrir facsímil</v>
      </c>
      <c r="K7918" s="3" t="s">
        <v>23</v>
      </c>
    </row>
    <row r="7919" spans="1:11" ht="42" customHeight="1">
      <c r="A7919" s="2" t="s">
        <v>15340</v>
      </c>
      <c r="B7919" s="2" t="s">
        <v>15341</v>
      </c>
      <c r="C7919" s="2" t="s">
        <v>40</v>
      </c>
      <c r="D7919" s="2" t="s">
        <v>41</v>
      </c>
      <c r="E7919" s="5">
        <v>-28607</v>
      </c>
      <c r="F7919" s="3" t="s">
        <v>740</v>
      </c>
      <c r="G7919" s="3" t="s">
        <v>88</v>
      </c>
      <c r="H7919" s="2" t="s">
        <v>21</v>
      </c>
      <c r="I7919" s="2" t="s">
        <v>15344</v>
      </c>
      <c r="J7919" s="3" t="str">
        <f>HYPERLINK("https://www.boe.es/gazeta/dias/1821/09/03/pdfs/GMD-1821-251.pdf#page=4","Abrir facsímil")</f>
        <v>Abrir facsímil</v>
      </c>
      <c r="K7919" s="3" t="s">
        <v>23</v>
      </c>
    </row>
    <row r="7920" spans="1:11" ht="42" customHeight="1">
      <c r="A7920" s="2" t="s">
        <v>15345</v>
      </c>
      <c r="B7920" s="2" t="s">
        <v>15346</v>
      </c>
      <c r="C7920" s="2" t="s">
        <v>26</v>
      </c>
      <c r="D7920" s="2" t="s">
        <v>27</v>
      </c>
      <c r="E7920" s="5">
        <v>-28830</v>
      </c>
      <c r="F7920" s="3" t="s">
        <v>3230</v>
      </c>
      <c r="G7920" s="3" t="s">
        <v>20</v>
      </c>
      <c r="H7920" s="2" t="s">
        <v>30</v>
      </c>
      <c r="I7920" s="2" t="s">
        <v>15347</v>
      </c>
      <c r="J7920" s="3" t="str">
        <f>HYPERLINK("https://www.boe.es/gazeta/dias/1821/01/23/pdfs/GGB-1821-23.pdf#page=3","Abrir facsímil")</f>
        <v>Abrir facsímil</v>
      </c>
      <c r="K7920" s="3" t="s">
        <v>32</v>
      </c>
    </row>
    <row r="7921" spans="1:11" ht="42" customHeight="1">
      <c r="A7921" s="2" t="s">
        <v>15348</v>
      </c>
      <c r="B7921" s="2" t="s">
        <v>15349</v>
      </c>
      <c r="C7921" s="2" t="s">
        <v>174</v>
      </c>
      <c r="D7921" s="2" t="s">
        <v>27</v>
      </c>
      <c r="E7921" s="5">
        <v>-28530</v>
      </c>
      <c r="F7921" s="3" t="s">
        <v>237</v>
      </c>
      <c r="G7921" s="3" t="s">
        <v>52</v>
      </c>
      <c r="H7921" s="2" t="s">
        <v>21</v>
      </c>
      <c r="I7921" s="2" t="s">
        <v>15350</v>
      </c>
      <c r="J7921" s="3" t="str">
        <f>HYPERLINK("https://www.boe.es/gazeta/dias/1821/11/19/pdfs/GMD-1821-330.pdf#page=2","Abrir facsímil")</f>
        <v>Abrir facsímil</v>
      </c>
      <c r="K7921" s="3" t="s">
        <v>23</v>
      </c>
    </row>
    <row r="7922" spans="1:11" ht="42" customHeight="1">
      <c r="A7922" s="2" t="s">
        <v>15351</v>
      </c>
      <c r="B7922" s="2" t="s">
        <v>15352</v>
      </c>
      <c r="C7922" s="2" t="s">
        <v>26</v>
      </c>
      <c r="D7922" s="2" t="s">
        <v>27</v>
      </c>
      <c r="E7922" s="5">
        <v>-28690</v>
      </c>
      <c r="F7922" s="3" t="s">
        <v>846</v>
      </c>
      <c r="G7922" s="3" t="s">
        <v>43</v>
      </c>
      <c r="H7922" s="2" t="s">
        <v>21</v>
      </c>
      <c r="I7922" s="2" t="s">
        <v>15353</v>
      </c>
      <c r="J7922" s="3" t="str">
        <f>HYPERLINK("https://www.boe.es/gazeta/dias/1821/06/12/pdfs/GMD-1821-165.pdf#page=1","Abrir facsímil")</f>
        <v>Abrir facsímil</v>
      </c>
      <c r="K7922" s="3" t="s">
        <v>23</v>
      </c>
    </row>
    <row r="7923" spans="1:11" ht="42" customHeight="1">
      <c r="A7923" s="2" t="s">
        <v>15354</v>
      </c>
      <c r="B7923" s="2" t="s">
        <v>15355</v>
      </c>
      <c r="C7923" s="2" t="s">
        <v>35</v>
      </c>
      <c r="D7923" s="2" t="s">
        <v>27</v>
      </c>
      <c r="E7923" s="5">
        <v>-28607</v>
      </c>
      <c r="F7923" s="3" t="s">
        <v>740</v>
      </c>
      <c r="G7923" s="3" t="s">
        <v>88</v>
      </c>
      <c r="H7923" s="2" t="s">
        <v>21</v>
      </c>
      <c r="I7923" s="2" t="s">
        <v>15356</v>
      </c>
      <c r="J7923" s="3" t="str">
        <f>HYPERLINK("https://www.boe.es/gazeta/dias/1821/09/03/pdfs/GMD-1821-251.pdf#page=4","Abrir facsímil")</f>
        <v>Abrir facsímil</v>
      </c>
      <c r="K7923" s="3" t="s">
        <v>23</v>
      </c>
    </row>
    <row r="7924" spans="1:11" ht="42" customHeight="1">
      <c r="A7924" s="2" t="s">
        <v>15357</v>
      </c>
      <c r="B7924" s="2" t="s">
        <v>15358</v>
      </c>
      <c r="C7924" s="2" t="s">
        <v>114</v>
      </c>
      <c r="D7924" s="2" t="s">
        <v>27</v>
      </c>
      <c r="E7924" s="5">
        <v>-28650</v>
      </c>
      <c r="F7924" s="3" t="s">
        <v>3285</v>
      </c>
      <c r="G7924" s="3" t="s">
        <v>20</v>
      </c>
      <c r="H7924" s="2" t="s">
        <v>21</v>
      </c>
      <c r="I7924" s="2" t="s">
        <v>15359</v>
      </c>
      <c r="J7924" s="3" t="str">
        <f>HYPERLINK("https://www.boe.es/gazeta/dias/1821/07/22/pdfs/GMD-1821-207.pdf#page=3","Abrir facsímil")</f>
        <v>Abrir facsímil</v>
      </c>
      <c r="K7924" s="3" t="s">
        <v>23</v>
      </c>
    </row>
    <row r="7925" spans="1:11" ht="42" customHeight="1">
      <c r="A7925" s="2" t="s">
        <v>15360</v>
      </c>
      <c r="B7925" s="2" t="s">
        <v>15361</v>
      </c>
      <c r="C7925" s="2" t="s">
        <v>40</v>
      </c>
      <c r="D7925" s="2" t="s">
        <v>41</v>
      </c>
      <c r="E7925" s="5">
        <v>-28667</v>
      </c>
      <c r="F7925" s="3" t="s">
        <v>107</v>
      </c>
      <c r="G7925" s="3" t="s">
        <v>20</v>
      </c>
      <c r="H7925" s="2" t="s">
        <v>21</v>
      </c>
      <c r="I7925" s="2" t="s">
        <v>15362</v>
      </c>
      <c r="J7925" s="3" t="str">
        <f>HYPERLINK("https://www.boe.es/gazeta/dias/1821/07/05/pdfs/GMD-1821-189.pdf#page=3","Abrir facsímil")</f>
        <v>Abrir facsímil</v>
      </c>
      <c r="K7925" s="3" t="s">
        <v>23</v>
      </c>
    </row>
    <row r="7926" spans="1:11" ht="42" customHeight="1">
      <c r="A7926" s="2" t="s">
        <v>15363</v>
      </c>
      <c r="B7926" s="2" t="s">
        <v>15363</v>
      </c>
      <c r="C7926" s="2" t="s">
        <v>40</v>
      </c>
      <c r="D7926" s="2" t="s">
        <v>41</v>
      </c>
      <c r="E7926" s="5">
        <v>-28621</v>
      </c>
      <c r="F7926" s="3" t="s">
        <v>1317</v>
      </c>
      <c r="G7926" s="3" t="s">
        <v>43</v>
      </c>
      <c r="H7926" s="2" t="s">
        <v>21</v>
      </c>
      <c r="I7926" s="2" t="s">
        <v>15364</v>
      </c>
      <c r="J7926" s="3" t="str">
        <f>HYPERLINK("https://www.boe.es/gazeta/dias/1821/08/20/pdfs/GMD-1821-237.pdf#page=1","Abrir facsímil")</f>
        <v>Abrir facsímil</v>
      </c>
      <c r="K7926" s="3" t="s">
        <v>23</v>
      </c>
    </row>
    <row r="7927" spans="1:11" ht="42" customHeight="1">
      <c r="A7927" s="2" t="s">
        <v>15365</v>
      </c>
      <c r="B7927" s="2" t="s">
        <v>15366</v>
      </c>
      <c r="C7927" s="2" t="s">
        <v>40</v>
      </c>
      <c r="D7927" s="2" t="s">
        <v>41</v>
      </c>
      <c r="E7927" s="5">
        <v>-28850</v>
      </c>
      <c r="F7927" s="3" t="s">
        <v>664</v>
      </c>
      <c r="G7927" s="3" t="s">
        <v>20</v>
      </c>
      <c r="H7927" s="2" t="s">
        <v>21</v>
      </c>
      <c r="I7927" s="2" t="s">
        <v>15367</v>
      </c>
      <c r="J7927" s="3" t="str">
        <f>HYPERLINK("https://www.boe.es/gazeta/dias/1821/01/03/pdfs/GGB-1821-3.pdf#page=3","Abrir facsímil")</f>
        <v>Abrir facsímil</v>
      </c>
      <c r="K7927" s="3" t="s">
        <v>23</v>
      </c>
    </row>
    <row r="7928" spans="1:11" ht="42" customHeight="1">
      <c r="A7928" s="2" t="s">
        <v>15368</v>
      </c>
      <c r="B7928" s="2" t="s">
        <v>15369</v>
      </c>
      <c r="C7928" s="2" t="s">
        <v>26</v>
      </c>
      <c r="D7928" s="2" t="s">
        <v>27</v>
      </c>
      <c r="E7928" s="5">
        <v>-28720</v>
      </c>
      <c r="F7928" s="3" t="s">
        <v>492</v>
      </c>
      <c r="G7928" s="3" t="s">
        <v>43</v>
      </c>
      <c r="H7928" s="2" t="s">
        <v>21</v>
      </c>
      <c r="I7928" s="2" t="s">
        <v>15370</v>
      </c>
      <c r="J7928" s="3" t="str">
        <f>HYPERLINK("https://www.boe.es/gazeta/dias/1821/05/13/pdfs/GMD-1821-135.pdf#page=1","Abrir facsímil")</f>
        <v>Abrir facsímil</v>
      </c>
      <c r="K7928" s="3" t="s">
        <v>23</v>
      </c>
    </row>
    <row r="7929" spans="1:11" ht="42" customHeight="1">
      <c r="A7929" s="2" t="s">
        <v>15371</v>
      </c>
      <c r="B7929" s="2" t="s">
        <v>15371</v>
      </c>
      <c r="C7929" s="2" t="s">
        <v>40</v>
      </c>
      <c r="D7929" s="2" t="s">
        <v>41</v>
      </c>
      <c r="E7929" s="5">
        <v>-28564</v>
      </c>
      <c r="F7929" s="3" t="s">
        <v>861</v>
      </c>
      <c r="G7929" s="3" t="s">
        <v>52</v>
      </c>
      <c r="H7929" s="2" t="s">
        <v>21</v>
      </c>
      <c r="I7929" s="2" t="s">
        <v>15372</v>
      </c>
      <c r="J7929" s="3" t="str">
        <f>HYPERLINK("https://www.boe.es/gazeta/dias/1821/10/16/pdfs/GMD-1821-295.pdf#page=2","Abrir facsímil")</f>
        <v>Abrir facsímil</v>
      </c>
      <c r="K7929" s="3" t="s">
        <v>23</v>
      </c>
    </row>
    <row r="7930" spans="1:11" ht="42" customHeight="1">
      <c r="A7930" s="2" t="s">
        <v>15373</v>
      </c>
      <c r="B7930" s="2" t="s">
        <v>15374</v>
      </c>
      <c r="C7930" s="2" t="s">
        <v>40</v>
      </c>
      <c r="D7930" s="2" t="s">
        <v>41</v>
      </c>
      <c r="E7930" s="5">
        <v>-28793</v>
      </c>
      <c r="F7930" s="3" t="s">
        <v>157</v>
      </c>
      <c r="G7930" s="3" t="s">
        <v>162</v>
      </c>
      <c r="H7930" s="2" t="s">
        <v>21</v>
      </c>
      <c r="I7930" s="2" t="s">
        <v>15375</v>
      </c>
      <c r="J7930" s="3" t="str">
        <f>HYPERLINK("https://www.boe.es/gazeta/dias/1821/03/01/pdfs/GGB-1821-60.pdf#page=5","Abrir facsímil")</f>
        <v>Abrir facsímil</v>
      </c>
      <c r="K7930" s="3" t="s">
        <v>23</v>
      </c>
    </row>
    <row r="7931" spans="1:11" ht="42" customHeight="1">
      <c r="A7931" s="2" t="s">
        <v>15376</v>
      </c>
      <c r="B7931" s="2" t="s">
        <v>15377</v>
      </c>
      <c r="C7931" s="2" t="s">
        <v>26</v>
      </c>
      <c r="D7931" s="2" t="s">
        <v>27</v>
      </c>
      <c r="E7931" s="5">
        <v>-28743</v>
      </c>
      <c r="F7931" s="3" t="s">
        <v>51</v>
      </c>
      <c r="G7931" s="3" t="s">
        <v>88</v>
      </c>
      <c r="H7931" s="2" t="s">
        <v>21</v>
      </c>
      <c r="I7931" s="2" t="s">
        <v>15378</v>
      </c>
      <c r="J7931" s="3" t="str">
        <f>HYPERLINK("https://www.boe.es/gazeta/dias/1821/04/20/pdfs/GMD-1821-112.pdf#page=4","Abrir facsímil")</f>
        <v>Abrir facsímil</v>
      </c>
      <c r="K7931" s="3" t="s">
        <v>23</v>
      </c>
    </row>
    <row r="7932" spans="1:11" ht="42" customHeight="1">
      <c r="A7932" s="2" t="s">
        <v>15379</v>
      </c>
      <c r="B7932" s="2" t="s">
        <v>15380</v>
      </c>
      <c r="C7932" s="2" t="s">
        <v>40</v>
      </c>
      <c r="D7932" s="2" t="s">
        <v>41</v>
      </c>
      <c r="E7932" s="5">
        <v>-28738</v>
      </c>
      <c r="F7932" s="3" t="s">
        <v>359</v>
      </c>
      <c r="G7932" s="3" t="s">
        <v>88</v>
      </c>
      <c r="H7932" s="2" t="s">
        <v>21</v>
      </c>
      <c r="I7932" s="2" t="s">
        <v>15381</v>
      </c>
      <c r="J7932" s="3" t="str">
        <f>HYPERLINK("https://www.boe.es/gazeta/dias/1821/04/25/pdfs/GMD-1821-117.pdf#page=4","Abrir facsímil")</f>
        <v>Abrir facsímil</v>
      </c>
      <c r="K7932" s="3" t="s">
        <v>23</v>
      </c>
    </row>
    <row r="7933" spans="1:11" ht="42" customHeight="1">
      <c r="A7933" s="2" t="s">
        <v>15379</v>
      </c>
      <c r="B7933" s="2" t="s">
        <v>15380</v>
      </c>
      <c r="C7933" s="2" t="s">
        <v>40</v>
      </c>
      <c r="D7933" s="2" t="s">
        <v>41</v>
      </c>
      <c r="E7933" s="5">
        <v>-28734</v>
      </c>
      <c r="F7933" s="3" t="s">
        <v>1553</v>
      </c>
      <c r="G7933" s="3" t="s">
        <v>20</v>
      </c>
      <c r="H7933" s="2" t="s">
        <v>21</v>
      </c>
      <c r="I7933" s="2" t="s">
        <v>15382</v>
      </c>
      <c r="J7933" s="3" t="str">
        <f>HYPERLINK("https://www.boe.es/gazeta/dias/1821/04/29/pdfs/GMD-1821-121.pdf#page=3","Abrir facsímil")</f>
        <v>Abrir facsímil</v>
      </c>
      <c r="K7933" s="3" t="s">
        <v>23</v>
      </c>
    </row>
    <row r="7934" spans="1:11" ht="42" customHeight="1">
      <c r="A7934" s="2" t="s">
        <v>15383</v>
      </c>
      <c r="B7934" s="2" t="s">
        <v>15384</v>
      </c>
      <c r="C7934" s="2" t="s">
        <v>40</v>
      </c>
      <c r="D7934" s="2" t="s">
        <v>41</v>
      </c>
      <c r="E7934" s="5">
        <v>-28509</v>
      </c>
      <c r="F7934" s="3" t="s">
        <v>388</v>
      </c>
      <c r="G7934" s="3" t="s">
        <v>333</v>
      </c>
      <c r="H7934" s="2" t="s">
        <v>21</v>
      </c>
      <c r="I7934" s="2" t="s">
        <v>15385</v>
      </c>
      <c r="J7934" s="3" t="str">
        <f>HYPERLINK("https://www.boe.es/gazeta/dias/1821/12/10/pdfs/GMD-1821-352.pdf#page=8","Abrir facsímil")</f>
        <v>Abrir facsímil</v>
      </c>
      <c r="K7934" s="3" t="s">
        <v>23</v>
      </c>
    </row>
    <row r="7935" spans="1:11" ht="42" customHeight="1">
      <c r="A7935" s="2" t="s">
        <v>15386</v>
      </c>
      <c r="B7935" s="2" t="s">
        <v>15387</v>
      </c>
      <c r="C7935" s="2" t="s">
        <v>40</v>
      </c>
      <c r="D7935" s="2" t="s">
        <v>41</v>
      </c>
      <c r="E7935" s="5">
        <v>-28780</v>
      </c>
      <c r="F7935" s="3" t="s">
        <v>143</v>
      </c>
      <c r="G7935" s="3" t="s">
        <v>20</v>
      </c>
      <c r="H7935" s="2" t="s">
        <v>21</v>
      </c>
      <c r="I7935" s="2" t="s">
        <v>15388</v>
      </c>
      <c r="J7935" s="3" t="str">
        <f>HYPERLINK("https://www.boe.es/gazeta/dias/1821/03/14/pdfs/GMD-1821-73.pdf#page=3","Abrir facsímil")</f>
        <v>Abrir facsímil</v>
      </c>
      <c r="K7935" s="3" t="s">
        <v>23</v>
      </c>
    </row>
    <row r="7936" spans="1:11" ht="42" customHeight="1">
      <c r="A7936" s="2" t="s">
        <v>15386</v>
      </c>
      <c r="B7936" s="2" t="s">
        <v>15387</v>
      </c>
      <c r="C7936" s="2" t="s">
        <v>70</v>
      </c>
      <c r="D7936" s="2" t="s">
        <v>27</v>
      </c>
      <c r="E7936" s="5">
        <v>-28743</v>
      </c>
      <c r="F7936" s="3" t="s">
        <v>51</v>
      </c>
      <c r="G7936" s="3" t="s">
        <v>88</v>
      </c>
      <c r="H7936" s="2" t="s">
        <v>21</v>
      </c>
      <c r="I7936" s="2" t="s">
        <v>15389</v>
      </c>
      <c r="J7936" s="3" t="str">
        <f>HYPERLINK("https://www.boe.es/gazeta/dias/1821/04/20/pdfs/GMD-1821-112.pdf#page=4","Abrir facsímil")</f>
        <v>Abrir facsímil</v>
      </c>
      <c r="K7936" s="3" t="s">
        <v>23</v>
      </c>
    </row>
    <row r="7937" spans="1:11" ht="42" customHeight="1">
      <c r="A7937" s="2" t="s">
        <v>15390</v>
      </c>
      <c r="B7937" s="2" t="s">
        <v>15391</v>
      </c>
      <c r="C7937" s="2" t="s">
        <v>40</v>
      </c>
      <c r="D7937" s="2" t="s">
        <v>41</v>
      </c>
      <c r="E7937" s="5">
        <v>-28492</v>
      </c>
      <c r="F7937" s="3" t="s">
        <v>1550</v>
      </c>
      <c r="G7937" s="3" t="s">
        <v>88</v>
      </c>
      <c r="H7937" s="2" t="s">
        <v>21</v>
      </c>
      <c r="I7937" s="2" t="s">
        <v>15392</v>
      </c>
      <c r="J7937" s="3" t="str">
        <f>HYPERLINK("https://www.boe.es/gazeta/dias/1821/12/27/pdfs/GMD-1821-370.pdf#page=4","Abrir facsímil")</f>
        <v>Abrir facsímil</v>
      </c>
      <c r="K7937" s="3" t="s">
        <v>23</v>
      </c>
    </row>
    <row r="7938" spans="1:11" ht="42" customHeight="1">
      <c r="A7938" s="2" t="s">
        <v>15393</v>
      </c>
      <c r="B7938" s="2" t="s">
        <v>15394</v>
      </c>
      <c r="C7938" s="2" t="s">
        <v>40</v>
      </c>
      <c r="D7938" s="2" t="s">
        <v>41</v>
      </c>
      <c r="E7938" s="5">
        <v>-28626</v>
      </c>
      <c r="F7938" s="3" t="s">
        <v>468</v>
      </c>
      <c r="G7938" s="3" t="s">
        <v>88</v>
      </c>
      <c r="H7938" s="2" t="s">
        <v>21</v>
      </c>
      <c r="I7938" s="2" t="s">
        <v>15395</v>
      </c>
      <c r="J7938" s="3" t="str">
        <f>HYPERLINK("https://www.boe.es/gazeta/dias/1821/08/15/pdfs/GMD-1821-232.pdf#page=4","Abrir facsímil")</f>
        <v>Abrir facsímil</v>
      </c>
      <c r="K7938" s="3" t="s">
        <v>23</v>
      </c>
    </row>
    <row r="7939" spans="1:11" ht="42" customHeight="1">
      <c r="A7939" s="2" t="s">
        <v>15396</v>
      </c>
      <c r="B7939" s="2" t="s">
        <v>15397</v>
      </c>
      <c r="C7939" s="2" t="s">
        <v>17</v>
      </c>
      <c r="D7939" s="2" t="s">
        <v>18</v>
      </c>
      <c r="E7939" s="5">
        <v>-28783</v>
      </c>
      <c r="F7939" s="3" t="s">
        <v>198</v>
      </c>
      <c r="G7939" s="3" t="s">
        <v>20</v>
      </c>
      <c r="H7939" s="2" t="s">
        <v>21</v>
      </c>
      <c r="I7939" s="2" t="s">
        <v>15398</v>
      </c>
      <c r="J7939" s="3" t="str">
        <f>HYPERLINK("https://www.boe.es/gazeta/dias/1821/03/11/pdfs/GGB-1821-70.pdf#page=3","Abrir facsímil")</f>
        <v>Abrir facsímil</v>
      </c>
      <c r="K7939" s="3" t="s">
        <v>23</v>
      </c>
    </row>
    <row r="7940" spans="1:11" ht="42" customHeight="1">
      <c r="A7940" s="2" t="s">
        <v>15399</v>
      </c>
      <c r="B7940" s="2" t="s">
        <v>15400</v>
      </c>
      <c r="C7940" s="2" t="s">
        <v>40</v>
      </c>
      <c r="D7940" s="2" t="s">
        <v>41</v>
      </c>
      <c r="E7940" s="5">
        <v>-28666</v>
      </c>
      <c r="F7940" s="3" t="s">
        <v>1263</v>
      </c>
      <c r="G7940" s="3" t="s">
        <v>88</v>
      </c>
      <c r="H7940" s="2" t="s">
        <v>21</v>
      </c>
      <c r="I7940" s="2" t="s">
        <v>15401</v>
      </c>
      <c r="J7940" s="3" t="str">
        <f>HYPERLINK("https://www.boe.es/gazeta/dias/1821/07/06/pdfs/GMD-1821-190.pdf#page=4","Abrir facsímil")</f>
        <v>Abrir facsímil</v>
      </c>
      <c r="K7940" s="3" t="s">
        <v>23</v>
      </c>
    </row>
    <row r="7941" spans="1:11" ht="42" customHeight="1">
      <c r="A7941" s="2" t="s">
        <v>15402</v>
      </c>
      <c r="B7941" s="2" t="s">
        <v>15403</v>
      </c>
      <c r="C7941" s="2" t="s">
        <v>40</v>
      </c>
      <c r="D7941" s="2" t="s">
        <v>41</v>
      </c>
      <c r="E7941" s="5">
        <v>-28547</v>
      </c>
      <c r="F7941" s="3" t="s">
        <v>247</v>
      </c>
      <c r="G7941" s="3" t="s">
        <v>248</v>
      </c>
      <c r="H7941" s="2" t="s">
        <v>21</v>
      </c>
      <c r="I7941" s="2" t="s">
        <v>15404</v>
      </c>
      <c r="J7941" s="3" t="str">
        <f>HYPERLINK("https://www.boe.es/gazeta/dias/1821/11/02/pdfs/GMD-1821-312.pdf#page=2","Abrir facsímil")</f>
        <v>Abrir facsímil</v>
      </c>
      <c r="K7941" s="3" t="s">
        <v>23</v>
      </c>
    </row>
    <row r="7942" spans="1:11" ht="42" customHeight="1">
      <c r="A7942" s="2" t="s">
        <v>15405</v>
      </c>
      <c r="B7942" s="2" t="s">
        <v>15406</v>
      </c>
      <c r="C7942" s="2" t="s">
        <v>26</v>
      </c>
      <c r="D7942" s="2" t="s">
        <v>27</v>
      </c>
      <c r="E7942" s="5">
        <v>-28836</v>
      </c>
      <c r="F7942" s="3" t="s">
        <v>601</v>
      </c>
      <c r="G7942" s="3" t="s">
        <v>88</v>
      </c>
      <c r="H7942" s="2" t="s">
        <v>21</v>
      </c>
      <c r="I7942" s="2" t="s">
        <v>15407</v>
      </c>
      <c r="J7942" s="3" t="str">
        <f>HYPERLINK("https://www.boe.es/gazeta/dias/1821/01/17/pdfs/GGB-1821-17.pdf#page=4","Abrir facsímil")</f>
        <v>Abrir facsímil</v>
      </c>
      <c r="K7942" s="3" t="s">
        <v>23</v>
      </c>
    </row>
    <row r="7943" spans="1:11" ht="42" customHeight="1">
      <c r="A7943" s="2" t="s">
        <v>15408</v>
      </c>
      <c r="B7943" s="2" t="s">
        <v>15409</v>
      </c>
      <c r="C7943" s="2" t="s">
        <v>17</v>
      </c>
      <c r="D7943" s="2" t="s">
        <v>18</v>
      </c>
      <c r="E7943" s="5">
        <v>-28669</v>
      </c>
      <c r="F7943" s="3" t="s">
        <v>2816</v>
      </c>
      <c r="G7943" s="3" t="s">
        <v>88</v>
      </c>
      <c r="H7943" s="2" t="s">
        <v>21</v>
      </c>
      <c r="I7943" s="2" t="s">
        <v>15410</v>
      </c>
      <c r="J7943" s="3" t="str">
        <f>HYPERLINK("https://www.boe.es/gazeta/dias/1821/07/03/pdfs/GMD-1821-187.pdf#page=4","Abrir facsímil")</f>
        <v>Abrir facsímil</v>
      </c>
      <c r="K7943" s="3" t="s">
        <v>23</v>
      </c>
    </row>
    <row r="7944" spans="1:11" ht="42" customHeight="1">
      <c r="A7944" s="2" t="s">
        <v>15408</v>
      </c>
      <c r="B7944" s="2" t="s">
        <v>15409</v>
      </c>
      <c r="C7944" s="2" t="s">
        <v>17</v>
      </c>
      <c r="D7944" s="2" t="s">
        <v>18</v>
      </c>
      <c r="E7944" s="5">
        <v>-28668</v>
      </c>
      <c r="F7944" s="3" t="s">
        <v>2130</v>
      </c>
      <c r="G7944" s="3" t="s">
        <v>88</v>
      </c>
      <c r="H7944" s="2" t="s">
        <v>21</v>
      </c>
      <c r="I7944" s="2" t="s">
        <v>15411</v>
      </c>
      <c r="J7944" s="3" t="str">
        <f>HYPERLINK("https://www.boe.es/gazeta/dias/1821/07/04/pdfs/GMD-1821-188.pdf#page=4","Abrir facsímil")</f>
        <v>Abrir facsímil</v>
      </c>
      <c r="K7944" s="3" t="s">
        <v>23</v>
      </c>
    </row>
    <row r="7945" spans="1:11" ht="42" customHeight="1">
      <c r="A7945" s="2" t="s">
        <v>15408</v>
      </c>
      <c r="B7945" s="2" t="s">
        <v>15409</v>
      </c>
      <c r="C7945" s="2" t="s">
        <v>17</v>
      </c>
      <c r="D7945" s="2" t="s">
        <v>18</v>
      </c>
      <c r="E7945" s="5">
        <v>-28583</v>
      </c>
      <c r="F7945" s="3" t="s">
        <v>2668</v>
      </c>
      <c r="G7945" s="3" t="s">
        <v>88</v>
      </c>
      <c r="H7945" s="2" t="s">
        <v>21</v>
      </c>
      <c r="I7945" s="2" t="s">
        <v>15412</v>
      </c>
      <c r="J7945" s="3" t="str">
        <f>HYPERLINK("https://www.boe.es/gazeta/dias/1821/09/27/pdfs/GMD-1821-275.pdf#page=4","Abrir facsímil")</f>
        <v>Abrir facsímil</v>
      </c>
      <c r="K7945" s="3" t="s">
        <v>23</v>
      </c>
    </row>
    <row r="7946" spans="1:11" ht="42" customHeight="1">
      <c r="A7946" s="2" t="s">
        <v>15413</v>
      </c>
      <c r="B7946" s="2" t="s">
        <v>15414</v>
      </c>
      <c r="C7946" s="2" t="s">
        <v>17</v>
      </c>
      <c r="D7946" s="2" t="s">
        <v>18</v>
      </c>
      <c r="E7946" s="5">
        <v>-28502</v>
      </c>
      <c r="F7946" s="3" t="s">
        <v>570</v>
      </c>
      <c r="G7946" s="3" t="s">
        <v>88</v>
      </c>
      <c r="H7946" s="2" t="s">
        <v>21</v>
      </c>
      <c r="I7946" s="2" t="s">
        <v>15415</v>
      </c>
      <c r="J7946" s="3" t="str">
        <f>HYPERLINK("https://www.boe.es/gazeta/dias/1821/12/17/pdfs/GMD-1821-360.pdf#page=4","Abrir facsímil")</f>
        <v>Abrir facsímil</v>
      </c>
      <c r="K7946" s="3" t="s">
        <v>23</v>
      </c>
    </row>
    <row r="7947" spans="1:11" ht="42" customHeight="1">
      <c r="A7947" s="2" t="s">
        <v>15416</v>
      </c>
      <c r="B7947" s="2" t="s">
        <v>15417</v>
      </c>
      <c r="C7947" s="2" t="s">
        <v>26</v>
      </c>
      <c r="D7947" s="2" t="s">
        <v>27</v>
      </c>
      <c r="E7947" s="5">
        <v>-28841</v>
      </c>
      <c r="F7947" s="3" t="s">
        <v>765</v>
      </c>
      <c r="G7947" s="3" t="s">
        <v>52</v>
      </c>
      <c r="H7947" s="2" t="s">
        <v>21</v>
      </c>
      <c r="I7947" s="2" t="s">
        <v>15418</v>
      </c>
      <c r="J7947" s="3" t="str">
        <f>HYPERLINK("https://www.boe.es/gazeta/dias/1821/01/12/pdfs/GGB-1821-12.pdf#page=2","Abrir facsímil")</f>
        <v>Abrir facsímil</v>
      </c>
      <c r="K7947" s="3" t="s">
        <v>23</v>
      </c>
    </row>
    <row r="7948" spans="1:11" ht="42" customHeight="1">
      <c r="A7948" s="2" t="s">
        <v>15419</v>
      </c>
      <c r="B7948" s="2" t="s">
        <v>15420</v>
      </c>
      <c r="C7948" s="2" t="s">
        <v>17</v>
      </c>
      <c r="D7948" s="2" t="s">
        <v>18</v>
      </c>
      <c r="E7948" s="5">
        <v>-28531</v>
      </c>
      <c r="F7948" s="3" t="s">
        <v>365</v>
      </c>
      <c r="G7948" s="3" t="s">
        <v>20</v>
      </c>
      <c r="H7948" s="2" t="s">
        <v>21</v>
      </c>
      <c r="I7948" s="2" t="s">
        <v>15421</v>
      </c>
      <c r="J7948" s="3" t="str">
        <f>HYPERLINK("https://www.boe.es/gazeta/dias/1821/11/18/pdfs/GMD-1821-329.pdf#page=3","Abrir facsímil")</f>
        <v>Abrir facsímil</v>
      </c>
      <c r="K7948" s="3" t="s">
        <v>23</v>
      </c>
    </row>
    <row r="7949" spans="1:11" ht="42" customHeight="1">
      <c r="A7949" s="2" t="s">
        <v>15422</v>
      </c>
      <c r="B7949" s="2" t="s">
        <v>15422</v>
      </c>
      <c r="C7949" s="2" t="s">
        <v>35</v>
      </c>
      <c r="D7949" s="2" t="s">
        <v>27</v>
      </c>
      <c r="E7949" s="5">
        <v>-28492</v>
      </c>
      <c r="F7949" s="3" t="s">
        <v>1550</v>
      </c>
      <c r="G7949" s="3" t="s">
        <v>52</v>
      </c>
      <c r="H7949" s="2" t="s">
        <v>21</v>
      </c>
      <c r="I7949" s="2" t="s">
        <v>15423</v>
      </c>
      <c r="J7949" s="3" t="str">
        <f>HYPERLINK("https://www.boe.es/gazeta/dias/1821/12/27/pdfs/GMD-1821-370.pdf#page=2","Abrir facsímil")</f>
        <v>Abrir facsímil</v>
      </c>
      <c r="K7949" s="3" t="s">
        <v>23</v>
      </c>
    </row>
    <row r="7950" spans="1:11" ht="42" customHeight="1">
      <c r="A7950" s="2" t="s">
        <v>15422</v>
      </c>
      <c r="B7950" s="2" t="s">
        <v>15422</v>
      </c>
      <c r="C7950" s="2" t="s">
        <v>279</v>
      </c>
      <c r="D7950" s="2" t="s">
        <v>27</v>
      </c>
      <c r="E7950" s="5">
        <v>-28488</v>
      </c>
      <c r="F7950" s="3" t="s">
        <v>1563</v>
      </c>
      <c r="G7950" s="3" t="s">
        <v>3734</v>
      </c>
      <c r="H7950" s="2" t="s">
        <v>21</v>
      </c>
      <c r="I7950" s="2" t="s">
        <v>15424</v>
      </c>
      <c r="J7950" s="3" t="str">
        <f>HYPERLINK("https://www.boe.es/gazeta/dias/1821/12/31/pdfs/GMD-1821-374.pdf#page=3","Abrir facsímil")</f>
        <v>Abrir facsímil</v>
      </c>
      <c r="K7950" s="3" t="s">
        <v>23</v>
      </c>
    </row>
    <row r="7951" spans="1:11" ht="42" customHeight="1">
      <c r="A7951" s="2" t="s">
        <v>15425</v>
      </c>
      <c r="B7951" s="2" t="s">
        <v>15426</v>
      </c>
      <c r="C7951" s="2" t="s">
        <v>40</v>
      </c>
      <c r="D7951" s="2" t="s">
        <v>41</v>
      </c>
      <c r="E7951" s="5">
        <v>-28745</v>
      </c>
      <c r="F7951" s="3" t="s">
        <v>1020</v>
      </c>
      <c r="G7951" s="3" t="s">
        <v>52</v>
      </c>
      <c r="H7951" s="2" t="s">
        <v>21</v>
      </c>
      <c r="I7951" s="2" t="s">
        <v>15427</v>
      </c>
      <c r="J7951" s="3" t="str">
        <f>HYPERLINK("https://www.boe.es/gazeta/dias/1821/04/18/pdfs/GMD-1821-110.pdf#page=2","Abrir facsímil")</f>
        <v>Abrir facsímil</v>
      </c>
      <c r="K7951" s="3" t="s">
        <v>23</v>
      </c>
    </row>
    <row r="7952" spans="1:11" ht="42" customHeight="1">
      <c r="A7952" s="2" t="s">
        <v>15428</v>
      </c>
      <c r="B7952" s="2" t="s">
        <v>15429</v>
      </c>
      <c r="C7952" s="2" t="s">
        <v>17</v>
      </c>
      <c r="D7952" s="2" t="s">
        <v>18</v>
      </c>
      <c r="E7952" s="5">
        <v>-28503</v>
      </c>
      <c r="F7952" s="3" t="s">
        <v>947</v>
      </c>
      <c r="G7952" s="3" t="s">
        <v>43</v>
      </c>
      <c r="H7952" s="2" t="s">
        <v>21</v>
      </c>
      <c r="I7952" s="2" t="s">
        <v>15430</v>
      </c>
      <c r="J7952" s="3" t="str">
        <f>HYPERLINK("https://www.boe.es/gazeta/dias/1821/12/16/pdfs/GMD-1821-359.pdf#page=1","Abrir facsímil")</f>
        <v>Abrir facsímil</v>
      </c>
      <c r="K7952" s="3" t="s">
        <v>23</v>
      </c>
    </row>
    <row r="7953" spans="1:11" ht="42" customHeight="1">
      <c r="A7953" s="2" t="s">
        <v>15431</v>
      </c>
      <c r="B7953" s="2" t="s">
        <v>15432</v>
      </c>
      <c r="C7953" s="2" t="s">
        <v>114</v>
      </c>
      <c r="D7953" s="2" t="s">
        <v>27</v>
      </c>
      <c r="E7953" s="5">
        <v>-28812</v>
      </c>
      <c r="F7953" s="3" t="s">
        <v>2610</v>
      </c>
      <c r="G7953" s="3" t="s">
        <v>88</v>
      </c>
      <c r="H7953" s="2" t="s">
        <v>21</v>
      </c>
      <c r="I7953" s="2" t="s">
        <v>15433</v>
      </c>
      <c r="J7953" s="3" t="str">
        <f>HYPERLINK("https://www.boe.es/gazeta/dias/1821/02/10/pdfs/GGB-1821-41.pdf#page=4","Abrir facsímil")</f>
        <v>Abrir facsímil</v>
      </c>
      <c r="K7953" s="3" t="s">
        <v>23</v>
      </c>
    </row>
    <row r="7954" spans="1:11" ht="42" customHeight="1">
      <c r="A7954" s="2" t="s">
        <v>15434</v>
      </c>
      <c r="B7954" s="2" t="s">
        <v>15435</v>
      </c>
      <c r="C7954" s="2" t="s">
        <v>40</v>
      </c>
      <c r="D7954" s="2" t="s">
        <v>41</v>
      </c>
      <c r="E7954" s="5">
        <v>-28839</v>
      </c>
      <c r="F7954" s="3" t="s">
        <v>1686</v>
      </c>
      <c r="G7954" s="3" t="s">
        <v>20</v>
      </c>
      <c r="H7954" s="2" t="s">
        <v>21</v>
      </c>
      <c r="I7954" s="2" t="s">
        <v>15436</v>
      </c>
      <c r="J7954" s="3" t="str">
        <f>HYPERLINK("https://www.boe.es/gazeta/dias/1821/01/14/pdfs/GGB-1821-14.pdf#page=3","Abrir facsímil")</f>
        <v>Abrir facsímil</v>
      </c>
      <c r="K7954" s="3" t="s">
        <v>23</v>
      </c>
    </row>
    <row r="7955" spans="1:11" ht="42" customHeight="1">
      <c r="A7955" s="2" t="s">
        <v>15437</v>
      </c>
      <c r="B7955" s="2" t="s">
        <v>15438</v>
      </c>
      <c r="C7955" s="2" t="s">
        <v>26</v>
      </c>
      <c r="D7955" s="2" t="s">
        <v>27</v>
      </c>
      <c r="E7955" s="5">
        <v>-28839</v>
      </c>
      <c r="F7955" s="3" t="s">
        <v>1686</v>
      </c>
      <c r="G7955" s="3" t="s">
        <v>10851</v>
      </c>
      <c r="H7955" s="2" t="s">
        <v>21</v>
      </c>
      <c r="I7955" s="2" t="s">
        <v>15439</v>
      </c>
      <c r="J7955" s="3" t="str">
        <f>HYPERLINK("https://www.boe.es/gazeta/dias/1821/01/14/pdfs/GGB-1821-14.pdf#page=4","Abrir facsímil")</f>
        <v>Abrir facsímil</v>
      </c>
      <c r="K7955" s="3" t="s">
        <v>23</v>
      </c>
    </row>
    <row r="7956" spans="1:11" ht="42" customHeight="1">
      <c r="A7956" s="2" t="s">
        <v>15440</v>
      </c>
      <c r="B7956" s="2" t="s">
        <v>15441</v>
      </c>
      <c r="C7956" s="2" t="s">
        <v>17</v>
      </c>
      <c r="D7956" s="2" t="s">
        <v>18</v>
      </c>
      <c r="E7956" s="5">
        <v>-28503</v>
      </c>
      <c r="F7956" s="3" t="s">
        <v>947</v>
      </c>
      <c r="G7956" s="3" t="s">
        <v>43</v>
      </c>
      <c r="H7956" s="2" t="s">
        <v>21</v>
      </c>
      <c r="I7956" s="2" t="s">
        <v>15442</v>
      </c>
      <c r="J7956" s="3" t="str">
        <f>HYPERLINK("https://www.boe.es/gazeta/dias/1821/12/16/pdfs/GMD-1821-359.pdf#page=1","Abrir facsímil")</f>
        <v>Abrir facsímil</v>
      </c>
      <c r="K7956" s="3" t="s">
        <v>23</v>
      </c>
    </row>
    <row r="7957" spans="1:11" ht="42" customHeight="1">
      <c r="A7957" s="2" t="s">
        <v>15443</v>
      </c>
      <c r="B7957" s="2" t="s">
        <v>15444</v>
      </c>
      <c r="C7957" s="2" t="s">
        <v>174</v>
      </c>
      <c r="D7957" s="2" t="s">
        <v>27</v>
      </c>
      <c r="E7957" s="5">
        <v>-28661</v>
      </c>
      <c r="F7957" s="3" t="s">
        <v>2298</v>
      </c>
      <c r="G7957" s="3" t="s">
        <v>29</v>
      </c>
      <c r="H7957" s="2" t="s">
        <v>21</v>
      </c>
      <c r="I7957" s="2" t="s">
        <v>15445</v>
      </c>
      <c r="J7957" s="3" t="str">
        <f>HYPERLINK("https://www.boe.es/gazeta/dias/1821/07/11/pdfs/GMD-1821-196.pdf#page=6","Abrir facsímil")</f>
        <v>Abrir facsímil</v>
      </c>
      <c r="K7957" s="3" t="s">
        <v>23</v>
      </c>
    </row>
    <row r="7958" spans="1:11" ht="42" customHeight="1">
      <c r="A7958" s="2" t="s">
        <v>15446</v>
      </c>
      <c r="B7958" s="2" t="s">
        <v>15447</v>
      </c>
      <c r="C7958" s="2" t="s">
        <v>26</v>
      </c>
      <c r="D7958" s="2" t="s">
        <v>27</v>
      </c>
      <c r="E7958" s="5">
        <v>-28547</v>
      </c>
      <c r="F7958" s="3" t="s">
        <v>247</v>
      </c>
      <c r="G7958" s="3" t="s">
        <v>248</v>
      </c>
      <c r="H7958" s="2" t="s">
        <v>21</v>
      </c>
      <c r="I7958" s="2" t="s">
        <v>15448</v>
      </c>
      <c r="J7958" s="3" t="str">
        <f>HYPERLINK("https://www.boe.es/gazeta/dias/1821/11/02/pdfs/GMD-1821-312.pdf#page=2","Abrir facsímil")</f>
        <v>Abrir facsímil</v>
      </c>
      <c r="K7958" s="3" t="s">
        <v>23</v>
      </c>
    </row>
    <row r="7959" spans="1:11" ht="42" customHeight="1">
      <c r="A7959" s="2" t="s">
        <v>15449</v>
      </c>
      <c r="B7959" s="2" t="s">
        <v>15450</v>
      </c>
      <c r="C7959" s="2" t="s">
        <v>17</v>
      </c>
      <c r="D7959" s="2" t="s">
        <v>18</v>
      </c>
      <c r="E7959" s="5">
        <v>-28743</v>
      </c>
      <c r="F7959" s="3" t="s">
        <v>51</v>
      </c>
      <c r="G7959" s="3" t="s">
        <v>88</v>
      </c>
      <c r="H7959" s="2" t="s">
        <v>30</v>
      </c>
      <c r="I7959" s="2" t="s">
        <v>15451</v>
      </c>
      <c r="J7959" s="3" t="str">
        <f>HYPERLINK("https://www.boe.es/gazeta/dias/1821/04/20/pdfs/GMD-1821-112.pdf#page=4","Abrir facsímil")</f>
        <v>Abrir facsímil</v>
      </c>
      <c r="K7959" s="3" t="s">
        <v>32</v>
      </c>
    </row>
    <row r="7960" spans="1:11" ht="42" customHeight="1">
      <c r="A7960" s="2" t="s">
        <v>15452</v>
      </c>
      <c r="B7960" s="2" t="s">
        <v>15453</v>
      </c>
      <c r="C7960" s="2" t="s">
        <v>279</v>
      </c>
      <c r="D7960" s="2" t="s">
        <v>27</v>
      </c>
      <c r="E7960" s="5">
        <v>-28646</v>
      </c>
      <c r="F7960" s="3" t="s">
        <v>1457</v>
      </c>
      <c r="G7960" s="3" t="s">
        <v>79</v>
      </c>
      <c r="H7960" s="2" t="s">
        <v>21</v>
      </c>
      <c r="I7960" s="2" t="s">
        <v>15454</v>
      </c>
      <c r="J7960" s="3" t="str">
        <f>HYPERLINK("https://www.boe.es/gazeta/dias/1821/07/26/pdfs/GMD-1821-211.pdf#page=4","Abrir facsímil")</f>
        <v>Abrir facsímil</v>
      </c>
      <c r="K7960" s="3" t="s">
        <v>23</v>
      </c>
    </row>
    <row r="7961" spans="1:11" ht="42" customHeight="1">
      <c r="A7961" s="2" t="s">
        <v>15455</v>
      </c>
      <c r="B7961" s="2" t="s">
        <v>15456</v>
      </c>
      <c r="C7961" s="2" t="s">
        <v>17</v>
      </c>
      <c r="D7961" s="2" t="s">
        <v>18</v>
      </c>
      <c r="E7961" s="5">
        <v>-28501</v>
      </c>
      <c r="F7961" s="3" t="s">
        <v>456</v>
      </c>
      <c r="G7961" s="3" t="s">
        <v>1253</v>
      </c>
      <c r="H7961" s="2" t="s">
        <v>21</v>
      </c>
      <c r="I7961" s="2" t="s">
        <v>15457</v>
      </c>
      <c r="J7961" s="3" t="str">
        <f>HYPERLINK("https://www.boe.es/gazeta/dias/1821/12/18/pdfs/GMD-1821-361.pdf#page=6","Abrir facsímil")</f>
        <v>Abrir facsímil</v>
      </c>
      <c r="K7961" s="3" t="s">
        <v>23</v>
      </c>
    </row>
    <row r="7962" spans="1:11" ht="42" customHeight="1">
      <c r="A7962" s="2" t="s">
        <v>15458</v>
      </c>
      <c r="B7962" s="2" t="s">
        <v>15459</v>
      </c>
      <c r="C7962" s="2" t="s">
        <v>40</v>
      </c>
      <c r="D7962" s="2" t="s">
        <v>41</v>
      </c>
      <c r="E7962" s="5">
        <v>-28615</v>
      </c>
      <c r="F7962" s="3" t="s">
        <v>427</v>
      </c>
      <c r="G7962" s="3" t="s">
        <v>88</v>
      </c>
      <c r="H7962" s="2" t="s">
        <v>21</v>
      </c>
      <c r="I7962" s="2" t="s">
        <v>15460</v>
      </c>
      <c r="J7962" s="3" t="str">
        <f>HYPERLINK("https://www.boe.es/gazeta/dias/1821/08/26/pdfs/GMD-1821-243.pdf#page=4","Abrir facsímil")</f>
        <v>Abrir facsímil</v>
      </c>
      <c r="K7962" s="3" t="s">
        <v>23</v>
      </c>
    </row>
    <row r="7963" spans="1:11" ht="42" customHeight="1">
      <c r="A7963" s="2" t="s">
        <v>15461</v>
      </c>
      <c r="B7963" s="2" t="s">
        <v>15462</v>
      </c>
      <c r="C7963" s="2" t="s">
        <v>35</v>
      </c>
      <c r="D7963" s="2" t="s">
        <v>27</v>
      </c>
      <c r="E7963" s="5">
        <v>-28562</v>
      </c>
      <c r="F7963" s="3" t="s">
        <v>3093</v>
      </c>
      <c r="G7963" s="3" t="s">
        <v>88</v>
      </c>
      <c r="H7963" s="2" t="s">
        <v>21</v>
      </c>
      <c r="I7963" s="2" t="s">
        <v>15463</v>
      </c>
      <c r="J7963" s="3" t="str">
        <f>HYPERLINK("https://www.boe.es/gazeta/dias/1821/10/18/pdfs/GMD-1821-297.pdf#page=4","Abrir facsímil")</f>
        <v>Abrir facsímil</v>
      </c>
      <c r="K7963" s="3" t="s">
        <v>23</v>
      </c>
    </row>
    <row r="7964" spans="1:11" ht="42" customHeight="1">
      <c r="A7964" s="2" t="s">
        <v>15464</v>
      </c>
      <c r="B7964" s="2" t="s">
        <v>15464</v>
      </c>
      <c r="C7964" s="2" t="s">
        <v>17</v>
      </c>
      <c r="D7964" s="2" t="s">
        <v>18</v>
      </c>
      <c r="E7964" s="5">
        <v>-28787</v>
      </c>
      <c r="F7964" s="3" t="s">
        <v>486</v>
      </c>
      <c r="G7964" s="3" t="s">
        <v>88</v>
      </c>
      <c r="H7964" s="2" t="s">
        <v>21</v>
      </c>
      <c r="I7964" s="2" t="s">
        <v>15465</v>
      </c>
      <c r="J7964" s="3" t="str">
        <f>HYPERLINK("https://www.boe.es/gazeta/dias/1821/03/07/pdfs/GGB-1821-66.pdf#page=4","Abrir facsímil")</f>
        <v>Abrir facsímil</v>
      </c>
      <c r="K7964" s="3" t="s">
        <v>23</v>
      </c>
    </row>
    <row r="7965" spans="1:11" ht="42" customHeight="1">
      <c r="A7965" s="2" t="s">
        <v>15466</v>
      </c>
      <c r="B7965" s="2" t="s">
        <v>15467</v>
      </c>
      <c r="C7965" s="2" t="s">
        <v>40</v>
      </c>
      <c r="D7965" s="2" t="s">
        <v>41</v>
      </c>
      <c r="E7965" s="5">
        <v>-28788</v>
      </c>
      <c r="F7965" s="3" t="s">
        <v>996</v>
      </c>
      <c r="G7965" s="3" t="s">
        <v>88</v>
      </c>
      <c r="H7965" s="2" t="s">
        <v>21</v>
      </c>
      <c r="I7965" s="2" t="s">
        <v>15468</v>
      </c>
      <c r="J7965" s="3" t="str">
        <f>HYPERLINK("https://www.boe.es/gazeta/dias/1821/03/06/pdfs/GGB-1821-65.pdf#page=4","Abrir facsímil")</f>
        <v>Abrir facsímil</v>
      </c>
      <c r="K7965" s="3" t="s">
        <v>23</v>
      </c>
    </row>
    <row r="7966" spans="1:11" ht="42" customHeight="1">
      <c r="A7966" s="2" t="s">
        <v>15469</v>
      </c>
      <c r="B7966" s="2" t="s">
        <v>15470</v>
      </c>
      <c r="C7966" s="2" t="s">
        <v>114</v>
      </c>
      <c r="D7966" s="2" t="s">
        <v>27</v>
      </c>
      <c r="E7966" s="5">
        <v>-28743</v>
      </c>
      <c r="F7966" s="3" t="s">
        <v>51</v>
      </c>
      <c r="G7966" s="3" t="s">
        <v>88</v>
      </c>
      <c r="H7966" s="2" t="s">
        <v>21</v>
      </c>
      <c r="I7966" s="2" t="s">
        <v>15471</v>
      </c>
      <c r="J7966" s="3" t="str">
        <f>HYPERLINK("https://www.boe.es/gazeta/dias/1821/04/20/pdfs/GMD-1821-112.pdf#page=4","Abrir facsímil")</f>
        <v>Abrir facsímil</v>
      </c>
      <c r="K7966" s="3" t="s">
        <v>23</v>
      </c>
    </row>
    <row r="7967" spans="1:11" ht="42" customHeight="1">
      <c r="A7967" s="2" t="s">
        <v>15472</v>
      </c>
      <c r="B7967" s="2" t="s">
        <v>15473</v>
      </c>
      <c r="C7967" s="2" t="s">
        <v>40</v>
      </c>
      <c r="D7967" s="2" t="s">
        <v>41</v>
      </c>
      <c r="E7967" s="5">
        <v>-28701</v>
      </c>
      <c r="F7967" s="3" t="s">
        <v>202</v>
      </c>
      <c r="G7967" s="3" t="s">
        <v>43</v>
      </c>
      <c r="H7967" s="2" t="s">
        <v>21</v>
      </c>
      <c r="I7967" s="2" t="s">
        <v>15474</v>
      </c>
      <c r="J7967" s="3" t="str">
        <f>HYPERLINK("https://www.boe.es/gazeta/dias/1821/06/01/pdfs/GMD-1821-154.pdf#page=1","Abrir facsímil")</f>
        <v>Abrir facsímil</v>
      </c>
      <c r="K7967" s="3" t="s">
        <v>23</v>
      </c>
    </row>
    <row r="7968" spans="1:11" ht="42" customHeight="1">
      <c r="A7968" s="2" t="s">
        <v>15475</v>
      </c>
      <c r="B7968" s="2" t="s">
        <v>15475</v>
      </c>
      <c r="C7968" s="2" t="s">
        <v>17</v>
      </c>
      <c r="D7968" s="2" t="s">
        <v>18</v>
      </c>
      <c r="E7968" s="5">
        <v>-28544</v>
      </c>
      <c r="F7968" s="3" t="s">
        <v>139</v>
      </c>
      <c r="G7968" s="3" t="s">
        <v>20</v>
      </c>
      <c r="H7968" s="2" t="s">
        <v>21</v>
      </c>
      <c r="I7968" s="2" t="s">
        <v>15476</v>
      </c>
      <c r="J7968" s="3" t="str">
        <f>HYPERLINK("https://www.boe.es/gazeta/dias/1821/11/05/pdfs/GMD-1821-316.pdf#page=3","Abrir facsímil")</f>
        <v>Abrir facsímil</v>
      </c>
      <c r="K7968" s="3" t="s">
        <v>23</v>
      </c>
    </row>
    <row r="7969" spans="1:11" ht="42" customHeight="1">
      <c r="A7969" s="2" t="s">
        <v>15477</v>
      </c>
      <c r="B7969" s="2" t="s">
        <v>15477</v>
      </c>
      <c r="C7969" s="2" t="s">
        <v>40</v>
      </c>
      <c r="D7969" s="2" t="s">
        <v>41</v>
      </c>
      <c r="E7969" s="5">
        <v>-28530</v>
      </c>
      <c r="F7969" s="3" t="s">
        <v>237</v>
      </c>
      <c r="G7969" s="3" t="s">
        <v>20</v>
      </c>
      <c r="H7969" s="2" t="s">
        <v>21</v>
      </c>
      <c r="I7969" s="2" t="s">
        <v>15478</v>
      </c>
      <c r="J7969" s="3" t="str">
        <f>HYPERLINK("https://www.boe.es/gazeta/dias/1821/11/19/pdfs/GMD-1821-330.pdf#page=3","Abrir facsímil")</f>
        <v>Abrir facsímil</v>
      </c>
      <c r="K7969" s="3" t="s">
        <v>23</v>
      </c>
    </row>
    <row r="7970" spans="1:11" ht="42" customHeight="1">
      <c r="A7970" s="2" t="s">
        <v>15479</v>
      </c>
      <c r="B7970" s="2" t="s">
        <v>15480</v>
      </c>
      <c r="C7970" s="2" t="s">
        <v>26</v>
      </c>
      <c r="D7970" s="2" t="s">
        <v>27</v>
      </c>
      <c r="E7970" s="5">
        <v>-28547</v>
      </c>
      <c r="F7970" s="3" t="s">
        <v>247</v>
      </c>
      <c r="G7970" s="3" t="s">
        <v>248</v>
      </c>
      <c r="H7970" s="2" t="s">
        <v>21</v>
      </c>
      <c r="I7970" s="2" t="s">
        <v>15481</v>
      </c>
      <c r="J7970" s="3" t="str">
        <f>HYPERLINK("https://www.boe.es/gazeta/dias/1821/11/02/pdfs/GMD-1821-312.pdf#page=2","Abrir facsímil")</f>
        <v>Abrir facsímil</v>
      </c>
      <c r="K7970" s="3" t="s">
        <v>23</v>
      </c>
    </row>
    <row r="7971" spans="1:11" ht="42" customHeight="1">
      <c r="A7971" s="2" t="s">
        <v>15482</v>
      </c>
      <c r="B7971" s="2" t="s">
        <v>15483</v>
      </c>
      <c r="C7971" s="2" t="s">
        <v>40</v>
      </c>
      <c r="D7971" s="2" t="s">
        <v>41</v>
      </c>
      <c r="E7971" s="5">
        <v>-28547</v>
      </c>
      <c r="F7971" s="3" t="s">
        <v>247</v>
      </c>
      <c r="G7971" s="3" t="s">
        <v>248</v>
      </c>
      <c r="H7971" s="2" t="s">
        <v>21</v>
      </c>
      <c r="I7971" s="2" t="s">
        <v>15484</v>
      </c>
      <c r="J7971" s="3" t="str">
        <f>HYPERLINK("https://www.boe.es/gazeta/dias/1821/11/02/pdfs/GMD-1821-312.pdf#page=2","Abrir facsímil")</f>
        <v>Abrir facsímil</v>
      </c>
      <c r="K7971" s="3" t="s">
        <v>23</v>
      </c>
    </row>
    <row r="7972" spans="1:11" ht="42" customHeight="1">
      <c r="A7972" s="2" t="s">
        <v>15485</v>
      </c>
      <c r="B7972" s="2" t="s">
        <v>15486</v>
      </c>
      <c r="C7972" s="2" t="s">
        <v>26</v>
      </c>
      <c r="D7972" s="2" t="s">
        <v>27</v>
      </c>
      <c r="E7972" s="5">
        <v>-28798</v>
      </c>
      <c r="F7972" s="3" t="s">
        <v>60</v>
      </c>
      <c r="G7972" s="3" t="s">
        <v>88</v>
      </c>
      <c r="H7972" s="2" t="s">
        <v>21</v>
      </c>
      <c r="I7972" s="2" t="s">
        <v>15487</v>
      </c>
      <c r="J7972" s="3" t="str">
        <f>HYPERLINK("https://www.boe.es/gazeta/dias/1821/02/24/pdfs/GGB-1821-55.pdf#page=4","Abrir facsímil")</f>
        <v>Abrir facsímil</v>
      </c>
      <c r="K7972" s="3" t="s">
        <v>23</v>
      </c>
    </row>
    <row r="7973" spans="1:11" ht="42" customHeight="1">
      <c r="A7973" s="2" t="s">
        <v>15488</v>
      </c>
      <c r="B7973" s="2" t="s">
        <v>15489</v>
      </c>
      <c r="C7973" s="2" t="s">
        <v>17</v>
      </c>
      <c r="D7973" s="2" t="s">
        <v>18</v>
      </c>
      <c r="E7973" s="5">
        <v>-28778</v>
      </c>
      <c r="F7973" s="3" t="s">
        <v>1301</v>
      </c>
      <c r="G7973" s="3" t="s">
        <v>162</v>
      </c>
      <c r="H7973" s="2" t="s">
        <v>21</v>
      </c>
      <c r="I7973" s="2" t="s">
        <v>15490</v>
      </c>
      <c r="J7973" s="3" t="str">
        <f>HYPERLINK("https://www.boe.es/gazeta/dias/1821/03/16/pdfs/GMD-1821-75.pdf#page=5","Abrir facsímil")</f>
        <v>Abrir facsímil</v>
      </c>
      <c r="K7973" s="3" t="s">
        <v>23</v>
      </c>
    </row>
    <row r="7974" spans="1:11" ht="42" customHeight="1">
      <c r="A7974" s="2" t="s">
        <v>15491</v>
      </c>
      <c r="B7974" s="2" t="s">
        <v>15492</v>
      </c>
      <c r="C7974" s="2" t="s">
        <v>70</v>
      </c>
      <c r="D7974" s="2" t="s">
        <v>27</v>
      </c>
      <c r="E7974" s="5">
        <v>-28536</v>
      </c>
      <c r="F7974" s="3" t="s">
        <v>553</v>
      </c>
      <c r="G7974" s="3" t="s">
        <v>52</v>
      </c>
      <c r="H7974" s="2" t="s">
        <v>21</v>
      </c>
      <c r="I7974" s="2" t="s">
        <v>15493</v>
      </c>
      <c r="J7974" s="3" t="str">
        <f>HYPERLINK("https://www.boe.es/gazeta/dias/1821/11/13/pdfs/GMD-1821-324.pdf#page=2","Abrir facsímil")</f>
        <v>Abrir facsímil</v>
      </c>
      <c r="K7974" s="3" t="s">
        <v>23</v>
      </c>
    </row>
    <row r="7975" spans="1:11" ht="42" customHeight="1">
      <c r="A7975" s="2" t="s">
        <v>15494</v>
      </c>
      <c r="B7975" s="2" t="s">
        <v>15495</v>
      </c>
      <c r="C7975" s="2" t="s">
        <v>70</v>
      </c>
      <c r="D7975" s="2" t="s">
        <v>27</v>
      </c>
      <c r="E7975" s="5">
        <v>-28736</v>
      </c>
      <c r="F7975" s="3" t="s">
        <v>464</v>
      </c>
      <c r="G7975" s="3" t="s">
        <v>20</v>
      </c>
      <c r="H7975" s="2" t="s">
        <v>21</v>
      </c>
      <c r="I7975" s="2" t="s">
        <v>15496</v>
      </c>
      <c r="J7975" s="3" t="str">
        <f>HYPERLINK("https://www.boe.es/gazeta/dias/1821/04/27/pdfs/GMD-1821-119.pdf#page=3","Abrir facsímil")</f>
        <v>Abrir facsímil</v>
      </c>
      <c r="K7975" s="3" t="s">
        <v>23</v>
      </c>
    </row>
    <row r="7976" spans="1:11" ht="42" customHeight="1">
      <c r="A7976" s="2" t="s">
        <v>15497</v>
      </c>
      <c r="B7976" s="2" t="s">
        <v>15498</v>
      </c>
      <c r="C7976" s="2" t="s">
        <v>40</v>
      </c>
      <c r="D7976" s="2" t="s">
        <v>41</v>
      </c>
      <c r="E7976" s="5">
        <v>-28750</v>
      </c>
      <c r="F7976" s="3" t="s">
        <v>917</v>
      </c>
      <c r="G7976" s="3" t="s">
        <v>88</v>
      </c>
      <c r="H7976" s="2" t="s">
        <v>30</v>
      </c>
      <c r="I7976" s="2" t="s">
        <v>15499</v>
      </c>
      <c r="J7976" s="3" t="str">
        <f>HYPERLINK("https://www.boe.es/gazeta/dias/1821/04/13/pdfs/GMD-1821-105.pdf#page=4","Abrir facsímil")</f>
        <v>Abrir facsímil</v>
      </c>
      <c r="K7976" s="3" t="s">
        <v>32</v>
      </c>
    </row>
    <row r="7977" spans="1:11" ht="42" customHeight="1">
      <c r="A7977" s="2" t="s">
        <v>15500</v>
      </c>
      <c r="B7977" s="2" t="s">
        <v>15501</v>
      </c>
      <c r="C7977" s="2" t="s">
        <v>26</v>
      </c>
      <c r="D7977" s="2" t="s">
        <v>27</v>
      </c>
      <c r="E7977" s="5">
        <v>-28789</v>
      </c>
      <c r="F7977" s="3" t="s">
        <v>36</v>
      </c>
      <c r="G7977" s="3" t="s">
        <v>52</v>
      </c>
      <c r="H7977" s="2" t="s">
        <v>30</v>
      </c>
      <c r="I7977" s="2" t="s">
        <v>15502</v>
      </c>
      <c r="J7977" s="3" t="str">
        <f>HYPERLINK("https://www.boe.es/gazeta/dias/1821/03/05/pdfs/GGB-1821-64.pdf#page=2","Abrir facsímil")</f>
        <v>Abrir facsímil</v>
      </c>
      <c r="K7977" s="3" t="s">
        <v>32</v>
      </c>
    </row>
    <row r="7978" spans="1:11" ht="42" customHeight="1">
      <c r="A7978" s="2" t="s">
        <v>15503</v>
      </c>
      <c r="B7978" s="2" t="s">
        <v>15503</v>
      </c>
      <c r="C7978" s="2" t="s">
        <v>17</v>
      </c>
      <c r="D7978" s="2" t="s">
        <v>18</v>
      </c>
      <c r="E7978" s="5">
        <v>-28776</v>
      </c>
      <c r="F7978" s="3" t="s">
        <v>312</v>
      </c>
      <c r="G7978" s="3" t="s">
        <v>88</v>
      </c>
      <c r="H7978" s="2" t="s">
        <v>21</v>
      </c>
      <c r="I7978" s="2" t="s">
        <v>15504</v>
      </c>
      <c r="J7978" s="3" t="str">
        <f>HYPERLINK("https://www.boe.es/gazeta/dias/1821/03/18/pdfs/GMD-1821-77.pdf#page=4","Abrir facsímil")</f>
        <v>Abrir facsímil</v>
      </c>
      <c r="K7978" s="3" t="s">
        <v>23</v>
      </c>
    </row>
    <row r="7979" spans="1:11" ht="42" customHeight="1">
      <c r="A7979" s="2" t="s">
        <v>15503</v>
      </c>
      <c r="B7979" s="2" t="s">
        <v>15503</v>
      </c>
      <c r="C7979" s="2" t="s">
        <v>40</v>
      </c>
      <c r="D7979" s="2" t="s">
        <v>41</v>
      </c>
      <c r="E7979" s="5">
        <v>-28766</v>
      </c>
      <c r="F7979" s="3" t="s">
        <v>1481</v>
      </c>
      <c r="G7979" s="3" t="s">
        <v>52</v>
      </c>
      <c r="H7979" s="2" t="s">
        <v>21</v>
      </c>
      <c r="I7979" s="2" t="s">
        <v>15505</v>
      </c>
      <c r="J7979" s="3" t="str">
        <f>HYPERLINK("https://www.boe.es/gazeta/dias/1821/03/28/pdfs/GMD-1821-88.pdf#page=2","Abrir facsímil")</f>
        <v>Abrir facsímil</v>
      </c>
      <c r="K7979" s="3" t="s">
        <v>23</v>
      </c>
    </row>
    <row r="7980" spans="1:11" ht="42" customHeight="1">
      <c r="A7980" s="2" t="s">
        <v>15503</v>
      </c>
      <c r="B7980" s="2" t="s">
        <v>15503</v>
      </c>
      <c r="C7980" s="2" t="s">
        <v>26</v>
      </c>
      <c r="D7980" s="2" t="s">
        <v>27</v>
      </c>
      <c r="E7980" s="5">
        <v>-28731</v>
      </c>
      <c r="F7980" s="3" t="s">
        <v>577</v>
      </c>
      <c r="G7980" s="3" t="s">
        <v>20</v>
      </c>
      <c r="H7980" s="2" t="s">
        <v>21</v>
      </c>
      <c r="I7980" s="2" t="s">
        <v>15506</v>
      </c>
      <c r="J7980" s="3" t="str">
        <f>HYPERLINK("https://www.boe.es/gazeta/dias/1821/05/02/pdfs/GMD-1821-124.pdf#page=3","Abrir facsímil")</f>
        <v>Abrir facsímil</v>
      </c>
      <c r="K7980" s="3" t="s">
        <v>23</v>
      </c>
    </row>
    <row r="7981" spans="1:11" ht="42" customHeight="1">
      <c r="A7981" s="2" t="s">
        <v>15503</v>
      </c>
      <c r="B7981" s="2" t="s">
        <v>15503</v>
      </c>
      <c r="C7981" s="2" t="s">
        <v>40</v>
      </c>
      <c r="D7981" s="2" t="s">
        <v>41</v>
      </c>
      <c r="E7981" s="5">
        <v>-28547</v>
      </c>
      <c r="F7981" s="3" t="s">
        <v>247</v>
      </c>
      <c r="G7981" s="3" t="s">
        <v>162</v>
      </c>
      <c r="H7981" s="2" t="s">
        <v>21</v>
      </c>
      <c r="I7981" s="2" t="s">
        <v>15507</v>
      </c>
      <c r="J7981" s="3" t="str">
        <f>HYPERLINK("https://www.boe.es/gazeta/dias/1821/11/02/pdfs/GMD-1821-312.pdf#page=5","Abrir facsímil")</f>
        <v>Abrir facsímil</v>
      </c>
      <c r="K7981" s="3" t="s">
        <v>23</v>
      </c>
    </row>
    <row r="7982" spans="1:11" ht="42" customHeight="1">
      <c r="A7982" s="2" t="s">
        <v>15503</v>
      </c>
      <c r="B7982" s="2" t="s">
        <v>15503</v>
      </c>
      <c r="C7982" s="2" t="s">
        <v>35</v>
      </c>
      <c r="D7982" s="2" t="s">
        <v>27</v>
      </c>
      <c r="E7982" s="5">
        <v>-28504</v>
      </c>
      <c r="F7982" s="3" t="s">
        <v>1098</v>
      </c>
      <c r="G7982" s="3" t="s">
        <v>29</v>
      </c>
      <c r="H7982" s="2" t="s">
        <v>21</v>
      </c>
      <c r="I7982" s="2" t="s">
        <v>15508</v>
      </c>
      <c r="J7982" s="3" t="str">
        <f>HYPERLINK("https://www.boe.es/gazeta/dias/1821/12/15/pdfs/GMD-1821-358.pdf#page=6","Abrir facsímil")</f>
        <v>Abrir facsímil</v>
      </c>
      <c r="K7982" s="3" t="s">
        <v>23</v>
      </c>
    </row>
    <row r="7983" spans="1:11" ht="42" customHeight="1">
      <c r="A7983" s="2" t="s">
        <v>15509</v>
      </c>
      <c r="B7983" s="2" t="s">
        <v>15510</v>
      </c>
      <c r="C7983" s="2" t="s">
        <v>40</v>
      </c>
      <c r="D7983" s="2" t="s">
        <v>41</v>
      </c>
      <c r="E7983" s="5">
        <v>-28718</v>
      </c>
      <c r="F7983" s="3" t="s">
        <v>583</v>
      </c>
      <c r="G7983" s="3" t="s">
        <v>52</v>
      </c>
      <c r="H7983" s="2" t="s">
        <v>21</v>
      </c>
      <c r="I7983" s="2" t="s">
        <v>15511</v>
      </c>
      <c r="J7983" s="3" t="str">
        <f>HYPERLINK("https://www.boe.es/gazeta/dias/1821/05/15/pdfs/GMD-1821-137.pdf#page=2","Abrir facsímil")</f>
        <v>Abrir facsímil</v>
      </c>
      <c r="K7983" s="3" t="s">
        <v>23</v>
      </c>
    </row>
    <row r="7984" spans="1:11" ht="42" customHeight="1">
      <c r="A7984" s="2" t="s">
        <v>15512</v>
      </c>
      <c r="B7984" s="2" t="s">
        <v>15513</v>
      </c>
      <c r="C7984" s="2" t="s">
        <v>40</v>
      </c>
      <c r="D7984" s="2" t="s">
        <v>41</v>
      </c>
      <c r="E7984" s="5">
        <v>-28510</v>
      </c>
      <c r="F7984" s="3" t="s">
        <v>83</v>
      </c>
      <c r="G7984" s="3" t="s">
        <v>52</v>
      </c>
      <c r="H7984" s="2" t="s">
        <v>21</v>
      </c>
      <c r="I7984" s="2" t="s">
        <v>15514</v>
      </c>
      <c r="J7984" s="3" t="str">
        <f>HYPERLINK("https://www.boe.es/gazeta/dias/1821/12/09/pdfs/GMD-1821-351.pdf#page=2","Abrir facsímil")</f>
        <v>Abrir facsímil</v>
      </c>
      <c r="K7984" s="3" t="s">
        <v>23</v>
      </c>
    </row>
    <row r="7985" spans="1:11" ht="42" customHeight="1">
      <c r="A7985" s="2" t="s">
        <v>15515</v>
      </c>
      <c r="B7985" s="2" t="s">
        <v>15516</v>
      </c>
      <c r="C7985" s="2" t="s">
        <v>40</v>
      </c>
      <c r="D7985" s="2" t="s">
        <v>41</v>
      </c>
      <c r="E7985" s="5">
        <v>-28727</v>
      </c>
      <c r="F7985" s="3" t="s">
        <v>200</v>
      </c>
      <c r="G7985" s="3" t="s">
        <v>88</v>
      </c>
      <c r="H7985" s="2" t="s">
        <v>21</v>
      </c>
      <c r="I7985" s="2" t="s">
        <v>15517</v>
      </c>
      <c r="J7985" s="3" t="str">
        <f>HYPERLINK("https://www.boe.es/gazeta/dias/1821/05/06/pdfs/GMD-1821-128.pdf#page=4","Abrir facsímil")</f>
        <v>Abrir facsímil</v>
      </c>
      <c r="K7985" s="3" t="s">
        <v>23</v>
      </c>
    </row>
    <row r="7986" spans="1:11" ht="42" customHeight="1">
      <c r="A7986" s="2" t="s">
        <v>15518</v>
      </c>
      <c r="B7986" s="2" t="s">
        <v>15519</v>
      </c>
      <c r="C7986" s="2" t="s">
        <v>40</v>
      </c>
      <c r="D7986" s="2" t="s">
        <v>41</v>
      </c>
      <c r="E7986" s="5">
        <v>-28561</v>
      </c>
      <c r="F7986" s="3" t="s">
        <v>240</v>
      </c>
      <c r="G7986" s="3" t="s">
        <v>88</v>
      </c>
      <c r="H7986" s="2" t="s">
        <v>21</v>
      </c>
      <c r="I7986" s="2" t="s">
        <v>15520</v>
      </c>
      <c r="J7986" s="3" t="str">
        <f>HYPERLINK("https://www.boe.es/gazeta/dias/1821/10/19/pdfs/GMD-1821-298.pdf#page=4","Abrir facsímil")</f>
        <v>Abrir facsímil</v>
      </c>
      <c r="K7986" s="3" t="s">
        <v>23</v>
      </c>
    </row>
    <row r="7987" spans="1:11" ht="42" customHeight="1">
      <c r="A7987" s="2" t="s">
        <v>15521</v>
      </c>
      <c r="B7987" s="2" t="s">
        <v>15521</v>
      </c>
      <c r="C7987" s="2" t="s">
        <v>17</v>
      </c>
      <c r="D7987" s="2" t="s">
        <v>18</v>
      </c>
      <c r="E7987" s="5">
        <v>-28798</v>
      </c>
      <c r="F7987" s="3" t="s">
        <v>60</v>
      </c>
      <c r="G7987" s="3" t="s">
        <v>20</v>
      </c>
      <c r="H7987" s="2" t="s">
        <v>21</v>
      </c>
      <c r="I7987" s="2" t="s">
        <v>15522</v>
      </c>
      <c r="J7987" s="3" t="str">
        <f>HYPERLINK("https://www.boe.es/gazeta/dias/1821/02/24/pdfs/GGB-1821-55.pdf#page=3","Abrir facsímil")</f>
        <v>Abrir facsímil</v>
      </c>
      <c r="K7987" s="3" t="s">
        <v>23</v>
      </c>
    </row>
    <row r="7988" spans="1:11" ht="42" customHeight="1">
      <c r="A7988" s="2" t="s">
        <v>15521</v>
      </c>
      <c r="B7988" s="2" t="s">
        <v>15521</v>
      </c>
      <c r="C7988" s="2" t="s">
        <v>40</v>
      </c>
      <c r="D7988" s="2" t="s">
        <v>41</v>
      </c>
      <c r="E7988" s="5">
        <v>-28791</v>
      </c>
      <c r="F7988" s="3" t="s">
        <v>47</v>
      </c>
      <c r="G7988" s="3" t="s">
        <v>20</v>
      </c>
      <c r="H7988" s="2" t="s">
        <v>21</v>
      </c>
      <c r="I7988" s="2" t="s">
        <v>15523</v>
      </c>
      <c r="J7988" s="3" t="str">
        <f>HYPERLINK("https://www.boe.es/gazeta/dias/1821/03/03/pdfs/GGB-1821-62.pdf#page=3","Abrir facsímil")</f>
        <v>Abrir facsímil</v>
      </c>
      <c r="K7988" s="3" t="s">
        <v>23</v>
      </c>
    </row>
    <row r="7989" spans="1:11" ht="42" customHeight="1">
      <c r="A7989" s="2" t="s">
        <v>15521</v>
      </c>
      <c r="B7989" s="2" t="s">
        <v>15521</v>
      </c>
      <c r="C7989" s="2" t="s">
        <v>17</v>
      </c>
      <c r="D7989" s="2" t="s">
        <v>18</v>
      </c>
      <c r="E7989" s="5">
        <v>-28783</v>
      </c>
      <c r="F7989" s="3" t="s">
        <v>198</v>
      </c>
      <c r="G7989" s="3" t="s">
        <v>88</v>
      </c>
      <c r="H7989" s="2" t="s">
        <v>21</v>
      </c>
      <c r="I7989" s="2" t="s">
        <v>15524</v>
      </c>
      <c r="J7989" s="3" t="str">
        <f>HYPERLINK("https://www.boe.es/gazeta/dias/1821/03/11/pdfs/GGB-1821-70.pdf#page=4","Abrir facsímil")</f>
        <v>Abrir facsímil</v>
      </c>
      <c r="K7989" s="3" t="s">
        <v>23</v>
      </c>
    </row>
    <row r="7990" spans="1:11" ht="42" customHeight="1">
      <c r="A7990" s="2" t="s">
        <v>15521</v>
      </c>
      <c r="B7990" s="2" t="s">
        <v>15521</v>
      </c>
      <c r="C7990" s="2" t="s">
        <v>26</v>
      </c>
      <c r="D7990" s="2" t="s">
        <v>27</v>
      </c>
      <c r="E7990" s="5">
        <v>-28775</v>
      </c>
      <c r="F7990" s="3" t="s">
        <v>132</v>
      </c>
      <c r="G7990" s="3" t="s">
        <v>20</v>
      </c>
      <c r="H7990" s="2" t="s">
        <v>21</v>
      </c>
      <c r="I7990" s="2" t="s">
        <v>15525</v>
      </c>
      <c r="J7990" s="3" t="str">
        <f>HYPERLINK("https://www.boe.es/gazeta/dias/1821/03/19/pdfs/GMD-1821-78.pdf#page=3","Abrir facsímil")</f>
        <v>Abrir facsímil</v>
      </c>
      <c r="K7990" s="3" t="s">
        <v>23</v>
      </c>
    </row>
    <row r="7991" spans="1:11" ht="42" customHeight="1">
      <c r="A7991" s="2" t="s">
        <v>15521</v>
      </c>
      <c r="B7991" s="2" t="s">
        <v>15521</v>
      </c>
      <c r="C7991" s="2" t="s">
        <v>35</v>
      </c>
      <c r="D7991" s="2" t="s">
        <v>27</v>
      </c>
      <c r="E7991" s="5">
        <v>-28772</v>
      </c>
      <c r="F7991" s="3" t="s">
        <v>62</v>
      </c>
      <c r="G7991" s="3" t="s">
        <v>20</v>
      </c>
      <c r="H7991" s="2" t="s">
        <v>21</v>
      </c>
      <c r="I7991" s="2" t="s">
        <v>15526</v>
      </c>
      <c r="J7991" s="3" t="str">
        <f>HYPERLINK("https://www.boe.es/gazeta/dias/1821/03/22/pdfs/GMD-1821-81.pdf#page=3","Abrir facsímil")</f>
        <v>Abrir facsímil</v>
      </c>
      <c r="K7991" s="3" t="s">
        <v>23</v>
      </c>
    </row>
    <row r="7992" spans="1:11" ht="42" customHeight="1">
      <c r="A7992" s="2" t="s">
        <v>15521</v>
      </c>
      <c r="B7992" s="2" t="s">
        <v>15521</v>
      </c>
      <c r="C7992" s="2" t="s">
        <v>40</v>
      </c>
      <c r="D7992" s="2" t="s">
        <v>41</v>
      </c>
      <c r="E7992" s="5">
        <v>-28770</v>
      </c>
      <c r="F7992" s="3" t="s">
        <v>1009</v>
      </c>
      <c r="G7992" s="3" t="s">
        <v>162</v>
      </c>
      <c r="H7992" s="2" t="s">
        <v>21</v>
      </c>
      <c r="I7992" s="2" t="s">
        <v>15527</v>
      </c>
      <c r="J7992" s="3" t="str">
        <f>HYPERLINK("https://www.boe.es/gazeta/dias/1821/03/24/pdfs/GMD-1821-84.pdf#page=5","Abrir facsímil")</f>
        <v>Abrir facsímil</v>
      </c>
      <c r="K7992" s="3" t="s">
        <v>23</v>
      </c>
    </row>
    <row r="7993" spans="1:11" ht="42" customHeight="1">
      <c r="A7993" s="2" t="s">
        <v>15521</v>
      </c>
      <c r="B7993" s="2" t="s">
        <v>15521</v>
      </c>
      <c r="C7993" s="2" t="s">
        <v>17</v>
      </c>
      <c r="D7993" s="2" t="s">
        <v>18</v>
      </c>
      <c r="E7993" s="5">
        <v>-28731</v>
      </c>
      <c r="F7993" s="3" t="s">
        <v>577</v>
      </c>
      <c r="G7993" s="3" t="s">
        <v>20</v>
      </c>
      <c r="H7993" s="2" t="s">
        <v>21</v>
      </c>
      <c r="I7993" s="2" t="s">
        <v>15528</v>
      </c>
      <c r="J7993" s="3" t="str">
        <f>HYPERLINK("https://www.boe.es/gazeta/dias/1821/05/02/pdfs/GMD-1821-124.pdf#page=3","Abrir facsímil")</f>
        <v>Abrir facsímil</v>
      </c>
      <c r="K7993" s="3" t="s">
        <v>23</v>
      </c>
    </row>
    <row r="7994" spans="1:11" ht="42" customHeight="1">
      <c r="A7994" s="2" t="s">
        <v>15521</v>
      </c>
      <c r="B7994" s="2" t="s">
        <v>15521</v>
      </c>
      <c r="C7994" s="2" t="s">
        <v>17</v>
      </c>
      <c r="D7994" s="2" t="s">
        <v>18</v>
      </c>
      <c r="E7994" s="5">
        <v>-28731</v>
      </c>
      <c r="F7994" s="3" t="s">
        <v>577</v>
      </c>
      <c r="G7994" s="3" t="s">
        <v>88</v>
      </c>
      <c r="H7994" s="2" t="s">
        <v>21</v>
      </c>
      <c r="I7994" s="2" t="s">
        <v>15529</v>
      </c>
      <c r="J7994" s="3" t="str">
        <f>HYPERLINK("https://www.boe.es/gazeta/dias/1821/05/02/pdfs/GMD-1821-124.pdf#page=4","Abrir facsímil")</f>
        <v>Abrir facsímil</v>
      </c>
      <c r="K7994" s="3" t="s">
        <v>23</v>
      </c>
    </row>
    <row r="7995" spans="1:11" ht="42" customHeight="1">
      <c r="A7995" s="2" t="s">
        <v>15521</v>
      </c>
      <c r="B7995" s="2" t="s">
        <v>15521</v>
      </c>
      <c r="C7995" s="2" t="s">
        <v>40</v>
      </c>
      <c r="D7995" s="2" t="s">
        <v>41</v>
      </c>
      <c r="E7995" s="5">
        <v>-28729</v>
      </c>
      <c r="F7995" s="3" t="s">
        <v>838</v>
      </c>
      <c r="G7995" s="3" t="s">
        <v>52</v>
      </c>
      <c r="H7995" s="2" t="s">
        <v>21</v>
      </c>
      <c r="I7995" s="2" t="s">
        <v>15530</v>
      </c>
      <c r="J7995" s="3" t="str">
        <f>HYPERLINK("https://www.boe.es/gazeta/dias/1821/05/04/pdfs/GMD-1821-126.pdf#page=2","Abrir facsímil")</f>
        <v>Abrir facsímil</v>
      </c>
      <c r="K7995" s="3" t="s">
        <v>23</v>
      </c>
    </row>
    <row r="7996" spans="1:11" ht="42" customHeight="1">
      <c r="A7996" s="2" t="s">
        <v>15521</v>
      </c>
      <c r="B7996" s="2" t="s">
        <v>15521</v>
      </c>
      <c r="C7996" s="2" t="s">
        <v>40</v>
      </c>
      <c r="D7996" s="2" t="s">
        <v>41</v>
      </c>
      <c r="E7996" s="5">
        <v>-28726</v>
      </c>
      <c r="F7996" s="3" t="s">
        <v>347</v>
      </c>
      <c r="G7996" s="3" t="s">
        <v>52</v>
      </c>
      <c r="H7996" s="2" t="s">
        <v>21</v>
      </c>
      <c r="I7996" s="2" t="s">
        <v>15531</v>
      </c>
      <c r="J7996" s="3" t="str">
        <f>HYPERLINK("https://www.boe.es/gazeta/dias/1821/05/07/pdfs/GMD-1821-129.pdf#page=2","Abrir facsímil")</f>
        <v>Abrir facsímil</v>
      </c>
      <c r="K7996" s="3" t="s">
        <v>23</v>
      </c>
    </row>
    <row r="7997" spans="1:11" ht="42" customHeight="1">
      <c r="A7997" s="2" t="s">
        <v>15521</v>
      </c>
      <c r="B7997" s="2" t="s">
        <v>15521</v>
      </c>
      <c r="C7997" s="2" t="s">
        <v>70</v>
      </c>
      <c r="D7997" s="2" t="s">
        <v>27</v>
      </c>
      <c r="E7997" s="5">
        <v>-28724</v>
      </c>
      <c r="F7997" s="3" t="s">
        <v>1305</v>
      </c>
      <c r="G7997" s="3" t="s">
        <v>20</v>
      </c>
      <c r="H7997" s="2" t="s">
        <v>21</v>
      </c>
      <c r="I7997" s="2" t="s">
        <v>15532</v>
      </c>
      <c r="J7997" s="3" t="str">
        <f>HYPERLINK("https://www.boe.es/gazeta/dias/1821/05/09/pdfs/GMD-1821-131.pdf#page=3","Abrir facsímil")</f>
        <v>Abrir facsímil</v>
      </c>
      <c r="K7997" s="3" t="s">
        <v>23</v>
      </c>
    </row>
    <row r="7998" spans="1:11" ht="42" customHeight="1">
      <c r="A7998" s="2" t="s">
        <v>15533</v>
      </c>
      <c r="B7998" s="2" t="s">
        <v>15533</v>
      </c>
      <c r="C7998" s="2" t="s">
        <v>40</v>
      </c>
      <c r="D7998" s="2" t="s">
        <v>41</v>
      </c>
      <c r="E7998" s="5">
        <v>-28718</v>
      </c>
      <c r="F7998" s="3" t="s">
        <v>583</v>
      </c>
      <c r="G7998" s="3" t="s">
        <v>88</v>
      </c>
      <c r="H7998" s="2" t="s">
        <v>21</v>
      </c>
      <c r="I7998" s="2" t="s">
        <v>15534</v>
      </c>
      <c r="J7998" s="3" t="str">
        <f>HYPERLINK("https://www.boe.es/gazeta/dias/1821/05/15/pdfs/GMD-1821-137.pdf#page=4","Abrir facsímil")</f>
        <v>Abrir facsímil</v>
      </c>
      <c r="K7998" s="3" t="s">
        <v>23</v>
      </c>
    </row>
    <row r="7999" spans="1:11" ht="42" customHeight="1">
      <c r="A7999" s="2" t="s">
        <v>15521</v>
      </c>
      <c r="B7999" s="2" t="s">
        <v>15521</v>
      </c>
      <c r="C7999" s="2" t="s">
        <v>17</v>
      </c>
      <c r="D7999" s="2" t="s">
        <v>18</v>
      </c>
      <c r="E7999" s="5">
        <v>-28716</v>
      </c>
      <c r="F7999" s="3" t="s">
        <v>842</v>
      </c>
      <c r="G7999" s="3" t="s">
        <v>52</v>
      </c>
      <c r="H7999" s="2" t="s">
        <v>21</v>
      </c>
      <c r="I7999" s="2" t="s">
        <v>15535</v>
      </c>
      <c r="J7999" s="3" t="str">
        <f>HYPERLINK("https://www.boe.es/gazeta/dias/1821/05/17/pdfs/GMD-1821-139.pdf#page=2","Abrir facsímil")</f>
        <v>Abrir facsímil</v>
      </c>
      <c r="K7999" s="3" t="s">
        <v>23</v>
      </c>
    </row>
    <row r="8000" spans="1:11" ht="42" customHeight="1">
      <c r="A8000" s="2" t="s">
        <v>15521</v>
      </c>
      <c r="B8000" s="2" t="s">
        <v>15521</v>
      </c>
      <c r="C8000" s="2" t="s">
        <v>17</v>
      </c>
      <c r="D8000" s="2" t="s">
        <v>18</v>
      </c>
      <c r="E8000" s="5">
        <v>-28694</v>
      </c>
      <c r="F8000" s="3" t="s">
        <v>1057</v>
      </c>
      <c r="G8000" s="3" t="s">
        <v>52</v>
      </c>
      <c r="H8000" s="2" t="s">
        <v>21</v>
      </c>
      <c r="I8000" s="2" t="s">
        <v>15536</v>
      </c>
      <c r="J8000" s="3" t="str">
        <f>HYPERLINK("https://www.boe.es/gazeta/dias/1821/06/08/pdfs/GMD-1821-161.pdf#page=2","Abrir facsímil")</f>
        <v>Abrir facsímil</v>
      </c>
      <c r="K8000" s="3" t="s">
        <v>23</v>
      </c>
    </row>
    <row r="8001" spans="1:11" ht="42" customHeight="1">
      <c r="A8001" s="2" t="s">
        <v>15521</v>
      </c>
      <c r="B8001" s="2" t="s">
        <v>15521</v>
      </c>
      <c r="C8001" s="2" t="s">
        <v>35</v>
      </c>
      <c r="D8001" s="2" t="s">
        <v>27</v>
      </c>
      <c r="E8001" s="5">
        <v>-28692</v>
      </c>
      <c r="F8001" s="3" t="s">
        <v>3807</v>
      </c>
      <c r="G8001" s="3" t="s">
        <v>52</v>
      </c>
      <c r="H8001" s="2" t="s">
        <v>21</v>
      </c>
      <c r="I8001" s="2" t="s">
        <v>15537</v>
      </c>
      <c r="J8001" s="3" t="str">
        <f>HYPERLINK("https://www.boe.es/gazeta/dias/1821/06/10/pdfs/GMD-1821-163.pdf#page=2","Abrir facsímil")</f>
        <v>Abrir facsímil</v>
      </c>
      <c r="K8001" s="3" t="s">
        <v>23</v>
      </c>
    </row>
    <row r="8002" spans="1:11" ht="42" customHeight="1">
      <c r="A8002" s="2" t="s">
        <v>15521</v>
      </c>
      <c r="B8002" s="2" t="s">
        <v>15521</v>
      </c>
      <c r="C8002" s="2" t="s">
        <v>40</v>
      </c>
      <c r="D8002" s="2" t="s">
        <v>41</v>
      </c>
      <c r="E8002" s="5">
        <v>-28691</v>
      </c>
      <c r="F8002" s="3" t="s">
        <v>716</v>
      </c>
      <c r="G8002" s="3" t="s">
        <v>52</v>
      </c>
      <c r="H8002" s="2" t="s">
        <v>21</v>
      </c>
      <c r="I8002" s="2" t="s">
        <v>15538</v>
      </c>
      <c r="J8002" s="3" t="str">
        <f>HYPERLINK("https://www.boe.es/gazeta/dias/1821/06/11/pdfs/GMD-1821-164.pdf#page=2","Abrir facsímil")</f>
        <v>Abrir facsímil</v>
      </c>
      <c r="K8002" s="3" t="s">
        <v>23</v>
      </c>
    </row>
    <row r="8003" spans="1:11" ht="42" customHeight="1">
      <c r="A8003" s="2" t="s">
        <v>15521</v>
      </c>
      <c r="B8003" s="2" t="s">
        <v>15521</v>
      </c>
      <c r="C8003" s="2" t="s">
        <v>174</v>
      </c>
      <c r="D8003" s="2" t="s">
        <v>27</v>
      </c>
      <c r="E8003" s="5">
        <v>-28685</v>
      </c>
      <c r="F8003" s="3" t="s">
        <v>303</v>
      </c>
      <c r="G8003" s="3" t="s">
        <v>162</v>
      </c>
      <c r="H8003" s="2" t="s">
        <v>21</v>
      </c>
      <c r="I8003" s="2" t="s">
        <v>15539</v>
      </c>
      <c r="J8003" s="3" t="str">
        <f>HYPERLINK("https://www.boe.es/gazeta/dias/1821/06/17/pdfs/GMD-1821-170.pdf#page=5","Abrir facsímil")</f>
        <v>Abrir facsímil</v>
      </c>
      <c r="K8003" s="3" t="s">
        <v>23</v>
      </c>
    </row>
    <row r="8004" spans="1:11" ht="42" customHeight="1">
      <c r="A8004" s="2" t="s">
        <v>15521</v>
      </c>
      <c r="B8004" s="2" t="s">
        <v>15521</v>
      </c>
      <c r="C8004" s="2" t="s">
        <v>26</v>
      </c>
      <c r="D8004" s="2" t="s">
        <v>27</v>
      </c>
      <c r="E8004" s="5">
        <v>-28682</v>
      </c>
      <c r="F8004" s="3" t="s">
        <v>1064</v>
      </c>
      <c r="G8004" s="3" t="s">
        <v>162</v>
      </c>
      <c r="H8004" s="2" t="s">
        <v>21</v>
      </c>
      <c r="I8004" s="2" t="s">
        <v>15540</v>
      </c>
      <c r="J8004" s="3" t="str">
        <f>HYPERLINK("https://www.boe.es/gazeta/dias/1821/06/20/pdfs/GMD-1821-173.pdf#page=5","Abrir facsímil")</f>
        <v>Abrir facsímil</v>
      </c>
      <c r="K8004" s="3" t="s">
        <v>23</v>
      </c>
    </row>
    <row r="8005" spans="1:11" ht="42" customHeight="1">
      <c r="A8005" s="2" t="s">
        <v>15521</v>
      </c>
      <c r="B8005" s="2" t="s">
        <v>15521</v>
      </c>
      <c r="C8005" s="2" t="s">
        <v>17</v>
      </c>
      <c r="D8005" s="2" t="s">
        <v>18</v>
      </c>
      <c r="E8005" s="5">
        <v>-28677</v>
      </c>
      <c r="F8005" s="3" t="s">
        <v>361</v>
      </c>
      <c r="G8005" s="3" t="s">
        <v>162</v>
      </c>
      <c r="H8005" s="2" t="s">
        <v>21</v>
      </c>
      <c r="I8005" s="2" t="s">
        <v>15541</v>
      </c>
      <c r="J8005" s="3" t="str">
        <f>HYPERLINK("https://www.boe.es/gazeta/dias/1821/06/25/pdfs/GMD-1821-178.pdf#page=5","Abrir facsímil")</f>
        <v>Abrir facsímil</v>
      </c>
      <c r="K8005" s="3" t="s">
        <v>23</v>
      </c>
    </row>
    <row r="8006" spans="1:11" ht="42" customHeight="1">
      <c r="A8006" s="2" t="s">
        <v>15521</v>
      </c>
      <c r="B8006" s="2" t="s">
        <v>15521</v>
      </c>
      <c r="C8006" s="2" t="s">
        <v>17</v>
      </c>
      <c r="D8006" s="2" t="s">
        <v>18</v>
      </c>
      <c r="E8006" s="5">
        <v>-28676</v>
      </c>
      <c r="F8006" s="3" t="s">
        <v>534</v>
      </c>
      <c r="G8006" s="3" t="s">
        <v>88</v>
      </c>
      <c r="H8006" s="2" t="s">
        <v>21</v>
      </c>
      <c r="I8006" s="2" t="s">
        <v>15542</v>
      </c>
      <c r="J8006" s="3" t="str">
        <f>HYPERLINK("https://www.boe.es/gazeta/dias/1821/06/26/pdfs/GMD-1821-179.pdf#page=4","Abrir facsímil")</f>
        <v>Abrir facsímil</v>
      </c>
      <c r="K8006" s="3" t="s">
        <v>23</v>
      </c>
    </row>
    <row r="8007" spans="1:11" ht="42" customHeight="1">
      <c r="A8007" s="2" t="s">
        <v>15521</v>
      </c>
      <c r="B8007" s="2" t="s">
        <v>15521</v>
      </c>
      <c r="C8007" s="2" t="s">
        <v>26</v>
      </c>
      <c r="D8007" s="2" t="s">
        <v>27</v>
      </c>
      <c r="E8007" s="5">
        <v>-28586</v>
      </c>
      <c r="F8007" s="3" t="s">
        <v>587</v>
      </c>
      <c r="G8007" s="3" t="s">
        <v>588</v>
      </c>
      <c r="H8007" s="2" t="s">
        <v>21</v>
      </c>
      <c r="I8007" s="2" t="s">
        <v>15543</v>
      </c>
      <c r="J8007" s="3" t="str">
        <f>HYPERLINK("https://www.boe.es/gazeta/dias/1821/09/24/pdfs/GMD-1821-272.pdf#page=3","Abrir facsímil")</f>
        <v>Abrir facsímil</v>
      </c>
      <c r="K8007" s="3" t="s">
        <v>23</v>
      </c>
    </row>
    <row r="8008" spans="1:11" ht="42" customHeight="1">
      <c r="A8008" s="2" t="s">
        <v>15521</v>
      </c>
      <c r="B8008" s="2" t="s">
        <v>15521</v>
      </c>
      <c r="C8008" s="2" t="s">
        <v>40</v>
      </c>
      <c r="D8008" s="2" t="s">
        <v>41</v>
      </c>
      <c r="E8008" s="5">
        <v>-28581</v>
      </c>
      <c r="F8008" s="3" t="s">
        <v>254</v>
      </c>
      <c r="G8008" s="3" t="s">
        <v>20</v>
      </c>
      <c r="H8008" s="2" t="s">
        <v>21</v>
      </c>
      <c r="I8008" s="2" t="s">
        <v>15544</v>
      </c>
      <c r="J8008" s="3" t="str">
        <f>HYPERLINK("https://www.boe.es/gazeta/dias/1821/09/29/pdfs/GMD-1821-278.pdf#page=3","Abrir facsímil")</f>
        <v>Abrir facsímil</v>
      </c>
      <c r="K8008" s="3" t="s">
        <v>23</v>
      </c>
    </row>
    <row r="8009" spans="1:11" ht="42" customHeight="1">
      <c r="A8009" s="2" t="s">
        <v>15521</v>
      </c>
      <c r="B8009" s="2" t="s">
        <v>15521</v>
      </c>
      <c r="C8009" s="2" t="s">
        <v>174</v>
      </c>
      <c r="D8009" s="2" t="s">
        <v>27</v>
      </c>
      <c r="E8009" s="5">
        <v>-28552</v>
      </c>
      <c r="F8009" s="3" t="s">
        <v>28</v>
      </c>
      <c r="G8009" s="3" t="s">
        <v>162</v>
      </c>
      <c r="H8009" s="2" t="s">
        <v>21</v>
      </c>
      <c r="I8009" s="2" t="s">
        <v>15545</v>
      </c>
      <c r="J8009" s="3" t="str">
        <f>HYPERLINK("https://www.boe.es/gazeta/dias/1821/10/28/pdfs/GMD-1821-307.pdf#page=5","Abrir facsímil")</f>
        <v>Abrir facsímil</v>
      </c>
      <c r="K8009" s="3" t="s">
        <v>23</v>
      </c>
    </row>
    <row r="8010" spans="1:11" ht="42" customHeight="1">
      <c r="A8010" s="2" t="s">
        <v>15521</v>
      </c>
      <c r="B8010" s="2" t="s">
        <v>15521</v>
      </c>
      <c r="C8010" s="2" t="s">
        <v>26</v>
      </c>
      <c r="D8010" s="2" t="s">
        <v>27</v>
      </c>
      <c r="E8010" s="5">
        <v>-28551</v>
      </c>
      <c r="F8010" s="3" t="s">
        <v>542</v>
      </c>
      <c r="G8010" s="3" t="s">
        <v>543</v>
      </c>
      <c r="H8010" s="2" t="s">
        <v>21</v>
      </c>
      <c r="I8010" s="2" t="s">
        <v>15546</v>
      </c>
      <c r="J8010" s="3" t="str">
        <f>HYPERLINK("https://www.boe.es/gazeta/dias/1821/10/29/pdfs/GMD-1821-308.pdf#page=3","Abrir facsímil")</f>
        <v>Abrir facsímil</v>
      </c>
      <c r="K8010" s="3" t="s">
        <v>23</v>
      </c>
    </row>
    <row r="8011" spans="1:11" ht="42" customHeight="1">
      <c r="A8011" s="2" t="s">
        <v>15521</v>
      </c>
      <c r="B8011" s="2" t="s">
        <v>15521</v>
      </c>
      <c r="C8011" s="2" t="s">
        <v>17</v>
      </c>
      <c r="D8011" s="2" t="s">
        <v>18</v>
      </c>
      <c r="E8011" s="5">
        <v>-28545</v>
      </c>
      <c r="F8011" s="3" t="s">
        <v>284</v>
      </c>
      <c r="G8011" s="3" t="s">
        <v>20</v>
      </c>
      <c r="H8011" s="2" t="s">
        <v>21</v>
      </c>
      <c r="I8011" s="2" t="s">
        <v>15547</v>
      </c>
      <c r="J8011" s="3" t="str">
        <f>HYPERLINK("https://www.boe.es/gazeta/dias/1821/11/04/pdfs/GMD-1821-315.pdf#page=3","Abrir facsímil")</f>
        <v>Abrir facsímil</v>
      </c>
      <c r="K8011" s="3" t="s">
        <v>23</v>
      </c>
    </row>
    <row r="8012" spans="1:11" ht="42" customHeight="1">
      <c r="A8012" s="2" t="s">
        <v>15521</v>
      </c>
      <c r="B8012" s="2" t="s">
        <v>15521</v>
      </c>
      <c r="C8012" s="2" t="s">
        <v>17</v>
      </c>
      <c r="D8012" s="2" t="s">
        <v>18</v>
      </c>
      <c r="E8012" s="5">
        <v>-28545</v>
      </c>
      <c r="F8012" s="3" t="s">
        <v>284</v>
      </c>
      <c r="G8012" s="3" t="s">
        <v>88</v>
      </c>
      <c r="H8012" s="2" t="s">
        <v>21</v>
      </c>
      <c r="I8012" s="2" t="s">
        <v>15548</v>
      </c>
      <c r="J8012" s="3" t="str">
        <f>HYPERLINK("https://www.boe.es/gazeta/dias/1821/11/04/pdfs/GMD-1821-315.pdf#page=4","Abrir facsímil")</f>
        <v>Abrir facsímil</v>
      </c>
      <c r="K8012" s="3" t="s">
        <v>23</v>
      </c>
    </row>
    <row r="8013" spans="1:11" ht="42" customHeight="1">
      <c r="A8013" s="2" t="s">
        <v>15521</v>
      </c>
      <c r="B8013" s="2" t="s">
        <v>15521</v>
      </c>
      <c r="C8013" s="2" t="s">
        <v>35</v>
      </c>
      <c r="D8013" s="2" t="s">
        <v>27</v>
      </c>
      <c r="E8013" s="5">
        <v>-28543</v>
      </c>
      <c r="F8013" s="3" t="s">
        <v>136</v>
      </c>
      <c r="G8013" s="3" t="s">
        <v>162</v>
      </c>
      <c r="H8013" s="2" t="s">
        <v>21</v>
      </c>
      <c r="I8013" s="2" t="s">
        <v>15549</v>
      </c>
      <c r="J8013" s="3" t="str">
        <f>HYPERLINK("https://www.boe.es/gazeta/dias/1821/11/06/pdfs/GMD-1821-317.pdf#page=5","Abrir facsímil")</f>
        <v>Abrir facsímil</v>
      </c>
      <c r="K8013" s="3" t="s">
        <v>23</v>
      </c>
    </row>
    <row r="8014" spans="1:11" ht="42" customHeight="1">
      <c r="A8014" s="2" t="s">
        <v>15521</v>
      </c>
      <c r="B8014" s="2" t="s">
        <v>15521</v>
      </c>
      <c r="C8014" s="2" t="s">
        <v>40</v>
      </c>
      <c r="D8014" s="2" t="s">
        <v>41</v>
      </c>
      <c r="E8014" s="5">
        <v>-28538</v>
      </c>
      <c r="F8014" s="3" t="s">
        <v>395</v>
      </c>
      <c r="G8014" s="3" t="s">
        <v>52</v>
      </c>
      <c r="H8014" s="2" t="s">
        <v>21</v>
      </c>
      <c r="I8014" s="2" t="s">
        <v>15550</v>
      </c>
      <c r="J8014" s="3" t="str">
        <f>HYPERLINK("https://www.boe.es/gazeta/dias/1821/11/11/pdfs/GMD-1821-322.pdf#page=2","Abrir facsímil")</f>
        <v>Abrir facsímil</v>
      </c>
      <c r="K8014" s="3" t="s">
        <v>23</v>
      </c>
    </row>
    <row r="8015" spans="1:11" ht="42" customHeight="1">
      <c r="A8015" s="2" t="s">
        <v>15521</v>
      </c>
      <c r="B8015" s="2" t="s">
        <v>15521</v>
      </c>
      <c r="C8015" s="2" t="s">
        <v>17</v>
      </c>
      <c r="D8015" s="2" t="s">
        <v>18</v>
      </c>
      <c r="E8015" s="5">
        <v>-28536</v>
      </c>
      <c r="F8015" s="3" t="s">
        <v>553</v>
      </c>
      <c r="G8015" s="3" t="s">
        <v>29</v>
      </c>
      <c r="H8015" s="2" t="s">
        <v>21</v>
      </c>
      <c r="I8015" s="2" t="s">
        <v>15551</v>
      </c>
      <c r="J8015" s="3" t="str">
        <f>HYPERLINK("https://www.boe.es/gazeta/dias/1821/11/13/pdfs/GMD-1821-324.pdf#page=6","Abrir facsímil")</f>
        <v>Abrir facsímil</v>
      </c>
      <c r="K8015" s="3" t="s">
        <v>23</v>
      </c>
    </row>
    <row r="8016" spans="1:11" ht="42" customHeight="1">
      <c r="A8016" s="2" t="s">
        <v>15521</v>
      </c>
      <c r="B8016" s="2" t="s">
        <v>15521</v>
      </c>
      <c r="C8016" s="2" t="s">
        <v>26</v>
      </c>
      <c r="D8016" s="2" t="s">
        <v>27</v>
      </c>
      <c r="E8016" s="5">
        <v>-28533</v>
      </c>
      <c r="F8016" s="3" t="s">
        <v>559</v>
      </c>
      <c r="G8016" s="3" t="s">
        <v>162</v>
      </c>
      <c r="H8016" s="2" t="s">
        <v>21</v>
      </c>
      <c r="I8016" s="2" t="s">
        <v>15552</v>
      </c>
      <c r="J8016" s="3" t="str">
        <f>HYPERLINK("https://www.boe.es/gazeta/dias/1821/11/16/pdfs/GMD-1821-327.pdf#page=5","Abrir facsímil")</f>
        <v>Abrir facsímil</v>
      </c>
      <c r="K8016" s="3" t="s">
        <v>23</v>
      </c>
    </row>
    <row r="8017" spans="1:11" ht="42" customHeight="1">
      <c r="A8017" s="2" t="s">
        <v>15521</v>
      </c>
      <c r="B8017" s="2" t="s">
        <v>15521</v>
      </c>
      <c r="C8017" s="2" t="s">
        <v>70</v>
      </c>
      <c r="D8017" s="2" t="s">
        <v>27</v>
      </c>
      <c r="E8017" s="5">
        <v>-28532</v>
      </c>
      <c r="F8017" s="3" t="s">
        <v>1415</v>
      </c>
      <c r="G8017" s="3" t="s">
        <v>20</v>
      </c>
      <c r="H8017" s="2" t="s">
        <v>21</v>
      </c>
      <c r="I8017" s="2" t="s">
        <v>15553</v>
      </c>
      <c r="J8017" s="3" t="str">
        <f>HYPERLINK("https://www.boe.es/gazeta/dias/1821/11/17/pdfs/GMD-1821-328.pdf#page=3","Abrir facsímil")</f>
        <v>Abrir facsímil</v>
      </c>
      <c r="K8017" s="3" t="s">
        <v>23</v>
      </c>
    </row>
    <row r="8018" spans="1:11" ht="42" customHeight="1">
      <c r="A8018" s="2" t="s">
        <v>15521</v>
      </c>
      <c r="B8018" s="2" t="s">
        <v>15521</v>
      </c>
      <c r="C8018" s="2" t="s">
        <v>26</v>
      </c>
      <c r="D8018" s="2" t="s">
        <v>27</v>
      </c>
      <c r="E8018" s="5">
        <v>-28532</v>
      </c>
      <c r="F8018" s="3" t="s">
        <v>1415</v>
      </c>
      <c r="G8018" s="3" t="s">
        <v>88</v>
      </c>
      <c r="H8018" s="2" t="s">
        <v>21</v>
      </c>
      <c r="I8018" s="2" t="s">
        <v>15554</v>
      </c>
      <c r="J8018" s="3" t="str">
        <f>HYPERLINK("https://www.boe.es/gazeta/dias/1821/11/17/pdfs/GMD-1821-328.pdf#page=4","Abrir facsímil")</f>
        <v>Abrir facsímil</v>
      </c>
      <c r="K8018" s="3" t="s">
        <v>23</v>
      </c>
    </row>
    <row r="8019" spans="1:11" ht="42" customHeight="1">
      <c r="A8019" s="2" t="s">
        <v>15521</v>
      </c>
      <c r="B8019" s="2" t="s">
        <v>15521</v>
      </c>
      <c r="C8019" s="2" t="s">
        <v>26</v>
      </c>
      <c r="D8019" s="2" t="s">
        <v>27</v>
      </c>
      <c r="E8019" s="5">
        <v>-28531</v>
      </c>
      <c r="F8019" s="3" t="s">
        <v>365</v>
      </c>
      <c r="G8019" s="3" t="s">
        <v>20</v>
      </c>
      <c r="H8019" s="2" t="s">
        <v>21</v>
      </c>
      <c r="I8019" s="2" t="s">
        <v>15555</v>
      </c>
      <c r="J8019" s="3" t="str">
        <f>HYPERLINK("https://www.boe.es/gazeta/dias/1821/11/18/pdfs/GMD-1821-329.pdf#page=3","Abrir facsímil")</f>
        <v>Abrir facsímil</v>
      </c>
      <c r="K8019" s="3" t="s">
        <v>23</v>
      </c>
    </row>
    <row r="8020" spans="1:11" ht="42" customHeight="1">
      <c r="A8020" s="2" t="s">
        <v>15521</v>
      </c>
      <c r="B8020" s="2" t="s">
        <v>15521</v>
      </c>
      <c r="C8020" s="2" t="s">
        <v>26</v>
      </c>
      <c r="D8020" s="2" t="s">
        <v>27</v>
      </c>
      <c r="E8020" s="5">
        <v>-28529</v>
      </c>
      <c r="F8020" s="3" t="s">
        <v>525</v>
      </c>
      <c r="G8020" s="3" t="s">
        <v>52</v>
      </c>
      <c r="H8020" s="2" t="s">
        <v>21</v>
      </c>
      <c r="I8020" s="2" t="s">
        <v>15556</v>
      </c>
      <c r="J8020" s="3" t="str">
        <f>HYPERLINK("https://www.boe.es/gazeta/dias/1821/11/20/pdfs/GMD-1821-331.pdf#page=2","Abrir facsímil")</f>
        <v>Abrir facsímil</v>
      </c>
      <c r="K8020" s="3" t="s">
        <v>23</v>
      </c>
    </row>
    <row r="8021" spans="1:11" ht="42" customHeight="1">
      <c r="A8021" s="2" t="s">
        <v>15521</v>
      </c>
      <c r="B8021" s="2" t="s">
        <v>15521</v>
      </c>
      <c r="C8021" s="2" t="s">
        <v>40</v>
      </c>
      <c r="D8021" s="2" t="s">
        <v>41</v>
      </c>
      <c r="E8021" s="5">
        <v>-28526</v>
      </c>
      <c r="F8021" s="3" t="s">
        <v>223</v>
      </c>
      <c r="G8021" s="3" t="s">
        <v>1251</v>
      </c>
      <c r="H8021" s="2" t="s">
        <v>21</v>
      </c>
      <c r="I8021" s="2" t="s">
        <v>15557</v>
      </c>
      <c r="J8021" s="3" t="str">
        <f>HYPERLINK("https://www.boe.es/gazeta/dias/1821/11/23/pdfs/GMD-1821-334.pdf#page=3","Abrir facsímil")</f>
        <v>Abrir facsímil</v>
      </c>
      <c r="K8021" s="3" t="s">
        <v>23</v>
      </c>
    </row>
    <row r="8022" spans="1:11" ht="42" customHeight="1">
      <c r="A8022" s="2" t="s">
        <v>15521</v>
      </c>
      <c r="B8022" s="2" t="s">
        <v>15521</v>
      </c>
      <c r="C8022" s="2" t="s">
        <v>26</v>
      </c>
      <c r="D8022" s="2" t="s">
        <v>27</v>
      </c>
      <c r="E8022" s="5">
        <v>-28525</v>
      </c>
      <c r="F8022" s="3" t="s">
        <v>186</v>
      </c>
      <c r="G8022" s="3" t="s">
        <v>52</v>
      </c>
      <c r="H8022" s="2" t="s">
        <v>21</v>
      </c>
      <c r="I8022" s="2" t="s">
        <v>15558</v>
      </c>
      <c r="J8022" s="3" t="str">
        <f>HYPERLINK("https://www.boe.es/gazeta/dias/1821/11/24/pdfs/GMD-1821-335.pdf#page=2","Abrir facsímil")</f>
        <v>Abrir facsímil</v>
      </c>
      <c r="K8022" s="3" t="s">
        <v>23</v>
      </c>
    </row>
    <row r="8023" spans="1:11" ht="42" customHeight="1">
      <c r="A8023" s="2" t="s">
        <v>15521</v>
      </c>
      <c r="B8023" s="2" t="s">
        <v>15521</v>
      </c>
      <c r="C8023" s="2" t="s">
        <v>26</v>
      </c>
      <c r="D8023" s="2" t="s">
        <v>27</v>
      </c>
      <c r="E8023" s="5">
        <v>-28525</v>
      </c>
      <c r="F8023" s="3" t="s">
        <v>186</v>
      </c>
      <c r="G8023" s="3" t="s">
        <v>20</v>
      </c>
      <c r="H8023" s="2" t="s">
        <v>21</v>
      </c>
      <c r="I8023" s="2" t="s">
        <v>15559</v>
      </c>
      <c r="J8023" s="3" t="str">
        <f>HYPERLINK("https://www.boe.es/gazeta/dias/1821/11/24/pdfs/GMD-1821-335.pdf#page=3","Abrir facsímil")</f>
        <v>Abrir facsímil</v>
      </c>
      <c r="K8023" s="3" t="s">
        <v>23</v>
      </c>
    </row>
    <row r="8024" spans="1:11" ht="42" customHeight="1">
      <c r="A8024" s="2" t="s">
        <v>15521</v>
      </c>
      <c r="B8024" s="2" t="s">
        <v>15521</v>
      </c>
      <c r="C8024" s="2" t="s">
        <v>26</v>
      </c>
      <c r="D8024" s="2" t="s">
        <v>27</v>
      </c>
      <c r="E8024" s="5">
        <v>-28524</v>
      </c>
      <c r="F8024" s="3" t="s">
        <v>874</v>
      </c>
      <c r="G8024" s="3" t="s">
        <v>88</v>
      </c>
      <c r="H8024" s="2" t="s">
        <v>21</v>
      </c>
      <c r="I8024" s="2" t="s">
        <v>15560</v>
      </c>
      <c r="J8024" s="3" t="str">
        <f>HYPERLINK("https://www.boe.es/gazeta/dias/1821/11/25/pdfs/GMD-1821-336.pdf#page=4","Abrir facsímil")</f>
        <v>Abrir facsímil</v>
      </c>
      <c r="K8024" s="3" t="s">
        <v>23</v>
      </c>
    </row>
    <row r="8025" spans="1:11" ht="42" customHeight="1">
      <c r="A8025" s="2" t="s">
        <v>15521</v>
      </c>
      <c r="B8025" s="2" t="s">
        <v>15521</v>
      </c>
      <c r="C8025" s="2" t="s">
        <v>174</v>
      </c>
      <c r="D8025" s="2" t="s">
        <v>27</v>
      </c>
      <c r="E8025" s="5">
        <v>-28523</v>
      </c>
      <c r="F8025" s="3" t="s">
        <v>257</v>
      </c>
      <c r="G8025" s="3" t="s">
        <v>88</v>
      </c>
      <c r="H8025" s="2" t="s">
        <v>21</v>
      </c>
      <c r="I8025" s="2" t="s">
        <v>15561</v>
      </c>
      <c r="J8025" s="3" t="str">
        <f>HYPERLINK("https://www.boe.es/gazeta/dias/1821/11/26/pdfs/GMD-1821-337.pdf#page=4","Abrir facsímil")</f>
        <v>Abrir facsímil</v>
      </c>
      <c r="K8025" s="3" t="s">
        <v>23</v>
      </c>
    </row>
    <row r="8026" spans="1:11" ht="42" customHeight="1">
      <c r="A8026" s="2" t="s">
        <v>15521</v>
      </c>
      <c r="B8026" s="2" t="s">
        <v>15521</v>
      </c>
      <c r="C8026" s="2" t="s">
        <v>26</v>
      </c>
      <c r="D8026" s="2" t="s">
        <v>27</v>
      </c>
      <c r="E8026" s="5">
        <v>-28520</v>
      </c>
      <c r="F8026" s="3" t="s">
        <v>878</v>
      </c>
      <c r="G8026" s="3" t="s">
        <v>20</v>
      </c>
      <c r="H8026" s="2" t="s">
        <v>21</v>
      </c>
      <c r="I8026" s="2" t="s">
        <v>15562</v>
      </c>
      <c r="J8026" s="3" t="str">
        <f>HYPERLINK("https://www.boe.es/gazeta/dias/1821/11/29/pdfs/GMD-1821-341.pdf#page=3","Abrir facsímil")</f>
        <v>Abrir facsímil</v>
      </c>
      <c r="K8026" s="3" t="s">
        <v>23</v>
      </c>
    </row>
    <row r="8027" spans="1:11" ht="42" customHeight="1">
      <c r="A8027" s="2" t="s">
        <v>15521</v>
      </c>
      <c r="B8027" s="2" t="s">
        <v>15521</v>
      </c>
      <c r="C8027" s="2" t="s">
        <v>174</v>
      </c>
      <c r="D8027" s="2" t="s">
        <v>27</v>
      </c>
      <c r="E8027" s="5">
        <v>-28514</v>
      </c>
      <c r="F8027" s="3" t="s">
        <v>103</v>
      </c>
      <c r="G8027" s="3" t="s">
        <v>20</v>
      </c>
      <c r="H8027" s="2" t="s">
        <v>21</v>
      </c>
      <c r="I8027" s="2" t="s">
        <v>15563</v>
      </c>
      <c r="J8027" s="3" t="str">
        <f>HYPERLINK("https://www.boe.es/gazeta/dias/1821/12/05/pdfs/GMD-1821-347.pdf#page=3","Abrir facsímil")</f>
        <v>Abrir facsímil</v>
      </c>
      <c r="K8027" s="3" t="s">
        <v>23</v>
      </c>
    </row>
    <row r="8028" spans="1:11" ht="42" customHeight="1">
      <c r="A8028" s="2" t="s">
        <v>15521</v>
      </c>
      <c r="B8028" s="2" t="s">
        <v>15521</v>
      </c>
      <c r="C8028" s="2" t="s">
        <v>26</v>
      </c>
      <c r="D8028" s="2" t="s">
        <v>27</v>
      </c>
      <c r="E8028" s="5">
        <v>-28512</v>
      </c>
      <c r="F8028" s="3" t="s">
        <v>66</v>
      </c>
      <c r="G8028" s="3" t="s">
        <v>20</v>
      </c>
      <c r="H8028" s="2" t="s">
        <v>21</v>
      </c>
      <c r="I8028" s="2" t="s">
        <v>15564</v>
      </c>
      <c r="J8028" s="3" t="str">
        <f>HYPERLINK("https://www.boe.es/gazeta/dias/1821/12/07/pdfs/GMD-1821-349.pdf#page=3","Abrir facsímil")</f>
        <v>Abrir facsímil</v>
      </c>
      <c r="K8028" s="3" t="s">
        <v>23</v>
      </c>
    </row>
    <row r="8029" spans="1:11" ht="42" customHeight="1">
      <c r="A8029" s="2" t="s">
        <v>15533</v>
      </c>
      <c r="B8029" s="2" t="s">
        <v>15533</v>
      </c>
      <c r="C8029" s="2" t="s">
        <v>26</v>
      </c>
      <c r="D8029" s="2" t="s">
        <v>27</v>
      </c>
      <c r="E8029" s="5">
        <v>-28510</v>
      </c>
      <c r="F8029" s="3" t="s">
        <v>83</v>
      </c>
      <c r="G8029" s="3" t="s">
        <v>20</v>
      </c>
      <c r="H8029" s="2" t="s">
        <v>21</v>
      </c>
      <c r="I8029" s="2" t="s">
        <v>15565</v>
      </c>
      <c r="J8029" s="3" t="str">
        <f>HYPERLINK("https://www.boe.es/gazeta/dias/1821/12/09/pdfs/GMD-1821-351.pdf#page=3","Abrir facsímil")</f>
        <v>Abrir facsímil</v>
      </c>
      <c r="K8029" s="3" t="s">
        <v>23</v>
      </c>
    </row>
    <row r="8030" spans="1:11" ht="42" customHeight="1">
      <c r="A8030" s="2" t="s">
        <v>15521</v>
      </c>
      <c r="B8030" s="2" t="s">
        <v>15521</v>
      </c>
      <c r="C8030" s="2" t="s">
        <v>40</v>
      </c>
      <c r="D8030" s="2" t="s">
        <v>41</v>
      </c>
      <c r="E8030" s="5">
        <v>-28505</v>
      </c>
      <c r="F8030" s="3" t="s">
        <v>567</v>
      </c>
      <c r="G8030" s="3" t="s">
        <v>43</v>
      </c>
      <c r="H8030" s="2" t="s">
        <v>21</v>
      </c>
      <c r="I8030" s="2" t="s">
        <v>15566</v>
      </c>
      <c r="J8030" s="3" t="str">
        <f>HYPERLINK("https://www.boe.es/gazeta/dias/1821/12/14/pdfs/GMD-1821-357.pdf#page=1","Abrir facsímil")</f>
        <v>Abrir facsímil</v>
      </c>
      <c r="K8030" s="3" t="s">
        <v>23</v>
      </c>
    </row>
    <row r="8031" spans="1:11" ht="42" customHeight="1">
      <c r="A8031" s="2" t="s">
        <v>15521</v>
      </c>
      <c r="B8031" s="2" t="s">
        <v>15521</v>
      </c>
      <c r="C8031" s="2" t="s">
        <v>35</v>
      </c>
      <c r="D8031" s="2" t="s">
        <v>27</v>
      </c>
      <c r="E8031" s="5">
        <v>-28501</v>
      </c>
      <c r="F8031" s="3" t="s">
        <v>456</v>
      </c>
      <c r="G8031" s="3" t="s">
        <v>88</v>
      </c>
      <c r="H8031" s="2" t="s">
        <v>21</v>
      </c>
      <c r="I8031" s="2" t="s">
        <v>15567</v>
      </c>
      <c r="J8031" s="3" t="str">
        <f>HYPERLINK("https://www.boe.es/gazeta/dias/1821/12/18/pdfs/GMD-1821-361.pdf#page=4","Abrir facsímil")</f>
        <v>Abrir facsímil</v>
      </c>
      <c r="K8031" s="3" t="s">
        <v>23</v>
      </c>
    </row>
    <row r="8032" spans="1:11" ht="42" customHeight="1">
      <c r="A8032" s="2" t="s">
        <v>15521</v>
      </c>
      <c r="B8032" s="2" t="s">
        <v>15521</v>
      </c>
      <c r="C8032" s="2" t="s">
        <v>35</v>
      </c>
      <c r="D8032" s="2" t="s">
        <v>27</v>
      </c>
      <c r="E8032" s="5">
        <v>-28500</v>
      </c>
      <c r="F8032" s="3" t="s">
        <v>298</v>
      </c>
      <c r="G8032" s="3" t="s">
        <v>43</v>
      </c>
      <c r="H8032" s="2" t="s">
        <v>21</v>
      </c>
      <c r="I8032" s="2" t="s">
        <v>15568</v>
      </c>
      <c r="J8032" s="3" t="str">
        <f>HYPERLINK("https://www.boe.es/gazeta/dias/1821/12/19/pdfs/GMD-1821-362.pdf#page=1","Abrir facsímil")</f>
        <v>Abrir facsímil</v>
      </c>
      <c r="K8032" s="3" t="s">
        <v>23</v>
      </c>
    </row>
    <row r="8033" spans="1:11" ht="42" customHeight="1">
      <c r="A8033" s="2" t="s">
        <v>15521</v>
      </c>
      <c r="B8033" s="2" t="s">
        <v>15521</v>
      </c>
      <c r="C8033" s="2" t="s">
        <v>26</v>
      </c>
      <c r="D8033" s="2" t="s">
        <v>27</v>
      </c>
      <c r="E8033" s="5">
        <v>-28495</v>
      </c>
      <c r="F8033" s="3" t="s">
        <v>227</v>
      </c>
      <c r="G8033" s="3" t="s">
        <v>333</v>
      </c>
      <c r="H8033" s="2" t="s">
        <v>21</v>
      </c>
      <c r="I8033" s="2" t="s">
        <v>15569</v>
      </c>
      <c r="J8033" s="3" t="str">
        <f>HYPERLINK("https://www.boe.es/gazeta/dias/1821/12/24/pdfs/GMD-1821-367.pdf#page=8","Abrir facsímil")</f>
        <v>Abrir facsímil</v>
      </c>
      <c r="K8033" s="3" t="s">
        <v>23</v>
      </c>
    </row>
    <row r="8034" spans="1:11" ht="42" customHeight="1">
      <c r="A8034" s="2" t="s">
        <v>15521</v>
      </c>
      <c r="B8034" s="2" t="s">
        <v>15521</v>
      </c>
      <c r="C8034" s="2" t="s">
        <v>26</v>
      </c>
      <c r="D8034" s="2" t="s">
        <v>27</v>
      </c>
      <c r="E8034" s="5">
        <v>-28488</v>
      </c>
      <c r="F8034" s="3" t="s">
        <v>1563</v>
      </c>
      <c r="G8034" s="3" t="s">
        <v>3734</v>
      </c>
      <c r="H8034" s="2" t="s">
        <v>21</v>
      </c>
      <c r="I8034" s="2" t="s">
        <v>15570</v>
      </c>
      <c r="J8034" s="3" t="str">
        <f>HYPERLINK("https://www.boe.es/gazeta/dias/1821/12/31/pdfs/GMD-1821-374.pdf#page=3","Abrir facsímil")</f>
        <v>Abrir facsímil</v>
      </c>
      <c r="K8034" s="3" t="s">
        <v>23</v>
      </c>
    </row>
    <row r="8035" spans="1:11" ht="42" customHeight="1">
      <c r="A8035" s="2" t="s">
        <v>15571</v>
      </c>
      <c r="B8035" s="2" t="s">
        <v>15571</v>
      </c>
      <c r="C8035" s="2" t="s">
        <v>174</v>
      </c>
      <c r="D8035" s="2" t="s">
        <v>27</v>
      </c>
      <c r="E8035" s="5">
        <v>-28535</v>
      </c>
      <c r="F8035" s="3" t="s">
        <v>96</v>
      </c>
      <c r="G8035" s="3" t="s">
        <v>52</v>
      </c>
      <c r="H8035" s="2" t="s">
        <v>21</v>
      </c>
      <c r="I8035" s="2" t="s">
        <v>15572</v>
      </c>
      <c r="J8035" s="3" t="str">
        <f>HYPERLINK("https://www.boe.es/gazeta/dias/1821/11/14/pdfs/GMD-1821-325.pdf#page=2","Abrir facsímil")</f>
        <v>Abrir facsímil</v>
      </c>
      <c r="K8035" s="3" t="s">
        <v>23</v>
      </c>
    </row>
    <row r="8036" spans="1:11" ht="42" customHeight="1">
      <c r="A8036" s="2" t="s">
        <v>15573</v>
      </c>
      <c r="B8036" s="2" t="s">
        <v>15573</v>
      </c>
      <c r="C8036" s="2" t="s">
        <v>40</v>
      </c>
      <c r="D8036" s="2" t="s">
        <v>41</v>
      </c>
      <c r="E8036" s="5">
        <v>-28510</v>
      </c>
      <c r="F8036" s="3" t="s">
        <v>83</v>
      </c>
      <c r="G8036" s="3" t="s">
        <v>52</v>
      </c>
      <c r="H8036" s="2" t="s">
        <v>21</v>
      </c>
      <c r="I8036" s="2" t="s">
        <v>15574</v>
      </c>
      <c r="J8036" s="3" t="str">
        <f>HYPERLINK("https://www.boe.es/gazeta/dias/1821/12/09/pdfs/GMD-1821-351.pdf#page=2","Abrir facsímil")</f>
        <v>Abrir facsímil</v>
      </c>
      <c r="K8036" s="3" t="s">
        <v>23</v>
      </c>
    </row>
    <row r="8037" spans="1:11" ht="42" customHeight="1">
      <c r="A8037" s="2" t="s">
        <v>15575</v>
      </c>
      <c r="B8037" s="2" t="s">
        <v>15576</v>
      </c>
      <c r="C8037" s="2" t="s">
        <v>17</v>
      </c>
      <c r="D8037" s="2" t="s">
        <v>18</v>
      </c>
      <c r="E8037" s="5">
        <v>-28741</v>
      </c>
      <c r="F8037" s="3" t="s">
        <v>1841</v>
      </c>
      <c r="G8037" s="3" t="s">
        <v>88</v>
      </c>
      <c r="H8037" s="2" t="s">
        <v>21</v>
      </c>
      <c r="I8037" s="2" t="s">
        <v>15577</v>
      </c>
      <c r="J8037" s="3" t="str">
        <f>HYPERLINK("https://www.boe.es/gazeta/dias/1821/04/22/pdfs/GMD-1821-114.pdf#page=4","Abrir facsímil")</f>
        <v>Abrir facsímil</v>
      </c>
      <c r="K8037" s="3" t="s">
        <v>23</v>
      </c>
    </row>
    <row r="8038" spans="1:11" ht="42" customHeight="1">
      <c r="A8038" s="2" t="s">
        <v>15578</v>
      </c>
      <c r="B8038" s="2" t="s">
        <v>15578</v>
      </c>
      <c r="C8038" s="2" t="s">
        <v>35</v>
      </c>
      <c r="D8038" s="2" t="s">
        <v>27</v>
      </c>
      <c r="E8038" s="5">
        <v>-28503</v>
      </c>
      <c r="F8038" s="3" t="s">
        <v>947</v>
      </c>
      <c r="G8038" s="3" t="s">
        <v>29</v>
      </c>
      <c r="H8038" s="2" t="s">
        <v>21</v>
      </c>
      <c r="I8038" s="2" t="s">
        <v>15579</v>
      </c>
      <c r="J8038" s="3" t="str">
        <f>HYPERLINK("https://www.boe.es/gazeta/dias/1821/12/16/pdfs/GMD-1821-359.pdf#page=6","Abrir facsímil")</f>
        <v>Abrir facsímil</v>
      </c>
      <c r="K8038" s="3" t="s">
        <v>23</v>
      </c>
    </row>
    <row r="8039" spans="1:11" ht="42" customHeight="1">
      <c r="A8039" s="2" t="s">
        <v>15580</v>
      </c>
      <c r="B8039" s="2" t="s">
        <v>15580</v>
      </c>
      <c r="C8039" s="2" t="s">
        <v>40</v>
      </c>
      <c r="D8039" s="2" t="s">
        <v>41</v>
      </c>
      <c r="E8039" s="5">
        <v>-28589</v>
      </c>
      <c r="F8039" s="3" t="s">
        <v>3130</v>
      </c>
      <c r="G8039" s="3" t="s">
        <v>52</v>
      </c>
      <c r="H8039" s="2" t="s">
        <v>21</v>
      </c>
      <c r="I8039" s="2" t="s">
        <v>15581</v>
      </c>
      <c r="J8039" s="3" t="str">
        <f>HYPERLINK("https://www.boe.es/gazeta/dias/1821/09/21/pdfs/GMD-1821-269.pdf#page=2","Abrir facsímil")</f>
        <v>Abrir facsímil</v>
      </c>
      <c r="K8039" s="3" t="s">
        <v>23</v>
      </c>
    </row>
    <row r="8040" spans="1:11" ht="42" customHeight="1">
      <c r="A8040" s="2" t="s">
        <v>15582</v>
      </c>
      <c r="B8040" s="2" t="s">
        <v>15583</v>
      </c>
      <c r="C8040" s="2" t="s">
        <v>70</v>
      </c>
      <c r="D8040" s="2" t="s">
        <v>27</v>
      </c>
      <c r="E8040" s="5">
        <v>-28501</v>
      </c>
      <c r="F8040" s="3" t="s">
        <v>456</v>
      </c>
      <c r="G8040" s="3" t="s">
        <v>457</v>
      </c>
      <c r="H8040" s="2" t="s">
        <v>21</v>
      </c>
      <c r="I8040" s="2" t="s">
        <v>15584</v>
      </c>
      <c r="J8040" s="3" t="str">
        <f>HYPERLINK("https://www.boe.es/gazeta/dias/1821/12/18/pdfs/GMD-1821-361.pdf#page=5","Abrir facsímil")</f>
        <v>Abrir facsímil</v>
      </c>
      <c r="K8040" s="3" t="s">
        <v>23</v>
      </c>
    </row>
    <row r="8041" spans="1:11" ht="42" customHeight="1">
      <c r="A8041" s="2" t="s">
        <v>15585</v>
      </c>
      <c r="B8041" s="2" t="s">
        <v>15586</v>
      </c>
      <c r="C8041" s="2" t="s">
        <v>279</v>
      </c>
      <c r="D8041" s="2" t="s">
        <v>27</v>
      </c>
      <c r="E8041" s="5">
        <v>-28501</v>
      </c>
      <c r="F8041" s="3" t="s">
        <v>456</v>
      </c>
      <c r="G8041" s="3" t="s">
        <v>457</v>
      </c>
      <c r="H8041" s="2" t="s">
        <v>21</v>
      </c>
      <c r="I8041" s="2" t="s">
        <v>15587</v>
      </c>
      <c r="J8041" s="3" t="str">
        <f>HYPERLINK("https://www.boe.es/gazeta/dias/1821/12/18/pdfs/GMD-1821-361.pdf#page=5","Abrir facsímil")</f>
        <v>Abrir facsímil</v>
      </c>
      <c r="K8041" s="3" t="s">
        <v>23</v>
      </c>
    </row>
    <row r="8042" spans="1:11" ht="42" customHeight="1">
      <c r="A8042" s="2" t="s">
        <v>15585</v>
      </c>
      <c r="B8042" s="2" t="s">
        <v>15586</v>
      </c>
      <c r="C8042" s="2" t="s">
        <v>17</v>
      </c>
      <c r="D8042" s="2" t="s">
        <v>18</v>
      </c>
      <c r="E8042" s="5">
        <v>-28499</v>
      </c>
      <c r="F8042" s="3" t="s">
        <v>954</v>
      </c>
      <c r="G8042" s="3" t="s">
        <v>20</v>
      </c>
      <c r="H8042" s="2" t="s">
        <v>21</v>
      </c>
      <c r="I8042" s="2" t="s">
        <v>15588</v>
      </c>
      <c r="J8042" s="3" t="str">
        <f>HYPERLINK("https://www.boe.es/gazeta/dias/1821/12/20/pdfs/GMD-1821-363.pdf#page=3","Abrir facsímil")</f>
        <v>Abrir facsímil</v>
      </c>
      <c r="K8042" s="3" t="s">
        <v>23</v>
      </c>
    </row>
    <row r="8043" spans="1:11" ht="42" customHeight="1">
      <c r="A8043" s="2" t="s">
        <v>15589</v>
      </c>
      <c r="B8043" s="2" t="s">
        <v>15590</v>
      </c>
      <c r="C8043" s="2" t="s">
        <v>26</v>
      </c>
      <c r="D8043" s="2" t="s">
        <v>27</v>
      </c>
      <c r="E8043" s="5">
        <v>-28518</v>
      </c>
      <c r="F8043" s="3" t="s">
        <v>410</v>
      </c>
      <c r="G8043" s="3" t="s">
        <v>52</v>
      </c>
      <c r="H8043" s="2" t="s">
        <v>21</v>
      </c>
      <c r="I8043" s="2" t="s">
        <v>15591</v>
      </c>
      <c r="J8043" s="3" t="str">
        <f>HYPERLINK("https://www.boe.es/gazeta/dias/1821/12/01/pdfs/GMD-1821-343.pdf#page=2","Abrir facsímil")</f>
        <v>Abrir facsímil</v>
      </c>
      <c r="K8043" s="3" t="s">
        <v>23</v>
      </c>
    </row>
    <row r="8044" spans="1:11" ht="42" customHeight="1">
      <c r="A8044" s="2" t="s">
        <v>15589</v>
      </c>
      <c r="B8044" s="2" t="s">
        <v>15590</v>
      </c>
      <c r="C8044" s="2" t="s">
        <v>17</v>
      </c>
      <c r="D8044" s="2" t="s">
        <v>18</v>
      </c>
      <c r="E8044" s="5">
        <v>-28511</v>
      </c>
      <c r="F8044" s="3" t="s">
        <v>340</v>
      </c>
      <c r="G8044" s="3" t="s">
        <v>52</v>
      </c>
      <c r="H8044" s="2" t="s">
        <v>21</v>
      </c>
      <c r="I8044" s="2" t="s">
        <v>15592</v>
      </c>
      <c r="J8044" s="3" t="str">
        <f>HYPERLINK("https://www.boe.es/gazeta/dias/1821/12/08/pdfs/GMD-1821-350.pdf#page=2","Abrir facsímil")</f>
        <v>Abrir facsímil</v>
      </c>
      <c r="K8044" s="3" t="s">
        <v>23</v>
      </c>
    </row>
    <row r="8045" spans="1:11" ht="42" customHeight="1">
      <c r="A8045" s="2" t="s">
        <v>15593</v>
      </c>
      <c r="B8045" s="2" t="s">
        <v>15593</v>
      </c>
      <c r="C8045" s="2" t="s">
        <v>40</v>
      </c>
      <c r="D8045" s="2" t="s">
        <v>41</v>
      </c>
      <c r="E8045" s="5">
        <v>-28675</v>
      </c>
      <c r="F8045" s="3" t="s">
        <v>943</v>
      </c>
      <c r="G8045" s="3" t="s">
        <v>52</v>
      </c>
      <c r="H8045" s="2" t="s">
        <v>21</v>
      </c>
      <c r="I8045" s="2" t="s">
        <v>15594</v>
      </c>
      <c r="J8045" s="3" t="str">
        <f>HYPERLINK("https://www.boe.es/gazeta/dias/1821/06/27/pdfs/GMD-1821-180.pdf#page=2","Abrir facsímil")</f>
        <v>Abrir facsímil</v>
      </c>
      <c r="K8045" s="3" t="s">
        <v>23</v>
      </c>
    </row>
    <row r="8046" spans="1:11" ht="42" customHeight="1">
      <c r="A8046" s="2" t="s">
        <v>15595</v>
      </c>
      <c r="B8046" s="2" t="s">
        <v>15595</v>
      </c>
      <c r="C8046" s="2" t="s">
        <v>40</v>
      </c>
      <c r="D8046" s="2" t="s">
        <v>41</v>
      </c>
      <c r="E8046" s="5">
        <v>-28589</v>
      </c>
      <c r="F8046" s="3" t="s">
        <v>3130</v>
      </c>
      <c r="G8046" s="3" t="s">
        <v>52</v>
      </c>
      <c r="H8046" s="2" t="s">
        <v>21</v>
      </c>
      <c r="I8046" s="2" t="s">
        <v>15596</v>
      </c>
      <c r="J8046" s="3" t="str">
        <f>HYPERLINK("https://www.boe.es/gazeta/dias/1821/09/21/pdfs/GMD-1821-269.pdf#page=2","Abrir facsímil")</f>
        <v>Abrir facsímil</v>
      </c>
      <c r="K8046" s="3" t="s">
        <v>23</v>
      </c>
    </row>
    <row r="8047" spans="1:11" ht="42" customHeight="1">
      <c r="A8047" s="2" t="s">
        <v>15597</v>
      </c>
      <c r="B8047" s="2" t="s">
        <v>15598</v>
      </c>
      <c r="C8047" s="2" t="s">
        <v>114</v>
      </c>
      <c r="D8047" s="2" t="s">
        <v>27</v>
      </c>
      <c r="E8047" s="5">
        <v>-28705</v>
      </c>
      <c r="F8047" s="3" t="s">
        <v>1844</v>
      </c>
      <c r="G8047" s="3" t="s">
        <v>20</v>
      </c>
      <c r="H8047" s="2" t="s">
        <v>21</v>
      </c>
      <c r="I8047" s="2" t="s">
        <v>15599</v>
      </c>
      <c r="J8047" s="3" t="str">
        <f>HYPERLINK("https://www.boe.es/gazeta/dias/1821/05/28/pdfs/GMD-1821-150.pdf#page=3","Abrir facsímil")</f>
        <v>Abrir facsímil</v>
      </c>
      <c r="K8047" s="3" t="s">
        <v>23</v>
      </c>
    </row>
    <row r="8048" spans="1:11" ht="42" customHeight="1">
      <c r="A8048" s="2" t="s">
        <v>15600</v>
      </c>
      <c r="B8048" s="2" t="s">
        <v>15601</v>
      </c>
      <c r="C8048" s="2" t="s">
        <v>26</v>
      </c>
      <c r="D8048" s="2" t="s">
        <v>27</v>
      </c>
      <c r="E8048" s="5">
        <v>-28749</v>
      </c>
      <c r="F8048" s="3" t="s">
        <v>832</v>
      </c>
      <c r="G8048" s="3" t="s">
        <v>20</v>
      </c>
      <c r="H8048" s="2" t="s">
        <v>21</v>
      </c>
      <c r="I8048" s="2" t="s">
        <v>15602</v>
      </c>
      <c r="J8048" s="3" t="str">
        <f>HYPERLINK("https://www.boe.es/gazeta/dias/1821/04/14/pdfs/GMD-1821-106.pdf#page=3","Abrir facsímil")</f>
        <v>Abrir facsímil</v>
      </c>
      <c r="K8048" s="3" t="s">
        <v>23</v>
      </c>
    </row>
    <row r="8049" spans="1:11" ht="42" customHeight="1">
      <c r="A8049" s="2" t="s">
        <v>15600</v>
      </c>
      <c r="B8049" s="2" t="s">
        <v>15601</v>
      </c>
      <c r="C8049" s="2" t="s">
        <v>279</v>
      </c>
      <c r="D8049" s="2" t="s">
        <v>27</v>
      </c>
      <c r="E8049" s="5">
        <v>-28676</v>
      </c>
      <c r="F8049" s="3" t="s">
        <v>534</v>
      </c>
      <c r="G8049" s="3" t="s">
        <v>52</v>
      </c>
      <c r="H8049" s="2" t="s">
        <v>21</v>
      </c>
      <c r="I8049" s="2" t="s">
        <v>15603</v>
      </c>
      <c r="J8049" s="3" t="str">
        <f>HYPERLINK("https://www.boe.es/gazeta/dias/1821/06/26/pdfs/GMD-1821-179.pdf#page=2","Abrir facsímil")</f>
        <v>Abrir facsímil</v>
      </c>
      <c r="K8049" s="3" t="s">
        <v>23</v>
      </c>
    </row>
    <row r="8050" spans="1:11" ht="42" customHeight="1">
      <c r="A8050" s="2" t="s">
        <v>15604</v>
      </c>
      <c r="B8050" s="2" t="s">
        <v>15605</v>
      </c>
      <c r="C8050" s="2" t="s">
        <v>17</v>
      </c>
      <c r="D8050" s="2" t="s">
        <v>18</v>
      </c>
      <c r="E8050" s="5">
        <v>-28684</v>
      </c>
      <c r="F8050" s="3" t="s">
        <v>208</v>
      </c>
      <c r="G8050" s="3" t="s">
        <v>52</v>
      </c>
      <c r="H8050" s="2" t="s">
        <v>21</v>
      </c>
      <c r="I8050" s="2" t="s">
        <v>15606</v>
      </c>
      <c r="J8050" s="3" t="str">
        <f>HYPERLINK("https://www.boe.es/gazeta/dias/1821/06/18/pdfs/GMD-1821-171.pdf#page=2","Abrir facsímil")</f>
        <v>Abrir facsímil</v>
      </c>
      <c r="K8050" s="3" t="s">
        <v>23</v>
      </c>
    </row>
    <row r="8051" spans="1:11" ht="42" customHeight="1">
      <c r="A8051" s="2" t="s">
        <v>15607</v>
      </c>
      <c r="B8051" s="2" t="s">
        <v>15607</v>
      </c>
      <c r="C8051" s="2" t="s">
        <v>70</v>
      </c>
      <c r="D8051" s="2" t="s">
        <v>27</v>
      </c>
      <c r="E8051" s="5">
        <v>-28534</v>
      </c>
      <c r="F8051" s="3" t="s">
        <v>414</v>
      </c>
      <c r="G8051" s="3" t="s">
        <v>43</v>
      </c>
      <c r="H8051" s="2" t="s">
        <v>21</v>
      </c>
      <c r="I8051" s="2" t="s">
        <v>15608</v>
      </c>
      <c r="J8051" s="3" t="str">
        <f>HYPERLINK("https://www.boe.es/gazeta/dias/1821/11/15/pdfs/GMD-1821-326.pdf#page=1","Abrir facsímil")</f>
        <v>Abrir facsímil</v>
      </c>
      <c r="K8051" s="3" t="s">
        <v>23</v>
      </c>
    </row>
    <row r="8052" spans="1:11" ht="42" customHeight="1">
      <c r="A8052" s="2" t="s">
        <v>15609</v>
      </c>
      <c r="B8052" s="2" t="s">
        <v>15609</v>
      </c>
      <c r="C8052" s="2" t="s">
        <v>40</v>
      </c>
      <c r="D8052" s="2" t="s">
        <v>41</v>
      </c>
      <c r="E8052" s="5">
        <v>-28628</v>
      </c>
      <c r="F8052" s="3" t="s">
        <v>4257</v>
      </c>
      <c r="G8052" s="3" t="s">
        <v>52</v>
      </c>
      <c r="H8052" s="2" t="s">
        <v>21</v>
      </c>
      <c r="I8052" s="2" t="s">
        <v>15610</v>
      </c>
      <c r="J8052" s="3" t="str">
        <f>HYPERLINK("https://www.boe.es/gazeta/dias/1821/08/13/pdfs/GMD-1821-230.pdf#page=2","Abrir facsímil")</f>
        <v>Abrir facsímil</v>
      </c>
      <c r="K8052" s="3" t="s">
        <v>23</v>
      </c>
    </row>
    <row r="8053" spans="1:11" ht="42" customHeight="1">
      <c r="A8053" s="2" t="s">
        <v>15611</v>
      </c>
      <c r="B8053" s="2" t="s">
        <v>15612</v>
      </c>
      <c r="C8053" s="2" t="s">
        <v>40</v>
      </c>
      <c r="D8053" s="2" t="s">
        <v>41</v>
      </c>
      <c r="E8053" s="5">
        <v>-28650</v>
      </c>
      <c r="F8053" s="3" t="s">
        <v>3285</v>
      </c>
      <c r="G8053" s="3" t="s">
        <v>20</v>
      </c>
      <c r="H8053" s="2" t="s">
        <v>21</v>
      </c>
      <c r="I8053" s="2" t="s">
        <v>15613</v>
      </c>
      <c r="J8053" s="3" t="str">
        <f>HYPERLINK("https://www.boe.es/gazeta/dias/1821/07/22/pdfs/GMD-1821-207.pdf#page=3","Abrir facsímil")</f>
        <v>Abrir facsímil</v>
      </c>
      <c r="K8053" s="3" t="s">
        <v>23</v>
      </c>
    </row>
    <row r="8054" spans="1:11" ht="42" customHeight="1">
      <c r="A8054" s="2" t="s">
        <v>15614</v>
      </c>
      <c r="B8054" s="2" t="s">
        <v>15615</v>
      </c>
      <c r="C8054" s="2" t="s">
        <v>40</v>
      </c>
      <c r="D8054" s="2" t="s">
        <v>41</v>
      </c>
      <c r="E8054" s="5">
        <v>-28563</v>
      </c>
      <c r="F8054" s="3" t="s">
        <v>118</v>
      </c>
      <c r="G8054" s="3" t="s">
        <v>52</v>
      </c>
      <c r="H8054" s="2" t="s">
        <v>21</v>
      </c>
      <c r="I8054" s="2" t="s">
        <v>15616</v>
      </c>
      <c r="J8054" s="3" t="str">
        <f>HYPERLINK("https://www.boe.es/gazeta/dias/1821/10/17/pdfs/GMD-1821-296.pdf#page=2","Abrir facsímil")</f>
        <v>Abrir facsímil</v>
      </c>
      <c r="K8054" s="3" t="s">
        <v>23</v>
      </c>
    </row>
    <row r="8055" spans="1:11" ht="42" customHeight="1">
      <c r="A8055" s="2" t="s">
        <v>15617</v>
      </c>
      <c r="B8055" s="2" t="s">
        <v>15618</v>
      </c>
      <c r="C8055" s="2" t="s">
        <v>40</v>
      </c>
      <c r="D8055" s="2" t="s">
        <v>41</v>
      </c>
      <c r="E8055" s="5">
        <v>-28711</v>
      </c>
      <c r="F8055" s="3" t="s">
        <v>1048</v>
      </c>
      <c r="G8055" s="3" t="s">
        <v>52</v>
      </c>
      <c r="H8055" s="2" t="s">
        <v>21</v>
      </c>
      <c r="I8055" s="2" t="s">
        <v>15619</v>
      </c>
      <c r="J8055" s="3" t="str">
        <f>HYPERLINK("https://www.boe.es/gazeta/dias/1821/05/22/pdfs/GMD-1821-144.pdf#page=2","Abrir facsímil")</f>
        <v>Abrir facsímil</v>
      </c>
      <c r="K8055" s="3" t="s">
        <v>23</v>
      </c>
    </row>
    <row r="8056" spans="1:11" ht="42" customHeight="1">
      <c r="A8056" s="2" t="s">
        <v>15620</v>
      </c>
      <c r="B8056" s="2" t="s">
        <v>15621</v>
      </c>
      <c r="C8056" s="2" t="s">
        <v>17</v>
      </c>
      <c r="D8056" s="2" t="s">
        <v>18</v>
      </c>
      <c r="E8056" s="5">
        <v>-28779</v>
      </c>
      <c r="F8056" s="3" t="s">
        <v>1002</v>
      </c>
      <c r="G8056" s="3" t="s">
        <v>20</v>
      </c>
      <c r="H8056" s="2" t="s">
        <v>21</v>
      </c>
      <c r="I8056" s="2" t="s">
        <v>15622</v>
      </c>
      <c r="J8056" s="3" t="str">
        <f>HYPERLINK("https://www.boe.es/gazeta/dias/1821/03/15/pdfs/GMD-1821-74.pdf#page=3","Abrir facsímil")</f>
        <v>Abrir facsímil</v>
      </c>
      <c r="K8056" s="3" t="s">
        <v>23</v>
      </c>
    </row>
    <row r="8057" spans="1:11" ht="42" customHeight="1">
      <c r="A8057" s="2" t="s">
        <v>15623</v>
      </c>
      <c r="B8057" s="2" t="s">
        <v>15624</v>
      </c>
      <c r="C8057" s="2" t="s">
        <v>26</v>
      </c>
      <c r="D8057" s="2" t="s">
        <v>27</v>
      </c>
      <c r="E8057" s="5">
        <v>-28712</v>
      </c>
      <c r="F8057" s="3" t="s">
        <v>695</v>
      </c>
      <c r="G8057" s="3" t="s">
        <v>20</v>
      </c>
      <c r="H8057" s="2" t="s">
        <v>21</v>
      </c>
      <c r="I8057" s="2" t="s">
        <v>15625</v>
      </c>
      <c r="J8057" s="3" t="str">
        <f>HYPERLINK("https://www.boe.es/gazeta/dias/1821/05/21/pdfs/GMD-1821-143.pdf#page=3","Abrir facsímil")</f>
        <v>Abrir facsímil</v>
      </c>
      <c r="K8057" s="3" t="s">
        <v>23</v>
      </c>
    </row>
    <row r="8058" spans="1:11" ht="42" customHeight="1">
      <c r="A8058" s="2" t="s">
        <v>15626</v>
      </c>
      <c r="B8058" s="2" t="s">
        <v>15627</v>
      </c>
      <c r="C8058" s="2" t="s">
        <v>35</v>
      </c>
      <c r="D8058" s="2" t="s">
        <v>27</v>
      </c>
      <c r="E8058" s="5">
        <v>-28774</v>
      </c>
      <c r="F8058" s="3" t="s">
        <v>1221</v>
      </c>
      <c r="G8058" s="3" t="s">
        <v>20</v>
      </c>
      <c r="H8058" s="2" t="s">
        <v>21</v>
      </c>
      <c r="I8058" s="2" t="s">
        <v>15628</v>
      </c>
      <c r="J8058" s="3" t="str">
        <f>HYPERLINK("https://www.boe.es/gazeta/dias/1821/03/20/pdfs/GMD-1821-79.pdf#page=3","Abrir facsímil")</f>
        <v>Abrir facsímil</v>
      </c>
      <c r="K8058" s="3" t="s">
        <v>23</v>
      </c>
    </row>
    <row r="8059" spans="1:11" ht="42" customHeight="1">
      <c r="A8059" s="2" t="s">
        <v>15626</v>
      </c>
      <c r="B8059" s="2" t="s">
        <v>15627</v>
      </c>
      <c r="C8059" s="2" t="s">
        <v>17</v>
      </c>
      <c r="D8059" s="2" t="s">
        <v>18</v>
      </c>
      <c r="E8059" s="5">
        <v>-28772</v>
      </c>
      <c r="F8059" s="3" t="s">
        <v>62</v>
      </c>
      <c r="G8059" s="3" t="s">
        <v>20</v>
      </c>
      <c r="H8059" s="2" t="s">
        <v>21</v>
      </c>
      <c r="I8059" s="2" t="s">
        <v>15629</v>
      </c>
      <c r="J8059" s="3" t="str">
        <f>HYPERLINK("https://www.boe.es/gazeta/dias/1821/03/22/pdfs/GMD-1821-81.pdf#page=3","Abrir facsímil")</f>
        <v>Abrir facsímil</v>
      </c>
      <c r="K8059" s="3" t="s">
        <v>23</v>
      </c>
    </row>
    <row r="8060" spans="1:11" ht="42" customHeight="1">
      <c r="A8060" s="2" t="s">
        <v>15626</v>
      </c>
      <c r="B8060" s="2" t="s">
        <v>15627</v>
      </c>
      <c r="C8060" s="2" t="s">
        <v>40</v>
      </c>
      <c r="D8060" s="2" t="s">
        <v>41</v>
      </c>
      <c r="E8060" s="5">
        <v>-28762</v>
      </c>
      <c r="F8060" s="3" t="s">
        <v>608</v>
      </c>
      <c r="G8060" s="3" t="s">
        <v>162</v>
      </c>
      <c r="H8060" s="2" t="s">
        <v>21</v>
      </c>
      <c r="I8060" s="2" t="s">
        <v>15630</v>
      </c>
      <c r="J8060" s="3" t="str">
        <f>HYPERLINK("https://www.boe.es/gazeta/dias/1821/04/01/pdfs/GMD-1821-93.pdf#page=5","Abrir facsímil")</f>
        <v>Abrir facsímil</v>
      </c>
      <c r="K8060" s="3" t="s">
        <v>23</v>
      </c>
    </row>
    <row r="8061" spans="1:11" ht="42" customHeight="1">
      <c r="A8061" s="2" t="s">
        <v>15626</v>
      </c>
      <c r="B8061" s="2" t="s">
        <v>15627</v>
      </c>
      <c r="C8061" s="2" t="s">
        <v>70</v>
      </c>
      <c r="D8061" s="2" t="s">
        <v>27</v>
      </c>
      <c r="E8061" s="5">
        <v>-28749</v>
      </c>
      <c r="F8061" s="3" t="s">
        <v>832</v>
      </c>
      <c r="G8061" s="3" t="s">
        <v>52</v>
      </c>
      <c r="H8061" s="2" t="s">
        <v>21</v>
      </c>
      <c r="I8061" s="2" t="s">
        <v>15631</v>
      </c>
      <c r="J8061" s="3" t="str">
        <f>HYPERLINK("https://www.boe.es/gazeta/dias/1821/04/14/pdfs/GMD-1821-106.pdf#page=2","Abrir facsímil")</f>
        <v>Abrir facsímil</v>
      </c>
      <c r="K8061" s="3" t="s">
        <v>23</v>
      </c>
    </row>
    <row r="8062" spans="1:11" ht="42" customHeight="1">
      <c r="A8062" s="2" t="s">
        <v>15626</v>
      </c>
      <c r="B8062" s="2" t="s">
        <v>15627</v>
      </c>
      <c r="C8062" s="2" t="s">
        <v>26</v>
      </c>
      <c r="D8062" s="2" t="s">
        <v>27</v>
      </c>
      <c r="E8062" s="5">
        <v>-28749</v>
      </c>
      <c r="F8062" s="3" t="s">
        <v>832</v>
      </c>
      <c r="G8062" s="3" t="s">
        <v>20</v>
      </c>
      <c r="H8062" s="2" t="s">
        <v>21</v>
      </c>
      <c r="I8062" s="2" t="s">
        <v>15632</v>
      </c>
      <c r="J8062" s="3" t="str">
        <f>HYPERLINK("https://www.boe.es/gazeta/dias/1821/04/14/pdfs/GMD-1821-106.pdf#page=3","Abrir facsímil")</f>
        <v>Abrir facsímil</v>
      </c>
      <c r="K8062" s="3" t="s">
        <v>23</v>
      </c>
    </row>
    <row r="8063" spans="1:11" ht="42" customHeight="1">
      <c r="A8063" s="2" t="s">
        <v>15626</v>
      </c>
      <c r="B8063" s="2" t="s">
        <v>15627</v>
      </c>
      <c r="C8063" s="2" t="s">
        <v>26</v>
      </c>
      <c r="D8063" s="2" t="s">
        <v>27</v>
      </c>
      <c r="E8063" s="5">
        <v>-28744</v>
      </c>
      <c r="F8063" s="3" t="s">
        <v>834</v>
      </c>
      <c r="G8063" s="3" t="s">
        <v>20</v>
      </c>
      <c r="H8063" s="2" t="s">
        <v>21</v>
      </c>
      <c r="I8063" s="2" t="s">
        <v>15633</v>
      </c>
      <c r="J8063" s="3" t="str">
        <f>HYPERLINK("https://www.boe.es/gazeta/dias/1821/04/19/pdfs/GMD-1821-111.pdf#page=3","Abrir facsímil")</f>
        <v>Abrir facsímil</v>
      </c>
      <c r="K8063" s="3" t="s">
        <v>23</v>
      </c>
    </row>
    <row r="8064" spans="1:11" ht="42" customHeight="1">
      <c r="A8064" s="2" t="s">
        <v>15634</v>
      </c>
      <c r="B8064" s="2" t="s">
        <v>15635</v>
      </c>
      <c r="C8064" s="2" t="s">
        <v>17</v>
      </c>
      <c r="D8064" s="2" t="s">
        <v>18</v>
      </c>
      <c r="E8064" s="5">
        <v>-28731</v>
      </c>
      <c r="F8064" s="3" t="s">
        <v>577</v>
      </c>
      <c r="G8064" s="3" t="s">
        <v>20</v>
      </c>
      <c r="H8064" s="2" t="s">
        <v>21</v>
      </c>
      <c r="I8064" s="2" t="s">
        <v>15636</v>
      </c>
      <c r="J8064" s="3" t="str">
        <f>HYPERLINK("https://www.boe.es/gazeta/dias/1821/05/02/pdfs/GMD-1821-124.pdf#page=3","Abrir facsímil")</f>
        <v>Abrir facsímil</v>
      </c>
      <c r="K8064" s="3" t="s">
        <v>23</v>
      </c>
    </row>
    <row r="8065" spans="1:11" ht="42" customHeight="1">
      <c r="A8065" s="2" t="s">
        <v>15626</v>
      </c>
      <c r="B8065" s="2" t="s">
        <v>15627</v>
      </c>
      <c r="C8065" s="2" t="s">
        <v>26</v>
      </c>
      <c r="D8065" s="2" t="s">
        <v>27</v>
      </c>
      <c r="E8065" s="5">
        <v>-28711</v>
      </c>
      <c r="F8065" s="3" t="s">
        <v>1048</v>
      </c>
      <c r="G8065" s="3" t="s">
        <v>52</v>
      </c>
      <c r="H8065" s="2" t="s">
        <v>21</v>
      </c>
      <c r="I8065" s="2" t="s">
        <v>15637</v>
      </c>
      <c r="J8065" s="3" t="str">
        <f>HYPERLINK("https://www.boe.es/gazeta/dias/1821/05/22/pdfs/GMD-1821-144.pdf#page=2","Abrir facsímil")</f>
        <v>Abrir facsímil</v>
      </c>
      <c r="K8065" s="3" t="s">
        <v>23</v>
      </c>
    </row>
    <row r="8066" spans="1:11" ht="42" customHeight="1">
      <c r="A8066" s="2" t="s">
        <v>15626</v>
      </c>
      <c r="B8066" s="2" t="s">
        <v>15627</v>
      </c>
      <c r="C8066" s="2" t="s">
        <v>26</v>
      </c>
      <c r="D8066" s="2" t="s">
        <v>27</v>
      </c>
      <c r="E8066" s="5">
        <v>-28710</v>
      </c>
      <c r="F8066" s="3" t="s">
        <v>375</v>
      </c>
      <c r="G8066" s="3" t="s">
        <v>7560</v>
      </c>
      <c r="H8066" s="2" t="s">
        <v>21</v>
      </c>
      <c r="I8066" s="2" t="s">
        <v>15638</v>
      </c>
      <c r="J8066" s="3" t="str">
        <f>HYPERLINK("https://www.boe.es/gazeta/dias/1821/05/23/pdfs/GMD-1821-145.pdf#page=3","Abrir facsímil")</f>
        <v>Abrir facsímil</v>
      </c>
      <c r="K8066" s="3" t="s">
        <v>23</v>
      </c>
    </row>
    <row r="8067" spans="1:11" ht="42" customHeight="1">
      <c r="A8067" s="2" t="s">
        <v>15626</v>
      </c>
      <c r="B8067" s="2" t="s">
        <v>15627</v>
      </c>
      <c r="C8067" s="2" t="s">
        <v>494</v>
      </c>
      <c r="D8067" s="2" t="s">
        <v>18</v>
      </c>
      <c r="E8067" s="5">
        <v>-28708</v>
      </c>
      <c r="F8067" s="3" t="s">
        <v>528</v>
      </c>
      <c r="G8067" s="3" t="s">
        <v>20</v>
      </c>
      <c r="H8067" s="2" t="s">
        <v>21</v>
      </c>
      <c r="I8067" s="2" t="s">
        <v>15639</v>
      </c>
      <c r="J8067" s="3" t="str">
        <f>HYPERLINK("https://www.boe.es/gazeta/dias/1821/05/25/pdfs/GMD-1821-147.pdf#page=3","Abrir facsímil")</f>
        <v>Abrir facsímil</v>
      </c>
      <c r="K8067" s="3" t="s">
        <v>23</v>
      </c>
    </row>
    <row r="8068" spans="1:11" ht="42" customHeight="1">
      <c r="A8068" s="2" t="s">
        <v>15626</v>
      </c>
      <c r="B8068" s="2" t="s">
        <v>15627</v>
      </c>
      <c r="C8068" s="2" t="s">
        <v>279</v>
      </c>
      <c r="D8068" s="2" t="s">
        <v>27</v>
      </c>
      <c r="E8068" s="5">
        <v>-28686</v>
      </c>
      <c r="F8068" s="3" t="s">
        <v>115</v>
      </c>
      <c r="G8068" s="3" t="s">
        <v>88</v>
      </c>
      <c r="H8068" s="2" t="s">
        <v>21</v>
      </c>
      <c r="I8068" s="2" t="s">
        <v>15640</v>
      </c>
      <c r="J8068" s="3" t="str">
        <f>HYPERLINK("https://www.boe.es/gazeta/dias/1821/06/16/pdfs/GMD-1821-169.pdf#page=4","Abrir facsímil")</f>
        <v>Abrir facsímil</v>
      </c>
      <c r="K8068" s="3" t="s">
        <v>23</v>
      </c>
    </row>
    <row r="8069" spans="1:11" ht="42" customHeight="1">
      <c r="A8069" s="2" t="s">
        <v>15626</v>
      </c>
      <c r="B8069" s="2" t="s">
        <v>15627</v>
      </c>
      <c r="C8069" s="2" t="s">
        <v>40</v>
      </c>
      <c r="D8069" s="2" t="s">
        <v>41</v>
      </c>
      <c r="E8069" s="5">
        <v>-28681</v>
      </c>
      <c r="F8069" s="3" t="s">
        <v>210</v>
      </c>
      <c r="G8069" s="3" t="s">
        <v>20</v>
      </c>
      <c r="H8069" s="2" t="s">
        <v>21</v>
      </c>
      <c r="I8069" s="2" t="s">
        <v>15641</v>
      </c>
      <c r="J8069" s="3" t="str">
        <f>HYPERLINK("https://www.boe.es/gazeta/dias/1821/06/21/pdfs/GMD-1821-174.pdf#page=3","Abrir facsímil")</f>
        <v>Abrir facsímil</v>
      </c>
      <c r="K8069" s="3" t="s">
        <v>23</v>
      </c>
    </row>
    <row r="8070" spans="1:11" ht="42" customHeight="1">
      <c r="A8070" s="2" t="s">
        <v>15626</v>
      </c>
      <c r="B8070" s="2" t="s">
        <v>15627</v>
      </c>
      <c r="C8070" s="2" t="s">
        <v>35</v>
      </c>
      <c r="D8070" s="2" t="s">
        <v>27</v>
      </c>
      <c r="E8070" s="5">
        <v>-28681</v>
      </c>
      <c r="F8070" s="3" t="s">
        <v>210</v>
      </c>
      <c r="G8070" s="3" t="s">
        <v>88</v>
      </c>
      <c r="H8070" s="2" t="s">
        <v>21</v>
      </c>
      <c r="I8070" s="2" t="s">
        <v>15642</v>
      </c>
      <c r="J8070" s="3" t="str">
        <f>HYPERLINK("https://www.boe.es/gazeta/dias/1821/06/21/pdfs/GMD-1821-174.pdf#page=4","Abrir facsímil")</f>
        <v>Abrir facsímil</v>
      </c>
      <c r="K8070" s="3" t="s">
        <v>23</v>
      </c>
    </row>
    <row r="8071" spans="1:11" ht="42" customHeight="1">
      <c r="A8071" s="2" t="s">
        <v>15626</v>
      </c>
      <c r="B8071" s="2" t="s">
        <v>15627</v>
      </c>
      <c r="C8071" s="2" t="s">
        <v>26</v>
      </c>
      <c r="D8071" s="2" t="s">
        <v>27</v>
      </c>
      <c r="E8071" s="5">
        <v>-28561</v>
      </c>
      <c r="F8071" s="3" t="s">
        <v>240</v>
      </c>
      <c r="G8071" s="3" t="s">
        <v>88</v>
      </c>
      <c r="H8071" s="2" t="s">
        <v>21</v>
      </c>
      <c r="I8071" s="2" t="s">
        <v>15643</v>
      </c>
      <c r="J8071" s="3" t="str">
        <f>HYPERLINK("https://www.boe.es/gazeta/dias/1821/10/19/pdfs/GMD-1821-298.pdf#page=4","Abrir facsímil")</f>
        <v>Abrir facsímil</v>
      </c>
      <c r="K8071" s="3" t="s">
        <v>23</v>
      </c>
    </row>
    <row r="8072" spans="1:11" ht="42" customHeight="1">
      <c r="A8072" s="2" t="s">
        <v>15626</v>
      </c>
      <c r="B8072" s="2" t="s">
        <v>15627</v>
      </c>
      <c r="C8072" s="2" t="s">
        <v>35</v>
      </c>
      <c r="D8072" s="2" t="s">
        <v>27</v>
      </c>
      <c r="E8072" s="5">
        <v>-28533</v>
      </c>
      <c r="F8072" s="3" t="s">
        <v>559</v>
      </c>
      <c r="G8072" s="3" t="s">
        <v>29</v>
      </c>
      <c r="H8072" s="2" t="s">
        <v>21</v>
      </c>
      <c r="I8072" s="2" t="s">
        <v>15644</v>
      </c>
      <c r="J8072" s="3" t="str">
        <f>HYPERLINK("https://www.boe.es/gazeta/dias/1821/11/16/pdfs/GMD-1821-327.pdf#page=6","Abrir facsímil")</f>
        <v>Abrir facsímil</v>
      </c>
      <c r="K8072" s="3" t="s">
        <v>23</v>
      </c>
    </row>
    <row r="8073" spans="1:11" ht="42" customHeight="1">
      <c r="A8073" s="2" t="s">
        <v>15626</v>
      </c>
      <c r="B8073" s="2" t="s">
        <v>15627</v>
      </c>
      <c r="C8073" s="2" t="s">
        <v>35</v>
      </c>
      <c r="D8073" s="2" t="s">
        <v>27</v>
      </c>
      <c r="E8073" s="5">
        <v>-28532</v>
      </c>
      <c r="F8073" s="3" t="s">
        <v>1415</v>
      </c>
      <c r="G8073" s="3" t="s">
        <v>88</v>
      </c>
      <c r="H8073" s="2" t="s">
        <v>21</v>
      </c>
      <c r="I8073" s="2" t="s">
        <v>15645</v>
      </c>
      <c r="J8073" s="3" t="str">
        <f>HYPERLINK("https://www.boe.es/gazeta/dias/1821/11/17/pdfs/GMD-1821-328.pdf#page=4","Abrir facsímil")</f>
        <v>Abrir facsímil</v>
      </c>
      <c r="K8073" s="3" t="s">
        <v>23</v>
      </c>
    </row>
    <row r="8074" spans="1:11" ht="42" customHeight="1">
      <c r="A8074" s="2" t="s">
        <v>15626</v>
      </c>
      <c r="B8074" s="2" t="s">
        <v>15627</v>
      </c>
      <c r="C8074" s="2" t="s">
        <v>17</v>
      </c>
      <c r="D8074" s="2" t="s">
        <v>18</v>
      </c>
      <c r="E8074" s="5">
        <v>-28532</v>
      </c>
      <c r="F8074" s="3" t="s">
        <v>1415</v>
      </c>
      <c r="G8074" s="3" t="s">
        <v>162</v>
      </c>
      <c r="H8074" s="2" t="s">
        <v>21</v>
      </c>
      <c r="I8074" s="2" t="s">
        <v>15646</v>
      </c>
      <c r="J8074" s="3" t="str">
        <f>HYPERLINK("https://www.boe.es/gazeta/dias/1821/11/17/pdfs/GMD-1821-328.pdf#page=5","Abrir facsímil")</f>
        <v>Abrir facsímil</v>
      </c>
      <c r="K8074" s="3" t="s">
        <v>23</v>
      </c>
    </row>
    <row r="8075" spans="1:11" ht="42" customHeight="1">
      <c r="A8075" s="2" t="s">
        <v>15626</v>
      </c>
      <c r="B8075" s="2" t="s">
        <v>15627</v>
      </c>
      <c r="C8075" s="2" t="s">
        <v>35</v>
      </c>
      <c r="D8075" s="2" t="s">
        <v>27</v>
      </c>
      <c r="E8075" s="5">
        <v>-28531</v>
      </c>
      <c r="F8075" s="3" t="s">
        <v>365</v>
      </c>
      <c r="G8075" s="3" t="s">
        <v>162</v>
      </c>
      <c r="H8075" s="2" t="s">
        <v>21</v>
      </c>
      <c r="I8075" s="2" t="s">
        <v>15647</v>
      </c>
      <c r="J8075" s="3" t="str">
        <f>HYPERLINK("https://www.boe.es/gazeta/dias/1821/11/18/pdfs/GMD-1821-329.pdf#page=5","Abrir facsímil")</f>
        <v>Abrir facsímil</v>
      </c>
      <c r="K8075" s="3" t="s">
        <v>23</v>
      </c>
    </row>
    <row r="8076" spans="1:11" ht="42" customHeight="1">
      <c r="A8076" s="2" t="s">
        <v>15626</v>
      </c>
      <c r="B8076" s="2" t="s">
        <v>15627</v>
      </c>
      <c r="C8076" s="2" t="s">
        <v>17</v>
      </c>
      <c r="D8076" s="2" t="s">
        <v>18</v>
      </c>
      <c r="E8076" s="5">
        <v>-28525</v>
      </c>
      <c r="F8076" s="3" t="s">
        <v>186</v>
      </c>
      <c r="G8076" s="3" t="s">
        <v>52</v>
      </c>
      <c r="H8076" s="2" t="s">
        <v>21</v>
      </c>
      <c r="I8076" s="2" t="s">
        <v>15648</v>
      </c>
      <c r="J8076" s="3" t="str">
        <f>HYPERLINK("https://www.boe.es/gazeta/dias/1821/11/24/pdfs/GMD-1821-335.pdf#page=2","Abrir facsímil")</f>
        <v>Abrir facsímil</v>
      </c>
      <c r="K8076" s="3" t="s">
        <v>23</v>
      </c>
    </row>
    <row r="8077" spans="1:11" ht="42" customHeight="1">
      <c r="A8077" s="2" t="s">
        <v>15626</v>
      </c>
      <c r="B8077" s="2" t="s">
        <v>15627</v>
      </c>
      <c r="C8077" s="2" t="s">
        <v>35</v>
      </c>
      <c r="D8077" s="2" t="s">
        <v>27</v>
      </c>
      <c r="E8077" s="5">
        <v>-28495</v>
      </c>
      <c r="F8077" s="3" t="s">
        <v>227</v>
      </c>
      <c r="G8077" s="3" t="s">
        <v>29</v>
      </c>
      <c r="H8077" s="2" t="s">
        <v>21</v>
      </c>
      <c r="I8077" s="2" t="s">
        <v>15649</v>
      </c>
      <c r="J8077" s="3" t="str">
        <f>HYPERLINK("https://www.boe.es/gazeta/dias/1821/12/24/pdfs/GMD-1821-367.pdf#page=6","Abrir facsímil")</f>
        <v>Abrir facsímil</v>
      </c>
      <c r="K8077" s="3" t="s">
        <v>23</v>
      </c>
    </row>
    <row r="8078" spans="1:11" ht="42" customHeight="1">
      <c r="A8078" s="2" t="s">
        <v>15626</v>
      </c>
      <c r="B8078" s="2" t="s">
        <v>15627</v>
      </c>
      <c r="C8078" s="2" t="s">
        <v>35</v>
      </c>
      <c r="D8078" s="2" t="s">
        <v>27</v>
      </c>
      <c r="E8078" s="5">
        <v>-28494</v>
      </c>
      <c r="F8078" s="3" t="s">
        <v>1665</v>
      </c>
      <c r="G8078" s="3" t="s">
        <v>2803</v>
      </c>
      <c r="H8078" s="2" t="s">
        <v>21</v>
      </c>
      <c r="I8078" s="2" t="s">
        <v>15650</v>
      </c>
      <c r="J8078" s="3" t="str">
        <f>HYPERLINK("https://www.boe.es/gazeta/dias/1821/12/25/pdfs/GMD-1821-368.pdf#page=2","Abrir facsímil")</f>
        <v>Abrir facsímil</v>
      </c>
      <c r="K8078" s="3" t="s">
        <v>23</v>
      </c>
    </row>
    <row r="8079" spans="1:11" ht="42" customHeight="1">
      <c r="A8079" s="2" t="s">
        <v>15651</v>
      </c>
      <c r="B8079" s="2" t="s">
        <v>15652</v>
      </c>
      <c r="C8079" s="2" t="s">
        <v>40</v>
      </c>
      <c r="D8079" s="2" t="s">
        <v>41</v>
      </c>
      <c r="E8079" s="5">
        <v>-28520</v>
      </c>
      <c r="F8079" s="3" t="s">
        <v>878</v>
      </c>
      <c r="G8079" s="3" t="s">
        <v>88</v>
      </c>
      <c r="H8079" s="2" t="s">
        <v>21</v>
      </c>
      <c r="I8079" s="2" t="s">
        <v>15653</v>
      </c>
      <c r="J8079" s="3" t="str">
        <f>HYPERLINK("https://www.boe.es/gazeta/dias/1821/11/29/pdfs/GMD-1821-341.pdf#page=4","Abrir facsímil")</f>
        <v>Abrir facsímil</v>
      </c>
      <c r="K8079" s="3" t="s">
        <v>23</v>
      </c>
    </row>
    <row r="8080" spans="1:11" ht="42" customHeight="1">
      <c r="A8080" s="2" t="s">
        <v>15654</v>
      </c>
      <c r="B8080" s="2" t="s">
        <v>15655</v>
      </c>
      <c r="C8080" s="2" t="s">
        <v>35</v>
      </c>
      <c r="D8080" s="2" t="s">
        <v>27</v>
      </c>
      <c r="E8080" s="5">
        <v>-28719</v>
      </c>
      <c r="F8080" s="3" t="s">
        <v>647</v>
      </c>
      <c r="G8080" s="3" t="s">
        <v>20</v>
      </c>
      <c r="H8080" s="2" t="s">
        <v>21</v>
      </c>
      <c r="I8080" s="2" t="s">
        <v>15656</v>
      </c>
      <c r="J8080" s="3" t="str">
        <f>HYPERLINK("https://www.boe.es/gazeta/dias/1821/05/14/pdfs/GMD-1821-136.pdf#page=3","Abrir facsímil")</f>
        <v>Abrir facsímil</v>
      </c>
      <c r="K8080" s="3" t="s">
        <v>23</v>
      </c>
    </row>
    <row r="8081" spans="1:11" ht="42" customHeight="1">
      <c r="A8081" s="2" t="s">
        <v>15657</v>
      </c>
      <c r="B8081" s="2" t="s">
        <v>15658</v>
      </c>
      <c r="C8081" s="2" t="s">
        <v>40</v>
      </c>
      <c r="D8081" s="2" t="s">
        <v>41</v>
      </c>
      <c r="E8081" s="5">
        <v>-28791</v>
      </c>
      <c r="F8081" s="3" t="s">
        <v>47</v>
      </c>
      <c r="G8081" s="3" t="s">
        <v>20</v>
      </c>
      <c r="H8081" s="2" t="s">
        <v>21</v>
      </c>
      <c r="I8081" s="2" t="s">
        <v>15659</v>
      </c>
      <c r="J8081" s="3" t="str">
        <f>HYPERLINK("https://www.boe.es/gazeta/dias/1821/03/03/pdfs/GGB-1821-62.pdf#page=3","Abrir facsímil")</f>
        <v>Abrir facsímil</v>
      </c>
      <c r="K8081" s="3" t="s">
        <v>23</v>
      </c>
    </row>
    <row r="8082" spans="1:11" ht="42" customHeight="1">
      <c r="A8082" s="2" t="s">
        <v>15660</v>
      </c>
      <c r="B8082" s="2" t="s">
        <v>15660</v>
      </c>
      <c r="C8082" s="2" t="s">
        <v>17</v>
      </c>
      <c r="D8082" s="2" t="s">
        <v>18</v>
      </c>
      <c r="E8082" s="5">
        <v>-28541</v>
      </c>
      <c r="F8082" s="3" t="s">
        <v>275</v>
      </c>
      <c r="G8082" s="3" t="s">
        <v>88</v>
      </c>
      <c r="H8082" s="2" t="s">
        <v>21</v>
      </c>
      <c r="I8082" s="2" t="s">
        <v>15661</v>
      </c>
      <c r="J8082" s="3" t="str">
        <f>HYPERLINK("https://www.boe.es/gazeta/dias/1821/11/08/pdfs/GMD-1821-319.pdf#page=4","Abrir facsímil")</f>
        <v>Abrir facsímil</v>
      </c>
      <c r="K8082" s="3" t="s">
        <v>23</v>
      </c>
    </row>
    <row r="8083" spans="1:11" ht="42" customHeight="1">
      <c r="A8083" s="2" t="s">
        <v>15662</v>
      </c>
      <c r="B8083" s="2" t="s">
        <v>15663</v>
      </c>
      <c r="C8083" s="2" t="s">
        <v>40</v>
      </c>
      <c r="D8083" s="2" t="s">
        <v>41</v>
      </c>
      <c r="E8083" s="5">
        <v>-28531</v>
      </c>
      <c r="F8083" s="3" t="s">
        <v>365</v>
      </c>
      <c r="G8083" s="3" t="s">
        <v>20</v>
      </c>
      <c r="H8083" s="2" t="s">
        <v>21</v>
      </c>
      <c r="I8083" s="2" t="s">
        <v>15664</v>
      </c>
      <c r="J8083" s="3" t="str">
        <f>HYPERLINK("https://www.boe.es/gazeta/dias/1821/11/18/pdfs/GMD-1821-329.pdf#page=3","Abrir facsímil")</f>
        <v>Abrir facsímil</v>
      </c>
      <c r="K8083" s="3" t="s">
        <v>23</v>
      </c>
    </row>
    <row r="8084" spans="1:11" ht="42" customHeight="1">
      <c r="A8084" s="2" t="s">
        <v>15665</v>
      </c>
      <c r="B8084" s="2" t="s">
        <v>15665</v>
      </c>
      <c r="C8084" s="2" t="s">
        <v>40</v>
      </c>
      <c r="D8084" s="2" t="s">
        <v>41</v>
      </c>
      <c r="E8084" s="5">
        <v>-28730</v>
      </c>
      <c r="F8084" s="3" t="s">
        <v>747</v>
      </c>
      <c r="G8084" s="3" t="s">
        <v>20</v>
      </c>
      <c r="H8084" s="2" t="s">
        <v>21</v>
      </c>
      <c r="I8084" s="2" t="s">
        <v>15666</v>
      </c>
      <c r="J8084" s="3" t="str">
        <f>HYPERLINK("https://www.boe.es/gazeta/dias/1821/05/03/pdfs/GMD-1821-125.pdf#page=3","Abrir facsímil")</f>
        <v>Abrir facsímil</v>
      </c>
      <c r="K8084" s="3" t="s">
        <v>23</v>
      </c>
    </row>
    <row r="8085" spans="1:11" ht="42" customHeight="1">
      <c r="A8085" s="2" t="s">
        <v>15667</v>
      </c>
      <c r="B8085" s="2" t="s">
        <v>15668</v>
      </c>
      <c r="C8085" s="2" t="s">
        <v>40</v>
      </c>
      <c r="D8085" s="2" t="s">
        <v>41</v>
      </c>
      <c r="E8085" s="5">
        <v>-28490</v>
      </c>
      <c r="F8085" s="3" t="s">
        <v>801</v>
      </c>
      <c r="G8085" s="3" t="s">
        <v>88</v>
      </c>
      <c r="H8085" s="2" t="s">
        <v>21</v>
      </c>
      <c r="I8085" s="2" t="s">
        <v>15669</v>
      </c>
      <c r="J8085" s="3" t="str">
        <f>HYPERLINK("https://www.boe.es/gazeta/dias/1821/12/29/pdfs/GMD-1821-372.pdf#page=4","Abrir facsímil")</f>
        <v>Abrir facsímil</v>
      </c>
      <c r="K8085" s="3" t="s">
        <v>23</v>
      </c>
    </row>
    <row r="8086" spans="1:11" ht="42" customHeight="1">
      <c r="A8086" s="2" t="s">
        <v>15670</v>
      </c>
      <c r="B8086" s="2" t="s">
        <v>15670</v>
      </c>
      <c r="C8086" s="2" t="s">
        <v>26</v>
      </c>
      <c r="D8086" s="2" t="s">
        <v>27</v>
      </c>
      <c r="E8086" s="5">
        <v>-28576</v>
      </c>
      <c r="F8086" s="3" t="s">
        <v>1924</v>
      </c>
      <c r="G8086" s="3" t="s">
        <v>20</v>
      </c>
      <c r="H8086" s="2" t="s">
        <v>21</v>
      </c>
      <c r="I8086" s="2" t="s">
        <v>15671</v>
      </c>
      <c r="J8086" s="3" t="str">
        <f>HYPERLINK("https://www.boe.es/gazeta/dias/1821/10/04/pdfs/GMD-1821-283.pdf#page=3","Abrir facsímil")</f>
        <v>Abrir facsímil</v>
      </c>
      <c r="K8086" s="3" t="s">
        <v>23</v>
      </c>
    </row>
    <row r="8087" spans="1:11" ht="42" customHeight="1">
      <c r="A8087" s="2" t="s">
        <v>15670</v>
      </c>
      <c r="B8087" s="2" t="s">
        <v>15670</v>
      </c>
      <c r="C8087" s="2" t="s">
        <v>17</v>
      </c>
      <c r="D8087" s="2" t="s">
        <v>18</v>
      </c>
      <c r="E8087" s="5">
        <v>-28540</v>
      </c>
      <c r="F8087" s="3" t="s">
        <v>2672</v>
      </c>
      <c r="G8087" s="3" t="s">
        <v>88</v>
      </c>
      <c r="H8087" s="2" t="s">
        <v>21</v>
      </c>
      <c r="I8087" s="2" t="s">
        <v>15672</v>
      </c>
      <c r="J8087" s="3" t="str">
        <f>HYPERLINK("https://www.boe.es/gazeta/dias/1821/11/09/pdfs/GMD-1821-320.pdf#page=4","Abrir facsímil")</f>
        <v>Abrir facsímil</v>
      </c>
      <c r="K8087" s="3" t="s">
        <v>23</v>
      </c>
    </row>
    <row r="8088" spans="1:11" ht="42" customHeight="1">
      <c r="A8088" s="2" t="s">
        <v>15670</v>
      </c>
      <c r="B8088" s="2" t="s">
        <v>15670</v>
      </c>
      <c r="C8088" s="2" t="s">
        <v>35</v>
      </c>
      <c r="D8088" s="2" t="s">
        <v>27</v>
      </c>
      <c r="E8088" s="5">
        <v>-28509</v>
      </c>
      <c r="F8088" s="3" t="s">
        <v>388</v>
      </c>
      <c r="G8088" s="3" t="s">
        <v>29</v>
      </c>
      <c r="H8088" s="2" t="s">
        <v>21</v>
      </c>
      <c r="I8088" s="2" t="s">
        <v>15673</v>
      </c>
      <c r="J8088" s="3" t="str">
        <f>HYPERLINK("https://www.boe.es/gazeta/dias/1821/12/10/pdfs/GMD-1821-352.pdf#page=6","Abrir facsímil")</f>
        <v>Abrir facsímil</v>
      </c>
      <c r="K8088" s="3" t="s">
        <v>23</v>
      </c>
    </row>
    <row r="8089" spans="1:11" ht="42" customHeight="1">
      <c r="A8089" s="2" t="s">
        <v>15674</v>
      </c>
      <c r="B8089" s="2" t="s">
        <v>15674</v>
      </c>
      <c r="C8089" s="2" t="s">
        <v>40</v>
      </c>
      <c r="D8089" s="2" t="s">
        <v>41</v>
      </c>
      <c r="E8089" s="5">
        <v>-28773</v>
      </c>
      <c r="F8089" s="3" t="s">
        <v>1755</v>
      </c>
      <c r="G8089" s="3" t="s">
        <v>20</v>
      </c>
      <c r="H8089" s="2" t="s">
        <v>21</v>
      </c>
      <c r="I8089" s="2" t="s">
        <v>15675</v>
      </c>
      <c r="J8089" s="3" t="str">
        <f>HYPERLINK("https://www.boe.es/gazeta/dias/1821/03/21/pdfs/GMD-1821-80.pdf#page=3","Abrir facsímil")</f>
        <v>Abrir facsímil</v>
      </c>
      <c r="K8089" s="3" t="s">
        <v>23</v>
      </c>
    </row>
    <row r="8090" spans="1:11" ht="42" customHeight="1">
      <c r="A8090" s="2" t="s">
        <v>15676</v>
      </c>
      <c r="B8090" s="2" t="s">
        <v>15677</v>
      </c>
      <c r="C8090" s="2" t="s">
        <v>26</v>
      </c>
      <c r="D8090" s="2" t="s">
        <v>27</v>
      </c>
      <c r="E8090" s="5">
        <v>-28569</v>
      </c>
      <c r="F8090" s="3" t="s">
        <v>512</v>
      </c>
      <c r="G8090" s="3" t="s">
        <v>29</v>
      </c>
      <c r="H8090" s="2" t="s">
        <v>21</v>
      </c>
      <c r="I8090" s="2" t="s">
        <v>15678</v>
      </c>
      <c r="J8090" s="3" t="str">
        <f>HYPERLINK("https://www.boe.es/gazeta/dias/1821/10/11/pdfs/GMD-1821-290.pdf#page=6","Abrir facsímil")</f>
        <v>Abrir facsímil</v>
      </c>
      <c r="K8090" s="3" t="s">
        <v>23</v>
      </c>
    </row>
    <row r="8091" spans="1:11" ht="42" customHeight="1">
      <c r="A8091" s="2" t="s">
        <v>15679</v>
      </c>
      <c r="B8091" s="2" t="s">
        <v>15679</v>
      </c>
      <c r="C8091" s="2" t="s">
        <v>70</v>
      </c>
      <c r="D8091" s="2" t="s">
        <v>27</v>
      </c>
      <c r="E8091" s="5">
        <v>-28714</v>
      </c>
      <c r="F8091" s="3" t="s">
        <v>522</v>
      </c>
      <c r="G8091" s="3" t="s">
        <v>20</v>
      </c>
      <c r="H8091" s="2" t="s">
        <v>21</v>
      </c>
      <c r="I8091" s="2" t="s">
        <v>15680</v>
      </c>
      <c r="J8091" s="3" t="str">
        <f>HYPERLINK("https://www.boe.es/gazeta/dias/1821/05/19/pdfs/GMD-1821-141.pdf#page=3","Abrir facsímil")</f>
        <v>Abrir facsímil</v>
      </c>
      <c r="K8091" s="3" t="s">
        <v>23</v>
      </c>
    </row>
    <row r="8092" spans="1:11" ht="42" customHeight="1">
      <c r="A8092" s="2" t="s">
        <v>15679</v>
      </c>
      <c r="B8092" s="2" t="s">
        <v>15679</v>
      </c>
      <c r="C8092" s="2" t="s">
        <v>26</v>
      </c>
      <c r="D8092" s="2" t="s">
        <v>27</v>
      </c>
      <c r="E8092" s="5">
        <v>-28705</v>
      </c>
      <c r="F8092" s="3" t="s">
        <v>1844</v>
      </c>
      <c r="G8092" s="3" t="s">
        <v>20</v>
      </c>
      <c r="H8092" s="2" t="s">
        <v>21</v>
      </c>
      <c r="I8092" s="2" t="s">
        <v>15681</v>
      </c>
      <c r="J8092" s="3" t="str">
        <f>HYPERLINK("https://www.boe.es/gazeta/dias/1821/05/28/pdfs/GMD-1821-150.pdf#page=3","Abrir facsímil")</f>
        <v>Abrir facsímil</v>
      </c>
      <c r="K8092" s="3" t="s">
        <v>23</v>
      </c>
    </row>
    <row r="8093" spans="1:11" ht="42" customHeight="1">
      <c r="A8093" s="2" t="s">
        <v>15679</v>
      </c>
      <c r="B8093" s="2" t="s">
        <v>15679</v>
      </c>
      <c r="C8093" s="2" t="s">
        <v>26</v>
      </c>
      <c r="D8093" s="2" t="s">
        <v>27</v>
      </c>
      <c r="E8093" s="5">
        <v>-28518</v>
      </c>
      <c r="F8093" s="3" t="s">
        <v>410</v>
      </c>
      <c r="G8093" s="3" t="s">
        <v>88</v>
      </c>
      <c r="H8093" s="2" t="s">
        <v>21</v>
      </c>
      <c r="I8093" s="2" t="s">
        <v>15682</v>
      </c>
      <c r="J8093" s="3" t="str">
        <f>HYPERLINK("https://www.boe.es/gazeta/dias/1821/12/01/pdfs/GMD-1821-343.pdf#page=4","Abrir facsímil")</f>
        <v>Abrir facsímil</v>
      </c>
      <c r="K8093" s="3" t="s">
        <v>23</v>
      </c>
    </row>
    <row r="8094" spans="1:11" ht="42" customHeight="1">
      <c r="A8094" s="2" t="s">
        <v>15683</v>
      </c>
      <c r="B8094" s="2" t="s">
        <v>15683</v>
      </c>
      <c r="C8094" s="2" t="s">
        <v>26</v>
      </c>
      <c r="D8094" s="2" t="s">
        <v>27</v>
      </c>
      <c r="E8094" s="5">
        <v>-28765</v>
      </c>
      <c r="F8094" s="3" t="s">
        <v>974</v>
      </c>
      <c r="G8094" s="3" t="s">
        <v>52</v>
      </c>
      <c r="H8094" s="2" t="s">
        <v>21</v>
      </c>
      <c r="I8094" s="2" t="s">
        <v>15684</v>
      </c>
      <c r="J8094" s="3" t="str">
        <f>HYPERLINK("https://www.boe.es/gazeta/dias/1821/03/29/pdfs/GMD-1821-90.pdf#page=2","Abrir facsímil")</f>
        <v>Abrir facsímil</v>
      </c>
      <c r="K8094" s="3" t="s">
        <v>23</v>
      </c>
    </row>
    <row r="8095" spans="1:11" ht="42" customHeight="1">
      <c r="A8095" s="2" t="s">
        <v>15685</v>
      </c>
      <c r="B8095" s="2" t="s">
        <v>15685</v>
      </c>
      <c r="C8095" s="2" t="s">
        <v>40</v>
      </c>
      <c r="D8095" s="2" t="s">
        <v>41</v>
      </c>
      <c r="E8095" s="5">
        <v>-28788</v>
      </c>
      <c r="F8095" s="3" t="s">
        <v>996</v>
      </c>
      <c r="G8095" s="3" t="s">
        <v>20</v>
      </c>
      <c r="H8095" s="2" t="s">
        <v>21</v>
      </c>
      <c r="I8095" s="2" t="s">
        <v>15686</v>
      </c>
      <c r="J8095" s="3" t="str">
        <f>HYPERLINK("https://www.boe.es/gazeta/dias/1821/03/06/pdfs/GGB-1821-65.pdf#page=3","Abrir facsímil")</f>
        <v>Abrir facsímil</v>
      </c>
      <c r="K8095" s="3" t="s">
        <v>23</v>
      </c>
    </row>
    <row r="8096" spans="1:11" ht="42" customHeight="1">
      <c r="A8096" s="2" t="s">
        <v>15687</v>
      </c>
      <c r="B8096" s="2" t="s">
        <v>15687</v>
      </c>
      <c r="C8096" s="2" t="s">
        <v>114</v>
      </c>
      <c r="D8096" s="2" t="s">
        <v>27</v>
      </c>
      <c r="E8096" s="5">
        <v>-28788</v>
      </c>
      <c r="F8096" s="3" t="s">
        <v>996</v>
      </c>
      <c r="G8096" s="3" t="s">
        <v>52</v>
      </c>
      <c r="H8096" s="2" t="s">
        <v>21</v>
      </c>
      <c r="I8096" s="2" t="s">
        <v>15688</v>
      </c>
      <c r="J8096" s="3" t="str">
        <f>HYPERLINK("https://www.boe.es/gazeta/dias/1821/03/06/pdfs/GGB-1821-65.pdf#page=2","Abrir facsímil")</f>
        <v>Abrir facsímil</v>
      </c>
      <c r="K8096" s="3" t="s">
        <v>23</v>
      </c>
    </row>
    <row r="8097" spans="1:11" ht="42" customHeight="1">
      <c r="A8097" s="2" t="s">
        <v>15687</v>
      </c>
      <c r="B8097" s="2" t="s">
        <v>15687</v>
      </c>
      <c r="C8097" s="2" t="s">
        <v>40</v>
      </c>
      <c r="D8097" s="2" t="s">
        <v>41</v>
      </c>
      <c r="E8097" s="5">
        <v>-28770</v>
      </c>
      <c r="F8097" s="3" t="s">
        <v>1009</v>
      </c>
      <c r="G8097" s="3" t="s">
        <v>20</v>
      </c>
      <c r="H8097" s="2" t="s">
        <v>21</v>
      </c>
      <c r="I8097" s="2" t="s">
        <v>15689</v>
      </c>
      <c r="J8097" s="3" t="str">
        <f>HYPERLINK("https://www.boe.es/gazeta/dias/1821/03/24/pdfs/GMD-1821-84.pdf#page=3","Abrir facsímil")</f>
        <v>Abrir facsímil</v>
      </c>
      <c r="K8097" s="3" t="s">
        <v>23</v>
      </c>
    </row>
    <row r="8098" spans="1:11" ht="42" customHeight="1">
      <c r="A8098" s="2" t="s">
        <v>15687</v>
      </c>
      <c r="B8098" s="2" t="s">
        <v>15687</v>
      </c>
      <c r="C8098" s="2" t="s">
        <v>17</v>
      </c>
      <c r="D8098" s="2" t="s">
        <v>18</v>
      </c>
      <c r="E8098" s="5">
        <v>-28504</v>
      </c>
      <c r="F8098" s="3" t="s">
        <v>1098</v>
      </c>
      <c r="G8098" s="3" t="s">
        <v>20</v>
      </c>
      <c r="H8098" s="2" t="s">
        <v>21</v>
      </c>
      <c r="I8098" s="2" t="s">
        <v>15690</v>
      </c>
      <c r="J8098" s="3" t="str">
        <f>HYPERLINK("https://www.boe.es/gazeta/dias/1821/12/15/pdfs/GMD-1821-358.pdf#page=3","Abrir facsímil")</f>
        <v>Abrir facsímil</v>
      </c>
      <c r="K8098" s="3" t="s">
        <v>23</v>
      </c>
    </row>
    <row r="8099" spans="1:11" ht="42" customHeight="1">
      <c r="A8099" s="2" t="s">
        <v>15691</v>
      </c>
      <c r="B8099" s="2" t="s">
        <v>15692</v>
      </c>
      <c r="C8099" s="2" t="s">
        <v>40</v>
      </c>
      <c r="D8099" s="2" t="s">
        <v>41</v>
      </c>
      <c r="E8099" s="5">
        <v>-28643</v>
      </c>
      <c r="F8099" s="3" t="s">
        <v>1569</v>
      </c>
      <c r="G8099" s="3" t="s">
        <v>88</v>
      </c>
      <c r="H8099" s="2" t="s">
        <v>21</v>
      </c>
      <c r="I8099" s="2" t="s">
        <v>15693</v>
      </c>
      <c r="J8099" s="3" t="str">
        <f>HYPERLINK("https://www.boe.es/gazeta/dias/1821/07/29/pdfs/GMD-1821-214.pdf#page=4","Abrir facsímil")</f>
        <v>Abrir facsímil</v>
      </c>
      <c r="K8099" s="3" t="s">
        <v>23</v>
      </c>
    </row>
    <row r="8100" spans="1:11" ht="42" customHeight="1">
      <c r="A8100" s="2" t="s">
        <v>15694</v>
      </c>
      <c r="B8100" s="2" t="s">
        <v>15694</v>
      </c>
      <c r="C8100" s="2" t="s">
        <v>40</v>
      </c>
      <c r="D8100" s="2" t="s">
        <v>41</v>
      </c>
      <c r="E8100" s="5">
        <v>-28714</v>
      </c>
      <c r="F8100" s="3" t="s">
        <v>522</v>
      </c>
      <c r="G8100" s="3" t="s">
        <v>8960</v>
      </c>
      <c r="H8100" s="2" t="s">
        <v>21</v>
      </c>
      <c r="I8100" s="2" t="s">
        <v>15695</v>
      </c>
      <c r="J8100" s="3" t="str">
        <f>HYPERLINK("https://www.boe.es/gazeta/dias/1821/05/19/pdfs/GMD-1821-141.pdf#page=4","Abrir facsímil")</f>
        <v>Abrir facsímil</v>
      </c>
      <c r="K8100" s="3" t="s">
        <v>23</v>
      </c>
    </row>
    <row r="8101" spans="1:11" ht="42" customHeight="1">
      <c r="A8101" s="2" t="s">
        <v>15696</v>
      </c>
      <c r="B8101" s="2" t="s">
        <v>15697</v>
      </c>
      <c r="C8101" s="2" t="s">
        <v>35</v>
      </c>
      <c r="D8101" s="2" t="s">
        <v>27</v>
      </c>
      <c r="E8101" s="5">
        <v>-28692</v>
      </c>
      <c r="F8101" s="3" t="s">
        <v>3807</v>
      </c>
      <c r="G8101" s="3" t="s">
        <v>52</v>
      </c>
      <c r="H8101" s="2" t="s">
        <v>21</v>
      </c>
      <c r="I8101" s="2" t="s">
        <v>15698</v>
      </c>
      <c r="J8101" s="3" t="str">
        <f>HYPERLINK("https://www.boe.es/gazeta/dias/1821/06/10/pdfs/GMD-1821-163.pdf#page=2","Abrir facsímil")</f>
        <v>Abrir facsímil</v>
      </c>
      <c r="K8101" s="3" t="s">
        <v>23</v>
      </c>
    </row>
    <row r="8102" spans="1:11" ht="42" customHeight="1">
      <c r="A8102" s="2" t="s">
        <v>15699</v>
      </c>
      <c r="B8102" s="2" t="s">
        <v>15700</v>
      </c>
      <c r="C8102" s="2" t="s">
        <v>40</v>
      </c>
      <c r="D8102" s="2" t="s">
        <v>41</v>
      </c>
      <c r="E8102" s="5">
        <v>-28667</v>
      </c>
      <c r="F8102" s="3" t="s">
        <v>107</v>
      </c>
      <c r="G8102" s="3" t="s">
        <v>52</v>
      </c>
      <c r="H8102" s="2" t="s">
        <v>21</v>
      </c>
      <c r="I8102" s="2" t="s">
        <v>15701</v>
      </c>
      <c r="J8102" s="3" t="str">
        <f>HYPERLINK("https://www.boe.es/gazeta/dias/1821/07/05/pdfs/GMD-1821-189.pdf#page=2","Abrir facsímil")</f>
        <v>Abrir facsímil</v>
      </c>
      <c r="K8102" s="3" t="s">
        <v>23</v>
      </c>
    </row>
    <row r="8103" spans="1:11" ht="42" customHeight="1">
      <c r="A8103" s="2" t="s">
        <v>15702</v>
      </c>
      <c r="B8103" s="2" t="s">
        <v>15703</v>
      </c>
      <c r="C8103" s="2" t="s">
        <v>40</v>
      </c>
      <c r="D8103" s="2" t="s">
        <v>41</v>
      </c>
      <c r="E8103" s="5">
        <v>-28738</v>
      </c>
      <c r="F8103" s="3" t="s">
        <v>359</v>
      </c>
      <c r="G8103" s="3" t="s">
        <v>88</v>
      </c>
      <c r="H8103" s="2" t="s">
        <v>21</v>
      </c>
      <c r="I8103" s="2" t="s">
        <v>15704</v>
      </c>
      <c r="J8103" s="3" t="str">
        <f>HYPERLINK("https://www.boe.es/gazeta/dias/1821/04/25/pdfs/GMD-1821-117.pdf#page=4","Abrir facsímil")</f>
        <v>Abrir facsímil</v>
      </c>
      <c r="K8103" s="3" t="s">
        <v>23</v>
      </c>
    </row>
    <row r="8104" spans="1:11" ht="42" customHeight="1">
      <c r="A8104" s="2" t="s">
        <v>15705</v>
      </c>
      <c r="B8104" s="2" t="s">
        <v>15706</v>
      </c>
      <c r="C8104" s="2" t="s">
        <v>35</v>
      </c>
      <c r="D8104" s="2" t="s">
        <v>27</v>
      </c>
      <c r="E8104" s="5">
        <v>-28778</v>
      </c>
      <c r="F8104" s="3" t="s">
        <v>1301</v>
      </c>
      <c r="G8104" s="3" t="s">
        <v>162</v>
      </c>
      <c r="H8104" s="2" t="s">
        <v>21</v>
      </c>
      <c r="I8104" s="2" t="s">
        <v>15707</v>
      </c>
      <c r="J8104" s="3" t="str">
        <f>HYPERLINK("https://www.boe.es/gazeta/dias/1821/03/16/pdfs/GMD-1821-75.pdf#page=5","Abrir facsímil")</f>
        <v>Abrir facsímil</v>
      </c>
      <c r="K8104" s="3" t="s">
        <v>23</v>
      </c>
    </row>
    <row r="8105" spans="1:11" ht="42" customHeight="1">
      <c r="A8105" s="2" t="s">
        <v>15708</v>
      </c>
      <c r="B8105" s="2" t="s">
        <v>15709</v>
      </c>
      <c r="C8105" s="2" t="s">
        <v>174</v>
      </c>
      <c r="D8105" s="2" t="s">
        <v>27</v>
      </c>
      <c r="E8105" s="5">
        <v>-28752</v>
      </c>
      <c r="F8105" s="3" t="s">
        <v>1012</v>
      </c>
      <c r="G8105" s="3" t="s">
        <v>52</v>
      </c>
      <c r="H8105" s="2" t="s">
        <v>21</v>
      </c>
      <c r="I8105" s="2" t="s">
        <v>15710</v>
      </c>
      <c r="J8105" s="3" t="str">
        <f>HYPERLINK("https://www.boe.es/gazeta/dias/1821/04/11/pdfs/GMD-1821-103.pdf#page=2","Abrir facsímil")</f>
        <v>Abrir facsímil</v>
      </c>
      <c r="K8105" s="3" t="s">
        <v>23</v>
      </c>
    </row>
    <row r="8106" spans="1:11" ht="42" customHeight="1">
      <c r="A8106" s="2" t="s">
        <v>15711</v>
      </c>
      <c r="B8106" s="2" t="s">
        <v>15712</v>
      </c>
      <c r="C8106" s="2" t="s">
        <v>40</v>
      </c>
      <c r="D8106" s="2" t="s">
        <v>41</v>
      </c>
      <c r="E8106" s="5">
        <v>-28725</v>
      </c>
      <c r="F8106" s="3" t="s">
        <v>440</v>
      </c>
      <c r="G8106" s="3" t="s">
        <v>52</v>
      </c>
      <c r="H8106" s="2" t="s">
        <v>21</v>
      </c>
      <c r="I8106" s="2" t="s">
        <v>15713</v>
      </c>
      <c r="J8106" s="3" t="str">
        <f>HYPERLINK("https://www.boe.es/gazeta/dias/1821/05/08/pdfs/GMD-1821-130.pdf#page=2","Abrir facsímil")</f>
        <v>Abrir facsímil</v>
      </c>
      <c r="K8106" s="3" t="s">
        <v>23</v>
      </c>
    </row>
    <row r="8107" spans="1:11" ht="42" customHeight="1">
      <c r="A8107" s="2" t="s">
        <v>15714</v>
      </c>
      <c r="B8107" s="2" t="s">
        <v>15714</v>
      </c>
      <c r="C8107" s="2" t="s">
        <v>26</v>
      </c>
      <c r="D8107" s="2" t="s">
        <v>27</v>
      </c>
      <c r="E8107" s="5">
        <v>-28773</v>
      </c>
      <c r="F8107" s="3" t="s">
        <v>1755</v>
      </c>
      <c r="G8107" s="3" t="s">
        <v>43</v>
      </c>
      <c r="H8107" s="2" t="s">
        <v>21</v>
      </c>
      <c r="I8107" s="2" t="s">
        <v>15715</v>
      </c>
      <c r="J8107" s="3" t="str">
        <f>HYPERLINK("https://www.boe.es/gazeta/dias/1821/03/21/pdfs/GMD-1821-80.pdf#page=1","Abrir facsímil")</f>
        <v>Abrir facsímil</v>
      </c>
      <c r="K8107" s="3" t="s">
        <v>23</v>
      </c>
    </row>
    <row r="8108" spans="1:11" ht="42" customHeight="1">
      <c r="A8108" s="2" t="s">
        <v>15716</v>
      </c>
      <c r="B8108" s="2" t="s">
        <v>15716</v>
      </c>
      <c r="C8108" s="2" t="s">
        <v>26</v>
      </c>
      <c r="D8108" s="2" t="s">
        <v>27</v>
      </c>
      <c r="E8108" s="5">
        <v>-28748</v>
      </c>
      <c r="F8108" s="3" t="s">
        <v>634</v>
      </c>
      <c r="G8108" s="3" t="s">
        <v>52</v>
      </c>
      <c r="H8108" s="2" t="s">
        <v>21</v>
      </c>
      <c r="I8108" s="2" t="s">
        <v>15717</v>
      </c>
      <c r="J8108" s="3" t="str">
        <f>HYPERLINK("https://www.boe.es/gazeta/dias/1821/04/15/pdfs/GMD-1821-107.pdf#page=2","Abrir facsímil")</f>
        <v>Abrir facsímil</v>
      </c>
      <c r="K8108" s="3" t="s">
        <v>23</v>
      </c>
    </row>
    <row r="8109" spans="1:11" ht="42" customHeight="1">
      <c r="A8109" s="2" t="s">
        <v>15718</v>
      </c>
      <c r="B8109" s="2" t="s">
        <v>15718</v>
      </c>
      <c r="C8109" s="2" t="s">
        <v>40</v>
      </c>
      <c r="D8109" s="2" t="s">
        <v>41</v>
      </c>
      <c r="E8109" s="5">
        <v>-28755</v>
      </c>
      <c r="F8109" s="3" t="s">
        <v>906</v>
      </c>
      <c r="G8109" s="3" t="s">
        <v>52</v>
      </c>
      <c r="H8109" s="2" t="s">
        <v>21</v>
      </c>
      <c r="I8109" s="2" t="s">
        <v>15719</v>
      </c>
      <c r="J8109" s="3" t="str">
        <f>HYPERLINK("https://www.boe.es/gazeta/dias/1821/04/08/pdfs/GMD-1821-100.pdf#page=2","Abrir facsímil")</f>
        <v>Abrir facsímil</v>
      </c>
      <c r="K8109" s="3" t="s">
        <v>23</v>
      </c>
    </row>
    <row r="8110" spans="1:11" ht="42" customHeight="1">
      <c r="A8110" s="2" t="s">
        <v>15720</v>
      </c>
      <c r="B8110" s="2" t="s">
        <v>15721</v>
      </c>
      <c r="C8110" s="2" t="s">
        <v>26</v>
      </c>
      <c r="D8110" s="2" t="s">
        <v>27</v>
      </c>
      <c r="E8110" s="5">
        <v>-28718</v>
      </c>
      <c r="F8110" s="3" t="s">
        <v>583</v>
      </c>
      <c r="G8110" s="3" t="s">
        <v>88</v>
      </c>
      <c r="H8110" s="2" t="s">
        <v>21</v>
      </c>
      <c r="I8110" s="2" t="s">
        <v>15722</v>
      </c>
      <c r="J8110" s="3" t="str">
        <f>HYPERLINK("https://www.boe.es/gazeta/dias/1821/05/15/pdfs/GMD-1821-137.pdf#page=4","Abrir facsímil")</f>
        <v>Abrir facsímil</v>
      </c>
      <c r="K8110" s="3" t="s">
        <v>23</v>
      </c>
    </row>
    <row r="8111" spans="1:11" ht="42" customHeight="1">
      <c r="A8111" s="2" t="s">
        <v>15723</v>
      </c>
      <c r="B8111" s="2" t="s">
        <v>15723</v>
      </c>
      <c r="C8111" s="2" t="s">
        <v>17</v>
      </c>
      <c r="D8111" s="2" t="s">
        <v>18</v>
      </c>
      <c r="E8111" s="5">
        <v>-28791</v>
      </c>
      <c r="F8111" s="3" t="s">
        <v>47</v>
      </c>
      <c r="G8111" s="3" t="s">
        <v>20</v>
      </c>
      <c r="H8111" s="2" t="s">
        <v>21</v>
      </c>
      <c r="I8111" s="2" t="s">
        <v>15724</v>
      </c>
      <c r="J8111" s="3" t="str">
        <f>HYPERLINK("https://www.boe.es/gazeta/dias/1821/03/03/pdfs/GGB-1821-62.pdf#page=3","Abrir facsímil")</f>
        <v>Abrir facsímil</v>
      </c>
      <c r="K8111" s="3" t="s">
        <v>23</v>
      </c>
    </row>
    <row r="8112" spans="1:11" ht="42" customHeight="1">
      <c r="A8112" s="2" t="s">
        <v>15723</v>
      </c>
      <c r="B8112" s="2" t="s">
        <v>15723</v>
      </c>
      <c r="C8112" s="2" t="s">
        <v>26</v>
      </c>
      <c r="D8112" s="2" t="s">
        <v>27</v>
      </c>
      <c r="E8112" s="5">
        <v>-28790</v>
      </c>
      <c r="F8112" s="3" t="s">
        <v>991</v>
      </c>
      <c r="G8112" s="3" t="s">
        <v>88</v>
      </c>
      <c r="H8112" s="2" t="s">
        <v>21</v>
      </c>
      <c r="I8112" s="2" t="s">
        <v>15725</v>
      </c>
      <c r="J8112" s="3" t="str">
        <f>HYPERLINK("https://www.boe.es/gazeta/dias/1821/03/04/pdfs/GGB-1821-63.pdf#page=4","Abrir facsímil")</f>
        <v>Abrir facsímil</v>
      </c>
      <c r="K8112" s="3" t="s">
        <v>23</v>
      </c>
    </row>
    <row r="8113" spans="1:11" ht="42" customHeight="1">
      <c r="A8113" s="2" t="s">
        <v>15723</v>
      </c>
      <c r="B8113" s="2" t="s">
        <v>15723</v>
      </c>
      <c r="C8113" s="2" t="s">
        <v>17</v>
      </c>
      <c r="D8113" s="2" t="s">
        <v>18</v>
      </c>
      <c r="E8113" s="5">
        <v>-28789</v>
      </c>
      <c r="F8113" s="3" t="s">
        <v>36</v>
      </c>
      <c r="G8113" s="3" t="s">
        <v>20</v>
      </c>
      <c r="H8113" s="2" t="s">
        <v>21</v>
      </c>
      <c r="I8113" s="2" t="s">
        <v>15726</v>
      </c>
      <c r="J8113" s="3" t="str">
        <f>HYPERLINK("https://www.boe.es/gazeta/dias/1821/03/05/pdfs/GGB-1821-64.pdf#page=3","Abrir facsímil")</f>
        <v>Abrir facsímil</v>
      </c>
      <c r="K8113" s="3" t="s">
        <v>23</v>
      </c>
    </row>
    <row r="8114" spans="1:11" ht="42" customHeight="1">
      <c r="A8114" s="2" t="s">
        <v>15723</v>
      </c>
      <c r="B8114" s="2" t="s">
        <v>15723</v>
      </c>
      <c r="C8114" s="2" t="s">
        <v>17</v>
      </c>
      <c r="D8114" s="2" t="s">
        <v>18</v>
      </c>
      <c r="E8114" s="5">
        <v>-28779</v>
      </c>
      <c r="F8114" s="3" t="s">
        <v>1002</v>
      </c>
      <c r="G8114" s="3" t="s">
        <v>52</v>
      </c>
      <c r="H8114" s="2" t="s">
        <v>21</v>
      </c>
      <c r="I8114" s="2" t="s">
        <v>15727</v>
      </c>
      <c r="J8114" s="3" t="str">
        <f>HYPERLINK("https://www.boe.es/gazeta/dias/1821/03/15/pdfs/GMD-1821-74.pdf#page=2","Abrir facsímil")</f>
        <v>Abrir facsímil</v>
      </c>
      <c r="K8114" s="3" t="s">
        <v>23</v>
      </c>
    </row>
    <row r="8115" spans="1:11" ht="42" customHeight="1">
      <c r="A8115" s="2" t="s">
        <v>15723</v>
      </c>
      <c r="B8115" s="2" t="s">
        <v>15723</v>
      </c>
      <c r="C8115" s="2" t="s">
        <v>17</v>
      </c>
      <c r="D8115" s="2" t="s">
        <v>18</v>
      </c>
      <c r="E8115" s="5">
        <v>-28775</v>
      </c>
      <c r="F8115" s="3" t="s">
        <v>132</v>
      </c>
      <c r="G8115" s="3" t="s">
        <v>52</v>
      </c>
      <c r="H8115" s="2" t="s">
        <v>21</v>
      </c>
      <c r="I8115" s="2" t="s">
        <v>15728</v>
      </c>
      <c r="J8115" s="3" t="str">
        <f>HYPERLINK("https://www.boe.es/gazeta/dias/1821/03/19/pdfs/GMD-1821-78.pdf#page=2","Abrir facsímil")</f>
        <v>Abrir facsímil</v>
      </c>
      <c r="K8115" s="3" t="s">
        <v>23</v>
      </c>
    </row>
    <row r="8116" spans="1:11" ht="42" customHeight="1">
      <c r="A8116" s="2" t="s">
        <v>15723</v>
      </c>
      <c r="B8116" s="2" t="s">
        <v>15723</v>
      </c>
      <c r="C8116" s="2" t="s">
        <v>35</v>
      </c>
      <c r="D8116" s="2" t="s">
        <v>27</v>
      </c>
      <c r="E8116" s="5">
        <v>-28770</v>
      </c>
      <c r="F8116" s="3" t="s">
        <v>1009</v>
      </c>
      <c r="G8116" s="3" t="s">
        <v>88</v>
      </c>
      <c r="H8116" s="2" t="s">
        <v>21</v>
      </c>
      <c r="I8116" s="2" t="s">
        <v>15729</v>
      </c>
      <c r="J8116" s="3" t="str">
        <f>HYPERLINK("https://www.boe.es/gazeta/dias/1821/03/24/pdfs/GMD-1821-84.pdf#page=4","Abrir facsímil")</f>
        <v>Abrir facsímil</v>
      </c>
      <c r="K8116" s="3" t="s">
        <v>23</v>
      </c>
    </row>
    <row r="8117" spans="1:11" ht="42" customHeight="1">
      <c r="A8117" s="2" t="s">
        <v>15723</v>
      </c>
      <c r="B8117" s="2" t="s">
        <v>15723</v>
      </c>
      <c r="C8117" s="2" t="s">
        <v>40</v>
      </c>
      <c r="D8117" s="2" t="s">
        <v>41</v>
      </c>
      <c r="E8117" s="5">
        <v>-28757</v>
      </c>
      <c r="F8117" s="3" t="s">
        <v>472</v>
      </c>
      <c r="G8117" s="3" t="s">
        <v>52</v>
      </c>
      <c r="H8117" s="2" t="s">
        <v>21</v>
      </c>
      <c r="I8117" s="2" t="s">
        <v>15730</v>
      </c>
      <c r="J8117" s="3" t="str">
        <f>HYPERLINK("https://www.boe.es/gazeta/dias/1821/04/06/pdfs/GMD-1821-98.pdf#page=2","Abrir facsímil")</f>
        <v>Abrir facsímil</v>
      </c>
      <c r="K8117" s="3" t="s">
        <v>23</v>
      </c>
    </row>
    <row r="8118" spans="1:11" ht="42" customHeight="1">
      <c r="A8118" s="2" t="s">
        <v>15723</v>
      </c>
      <c r="B8118" s="2" t="s">
        <v>15723</v>
      </c>
      <c r="C8118" s="2" t="s">
        <v>114</v>
      </c>
      <c r="D8118" s="2" t="s">
        <v>27</v>
      </c>
      <c r="E8118" s="5">
        <v>-28757</v>
      </c>
      <c r="F8118" s="3" t="s">
        <v>472</v>
      </c>
      <c r="G8118" s="3" t="s">
        <v>20</v>
      </c>
      <c r="H8118" s="2" t="s">
        <v>21</v>
      </c>
      <c r="I8118" s="2" t="s">
        <v>15731</v>
      </c>
      <c r="J8118" s="3" t="str">
        <f>HYPERLINK("https://www.boe.es/gazeta/dias/1821/04/06/pdfs/GMD-1821-98.pdf#page=3","Abrir facsímil")</f>
        <v>Abrir facsímil</v>
      </c>
      <c r="K8118" s="3" t="s">
        <v>23</v>
      </c>
    </row>
    <row r="8119" spans="1:11" ht="42" customHeight="1">
      <c r="A8119" s="2" t="s">
        <v>15723</v>
      </c>
      <c r="B8119" s="2" t="s">
        <v>15723</v>
      </c>
      <c r="C8119" s="2" t="s">
        <v>26</v>
      </c>
      <c r="D8119" s="2" t="s">
        <v>27</v>
      </c>
      <c r="E8119" s="5">
        <v>-28752</v>
      </c>
      <c r="F8119" s="3" t="s">
        <v>1012</v>
      </c>
      <c r="G8119" s="3" t="s">
        <v>1013</v>
      </c>
      <c r="H8119" s="2" t="s">
        <v>21</v>
      </c>
      <c r="I8119" s="2" t="s">
        <v>15732</v>
      </c>
      <c r="J8119" s="3" t="str">
        <f>HYPERLINK("https://www.boe.es/gazeta/dias/1821/04/11/pdfs/GMD-1821-103.pdf#page=3","Abrir facsímil")</f>
        <v>Abrir facsímil</v>
      </c>
      <c r="K8119" s="3" t="s">
        <v>23</v>
      </c>
    </row>
    <row r="8120" spans="1:11" ht="42" customHeight="1">
      <c r="A8120" s="2" t="s">
        <v>15723</v>
      </c>
      <c r="B8120" s="2" t="s">
        <v>15723</v>
      </c>
      <c r="C8120" s="2" t="s">
        <v>17</v>
      </c>
      <c r="D8120" s="2" t="s">
        <v>18</v>
      </c>
      <c r="E8120" s="5">
        <v>-28751</v>
      </c>
      <c r="F8120" s="3" t="s">
        <v>356</v>
      </c>
      <c r="G8120" s="3" t="s">
        <v>20</v>
      </c>
      <c r="H8120" s="2" t="s">
        <v>21</v>
      </c>
      <c r="I8120" s="2" t="s">
        <v>15733</v>
      </c>
      <c r="J8120" s="3" t="str">
        <f>HYPERLINK("https://www.boe.es/gazeta/dias/1821/04/12/pdfs/GMD-1821-104.pdf#page=3","Abrir facsímil")</f>
        <v>Abrir facsímil</v>
      </c>
      <c r="K8120" s="3" t="s">
        <v>23</v>
      </c>
    </row>
    <row r="8121" spans="1:11" ht="42" customHeight="1">
      <c r="A8121" s="2" t="s">
        <v>15723</v>
      </c>
      <c r="B8121" s="2" t="s">
        <v>15723</v>
      </c>
      <c r="C8121" s="2" t="s">
        <v>17</v>
      </c>
      <c r="D8121" s="2" t="s">
        <v>18</v>
      </c>
      <c r="E8121" s="5">
        <v>-28750</v>
      </c>
      <c r="F8121" s="3" t="s">
        <v>917</v>
      </c>
      <c r="G8121" s="3" t="s">
        <v>20</v>
      </c>
      <c r="H8121" s="2" t="s">
        <v>21</v>
      </c>
      <c r="I8121" s="2" t="s">
        <v>15734</v>
      </c>
      <c r="J8121" s="3" t="str">
        <f>HYPERLINK("https://www.boe.es/gazeta/dias/1821/04/13/pdfs/GMD-1821-105.pdf#page=3","Abrir facsímil")</f>
        <v>Abrir facsímil</v>
      </c>
      <c r="K8121" s="3" t="s">
        <v>23</v>
      </c>
    </row>
    <row r="8122" spans="1:11" ht="42" customHeight="1">
      <c r="A8122" s="2" t="s">
        <v>15723</v>
      </c>
      <c r="B8122" s="2" t="s">
        <v>15723</v>
      </c>
      <c r="C8122" s="2" t="s">
        <v>17</v>
      </c>
      <c r="D8122" s="2" t="s">
        <v>18</v>
      </c>
      <c r="E8122" s="5">
        <v>-28749</v>
      </c>
      <c r="F8122" s="3" t="s">
        <v>832</v>
      </c>
      <c r="G8122" s="3" t="s">
        <v>52</v>
      </c>
      <c r="H8122" s="2" t="s">
        <v>21</v>
      </c>
      <c r="I8122" s="2" t="s">
        <v>15735</v>
      </c>
      <c r="J8122" s="3" t="str">
        <f>HYPERLINK("https://www.boe.es/gazeta/dias/1821/04/14/pdfs/GMD-1821-106.pdf#page=2","Abrir facsímil")</f>
        <v>Abrir facsímil</v>
      </c>
      <c r="K8122" s="3" t="s">
        <v>23</v>
      </c>
    </row>
    <row r="8123" spans="1:11" ht="42" customHeight="1">
      <c r="A8123" s="2" t="s">
        <v>15723</v>
      </c>
      <c r="B8123" s="2" t="s">
        <v>15723</v>
      </c>
      <c r="C8123" s="2" t="s">
        <v>26</v>
      </c>
      <c r="D8123" s="2" t="s">
        <v>27</v>
      </c>
      <c r="E8123" s="5">
        <v>-28749</v>
      </c>
      <c r="F8123" s="3" t="s">
        <v>832</v>
      </c>
      <c r="G8123" s="3" t="s">
        <v>20</v>
      </c>
      <c r="H8123" s="2" t="s">
        <v>21</v>
      </c>
      <c r="I8123" s="2" t="s">
        <v>15736</v>
      </c>
      <c r="J8123" s="3" t="str">
        <f>HYPERLINK("https://www.boe.es/gazeta/dias/1821/04/14/pdfs/GMD-1821-106.pdf#page=3","Abrir facsímil")</f>
        <v>Abrir facsímil</v>
      </c>
      <c r="K8123" s="3" t="s">
        <v>23</v>
      </c>
    </row>
    <row r="8124" spans="1:11" ht="42" customHeight="1">
      <c r="A8124" s="2" t="s">
        <v>15723</v>
      </c>
      <c r="B8124" s="2" t="s">
        <v>15723</v>
      </c>
      <c r="C8124" s="2" t="s">
        <v>35</v>
      </c>
      <c r="D8124" s="2" t="s">
        <v>27</v>
      </c>
      <c r="E8124" s="5">
        <v>-28748</v>
      </c>
      <c r="F8124" s="3" t="s">
        <v>634</v>
      </c>
      <c r="G8124" s="3" t="s">
        <v>52</v>
      </c>
      <c r="H8124" s="2" t="s">
        <v>21</v>
      </c>
      <c r="I8124" s="2" t="s">
        <v>15737</v>
      </c>
      <c r="J8124" s="3" t="str">
        <f>HYPERLINK("https://www.boe.es/gazeta/dias/1821/04/15/pdfs/GMD-1821-107.pdf#page=2","Abrir facsímil")</f>
        <v>Abrir facsímil</v>
      </c>
      <c r="K8124" s="3" t="s">
        <v>23</v>
      </c>
    </row>
    <row r="8125" spans="1:11" ht="42" customHeight="1">
      <c r="A8125" s="2" t="s">
        <v>15723</v>
      </c>
      <c r="B8125" s="2" t="s">
        <v>15723</v>
      </c>
      <c r="C8125" s="2" t="s">
        <v>26</v>
      </c>
      <c r="D8125" s="2" t="s">
        <v>27</v>
      </c>
      <c r="E8125" s="5">
        <v>-28748</v>
      </c>
      <c r="F8125" s="3" t="s">
        <v>634</v>
      </c>
      <c r="G8125" s="3" t="s">
        <v>20</v>
      </c>
      <c r="H8125" s="2" t="s">
        <v>21</v>
      </c>
      <c r="I8125" s="2" t="s">
        <v>15738</v>
      </c>
      <c r="J8125" s="3" t="str">
        <f>HYPERLINK("https://www.boe.es/gazeta/dias/1821/04/15/pdfs/GMD-1821-107.pdf#page=3","Abrir facsímil")</f>
        <v>Abrir facsímil</v>
      </c>
      <c r="K8125" s="3" t="s">
        <v>23</v>
      </c>
    </row>
    <row r="8126" spans="1:11" ht="42" customHeight="1">
      <c r="A8126" s="2" t="s">
        <v>15723</v>
      </c>
      <c r="B8126" s="2" t="s">
        <v>15723</v>
      </c>
      <c r="C8126" s="2" t="s">
        <v>40</v>
      </c>
      <c r="D8126" s="2" t="s">
        <v>41</v>
      </c>
      <c r="E8126" s="5">
        <v>-28745</v>
      </c>
      <c r="F8126" s="3" t="s">
        <v>1020</v>
      </c>
      <c r="G8126" s="3" t="s">
        <v>52</v>
      </c>
      <c r="H8126" s="2" t="s">
        <v>21</v>
      </c>
      <c r="I8126" s="2" t="s">
        <v>15739</v>
      </c>
      <c r="J8126" s="3" t="str">
        <f>HYPERLINK("https://www.boe.es/gazeta/dias/1821/04/18/pdfs/GMD-1821-110.pdf#page=2","Abrir facsímil")</f>
        <v>Abrir facsímil</v>
      </c>
      <c r="K8126" s="3" t="s">
        <v>23</v>
      </c>
    </row>
    <row r="8127" spans="1:11" ht="42" customHeight="1">
      <c r="A8127" s="2" t="s">
        <v>15723</v>
      </c>
      <c r="B8127" s="2" t="s">
        <v>15723</v>
      </c>
      <c r="C8127" s="2" t="s">
        <v>40</v>
      </c>
      <c r="D8127" s="2" t="s">
        <v>41</v>
      </c>
      <c r="E8127" s="5">
        <v>-28744</v>
      </c>
      <c r="F8127" s="3" t="s">
        <v>834</v>
      </c>
      <c r="G8127" s="3" t="s">
        <v>88</v>
      </c>
      <c r="H8127" s="2" t="s">
        <v>21</v>
      </c>
      <c r="I8127" s="2" t="s">
        <v>15740</v>
      </c>
      <c r="J8127" s="3" t="str">
        <f>HYPERLINK("https://www.boe.es/gazeta/dias/1821/04/19/pdfs/GMD-1821-111.pdf#page=4","Abrir facsímil")</f>
        <v>Abrir facsímil</v>
      </c>
      <c r="K8127" s="3" t="s">
        <v>23</v>
      </c>
    </row>
    <row r="8128" spans="1:11" ht="42" customHeight="1">
      <c r="A8128" s="2" t="s">
        <v>15723</v>
      </c>
      <c r="B8128" s="2" t="s">
        <v>15723</v>
      </c>
      <c r="C8128" s="2" t="s">
        <v>35</v>
      </c>
      <c r="D8128" s="2" t="s">
        <v>27</v>
      </c>
      <c r="E8128" s="5">
        <v>-28739</v>
      </c>
      <c r="F8128" s="3" t="s">
        <v>1024</v>
      </c>
      <c r="G8128" s="3" t="s">
        <v>1025</v>
      </c>
      <c r="H8128" s="2" t="s">
        <v>21</v>
      </c>
      <c r="I8128" s="2" t="s">
        <v>15741</v>
      </c>
      <c r="J8128" s="3" t="str">
        <f>HYPERLINK("https://www.boe.es/gazeta/dias/1821/04/24/pdfs/GMD-1821-116.pdf#page=3","Abrir facsímil")</f>
        <v>Abrir facsímil</v>
      </c>
      <c r="K8128" s="3" t="s">
        <v>23</v>
      </c>
    </row>
    <row r="8129" spans="1:11" ht="42" customHeight="1">
      <c r="A8129" s="2" t="s">
        <v>15723</v>
      </c>
      <c r="B8129" s="2" t="s">
        <v>15723</v>
      </c>
      <c r="C8129" s="2" t="s">
        <v>40</v>
      </c>
      <c r="D8129" s="2" t="s">
        <v>41</v>
      </c>
      <c r="E8129" s="5">
        <v>-28739</v>
      </c>
      <c r="F8129" s="3" t="s">
        <v>1024</v>
      </c>
      <c r="G8129" s="3" t="s">
        <v>52</v>
      </c>
      <c r="H8129" s="2" t="s">
        <v>21</v>
      </c>
      <c r="I8129" s="2" t="s">
        <v>15742</v>
      </c>
      <c r="J8129" s="3" t="str">
        <f>HYPERLINK("https://www.boe.es/gazeta/dias/1821/04/24/pdfs/GMD-1821-116.pdf#page=2","Abrir facsímil")</f>
        <v>Abrir facsímil</v>
      </c>
      <c r="K8129" s="3" t="s">
        <v>23</v>
      </c>
    </row>
    <row r="8130" spans="1:11" ht="42" customHeight="1">
      <c r="A8130" s="2" t="s">
        <v>15723</v>
      </c>
      <c r="B8130" s="2" t="s">
        <v>15723</v>
      </c>
      <c r="C8130" s="2" t="s">
        <v>35</v>
      </c>
      <c r="D8130" s="2" t="s">
        <v>27</v>
      </c>
      <c r="E8130" s="5">
        <v>-28735</v>
      </c>
      <c r="F8130" s="3" t="s">
        <v>836</v>
      </c>
      <c r="G8130" s="3" t="s">
        <v>52</v>
      </c>
      <c r="H8130" s="2" t="s">
        <v>21</v>
      </c>
      <c r="I8130" s="2" t="s">
        <v>15743</v>
      </c>
      <c r="J8130" s="3" t="str">
        <f>HYPERLINK("https://www.boe.es/gazeta/dias/1821/04/28/pdfs/GMD-1821-120.pdf#page=2","Abrir facsímil")</f>
        <v>Abrir facsímil</v>
      </c>
      <c r="K8130" s="3" t="s">
        <v>23</v>
      </c>
    </row>
    <row r="8131" spans="1:11" ht="42" customHeight="1">
      <c r="A8131" s="2" t="s">
        <v>15723</v>
      </c>
      <c r="B8131" s="2" t="s">
        <v>15723</v>
      </c>
      <c r="C8131" s="2" t="s">
        <v>70</v>
      </c>
      <c r="D8131" s="2" t="s">
        <v>27</v>
      </c>
      <c r="E8131" s="5">
        <v>-28734</v>
      </c>
      <c r="F8131" s="3" t="s">
        <v>1553</v>
      </c>
      <c r="G8131" s="3" t="s">
        <v>88</v>
      </c>
      <c r="H8131" s="2" t="s">
        <v>21</v>
      </c>
      <c r="I8131" s="2" t="s">
        <v>15744</v>
      </c>
      <c r="J8131" s="3" t="str">
        <f>HYPERLINK("https://www.boe.es/gazeta/dias/1821/04/29/pdfs/GMD-1821-121.pdf#page=4","Abrir facsímil")</f>
        <v>Abrir facsímil</v>
      </c>
      <c r="K8131" s="3" t="s">
        <v>23</v>
      </c>
    </row>
    <row r="8132" spans="1:11" ht="42" customHeight="1">
      <c r="A8132" s="2" t="s">
        <v>15723</v>
      </c>
      <c r="B8132" s="2" t="s">
        <v>15723</v>
      </c>
      <c r="C8132" s="2" t="s">
        <v>40</v>
      </c>
      <c r="D8132" s="2" t="s">
        <v>41</v>
      </c>
      <c r="E8132" s="5">
        <v>-28726</v>
      </c>
      <c r="F8132" s="3" t="s">
        <v>347</v>
      </c>
      <c r="G8132" s="3" t="s">
        <v>52</v>
      </c>
      <c r="H8132" s="2" t="s">
        <v>21</v>
      </c>
      <c r="I8132" s="2" t="s">
        <v>15745</v>
      </c>
      <c r="J8132" s="3" t="str">
        <f>HYPERLINK("https://www.boe.es/gazeta/dias/1821/05/07/pdfs/GMD-1821-129.pdf#page=2","Abrir facsímil")</f>
        <v>Abrir facsímil</v>
      </c>
      <c r="K8132" s="3" t="s">
        <v>23</v>
      </c>
    </row>
    <row r="8133" spans="1:11" ht="42" customHeight="1">
      <c r="A8133" s="2" t="s">
        <v>15723</v>
      </c>
      <c r="B8133" s="2" t="s">
        <v>15723</v>
      </c>
      <c r="C8133" s="2" t="s">
        <v>40</v>
      </c>
      <c r="D8133" s="2" t="s">
        <v>41</v>
      </c>
      <c r="E8133" s="5">
        <v>-28725</v>
      </c>
      <c r="F8133" s="3" t="s">
        <v>440</v>
      </c>
      <c r="G8133" s="3" t="s">
        <v>20</v>
      </c>
      <c r="H8133" s="2" t="s">
        <v>21</v>
      </c>
      <c r="I8133" s="2" t="s">
        <v>15746</v>
      </c>
      <c r="J8133" s="3" t="str">
        <f>HYPERLINK("https://www.boe.es/gazeta/dias/1821/05/08/pdfs/GMD-1821-130.pdf#page=3","Abrir facsímil")</f>
        <v>Abrir facsímil</v>
      </c>
      <c r="K8133" s="3" t="s">
        <v>23</v>
      </c>
    </row>
    <row r="8134" spans="1:11" ht="42" customHeight="1">
      <c r="A8134" s="2" t="s">
        <v>15723</v>
      </c>
      <c r="B8134" s="2" t="s">
        <v>15723</v>
      </c>
      <c r="C8134" s="2" t="s">
        <v>35</v>
      </c>
      <c r="D8134" s="2" t="s">
        <v>27</v>
      </c>
      <c r="E8134" s="5">
        <v>-28722</v>
      </c>
      <c r="F8134" s="3" t="s">
        <v>623</v>
      </c>
      <c r="G8134" s="3" t="s">
        <v>52</v>
      </c>
      <c r="H8134" s="2" t="s">
        <v>21</v>
      </c>
      <c r="I8134" s="2" t="s">
        <v>15747</v>
      </c>
      <c r="J8134" s="3" t="str">
        <f>HYPERLINK("https://www.boe.es/gazeta/dias/1821/05/11/pdfs/GMD-1821-133.pdf#page=2","Abrir facsímil")</f>
        <v>Abrir facsímil</v>
      </c>
      <c r="K8134" s="3" t="s">
        <v>23</v>
      </c>
    </row>
    <row r="8135" spans="1:11" ht="42" customHeight="1">
      <c r="A8135" s="2" t="s">
        <v>15723</v>
      </c>
      <c r="B8135" s="2" t="s">
        <v>15723</v>
      </c>
      <c r="C8135" s="2" t="s">
        <v>40</v>
      </c>
      <c r="D8135" s="2" t="s">
        <v>41</v>
      </c>
      <c r="E8135" s="5">
        <v>-28720</v>
      </c>
      <c r="F8135" s="3" t="s">
        <v>492</v>
      </c>
      <c r="G8135" s="3" t="s">
        <v>20</v>
      </c>
      <c r="H8135" s="2" t="s">
        <v>21</v>
      </c>
      <c r="I8135" s="2" t="s">
        <v>15748</v>
      </c>
      <c r="J8135" s="3" t="str">
        <f>HYPERLINK("https://www.boe.es/gazeta/dias/1821/05/13/pdfs/GMD-1821-135.pdf#page=3","Abrir facsímil")</f>
        <v>Abrir facsímil</v>
      </c>
      <c r="K8135" s="3" t="s">
        <v>23</v>
      </c>
    </row>
    <row r="8136" spans="1:11" ht="42" customHeight="1">
      <c r="A8136" s="2" t="s">
        <v>15723</v>
      </c>
      <c r="B8136" s="2" t="s">
        <v>15723</v>
      </c>
      <c r="C8136" s="2" t="s">
        <v>70</v>
      </c>
      <c r="D8136" s="2" t="s">
        <v>27</v>
      </c>
      <c r="E8136" s="5">
        <v>-28714</v>
      </c>
      <c r="F8136" s="3" t="s">
        <v>522</v>
      </c>
      <c r="G8136" s="3" t="s">
        <v>20</v>
      </c>
      <c r="H8136" s="2" t="s">
        <v>21</v>
      </c>
      <c r="I8136" s="2" t="s">
        <v>15749</v>
      </c>
      <c r="J8136" s="3" t="str">
        <f>HYPERLINK("https://www.boe.es/gazeta/dias/1821/05/19/pdfs/GMD-1821-141.pdf#page=3","Abrir facsímil")</f>
        <v>Abrir facsímil</v>
      </c>
      <c r="K8136" s="3" t="s">
        <v>23</v>
      </c>
    </row>
    <row r="8137" spans="1:11" ht="42" customHeight="1">
      <c r="A8137" s="2" t="s">
        <v>15723</v>
      </c>
      <c r="B8137" s="2" t="s">
        <v>15723</v>
      </c>
      <c r="C8137" s="2" t="s">
        <v>40</v>
      </c>
      <c r="D8137" s="2" t="s">
        <v>41</v>
      </c>
      <c r="E8137" s="5">
        <v>-28706</v>
      </c>
      <c r="F8137" s="3" t="s">
        <v>4791</v>
      </c>
      <c r="G8137" s="3" t="s">
        <v>52</v>
      </c>
      <c r="H8137" s="2" t="s">
        <v>21</v>
      </c>
      <c r="I8137" s="2" t="s">
        <v>15750</v>
      </c>
      <c r="J8137" s="3" t="str">
        <f>HYPERLINK("https://www.boe.es/gazeta/dias/1821/05/27/pdfs/GMD-1821-149.pdf#page=2","Abrir facsímil")</f>
        <v>Abrir facsímil</v>
      </c>
      <c r="K8137" s="3" t="s">
        <v>23</v>
      </c>
    </row>
    <row r="8138" spans="1:11" ht="42" customHeight="1">
      <c r="A8138" s="2" t="s">
        <v>15723</v>
      </c>
      <c r="B8138" s="2" t="s">
        <v>15723</v>
      </c>
      <c r="C8138" s="2" t="s">
        <v>40</v>
      </c>
      <c r="D8138" s="2" t="s">
        <v>41</v>
      </c>
      <c r="E8138" s="5">
        <v>-28700</v>
      </c>
      <c r="F8138" s="3" t="s">
        <v>701</v>
      </c>
      <c r="G8138" s="3" t="s">
        <v>52</v>
      </c>
      <c r="H8138" s="2" t="s">
        <v>21</v>
      </c>
      <c r="I8138" s="2" t="s">
        <v>15751</v>
      </c>
      <c r="J8138" s="3" t="str">
        <f>HYPERLINK("https://www.boe.es/gazeta/dias/1821/06/02/pdfs/GMD-1821-155.pdf#page=2","Abrir facsímil")</f>
        <v>Abrir facsímil</v>
      </c>
      <c r="K8138" s="3" t="s">
        <v>23</v>
      </c>
    </row>
    <row r="8139" spans="1:11" ht="42" customHeight="1">
      <c r="A8139" s="2" t="s">
        <v>15723</v>
      </c>
      <c r="B8139" s="2" t="s">
        <v>15723</v>
      </c>
      <c r="C8139" s="2" t="s">
        <v>17</v>
      </c>
      <c r="D8139" s="2" t="s">
        <v>18</v>
      </c>
      <c r="E8139" s="5">
        <v>-28698</v>
      </c>
      <c r="F8139" s="3" t="s">
        <v>2067</v>
      </c>
      <c r="G8139" s="3" t="s">
        <v>20</v>
      </c>
      <c r="H8139" s="2" t="s">
        <v>21</v>
      </c>
      <c r="I8139" s="2" t="s">
        <v>15752</v>
      </c>
      <c r="J8139" s="3" t="str">
        <f>HYPERLINK("https://www.boe.es/gazeta/dias/1821/06/04/pdfs/GMD-1821-157.pdf#page=3","Abrir facsímil")</f>
        <v>Abrir facsímil</v>
      </c>
      <c r="K8139" s="3" t="s">
        <v>23</v>
      </c>
    </row>
    <row r="8140" spans="1:11" ht="42" customHeight="1">
      <c r="A8140" s="2" t="s">
        <v>15723</v>
      </c>
      <c r="B8140" s="2" t="s">
        <v>15723</v>
      </c>
      <c r="C8140" s="2" t="s">
        <v>174</v>
      </c>
      <c r="D8140" s="2" t="s">
        <v>27</v>
      </c>
      <c r="E8140" s="5">
        <v>-28696</v>
      </c>
      <c r="F8140" s="3" t="s">
        <v>497</v>
      </c>
      <c r="G8140" s="3" t="s">
        <v>20</v>
      </c>
      <c r="H8140" s="2" t="s">
        <v>21</v>
      </c>
      <c r="I8140" s="2" t="s">
        <v>15753</v>
      </c>
      <c r="J8140" s="3" t="str">
        <f>HYPERLINK("https://www.boe.es/gazeta/dias/1821/06/06/pdfs/GMD-1821-159.pdf#page=3","Abrir facsímil")</f>
        <v>Abrir facsímil</v>
      </c>
      <c r="K8140" s="3" t="s">
        <v>23</v>
      </c>
    </row>
    <row r="8141" spans="1:11" ht="42" customHeight="1">
      <c r="A8141" s="2" t="s">
        <v>15723</v>
      </c>
      <c r="B8141" s="2" t="s">
        <v>15723</v>
      </c>
      <c r="C8141" s="2" t="s">
        <v>40</v>
      </c>
      <c r="D8141" s="2" t="s">
        <v>41</v>
      </c>
      <c r="E8141" s="5">
        <v>-28694</v>
      </c>
      <c r="F8141" s="3" t="s">
        <v>1057</v>
      </c>
      <c r="G8141" s="3" t="s">
        <v>20</v>
      </c>
      <c r="H8141" s="2" t="s">
        <v>21</v>
      </c>
      <c r="I8141" s="2" t="s">
        <v>15754</v>
      </c>
      <c r="J8141" s="3" t="str">
        <f>HYPERLINK("https://www.boe.es/gazeta/dias/1821/06/08/pdfs/GMD-1821-161.pdf#page=3","Abrir facsímil")</f>
        <v>Abrir facsímil</v>
      </c>
      <c r="K8141" s="3" t="s">
        <v>23</v>
      </c>
    </row>
    <row r="8142" spans="1:11" ht="42" customHeight="1">
      <c r="A8142" s="2" t="s">
        <v>15723</v>
      </c>
      <c r="B8142" s="2" t="s">
        <v>15723</v>
      </c>
      <c r="C8142" s="2" t="s">
        <v>40</v>
      </c>
      <c r="D8142" s="2" t="s">
        <v>41</v>
      </c>
      <c r="E8142" s="5">
        <v>-28692</v>
      </c>
      <c r="F8142" s="3" t="s">
        <v>3807</v>
      </c>
      <c r="G8142" s="3" t="s">
        <v>88</v>
      </c>
      <c r="H8142" s="2" t="s">
        <v>21</v>
      </c>
      <c r="I8142" s="2" t="s">
        <v>15755</v>
      </c>
      <c r="J8142" s="3" t="str">
        <f>HYPERLINK("https://www.boe.es/gazeta/dias/1821/06/10/pdfs/GMD-1821-163.pdf#page=4","Abrir facsímil")</f>
        <v>Abrir facsímil</v>
      </c>
      <c r="K8142" s="3" t="s">
        <v>23</v>
      </c>
    </row>
    <row r="8143" spans="1:11" ht="42" customHeight="1">
      <c r="A8143" s="2" t="s">
        <v>15723</v>
      </c>
      <c r="B8143" s="2" t="s">
        <v>15723</v>
      </c>
      <c r="C8143" s="2" t="s">
        <v>35</v>
      </c>
      <c r="D8143" s="2" t="s">
        <v>27</v>
      </c>
      <c r="E8143" s="5">
        <v>-28684</v>
      </c>
      <c r="F8143" s="3" t="s">
        <v>208</v>
      </c>
      <c r="G8143" s="3" t="s">
        <v>52</v>
      </c>
      <c r="H8143" s="2" t="s">
        <v>21</v>
      </c>
      <c r="I8143" s="2" t="s">
        <v>15756</v>
      </c>
      <c r="J8143" s="3" t="str">
        <f>HYPERLINK("https://www.boe.es/gazeta/dias/1821/06/18/pdfs/GMD-1821-171.pdf#page=2","Abrir facsímil")</f>
        <v>Abrir facsímil</v>
      </c>
      <c r="K8143" s="3" t="s">
        <v>23</v>
      </c>
    </row>
    <row r="8144" spans="1:11" ht="42" customHeight="1">
      <c r="A8144" s="2" t="s">
        <v>15723</v>
      </c>
      <c r="B8144" s="2" t="s">
        <v>15723</v>
      </c>
      <c r="C8144" s="2" t="s">
        <v>40</v>
      </c>
      <c r="D8144" s="2" t="s">
        <v>41</v>
      </c>
      <c r="E8144" s="5">
        <v>-28684</v>
      </c>
      <c r="F8144" s="3" t="s">
        <v>208</v>
      </c>
      <c r="G8144" s="3" t="s">
        <v>88</v>
      </c>
      <c r="H8144" s="2" t="s">
        <v>21</v>
      </c>
      <c r="I8144" s="2" t="s">
        <v>15757</v>
      </c>
      <c r="J8144" s="3" t="str">
        <f>HYPERLINK("https://www.boe.es/gazeta/dias/1821/06/18/pdfs/GMD-1821-171.pdf#page=4","Abrir facsímil")</f>
        <v>Abrir facsímil</v>
      </c>
      <c r="K8144" s="3" t="s">
        <v>23</v>
      </c>
    </row>
    <row r="8145" spans="1:11" ht="42" customHeight="1">
      <c r="A8145" s="2" t="s">
        <v>15723</v>
      </c>
      <c r="B8145" s="2" t="s">
        <v>15723</v>
      </c>
      <c r="C8145" s="2" t="s">
        <v>174</v>
      </c>
      <c r="D8145" s="2" t="s">
        <v>27</v>
      </c>
      <c r="E8145" s="5">
        <v>-28681</v>
      </c>
      <c r="F8145" s="3" t="s">
        <v>210</v>
      </c>
      <c r="G8145" s="3" t="s">
        <v>88</v>
      </c>
      <c r="H8145" s="2" t="s">
        <v>21</v>
      </c>
      <c r="I8145" s="2" t="s">
        <v>15758</v>
      </c>
      <c r="J8145" s="3" t="str">
        <f>HYPERLINK("https://www.boe.es/gazeta/dias/1821/06/21/pdfs/GMD-1821-174.pdf#page=4","Abrir facsímil")</f>
        <v>Abrir facsímil</v>
      </c>
      <c r="K8145" s="3" t="s">
        <v>23</v>
      </c>
    </row>
    <row r="8146" spans="1:11" ht="42" customHeight="1">
      <c r="A8146" s="2" t="s">
        <v>15723</v>
      </c>
      <c r="B8146" s="2" t="s">
        <v>15723</v>
      </c>
      <c r="C8146" s="2" t="s">
        <v>40</v>
      </c>
      <c r="D8146" s="2" t="s">
        <v>41</v>
      </c>
      <c r="E8146" s="5">
        <v>-28680</v>
      </c>
      <c r="F8146" s="3" t="s">
        <v>531</v>
      </c>
      <c r="G8146" s="3" t="s">
        <v>20</v>
      </c>
      <c r="H8146" s="2" t="s">
        <v>21</v>
      </c>
      <c r="I8146" s="2" t="s">
        <v>15759</v>
      </c>
      <c r="J8146" s="3" t="str">
        <f>HYPERLINK("https://www.boe.es/gazeta/dias/1821/06/22/pdfs/GMD-1821-175.pdf#page=3","Abrir facsímil")</f>
        <v>Abrir facsímil</v>
      </c>
      <c r="K8146" s="3" t="s">
        <v>23</v>
      </c>
    </row>
    <row r="8147" spans="1:11" ht="42" customHeight="1">
      <c r="A8147" s="2" t="s">
        <v>15723</v>
      </c>
      <c r="B8147" s="2" t="s">
        <v>15723</v>
      </c>
      <c r="C8147" s="2" t="s">
        <v>35</v>
      </c>
      <c r="D8147" s="2" t="s">
        <v>27</v>
      </c>
      <c r="E8147" s="5">
        <v>-28677</v>
      </c>
      <c r="F8147" s="3" t="s">
        <v>361</v>
      </c>
      <c r="G8147" s="3" t="s">
        <v>88</v>
      </c>
      <c r="H8147" s="2" t="s">
        <v>21</v>
      </c>
      <c r="I8147" s="2" t="s">
        <v>15760</v>
      </c>
      <c r="J8147" s="3" t="str">
        <f>HYPERLINK("https://www.boe.es/gazeta/dias/1821/06/25/pdfs/GMD-1821-178.pdf#page=4","Abrir facsímil")</f>
        <v>Abrir facsímil</v>
      </c>
      <c r="K8147" s="3" t="s">
        <v>23</v>
      </c>
    </row>
    <row r="8148" spans="1:11" ht="42" customHeight="1">
      <c r="A8148" s="2" t="s">
        <v>15723</v>
      </c>
      <c r="B8148" s="2" t="s">
        <v>15723</v>
      </c>
      <c r="C8148" s="2" t="s">
        <v>40</v>
      </c>
      <c r="D8148" s="2" t="s">
        <v>41</v>
      </c>
      <c r="E8148" s="5">
        <v>-28576</v>
      </c>
      <c r="F8148" s="3" t="s">
        <v>1924</v>
      </c>
      <c r="G8148" s="3" t="s">
        <v>52</v>
      </c>
      <c r="H8148" s="2" t="s">
        <v>21</v>
      </c>
      <c r="I8148" s="2" t="s">
        <v>15761</v>
      </c>
      <c r="J8148" s="3" t="str">
        <f>HYPERLINK("https://www.boe.es/gazeta/dias/1821/10/04/pdfs/GMD-1821-283.pdf#page=2","Abrir facsímil")</f>
        <v>Abrir facsímil</v>
      </c>
      <c r="K8148" s="3" t="s">
        <v>23</v>
      </c>
    </row>
    <row r="8149" spans="1:11" ht="42" customHeight="1">
      <c r="A8149" s="2" t="s">
        <v>15723</v>
      </c>
      <c r="B8149" s="2" t="s">
        <v>15723</v>
      </c>
      <c r="C8149" s="2" t="s">
        <v>26</v>
      </c>
      <c r="D8149" s="2" t="s">
        <v>27</v>
      </c>
      <c r="E8149" s="5">
        <v>-28576</v>
      </c>
      <c r="F8149" s="3" t="s">
        <v>1924</v>
      </c>
      <c r="G8149" s="3" t="s">
        <v>20</v>
      </c>
      <c r="H8149" s="2" t="s">
        <v>21</v>
      </c>
      <c r="I8149" s="2" t="s">
        <v>15762</v>
      </c>
      <c r="J8149" s="3" t="str">
        <f>HYPERLINK("https://www.boe.es/gazeta/dias/1821/10/04/pdfs/GMD-1821-283.pdf#page=3","Abrir facsímil")</f>
        <v>Abrir facsímil</v>
      </c>
      <c r="K8149" s="3" t="s">
        <v>23</v>
      </c>
    </row>
    <row r="8150" spans="1:11" ht="42" customHeight="1">
      <c r="A8150" s="2" t="s">
        <v>15723</v>
      </c>
      <c r="B8150" s="2" t="s">
        <v>15723</v>
      </c>
      <c r="C8150" s="2" t="s">
        <v>40</v>
      </c>
      <c r="D8150" s="2" t="s">
        <v>41</v>
      </c>
      <c r="E8150" s="5">
        <v>-28576</v>
      </c>
      <c r="F8150" s="3" t="s">
        <v>1924</v>
      </c>
      <c r="G8150" s="3" t="s">
        <v>88</v>
      </c>
      <c r="H8150" s="2" t="s">
        <v>21</v>
      </c>
      <c r="I8150" s="2" t="s">
        <v>15763</v>
      </c>
      <c r="J8150" s="3" t="str">
        <f>HYPERLINK("https://www.boe.es/gazeta/dias/1821/10/04/pdfs/GMD-1821-283.pdf#page=4","Abrir facsímil")</f>
        <v>Abrir facsímil</v>
      </c>
      <c r="K8150" s="3" t="s">
        <v>23</v>
      </c>
    </row>
    <row r="8151" spans="1:11" ht="42" customHeight="1">
      <c r="A8151" s="2" t="s">
        <v>15723</v>
      </c>
      <c r="B8151" s="2" t="s">
        <v>15723</v>
      </c>
      <c r="C8151" s="2" t="s">
        <v>17</v>
      </c>
      <c r="D8151" s="2" t="s">
        <v>18</v>
      </c>
      <c r="E8151" s="5">
        <v>-28574</v>
      </c>
      <c r="F8151" s="3" t="s">
        <v>779</v>
      </c>
      <c r="G8151" s="3" t="s">
        <v>609</v>
      </c>
      <c r="H8151" s="2" t="s">
        <v>21</v>
      </c>
      <c r="I8151" s="2" t="s">
        <v>15764</v>
      </c>
      <c r="J8151" s="3" t="str">
        <f>HYPERLINK("https://www.boe.es/gazeta/dias/1821/10/06/pdfs/GMD-1821-285.pdf#page=7","Abrir facsímil")</f>
        <v>Abrir facsímil</v>
      </c>
      <c r="K8151" s="3" t="s">
        <v>23</v>
      </c>
    </row>
    <row r="8152" spans="1:11" ht="42" customHeight="1">
      <c r="A8152" s="2" t="s">
        <v>15723</v>
      </c>
      <c r="B8152" s="2" t="s">
        <v>15723</v>
      </c>
      <c r="C8152" s="2" t="s">
        <v>35</v>
      </c>
      <c r="D8152" s="2" t="s">
        <v>27</v>
      </c>
      <c r="E8152" s="5">
        <v>-28573</v>
      </c>
      <c r="F8152" s="3" t="s">
        <v>19</v>
      </c>
      <c r="G8152" s="3" t="s">
        <v>52</v>
      </c>
      <c r="H8152" s="2" t="s">
        <v>21</v>
      </c>
      <c r="I8152" s="2" t="s">
        <v>15765</v>
      </c>
      <c r="J8152" s="3" t="str">
        <f>HYPERLINK("https://www.boe.es/gazeta/dias/1821/10/07/pdfs/GMD-1821-286.pdf#page=2","Abrir facsímil")</f>
        <v>Abrir facsímil</v>
      </c>
      <c r="K8152" s="3" t="s">
        <v>23</v>
      </c>
    </row>
    <row r="8153" spans="1:11" ht="42" customHeight="1">
      <c r="A8153" s="2" t="s">
        <v>15723</v>
      </c>
      <c r="B8153" s="2" t="s">
        <v>15723</v>
      </c>
      <c r="C8153" s="2" t="s">
        <v>17</v>
      </c>
      <c r="D8153" s="2" t="s">
        <v>18</v>
      </c>
      <c r="E8153" s="5">
        <v>-28568</v>
      </c>
      <c r="F8153" s="3" t="s">
        <v>539</v>
      </c>
      <c r="G8153" s="3" t="s">
        <v>29</v>
      </c>
      <c r="H8153" s="2" t="s">
        <v>21</v>
      </c>
      <c r="I8153" s="2" t="s">
        <v>15766</v>
      </c>
      <c r="J8153" s="3" t="str">
        <f>HYPERLINK("https://www.boe.es/gazeta/dias/1821/10/12/pdfs/GMD-1821-291.pdf#page=6","Abrir facsímil")</f>
        <v>Abrir facsímil</v>
      </c>
      <c r="K8153" s="3" t="s">
        <v>23</v>
      </c>
    </row>
    <row r="8154" spans="1:11" ht="42" customHeight="1">
      <c r="A8154" s="2" t="s">
        <v>15723</v>
      </c>
      <c r="B8154" s="2" t="s">
        <v>15723</v>
      </c>
      <c r="C8154" s="2" t="s">
        <v>17</v>
      </c>
      <c r="D8154" s="2" t="s">
        <v>18</v>
      </c>
      <c r="E8154" s="5">
        <v>-28553</v>
      </c>
      <c r="F8154" s="3" t="s">
        <v>182</v>
      </c>
      <c r="G8154" s="3" t="s">
        <v>20</v>
      </c>
      <c r="H8154" s="2" t="s">
        <v>21</v>
      </c>
      <c r="I8154" s="2" t="s">
        <v>15767</v>
      </c>
      <c r="J8154" s="3" t="str">
        <f>HYPERLINK("https://www.boe.es/gazeta/dias/1821/10/27/pdfs/GMD-1821-306.pdf#page=3","Abrir facsímil")</f>
        <v>Abrir facsímil</v>
      </c>
      <c r="K8154" s="3" t="s">
        <v>23</v>
      </c>
    </row>
    <row r="8155" spans="1:11" ht="42" customHeight="1">
      <c r="A8155" s="2" t="s">
        <v>15723</v>
      </c>
      <c r="B8155" s="2" t="s">
        <v>15723</v>
      </c>
      <c r="C8155" s="2" t="s">
        <v>40</v>
      </c>
      <c r="D8155" s="2" t="s">
        <v>41</v>
      </c>
      <c r="E8155" s="5">
        <v>-28547</v>
      </c>
      <c r="F8155" s="3" t="s">
        <v>247</v>
      </c>
      <c r="G8155" s="3" t="s">
        <v>88</v>
      </c>
      <c r="H8155" s="2" t="s">
        <v>21</v>
      </c>
      <c r="I8155" s="2" t="s">
        <v>15768</v>
      </c>
      <c r="J8155" s="3" t="str">
        <f>HYPERLINK("https://www.boe.es/gazeta/dias/1821/11/02/pdfs/GMD-1821-312.pdf#page=4","Abrir facsímil")</f>
        <v>Abrir facsímil</v>
      </c>
      <c r="K8155" s="3" t="s">
        <v>23</v>
      </c>
    </row>
    <row r="8156" spans="1:11" ht="42" customHeight="1">
      <c r="A8156" s="2" t="s">
        <v>15723</v>
      </c>
      <c r="B8156" s="2" t="s">
        <v>15723</v>
      </c>
      <c r="C8156" s="2" t="s">
        <v>174</v>
      </c>
      <c r="D8156" s="2" t="s">
        <v>27</v>
      </c>
      <c r="E8156" s="5">
        <v>-28547</v>
      </c>
      <c r="F8156" s="3" t="s">
        <v>247</v>
      </c>
      <c r="G8156" s="3" t="s">
        <v>162</v>
      </c>
      <c r="H8156" s="2" t="s">
        <v>21</v>
      </c>
      <c r="I8156" s="2" t="s">
        <v>15769</v>
      </c>
      <c r="J8156" s="3" t="str">
        <f>HYPERLINK("https://www.boe.es/gazeta/dias/1821/11/02/pdfs/GMD-1821-312.pdf#page=5","Abrir facsímil")</f>
        <v>Abrir facsímil</v>
      </c>
      <c r="K8156" s="3" t="s">
        <v>23</v>
      </c>
    </row>
    <row r="8157" spans="1:11" ht="42" customHeight="1">
      <c r="A8157" s="2" t="s">
        <v>15723</v>
      </c>
      <c r="B8157" s="2" t="s">
        <v>15723</v>
      </c>
      <c r="C8157" s="2" t="s">
        <v>40</v>
      </c>
      <c r="D8157" s="2" t="s">
        <v>41</v>
      </c>
      <c r="E8157" s="5">
        <v>-28545</v>
      </c>
      <c r="F8157" s="3" t="s">
        <v>284</v>
      </c>
      <c r="G8157" s="3" t="s">
        <v>162</v>
      </c>
      <c r="H8157" s="2" t="s">
        <v>21</v>
      </c>
      <c r="I8157" s="2" t="s">
        <v>15770</v>
      </c>
      <c r="J8157" s="3" t="str">
        <f>HYPERLINK("https://www.boe.es/gazeta/dias/1821/11/04/pdfs/GMD-1821-315.pdf#page=5","Abrir facsímil")</f>
        <v>Abrir facsímil</v>
      </c>
      <c r="K8157" s="3" t="s">
        <v>23</v>
      </c>
    </row>
    <row r="8158" spans="1:11" ht="42" customHeight="1">
      <c r="A8158" s="2" t="s">
        <v>15723</v>
      </c>
      <c r="B8158" s="2" t="s">
        <v>15723</v>
      </c>
      <c r="C8158" s="2" t="s">
        <v>26</v>
      </c>
      <c r="D8158" s="2" t="s">
        <v>27</v>
      </c>
      <c r="E8158" s="5">
        <v>-28543</v>
      </c>
      <c r="F8158" s="3" t="s">
        <v>136</v>
      </c>
      <c r="G8158" s="3" t="s">
        <v>162</v>
      </c>
      <c r="H8158" s="2" t="s">
        <v>21</v>
      </c>
      <c r="I8158" s="2" t="s">
        <v>15771</v>
      </c>
      <c r="J8158" s="3" t="str">
        <f>HYPERLINK("https://www.boe.es/gazeta/dias/1821/11/06/pdfs/GMD-1821-317.pdf#page=5","Abrir facsímil")</f>
        <v>Abrir facsímil</v>
      </c>
      <c r="K8158" s="3" t="s">
        <v>23</v>
      </c>
    </row>
    <row r="8159" spans="1:11" ht="42" customHeight="1">
      <c r="A8159" s="2" t="s">
        <v>15723</v>
      </c>
      <c r="B8159" s="2" t="s">
        <v>15723</v>
      </c>
      <c r="C8159" s="2" t="s">
        <v>26</v>
      </c>
      <c r="D8159" s="2" t="s">
        <v>27</v>
      </c>
      <c r="E8159" s="5">
        <v>-28543</v>
      </c>
      <c r="F8159" s="3" t="s">
        <v>136</v>
      </c>
      <c r="G8159" s="3" t="s">
        <v>29</v>
      </c>
      <c r="H8159" s="2" t="s">
        <v>21</v>
      </c>
      <c r="I8159" s="2" t="s">
        <v>15772</v>
      </c>
      <c r="J8159" s="3" t="str">
        <f>HYPERLINK("https://www.boe.es/gazeta/dias/1821/11/06/pdfs/GMD-1821-317.pdf#page=6","Abrir facsímil")</f>
        <v>Abrir facsímil</v>
      </c>
      <c r="K8159" s="3" t="s">
        <v>23</v>
      </c>
    </row>
    <row r="8160" spans="1:11" ht="42" customHeight="1">
      <c r="A8160" s="2" t="s">
        <v>15723</v>
      </c>
      <c r="B8160" s="2" t="s">
        <v>15723</v>
      </c>
      <c r="C8160" s="2" t="s">
        <v>26</v>
      </c>
      <c r="D8160" s="2" t="s">
        <v>27</v>
      </c>
      <c r="E8160" s="5">
        <v>-28543</v>
      </c>
      <c r="F8160" s="3" t="s">
        <v>136</v>
      </c>
      <c r="G8160" s="3" t="s">
        <v>609</v>
      </c>
      <c r="H8160" s="2" t="s">
        <v>21</v>
      </c>
      <c r="I8160" s="2" t="s">
        <v>15773</v>
      </c>
      <c r="J8160" s="3" t="str">
        <f>HYPERLINK("https://www.boe.es/gazeta/dias/1821/11/06/pdfs/GMD-1821-317.pdf#page=7","Abrir facsímil")</f>
        <v>Abrir facsímil</v>
      </c>
      <c r="K8160" s="3" t="s">
        <v>23</v>
      </c>
    </row>
    <row r="8161" spans="1:11" ht="42" customHeight="1">
      <c r="A8161" s="2" t="s">
        <v>15723</v>
      </c>
      <c r="B8161" s="2" t="s">
        <v>15723</v>
      </c>
      <c r="C8161" s="2" t="s">
        <v>40</v>
      </c>
      <c r="D8161" s="2" t="s">
        <v>41</v>
      </c>
      <c r="E8161" s="5">
        <v>-28541</v>
      </c>
      <c r="F8161" s="3" t="s">
        <v>275</v>
      </c>
      <c r="G8161" s="3" t="s">
        <v>88</v>
      </c>
      <c r="H8161" s="2" t="s">
        <v>21</v>
      </c>
      <c r="I8161" s="2" t="s">
        <v>15774</v>
      </c>
      <c r="J8161" s="3" t="str">
        <f>HYPERLINK("https://www.boe.es/gazeta/dias/1821/11/08/pdfs/GMD-1821-319.pdf#page=4","Abrir facsímil")</f>
        <v>Abrir facsímil</v>
      </c>
      <c r="K8161" s="3" t="s">
        <v>23</v>
      </c>
    </row>
    <row r="8162" spans="1:11" ht="42" customHeight="1">
      <c r="A8162" s="2" t="s">
        <v>15723</v>
      </c>
      <c r="B8162" s="2" t="s">
        <v>15723</v>
      </c>
      <c r="C8162" s="2" t="s">
        <v>17</v>
      </c>
      <c r="D8162" s="2" t="s">
        <v>18</v>
      </c>
      <c r="E8162" s="5">
        <v>-28536</v>
      </c>
      <c r="F8162" s="3" t="s">
        <v>553</v>
      </c>
      <c r="G8162" s="3" t="s">
        <v>29</v>
      </c>
      <c r="H8162" s="2" t="s">
        <v>21</v>
      </c>
      <c r="I8162" s="2" t="s">
        <v>15775</v>
      </c>
      <c r="J8162" s="3" t="str">
        <f>HYPERLINK("https://www.boe.es/gazeta/dias/1821/11/13/pdfs/GMD-1821-324.pdf#page=6","Abrir facsímil")</f>
        <v>Abrir facsímil</v>
      </c>
      <c r="K8162" s="3" t="s">
        <v>23</v>
      </c>
    </row>
    <row r="8163" spans="1:11" ht="42" customHeight="1">
      <c r="A8163" s="2" t="s">
        <v>15723</v>
      </c>
      <c r="B8163" s="2" t="s">
        <v>15723</v>
      </c>
      <c r="C8163" s="2" t="s">
        <v>35</v>
      </c>
      <c r="D8163" s="2" t="s">
        <v>27</v>
      </c>
      <c r="E8163" s="5">
        <v>-28522</v>
      </c>
      <c r="F8163" s="3" t="s">
        <v>1083</v>
      </c>
      <c r="G8163" s="3" t="s">
        <v>162</v>
      </c>
      <c r="H8163" s="2" t="s">
        <v>21</v>
      </c>
      <c r="I8163" s="2" t="s">
        <v>15776</v>
      </c>
      <c r="J8163" s="3" t="str">
        <f>HYPERLINK("https://www.boe.es/gazeta/dias/1821/11/27/pdfs/GMD-1821-339.pdf#page=5","Abrir facsímil")</f>
        <v>Abrir facsímil</v>
      </c>
      <c r="K8163" s="3" t="s">
        <v>23</v>
      </c>
    </row>
    <row r="8164" spans="1:11" ht="42" customHeight="1">
      <c r="A8164" s="2" t="s">
        <v>15723</v>
      </c>
      <c r="B8164" s="2" t="s">
        <v>15723</v>
      </c>
      <c r="C8164" s="2" t="s">
        <v>26</v>
      </c>
      <c r="D8164" s="2" t="s">
        <v>27</v>
      </c>
      <c r="E8164" s="5">
        <v>-28518</v>
      </c>
      <c r="F8164" s="3" t="s">
        <v>410</v>
      </c>
      <c r="G8164" s="3" t="s">
        <v>88</v>
      </c>
      <c r="H8164" s="2" t="s">
        <v>21</v>
      </c>
      <c r="I8164" s="2" t="s">
        <v>15777</v>
      </c>
      <c r="J8164" s="3" t="str">
        <f>HYPERLINK("https://www.boe.es/gazeta/dias/1821/12/01/pdfs/GMD-1821-343.pdf#page=4","Abrir facsímil")</f>
        <v>Abrir facsímil</v>
      </c>
      <c r="K8164" s="3" t="s">
        <v>23</v>
      </c>
    </row>
    <row r="8165" spans="1:11" ht="42" customHeight="1">
      <c r="A8165" s="2" t="s">
        <v>15723</v>
      </c>
      <c r="B8165" s="2" t="s">
        <v>15723</v>
      </c>
      <c r="C8165" s="2" t="s">
        <v>35</v>
      </c>
      <c r="D8165" s="2" t="s">
        <v>27</v>
      </c>
      <c r="E8165" s="5">
        <v>-28517</v>
      </c>
      <c r="F8165" s="3" t="s">
        <v>563</v>
      </c>
      <c r="G8165" s="3" t="s">
        <v>20</v>
      </c>
      <c r="H8165" s="2" t="s">
        <v>21</v>
      </c>
      <c r="I8165" s="2" t="s">
        <v>15778</v>
      </c>
      <c r="J8165" s="3" t="str">
        <f>HYPERLINK("https://www.boe.es/gazeta/dias/1821/12/02/pdfs/GMD-1821-344.pdf#page=3","Abrir facsímil")</f>
        <v>Abrir facsímil</v>
      </c>
      <c r="K8165" s="3" t="s">
        <v>23</v>
      </c>
    </row>
    <row r="8166" spans="1:11" ht="42" customHeight="1">
      <c r="A8166" s="2" t="s">
        <v>15723</v>
      </c>
      <c r="B8166" s="2" t="s">
        <v>15723</v>
      </c>
      <c r="C8166" s="2" t="s">
        <v>26</v>
      </c>
      <c r="D8166" s="2" t="s">
        <v>27</v>
      </c>
      <c r="E8166" s="5">
        <v>-28509</v>
      </c>
      <c r="F8166" s="3" t="s">
        <v>388</v>
      </c>
      <c r="G8166" s="3" t="s">
        <v>609</v>
      </c>
      <c r="H8166" s="2" t="s">
        <v>21</v>
      </c>
      <c r="I8166" s="2" t="s">
        <v>15779</v>
      </c>
      <c r="J8166" s="3" t="str">
        <f>HYPERLINK("https://www.boe.es/gazeta/dias/1821/12/10/pdfs/GMD-1821-352.pdf#page=7","Abrir facsímil")</f>
        <v>Abrir facsímil</v>
      </c>
      <c r="K8166" s="3" t="s">
        <v>23</v>
      </c>
    </row>
    <row r="8167" spans="1:11" ht="42" customHeight="1">
      <c r="A8167" s="2" t="s">
        <v>15723</v>
      </c>
      <c r="B8167" s="2" t="s">
        <v>15723</v>
      </c>
      <c r="C8167" s="2" t="s">
        <v>17</v>
      </c>
      <c r="D8167" s="2" t="s">
        <v>18</v>
      </c>
      <c r="E8167" s="5">
        <v>-28504</v>
      </c>
      <c r="F8167" s="3" t="s">
        <v>1098</v>
      </c>
      <c r="G8167" s="3" t="s">
        <v>20</v>
      </c>
      <c r="H8167" s="2" t="s">
        <v>21</v>
      </c>
      <c r="I8167" s="2" t="s">
        <v>15780</v>
      </c>
      <c r="J8167" s="3" t="str">
        <f>HYPERLINK("https://www.boe.es/gazeta/dias/1821/12/15/pdfs/GMD-1821-358.pdf#page=3","Abrir facsímil")</f>
        <v>Abrir facsímil</v>
      </c>
      <c r="K8167" s="3" t="s">
        <v>23</v>
      </c>
    </row>
    <row r="8168" spans="1:11" ht="42" customHeight="1">
      <c r="A8168" s="2" t="s">
        <v>15723</v>
      </c>
      <c r="B8168" s="2" t="s">
        <v>15723</v>
      </c>
      <c r="C8168" s="2" t="s">
        <v>17</v>
      </c>
      <c r="D8168" s="2" t="s">
        <v>18</v>
      </c>
      <c r="E8168" s="5">
        <v>-28503</v>
      </c>
      <c r="F8168" s="3" t="s">
        <v>947</v>
      </c>
      <c r="G8168" s="3" t="s">
        <v>88</v>
      </c>
      <c r="H8168" s="2" t="s">
        <v>21</v>
      </c>
      <c r="I8168" s="2" t="s">
        <v>15781</v>
      </c>
      <c r="J8168" s="3" t="str">
        <f>HYPERLINK("https://www.boe.es/gazeta/dias/1821/12/16/pdfs/GMD-1821-359.pdf#page=4","Abrir facsímil")</f>
        <v>Abrir facsímil</v>
      </c>
      <c r="K8168" s="3" t="s">
        <v>23</v>
      </c>
    </row>
    <row r="8169" spans="1:11" ht="42" customHeight="1">
      <c r="A8169" s="2" t="s">
        <v>15723</v>
      </c>
      <c r="B8169" s="2" t="s">
        <v>15723</v>
      </c>
      <c r="C8169" s="2" t="s">
        <v>35</v>
      </c>
      <c r="D8169" s="2" t="s">
        <v>27</v>
      </c>
      <c r="E8169" s="5">
        <v>-28496</v>
      </c>
      <c r="F8169" s="3" t="s">
        <v>785</v>
      </c>
      <c r="G8169" s="3" t="s">
        <v>88</v>
      </c>
      <c r="H8169" s="2" t="s">
        <v>21</v>
      </c>
      <c r="I8169" s="2" t="s">
        <v>15782</v>
      </c>
      <c r="J8169" s="3" t="str">
        <f>HYPERLINK("https://www.boe.es/gazeta/dias/1821/12/23/pdfs/GMD-1821-366.pdf#page=4","Abrir facsímil")</f>
        <v>Abrir facsímil</v>
      </c>
      <c r="K8169" s="3" t="s">
        <v>23</v>
      </c>
    </row>
    <row r="8170" spans="1:11" ht="42" customHeight="1">
      <c r="A8170" s="2" t="s">
        <v>15783</v>
      </c>
      <c r="B8170" s="2" t="s">
        <v>15783</v>
      </c>
      <c r="C8170" s="2" t="s">
        <v>40</v>
      </c>
      <c r="D8170" s="2" t="s">
        <v>41</v>
      </c>
      <c r="E8170" s="5">
        <v>-28496</v>
      </c>
      <c r="F8170" s="3" t="s">
        <v>785</v>
      </c>
      <c r="G8170" s="3" t="s">
        <v>20</v>
      </c>
      <c r="H8170" s="2" t="s">
        <v>21</v>
      </c>
      <c r="I8170" s="2" t="s">
        <v>15784</v>
      </c>
      <c r="J8170" s="3" t="str">
        <f>HYPERLINK("https://www.boe.es/gazeta/dias/1821/12/23/pdfs/GMD-1821-366.pdf#page=3","Abrir facsímil")</f>
        <v>Abrir facsímil</v>
      </c>
      <c r="K8170" s="3" t="s">
        <v>23</v>
      </c>
    </row>
    <row r="8171" spans="1:11" ht="42" customHeight="1">
      <c r="A8171" s="2" t="s">
        <v>15785</v>
      </c>
      <c r="B8171" s="2" t="s">
        <v>15786</v>
      </c>
      <c r="C8171" s="2" t="s">
        <v>114</v>
      </c>
      <c r="D8171" s="2" t="s">
        <v>27</v>
      </c>
      <c r="E8171" s="5">
        <v>-28653</v>
      </c>
      <c r="F8171" s="3" t="s">
        <v>1179</v>
      </c>
      <c r="G8171" s="3" t="s">
        <v>29</v>
      </c>
      <c r="H8171" s="2" t="s">
        <v>21</v>
      </c>
      <c r="I8171" s="2" t="s">
        <v>15787</v>
      </c>
      <c r="J8171" s="3" t="str">
        <f>HYPERLINK("https://www.boe.es/gazeta/dias/1821/07/19/pdfs/GMD-1821-204.pdf#page=6","Abrir facsímil")</f>
        <v>Abrir facsímil</v>
      </c>
      <c r="K8171" s="3" t="s">
        <v>23</v>
      </c>
    </row>
    <row r="8172" spans="1:11" ht="42" customHeight="1">
      <c r="A8172" s="2" t="s">
        <v>15788</v>
      </c>
      <c r="B8172" s="2" t="s">
        <v>15789</v>
      </c>
      <c r="C8172" s="2" t="s">
        <v>40</v>
      </c>
      <c r="D8172" s="2" t="s">
        <v>41</v>
      </c>
      <c r="E8172" s="5">
        <v>-28839</v>
      </c>
      <c r="F8172" s="3" t="s">
        <v>1686</v>
      </c>
      <c r="G8172" s="3" t="s">
        <v>20</v>
      </c>
      <c r="H8172" s="2" t="s">
        <v>21</v>
      </c>
      <c r="I8172" s="2" t="s">
        <v>15790</v>
      </c>
      <c r="J8172" s="3" t="str">
        <f>HYPERLINK("https://www.boe.es/gazeta/dias/1821/01/14/pdfs/GGB-1821-14.pdf#page=3","Abrir facsímil")</f>
        <v>Abrir facsímil</v>
      </c>
      <c r="K8172" s="3" t="s">
        <v>23</v>
      </c>
    </row>
    <row r="8173" spans="1:11" ht="42" customHeight="1">
      <c r="A8173" s="2" t="s">
        <v>15791</v>
      </c>
      <c r="B8173" s="2" t="s">
        <v>15791</v>
      </c>
      <c r="C8173" s="2" t="s">
        <v>35</v>
      </c>
      <c r="D8173" s="2" t="s">
        <v>27</v>
      </c>
      <c r="E8173" s="5">
        <v>-28793</v>
      </c>
      <c r="F8173" s="3" t="s">
        <v>157</v>
      </c>
      <c r="G8173" s="3" t="s">
        <v>52</v>
      </c>
      <c r="H8173" s="2" t="s">
        <v>21</v>
      </c>
      <c r="I8173" s="2" t="s">
        <v>15792</v>
      </c>
      <c r="J8173" s="3" t="str">
        <f>HYPERLINK("https://www.boe.es/gazeta/dias/1821/03/01/pdfs/GGB-1821-60.pdf#page=2","Abrir facsímil")</f>
        <v>Abrir facsímil</v>
      </c>
      <c r="K8173" s="3" t="s">
        <v>23</v>
      </c>
    </row>
    <row r="8174" spans="1:11" ht="42" customHeight="1">
      <c r="A8174" s="2" t="s">
        <v>15793</v>
      </c>
      <c r="B8174" s="2" t="s">
        <v>15794</v>
      </c>
      <c r="C8174" s="2" t="s">
        <v>114</v>
      </c>
      <c r="D8174" s="2" t="s">
        <v>27</v>
      </c>
      <c r="E8174" s="5">
        <v>-28797</v>
      </c>
      <c r="F8174" s="3" t="s">
        <v>2281</v>
      </c>
      <c r="G8174" s="3" t="s">
        <v>52</v>
      </c>
      <c r="H8174" s="2" t="s">
        <v>21</v>
      </c>
      <c r="I8174" s="2" t="s">
        <v>15795</v>
      </c>
      <c r="J8174" s="3" t="str">
        <f>HYPERLINK("https://www.boe.es/gazeta/dias/1821/02/25/pdfs/GGB-1821-56.pdf#page=2","Abrir facsímil")</f>
        <v>Abrir facsímil</v>
      </c>
      <c r="K8174" s="3" t="s">
        <v>23</v>
      </c>
    </row>
    <row r="8175" spans="1:11" ht="42" customHeight="1">
      <c r="A8175" s="2" t="s">
        <v>15796</v>
      </c>
      <c r="B8175" s="2" t="s">
        <v>15797</v>
      </c>
      <c r="C8175" s="2" t="s">
        <v>40</v>
      </c>
      <c r="D8175" s="2" t="s">
        <v>41</v>
      </c>
      <c r="E8175" s="5">
        <v>-28610</v>
      </c>
      <c r="F8175" s="3" t="s">
        <v>190</v>
      </c>
      <c r="G8175" s="3" t="s">
        <v>52</v>
      </c>
      <c r="H8175" s="2" t="s">
        <v>30</v>
      </c>
      <c r="I8175" s="2" t="s">
        <v>15798</v>
      </c>
      <c r="J8175" s="3" t="str">
        <f>HYPERLINK("https://www.boe.es/gazeta/dias/1821/08/31/pdfs/GMD-1821-248.pdf#page=2","Abrir facsímil")</f>
        <v>Abrir facsímil</v>
      </c>
      <c r="K8175" s="3" t="s">
        <v>32</v>
      </c>
    </row>
    <row r="8176" spans="1:11" ht="42" customHeight="1">
      <c r="A8176" s="2" t="s">
        <v>15799</v>
      </c>
      <c r="B8176" s="2" t="s">
        <v>15799</v>
      </c>
      <c r="C8176" s="2" t="s">
        <v>40</v>
      </c>
      <c r="D8176" s="2" t="s">
        <v>41</v>
      </c>
      <c r="E8176" s="5">
        <v>-28764</v>
      </c>
      <c r="F8176" s="3" t="s">
        <v>924</v>
      </c>
      <c r="G8176" s="3" t="s">
        <v>43</v>
      </c>
      <c r="H8176" s="2" t="s">
        <v>21</v>
      </c>
      <c r="I8176" s="2" t="s">
        <v>15800</v>
      </c>
      <c r="J8176" s="3" t="str">
        <f>HYPERLINK("https://www.boe.es/gazeta/dias/1821/03/30/pdfs/GMD-1821-91.pdf#page=1","Abrir facsímil")</f>
        <v>Abrir facsímil</v>
      </c>
      <c r="K8176" s="3" t="s">
        <v>23</v>
      </c>
    </row>
    <row r="8177" spans="1:11" ht="42" customHeight="1">
      <c r="A8177" s="2" t="s">
        <v>15801</v>
      </c>
      <c r="B8177" s="2" t="s">
        <v>15801</v>
      </c>
      <c r="C8177" s="2" t="s">
        <v>26</v>
      </c>
      <c r="D8177" s="2" t="s">
        <v>27</v>
      </c>
      <c r="E8177" s="5">
        <v>-28709</v>
      </c>
      <c r="F8177" s="3" t="s">
        <v>1434</v>
      </c>
      <c r="G8177" s="3" t="s">
        <v>43</v>
      </c>
      <c r="H8177" s="2" t="s">
        <v>21</v>
      </c>
      <c r="I8177" s="2" t="s">
        <v>15802</v>
      </c>
      <c r="J8177" s="3" t="str">
        <f>HYPERLINK("https://www.boe.es/gazeta/dias/1821/05/24/pdfs/GMD-1821-146.pdf#page=1","Abrir facsímil")</f>
        <v>Abrir facsímil</v>
      </c>
      <c r="K8177" s="3" t="s">
        <v>23</v>
      </c>
    </row>
    <row r="8178" spans="1:11" ht="42" customHeight="1">
      <c r="A8178" s="2" t="s">
        <v>15801</v>
      </c>
      <c r="B8178" s="2" t="s">
        <v>15801</v>
      </c>
      <c r="C8178" s="2" t="s">
        <v>40</v>
      </c>
      <c r="D8178" s="2" t="s">
        <v>41</v>
      </c>
      <c r="E8178" s="5">
        <v>-28604</v>
      </c>
      <c r="F8178" s="3" t="s">
        <v>729</v>
      </c>
      <c r="G8178" s="3" t="s">
        <v>43</v>
      </c>
      <c r="H8178" s="2" t="s">
        <v>21</v>
      </c>
      <c r="I8178" s="2" t="s">
        <v>15803</v>
      </c>
      <c r="J8178" s="3" t="str">
        <f>HYPERLINK("https://www.boe.es/gazeta/dias/1821/09/06/pdfs/GMD-1821-254.pdf#page=1","Abrir facsímil")</f>
        <v>Abrir facsímil</v>
      </c>
      <c r="K8178" s="3" t="s">
        <v>23</v>
      </c>
    </row>
    <row r="8179" spans="1:11" ht="42" customHeight="1">
      <c r="A8179" s="2" t="s">
        <v>15804</v>
      </c>
      <c r="B8179" s="2" t="s">
        <v>15804</v>
      </c>
      <c r="C8179" s="2" t="s">
        <v>26</v>
      </c>
      <c r="D8179" s="2" t="s">
        <v>27</v>
      </c>
      <c r="E8179" s="5">
        <v>-28712</v>
      </c>
      <c r="F8179" s="3" t="s">
        <v>695</v>
      </c>
      <c r="G8179" s="3" t="s">
        <v>43</v>
      </c>
      <c r="H8179" s="2" t="s">
        <v>21</v>
      </c>
      <c r="I8179" s="2" t="s">
        <v>15805</v>
      </c>
      <c r="J8179" s="3" t="str">
        <f>HYPERLINK("https://www.boe.es/gazeta/dias/1821/05/21/pdfs/GMD-1821-143.pdf#page=1","Abrir facsímil")</f>
        <v>Abrir facsímil</v>
      </c>
      <c r="K8179" s="3" t="s">
        <v>23</v>
      </c>
    </row>
    <row r="8180" spans="1:11" ht="42" customHeight="1">
      <c r="A8180" s="2" t="s">
        <v>15806</v>
      </c>
      <c r="B8180" s="2" t="s">
        <v>15807</v>
      </c>
      <c r="C8180" s="2" t="s">
        <v>17</v>
      </c>
      <c r="D8180" s="2" t="s">
        <v>18</v>
      </c>
      <c r="E8180" s="5">
        <v>-28676</v>
      </c>
      <c r="F8180" s="3" t="s">
        <v>534</v>
      </c>
      <c r="G8180" s="3" t="s">
        <v>29</v>
      </c>
      <c r="H8180" s="2" t="s">
        <v>21</v>
      </c>
      <c r="I8180" s="2" t="s">
        <v>15808</v>
      </c>
      <c r="J8180" s="3" t="str">
        <f>HYPERLINK("https://www.boe.es/gazeta/dias/1821/06/26/pdfs/GMD-1821-179.pdf#page=6","Abrir facsímil")</f>
        <v>Abrir facsímil</v>
      </c>
      <c r="K8180" s="3" t="s">
        <v>23</v>
      </c>
    </row>
    <row r="8181" spans="1:11" ht="42" customHeight="1">
      <c r="A8181" s="2" t="s">
        <v>15809</v>
      </c>
      <c r="B8181" s="2" t="s">
        <v>15810</v>
      </c>
      <c r="C8181" s="2" t="s">
        <v>17</v>
      </c>
      <c r="D8181" s="2" t="s">
        <v>18</v>
      </c>
      <c r="E8181" s="5">
        <v>-28742</v>
      </c>
      <c r="F8181" s="3" t="s">
        <v>324</v>
      </c>
      <c r="G8181" s="3" t="s">
        <v>52</v>
      </c>
      <c r="H8181" s="2" t="s">
        <v>21</v>
      </c>
      <c r="I8181" s="2" t="s">
        <v>15811</v>
      </c>
      <c r="J8181" s="3" t="str">
        <f>HYPERLINK("https://www.boe.es/gazeta/dias/1821/04/21/pdfs/GMD-1821-113.pdf#page=2","Abrir facsímil")</f>
        <v>Abrir facsímil</v>
      </c>
      <c r="K8181" s="3" t="s">
        <v>23</v>
      </c>
    </row>
    <row r="8182" spans="1:11" ht="42" customHeight="1">
      <c r="A8182" s="2" t="s">
        <v>15812</v>
      </c>
      <c r="B8182" s="2" t="s">
        <v>15813</v>
      </c>
      <c r="C8182" s="2" t="s">
        <v>17</v>
      </c>
      <c r="D8182" s="2" t="s">
        <v>18</v>
      </c>
      <c r="E8182" s="5">
        <v>-28755</v>
      </c>
      <c r="F8182" s="3" t="s">
        <v>906</v>
      </c>
      <c r="G8182" s="3" t="s">
        <v>907</v>
      </c>
      <c r="H8182" s="2" t="s">
        <v>30</v>
      </c>
      <c r="I8182" s="2" t="s">
        <v>15814</v>
      </c>
      <c r="J8182" s="3" t="str">
        <f>HYPERLINK("https://www.boe.es/gazeta/dias/1821/04/08/pdfs/GMD-1821-100.pdf#page=4","Abrir facsímil")</f>
        <v>Abrir facsímil</v>
      </c>
      <c r="K8182" s="3" t="s">
        <v>32</v>
      </c>
    </row>
    <row r="8183" spans="1:11" ht="42" customHeight="1">
      <c r="A8183" s="2" t="s">
        <v>15815</v>
      </c>
      <c r="B8183" s="2" t="s">
        <v>15815</v>
      </c>
      <c r="C8183" s="2" t="s">
        <v>26</v>
      </c>
      <c r="D8183" s="2" t="s">
        <v>27</v>
      </c>
      <c r="E8183" s="5">
        <v>-28787</v>
      </c>
      <c r="F8183" s="3" t="s">
        <v>486</v>
      </c>
      <c r="G8183" s="3" t="s">
        <v>20</v>
      </c>
      <c r="H8183" s="2" t="s">
        <v>21</v>
      </c>
      <c r="I8183" s="2" t="s">
        <v>15816</v>
      </c>
      <c r="J8183" s="3" t="str">
        <f>HYPERLINK("https://www.boe.es/gazeta/dias/1821/03/07/pdfs/GGB-1821-66.pdf#page=3","Abrir facsímil")</f>
        <v>Abrir facsímil</v>
      </c>
      <c r="K8183" s="3" t="s">
        <v>23</v>
      </c>
    </row>
    <row r="8184" spans="1:11" ht="42" customHeight="1">
      <c r="A8184" s="2" t="s">
        <v>15817</v>
      </c>
      <c r="B8184" s="2" t="s">
        <v>15818</v>
      </c>
      <c r="C8184" s="2" t="s">
        <v>35</v>
      </c>
      <c r="D8184" s="2" t="s">
        <v>27</v>
      </c>
      <c r="E8184" s="5">
        <v>-28779</v>
      </c>
      <c r="F8184" s="3" t="s">
        <v>1002</v>
      </c>
      <c r="G8184" s="3" t="s">
        <v>20</v>
      </c>
      <c r="H8184" s="2" t="s">
        <v>21</v>
      </c>
      <c r="I8184" s="2" t="s">
        <v>15819</v>
      </c>
      <c r="J8184" s="3" t="str">
        <f>HYPERLINK("https://www.boe.es/gazeta/dias/1821/03/15/pdfs/GMD-1821-74.pdf#page=3","Abrir facsímil")</f>
        <v>Abrir facsímil</v>
      </c>
      <c r="K8184" s="3" t="s">
        <v>23</v>
      </c>
    </row>
    <row r="8185" spans="1:11" ht="42" customHeight="1">
      <c r="A8185" s="2" t="s">
        <v>15817</v>
      </c>
      <c r="B8185" s="2" t="s">
        <v>15818</v>
      </c>
      <c r="C8185" s="2" t="s">
        <v>114</v>
      </c>
      <c r="D8185" s="2" t="s">
        <v>27</v>
      </c>
      <c r="E8185" s="5">
        <v>-28774</v>
      </c>
      <c r="F8185" s="3" t="s">
        <v>1221</v>
      </c>
      <c r="G8185" s="3" t="s">
        <v>20</v>
      </c>
      <c r="H8185" s="2" t="s">
        <v>21</v>
      </c>
      <c r="I8185" s="2" t="s">
        <v>15820</v>
      </c>
      <c r="J8185" s="3" t="str">
        <f>HYPERLINK("https://www.boe.es/gazeta/dias/1821/03/20/pdfs/GMD-1821-79.pdf#page=3","Abrir facsímil")</f>
        <v>Abrir facsímil</v>
      </c>
      <c r="K8185" s="3" t="s">
        <v>23</v>
      </c>
    </row>
    <row r="8186" spans="1:11" ht="42" customHeight="1">
      <c r="A8186" s="2" t="s">
        <v>15817</v>
      </c>
      <c r="B8186" s="2" t="s">
        <v>15818</v>
      </c>
      <c r="C8186" s="2" t="s">
        <v>26</v>
      </c>
      <c r="D8186" s="2" t="s">
        <v>27</v>
      </c>
      <c r="E8186" s="5">
        <v>-28739</v>
      </c>
      <c r="F8186" s="3" t="s">
        <v>1024</v>
      </c>
      <c r="G8186" s="3" t="s">
        <v>52</v>
      </c>
      <c r="H8186" s="2" t="s">
        <v>21</v>
      </c>
      <c r="I8186" s="2" t="s">
        <v>15821</v>
      </c>
      <c r="J8186" s="3" t="str">
        <f>HYPERLINK("https://www.boe.es/gazeta/dias/1821/04/24/pdfs/GMD-1821-116.pdf#page=2","Abrir facsímil")</f>
        <v>Abrir facsímil</v>
      </c>
      <c r="K8186" s="3" t="s">
        <v>23</v>
      </c>
    </row>
    <row r="8187" spans="1:11" ht="42" customHeight="1">
      <c r="A8187" s="2" t="s">
        <v>15817</v>
      </c>
      <c r="B8187" s="2" t="s">
        <v>15818</v>
      </c>
      <c r="C8187" s="2" t="s">
        <v>26</v>
      </c>
      <c r="D8187" s="2" t="s">
        <v>27</v>
      </c>
      <c r="E8187" s="5">
        <v>-28732</v>
      </c>
      <c r="F8187" s="3" t="s">
        <v>2628</v>
      </c>
      <c r="G8187" s="3" t="s">
        <v>20</v>
      </c>
      <c r="H8187" s="2" t="s">
        <v>21</v>
      </c>
      <c r="I8187" s="2" t="s">
        <v>15822</v>
      </c>
      <c r="J8187" s="3" t="str">
        <f>HYPERLINK("https://www.boe.es/gazeta/dias/1821/05/01/pdfs/GMD-1821-123.pdf#page=3","Abrir facsímil")</f>
        <v>Abrir facsímil</v>
      </c>
      <c r="K8187" s="3" t="s">
        <v>23</v>
      </c>
    </row>
    <row r="8188" spans="1:11" ht="42" customHeight="1">
      <c r="A8188" s="2" t="s">
        <v>15817</v>
      </c>
      <c r="B8188" s="2" t="s">
        <v>15818</v>
      </c>
      <c r="C8188" s="2" t="s">
        <v>40</v>
      </c>
      <c r="D8188" s="2" t="s">
        <v>41</v>
      </c>
      <c r="E8188" s="5">
        <v>-28711</v>
      </c>
      <c r="F8188" s="3" t="s">
        <v>1048</v>
      </c>
      <c r="G8188" s="3" t="s">
        <v>20</v>
      </c>
      <c r="H8188" s="2" t="s">
        <v>21</v>
      </c>
      <c r="I8188" s="2" t="s">
        <v>15823</v>
      </c>
      <c r="J8188" s="3" t="str">
        <f>HYPERLINK("https://www.boe.es/gazeta/dias/1821/05/22/pdfs/GMD-1821-144.pdf#page=3","Abrir facsímil")</f>
        <v>Abrir facsímil</v>
      </c>
      <c r="K8188" s="3" t="s">
        <v>23</v>
      </c>
    </row>
    <row r="8189" spans="1:11" ht="42" customHeight="1">
      <c r="A8189" s="2" t="s">
        <v>15817</v>
      </c>
      <c r="B8189" s="2" t="s">
        <v>15818</v>
      </c>
      <c r="C8189" s="2" t="s">
        <v>40</v>
      </c>
      <c r="D8189" s="2" t="s">
        <v>41</v>
      </c>
      <c r="E8189" s="5">
        <v>-28710</v>
      </c>
      <c r="F8189" s="3" t="s">
        <v>375</v>
      </c>
      <c r="G8189" s="3" t="s">
        <v>52</v>
      </c>
      <c r="H8189" s="2" t="s">
        <v>21</v>
      </c>
      <c r="I8189" s="2" t="s">
        <v>15824</v>
      </c>
      <c r="J8189" s="3" t="str">
        <f>HYPERLINK("https://www.boe.es/gazeta/dias/1821/05/23/pdfs/GMD-1821-145.pdf#page=2","Abrir facsímil")</f>
        <v>Abrir facsímil</v>
      </c>
      <c r="K8189" s="3" t="s">
        <v>23</v>
      </c>
    </row>
    <row r="8190" spans="1:11" ht="42" customHeight="1">
      <c r="A8190" s="2" t="s">
        <v>15817</v>
      </c>
      <c r="B8190" s="2" t="s">
        <v>15818</v>
      </c>
      <c r="C8190" s="2" t="s">
        <v>70</v>
      </c>
      <c r="D8190" s="2" t="s">
        <v>27</v>
      </c>
      <c r="E8190" s="5">
        <v>-28709</v>
      </c>
      <c r="F8190" s="3" t="s">
        <v>1434</v>
      </c>
      <c r="G8190" s="3" t="s">
        <v>20</v>
      </c>
      <c r="H8190" s="2" t="s">
        <v>21</v>
      </c>
      <c r="I8190" s="2" t="s">
        <v>15825</v>
      </c>
      <c r="J8190" s="3" t="str">
        <f>HYPERLINK("https://www.boe.es/gazeta/dias/1821/05/24/pdfs/GMD-1821-146.pdf#page=3","Abrir facsímil")</f>
        <v>Abrir facsímil</v>
      </c>
      <c r="K8190" s="3" t="s">
        <v>23</v>
      </c>
    </row>
    <row r="8191" spans="1:11" ht="42" customHeight="1">
      <c r="A8191" s="2" t="s">
        <v>15817</v>
      </c>
      <c r="B8191" s="2" t="s">
        <v>15818</v>
      </c>
      <c r="C8191" s="2" t="s">
        <v>26</v>
      </c>
      <c r="D8191" s="2" t="s">
        <v>27</v>
      </c>
      <c r="E8191" s="5">
        <v>-28708</v>
      </c>
      <c r="F8191" s="3" t="s">
        <v>528</v>
      </c>
      <c r="G8191" s="3" t="s">
        <v>88</v>
      </c>
      <c r="H8191" s="2" t="s">
        <v>21</v>
      </c>
      <c r="I8191" s="2" t="s">
        <v>15826</v>
      </c>
      <c r="J8191" s="3" t="str">
        <f>HYPERLINK("https://www.boe.es/gazeta/dias/1821/05/25/pdfs/GMD-1821-147.pdf#page=4","Abrir facsímil")</f>
        <v>Abrir facsímil</v>
      </c>
      <c r="K8191" s="3" t="s">
        <v>23</v>
      </c>
    </row>
    <row r="8192" spans="1:11" ht="42" customHeight="1">
      <c r="A8192" s="2" t="s">
        <v>15817</v>
      </c>
      <c r="B8192" s="2" t="s">
        <v>15818</v>
      </c>
      <c r="C8192" s="2" t="s">
        <v>70</v>
      </c>
      <c r="D8192" s="2" t="s">
        <v>27</v>
      </c>
      <c r="E8192" s="5">
        <v>-28707</v>
      </c>
      <c r="F8192" s="3" t="s">
        <v>495</v>
      </c>
      <c r="G8192" s="3" t="s">
        <v>20</v>
      </c>
      <c r="H8192" s="2" t="s">
        <v>21</v>
      </c>
      <c r="I8192" s="2" t="s">
        <v>15827</v>
      </c>
      <c r="J8192" s="3" t="str">
        <f>HYPERLINK("https://www.boe.es/gazeta/dias/1821/05/26/pdfs/GMD-1821-148.pdf#page=3","Abrir facsímil")</f>
        <v>Abrir facsímil</v>
      </c>
      <c r="K8192" s="3" t="s">
        <v>23</v>
      </c>
    </row>
    <row r="8193" spans="1:11" ht="42" customHeight="1">
      <c r="A8193" s="2" t="s">
        <v>15817</v>
      </c>
      <c r="B8193" s="2" t="s">
        <v>15818</v>
      </c>
      <c r="C8193" s="2" t="s">
        <v>174</v>
      </c>
      <c r="D8193" s="2" t="s">
        <v>27</v>
      </c>
      <c r="E8193" s="5">
        <v>-28705</v>
      </c>
      <c r="F8193" s="3" t="s">
        <v>1844</v>
      </c>
      <c r="G8193" s="3" t="s">
        <v>20</v>
      </c>
      <c r="H8193" s="2" t="s">
        <v>21</v>
      </c>
      <c r="I8193" s="2" t="s">
        <v>15828</v>
      </c>
      <c r="J8193" s="3" t="str">
        <f>HYPERLINK("https://www.boe.es/gazeta/dias/1821/05/28/pdfs/GMD-1821-150.pdf#page=3","Abrir facsímil")</f>
        <v>Abrir facsímil</v>
      </c>
      <c r="K8193" s="3" t="s">
        <v>23</v>
      </c>
    </row>
    <row r="8194" spans="1:11" ht="42" customHeight="1">
      <c r="A8194" s="2" t="s">
        <v>15817</v>
      </c>
      <c r="B8194" s="2" t="s">
        <v>15818</v>
      </c>
      <c r="C8194" s="2" t="s">
        <v>114</v>
      </c>
      <c r="D8194" s="2" t="s">
        <v>27</v>
      </c>
      <c r="E8194" s="5">
        <v>-28704</v>
      </c>
      <c r="F8194" s="3" t="s">
        <v>1050</v>
      </c>
      <c r="G8194" s="3" t="s">
        <v>20</v>
      </c>
      <c r="H8194" s="2" t="s">
        <v>21</v>
      </c>
      <c r="I8194" s="2" t="s">
        <v>15829</v>
      </c>
      <c r="J8194" s="3" t="str">
        <f>HYPERLINK("https://www.boe.es/gazeta/dias/1821/05/29/pdfs/GMD-1821-151.pdf#page=3","Abrir facsímil")</f>
        <v>Abrir facsímil</v>
      </c>
      <c r="K8194" s="3" t="s">
        <v>23</v>
      </c>
    </row>
    <row r="8195" spans="1:11" ht="42" customHeight="1">
      <c r="A8195" s="2" t="s">
        <v>15817</v>
      </c>
      <c r="B8195" s="2" t="s">
        <v>15818</v>
      </c>
      <c r="C8195" s="2" t="s">
        <v>114</v>
      </c>
      <c r="D8195" s="2" t="s">
        <v>27</v>
      </c>
      <c r="E8195" s="5">
        <v>-28704</v>
      </c>
      <c r="F8195" s="3" t="s">
        <v>1050</v>
      </c>
      <c r="G8195" s="3" t="s">
        <v>88</v>
      </c>
      <c r="H8195" s="2" t="s">
        <v>21</v>
      </c>
      <c r="I8195" s="2" t="s">
        <v>15830</v>
      </c>
      <c r="J8195" s="3" t="str">
        <f>HYPERLINK("https://www.boe.es/gazeta/dias/1821/05/29/pdfs/GMD-1821-151.pdf#page=4","Abrir facsímil")</f>
        <v>Abrir facsímil</v>
      </c>
      <c r="K8195" s="3" t="s">
        <v>23</v>
      </c>
    </row>
    <row r="8196" spans="1:11" ht="42" customHeight="1">
      <c r="A8196" s="2" t="s">
        <v>15817</v>
      </c>
      <c r="B8196" s="2" t="s">
        <v>15818</v>
      </c>
      <c r="C8196" s="2" t="s">
        <v>40</v>
      </c>
      <c r="D8196" s="2" t="s">
        <v>41</v>
      </c>
      <c r="E8196" s="5">
        <v>-28703</v>
      </c>
      <c r="F8196" s="3" t="s">
        <v>231</v>
      </c>
      <c r="G8196" s="3" t="s">
        <v>20</v>
      </c>
      <c r="H8196" s="2" t="s">
        <v>21</v>
      </c>
      <c r="I8196" s="2" t="s">
        <v>15831</v>
      </c>
      <c r="J8196" s="3" t="str">
        <f>HYPERLINK("https://www.boe.es/gazeta/dias/1821/05/30/pdfs/GMD-1821-152.pdf#page=3","Abrir facsímil")</f>
        <v>Abrir facsímil</v>
      </c>
      <c r="K8196" s="3" t="s">
        <v>23</v>
      </c>
    </row>
    <row r="8197" spans="1:11" ht="42" customHeight="1">
      <c r="A8197" s="2" t="s">
        <v>15817</v>
      </c>
      <c r="B8197" s="2" t="s">
        <v>15818</v>
      </c>
      <c r="C8197" s="2" t="s">
        <v>40</v>
      </c>
      <c r="D8197" s="2" t="s">
        <v>41</v>
      </c>
      <c r="E8197" s="5">
        <v>-28703</v>
      </c>
      <c r="F8197" s="3" t="s">
        <v>231</v>
      </c>
      <c r="G8197" s="3" t="s">
        <v>88</v>
      </c>
      <c r="H8197" s="2" t="s">
        <v>21</v>
      </c>
      <c r="I8197" s="2" t="s">
        <v>15832</v>
      </c>
      <c r="J8197" s="3" t="str">
        <f>HYPERLINK("https://www.boe.es/gazeta/dias/1821/05/30/pdfs/GMD-1821-152.pdf#page=4","Abrir facsímil")</f>
        <v>Abrir facsímil</v>
      </c>
      <c r="K8197" s="3" t="s">
        <v>23</v>
      </c>
    </row>
    <row r="8198" spans="1:11" ht="42" customHeight="1">
      <c r="A8198" s="2" t="s">
        <v>15817</v>
      </c>
      <c r="B8198" s="2" t="s">
        <v>15818</v>
      </c>
      <c r="C8198" s="2" t="s">
        <v>26</v>
      </c>
      <c r="D8198" s="2" t="s">
        <v>27</v>
      </c>
      <c r="E8198" s="5">
        <v>-28698</v>
      </c>
      <c r="F8198" s="3" t="s">
        <v>2067</v>
      </c>
      <c r="G8198" s="3" t="s">
        <v>20</v>
      </c>
      <c r="H8198" s="2" t="s">
        <v>21</v>
      </c>
      <c r="I8198" s="2" t="s">
        <v>15833</v>
      </c>
      <c r="J8198" s="3" t="str">
        <f>HYPERLINK("https://www.boe.es/gazeta/dias/1821/06/04/pdfs/GMD-1821-157.pdf#page=3","Abrir facsímil")</f>
        <v>Abrir facsímil</v>
      </c>
      <c r="K8198" s="3" t="s">
        <v>23</v>
      </c>
    </row>
    <row r="8199" spans="1:11" ht="42" customHeight="1">
      <c r="A8199" s="2" t="s">
        <v>15817</v>
      </c>
      <c r="B8199" s="2" t="s">
        <v>15818</v>
      </c>
      <c r="C8199" s="2" t="s">
        <v>40</v>
      </c>
      <c r="D8199" s="2" t="s">
        <v>41</v>
      </c>
      <c r="E8199" s="5">
        <v>-28697</v>
      </c>
      <c r="F8199" s="3" t="s">
        <v>166</v>
      </c>
      <c r="G8199" s="3" t="s">
        <v>52</v>
      </c>
      <c r="H8199" s="2" t="s">
        <v>21</v>
      </c>
      <c r="I8199" s="2" t="s">
        <v>15834</v>
      </c>
      <c r="J8199" s="3" t="str">
        <f>HYPERLINK("https://www.boe.es/gazeta/dias/1821/06/05/pdfs/GMD-1821-158.pdf#page=2","Abrir facsímil")</f>
        <v>Abrir facsímil</v>
      </c>
      <c r="K8199" s="3" t="s">
        <v>23</v>
      </c>
    </row>
    <row r="8200" spans="1:11" ht="42" customHeight="1">
      <c r="A8200" s="2" t="s">
        <v>15817</v>
      </c>
      <c r="B8200" s="2" t="s">
        <v>15818</v>
      </c>
      <c r="C8200" s="2" t="s">
        <v>26</v>
      </c>
      <c r="D8200" s="2" t="s">
        <v>27</v>
      </c>
      <c r="E8200" s="5">
        <v>-28697</v>
      </c>
      <c r="F8200" s="3" t="s">
        <v>166</v>
      </c>
      <c r="G8200" s="3" t="s">
        <v>20</v>
      </c>
      <c r="H8200" s="2" t="s">
        <v>21</v>
      </c>
      <c r="I8200" s="2" t="s">
        <v>15835</v>
      </c>
      <c r="J8200" s="3" t="str">
        <f>HYPERLINK("https://www.boe.es/gazeta/dias/1821/06/05/pdfs/GMD-1821-158.pdf#page=3","Abrir facsímil")</f>
        <v>Abrir facsímil</v>
      </c>
      <c r="K8200" s="3" t="s">
        <v>23</v>
      </c>
    </row>
    <row r="8201" spans="1:11" ht="42" customHeight="1">
      <c r="A8201" s="2" t="s">
        <v>15817</v>
      </c>
      <c r="B8201" s="2" t="s">
        <v>15818</v>
      </c>
      <c r="C8201" s="2" t="s">
        <v>17</v>
      </c>
      <c r="D8201" s="2" t="s">
        <v>18</v>
      </c>
      <c r="E8201" s="5">
        <v>-28696</v>
      </c>
      <c r="F8201" s="3" t="s">
        <v>497</v>
      </c>
      <c r="G8201" s="3" t="s">
        <v>20</v>
      </c>
      <c r="H8201" s="2" t="s">
        <v>21</v>
      </c>
      <c r="I8201" s="2" t="s">
        <v>15836</v>
      </c>
      <c r="J8201" s="3" t="str">
        <f>HYPERLINK("https://www.boe.es/gazeta/dias/1821/06/06/pdfs/GMD-1821-159.pdf#page=3","Abrir facsímil")</f>
        <v>Abrir facsímil</v>
      </c>
      <c r="K8201" s="3" t="s">
        <v>23</v>
      </c>
    </row>
    <row r="8202" spans="1:11" ht="42" customHeight="1">
      <c r="A8202" s="2" t="s">
        <v>15817</v>
      </c>
      <c r="B8202" s="2" t="s">
        <v>15818</v>
      </c>
      <c r="C8202" s="2" t="s">
        <v>40</v>
      </c>
      <c r="D8202" s="2" t="s">
        <v>41</v>
      </c>
      <c r="E8202" s="5">
        <v>-28693</v>
      </c>
      <c r="F8202" s="3" t="s">
        <v>74</v>
      </c>
      <c r="G8202" s="3" t="s">
        <v>162</v>
      </c>
      <c r="H8202" s="2" t="s">
        <v>21</v>
      </c>
      <c r="I8202" s="2" t="s">
        <v>15837</v>
      </c>
      <c r="J8202" s="3" t="str">
        <f>HYPERLINK("https://www.boe.es/gazeta/dias/1821/06/09/pdfs/GMD-1821-162.pdf#page=5","Abrir facsímil")</f>
        <v>Abrir facsímil</v>
      </c>
      <c r="K8202" s="3" t="s">
        <v>23</v>
      </c>
    </row>
    <row r="8203" spans="1:11" ht="42" customHeight="1">
      <c r="A8203" s="2" t="s">
        <v>15817</v>
      </c>
      <c r="B8203" s="2" t="s">
        <v>15818</v>
      </c>
      <c r="C8203" s="2" t="s">
        <v>40</v>
      </c>
      <c r="D8203" s="2" t="s">
        <v>41</v>
      </c>
      <c r="E8203" s="5">
        <v>-28685</v>
      </c>
      <c r="F8203" s="3" t="s">
        <v>303</v>
      </c>
      <c r="G8203" s="3" t="s">
        <v>1507</v>
      </c>
      <c r="H8203" s="2" t="s">
        <v>21</v>
      </c>
      <c r="I8203" s="2" t="s">
        <v>15838</v>
      </c>
      <c r="J8203" s="3" t="str">
        <f>HYPERLINK("https://www.boe.es/gazeta/dias/1821/06/17/pdfs/GMD-1821-170.pdf#page=6","Abrir facsímil")</f>
        <v>Abrir facsímil</v>
      </c>
      <c r="K8203" s="3" t="s">
        <v>23</v>
      </c>
    </row>
    <row r="8204" spans="1:11" ht="42" customHeight="1">
      <c r="A8204" s="2" t="s">
        <v>15817</v>
      </c>
      <c r="B8204" s="2" t="s">
        <v>15818</v>
      </c>
      <c r="C8204" s="2" t="s">
        <v>26</v>
      </c>
      <c r="D8204" s="2" t="s">
        <v>27</v>
      </c>
      <c r="E8204" s="5">
        <v>-28679</v>
      </c>
      <c r="F8204" s="3" t="s">
        <v>213</v>
      </c>
      <c r="G8204" s="3" t="s">
        <v>162</v>
      </c>
      <c r="H8204" s="2" t="s">
        <v>21</v>
      </c>
      <c r="I8204" s="2" t="s">
        <v>15839</v>
      </c>
      <c r="J8204" s="3" t="str">
        <f>HYPERLINK("https://www.boe.es/gazeta/dias/1821/06/23/pdfs/GMD-1821-176.pdf#page=5","Abrir facsímil")</f>
        <v>Abrir facsímil</v>
      </c>
      <c r="K8204" s="3" t="s">
        <v>23</v>
      </c>
    </row>
    <row r="8205" spans="1:11" ht="42" customHeight="1">
      <c r="A8205" s="2" t="s">
        <v>15817</v>
      </c>
      <c r="B8205" s="2" t="s">
        <v>15818</v>
      </c>
      <c r="C8205" s="2" t="s">
        <v>26</v>
      </c>
      <c r="D8205" s="2" t="s">
        <v>27</v>
      </c>
      <c r="E8205" s="5">
        <v>-28676</v>
      </c>
      <c r="F8205" s="3" t="s">
        <v>534</v>
      </c>
      <c r="G8205" s="3" t="s">
        <v>52</v>
      </c>
      <c r="H8205" s="2" t="s">
        <v>21</v>
      </c>
      <c r="I8205" s="2" t="s">
        <v>15840</v>
      </c>
      <c r="J8205" s="3" t="str">
        <f>HYPERLINK("https://www.boe.es/gazeta/dias/1821/06/26/pdfs/GMD-1821-179.pdf#page=2","Abrir facsímil")</f>
        <v>Abrir facsímil</v>
      </c>
      <c r="K8205" s="3" t="s">
        <v>23</v>
      </c>
    </row>
    <row r="8206" spans="1:11" ht="42" customHeight="1">
      <c r="A8206" s="2" t="s">
        <v>15817</v>
      </c>
      <c r="B8206" s="2" t="s">
        <v>15818</v>
      </c>
      <c r="C8206" s="2" t="s">
        <v>17</v>
      </c>
      <c r="D8206" s="2" t="s">
        <v>18</v>
      </c>
      <c r="E8206" s="5">
        <v>-28676</v>
      </c>
      <c r="F8206" s="3" t="s">
        <v>534</v>
      </c>
      <c r="G8206" s="3" t="s">
        <v>20</v>
      </c>
      <c r="H8206" s="2" t="s">
        <v>21</v>
      </c>
      <c r="I8206" s="2" t="s">
        <v>15841</v>
      </c>
      <c r="J8206" s="3" t="str">
        <f>HYPERLINK("https://www.boe.es/gazeta/dias/1821/06/26/pdfs/GMD-1821-179.pdf#page=3","Abrir facsímil")</f>
        <v>Abrir facsímil</v>
      </c>
      <c r="K8206" s="3" t="s">
        <v>23</v>
      </c>
    </row>
    <row r="8207" spans="1:11" ht="42" customHeight="1">
      <c r="A8207" s="2" t="s">
        <v>15817</v>
      </c>
      <c r="B8207" s="2" t="s">
        <v>15818</v>
      </c>
      <c r="C8207" s="2" t="s">
        <v>279</v>
      </c>
      <c r="D8207" s="2" t="s">
        <v>27</v>
      </c>
      <c r="E8207" s="5">
        <v>-28675</v>
      </c>
      <c r="F8207" s="3" t="s">
        <v>943</v>
      </c>
      <c r="G8207" s="3" t="s">
        <v>20</v>
      </c>
      <c r="H8207" s="2" t="s">
        <v>21</v>
      </c>
      <c r="I8207" s="2" t="s">
        <v>15842</v>
      </c>
      <c r="J8207" s="3" t="str">
        <f>HYPERLINK("https://www.boe.es/gazeta/dias/1821/06/27/pdfs/GMD-1821-180.pdf#page=3","Abrir facsímil")</f>
        <v>Abrir facsímil</v>
      </c>
      <c r="K8207" s="3" t="s">
        <v>23</v>
      </c>
    </row>
    <row r="8208" spans="1:11" ht="42" customHeight="1">
      <c r="A8208" s="2" t="s">
        <v>15817</v>
      </c>
      <c r="B8208" s="2" t="s">
        <v>15818</v>
      </c>
      <c r="C8208" s="2" t="s">
        <v>35</v>
      </c>
      <c r="D8208" s="2" t="s">
        <v>27</v>
      </c>
      <c r="E8208" s="5">
        <v>-28571</v>
      </c>
      <c r="F8208" s="3" t="s">
        <v>482</v>
      </c>
      <c r="G8208" s="3" t="s">
        <v>162</v>
      </c>
      <c r="H8208" s="2" t="s">
        <v>21</v>
      </c>
      <c r="I8208" s="2" t="s">
        <v>15843</v>
      </c>
      <c r="J8208" s="3" t="str">
        <f>HYPERLINK("https://www.boe.es/gazeta/dias/1821/10/09/pdfs/GMD-1821-288.pdf#page=5","Abrir facsímil")</f>
        <v>Abrir facsímil</v>
      </c>
      <c r="K8208" s="3" t="s">
        <v>23</v>
      </c>
    </row>
    <row r="8209" spans="1:11" ht="42" customHeight="1">
      <c r="A8209" s="2" t="s">
        <v>15817</v>
      </c>
      <c r="B8209" s="2" t="s">
        <v>15818</v>
      </c>
      <c r="C8209" s="2" t="s">
        <v>17</v>
      </c>
      <c r="D8209" s="2" t="s">
        <v>18</v>
      </c>
      <c r="E8209" s="5">
        <v>-28524</v>
      </c>
      <c r="F8209" s="3" t="s">
        <v>874</v>
      </c>
      <c r="G8209" s="3" t="s">
        <v>162</v>
      </c>
      <c r="H8209" s="2" t="s">
        <v>21</v>
      </c>
      <c r="I8209" s="2" t="s">
        <v>15844</v>
      </c>
      <c r="J8209" s="3" t="str">
        <f>HYPERLINK("https://www.boe.es/gazeta/dias/1821/11/25/pdfs/GMD-1821-336.pdf#page=5","Abrir facsímil")</f>
        <v>Abrir facsímil</v>
      </c>
      <c r="K8209" s="3" t="s">
        <v>23</v>
      </c>
    </row>
    <row r="8210" spans="1:11" ht="42" customHeight="1">
      <c r="A8210" s="2" t="s">
        <v>15817</v>
      </c>
      <c r="B8210" s="2" t="s">
        <v>15818</v>
      </c>
      <c r="C8210" s="2" t="s">
        <v>35</v>
      </c>
      <c r="D8210" s="2" t="s">
        <v>27</v>
      </c>
      <c r="E8210" s="5">
        <v>-28511</v>
      </c>
      <c r="F8210" s="3" t="s">
        <v>340</v>
      </c>
      <c r="G8210" s="3" t="s">
        <v>20</v>
      </c>
      <c r="H8210" s="2" t="s">
        <v>21</v>
      </c>
      <c r="I8210" s="2" t="s">
        <v>15845</v>
      </c>
      <c r="J8210" s="3" t="str">
        <f>HYPERLINK("https://www.boe.es/gazeta/dias/1821/12/08/pdfs/GMD-1821-350.pdf#page=3","Abrir facsímil")</f>
        <v>Abrir facsímil</v>
      </c>
      <c r="K8210" s="3" t="s">
        <v>23</v>
      </c>
    </row>
    <row r="8211" spans="1:11" ht="42" customHeight="1">
      <c r="A8211" s="2" t="s">
        <v>15846</v>
      </c>
      <c r="B8211" s="2" t="s">
        <v>15847</v>
      </c>
      <c r="C8211" s="2" t="s">
        <v>40</v>
      </c>
      <c r="D8211" s="2" t="s">
        <v>41</v>
      </c>
      <c r="E8211" s="5">
        <v>-28704</v>
      </c>
      <c r="F8211" s="3" t="s">
        <v>1050</v>
      </c>
      <c r="G8211" s="3" t="s">
        <v>20</v>
      </c>
      <c r="H8211" s="2" t="s">
        <v>21</v>
      </c>
      <c r="I8211" s="2" t="s">
        <v>15848</v>
      </c>
      <c r="J8211" s="3" t="str">
        <f>HYPERLINK("https://www.boe.es/gazeta/dias/1821/05/29/pdfs/GMD-1821-151.pdf#page=3","Abrir facsímil")</f>
        <v>Abrir facsímil</v>
      </c>
      <c r="K8211" s="3" t="s">
        <v>23</v>
      </c>
    </row>
    <row r="8212" spans="1:11" ht="42" customHeight="1">
      <c r="A8212" s="2" t="s">
        <v>15849</v>
      </c>
      <c r="B8212" s="2" t="s">
        <v>15849</v>
      </c>
      <c r="C8212" s="2" t="s">
        <v>17</v>
      </c>
      <c r="D8212" s="2" t="s">
        <v>18</v>
      </c>
      <c r="E8212" s="5">
        <v>-28549</v>
      </c>
      <c r="F8212" s="3" t="s">
        <v>930</v>
      </c>
      <c r="G8212" s="3" t="s">
        <v>52</v>
      </c>
      <c r="H8212" s="2" t="s">
        <v>21</v>
      </c>
      <c r="I8212" s="2" t="s">
        <v>15850</v>
      </c>
      <c r="J8212" s="3" t="str">
        <f>HYPERLINK("https://www.boe.es/gazeta/dias/1821/10/31/pdfs/GMD-1821-310.pdf#page=2","Abrir facsímil")</f>
        <v>Abrir facsímil</v>
      </c>
      <c r="K8212" s="3" t="s">
        <v>23</v>
      </c>
    </row>
    <row r="8213" spans="1:11" ht="42" customHeight="1">
      <c r="A8213" s="2" t="s">
        <v>15849</v>
      </c>
      <c r="B8213" s="2" t="s">
        <v>15849</v>
      </c>
      <c r="C8213" s="2" t="s">
        <v>40</v>
      </c>
      <c r="D8213" s="2" t="s">
        <v>41</v>
      </c>
      <c r="E8213" s="5">
        <v>-28548</v>
      </c>
      <c r="F8213" s="3" t="s">
        <v>782</v>
      </c>
      <c r="G8213" s="3" t="s">
        <v>52</v>
      </c>
      <c r="H8213" s="2" t="s">
        <v>21</v>
      </c>
      <c r="I8213" s="2" t="s">
        <v>15851</v>
      </c>
      <c r="J8213" s="3" t="str">
        <f>HYPERLINK("https://www.boe.es/gazeta/dias/1821/11/01/pdfs/GMD-1821-311.pdf#page=2","Abrir facsímil")</f>
        <v>Abrir facsímil</v>
      </c>
      <c r="K8213" s="3" t="s">
        <v>23</v>
      </c>
    </row>
    <row r="8214" spans="1:11" ht="42" customHeight="1">
      <c r="A8214" s="2" t="s">
        <v>15849</v>
      </c>
      <c r="B8214" s="2" t="s">
        <v>15849</v>
      </c>
      <c r="C8214" s="2" t="s">
        <v>40</v>
      </c>
      <c r="D8214" s="2" t="s">
        <v>41</v>
      </c>
      <c r="E8214" s="5">
        <v>-28492</v>
      </c>
      <c r="F8214" s="3" t="s">
        <v>1550</v>
      </c>
      <c r="G8214" s="3" t="s">
        <v>88</v>
      </c>
      <c r="H8214" s="2" t="s">
        <v>21</v>
      </c>
      <c r="I8214" s="2" t="s">
        <v>15852</v>
      </c>
      <c r="J8214" s="3" t="str">
        <f>HYPERLINK("https://www.boe.es/gazeta/dias/1821/12/27/pdfs/GMD-1821-370.pdf#page=4","Abrir facsímil")</f>
        <v>Abrir facsímil</v>
      </c>
      <c r="K8214" s="3" t="s">
        <v>23</v>
      </c>
    </row>
    <row r="8215" spans="1:11" ht="42" customHeight="1">
      <c r="A8215" s="2" t="s">
        <v>15853</v>
      </c>
      <c r="B8215" s="2" t="s">
        <v>15853</v>
      </c>
      <c r="C8215" s="2" t="s">
        <v>17</v>
      </c>
      <c r="D8215" s="2" t="s">
        <v>18</v>
      </c>
      <c r="E8215" s="5">
        <v>-28729</v>
      </c>
      <c r="F8215" s="3" t="s">
        <v>838</v>
      </c>
      <c r="G8215" s="3" t="s">
        <v>52</v>
      </c>
      <c r="H8215" s="2" t="s">
        <v>21</v>
      </c>
      <c r="I8215" s="2" t="s">
        <v>15854</v>
      </c>
      <c r="J8215" s="3" t="str">
        <f>HYPERLINK("https://www.boe.es/gazeta/dias/1821/05/04/pdfs/GMD-1821-126.pdf#page=2","Abrir facsímil")</f>
        <v>Abrir facsímil</v>
      </c>
      <c r="K8215" s="3" t="s">
        <v>23</v>
      </c>
    </row>
    <row r="8216" spans="1:11" ht="42" customHeight="1">
      <c r="A8216" s="2" t="s">
        <v>15855</v>
      </c>
      <c r="B8216" s="2" t="s">
        <v>15856</v>
      </c>
      <c r="C8216" s="2" t="s">
        <v>40</v>
      </c>
      <c r="D8216" s="2" t="s">
        <v>41</v>
      </c>
      <c r="E8216" s="5">
        <v>-28628</v>
      </c>
      <c r="F8216" s="3" t="s">
        <v>4257</v>
      </c>
      <c r="G8216" s="3" t="s">
        <v>20</v>
      </c>
      <c r="H8216" s="2" t="s">
        <v>21</v>
      </c>
      <c r="I8216" s="2" t="s">
        <v>15857</v>
      </c>
      <c r="J8216" s="3" t="str">
        <f>HYPERLINK("https://www.boe.es/gazeta/dias/1821/08/13/pdfs/GMD-1821-230.pdf#page=3","Abrir facsímil")</f>
        <v>Abrir facsímil</v>
      </c>
      <c r="K8216" s="3" t="s">
        <v>23</v>
      </c>
    </row>
    <row r="8217" spans="1:11" ht="42" customHeight="1">
      <c r="A8217" s="2" t="s">
        <v>15858</v>
      </c>
      <c r="B8217" s="2" t="s">
        <v>15859</v>
      </c>
      <c r="C8217" s="2" t="s">
        <v>40</v>
      </c>
      <c r="D8217" s="2" t="s">
        <v>41</v>
      </c>
      <c r="E8217" s="5">
        <v>-28629</v>
      </c>
      <c r="F8217" s="3" t="s">
        <v>235</v>
      </c>
      <c r="G8217" s="3" t="s">
        <v>88</v>
      </c>
      <c r="H8217" s="2" t="s">
        <v>21</v>
      </c>
      <c r="I8217" s="2" t="s">
        <v>15860</v>
      </c>
      <c r="J8217" s="3" t="str">
        <f>HYPERLINK("https://www.boe.es/gazeta/dias/1821/08/12/pdfs/GMD-1821-229.pdf#page=4","Abrir facsímil")</f>
        <v>Abrir facsímil</v>
      </c>
      <c r="K8217" s="3" t="s">
        <v>23</v>
      </c>
    </row>
    <row r="8218" spans="1:11" ht="42" customHeight="1">
      <c r="A8218" s="2" t="s">
        <v>15861</v>
      </c>
      <c r="B8218" s="2" t="s">
        <v>15862</v>
      </c>
      <c r="C8218" s="2" t="s">
        <v>40</v>
      </c>
      <c r="D8218" s="2" t="s">
        <v>41</v>
      </c>
      <c r="E8218" s="5">
        <v>-28777</v>
      </c>
      <c r="F8218" s="3" t="s">
        <v>1004</v>
      </c>
      <c r="G8218" s="3" t="s">
        <v>162</v>
      </c>
      <c r="H8218" s="2" t="s">
        <v>21</v>
      </c>
      <c r="I8218" s="2" t="s">
        <v>15863</v>
      </c>
      <c r="J8218" s="3" t="str">
        <f>HYPERLINK("https://www.boe.es/gazeta/dias/1821/03/17/pdfs/GMD-1821-76.pdf#page=5","Abrir facsímil")</f>
        <v>Abrir facsímil</v>
      </c>
      <c r="K8218" s="3" t="s">
        <v>23</v>
      </c>
    </row>
    <row r="8219" spans="1:11" ht="42" customHeight="1">
      <c r="A8219" s="2" t="s">
        <v>15864</v>
      </c>
      <c r="B8219" s="2" t="s">
        <v>15865</v>
      </c>
      <c r="C8219" s="2" t="s">
        <v>26</v>
      </c>
      <c r="D8219" s="2" t="s">
        <v>27</v>
      </c>
      <c r="E8219" s="5">
        <v>-28574</v>
      </c>
      <c r="F8219" s="3" t="s">
        <v>779</v>
      </c>
      <c r="G8219" s="3" t="s">
        <v>52</v>
      </c>
      <c r="H8219" s="2" t="s">
        <v>21</v>
      </c>
      <c r="I8219" s="2" t="s">
        <v>15866</v>
      </c>
      <c r="J8219" s="3" t="str">
        <f>HYPERLINK("https://www.boe.es/gazeta/dias/1821/10/06/pdfs/GMD-1821-285.pdf#page=2","Abrir facsímil")</f>
        <v>Abrir facsímil</v>
      </c>
      <c r="K8219" s="3" t="s">
        <v>23</v>
      </c>
    </row>
    <row r="8220" spans="1:11" ht="42" customHeight="1">
      <c r="A8220" s="2" t="s">
        <v>15867</v>
      </c>
      <c r="B8220" s="2" t="s">
        <v>15867</v>
      </c>
      <c r="C8220" s="2" t="s">
        <v>40</v>
      </c>
      <c r="D8220" s="2" t="s">
        <v>41</v>
      </c>
      <c r="E8220" s="5">
        <v>-28640</v>
      </c>
      <c r="F8220" s="3" t="s">
        <v>1590</v>
      </c>
      <c r="G8220" s="3" t="s">
        <v>12347</v>
      </c>
      <c r="H8220" s="2" t="s">
        <v>21</v>
      </c>
      <c r="I8220" s="2" t="s">
        <v>15868</v>
      </c>
      <c r="J8220" s="3" t="str">
        <f>HYPERLINK("https://www.boe.es/gazeta/dias/1821/08/01/pdfs/GMD-1821-217.pdf#page=4","Abrir facsímil")</f>
        <v>Abrir facsímil</v>
      </c>
      <c r="K8220" s="3" t="s">
        <v>23</v>
      </c>
    </row>
    <row r="8221" spans="1:11" ht="42" customHeight="1">
      <c r="A8221" s="2" t="s">
        <v>15869</v>
      </c>
      <c r="B8221" s="2" t="s">
        <v>15870</v>
      </c>
      <c r="C8221" s="2" t="s">
        <v>26</v>
      </c>
      <c r="D8221" s="2" t="s">
        <v>27</v>
      </c>
      <c r="E8221" s="5">
        <v>-28536</v>
      </c>
      <c r="F8221" s="3" t="s">
        <v>553</v>
      </c>
      <c r="G8221" s="3" t="s">
        <v>88</v>
      </c>
      <c r="H8221" s="2" t="s">
        <v>21</v>
      </c>
      <c r="I8221" s="2" t="s">
        <v>15871</v>
      </c>
      <c r="J8221" s="3" t="str">
        <f>HYPERLINK("https://www.boe.es/gazeta/dias/1821/11/13/pdfs/GMD-1821-324.pdf#page=4","Abrir facsímil")</f>
        <v>Abrir facsímil</v>
      </c>
      <c r="K8221" s="3" t="s">
        <v>23</v>
      </c>
    </row>
    <row r="8222" spans="1:11" ht="42" customHeight="1">
      <c r="A8222" s="2" t="s">
        <v>15872</v>
      </c>
      <c r="B8222" s="2" t="s">
        <v>15873</v>
      </c>
      <c r="C8222" s="2" t="s">
        <v>17</v>
      </c>
      <c r="D8222" s="2" t="s">
        <v>18</v>
      </c>
      <c r="E8222" s="5">
        <v>-28547</v>
      </c>
      <c r="F8222" s="3" t="s">
        <v>247</v>
      </c>
      <c r="G8222" s="3" t="s">
        <v>248</v>
      </c>
      <c r="H8222" s="2" t="s">
        <v>21</v>
      </c>
      <c r="I8222" s="2" t="s">
        <v>15874</v>
      </c>
      <c r="J8222" s="3" t="str">
        <f>HYPERLINK("https://www.boe.es/gazeta/dias/1821/11/02/pdfs/GMD-1821-312.pdf#page=2","Abrir facsímil")</f>
        <v>Abrir facsímil</v>
      </c>
      <c r="K8222" s="3" t="s">
        <v>23</v>
      </c>
    </row>
    <row r="8223" spans="1:11" ht="42" customHeight="1">
      <c r="A8223" s="2" t="s">
        <v>15872</v>
      </c>
      <c r="B8223" s="2" t="s">
        <v>15873</v>
      </c>
      <c r="C8223" s="2" t="s">
        <v>114</v>
      </c>
      <c r="D8223" s="2" t="s">
        <v>27</v>
      </c>
      <c r="E8223" s="5">
        <v>-28514</v>
      </c>
      <c r="F8223" s="3" t="s">
        <v>103</v>
      </c>
      <c r="G8223" s="3" t="s">
        <v>52</v>
      </c>
      <c r="H8223" s="2" t="s">
        <v>21</v>
      </c>
      <c r="I8223" s="2" t="s">
        <v>15875</v>
      </c>
      <c r="J8223" s="3" t="str">
        <f>HYPERLINK("https://www.boe.es/gazeta/dias/1821/12/05/pdfs/GMD-1821-347.pdf#page=2","Abrir facsímil")</f>
        <v>Abrir facsímil</v>
      </c>
      <c r="K8223" s="3" t="s">
        <v>23</v>
      </c>
    </row>
    <row r="8224" spans="1:11" ht="42" customHeight="1">
      <c r="A8224" s="2" t="s">
        <v>15872</v>
      </c>
      <c r="B8224" s="2" t="s">
        <v>15873</v>
      </c>
      <c r="C8224" s="2" t="s">
        <v>174</v>
      </c>
      <c r="D8224" s="2" t="s">
        <v>27</v>
      </c>
      <c r="E8224" s="5">
        <v>-28511</v>
      </c>
      <c r="F8224" s="3" t="s">
        <v>340</v>
      </c>
      <c r="G8224" s="3" t="s">
        <v>52</v>
      </c>
      <c r="H8224" s="2" t="s">
        <v>21</v>
      </c>
      <c r="I8224" s="2" t="s">
        <v>15876</v>
      </c>
      <c r="J8224" s="3" t="str">
        <f>HYPERLINK("https://www.boe.es/gazeta/dias/1821/12/08/pdfs/GMD-1821-350.pdf#page=2","Abrir facsímil")</f>
        <v>Abrir facsímil</v>
      </c>
      <c r="K8224" s="3" t="s">
        <v>23</v>
      </c>
    </row>
    <row r="8225" spans="1:11" ht="42" customHeight="1">
      <c r="A8225" s="2" t="s">
        <v>15877</v>
      </c>
      <c r="B8225" s="2" t="s">
        <v>15878</v>
      </c>
      <c r="C8225" s="2" t="s">
        <v>17</v>
      </c>
      <c r="D8225" s="2" t="s">
        <v>18</v>
      </c>
      <c r="E8225" s="5">
        <v>-28807</v>
      </c>
      <c r="F8225" s="3" t="s">
        <v>613</v>
      </c>
      <c r="G8225" s="3" t="s">
        <v>20</v>
      </c>
      <c r="H8225" s="2" t="s">
        <v>21</v>
      </c>
      <c r="I8225" s="2" t="s">
        <v>15879</v>
      </c>
      <c r="J8225" s="3" t="str">
        <f>HYPERLINK("https://www.boe.es/gazeta/dias/1821/02/15/pdfs/GGB-1821-46.pdf#page=3","Abrir facsímil")</f>
        <v>Abrir facsímil</v>
      </c>
      <c r="K8225" s="3" t="s">
        <v>23</v>
      </c>
    </row>
    <row r="8226" spans="1:11" ht="42" customHeight="1">
      <c r="A8226" s="2" t="s">
        <v>15880</v>
      </c>
      <c r="B8226" s="2" t="s">
        <v>15880</v>
      </c>
      <c r="C8226" s="2" t="s">
        <v>40</v>
      </c>
      <c r="D8226" s="2" t="s">
        <v>41</v>
      </c>
      <c r="E8226" s="5">
        <v>-28651</v>
      </c>
      <c r="F8226" s="3" t="s">
        <v>1518</v>
      </c>
      <c r="G8226" s="3" t="s">
        <v>1917</v>
      </c>
      <c r="H8226" s="2" t="s">
        <v>21</v>
      </c>
      <c r="I8226" s="2" t="s">
        <v>15881</v>
      </c>
      <c r="J8226" s="3" t="str">
        <f>HYPERLINK("https://www.boe.es/gazeta/dias/1821/07/21/pdfs/GMD-1821-206.pdf#page=3","Abrir facsímil")</f>
        <v>Abrir facsímil</v>
      </c>
      <c r="K8226" s="3" t="s">
        <v>23</v>
      </c>
    </row>
    <row r="8227" spans="1:11" ht="42" customHeight="1">
      <c r="A8227" s="2" t="s">
        <v>15882</v>
      </c>
      <c r="B8227" s="2" t="s">
        <v>15883</v>
      </c>
      <c r="C8227" s="2" t="s">
        <v>40</v>
      </c>
      <c r="D8227" s="2" t="s">
        <v>41</v>
      </c>
      <c r="E8227" s="5">
        <v>-28529</v>
      </c>
      <c r="F8227" s="3" t="s">
        <v>525</v>
      </c>
      <c r="G8227" s="3" t="s">
        <v>88</v>
      </c>
      <c r="H8227" s="2" t="s">
        <v>21</v>
      </c>
      <c r="I8227" s="2" t="s">
        <v>15884</v>
      </c>
      <c r="J8227" s="3" t="str">
        <f>HYPERLINK("https://www.boe.es/gazeta/dias/1821/11/20/pdfs/GMD-1821-331.pdf#page=4","Abrir facsímil")</f>
        <v>Abrir facsímil</v>
      </c>
      <c r="K8227" s="3" t="s">
        <v>23</v>
      </c>
    </row>
    <row r="8228" spans="1:11" ht="42" customHeight="1">
      <c r="A8228" s="2" t="s">
        <v>15885</v>
      </c>
      <c r="B8228" s="2" t="s">
        <v>15886</v>
      </c>
      <c r="C8228" s="2" t="s">
        <v>26</v>
      </c>
      <c r="D8228" s="2" t="s">
        <v>27</v>
      </c>
      <c r="E8228" s="5">
        <v>-28620</v>
      </c>
      <c r="F8228" s="3" t="s">
        <v>87</v>
      </c>
      <c r="G8228" s="3" t="s">
        <v>88</v>
      </c>
      <c r="H8228" s="2" t="s">
        <v>21</v>
      </c>
      <c r="I8228" s="2" t="s">
        <v>15887</v>
      </c>
      <c r="J8228" s="3" t="str">
        <f>HYPERLINK("https://www.boe.es/gazeta/dias/1821/08/21/pdfs/GMD-1821-238.pdf#page=4","Abrir facsímil")</f>
        <v>Abrir facsímil</v>
      </c>
      <c r="K8228" s="3" t="s">
        <v>23</v>
      </c>
    </row>
    <row r="8229" spans="1:11" ht="42" customHeight="1">
      <c r="A8229" s="2" t="s">
        <v>15888</v>
      </c>
      <c r="B8229" s="2" t="s">
        <v>15889</v>
      </c>
      <c r="C8229" s="2" t="s">
        <v>114</v>
      </c>
      <c r="D8229" s="2" t="s">
        <v>27</v>
      </c>
      <c r="E8229" s="5">
        <v>-28808</v>
      </c>
      <c r="F8229" s="3" t="s">
        <v>3445</v>
      </c>
      <c r="G8229" s="3" t="s">
        <v>13939</v>
      </c>
      <c r="H8229" s="2" t="s">
        <v>30</v>
      </c>
      <c r="I8229" s="2" t="s">
        <v>15890</v>
      </c>
      <c r="J8229" s="3" t="str">
        <f>HYPERLINK("https://www.boe.es/gazeta/dias/1821/02/14/pdfs/GGB-1821-45.pdf#page=4","Abrir facsímil")</f>
        <v>Abrir facsímil</v>
      </c>
      <c r="K8229" s="3" t="s">
        <v>32</v>
      </c>
    </row>
    <row r="8230" spans="1:11" ht="42" customHeight="1">
      <c r="A8230" s="2" t="s">
        <v>15891</v>
      </c>
      <c r="B8230" s="2" t="s">
        <v>15892</v>
      </c>
      <c r="C8230" s="2" t="s">
        <v>17</v>
      </c>
      <c r="D8230" s="2" t="s">
        <v>18</v>
      </c>
      <c r="E8230" s="5">
        <v>-28776</v>
      </c>
      <c r="F8230" s="3" t="s">
        <v>312</v>
      </c>
      <c r="G8230" s="3" t="s">
        <v>162</v>
      </c>
      <c r="H8230" s="2" t="s">
        <v>21</v>
      </c>
      <c r="I8230" s="2" t="s">
        <v>15893</v>
      </c>
      <c r="J8230" s="3" t="str">
        <f>HYPERLINK("https://www.boe.es/gazeta/dias/1821/03/18/pdfs/GMD-1821-77.pdf#page=5","Abrir facsímil")</f>
        <v>Abrir facsímil</v>
      </c>
      <c r="K8230" s="3" t="s">
        <v>23</v>
      </c>
    </row>
    <row r="8231" spans="1:11" ht="42" customHeight="1">
      <c r="A8231" s="2" t="s">
        <v>15894</v>
      </c>
      <c r="B8231" s="2" t="s">
        <v>15895</v>
      </c>
      <c r="C8231" s="2" t="s">
        <v>40</v>
      </c>
      <c r="D8231" s="2" t="s">
        <v>41</v>
      </c>
      <c r="E8231" s="5">
        <v>-28666</v>
      </c>
      <c r="F8231" s="3" t="s">
        <v>1263</v>
      </c>
      <c r="G8231" s="3" t="s">
        <v>20</v>
      </c>
      <c r="H8231" s="2" t="s">
        <v>21</v>
      </c>
      <c r="I8231" s="2" t="s">
        <v>15896</v>
      </c>
      <c r="J8231" s="3" t="str">
        <f>HYPERLINK("https://www.boe.es/gazeta/dias/1821/07/06/pdfs/GMD-1821-190.pdf#page=3","Abrir facsímil")</f>
        <v>Abrir facsímil</v>
      </c>
      <c r="K8231" s="3" t="s">
        <v>23</v>
      </c>
    </row>
    <row r="8232" spans="1:11" ht="42" customHeight="1">
      <c r="A8232" s="2" t="s">
        <v>15897</v>
      </c>
      <c r="B8232" s="2" t="s">
        <v>15898</v>
      </c>
      <c r="C8232" s="2" t="s">
        <v>40</v>
      </c>
      <c r="D8232" s="2" t="s">
        <v>41</v>
      </c>
      <c r="E8232" s="5">
        <v>-28717</v>
      </c>
      <c r="F8232" s="3" t="s">
        <v>1044</v>
      </c>
      <c r="G8232" s="3" t="s">
        <v>52</v>
      </c>
      <c r="H8232" s="2" t="s">
        <v>21</v>
      </c>
      <c r="I8232" s="2" t="s">
        <v>15899</v>
      </c>
      <c r="J8232" s="3" t="str">
        <f>HYPERLINK("https://www.boe.es/gazeta/dias/1821/05/16/pdfs/GMD-1821-138.pdf#page=2","Abrir facsímil")</f>
        <v>Abrir facsímil</v>
      </c>
      <c r="K8232" s="3" t="s">
        <v>23</v>
      </c>
    </row>
    <row r="8233" spans="1:11" ht="42" customHeight="1">
      <c r="A8233" s="2" t="s">
        <v>15900</v>
      </c>
      <c r="B8233" s="2" t="s">
        <v>15901</v>
      </c>
      <c r="C8233" s="2" t="s">
        <v>26</v>
      </c>
      <c r="D8233" s="2" t="s">
        <v>27</v>
      </c>
      <c r="E8233" s="5">
        <v>-28667</v>
      </c>
      <c r="F8233" s="3" t="s">
        <v>107</v>
      </c>
      <c r="G8233" s="3" t="s">
        <v>52</v>
      </c>
      <c r="H8233" s="2" t="s">
        <v>21</v>
      </c>
      <c r="I8233" s="2" t="s">
        <v>15902</v>
      </c>
      <c r="J8233" s="3" t="str">
        <f>HYPERLINK("https://www.boe.es/gazeta/dias/1821/07/05/pdfs/GMD-1821-189.pdf#page=2","Abrir facsímil")</f>
        <v>Abrir facsímil</v>
      </c>
      <c r="K8233" s="3" t="s">
        <v>23</v>
      </c>
    </row>
    <row r="8234" spans="1:11" ht="42" customHeight="1">
      <c r="A8234" s="2" t="s">
        <v>15903</v>
      </c>
      <c r="B8234" s="2" t="s">
        <v>15904</v>
      </c>
      <c r="C8234" s="2" t="s">
        <v>174</v>
      </c>
      <c r="D8234" s="2" t="s">
        <v>27</v>
      </c>
      <c r="E8234" s="5">
        <v>-28751</v>
      </c>
      <c r="F8234" s="3" t="s">
        <v>356</v>
      </c>
      <c r="G8234" s="3" t="s">
        <v>43</v>
      </c>
      <c r="H8234" s="2" t="s">
        <v>21</v>
      </c>
      <c r="I8234" s="2" t="s">
        <v>15905</v>
      </c>
      <c r="J8234" s="3" t="str">
        <f>HYPERLINK("https://www.boe.es/gazeta/dias/1821/04/12/pdfs/GMD-1821-104.pdf#page=1","Abrir facsímil")</f>
        <v>Abrir facsímil</v>
      </c>
      <c r="K8234" s="3" t="s">
        <v>23</v>
      </c>
    </row>
    <row r="8235" spans="1:11" ht="42" customHeight="1">
      <c r="A8235" s="2" t="s">
        <v>15906</v>
      </c>
      <c r="B8235" s="2" t="s">
        <v>15907</v>
      </c>
      <c r="C8235" s="2" t="s">
        <v>17</v>
      </c>
      <c r="D8235" s="2" t="s">
        <v>18</v>
      </c>
      <c r="E8235" s="5">
        <v>-28659</v>
      </c>
      <c r="F8235" s="3" t="s">
        <v>2850</v>
      </c>
      <c r="G8235" s="3" t="s">
        <v>5087</v>
      </c>
      <c r="H8235" s="2" t="s">
        <v>21</v>
      </c>
      <c r="I8235" s="2" t="s">
        <v>15908</v>
      </c>
      <c r="J8235" s="3" t="str">
        <f>HYPERLINK("https://www.boe.es/gazeta/dias/1821/07/13/pdfs/GMD-1821-198.pdf#page=4","Abrir facsímil")</f>
        <v>Abrir facsímil</v>
      </c>
      <c r="K8235" s="3" t="s">
        <v>23</v>
      </c>
    </row>
    <row r="8236" spans="1:11" ht="42" customHeight="1">
      <c r="A8236" s="2" t="s">
        <v>15909</v>
      </c>
      <c r="B8236" s="2" t="s">
        <v>15910</v>
      </c>
      <c r="C8236" s="2" t="s">
        <v>40</v>
      </c>
      <c r="D8236" s="2" t="s">
        <v>41</v>
      </c>
      <c r="E8236" s="5">
        <v>-28616</v>
      </c>
      <c r="F8236" s="3" t="s">
        <v>1912</v>
      </c>
      <c r="G8236" s="3" t="s">
        <v>1913</v>
      </c>
      <c r="H8236" s="2" t="s">
        <v>21</v>
      </c>
      <c r="I8236" s="2" t="s">
        <v>15911</v>
      </c>
      <c r="J8236" s="3" t="str">
        <f>HYPERLINK("https://www.boe.es/gazeta/dias/1821/08/25/pdfs/GMD-1821-242.pdf#page=3","Abrir facsímil")</f>
        <v>Abrir facsímil</v>
      </c>
      <c r="K8236" s="3" t="s">
        <v>23</v>
      </c>
    </row>
    <row r="8237" spans="1:11" ht="42" customHeight="1">
      <c r="A8237" s="2" t="s">
        <v>15912</v>
      </c>
      <c r="B8237" s="2" t="s">
        <v>15913</v>
      </c>
      <c r="C8237" s="2" t="s">
        <v>40</v>
      </c>
      <c r="D8237" s="2" t="s">
        <v>41</v>
      </c>
      <c r="E8237" s="5">
        <v>-28492</v>
      </c>
      <c r="F8237" s="3" t="s">
        <v>1550</v>
      </c>
      <c r="G8237" s="3" t="s">
        <v>88</v>
      </c>
      <c r="H8237" s="2" t="s">
        <v>21</v>
      </c>
      <c r="I8237" s="2" t="s">
        <v>15914</v>
      </c>
      <c r="J8237" s="3" t="str">
        <f>HYPERLINK("https://www.boe.es/gazeta/dias/1821/12/27/pdfs/GMD-1821-370.pdf#page=4","Abrir facsímil")</f>
        <v>Abrir facsímil</v>
      </c>
      <c r="K8237" s="3" t="s">
        <v>23</v>
      </c>
    </row>
    <row r="8238" spans="1:11" ht="42" customHeight="1">
      <c r="A8238" s="2" t="s">
        <v>15915</v>
      </c>
      <c r="B8238" s="2" t="s">
        <v>15915</v>
      </c>
      <c r="C8238" s="2" t="s">
        <v>70</v>
      </c>
      <c r="D8238" s="2" t="s">
        <v>27</v>
      </c>
      <c r="E8238" s="5">
        <v>-28629</v>
      </c>
      <c r="F8238" s="3" t="s">
        <v>235</v>
      </c>
      <c r="G8238" s="3" t="s">
        <v>8898</v>
      </c>
      <c r="H8238" s="2" t="s">
        <v>21</v>
      </c>
      <c r="I8238" s="2" t="s">
        <v>15916</v>
      </c>
      <c r="J8238" s="3" t="str">
        <f>HYPERLINK("https://www.boe.es/gazeta/dias/1821/08/12/pdfs/GMD-1821-229.pdf#page=2","Abrir facsímil")</f>
        <v>Abrir facsímil</v>
      </c>
      <c r="K8238" s="3" t="s">
        <v>23</v>
      </c>
    </row>
    <row r="8239" spans="1:11" ht="42" customHeight="1">
      <c r="A8239" s="2" t="s">
        <v>15917</v>
      </c>
      <c r="B8239" s="2" t="s">
        <v>15918</v>
      </c>
      <c r="C8239" s="2" t="s">
        <v>40</v>
      </c>
      <c r="D8239" s="2" t="s">
        <v>41</v>
      </c>
      <c r="E8239" s="5">
        <v>-28723</v>
      </c>
      <c r="F8239" s="3" t="s">
        <v>840</v>
      </c>
      <c r="G8239" s="3" t="s">
        <v>43</v>
      </c>
      <c r="H8239" s="2" t="s">
        <v>21</v>
      </c>
      <c r="I8239" s="2" t="s">
        <v>15919</v>
      </c>
      <c r="J8239" s="3" t="str">
        <f>HYPERLINK("https://www.boe.es/gazeta/dias/1821/05/10/pdfs/GMD-1821-132.pdf#page=1","Abrir facsímil")</f>
        <v>Abrir facsímil</v>
      </c>
      <c r="K8239" s="3" t="s">
        <v>23</v>
      </c>
    </row>
    <row r="8240" spans="1:11" ht="42" customHeight="1">
      <c r="A8240" s="2" t="s">
        <v>15920</v>
      </c>
      <c r="B8240" s="2" t="s">
        <v>15920</v>
      </c>
      <c r="C8240" s="2" t="s">
        <v>40</v>
      </c>
      <c r="D8240" s="2" t="s">
        <v>41</v>
      </c>
      <c r="E8240" s="5">
        <v>-28800</v>
      </c>
      <c r="F8240" s="3" t="s">
        <v>1753</v>
      </c>
      <c r="G8240" s="3" t="s">
        <v>88</v>
      </c>
      <c r="H8240" s="2" t="s">
        <v>21</v>
      </c>
      <c r="I8240" s="2" t="s">
        <v>15921</v>
      </c>
      <c r="J8240" s="3" t="str">
        <f>HYPERLINK("https://www.boe.es/gazeta/dias/1821/02/22/pdfs/GGB-1821-53.pdf#page=4","Abrir facsímil")</f>
        <v>Abrir facsímil</v>
      </c>
      <c r="K8240" s="3" t="s">
        <v>23</v>
      </c>
    </row>
    <row r="8241" spans="1:11" ht="42" customHeight="1">
      <c r="A8241" s="2" t="s">
        <v>15920</v>
      </c>
      <c r="B8241" s="2" t="s">
        <v>15920</v>
      </c>
      <c r="C8241" s="2" t="s">
        <v>174</v>
      </c>
      <c r="D8241" s="2" t="s">
        <v>27</v>
      </c>
      <c r="E8241" s="5">
        <v>-28604</v>
      </c>
      <c r="F8241" s="3" t="s">
        <v>729</v>
      </c>
      <c r="G8241" s="3" t="s">
        <v>29</v>
      </c>
      <c r="H8241" s="2" t="s">
        <v>21</v>
      </c>
      <c r="I8241" s="2" t="s">
        <v>15922</v>
      </c>
      <c r="J8241" s="3" t="str">
        <f>HYPERLINK("https://www.boe.es/gazeta/dias/1821/09/06/pdfs/GMD-1821-254.pdf#page=6","Abrir facsímil")</f>
        <v>Abrir facsímil</v>
      </c>
      <c r="K8241" s="3" t="s">
        <v>23</v>
      </c>
    </row>
    <row r="8242" spans="1:11" ht="42" customHeight="1">
      <c r="A8242" s="2" t="s">
        <v>15923</v>
      </c>
      <c r="B8242" s="2" t="s">
        <v>15924</v>
      </c>
      <c r="C8242" s="2" t="s">
        <v>26</v>
      </c>
      <c r="D8242" s="2" t="s">
        <v>27</v>
      </c>
      <c r="E8242" s="5">
        <v>-28590</v>
      </c>
      <c r="F8242" s="3" t="s">
        <v>2787</v>
      </c>
      <c r="G8242" s="3" t="s">
        <v>52</v>
      </c>
      <c r="H8242" s="2" t="s">
        <v>21</v>
      </c>
      <c r="I8242" s="2" t="s">
        <v>15925</v>
      </c>
      <c r="J8242" s="3" t="str">
        <f>HYPERLINK("https://www.boe.es/gazeta/dias/1821/09/20/pdfs/GMD-1821-268.pdf#page=2","Abrir facsímil")</f>
        <v>Abrir facsímil</v>
      </c>
      <c r="K8242" s="3" t="s">
        <v>23</v>
      </c>
    </row>
    <row r="8243" spans="1:11" ht="42" customHeight="1">
      <c r="A8243" s="2" t="s">
        <v>15926</v>
      </c>
      <c r="B8243" s="2" t="s">
        <v>15926</v>
      </c>
      <c r="C8243" s="2" t="s">
        <v>40</v>
      </c>
      <c r="D8243" s="2" t="s">
        <v>41</v>
      </c>
      <c r="E8243" s="5">
        <v>-28765</v>
      </c>
      <c r="F8243" s="3" t="s">
        <v>974</v>
      </c>
      <c r="G8243" s="3" t="s">
        <v>1483</v>
      </c>
      <c r="H8243" s="2" t="s">
        <v>21</v>
      </c>
      <c r="I8243" s="2" t="s">
        <v>15927</v>
      </c>
      <c r="J8243" s="3" t="str">
        <f>HYPERLINK("https://www.boe.es/gazeta/dias/1821/03/29/pdfs/GMD-1821-90.pdf#page=4","Abrir facsímil")</f>
        <v>Abrir facsímil</v>
      </c>
      <c r="K8243" s="3" t="s">
        <v>23</v>
      </c>
    </row>
    <row r="8244" spans="1:11" ht="42" customHeight="1">
      <c r="A8244" s="2" t="s">
        <v>15928</v>
      </c>
      <c r="B8244" s="2" t="s">
        <v>15928</v>
      </c>
      <c r="C8244" s="2" t="s">
        <v>40</v>
      </c>
      <c r="D8244" s="2" t="s">
        <v>41</v>
      </c>
      <c r="E8244" s="5">
        <v>-28799</v>
      </c>
      <c r="F8244" s="3" t="s">
        <v>3158</v>
      </c>
      <c r="G8244" s="3" t="s">
        <v>52</v>
      </c>
      <c r="H8244" s="2" t="s">
        <v>21</v>
      </c>
      <c r="I8244" s="2" t="s">
        <v>15929</v>
      </c>
      <c r="J8244" s="3" t="str">
        <f>HYPERLINK("https://www.boe.es/gazeta/dias/1821/02/23/pdfs/GGB-1821-54.pdf#page=2","Abrir facsímil")</f>
        <v>Abrir facsímil</v>
      </c>
      <c r="K8244" s="3" t="s">
        <v>23</v>
      </c>
    </row>
    <row r="8245" spans="1:11" ht="42" customHeight="1">
      <c r="A8245" s="2" t="s">
        <v>15930</v>
      </c>
      <c r="B8245" s="2" t="s">
        <v>15931</v>
      </c>
      <c r="C8245" s="2" t="s">
        <v>40</v>
      </c>
      <c r="D8245" s="2" t="s">
        <v>41</v>
      </c>
      <c r="E8245" s="5">
        <v>-28620</v>
      </c>
      <c r="F8245" s="3" t="s">
        <v>87</v>
      </c>
      <c r="G8245" s="3" t="s">
        <v>52</v>
      </c>
      <c r="H8245" s="2" t="s">
        <v>21</v>
      </c>
      <c r="I8245" s="2" t="s">
        <v>15932</v>
      </c>
      <c r="J8245" s="3" t="str">
        <f>HYPERLINK("https://www.boe.es/gazeta/dias/1821/08/21/pdfs/GMD-1821-238.pdf#page=2","Abrir facsímil")</f>
        <v>Abrir facsímil</v>
      </c>
      <c r="K8245" s="3" t="s">
        <v>23</v>
      </c>
    </row>
    <row r="8246" spans="1:11" ht="42" customHeight="1">
      <c r="A8246" s="2" t="s">
        <v>15933</v>
      </c>
      <c r="B8246" s="2" t="s">
        <v>15933</v>
      </c>
      <c r="C8246" s="2" t="s">
        <v>40</v>
      </c>
      <c r="D8246" s="2" t="s">
        <v>41</v>
      </c>
      <c r="E8246" s="5">
        <v>-28515</v>
      </c>
      <c r="F8246" s="3" t="s">
        <v>260</v>
      </c>
      <c r="G8246" s="3" t="s">
        <v>20</v>
      </c>
      <c r="H8246" s="2" t="s">
        <v>21</v>
      </c>
      <c r="I8246" s="2" t="s">
        <v>15934</v>
      </c>
      <c r="J8246" s="3" t="str">
        <f>HYPERLINK("https://www.boe.es/gazeta/dias/1821/12/04/pdfs/GMD-1821-346.pdf#page=3","Abrir facsímil")</f>
        <v>Abrir facsímil</v>
      </c>
      <c r="K8246" s="3" t="s">
        <v>23</v>
      </c>
    </row>
    <row r="8247" spans="1:11" ht="42" customHeight="1">
      <c r="A8247" s="2" t="s">
        <v>15935</v>
      </c>
      <c r="B8247" s="2" t="s">
        <v>15935</v>
      </c>
      <c r="C8247" s="2" t="s">
        <v>40</v>
      </c>
      <c r="D8247" s="2" t="s">
        <v>41</v>
      </c>
      <c r="E8247" s="5">
        <v>-28816</v>
      </c>
      <c r="F8247" s="3" t="s">
        <v>794</v>
      </c>
      <c r="G8247" s="3" t="s">
        <v>88</v>
      </c>
      <c r="H8247" s="2" t="s">
        <v>21</v>
      </c>
      <c r="I8247" s="2" t="s">
        <v>15936</v>
      </c>
      <c r="J8247" s="3" t="str">
        <f>HYPERLINK("https://www.boe.es/gazeta/dias/1821/02/06/pdfs/GGB-1821-37.pdf#page=4","Abrir facsímil")</f>
        <v>Abrir facsímil</v>
      </c>
      <c r="K8247" s="3" t="s">
        <v>23</v>
      </c>
    </row>
    <row r="8248" spans="1:11" ht="42" customHeight="1">
      <c r="A8248" s="2" t="s">
        <v>15937</v>
      </c>
      <c r="B8248" s="2" t="s">
        <v>15938</v>
      </c>
      <c r="C8248" s="2" t="s">
        <v>114</v>
      </c>
      <c r="D8248" s="2" t="s">
        <v>27</v>
      </c>
      <c r="E8248" s="5">
        <v>-28793</v>
      </c>
      <c r="F8248" s="3" t="s">
        <v>157</v>
      </c>
      <c r="G8248" s="3" t="s">
        <v>29</v>
      </c>
      <c r="H8248" s="2" t="s">
        <v>21</v>
      </c>
      <c r="I8248" s="2" t="s">
        <v>15939</v>
      </c>
      <c r="J8248" s="3" t="str">
        <f>HYPERLINK("https://www.boe.es/gazeta/dias/1821/03/01/pdfs/GGB-1821-60.pdf#page=6","Abrir facsímil")</f>
        <v>Abrir facsímil</v>
      </c>
      <c r="K8248" s="3" t="s">
        <v>23</v>
      </c>
    </row>
    <row r="8249" spans="1:11" ht="42" customHeight="1">
      <c r="A8249" s="2" t="s">
        <v>15940</v>
      </c>
      <c r="B8249" s="2" t="s">
        <v>15940</v>
      </c>
      <c r="C8249" s="2" t="s">
        <v>40</v>
      </c>
      <c r="D8249" s="2" t="s">
        <v>41</v>
      </c>
      <c r="E8249" s="5">
        <v>-28828</v>
      </c>
      <c r="F8249" s="3" t="s">
        <v>1864</v>
      </c>
      <c r="G8249" s="3" t="s">
        <v>52</v>
      </c>
      <c r="H8249" s="2" t="s">
        <v>21</v>
      </c>
      <c r="I8249" s="2" t="s">
        <v>15941</v>
      </c>
      <c r="J8249" s="3" t="str">
        <f>HYPERLINK("https://www.boe.es/gazeta/dias/1821/01/25/pdfs/GGB-1821-25.pdf#page=2","Abrir facsímil")</f>
        <v>Abrir facsímil</v>
      </c>
      <c r="K8249" s="3" t="s">
        <v>23</v>
      </c>
    </row>
    <row r="8250" spans="1:11" ht="42" customHeight="1">
      <c r="A8250" s="2" t="s">
        <v>15940</v>
      </c>
      <c r="B8250" s="2" t="s">
        <v>15940</v>
      </c>
      <c r="C8250" s="2" t="s">
        <v>40</v>
      </c>
      <c r="D8250" s="2" t="s">
        <v>41</v>
      </c>
      <c r="E8250" s="5">
        <v>-28819</v>
      </c>
      <c r="F8250" s="3" t="s">
        <v>1830</v>
      </c>
      <c r="G8250" s="3" t="s">
        <v>20</v>
      </c>
      <c r="H8250" s="2" t="s">
        <v>21</v>
      </c>
      <c r="I8250" s="2" t="s">
        <v>15942</v>
      </c>
      <c r="J8250" s="3" t="str">
        <f>HYPERLINK("https://www.boe.es/gazeta/dias/1821/02/03/pdfs/GGB-1821-34.pdf#page=3","Abrir facsímil")</f>
        <v>Abrir facsímil</v>
      </c>
      <c r="K8250" s="3" t="s">
        <v>23</v>
      </c>
    </row>
    <row r="8251" spans="1:11" ht="42" customHeight="1">
      <c r="A8251" s="2" t="s">
        <v>15940</v>
      </c>
      <c r="B8251" s="2" t="s">
        <v>15940</v>
      </c>
      <c r="C8251" s="2" t="s">
        <v>40</v>
      </c>
      <c r="D8251" s="2" t="s">
        <v>41</v>
      </c>
      <c r="E8251" s="5">
        <v>-28725</v>
      </c>
      <c r="F8251" s="3" t="s">
        <v>440</v>
      </c>
      <c r="G8251" s="3" t="s">
        <v>52</v>
      </c>
      <c r="H8251" s="2" t="s">
        <v>21</v>
      </c>
      <c r="I8251" s="2" t="s">
        <v>15943</v>
      </c>
      <c r="J8251" s="3" t="str">
        <f>HYPERLINK("https://www.boe.es/gazeta/dias/1821/05/08/pdfs/GMD-1821-130.pdf#page=2","Abrir facsímil")</f>
        <v>Abrir facsímil</v>
      </c>
      <c r="K8251" s="3" t="s">
        <v>23</v>
      </c>
    </row>
    <row r="8252" spans="1:11" ht="42" customHeight="1">
      <c r="A8252" s="2" t="s">
        <v>15940</v>
      </c>
      <c r="B8252" s="2" t="s">
        <v>15940</v>
      </c>
      <c r="C8252" s="2" t="s">
        <v>40</v>
      </c>
      <c r="D8252" s="2" t="s">
        <v>41</v>
      </c>
      <c r="E8252" s="5">
        <v>-28624</v>
      </c>
      <c r="F8252" s="3" t="s">
        <v>78</v>
      </c>
      <c r="G8252" s="3" t="s">
        <v>9302</v>
      </c>
      <c r="H8252" s="2" t="s">
        <v>21</v>
      </c>
      <c r="I8252" s="2" t="s">
        <v>15944</v>
      </c>
      <c r="J8252" s="3" t="str">
        <f>HYPERLINK("https://www.boe.es/gazeta/dias/1821/08/17/pdfs/GMD-1821-234.pdf#page=2","Abrir facsímil")</f>
        <v>Abrir facsímil</v>
      </c>
      <c r="K8252" s="3" t="s">
        <v>23</v>
      </c>
    </row>
    <row r="8253" spans="1:11" ht="42" customHeight="1">
      <c r="A8253" s="2" t="s">
        <v>15945</v>
      </c>
      <c r="B8253" s="2" t="s">
        <v>15945</v>
      </c>
      <c r="C8253" s="2" t="s">
        <v>40</v>
      </c>
      <c r="D8253" s="2" t="s">
        <v>41</v>
      </c>
      <c r="E8253" s="5">
        <v>-28624</v>
      </c>
      <c r="F8253" s="3" t="s">
        <v>78</v>
      </c>
      <c r="G8253" s="3" t="s">
        <v>9302</v>
      </c>
      <c r="H8253" s="2" t="s">
        <v>21</v>
      </c>
      <c r="I8253" s="2" t="s">
        <v>15946</v>
      </c>
      <c r="J8253" s="3" t="str">
        <f>HYPERLINK("https://www.boe.es/gazeta/dias/1821/08/17/pdfs/GMD-1821-234.pdf#page=2","Abrir facsímil")</f>
        <v>Abrir facsímil</v>
      </c>
      <c r="K8253" s="3" t="s">
        <v>23</v>
      </c>
    </row>
    <row r="8254" spans="1:11" ht="42" customHeight="1">
      <c r="A8254" s="2" t="s">
        <v>15947</v>
      </c>
      <c r="B8254" s="2" t="s">
        <v>15947</v>
      </c>
      <c r="C8254" s="2" t="s">
        <v>40</v>
      </c>
      <c r="D8254" s="2" t="s">
        <v>41</v>
      </c>
      <c r="E8254" s="5">
        <v>-28595</v>
      </c>
      <c r="F8254" s="3" t="s">
        <v>1621</v>
      </c>
      <c r="G8254" s="3" t="s">
        <v>20</v>
      </c>
      <c r="H8254" s="2" t="s">
        <v>21</v>
      </c>
      <c r="I8254" s="2" t="s">
        <v>15948</v>
      </c>
      <c r="J8254" s="3" t="str">
        <f>HYPERLINK("https://www.boe.es/gazeta/dias/1821/09/15/pdfs/GMD-1821-263.pdf#page=3","Abrir facsímil")</f>
        <v>Abrir facsímil</v>
      </c>
      <c r="K8254" s="3" t="s">
        <v>23</v>
      </c>
    </row>
    <row r="8255" spans="1:11" ht="42" customHeight="1">
      <c r="A8255" s="2" t="s">
        <v>15949</v>
      </c>
      <c r="B8255" s="2" t="s">
        <v>15950</v>
      </c>
      <c r="C8255" s="2" t="s">
        <v>40</v>
      </c>
      <c r="D8255" s="2" t="s">
        <v>41</v>
      </c>
      <c r="E8255" s="5">
        <v>-28531</v>
      </c>
      <c r="F8255" s="3" t="s">
        <v>365</v>
      </c>
      <c r="G8255" s="3" t="s">
        <v>20</v>
      </c>
      <c r="H8255" s="2" t="s">
        <v>21</v>
      </c>
      <c r="I8255" s="2" t="s">
        <v>15951</v>
      </c>
      <c r="J8255" s="3" t="str">
        <f>HYPERLINK("https://www.boe.es/gazeta/dias/1821/11/18/pdfs/GMD-1821-329.pdf#page=3","Abrir facsímil")</f>
        <v>Abrir facsímil</v>
      </c>
      <c r="K8255" s="3" t="s">
        <v>23</v>
      </c>
    </row>
    <row r="8256" spans="1:11" ht="42" customHeight="1">
      <c r="A8256" s="2" t="s">
        <v>15952</v>
      </c>
      <c r="B8256" s="2" t="s">
        <v>15953</v>
      </c>
      <c r="C8256" s="2" t="s">
        <v>17</v>
      </c>
      <c r="D8256" s="2" t="s">
        <v>18</v>
      </c>
      <c r="E8256" s="5">
        <v>-28843</v>
      </c>
      <c r="F8256" s="3" t="s">
        <v>4068</v>
      </c>
      <c r="G8256" s="3" t="s">
        <v>52</v>
      </c>
      <c r="H8256" s="2" t="s">
        <v>21</v>
      </c>
      <c r="I8256" s="2" t="s">
        <v>15954</v>
      </c>
      <c r="J8256" s="3" t="str">
        <f>HYPERLINK("https://www.boe.es/gazeta/dias/1821/01/10/pdfs/GGB-1821-10.pdf#page=2","Abrir facsímil")</f>
        <v>Abrir facsímil</v>
      </c>
      <c r="K8256" s="3" t="s">
        <v>23</v>
      </c>
    </row>
    <row r="8257" spans="1:11" ht="42" customHeight="1">
      <c r="A8257" s="2" t="s">
        <v>15955</v>
      </c>
      <c r="B8257" s="2" t="s">
        <v>15956</v>
      </c>
      <c r="C8257" s="2" t="s">
        <v>26</v>
      </c>
      <c r="D8257" s="2" t="s">
        <v>27</v>
      </c>
      <c r="E8257" s="5">
        <v>-28725</v>
      </c>
      <c r="F8257" s="3" t="s">
        <v>440</v>
      </c>
      <c r="G8257" s="3" t="s">
        <v>88</v>
      </c>
      <c r="H8257" s="2" t="s">
        <v>21</v>
      </c>
      <c r="I8257" s="2" t="s">
        <v>15957</v>
      </c>
      <c r="J8257" s="3" t="str">
        <f>HYPERLINK("https://www.boe.es/gazeta/dias/1821/05/08/pdfs/GMD-1821-130.pdf#page=4","Abrir facsímil")</f>
        <v>Abrir facsímil</v>
      </c>
      <c r="K8257" s="3" t="s">
        <v>23</v>
      </c>
    </row>
    <row r="8258" spans="1:11" ht="42" customHeight="1">
      <c r="A8258" s="2" t="s">
        <v>15958</v>
      </c>
      <c r="B8258" s="2" t="s">
        <v>15958</v>
      </c>
      <c r="C8258" s="2" t="s">
        <v>17</v>
      </c>
      <c r="D8258" s="2" t="s">
        <v>18</v>
      </c>
      <c r="E8258" s="5">
        <v>-28705</v>
      </c>
      <c r="F8258" s="3" t="s">
        <v>1844</v>
      </c>
      <c r="G8258" s="3" t="s">
        <v>333</v>
      </c>
      <c r="H8258" s="2" t="s">
        <v>21</v>
      </c>
      <c r="I8258" s="2" t="s">
        <v>15959</v>
      </c>
      <c r="J8258" s="3" t="str">
        <f>HYPERLINK("https://www.boe.es/gazeta/dias/1821/05/28/pdfs/GMD-1821-150.pdf#page=8","Abrir facsímil")</f>
        <v>Abrir facsímil</v>
      </c>
      <c r="K8258" s="3" t="s">
        <v>23</v>
      </c>
    </row>
    <row r="8259" spans="1:11" ht="42" customHeight="1">
      <c r="A8259" s="2" t="s">
        <v>15958</v>
      </c>
      <c r="B8259" s="2" t="s">
        <v>15958</v>
      </c>
      <c r="C8259" s="2" t="s">
        <v>40</v>
      </c>
      <c r="D8259" s="2" t="s">
        <v>41</v>
      </c>
      <c r="E8259" s="5">
        <v>-28557</v>
      </c>
      <c r="F8259" s="3" t="s">
        <v>316</v>
      </c>
      <c r="G8259" s="3" t="s">
        <v>29</v>
      </c>
      <c r="H8259" s="2" t="s">
        <v>21</v>
      </c>
      <c r="I8259" s="2" t="s">
        <v>15960</v>
      </c>
      <c r="J8259" s="3" t="str">
        <f>HYPERLINK("https://www.boe.es/gazeta/dias/1821/10/23/pdfs/GMD-1821-302.pdf#page=6","Abrir facsímil")</f>
        <v>Abrir facsímil</v>
      </c>
      <c r="K8259" s="3" t="s">
        <v>23</v>
      </c>
    </row>
    <row r="8260" spans="1:11" ht="42" customHeight="1">
      <c r="A8260" s="2" t="s">
        <v>15961</v>
      </c>
      <c r="B8260" s="2" t="s">
        <v>15962</v>
      </c>
      <c r="C8260" s="2" t="s">
        <v>40</v>
      </c>
      <c r="D8260" s="2" t="s">
        <v>41</v>
      </c>
      <c r="E8260" s="5">
        <v>-28531</v>
      </c>
      <c r="F8260" s="3" t="s">
        <v>365</v>
      </c>
      <c r="G8260" s="3" t="s">
        <v>20</v>
      </c>
      <c r="H8260" s="2" t="s">
        <v>21</v>
      </c>
      <c r="I8260" s="2" t="s">
        <v>15963</v>
      </c>
      <c r="J8260" s="3" t="str">
        <f>HYPERLINK("https://www.boe.es/gazeta/dias/1821/11/18/pdfs/GMD-1821-329.pdf#page=3","Abrir facsímil")</f>
        <v>Abrir facsímil</v>
      </c>
      <c r="K8260" s="3" t="s">
        <v>23</v>
      </c>
    </row>
    <row r="8261" spans="1:11" ht="42" customHeight="1">
      <c r="A8261" s="2" t="s">
        <v>15964</v>
      </c>
      <c r="B8261" s="2" t="s">
        <v>15964</v>
      </c>
      <c r="C8261" s="2" t="s">
        <v>279</v>
      </c>
      <c r="D8261" s="2" t="s">
        <v>27</v>
      </c>
      <c r="E8261" s="5">
        <v>-28788</v>
      </c>
      <c r="F8261" s="3" t="s">
        <v>996</v>
      </c>
      <c r="G8261" s="3" t="s">
        <v>20</v>
      </c>
      <c r="H8261" s="2" t="s">
        <v>21</v>
      </c>
      <c r="I8261" s="2" t="s">
        <v>15965</v>
      </c>
      <c r="J8261" s="3" t="str">
        <f>HYPERLINK("https://www.boe.es/gazeta/dias/1821/03/06/pdfs/GGB-1821-65.pdf#page=3","Abrir facsímil")</f>
        <v>Abrir facsímil</v>
      </c>
      <c r="K8261" s="3" t="s">
        <v>23</v>
      </c>
    </row>
    <row r="8262" spans="1:11" ht="42" customHeight="1">
      <c r="A8262" s="2" t="s">
        <v>15966</v>
      </c>
      <c r="B8262" s="2" t="s">
        <v>15966</v>
      </c>
      <c r="C8262" s="2" t="s">
        <v>40</v>
      </c>
      <c r="D8262" s="2" t="s">
        <v>41</v>
      </c>
      <c r="E8262" s="5">
        <v>-28792</v>
      </c>
      <c r="F8262" s="3" t="s">
        <v>2289</v>
      </c>
      <c r="G8262" s="3" t="s">
        <v>43</v>
      </c>
      <c r="H8262" s="2" t="s">
        <v>21</v>
      </c>
      <c r="I8262" s="2" t="s">
        <v>15967</v>
      </c>
      <c r="J8262" s="3" t="str">
        <f>HYPERLINK("https://www.boe.es/gazeta/dias/1821/03/02/pdfs/GGB-1821-61.pdf#page=1","Abrir facsímil")</f>
        <v>Abrir facsímil</v>
      </c>
      <c r="K8262" s="3" t="s">
        <v>23</v>
      </c>
    </row>
    <row r="8263" spans="1:11" ht="42" customHeight="1">
      <c r="A8263" s="2" t="s">
        <v>15968</v>
      </c>
      <c r="B8263" s="2" t="s">
        <v>15968</v>
      </c>
      <c r="C8263" s="2" t="s">
        <v>279</v>
      </c>
      <c r="D8263" s="2" t="s">
        <v>27</v>
      </c>
      <c r="E8263" s="5">
        <v>-28677</v>
      </c>
      <c r="F8263" s="3" t="s">
        <v>361</v>
      </c>
      <c r="G8263" s="3" t="s">
        <v>43</v>
      </c>
      <c r="H8263" s="2" t="s">
        <v>21</v>
      </c>
      <c r="I8263" s="2" t="s">
        <v>15969</v>
      </c>
      <c r="J8263" s="3" t="str">
        <f>HYPERLINK("https://www.boe.es/gazeta/dias/1821/06/25/pdfs/GMD-1821-178.pdf#page=1","Abrir facsímil")</f>
        <v>Abrir facsímil</v>
      </c>
      <c r="K8263" s="3" t="s">
        <v>23</v>
      </c>
    </row>
    <row r="8264" spans="1:11" ht="42" customHeight="1">
      <c r="A8264" s="2" t="s">
        <v>15970</v>
      </c>
      <c r="B8264" s="2" t="s">
        <v>15970</v>
      </c>
      <c r="C8264" s="2" t="s">
        <v>35</v>
      </c>
      <c r="D8264" s="2" t="s">
        <v>27</v>
      </c>
      <c r="E8264" s="5">
        <v>-28781</v>
      </c>
      <c r="F8264" s="3" t="s">
        <v>149</v>
      </c>
      <c r="G8264" s="3" t="s">
        <v>88</v>
      </c>
      <c r="H8264" s="2" t="s">
        <v>21</v>
      </c>
      <c r="I8264" s="2" t="s">
        <v>15971</v>
      </c>
      <c r="J8264" s="3" t="str">
        <f>HYPERLINK("https://www.boe.es/gazeta/dias/1821/03/13/pdfs/GMD-1821-72.pdf#page=4","Abrir facsímil")</f>
        <v>Abrir facsímil</v>
      </c>
      <c r="K8264" s="3" t="s">
        <v>23</v>
      </c>
    </row>
    <row r="8265" spans="1:11" ht="42" customHeight="1">
      <c r="A8265" s="2" t="s">
        <v>15972</v>
      </c>
      <c r="B8265" s="2" t="s">
        <v>15972</v>
      </c>
      <c r="C8265" s="2" t="s">
        <v>17</v>
      </c>
      <c r="D8265" s="2" t="s">
        <v>18</v>
      </c>
      <c r="E8265" s="5">
        <v>-28626</v>
      </c>
      <c r="F8265" s="3" t="s">
        <v>468</v>
      </c>
      <c r="G8265" s="3" t="s">
        <v>52</v>
      </c>
      <c r="H8265" s="2" t="s">
        <v>21</v>
      </c>
      <c r="I8265" s="2" t="s">
        <v>15973</v>
      </c>
      <c r="J8265" s="3" t="str">
        <f>HYPERLINK("https://www.boe.es/gazeta/dias/1821/08/15/pdfs/GMD-1821-232.pdf#page=2","Abrir facsímil")</f>
        <v>Abrir facsímil</v>
      </c>
      <c r="K8265" s="3" t="s">
        <v>23</v>
      </c>
    </row>
    <row r="8266" spans="1:11" ht="42" customHeight="1">
      <c r="A8266" s="2" t="s">
        <v>15974</v>
      </c>
      <c r="B8266" s="2" t="s">
        <v>15974</v>
      </c>
      <c r="C8266" s="2" t="s">
        <v>17</v>
      </c>
      <c r="D8266" s="2" t="s">
        <v>18</v>
      </c>
      <c r="E8266" s="5">
        <v>-28607</v>
      </c>
      <c r="F8266" s="3" t="s">
        <v>740</v>
      </c>
      <c r="G8266" s="3" t="s">
        <v>52</v>
      </c>
      <c r="H8266" s="2" t="s">
        <v>21</v>
      </c>
      <c r="I8266" s="2" t="s">
        <v>15975</v>
      </c>
      <c r="J8266" s="3" t="str">
        <f>HYPERLINK("https://www.boe.es/gazeta/dias/1821/09/03/pdfs/GMD-1821-251.pdf#page=2","Abrir facsímil")</f>
        <v>Abrir facsímil</v>
      </c>
      <c r="K8266" s="3" t="s">
        <v>23</v>
      </c>
    </row>
    <row r="8267" spans="1:11" ht="42" customHeight="1">
      <c r="A8267" s="2" t="s">
        <v>15976</v>
      </c>
      <c r="B8267" s="2" t="s">
        <v>15977</v>
      </c>
      <c r="C8267" s="2" t="s">
        <v>17</v>
      </c>
      <c r="D8267" s="2" t="s">
        <v>18</v>
      </c>
      <c r="E8267" s="5">
        <v>-28686</v>
      </c>
      <c r="F8267" s="3" t="s">
        <v>115</v>
      </c>
      <c r="G8267" s="3" t="s">
        <v>52</v>
      </c>
      <c r="H8267" s="2" t="s">
        <v>21</v>
      </c>
      <c r="I8267" s="2" t="s">
        <v>15978</v>
      </c>
      <c r="J8267" s="3" t="str">
        <f>HYPERLINK("https://www.boe.es/gazeta/dias/1821/06/16/pdfs/GMD-1821-169.pdf#page=2","Abrir facsímil")</f>
        <v>Abrir facsímil</v>
      </c>
      <c r="K8267" s="3" t="s">
        <v>23</v>
      </c>
    </row>
    <row r="8268" spans="1:11" ht="42" customHeight="1">
      <c r="A8268" s="2" t="s">
        <v>15979</v>
      </c>
      <c r="B8268" s="2" t="s">
        <v>15980</v>
      </c>
      <c r="C8268" s="2" t="s">
        <v>17</v>
      </c>
      <c r="D8268" s="2" t="s">
        <v>18</v>
      </c>
      <c r="E8268" s="5">
        <v>-28531</v>
      </c>
      <c r="F8268" s="3" t="s">
        <v>365</v>
      </c>
      <c r="G8268" s="3" t="s">
        <v>20</v>
      </c>
      <c r="H8268" s="2" t="s">
        <v>21</v>
      </c>
      <c r="I8268" s="2" t="s">
        <v>15981</v>
      </c>
      <c r="J8268" s="3" t="str">
        <f>HYPERLINK("https://www.boe.es/gazeta/dias/1821/11/18/pdfs/GMD-1821-329.pdf#page=3","Abrir facsímil")</f>
        <v>Abrir facsímil</v>
      </c>
      <c r="K8268" s="3" t="s">
        <v>23</v>
      </c>
    </row>
    <row r="8269" spans="1:11" ht="42" customHeight="1">
      <c r="A8269" s="2" t="s">
        <v>15982</v>
      </c>
      <c r="B8269" s="2" t="s">
        <v>15982</v>
      </c>
      <c r="C8269" s="2" t="s">
        <v>40</v>
      </c>
      <c r="D8269" s="2" t="s">
        <v>405</v>
      </c>
      <c r="E8269" s="5">
        <v>-28546</v>
      </c>
      <c r="F8269" s="3" t="s">
        <v>6425</v>
      </c>
      <c r="G8269" s="3" t="s">
        <v>43</v>
      </c>
      <c r="H8269" s="2" t="s">
        <v>21</v>
      </c>
      <c r="I8269" s="2" t="s">
        <v>15983</v>
      </c>
      <c r="J8269" s="3" t="str">
        <f>HYPERLINK("https://www.boe.es/gazeta/dias/1821/11/03/pdfs/GMD-1821-314E.pdf#page=1","Abrir facsímil")</f>
        <v>Abrir facsímil</v>
      </c>
      <c r="K8269" s="3" t="s">
        <v>23</v>
      </c>
    </row>
    <row r="8270" spans="1:11" ht="42" customHeight="1">
      <c r="A8270" s="2" t="s">
        <v>15984</v>
      </c>
      <c r="B8270" s="2" t="s">
        <v>15985</v>
      </c>
      <c r="C8270" s="2" t="s">
        <v>40</v>
      </c>
      <c r="D8270" s="2" t="s">
        <v>41</v>
      </c>
      <c r="E8270" s="5">
        <v>-28511</v>
      </c>
      <c r="F8270" s="3" t="s">
        <v>340</v>
      </c>
      <c r="G8270" s="3" t="s">
        <v>52</v>
      </c>
      <c r="H8270" s="2" t="s">
        <v>21</v>
      </c>
      <c r="I8270" s="2" t="s">
        <v>15986</v>
      </c>
      <c r="J8270" s="3" t="str">
        <f>HYPERLINK("https://www.boe.es/gazeta/dias/1821/12/08/pdfs/GMD-1821-350.pdf#page=2","Abrir facsímil")</f>
        <v>Abrir facsímil</v>
      </c>
      <c r="K8270" s="3" t="s">
        <v>23</v>
      </c>
    </row>
    <row r="8271" spans="1:11" ht="42" customHeight="1">
      <c r="A8271" s="2" t="s">
        <v>15987</v>
      </c>
      <c r="B8271" s="2" t="s">
        <v>15988</v>
      </c>
      <c r="C8271" s="2" t="s">
        <v>26</v>
      </c>
      <c r="D8271" s="2" t="s">
        <v>27</v>
      </c>
      <c r="E8271" s="5">
        <v>-28842</v>
      </c>
      <c r="F8271" s="3" t="s">
        <v>660</v>
      </c>
      <c r="G8271" s="3" t="s">
        <v>88</v>
      </c>
      <c r="H8271" s="2" t="s">
        <v>21</v>
      </c>
      <c r="I8271" s="2" t="s">
        <v>15989</v>
      </c>
      <c r="J8271" s="3" t="str">
        <f>HYPERLINK("https://www.boe.es/gazeta/dias/1821/01/11/pdfs/GGB-1821-11.pdf#page=4","Abrir facsímil")</f>
        <v>Abrir facsímil</v>
      </c>
      <c r="K8271" s="3" t="s">
        <v>23</v>
      </c>
    </row>
    <row r="8272" spans="1:11" ht="42" customHeight="1">
      <c r="A8272" s="2" t="s">
        <v>15990</v>
      </c>
      <c r="B8272" s="2" t="s">
        <v>15990</v>
      </c>
      <c r="C8272" s="2" t="s">
        <v>26</v>
      </c>
      <c r="D8272" s="2" t="s">
        <v>27</v>
      </c>
      <c r="E8272" s="5">
        <v>-28585</v>
      </c>
      <c r="F8272" s="3" t="s">
        <v>627</v>
      </c>
      <c r="G8272" s="3" t="s">
        <v>20</v>
      </c>
      <c r="H8272" s="2" t="s">
        <v>21</v>
      </c>
      <c r="I8272" s="2" t="s">
        <v>15991</v>
      </c>
      <c r="J8272" s="3" t="str">
        <f>HYPERLINK("https://www.boe.es/gazeta/dias/1821/09/25/pdfs/GMD-1821-273.pdf#page=3","Abrir facsímil")</f>
        <v>Abrir facsímil</v>
      </c>
      <c r="K8272" s="3" t="s">
        <v>23</v>
      </c>
    </row>
    <row r="8273" spans="1:11" ht="42" customHeight="1">
      <c r="A8273" s="2" t="s">
        <v>15992</v>
      </c>
      <c r="B8273" s="2" t="s">
        <v>15992</v>
      </c>
      <c r="C8273" s="2" t="s">
        <v>17</v>
      </c>
      <c r="D8273" s="2" t="s">
        <v>18</v>
      </c>
      <c r="E8273" s="5">
        <v>-28745</v>
      </c>
      <c r="F8273" s="3" t="s">
        <v>1020</v>
      </c>
      <c r="G8273" s="3" t="s">
        <v>52</v>
      </c>
      <c r="H8273" s="2" t="s">
        <v>21</v>
      </c>
      <c r="I8273" s="2" t="s">
        <v>15993</v>
      </c>
      <c r="J8273" s="3" t="str">
        <f>HYPERLINK("https://www.boe.es/gazeta/dias/1821/04/18/pdfs/GMD-1821-110.pdf#page=2","Abrir facsímil")</f>
        <v>Abrir facsímil</v>
      </c>
      <c r="K8273" s="3" t="s">
        <v>23</v>
      </c>
    </row>
    <row r="8274" spans="1:11" ht="42" customHeight="1">
      <c r="A8274" s="2" t="s">
        <v>15992</v>
      </c>
      <c r="B8274" s="2" t="s">
        <v>15992</v>
      </c>
      <c r="C8274" s="2" t="s">
        <v>70</v>
      </c>
      <c r="D8274" s="2" t="s">
        <v>27</v>
      </c>
      <c r="E8274" s="5">
        <v>-28741</v>
      </c>
      <c r="F8274" s="3" t="s">
        <v>1841</v>
      </c>
      <c r="G8274" s="3" t="s">
        <v>52</v>
      </c>
      <c r="H8274" s="2" t="s">
        <v>21</v>
      </c>
      <c r="I8274" s="2" t="s">
        <v>15994</v>
      </c>
      <c r="J8274" s="3" t="str">
        <f>HYPERLINK("https://www.boe.es/gazeta/dias/1821/04/22/pdfs/GMD-1821-114.pdf#page=2","Abrir facsímil")</f>
        <v>Abrir facsímil</v>
      </c>
      <c r="K8274" s="3" t="s">
        <v>23</v>
      </c>
    </row>
    <row r="8275" spans="1:11" ht="42" customHeight="1">
      <c r="A8275" s="2" t="s">
        <v>15992</v>
      </c>
      <c r="B8275" s="2" t="s">
        <v>15992</v>
      </c>
      <c r="C8275" s="2" t="s">
        <v>26</v>
      </c>
      <c r="D8275" s="2" t="s">
        <v>27</v>
      </c>
      <c r="E8275" s="5">
        <v>-28738</v>
      </c>
      <c r="F8275" s="3" t="s">
        <v>359</v>
      </c>
      <c r="G8275" s="3" t="s">
        <v>88</v>
      </c>
      <c r="H8275" s="2" t="s">
        <v>21</v>
      </c>
      <c r="I8275" s="2" t="s">
        <v>15995</v>
      </c>
      <c r="J8275" s="3" t="str">
        <f>HYPERLINK("https://www.boe.es/gazeta/dias/1821/04/25/pdfs/GMD-1821-117.pdf#page=4","Abrir facsímil")</f>
        <v>Abrir facsímil</v>
      </c>
      <c r="K8275" s="3" t="s">
        <v>23</v>
      </c>
    </row>
    <row r="8276" spans="1:11" ht="42" customHeight="1">
      <c r="A8276" s="2" t="s">
        <v>15992</v>
      </c>
      <c r="B8276" s="2" t="s">
        <v>15992</v>
      </c>
      <c r="C8276" s="2" t="s">
        <v>17</v>
      </c>
      <c r="D8276" s="2" t="s">
        <v>18</v>
      </c>
      <c r="E8276" s="5">
        <v>-28727</v>
      </c>
      <c r="F8276" s="3" t="s">
        <v>200</v>
      </c>
      <c r="G8276" s="3" t="s">
        <v>88</v>
      </c>
      <c r="H8276" s="2" t="s">
        <v>21</v>
      </c>
      <c r="I8276" s="2" t="s">
        <v>15996</v>
      </c>
      <c r="J8276" s="3" t="str">
        <f>HYPERLINK("https://www.boe.es/gazeta/dias/1821/05/06/pdfs/GMD-1821-128.pdf#page=4","Abrir facsímil")</f>
        <v>Abrir facsímil</v>
      </c>
      <c r="K8276" s="3" t="s">
        <v>23</v>
      </c>
    </row>
    <row r="8277" spans="1:11" ht="42" customHeight="1">
      <c r="A8277" s="2" t="s">
        <v>15992</v>
      </c>
      <c r="B8277" s="2" t="s">
        <v>15992</v>
      </c>
      <c r="C8277" s="2" t="s">
        <v>17</v>
      </c>
      <c r="D8277" s="2" t="s">
        <v>18</v>
      </c>
      <c r="E8277" s="5">
        <v>-28690</v>
      </c>
      <c r="F8277" s="3" t="s">
        <v>846</v>
      </c>
      <c r="G8277" s="3" t="s">
        <v>1243</v>
      </c>
      <c r="H8277" s="2" t="s">
        <v>21</v>
      </c>
      <c r="I8277" s="2" t="s">
        <v>15997</v>
      </c>
      <c r="J8277" s="3" t="str">
        <f>HYPERLINK("https://www.boe.es/gazeta/dias/1821/06/12/pdfs/GMD-1821-165.pdf#page=4","Abrir facsímil")</f>
        <v>Abrir facsímil</v>
      </c>
      <c r="K8277" s="3" t="s">
        <v>23</v>
      </c>
    </row>
    <row r="8278" spans="1:11" ht="42" customHeight="1">
      <c r="A8278" s="2" t="s">
        <v>15992</v>
      </c>
      <c r="B8278" s="2" t="s">
        <v>15992</v>
      </c>
      <c r="C8278" s="2" t="s">
        <v>17</v>
      </c>
      <c r="D8278" s="2" t="s">
        <v>18</v>
      </c>
      <c r="E8278" s="5">
        <v>-28678</v>
      </c>
      <c r="F8278" s="3" t="s">
        <v>215</v>
      </c>
      <c r="G8278" s="3" t="s">
        <v>1445</v>
      </c>
      <c r="H8278" s="2" t="s">
        <v>21</v>
      </c>
      <c r="I8278" s="2" t="s">
        <v>15998</v>
      </c>
      <c r="J8278" s="3" t="str">
        <f>HYPERLINK("https://www.boe.es/gazeta/dias/1821/06/24/pdfs/GMD-1821-177.pdf#page=3","Abrir facsímil")</f>
        <v>Abrir facsímil</v>
      </c>
      <c r="K8278" s="3" t="s">
        <v>23</v>
      </c>
    </row>
    <row r="8279" spans="1:11" ht="42" customHeight="1">
      <c r="A8279" s="2" t="s">
        <v>15992</v>
      </c>
      <c r="B8279" s="2" t="s">
        <v>15992</v>
      </c>
      <c r="C8279" s="2" t="s">
        <v>17</v>
      </c>
      <c r="D8279" s="2" t="s">
        <v>18</v>
      </c>
      <c r="E8279" s="5">
        <v>-28676</v>
      </c>
      <c r="F8279" s="3" t="s">
        <v>534</v>
      </c>
      <c r="G8279" s="3" t="s">
        <v>88</v>
      </c>
      <c r="H8279" s="2" t="s">
        <v>21</v>
      </c>
      <c r="I8279" s="2" t="s">
        <v>15999</v>
      </c>
      <c r="J8279" s="3" t="str">
        <f>HYPERLINK("https://www.boe.es/gazeta/dias/1821/06/26/pdfs/GMD-1821-179.pdf#page=4","Abrir facsímil")</f>
        <v>Abrir facsímil</v>
      </c>
      <c r="K8279" s="3" t="s">
        <v>23</v>
      </c>
    </row>
    <row r="8280" spans="1:11" ht="42" customHeight="1">
      <c r="A8280" s="2" t="s">
        <v>15992</v>
      </c>
      <c r="B8280" s="2" t="s">
        <v>15992</v>
      </c>
      <c r="C8280" s="2" t="s">
        <v>70</v>
      </c>
      <c r="D8280" s="2" t="s">
        <v>27</v>
      </c>
      <c r="E8280" s="5">
        <v>-28674</v>
      </c>
      <c r="F8280" s="3" t="s">
        <v>536</v>
      </c>
      <c r="G8280" s="3" t="s">
        <v>537</v>
      </c>
      <c r="H8280" s="2" t="s">
        <v>21</v>
      </c>
      <c r="I8280" s="2" t="s">
        <v>16000</v>
      </c>
      <c r="J8280" s="3" t="str">
        <f>HYPERLINK("https://www.boe.es/gazeta/dias/1821/06/28/pdfs/GMD-1821-181.pdf#page=2","Abrir facsímil")</f>
        <v>Abrir facsímil</v>
      </c>
      <c r="K8280" s="3" t="s">
        <v>23</v>
      </c>
    </row>
    <row r="8281" spans="1:11" ht="42" customHeight="1">
      <c r="A8281" s="2" t="s">
        <v>15992</v>
      </c>
      <c r="B8281" s="2" t="s">
        <v>15992</v>
      </c>
      <c r="C8281" s="2" t="s">
        <v>17</v>
      </c>
      <c r="D8281" s="2" t="s">
        <v>18</v>
      </c>
      <c r="E8281" s="5">
        <v>-28509</v>
      </c>
      <c r="F8281" s="3" t="s">
        <v>388</v>
      </c>
      <c r="G8281" s="3" t="s">
        <v>609</v>
      </c>
      <c r="H8281" s="2" t="s">
        <v>21</v>
      </c>
      <c r="I8281" s="2" t="s">
        <v>16001</v>
      </c>
      <c r="J8281" s="3" t="str">
        <f>HYPERLINK("https://www.boe.es/gazeta/dias/1821/12/10/pdfs/GMD-1821-352.pdf#page=7","Abrir facsímil")</f>
        <v>Abrir facsímil</v>
      </c>
      <c r="K8281" s="3" t="s">
        <v>23</v>
      </c>
    </row>
    <row r="8282" spans="1:11" ht="42" customHeight="1">
      <c r="A8282" s="2" t="s">
        <v>15992</v>
      </c>
      <c r="B8282" s="2" t="s">
        <v>15992</v>
      </c>
      <c r="C8282" s="2" t="s">
        <v>35</v>
      </c>
      <c r="D8282" s="2" t="s">
        <v>27</v>
      </c>
      <c r="E8282" s="5">
        <v>-28503</v>
      </c>
      <c r="F8282" s="3" t="s">
        <v>947</v>
      </c>
      <c r="G8282" s="3" t="s">
        <v>29</v>
      </c>
      <c r="H8282" s="2" t="s">
        <v>21</v>
      </c>
      <c r="I8282" s="2" t="s">
        <v>16002</v>
      </c>
      <c r="J8282" s="3" t="str">
        <f>HYPERLINK("https://www.boe.es/gazeta/dias/1821/12/16/pdfs/GMD-1821-359.pdf#page=6","Abrir facsímil")</f>
        <v>Abrir facsímil</v>
      </c>
      <c r="K8282" s="3" t="s">
        <v>23</v>
      </c>
    </row>
    <row r="8283" spans="1:11" ht="42" customHeight="1">
      <c r="A8283" s="2" t="s">
        <v>15992</v>
      </c>
      <c r="B8283" s="2" t="s">
        <v>15992</v>
      </c>
      <c r="C8283" s="2" t="s">
        <v>40</v>
      </c>
      <c r="D8283" s="2" t="s">
        <v>41</v>
      </c>
      <c r="E8283" s="5">
        <v>-28495</v>
      </c>
      <c r="F8283" s="3" t="s">
        <v>227</v>
      </c>
      <c r="G8283" s="3" t="s">
        <v>333</v>
      </c>
      <c r="H8283" s="2" t="s">
        <v>21</v>
      </c>
      <c r="I8283" s="2" t="s">
        <v>16003</v>
      </c>
      <c r="J8283" s="3" t="str">
        <f>HYPERLINK("https://www.boe.es/gazeta/dias/1821/12/24/pdfs/GMD-1821-367.pdf#page=8","Abrir facsímil")</f>
        <v>Abrir facsímil</v>
      </c>
      <c r="K8283" s="3" t="s">
        <v>23</v>
      </c>
    </row>
    <row r="8284" spans="1:11" ht="42" customHeight="1">
      <c r="A8284" s="2" t="s">
        <v>16004</v>
      </c>
      <c r="B8284" s="2" t="s">
        <v>16004</v>
      </c>
      <c r="C8284" s="2" t="s">
        <v>17</v>
      </c>
      <c r="D8284" s="2" t="s">
        <v>18</v>
      </c>
      <c r="E8284" s="5">
        <v>-28729</v>
      </c>
      <c r="F8284" s="3" t="s">
        <v>838</v>
      </c>
      <c r="G8284" s="3" t="s">
        <v>20</v>
      </c>
      <c r="H8284" s="2" t="s">
        <v>21</v>
      </c>
      <c r="I8284" s="2" t="s">
        <v>16005</v>
      </c>
      <c r="J8284" s="3" t="str">
        <f>HYPERLINK("https://www.boe.es/gazeta/dias/1821/05/04/pdfs/GMD-1821-126.pdf#page=3","Abrir facsímil")</f>
        <v>Abrir facsímil</v>
      </c>
      <c r="K8284" s="3" t="s">
        <v>23</v>
      </c>
    </row>
    <row r="8285" spans="1:11" ht="42" customHeight="1">
      <c r="A8285" s="2" t="s">
        <v>16006</v>
      </c>
      <c r="B8285" s="2" t="s">
        <v>16007</v>
      </c>
      <c r="C8285" s="2" t="s">
        <v>17</v>
      </c>
      <c r="D8285" s="2" t="s">
        <v>18</v>
      </c>
      <c r="E8285" s="5">
        <v>-28735</v>
      </c>
      <c r="F8285" s="3" t="s">
        <v>836</v>
      </c>
      <c r="G8285" s="3" t="s">
        <v>52</v>
      </c>
      <c r="H8285" s="2" t="s">
        <v>21</v>
      </c>
      <c r="I8285" s="2" t="s">
        <v>16008</v>
      </c>
      <c r="J8285" s="3" t="str">
        <f>HYPERLINK("https://www.boe.es/gazeta/dias/1821/04/28/pdfs/GMD-1821-120.pdf#page=2","Abrir facsímil")</f>
        <v>Abrir facsímil</v>
      </c>
      <c r="K8285" s="3" t="s">
        <v>23</v>
      </c>
    </row>
    <row r="8286" spans="1:11" ht="42" customHeight="1">
      <c r="A8286" s="2" t="s">
        <v>16009</v>
      </c>
      <c r="B8286" s="2" t="s">
        <v>16010</v>
      </c>
      <c r="C8286" s="2" t="s">
        <v>17</v>
      </c>
      <c r="D8286" s="2" t="s">
        <v>18</v>
      </c>
      <c r="E8286" s="5">
        <v>-28732</v>
      </c>
      <c r="F8286" s="3" t="s">
        <v>2628</v>
      </c>
      <c r="G8286" s="3" t="s">
        <v>52</v>
      </c>
      <c r="H8286" s="2" t="s">
        <v>21</v>
      </c>
      <c r="I8286" s="2" t="s">
        <v>16011</v>
      </c>
      <c r="J8286" s="3" t="str">
        <f>HYPERLINK("https://www.boe.es/gazeta/dias/1821/05/01/pdfs/GMD-1821-123.pdf#page=2","Abrir facsímil")</f>
        <v>Abrir facsímil</v>
      </c>
      <c r="K8286" s="3" t="s">
        <v>23</v>
      </c>
    </row>
    <row r="8287" spans="1:11" ht="42" customHeight="1">
      <c r="A8287" s="2" t="s">
        <v>16012</v>
      </c>
      <c r="B8287" s="2" t="s">
        <v>16013</v>
      </c>
      <c r="C8287" s="2" t="s">
        <v>26</v>
      </c>
      <c r="D8287" s="2" t="s">
        <v>27</v>
      </c>
      <c r="E8287" s="5">
        <v>-28718</v>
      </c>
      <c r="F8287" s="3" t="s">
        <v>583</v>
      </c>
      <c r="G8287" s="3" t="s">
        <v>88</v>
      </c>
      <c r="H8287" s="2" t="s">
        <v>21</v>
      </c>
      <c r="I8287" s="2" t="s">
        <v>16014</v>
      </c>
      <c r="J8287" s="3" t="str">
        <f>HYPERLINK("https://www.boe.es/gazeta/dias/1821/05/15/pdfs/GMD-1821-137.pdf#page=4","Abrir facsímil")</f>
        <v>Abrir facsímil</v>
      </c>
      <c r="K8287" s="3" t="s">
        <v>23</v>
      </c>
    </row>
    <row r="8288" spans="1:11" ht="42" customHeight="1">
      <c r="A8288" s="2" t="s">
        <v>16015</v>
      </c>
      <c r="B8288" s="2" t="s">
        <v>16015</v>
      </c>
      <c r="C8288" s="2" t="s">
        <v>26</v>
      </c>
      <c r="D8288" s="2" t="s">
        <v>27</v>
      </c>
      <c r="E8288" s="5">
        <v>-28509</v>
      </c>
      <c r="F8288" s="3" t="s">
        <v>388</v>
      </c>
      <c r="G8288" s="3" t="s">
        <v>609</v>
      </c>
      <c r="H8288" s="2" t="s">
        <v>21</v>
      </c>
      <c r="I8288" s="2" t="s">
        <v>16016</v>
      </c>
      <c r="J8288" s="3" t="str">
        <f>HYPERLINK("https://www.boe.es/gazeta/dias/1821/12/10/pdfs/GMD-1821-352.pdf#page=7","Abrir facsímil")</f>
        <v>Abrir facsímil</v>
      </c>
      <c r="K8288" s="3" t="s">
        <v>23</v>
      </c>
    </row>
    <row r="8289" spans="1:11" ht="42" customHeight="1">
      <c r="A8289" s="2" t="s">
        <v>16017</v>
      </c>
      <c r="B8289" s="2" t="s">
        <v>16017</v>
      </c>
      <c r="C8289" s="2" t="s">
        <v>40</v>
      </c>
      <c r="D8289" s="2" t="s">
        <v>41</v>
      </c>
      <c r="E8289" s="5">
        <v>-28720</v>
      </c>
      <c r="F8289" s="3" t="s">
        <v>492</v>
      </c>
      <c r="G8289" s="3" t="s">
        <v>52</v>
      </c>
      <c r="H8289" s="2" t="s">
        <v>21</v>
      </c>
      <c r="I8289" s="2" t="s">
        <v>16018</v>
      </c>
      <c r="J8289" s="3" t="str">
        <f>HYPERLINK("https://www.boe.es/gazeta/dias/1821/05/13/pdfs/GMD-1821-135.pdf#page=2","Abrir facsímil")</f>
        <v>Abrir facsímil</v>
      </c>
      <c r="K8289" s="3" t="s">
        <v>23</v>
      </c>
    </row>
    <row r="8290" spans="1:11" ht="42" customHeight="1">
      <c r="A8290" s="2" t="s">
        <v>16017</v>
      </c>
      <c r="B8290" s="2" t="s">
        <v>16017</v>
      </c>
      <c r="C8290" s="2" t="s">
        <v>17</v>
      </c>
      <c r="D8290" s="2" t="s">
        <v>18</v>
      </c>
      <c r="E8290" s="5">
        <v>-28716</v>
      </c>
      <c r="F8290" s="3" t="s">
        <v>842</v>
      </c>
      <c r="G8290" s="3" t="s">
        <v>52</v>
      </c>
      <c r="H8290" s="2" t="s">
        <v>21</v>
      </c>
      <c r="I8290" s="2" t="s">
        <v>16019</v>
      </c>
      <c r="J8290" s="3" t="str">
        <f>HYPERLINK("https://www.boe.es/gazeta/dias/1821/05/17/pdfs/GMD-1821-139.pdf#page=2","Abrir facsímil")</f>
        <v>Abrir facsímil</v>
      </c>
      <c r="K8290" s="3" t="s">
        <v>23</v>
      </c>
    </row>
    <row r="8291" spans="1:11" ht="42" customHeight="1">
      <c r="A8291" s="2" t="s">
        <v>16017</v>
      </c>
      <c r="B8291" s="2" t="s">
        <v>16017</v>
      </c>
      <c r="C8291" s="2" t="s">
        <v>26</v>
      </c>
      <c r="D8291" s="2" t="s">
        <v>27</v>
      </c>
      <c r="E8291" s="5">
        <v>-28586</v>
      </c>
      <c r="F8291" s="3" t="s">
        <v>587</v>
      </c>
      <c r="G8291" s="3" t="s">
        <v>588</v>
      </c>
      <c r="H8291" s="2" t="s">
        <v>21</v>
      </c>
      <c r="I8291" s="2" t="s">
        <v>16020</v>
      </c>
      <c r="J8291" s="3" t="str">
        <f>HYPERLINK("https://www.boe.es/gazeta/dias/1821/09/24/pdfs/GMD-1821-272.pdf#page=3","Abrir facsímil")</f>
        <v>Abrir facsímil</v>
      </c>
      <c r="K8291" s="3" t="s">
        <v>23</v>
      </c>
    </row>
    <row r="8292" spans="1:11" ht="42" customHeight="1">
      <c r="A8292" s="2" t="s">
        <v>16017</v>
      </c>
      <c r="B8292" s="2" t="s">
        <v>16017</v>
      </c>
      <c r="C8292" s="2" t="s">
        <v>17</v>
      </c>
      <c r="D8292" s="2" t="s">
        <v>18</v>
      </c>
      <c r="E8292" s="5">
        <v>-28553</v>
      </c>
      <c r="F8292" s="3" t="s">
        <v>182</v>
      </c>
      <c r="G8292" s="3" t="s">
        <v>20</v>
      </c>
      <c r="H8292" s="2" t="s">
        <v>21</v>
      </c>
      <c r="I8292" s="2" t="s">
        <v>16021</v>
      </c>
      <c r="J8292" s="3" t="str">
        <f>HYPERLINK("https://www.boe.es/gazeta/dias/1821/10/27/pdfs/GMD-1821-306.pdf#page=3","Abrir facsímil")</f>
        <v>Abrir facsímil</v>
      </c>
      <c r="K8292" s="3" t="s">
        <v>23</v>
      </c>
    </row>
    <row r="8293" spans="1:11" ht="42" customHeight="1">
      <c r="A8293" s="2" t="s">
        <v>16017</v>
      </c>
      <c r="B8293" s="2" t="s">
        <v>16017</v>
      </c>
      <c r="C8293" s="2" t="s">
        <v>35</v>
      </c>
      <c r="D8293" s="2" t="s">
        <v>27</v>
      </c>
      <c r="E8293" s="5">
        <v>-28525</v>
      </c>
      <c r="F8293" s="3" t="s">
        <v>186</v>
      </c>
      <c r="G8293" s="3" t="s">
        <v>20</v>
      </c>
      <c r="H8293" s="2" t="s">
        <v>21</v>
      </c>
      <c r="I8293" s="2" t="s">
        <v>16022</v>
      </c>
      <c r="J8293" s="3" t="str">
        <f>HYPERLINK("https://www.boe.es/gazeta/dias/1821/11/24/pdfs/GMD-1821-335.pdf#page=3","Abrir facsímil")</f>
        <v>Abrir facsímil</v>
      </c>
      <c r="K8293" s="3" t="s">
        <v>23</v>
      </c>
    </row>
    <row r="8294" spans="1:11" ht="42" customHeight="1">
      <c r="A8294" s="2" t="s">
        <v>16017</v>
      </c>
      <c r="B8294" s="2" t="s">
        <v>16017</v>
      </c>
      <c r="C8294" s="2" t="s">
        <v>26</v>
      </c>
      <c r="D8294" s="2" t="s">
        <v>27</v>
      </c>
      <c r="E8294" s="5">
        <v>-28521</v>
      </c>
      <c r="F8294" s="3" t="s">
        <v>499</v>
      </c>
      <c r="G8294" s="3" t="s">
        <v>43</v>
      </c>
      <c r="H8294" s="2" t="s">
        <v>21</v>
      </c>
      <c r="I8294" s="2" t="s">
        <v>16023</v>
      </c>
      <c r="J8294" s="3" t="str">
        <f>HYPERLINK("https://www.boe.es/gazeta/dias/1821/11/28/pdfs/GMD-1821-340.pdf#page=1","Abrir facsímil")</f>
        <v>Abrir facsímil</v>
      </c>
      <c r="K8294" s="3" t="s">
        <v>23</v>
      </c>
    </row>
    <row r="8295" spans="1:11" ht="42" customHeight="1">
      <c r="A8295" s="2" t="s">
        <v>16017</v>
      </c>
      <c r="B8295" s="2" t="s">
        <v>16017</v>
      </c>
      <c r="C8295" s="2" t="s">
        <v>26</v>
      </c>
      <c r="D8295" s="2" t="s">
        <v>27</v>
      </c>
      <c r="E8295" s="5">
        <v>-28516</v>
      </c>
      <c r="F8295" s="3" t="s">
        <v>514</v>
      </c>
      <c r="G8295" s="3" t="s">
        <v>162</v>
      </c>
      <c r="H8295" s="2" t="s">
        <v>21</v>
      </c>
      <c r="I8295" s="2" t="s">
        <v>16024</v>
      </c>
      <c r="J8295" s="3" t="str">
        <f>HYPERLINK("https://www.boe.es/gazeta/dias/1821/12/03/pdfs/GMD-1821-345.pdf#page=5","Abrir facsímil")</f>
        <v>Abrir facsímil</v>
      </c>
      <c r="K8295" s="3" t="s">
        <v>23</v>
      </c>
    </row>
    <row r="8296" spans="1:11" ht="42" customHeight="1">
      <c r="A8296" s="2" t="s">
        <v>16017</v>
      </c>
      <c r="B8296" s="2" t="s">
        <v>16017</v>
      </c>
      <c r="C8296" s="2" t="s">
        <v>174</v>
      </c>
      <c r="D8296" s="2" t="s">
        <v>27</v>
      </c>
      <c r="E8296" s="5">
        <v>-28515</v>
      </c>
      <c r="F8296" s="3" t="s">
        <v>260</v>
      </c>
      <c r="G8296" s="3" t="s">
        <v>162</v>
      </c>
      <c r="H8296" s="2" t="s">
        <v>21</v>
      </c>
      <c r="I8296" s="2" t="s">
        <v>16025</v>
      </c>
      <c r="J8296" s="3" t="str">
        <f>HYPERLINK("https://www.boe.es/gazeta/dias/1821/12/04/pdfs/GMD-1821-346.pdf#page=5","Abrir facsímil")</f>
        <v>Abrir facsímil</v>
      </c>
      <c r="K8296" s="3" t="s">
        <v>23</v>
      </c>
    </row>
    <row r="8297" spans="1:11" ht="42" customHeight="1">
      <c r="A8297" s="2" t="s">
        <v>16017</v>
      </c>
      <c r="B8297" s="2" t="s">
        <v>16017</v>
      </c>
      <c r="C8297" s="2" t="s">
        <v>17</v>
      </c>
      <c r="D8297" s="2" t="s">
        <v>18</v>
      </c>
      <c r="E8297" s="5">
        <v>-28508</v>
      </c>
      <c r="F8297" s="3" t="s">
        <v>42</v>
      </c>
      <c r="G8297" s="3" t="s">
        <v>52</v>
      </c>
      <c r="H8297" s="2" t="s">
        <v>21</v>
      </c>
      <c r="I8297" s="2" t="s">
        <v>16026</v>
      </c>
      <c r="J8297" s="3" t="str">
        <f>HYPERLINK("https://www.boe.es/gazeta/dias/1821/12/11/pdfs/GMD-1821-353.pdf#page=2","Abrir facsímil")</f>
        <v>Abrir facsímil</v>
      </c>
      <c r="K8297" s="3" t="s">
        <v>23</v>
      </c>
    </row>
    <row r="8298" spans="1:11" ht="42" customHeight="1">
      <c r="A8298" s="2" t="s">
        <v>16017</v>
      </c>
      <c r="B8298" s="2" t="s">
        <v>16017</v>
      </c>
      <c r="C8298" s="2" t="s">
        <v>70</v>
      </c>
      <c r="D8298" s="2" t="s">
        <v>27</v>
      </c>
      <c r="E8298" s="5">
        <v>-28494</v>
      </c>
      <c r="F8298" s="3" t="s">
        <v>1665</v>
      </c>
      <c r="G8298" s="3" t="s">
        <v>1666</v>
      </c>
      <c r="H8298" s="2" t="s">
        <v>21</v>
      </c>
      <c r="I8298" s="2" t="s">
        <v>16027</v>
      </c>
      <c r="J8298" s="3" t="str">
        <f>HYPERLINK("https://www.boe.es/gazeta/dias/1821/12/25/pdfs/GMD-1821-368.pdf#page=3","Abrir facsímil")</f>
        <v>Abrir facsímil</v>
      </c>
      <c r="K8298" s="3" t="s">
        <v>23</v>
      </c>
    </row>
    <row r="8299" spans="1:11" ht="42" customHeight="1">
      <c r="A8299" s="2" t="s">
        <v>16028</v>
      </c>
      <c r="B8299" s="2" t="s">
        <v>16029</v>
      </c>
      <c r="C8299" s="2" t="s">
        <v>40</v>
      </c>
      <c r="D8299" s="2" t="s">
        <v>41</v>
      </c>
      <c r="E8299" s="5">
        <v>-28577</v>
      </c>
      <c r="F8299" s="3" t="s">
        <v>858</v>
      </c>
      <c r="G8299" s="3" t="s">
        <v>88</v>
      </c>
      <c r="H8299" s="2" t="s">
        <v>21</v>
      </c>
      <c r="I8299" s="2" t="s">
        <v>16030</v>
      </c>
      <c r="J8299" s="3" t="str">
        <f>HYPERLINK("https://www.boe.es/gazeta/dias/1821/10/03/pdfs/GMD-1821-282.pdf#page=4","Abrir facsímil")</f>
        <v>Abrir facsímil</v>
      </c>
      <c r="K8299" s="3" t="s">
        <v>23</v>
      </c>
    </row>
    <row r="8300" spans="1:11" ht="42" customHeight="1">
      <c r="A8300" s="2" t="s">
        <v>16031</v>
      </c>
      <c r="B8300" s="2" t="s">
        <v>16032</v>
      </c>
      <c r="C8300" s="2" t="s">
        <v>40</v>
      </c>
      <c r="D8300" s="2" t="s">
        <v>41</v>
      </c>
      <c r="E8300" s="5">
        <v>-28717</v>
      </c>
      <c r="F8300" s="3" t="s">
        <v>1044</v>
      </c>
      <c r="G8300" s="3" t="s">
        <v>43</v>
      </c>
      <c r="H8300" s="2" t="s">
        <v>21</v>
      </c>
      <c r="I8300" s="2" t="s">
        <v>16033</v>
      </c>
      <c r="J8300" s="3" t="str">
        <f>HYPERLINK("https://www.boe.es/gazeta/dias/1821/05/16/pdfs/GMD-1821-138.pdf#page=1","Abrir facsímil")</f>
        <v>Abrir facsímil</v>
      </c>
      <c r="K8300" s="3" t="s">
        <v>23</v>
      </c>
    </row>
    <row r="8301" spans="1:11" ht="42" customHeight="1">
      <c r="A8301" s="2" t="s">
        <v>16034</v>
      </c>
      <c r="B8301" s="2" t="s">
        <v>16035</v>
      </c>
      <c r="C8301" s="2" t="s">
        <v>40</v>
      </c>
      <c r="D8301" s="2" t="s">
        <v>41</v>
      </c>
      <c r="E8301" s="5">
        <v>-28585</v>
      </c>
      <c r="F8301" s="3" t="s">
        <v>627</v>
      </c>
      <c r="G8301" s="3" t="s">
        <v>88</v>
      </c>
      <c r="H8301" s="2" t="s">
        <v>21</v>
      </c>
      <c r="I8301" s="2" t="s">
        <v>16036</v>
      </c>
      <c r="J8301" s="3" t="str">
        <f>HYPERLINK("https://www.boe.es/gazeta/dias/1821/09/25/pdfs/GMD-1821-273.pdf#page=4","Abrir facsímil")</f>
        <v>Abrir facsímil</v>
      </c>
      <c r="K8301" s="3" t="s">
        <v>23</v>
      </c>
    </row>
    <row r="8302" spans="1:11" ht="42" customHeight="1">
      <c r="A8302" s="2" t="s">
        <v>16037</v>
      </c>
      <c r="B8302" s="2" t="s">
        <v>16038</v>
      </c>
      <c r="C8302" s="2" t="s">
        <v>114</v>
      </c>
      <c r="D8302" s="2" t="s">
        <v>27</v>
      </c>
      <c r="E8302" s="5">
        <v>-28507</v>
      </c>
      <c r="F8302" s="3" t="s">
        <v>1158</v>
      </c>
      <c r="G8302" s="3" t="s">
        <v>52</v>
      </c>
      <c r="H8302" s="2" t="s">
        <v>21</v>
      </c>
      <c r="I8302" s="2" t="s">
        <v>16039</v>
      </c>
      <c r="J8302" s="3" t="str">
        <f>HYPERLINK("https://www.boe.es/gazeta/dias/1821/12/12/pdfs/GMD-1821-354.pdf#page=2","Abrir facsímil")</f>
        <v>Abrir facsímil</v>
      </c>
      <c r="K8302" s="3" t="s">
        <v>23</v>
      </c>
    </row>
    <row r="8303" spans="1:11" ht="42" customHeight="1">
      <c r="A8303" s="2" t="s">
        <v>16040</v>
      </c>
      <c r="B8303" s="2" t="s">
        <v>16041</v>
      </c>
      <c r="C8303" s="2" t="s">
        <v>26</v>
      </c>
      <c r="D8303" s="2" t="s">
        <v>27</v>
      </c>
      <c r="E8303" s="5">
        <v>-28663</v>
      </c>
      <c r="F8303" s="3" t="s">
        <v>3032</v>
      </c>
      <c r="G8303" s="3" t="s">
        <v>88</v>
      </c>
      <c r="H8303" s="2" t="s">
        <v>21</v>
      </c>
      <c r="I8303" s="2" t="s">
        <v>16042</v>
      </c>
      <c r="J8303" s="3" t="str">
        <f>HYPERLINK("https://www.boe.es/gazeta/dias/1821/07/09/pdfs/GMD-1821-194.pdf#page=4","Abrir facsímil")</f>
        <v>Abrir facsímil</v>
      </c>
      <c r="K8303" s="3" t="s">
        <v>23</v>
      </c>
    </row>
    <row r="8304" spans="1:11" ht="42" customHeight="1">
      <c r="A8304" s="2" t="s">
        <v>16043</v>
      </c>
      <c r="B8304" s="2" t="s">
        <v>16044</v>
      </c>
      <c r="C8304" s="2" t="s">
        <v>40</v>
      </c>
      <c r="D8304" s="2" t="s">
        <v>41</v>
      </c>
      <c r="E8304" s="5">
        <v>-28726</v>
      </c>
      <c r="F8304" s="3" t="s">
        <v>347</v>
      </c>
      <c r="G8304" s="3" t="s">
        <v>20</v>
      </c>
      <c r="H8304" s="2" t="s">
        <v>21</v>
      </c>
      <c r="I8304" s="2" t="s">
        <v>16045</v>
      </c>
      <c r="J8304" s="3" t="str">
        <f>HYPERLINK("https://www.boe.es/gazeta/dias/1821/05/07/pdfs/GMD-1821-129.pdf#page=3","Abrir facsímil")</f>
        <v>Abrir facsímil</v>
      </c>
      <c r="K8304" s="3" t="s">
        <v>23</v>
      </c>
    </row>
    <row r="8305" spans="1:11" ht="42" customHeight="1">
      <c r="A8305" s="2" t="s">
        <v>16046</v>
      </c>
      <c r="B8305" s="2" t="s">
        <v>16046</v>
      </c>
      <c r="C8305" s="2" t="s">
        <v>40</v>
      </c>
      <c r="D8305" s="2" t="s">
        <v>41</v>
      </c>
      <c r="E8305" s="5">
        <v>-28717</v>
      </c>
      <c r="F8305" s="3" t="s">
        <v>1044</v>
      </c>
      <c r="G8305" s="3" t="s">
        <v>43</v>
      </c>
      <c r="H8305" s="2" t="s">
        <v>21</v>
      </c>
      <c r="I8305" s="2" t="s">
        <v>16047</v>
      </c>
      <c r="J8305" s="3" t="str">
        <f>HYPERLINK("https://www.boe.es/gazeta/dias/1821/05/16/pdfs/GMD-1821-138.pdf#page=1","Abrir facsímil")</f>
        <v>Abrir facsímil</v>
      </c>
      <c r="K8305" s="3" t="s">
        <v>23</v>
      </c>
    </row>
    <row r="8306" spans="1:11" ht="42" customHeight="1">
      <c r="A8306" s="2" t="s">
        <v>16048</v>
      </c>
      <c r="B8306" s="2" t="s">
        <v>16049</v>
      </c>
      <c r="C8306" s="2" t="s">
        <v>40</v>
      </c>
      <c r="D8306" s="2" t="s">
        <v>41</v>
      </c>
      <c r="E8306" s="5">
        <v>-28650</v>
      </c>
      <c r="F8306" s="3" t="s">
        <v>3285</v>
      </c>
      <c r="G8306" s="3" t="s">
        <v>88</v>
      </c>
      <c r="H8306" s="2" t="s">
        <v>30</v>
      </c>
      <c r="I8306" s="2" t="s">
        <v>16050</v>
      </c>
      <c r="J8306" s="3" t="str">
        <f>HYPERLINK("https://www.boe.es/gazeta/dias/1821/07/22/pdfs/GMD-1821-207.pdf#page=4","Abrir facsímil")</f>
        <v>Abrir facsímil</v>
      </c>
      <c r="K8306" s="3" t="s">
        <v>32</v>
      </c>
    </row>
    <row r="8307" spans="1:11" ht="42" customHeight="1">
      <c r="A8307" s="2" t="s">
        <v>16051</v>
      </c>
      <c r="B8307" s="2" t="s">
        <v>16052</v>
      </c>
      <c r="C8307" s="2" t="s">
        <v>114</v>
      </c>
      <c r="D8307" s="2" t="s">
        <v>27</v>
      </c>
      <c r="E8307" s="5">
        <v>-28531</v>
      </c>
      <c r="F8307" s="3" t="s">
        <v>365</v>
      </c>
      <c r="G8307" s="3" t="s">
        <v>20</v>
      </c>
      <c r="H8307" s="2" t="s">
        <v>21</v>
      </c>
      <c r="I8307" s="2" t="s">
        <v>16053</v>
      </c>
      <c r="J8307" s="3" t="str">
        <f>HYPERLINK("https://www.boe.es/gazeta/dias/1821/11/18/pdfs/GMD-1821-329.pdf#page=3","Abrir facsímil")</f>
        <v>Abrir facsímil</v>
      </c>
      <c r="K8307" s="3" t="s">
        <v>23</v>
      </c>
    </row>
    <row r="8308" spans="1:11" ht="42" customHeight="1">
      <c r="A8308" s="2" t="s">
        <v>16054</v>
      </c>
      <c r="B8308" s="2" t="s">
        <v>16055</v>
      </c>
      <c r="C8308" s="2" t="s">
        <v>17</v>
      </c>
      <c r="D8308" s="2" t="s">
        <v>18</v>
      </c>
      <c r="E8308" s="5">
        <v>-28840</v>
      </c>
      <c r="F8308" s="3" t="s">
        <v>161</v>
      </c>
      <c r="G8308" s="3" t="s">
        <v>88</v>
      </c>
      <c r="H8308" s="2" t="s">
        <v>21</v>
      </c>
      <c r="I8308" s="2" t="s">
        <v>16056</v>
      </c>
      <c r="J8308" s="3" t="str">
        <f>HYPERLINK("https://www.boe.es/gazeta/dias/1821/01/13/pdfs/GGB-1821-13.pdf#page=4","Abrir facsímil")</f>
        <v>Abrir facsímil</v>
      </c>
      <c r="K8308" s="3" t="s">
        <v>23</v>
      </c>
    </row>
    <row r="8309" spans="1:11" ht="42" customHeight="1">
      <c r="A8309" s="2" t="s">
        <v>16057</v>
      </c>
      <c r="B8309" s="2" t="s">
        <v>16058</v>
      </c>
      <c r="C8309" s="2" t="s">
        <v>70</v>
      </c>
      <c r="D8309" s="2" t="s">
        <v>27</v>
      </c>
      <c r="E8309" s="5">
        <v>-28798</v>
      </c>
      <c r="F8309" s="3" t="s">
        <v>60</v>
      </c>
      <c r="G8309" s="3" t="s">
        <v>88</v>
      </c>
      <c r="H8309" s="2" t="s">
        <v>21</v>
      </c>
      <c r="I8309" s="2" t="s">
        <v>16059</v>
      </c>
      <c r="J8309" s="3" t="str">
        <f>HYPERLINK("https://www.boe.es/gazeta/dias/1821/02/24/pdfs/GGB-1821-55.pdf#page=4","Abrir facsímil")</f>
        <v>Abrir facsímil</v>
      </c>
      <c r="K8309" s="3" t="s">
        <v>23</v>
      </c>
    </row>
    <row r="8310" spans="1:11" ht="42" customHeight="1">
      <c r="A8310" s="2" t="s">
        <v>16060</v>
      </c>
      <c r="B8310" s="2" t="s">
        <v>16061</v>
      </c>
      <c r="C8310" s="2" t="s">
        <v>70</v>
      </c>
      <c r="D8310" s="2" t="s">
        <v>27</v>
      </c>
      <c r="E8310" s="5">
        <v>-28844</v>
      </c>
      <c r="F8310" s="3" t="s">
        <v>1743</v>
      </c>
      <c r="G8310" s="3" t="s">
        <v>29</v>
      </c>
      <c r="H8310" s="2" t="s">
        <v>30</v>
      </c>
      <c r="I8310" s="2" t="s">
        <v>16062</v>
      </c>
      <c r="J8310" s="3" t="str">
        <f>HYPERLINK("https://www.boe.es/gazeta/dias/1821/01/09/pdfs/GGB-1821-9.pdf#page=6","Abrir facsímil")</f>
        <v>Abrir facsímil</v>
      </c>
      <c r="K8310" s="3" t="s">
        <v>32</v>
      </c>
    </row>
    <row r="8311" spans="1:11" ht="42" customHeight="1">
      <c r="A8311" s="2" t="s">
        <v>16063</v>
      </c>
      <c r="B8311" s="2" t="s">
        <v>16064</v>
      </c>
      <c r="C8311" s="2" t="s">
        <v>35</v>
      </c>
      <c r="D8311" s="2" t="s">
        <v>27</v>
      </c>
      <c r="E8311" s="5">
        <v>-28675</v>
      </c>
      <c r="F8311" s="3" t="s">
        <v>943</v>
      </c>
      <c r="G8311" s="3" t="s">
        <v>88</v>
      </c>
      <c r="H8311" s="2" t="s">
        <v>21</v>
      </c>
      <c r="I8311" s="2" t="s">
        <v>16065</v>
      </c>
      <c r="J8311" s="3" t="str">
        <f>HYPERLINK("https://www.boe.es/gazeta/dias/1821/06/27/pdfs/GMD-1821-180.pdf#page=4","Abrir facsímil")</f>
        <v>Abrir facsímil</v>
      </c>
      <c r="K8311" s="3" t="s">
        <v>23</v>
      </c>
    </row>
    <row r="8312" spans="1:11" ht="42" customHeight="1">
      <c r="A8312" s="2" t="s">
        <v>16066</v>
      </c>
      <c r="B8312" s="2" t="s">
        <v>16067</v>
      </c>
      <c r="C8312" s="2" t="s">
        <v>17</v>
      </c>
      <c r="D8312" s="2" t="s">
        <v>18</v>
      </c>
      <c r="E8312" s="5">
        <v>-28696</v>
      </c>
      <c r="F8312" s="3" t="s">
        <v>497</v>
      </c>
      <c r="G8312" s="3" t="s">
        <v>88</v>
      </c>
      <c r="H8312" s="2" t="s">
        <v>21</v>
      </c>
      <c r="I8312" s="2" t="s">
        <v>16068</v>
      </c>
      <c r="J8312" s="3" t="str">
        <f>HYPERLINK("https://www.boe.es/gazeta/dias/1821/06/06/pdfs/GMD-1821-159.pdf#page=4","Abrir facsímil")</f>
        <v>Abrir facsímil</v>
      </c>
      <c r="K8312" s="3" t="s">
        <v>23</v>
      </c>
    </row>
    <row r="8313" spans="1:11" ht="42" customHeight="1">
      <c r="A8313" s="2" t="s">
        <v>16069</v>
      </c>
      <c r="B8313" s="2" t="s">
        <v>16070</v>
      </c>
      <c r="C8313" s="2" t="s">
        <v>40</v>
      </c>
      <c r="D8313" s="2" t="s">
        <v>41</v>
      </c>
      <c r="E8313" s="5">
        <v>-28685</v>
      </c>
      <c r="F8313" s="3" t="s">
        <v>303</v>
      </c>
      <c r="G8313" s="3" t="s">
        <v>162</v>
      </c>
      <c r="H8313" s="2" t="s">
        <v>21</v>
      </c>
      <c r="I8313" s="2" t="s">
        <v>16071</v>
      </c>
      <c r="J8313" s="3" t="str">
        <f>HYPERLINK("https://www.boe.es/gazeta/dias/1821/06/17/pdfs/GMD-1821-170.pdf#page=5","Abrir facsímil")</f>
        <v>Abrir facsímil</v>
      </c>
      <c r="K8313" s="3" t="s">
        <v>23</v>
      </c>
    </row>
    <row r="8314" spans="1:11" ht="42" customHeight="1">
      <c r="A8314" s="2" t="s">
        <v>16072</v>
      </c>
      <c r="B8314" s="2" t="s">
        <v>16072</v>
      </c>
      <c r="C8314" s="2" t="s">
        <v>17</v>
      </c>
      <c r="D8314" s="2" t="s">
        <v>18</v>
      </c>
      <c r="E8314" s="5">
        <v>-28775</v>
      </c>
      <c r="F8314" s="3" t="s">
        <v>132</v>
      </c>
      <c r="G8314" s="3" t="s">
        <v>52</v>
      </c>
      <c r="H8314" s="2" t="s">
        <v>21</v>
      </c>
      <c r="I8314" s="2" t="s">
        <v>16073</v>
      </c>
      <c r="J8314" s="3" t="str">
        <f>HYPERLINK("https://www.boe.es/gazeta/dias/1821/03/19/pdfs/GMD-1821-78.pdf#page=2","Abrir facsímil")</f>
        <v>Abrir facsímil</v>
      </c>
      <c r="K8314" s="3" t="s">
        <v>23</v>
      </c>
    </row>
    <row r="8315" spans="1:11" ht="42" customHeight="1">
      <c r="A8315" s="2" t="s">
        <v>16072</v>
      </c>
      <c r="B8315" s="2" t="s">
        <v>16072</v>
      </c>
      <c r="C8315" s="2" t="s">
        <v>40</v>
      </c>
      <c r="D8315" s="2" t="s">
        <v>41</v>
      </c>
      <c r="E8315" s="5">
        <v>-28756</v>
      </c>
      <c r="F8315" s="3" t="s">
        <v>3145</v>
      </c>
      <c r="G8315" s="3" t="s">
        <v>43</v>
      </c>
      <c r="H8315" s="2" t="s">
        <v>21</v>
      </c>
      <c r="I8315" s="2" t="s">
        <v>16074</v>
      </c>
      <c r="J8315" s="3" t="str">
        <f>HYPERLINK("https://www.boe.es/gazeta/dias/1821/04/07/pdfs/GMD-1821-99.pdf#page=1","Abrir facsímil")</f>
        <v>Abrir facsímil</v>
      </c>
      <c r="K8315" s="3" t="s">
        <v>23</v>
      </c>
    </row>
    <row r="8316" spans="1:11" ht="42" customHeight="1">
      <c r="A8316" s="2" t="s">
        <v>16072</v>
      </c>
      <c r="B8316" s="2" t="s">
        <v>16072</v>
      </c>
      <c r="C8316" s="2" t="s">
        <v>40</v>
      </c>
      <c r="D8316" s="2" t="s">
        <v>41</v>
      </c>
      <c r="E8316" s="5">
        <v>-28729</v>
      </c>
      <c r="F8316" s="3" t="s">
        <v>838</v>
      </c>
      <c r="G8316" s="3" t="s">
        <v>52</v>
      </c>
      <c r="H8316" s="2" t="s">
        <v>21</v>
      </c>
      <c r="I8316" s="2" t="s">
        <v>16075</v>
      </c>
      <c r="J8316" s="3" t="str">
        <f>HYPERLINK("https://www.boe.es/gazeta/dias/1821/05/04/pdfs/GMD-1821-126.pdf#page=2","Abrir facsímil")</f>
        <v>Abrir facsímil</v>
      </c>
      <c r="K8316" s="3" t="s">
        <v>23</v>
      </c>
    </row>
    <row r="8317" spans="1:11" ht="42" customHeight="1">
      <c r="A8317" s="2" t="s">
        <v>16072</v>
      </c>
      <c r="B8317" s="2" t="s">
        <v>16072</v>
      </c>
      <c r="C8317" s="2" t="s">
        <v>17</v>
      </c>
      <c r="D8317" s="2" t="s">
        <v>18</v>
      </c>
      <c r="E8317" s="5">
        <v>-28665</v>
      </c>
      <c r="F8317" s="3" t="s">
        <v>789</v>
      </c>
      <c r="G8317" s="3" t="s">
        <v>16076</v>
      </c>
      <c r="H8317" s="2" t="s">
        <v>21</v>
      </c>
      <c r="I8317" s="2" t="s">
        <v>16077</v>
      </c>
      <c r="J8317" s="3" t="str">
        <f>HYPERLINK("https://www.boe.es/gazeta/dias/1821/07/07/pdfs/GMD-1821-191.pdf#page=2","Abrir facsímil")</f>
        <v>Abrir facsímil</v>
      </c>
      <c r="K8317" s="3" t="s">
        <v>23</v>
      </c>
    </row>
    <row r="8318" spans="1:11" ht="42" customHeight="1">
      <c r="A8318" s="2" t="s">
        <v>16072</v>
      </c>
      <c r="B8318" s="2" t="s">
        <v>16072</v>
      </c>
      <c r="C8318" s="2" t="s">
        <v>17</v>
      </c>
      <c r="D8318" s="2" t="s">
        <v>18</v>
      </c>
      <c r="E8318" s="5">
        <v>-28522</v>
      </c>
      <c r="F8318" s="3" t="s">
        <v>1083</v>
      </c>
      <c r="G8318" s="3" t="s">
        <v>16078</v>
      </c>
      <c r="H8318" s="2" t="s">
        <v>21</v>
      </c>
      <c r="I8318" s="2" t="s">
        <v>16079</v>
      </c>
      <c r="J8318" s="3" t="str">
        <f>HYPERLINK("https://www.boe.es/gazeta/dias/1821/11/27/pdfs/GMD-1821-339.pdf#page=2","Abrir facsímil")</f>
        <v>Abrir facsímil</v>
      </c>
      <c r="K8318" s="3" t="s">
        <v>23</v>
      </c>
    </row>
    <row r="8319" spans="1:11" ht="42" customHeight="1">
      <c r="A8319" s="2" t="s">
        <v>16080</v>
      </c>
      <c r="B8319" s="2" t="s">
        <v>16081</v>
      </c>
      <c r="C8319" s="2" t="s">
        <v>40</v>
      </c>
      <c r="D8319" s="2" t="s">
        <v>41</v>
      </c>
      <c r="E8319" s="5">
        <v>-28744</v>
      </c>
      <c r="F8319" s="3" t="s">
        <v>834</v>
      </c>
      <c r="G8319" s="3" t="s">
        <v>52</v>
      </c>
      <c r="H8319" s="2" t="s">
        <v>21</v>
      </c>
      <c r="I8319" s="2" t="s">
        <v>16082</v>
      </c>
      <c r="J8319" s="3" t="str">
        <f>HYPERLINK("https://www.boe.es/gazeta/dias/1821/04/19/pdfs/GMD-1821-111.pdf#page=2","Abrir facsímil")</f>
        <v>Abrir facsímil</v>
      </c>
      <c r="K8319" s="3" t="s">
        <v>23</v>
      </c>
    </row>
    <row r="8320" spans="1:11" ht="42" customHeight="1">
      <c r="A8320" s="2" t="s">
        <v>16083</v>
      </c>
      <c r="B8320" s="2" t="s">
        <v>16084</v>
      </c>
      <c r="C8320" s="2" t="s">
        <v>35</v>
      </c>
      <c r="D8320" s="2" t="s">
        <v>27</v>
      </c>
      <c r="E8320" s="5">
        <v>-28541</v>
      </c>
      <c r="F8320" s="3" t="s">
        <v>275</v>
      </c>
      <c r="G8320" s="3" t="s">
        <v>52</v>
      </c>
      <c r="H8320" s="2" t="s">
        <v>21</v>
      </c>
      <c r="I8320" s="2" t="s">
        <v>16085</v>
      </c>
      <c r="J8320" s="3" t="str">
        <f>HYPERLINK("https://www.boe.es/gazeta/dias/1821/11/08/pdfs/GMD-1821-319.pdf#page=2","Abrir facsímil")</f>
        <v>Abrir facsímil</v>
      </c>
      <c r="K8320" s="3" t="s">
        <v>23</v>
      </c>
    </row>
    <row r="8321" spans="1:11" ht="42" customHeight="1">
      <c r="A8321" s="2" t="s">
        <v>16086</v>
      </c>
      <c r="B8321" s="2" t="s">
        <v>16087</v>
      </c>
      <c r="C8321" s="2" t="s">
        <v>26</v>
      </c>
      <c r="D8321" s="2" t="s">
        <v>27</v>
      </c>
      <c r="E8321" s="5">
        <v>-28651</v>
      </c>
      <c r="F8321" s="3" t="s">
        <v>1518</v>
      </c>
      <c r="G8321" s="3" t="s">
        <v>88</v>
      </c>
      <c r="H8321" s="2" t="s">
        <v>21</v>
      </c>
      <c r="I8321" s="2" t="s">
        <v>16088</v>
      </c>
      <c r="J8321" s="3" t="str">
        <f>HYPERLINK("https://www.boe.es/gazeta/dias/1821/07/21/pdfs/GMD-1821-206.pdf#page=4","Abrir facsímil")</f>
        <v>Abrir facsímil</v>
      </c>
      <c r="K8321" s="3" t="s">
        <v>23</v>
      </c>
    </row>
    <row r="8322" spans="1:11" ht="42" customHeight="1">
      <c r="A8322" s="2" t="s">
        <v>16089</v>
      </c>
      <c r="B8322" s="2" t="s">
        <v>16090</v>
      </c>
      <c r="C8322" s="2" t="s">
        <v>17</v>
      </c>
      <c r="D8322" s="2" t="s">
        <v>18</v>
      </c>
      <c r="E8322" s="5">
        <v>-28825</v>
      </c>
      <c r="F8322" s="3" t="s">
        <v>1199</v>
      </c>
      <c r="G8322" s="3" t="s">
        <v>88</v>
      </c>
      <c r="H8322" s="2" t="s">
        <v>21</v>
      </c>
      <c r="I8322" s="2" t="s">
        <v>16091</v>
      </c>
      <c r="J8322" s="3" t="str">
        <f>HYPERLINK("https://www.boe.es/gazeta/dias/1821/01/28/pdfs/GGB-1821-28.pdf#page=4","Abrir facsímil")</f>
        <v>Abrir facsímil</v>
      </c>
      <c r="K8322" s="3" t="s">
        <v>23</v>
      </c>
    </row>
    <row r="8323" spans="1:11" ht="42" customHeight="1">
      <c r="A8323" s="2" t="s">
        <v>16092</v>
      </c>
      <c r="B8323" s="2" t="s">
        <v>16093</v>
      </c>
      <c r="C8323" s="2" t="s">
        <v>17</v>
      </c>
      <c r="D8323" s="2" t="s">
        <v>18</v>
      </c>
      <c r="E8323" s="5">
        <v>-28776</v>
      </c>
      <c r="F8323" s="3" t="s">
        <v>312</v>
      </c>
      <c r="G8323" s="3" t="s">
        <v>88</v>
      </c>
      <c r="H8323" s="2" t="s">
        <v>21</v>
      </c>
      <c r="I8323" s="2" t="s">
        <v>16094</v>
      </c>
      <c r="J8323" s="3" t="str">
        <f>HYPERLINK("https://www.boe.es/gazeta/dias/1821/03/18/pdfs/GMD-1821-77.pdf#page=4","Abrir facsímil")</f>
        <v>Abrir facsímil</v>
      </c>
      <c r="K8323" s="3" t="s">
        <v>23</v>
      </c>
    </row>
    <row r="8324" spans="1:11" ht="42" customHeight="1">
      <c r="A8324" s="2" t="s">
        <v>16095</v>
      </c>
      <c r="B8324" s="2" t="s">
        <v>16095</v>
      </c>
      <c r="C8324" s="2" t="s">
        <v>17</v>
      </c>
      <c r="D8324" s="2" t="s">
        <v>18</v>
      </c>
      <c r="E8324" s="5">
        <v>-28697</v>
      </c>
      <c r="F8324" s="3" t="s">
        <v>166</v>
      </c>
      <c r="G8324" s="3" t="s">
        <v>20</v>
      </c>
      <c r="H8324" s="2" t="s">
        <v>21</v>
      </c>
      <c r="I8324" s="2" t="s">
        <v>16096</v>
      </c>
      <c r="J8324" s="3" t="str">
        <f>HYPERLINK("https://www.boe.es/gazeta/dias/1821/06/05/pdfs/GMD-1821-158.pdf#page=3","Abrir facsímil")</f>
        <v>Abrir facsímil</v>
      </c>
      <c r="K8324" s="3" t="s">
        <v>23</v>
      </c>
    </row>
    <row r="8325" spans="1:11" ht="42" customHeight="1">
      <c r="A8325" s="2" t="s">
        <v>16097</v>
      </c>
      <c r="B8325" s="2" t="s">
        <v>16098</v>
      </c>
      <c r="C8325" s="2" t="s">
        <v>40</v>
      </c>
      <c r="D8325" s="2" t="s">
        <v>41</v>
      </c>
      <c r="E8325" s="5">
        <v>-28731</v>
      </c>
      <c r="F8325" s="3" t="s">
        <v>577</v>
      </c>
      <c r="G8325" s="3" t="s">
        <v>88</v>
      </c>
      <c r="H8325" s="2" t="s">
        <v>21</v>
      </c>
      <c r="I8325" s="2" t="s">
        <v>16099</v>
      </c>
      <c r="J8325" s="3" t="str">
        <f>HYPERLINK("https://www.boe.es/gazeta/dias/1821/05/02/pdfs/GMD-1821-124.pdf#page=4","Abrir facsímil")</f>
        <v>Abrir facsímil</v>
      </c>
      <c r="K8325" s="3" t="s">
        <v>23</v>
      </c>
    </row>
    <row r="8326" spans="1:11" ht="42" customHeight="1">
      <c r="A8326" s="2" t="s">
        <v>16100</v>
      </c>
      <c r="B8326" s="2" t="s">
        <v>16101</v>
      </c>
      <c r="C8326" s="2" t="s">
        <v>26</v>
      </c>
      <c r="D8326" s="2" t="s">
        <v>27</v>
      </c>
      <c r="E8326" s="5">
        <v>-28602</v>
      </c>
      <c r="F8326" s="3" t="s">
        <v>1526</v>
      </c>
      <c r="G8326" s="3" t="s">
        <v>88</v>
      </c>
      <c r="H8326" s="2" t="s">
        <v>21</v>
      </c>
      <c r="I8326" s="2" t="s">
        <v>16102</v>
      </c>
      <c r="J8326" s="3" t="str">
        <f>HYPERLINK("https://www.boe.es/gazeta/dias/1821/09/08/pdfs/GMD-1821-256.pdf#page=4","Abrir facsímil")</f>
        <v>Abrir facsímil</v>
      </c>
      <c r="K8326" s="3" t="s">
        <v>23</v>
      </c>
    </row>
    <row r="8327" spans="1:11" ht="42" customHeight="1">
      <c r="A8327" s="2" t="s">
        <v>16103</v>
      </c>
      <c r="B8327" s="2" t="s">
        <v>16104</v>
      </c>
      <c r="C8327" s="2" t="s">
        <v>40</v>
      </c>
      <c r="D8327" s="2" t="s">
        <v>41</v>
      </c>
      <c r="E8327" s="5">
        <v>-28711</v>
      </c>
      <c r="F8327" s="3" t="s">
        <v>1048</v>
      </c>
      <c r="G8327" s="3" t="s">
        <v>88</v>
      </c>
      <c r="H8327" s="2" t="s">
        <v>21</v>
      </c>
      <c r="I8327" s="2" t="s">
        <v>16105</v>
      </c>
      <c r="J8327" s="3" t="str">
        <f>HYPERLINK("https://www.boe.es/gazeta/dias/1821/05/22/pdfs/GMD-1821-144.pdf#page=4","Abrir facsímil")</f>
        <v>Abrir facsímil</v>
      </c>
      <c r="K8327" s="3" t="s">
        <v>23</v>
      </c>
    </row>
    <row r="8328" spans="1:11" ht="42" customHeight="1">
      <c r="A8328" s="2" t="s">
        <v>16106</v>
      </c>
      <c r="B8328" s="2" t="s">
        <v>16106</v>
      </c>
      <c r="C8328" s="2" t="s">
        <v>17</v>
      </c>
      <c r="D8328" s="2" t="s">
        <v>18</v>
      </c>
      <c r="E8328" s="5">
        <v>-28807</v>
      </c>
      <c r="F8328" s="3" t="s">
        <v>613</v>
      </c>
      <c r="G8328" s="3" t="s">
        <v>20</v>
      </c>
      <c r="H8328" s="2" t="s">
        <v>21</v>
      </c>
      <c r="I8328" s="2" t="s">
        <v>16107</v>
      </c>
      <c r="J8328" s="3" t="str">
        <f>HYPERLINK("https://www.boe.es/gazeta/dias/1821/02/15/pdfs/GGB-1821-46.pdf#page=3","Abrir facsímil")</f>
        <v>Abrir facsímil</v>
      </c>
      <c r="K8328" s="3" t="s">
        <v>23</v>
      </c>
    </row>
    <row r="8329" spans="1:11" ht="42" customHeight="1">
      <c r="A8329" s="2" t="s">
        <v>16106</v>
      </c>
      <c r="B8329" s="2" t="s">
        <v>16106</v>
      </c>
      <c r="C8329" s="2" t="s">
        <v>17</v>
      </c>
      <c r="D8329" s="2" t="s">
        <v>18</v>
      </c>
      <c r="E8329" s="5">
        <v>-28764</v>
      </c>
      <c r="F8329" s="3" t="s">
        <v>924</v>
      </c>
      <c r="G8329" s="3" t="s">
        <v>20</v>
      </c>
      <c r="H8329" s="2" t="s">
        <v>21</v>
      </c>
      <c r="I8329" s="2" t="s">
        <v>16108</v>
      </c>
      <c r="J8329" s="3" t="str">
        <f>HYPERLINK("https://www.boe.es/gazeta/dias/1821/03/30/pdfs/GMD-1821-91.pdf#page=3","Abrir facsímil")</f>
        <v>Abrir facsímil</v>
      </c>
      <c r="K8329" s="3" t="s">
        <v>23</v>
      </c>
    </row>
    <row r="8330" spans="1:11" ht="42" customHeight="1">
      <c r="A8330" s="2" t="s">
        <v>16106</v>
      </c>
      <c r="B8330" s="2" t="s">
        <v>16106</v>
      </c>
      <c r="C8330" s="2" t="s">
        <v>26</v>
      </c>
      <c r="D8330" s="2" t="s">
        <v>27</v>
      </c>
      <c r="E8330" s="5">
        <v>-28761</v>
      </c>
      <c r="F8330" s="3" t="s">
        <v>771</v>
      </c>
      <c r="G8330" s="3" t="s">
        <v>20</v>
      </c>
      <c r="H8330" s="2" t="s">
        <v>21</v>
      </c>
      <c r="I8330" s="2" t="s">
        <v>16109</v>
      </c>
      <c r="J8330" s="3" t="str">
        <f>HYPERLINK("https://www.boe.es/gazeta/dias/1821/04/02/pdfs/GMD-1821-94.pdf#page=3","Abrir facsímil")</f>
        <v>Abrir facsímil</v>
      </c>
      <c r="K8330" s="3" t="s">
        <v>23</v>
      </c>
    </row>
    <row r="8331" spans="1:11" ht="42" customHeight="1">
      <c r="A8331" s="2" t="s">
        <v>16106</v>
      </c>
      <c r="B8331" s="2" t="s">
        <v>16106</v>
      </c>
      <c r="C8331" s="2" t="s">
        <v>70</v>
      </c>
      <c r="D8331" s="2" t="s">
        <v>27</v>
      </c>
      <c r="E8331" s="5">
        <v>-28753</v>
      </c>
      <c r="F8331" s="3" t="s">
        <v>720</v>
      </c>
      <c r="G8331" s="3" t="s">
        <v>88</v>
      </c>
      <c r="H8331" s="2" t="s">
        <v>21</v>
      </c>
      <c r="I8331" s="2" t="s">
        <v>16110</v>
      </c>
      <c r="J8331" s="3" t="str">
        <f>HYPERLINK("https://www.boe.es/gazeta/dias/1821/04/10/pdfs/GMD-1821-102.pdf#page=4","Abrir facsímil")</f>
        <v>Abrir facsímil</v>
      </c>
      <c r="K8331" s="3" t="s">
        <v>23</v>
      </c>
    </row>
    <row r="8332" spans="1:11" ht="42" customHeight="1">
      <c r="A8332" s="2" t="s">
        <v>16106</v>
      </c>
      <c r="B8332" s="2" t="s">
        <v>16106</v>
      </c>
      <c r="C8332" s="2" t="s">
        <v>40</v>
      </c>
      <c r="D8332" s="2" t="s">
        <v>41</v>
      </c>
      <c r="E8332" s="5">
        <v>-28747</v>
      </c>
      <c r="F8332" s="3" t="s">
        <v>1016</v>
      </c>
      <c r="G8332" s="3" t="s">
        <v>43</v>
      </c>
      <c r="H8332" s="2" t="s">
        <v>21</v>
      </c>
      <c r="I8332" s="2" t="s">
        <v>16111</v>
      </c>
      <c r="J8332" s="3" t="str">
        <f>HYPERLINK("https://www.boe.es/gazeta/dias/1821/04/16/pdfs/GMD-1821-108.pdf#page=1","Abrir facsímil")</f>
        <v>Abrir facsímil</v>
      </c>
      <c r="K8332" s="3" t="s">
        <v>23</v>
      </c>
    </row>
    <row r="8333" spans="1:11" ht="42" customHeight="1">
      <c r="A8333" s="2" t="s">
        <v>16106</v>
      </c>
      <c r="B8333" s="2" t="s">
        <v>16106</v>
      </c>
      <c r="C8333" s="2" t="s">
        <v>114</v>
      </c>
      <c r="D8333" s="2" t="s">
        <v>27</v>
      </c>
      <c r="E8333" s="5">
        <v>-28746</v>
      </c>
      <c r="F8333" s="3" t="s">
        <v>687</v>
      </c>
      <c r="G8333" s="3" t="s">
        <v>333</v>
      </c>
      <c r="H8333" s="2" t="s">
        <v>21</v>
      </c>
      <c r="I8333" s="2" t="s">
        <v>16112</v>
      </c>
      <c r="J8333" s="3" t="str">
        <f>HYPERLINK("https://www.boe.es/gazeta/dias/1821/04/17/pdfs/GMD-1821-109.pdf#page=8","Abrir facsímil")</f>
        <v>Abrir facsímil</v>
      </c>
      <c r="K8333" s="3" t="s">
        <v>23</v>
      </c>
    </row>
    <row r="8334" spans="1:11" ht="42" customHeight="1">
      <c r="A8334" s="2" t="s">
        <v>16106</v>
      </c>
      <c r="B8334" s="2" t="s">
        <v>16106</v>
      </c>
      <c r="C8334" s="2" t="s">
        <v>40</v>
      </c>
      <c r="D8334" s="2" t="s">
        <v>41</v>
      </c>
      <c r="E8334" s="5">
        <v>-28735</v>
      </c>
      <c r="F8334" s="3" t="s">
        <v>836</v>
      </c>
      <c r="G8334" s="3" t="s">
        <v>52</v>
      </c>
      <c r="H8334" s="2" t="s">
        <v>21</v>
      </c>
      <c r="I8334" s="2" t="s">
        <v>16113</v>
      </c>
      <c r="J8334" s="3" t="str">
        <f>HYPERLINK("https://www.boe.es/gazeta/dias/1821/04/28/pdfs/GMD-1821-120.pdf#page=2","Abrir facsímil")</f>
        <v>Abrir facsímil</v>
      </c>
      <c r="K8334" s="3" t="s">
        <v>23</v>
      </c>
    </row>
    <row r="8335" spans="1:11" ht="42" customHeight="1">
      <c r="A8335" s="2" t="s">
        <v>16106</v>
      </c>
      <c r="B8335" s="2" t="s">
        <v>16106</v>
      </c>
      <c r="C8335" s="2" t="s">
        <v>26</v>
      </c>
      <c r="D8335" s="2" t="s">
        <v>27</v>
      </c>
      <c r="E8335" s="5">
        <v>-28719</v>
      </c>
      <c r="F8335" s="3" t="s">
        <v>647</v>
      </c>
      <c r="G8335" s="3" t="s">
        <v>52</v>
      </c>
      <c r="H8335" s="2" t="s">
        <v>21</v>
      </c>
      <c r="I8335" s="2" t="s">
        <v>16114</v>
      </c>
      <c r="J8335" s="3" t="str">
        <f>HYPERLINK("https://www.boe.es/gazeta/dias/1821/05/14/pdfs/GMD-1821-136.pdf#page=2","Abrir facsímil")</f>
        <v>Abrir facsímil</v>
      </c>
      <c r="K8335" s="3" t="s">
        <v>23</v>
      </c>
    </row>
    <row r="8336" spans="1:11" ht="42" customHeight="1">
      <c r="A8336" s="2" t="s">
        <v>16106</v>
      </c>
      <c r="B8336" s="2" t="s">
        <v>16106</v>
      </c>
      <c r="C8336" s="2" t="s">
        <v>70</v>
      </c>
      <c r="D8336" s="2" t="s">
        <v>27</v>
      </c>
      <c r="E8336" s="5">
        <v>-28708</v>
      </c>
      <c r="F8336" s="3" t="s">
        <v>528</v>
      </c>
      <c r="G8336" s="3" t="s">
        <v>20</v>
      </c>
      <c r="H8336" s="2" t="s">
        <v>21</v>
      </c>
      <c r="I8336" s="2" t="s">
        <v>16115</v>
      </c>
      <c r="J8336" s="3" t="str">
        <f>HYPERLINK("https://www.boe.es/gazeta/dias/1821/05/25/pdfs/GMD-1821-147.pdf#page=3","Abrir facsímil")</f>
        <v>Abrir facsímil</v>
      </c>
      <c r="K8336" s="3" t="s">
        <v>23</v>
      </c>
    </row>
    <row r="8337" spans="1:11" ht="42" customHeight="1">
      <c r="A8337" s="2" t="s">
        <v>16106</v>
      </c>
      <c r="B8337" s="2" t="s">
        <v>16106</v>
      </c>
      <c r="C8337" s="2" t="s">
        <v>40</v>
      </c>
      <c r="D8337" s="2" t="s">
        <v>41</v>
      </c>
      <c r="E8337" s="5">
        <v>-28701</v>
      </c>
      <c r="F8337" s="3" t="s">
        <v>202</v>
      </c>
      <c r="G8337" s="3" t="s">
        <v>88</v>
      </c>
      <c r="H8337" s="2" t="s">
        <v>21</v>
      </c>
      <c r="I8337" s="2" t="s">
        <v>16116</v>
      </c>
      <c r="J8337" s="3" t="str">
        <f>HYPERLINK("https://www.boe.es/gazeta/dias/1821/06/01/pdfs/GMD-1821-154.pdf#page=4","Abrir facsímil")</f>
        <v>Abrir facsímil</v>
      </c>
      <c r="K8337" s="3" t="s">
        <v>23</v>
      </c>
    </row>
    <row r="8338" spans="1:11" ht="42" customHeight="1">
      <c r="A8338" s="2" t="s">
        <v>16106</v>
      </c>
      <c r="B8338" s="2" t="s">
        <v>16106</v>
      </c>
      <c r="C8338" s="2" t="s">
        <v>40</v>
      </c>
      <c r="D8338" s="2" t="s">
        <v>41</v>
      </c>
      <c r="E8338" s="5">
        <v>-28688</v>
      </c>
      <c r="F8338" s="3" t="s">
        <v>1504</v>
      </c>
      <c r="G8338" s="3" t="s">
        <v>20</v>
      </c>
      <c r="H8338" s="2" t="s">
        <v>21</v>
      </c>
      <c r="I8338" s="2" t="s">
        <v>16117</v>
      </c>
      <c r="J8338" s="3" t="str">
        <f>HYPERLINK("https://www.boe.es/gazeta/dias/1821/06/14/pdfs/GMD-1821-167.pdf#page=3","Abrir facsímil")</f>
        <v>Abrir facsímil</v>
      </c>
      <c r="K8338" s="3" t="s">
        <v>23</v>
      </c>
    </row>
    <row r="8339" spans="1:11" ht="42" customHeight="1">
      <c r="A8339" s="2" t="s">
        <v>16106</v>
      </c>
      <c r="B8339" s="2" t="s">
        <v>16106</v>
      </c>
      <c r="C8339" s="2" t="s">
        <v>26</v>
      </c>
      <c r="D8339" s="2" t="s">
        <v>27</v>
      </c>
      <c r="E8339" s="5">
        <v>-28686</v>
      </c>
      <c r="F8339" s="3" t="s">
        <v>115</v>
      </c>
      <c r="G8339" s="3" t="s">
        <v>88</v>
      </c>
      <c r="H8339" s="2" t="s">
        <v>21</v>
      </c>
      <c r="I8339" s="2" t="s">
        <v>16118</v>
      </c>
      <c r="J8339" s="3" t="str">
        <f>HYPERLINK("https://www.boe.es/gazeta/dias/1821/06/16/pdfs/GMD-1821-169.pdf#page=4","Abrir facsímil")</f>
        <v>Abrir facsímil</v>
      </c>
      <c r="K8339" s="3" t="s">
        <v>23</v>
      </c>
    </row>
    <row r="8340" spans="1:11" ht="42" customHeight="1">
      <c r="A8340" s="2" t="s">
        <v>16106</v>
      </c>
      <c r="B8340" s="2" t="s">
        <v>16106</v>
      </c>
      <c r="C8340" s="2" t="s">
        <v>26</v>
      </c>
      <c r="D8340" s="2" t="s">
        <v>27</v>
      </c>
      <c r="E8340" s="5">
        <v>-28682</v>
      </c>
      <c r="F8340" s="3" t="s">
        <v>1064</v>
      </c>
      <c r="G8340" s="3" t="s">
        <v>162</v>
      </c>
      <c r="H8340" s="2" t="s">
        <v>21</v>
      </c>
      <c r="I8340" s="2" t="s">
        <v>16119</v>
      </c>
      <c r="J8340" s="3" t="str">
        <f>HYPERLINK("https://www.boe.es/gazeta/dias/1821/06/20/pdfs/GMD-1821-173.pdf#page=5","Abrir facsímil")</f>
        <v>Abrir facsímil</v>
      </c>
      <c r="K8340" s="3" t="s">
        <v>23</v>
      </c>
    </row>
    <row r="8341" spans="1:11" ht="42" customHeight="1">
      <c r="A8341" s="2" t="s">
        <v>16106</v>
      </c>
      <c r="B8341" s="2" t="s">
        <v>16106</v>
      </c>
      <c r="C8341" s="2" t="s">
        <v>40</v>
      </c>
      <c r="D8341" s="2" t="s">
        <v>41</v>
      </c>
      <c r="E8341" s="5">
        <v>-28661</v>
      </c>
      <c r="F8341" s="3" t="s">
        <v>2298</v>
      </c>
      <c r="G8341" s="3" t="s">
        <v>88</v>
      </c>
      <c r="H8341" s="2" t="s">
        <v>21</v>
      </c>
      <c r="I8341" s="2" t="s">
        <v>16120</v>
      </c>
      <c r="J8341" s="3" t="str">
        <f>HYPERLINK("https://www.boe.es/gazeta/dias/1821/07/11/pdfs/GMD-1821-196.pdf#page=4","Abrir facsímil")</f>
        <v>Abrir facsímil</v>
      </c>
      <c r="K8341" s="3" t="s">
        <v>23</v>
      </c>
    </row>
    <row r="8342" spans="1:11" ht="42" customHeight="1">
      <c r="A8342" s="2" t="s">
        <v>16106</v>
      </c>
      <c r="B8342" s="2" t="s">
        <v>16106</v>
      </c>
      <c r="C8342" s="2" t="s">
        <v>17</v>
      </c>
      <c r="D8342" s="2" t="s">
        <v>18</v>
      </c>
      <c r="E8342" s="5">
        <v>-28648</v>
      </c>
      <c r="F8342" s="3" t="s">
        <v>1520</v>
      </c>
      <c r="G8342" s="3" t="s">
        <v>1521</v>
      </c>
      <c r="H8342" s="2" t="s">
        <v>21</v>
      </c>
      <c r="I8342" s="2" t="s">
        <v>16121</v>
      </c>
      <c r="J8342" s="3" t="str">
        <f>HYPERLINK("https://www.boe.es/gazeta/dias/1821/07/24/pdfs/GMD-1821-209.pdf#page=6","Abrir facsímil")</f>
        <v>Abrir facsímil</v>
      </c>
      <c r="K8342" s="3" t="s">
        <v>23</v>
      </c>
    </row>
    <row r="8343" spans="1:11" ht="42" customHeight="1">
      <c r="A8343" s="2" t="s">
        <v>16106</v>
      </c>
      <c r="B8343" s="2" t="s">
        <v>16106</v>
      </c>
      <c r="C8343" s="2" t="s">
        <v>114</v>
      </c>
      <c r="D8343" s="2" t="s">
        <v>27</v>
      </c>
      <c r="E8343" s="5">
        <v>-28644</v>
      </c>
      <c r="F8343" s="3" t="s">
        <v>1340</v>
      </c>
      <c r="G8343" s="3" t="s">
        <v>88</v>
      </c>
      <c r="H8343" s="2" t="s">
        <v>21</v>
      </c>
      <c r="I8343" s="2" t="s">
        <v>16122</v>
      </c>
      <c r="J8343" s="3" t="str">
        <f>HYPERLINK("https://www.boe.es/gazeta/dias/1821/07/28/pdfs/GMD-1821-213.pdf#page=4","Abrir facsímil")</f>
        <v>Abrir facsímil</v>
      </c>
      <c r="K8343" s="3" t="s">
        <v>23</v>
      </c>
    </row>
    <row r="8344" spans="1:11" ht="42" customHeight="1">
      <c r="A8344" s="2" t="s">
        <v>16106</v>
      </c>
      <c r="B8344" s="2" t="s">
        <v>16106</v>
      </c>
      <c r="C8344" s="2" t="s">
        <v>40</v>
      </c>
      <c r="D8344" s="2" t="s">
        <v>41</v>
      </c>
      <c r="E8344" s="5">
        <v>-28630</v>
      </c>
      <c r="F8344" s="3" t="s">
        <v>616</v>
      </c>
      <c r="G8344" s="3" t="s">
        <v>88</v>
      </c>
      <c r="H8344" s="2" t="s">
        <v>21</v>
      </c>
      <c r="I8344" s="2" t="s">
        <v>16123</v>
      </c>
      <c r="J8344" s="3" t="str">
        <f>HYPERLINK("https://www.boe.es/gazeta/dias/1821/08/11/pdfs/GMD-1821-228.pdf#page=4","Abrir facsímil")</f>
        <v>Abrir facsímil</v>
      </c>
      <c r="K8344" s="3" t="s">
        <v>23</v>
      </c>
    </row>
    <row r="8345" spans="1:11" ht="42" customHeight="1">
      <c r="A8345" s="2" t="s">
        <v>16106</v>
      </c>
      <c r="B8345" s="2" t="s">
        <v>16106</v>
      </c>
      <c r="C8345" s="2" t="s">
        <v>35</v>
      </c>
      <c r="D8345" s="2" t="s">
        <v>27</v>
      </c>
      <c r="E8345" s="5">
        <v>-28621</v>
      </c>
      <c r="F8345" s="3" t="s">
        <v>1317</v>
      </c>
      <c r="G8345" s="3" t="s">
        <v>20</v>
      </c>
      <c r="H8345" s="2" t="s">
        <v>21</v>
      </c>
      <c r="I8345" s="2" t="s">
        <v>16124</v>
      </c>
      <c r="J8345" s="3" t="str">
        <f>HYPERLINK("https://www.boe.es/gazeta/dias/1821/08/20/pdfs/GMD-1821-237.pdf#page=3","Abrir facsímil")</f>
        <v>Abrir facsímil</v>
      </c>
      <c r="K8345" s="3" t="s">
        <v>23</v>
      </c>
    </row>
    <row r="8346" spans="1:11" ht="42" customHeight="1">
      <c r="A8346" s="2" t="s">
        <v>16106</v>
      </c>
      <c r="B8346" s="2" t="s">
        <v>16106</v>
      </c>
      <c r="C8346" s="2" t="s">
        <v>174</v>
      </c>
      <c r="D8346" s="2" t="s">
        <v>27</v>
      </c>
      <c r="E8346" s="5">
        <v>-28610</v>
      </c>
      <c r="F8346" s="3" t="s">
        <v>190</v>
      </c>
      <c r="G8346" s="3" t="s">
        <v>88</v>
      </c>
      <c r="H8346" s="2" t="s">
        <v>21</v>
      </c>
      <c r="I8346" s="2" t="s">
        <v>16125</v>
      </c>
      <c r="J8346" s="3" t="str">
        <f>HYPERLINK("https://www.boe.es/gazeta/dias/1821/08/31/pdfs/GMD-1821-248.pdf#page=4","Abrir facsímil")</f>
        <v>Abrir facsímil</v>
      </c>
      <c r="K8346" s="3" t="s">
        <v>23</v>
      </c>
    </row>
    <row r="8347" spans="1:11" ht="42" customHeight="1">
      <c r="A8347" s="2" t="s">
        <v>16106</v>
      </c>
      <c r="B8347" s="2" t="s">
        <v>16106</v>
      </c>
      <c r="C8347" s="2" t="s">
        <v>26</v>
      </c>
      <c r="D8347" s="2" t="s">
        <v>27</v>
      </c>
      <c r="E8347" s="5">
        <v>-28608</v>
      </c>
      <c r="F8347" s="3" t="s">
        <v>805</v>
      </c>
      <c r="G8347" s="3" t="s">
        <v>88</v>
      </c>
      <c r="H8347" s="2" t="s">
        <v>21</v>
      </c>
      <c r="I8347" s="2" t="s">
        <v>16126</v>
      </c>
      <c r="J8347" s="3" t="str">
        <f>HYPERLINK("https://www.boe.es/gazeta/dias/1821/09/02/pdfs/GMD-1821-250.pdf#page=4","Abrir facsímil")</f>
        <v>Abrir facsímil</v>
      </c>
      <c r="K8347" s="3" t="s">
        <v>23</v>
      </c>
    </row>
    <row r="8348" spans="1:11" ht="42" customHeight="1">
      <c r="A8348" s="2" t="s">
        <v>16106</v>
      </c>
      <c r="B8348" s="2" t="s">
        <v>16106</v>
      </c>
      <c r="C8348" s="2" t="s">
        <v>17</v>
      </c>
      <c r="D8348" s="2" t="s">
        <v>18</v>
      </c>
      <c r="E8348" s="5">
        <v>-28606</v>
      </c>
      <c r="F8348" s="3" t="s">
        <v>1799</v>
      </c>
      <c r="G8348" s="3" t="s">
        <v>88</v>
      </c>
      <c r="H8348" s="2" t="s">
        <v>21</v>
      </c>
      <c r="I8348" s="2" t="s">
        <v>16127</v>
      </c>
      <c r="J8348" s="3" t="str">
        <f>HYPERLINK("https://www.boe.es/gazeta/dias/1821/09/04/pdfs/GMD-1821-252.pdf#page=4","Abrir facsímil")</f>
        <v>Abrir facsímil</v>
      </c>
      <c r="K8348" s="3" t="s">
        <v>23</v>
      </c>
    </row>
    <row r="8349" spans="1:11" ht="42" customHeight="1">
      <c r="A8349" s="2" t="s">
        <v>16106</v>
      </c>
      <c r="B8349" s="2" t="s">
        <v>16106</v>
      </c>
      <c r="C8349" s="2" t="s">
        <v>17</v>
      </c>
      <c r="D8349" s="2" t="s">
        <v>18</v>
      </c>
      <c r="E8349" s="5">
        <v>-28578</v>
      </c>
      <c r="F8349" s="3" t="s">
        <v>899</v>
      </c>
      <c r="G8349" s="3" t="s">
        <v>43</v>
      </c>
      <c r="H8349" s="2" t="s">
        <v>21</v>
      </c>
      <c r="I8349" s="2" t="s">
        <v>16128</v>
      </c>
      <c r="J8349" s="3" t="str">
        <f>HYPERLINK("https://www.boe.es/gazeta/dias/1821/10/02/pdfs/GMD-1821-281.pdf#page=1","Abrir facsímil")</f>
        <v>Abrir facsímil</v>
      </c>
      <c r="K8349" s="3" t="s">
        <v>23</v>
      </c>
    </row>
    <row r="8350" spans="1:11" ht="42" customHeight="1">
      <c r="A8350" s="2" t="s">
        <v>16106</v>
      </c>
      <c r="B8350" s="2" t="s">
        <v>16106</v>
      </c>
      <c r="C8350" s="2" t="s">
        <v>40</v>
      </c>
      <c r="D8350" s="2" t="s">
        <v>41</v>
      </c>
      <c r="E8350" s="5">
        <v>-28577</v>
      </c>
      <c r="F8350" s="3" t="s">
        <v>858</v>
      </c>
      <c r="G8350" s="3" t="s">
        <v>88</v>
      </c>
      <c r="H8350" s="2" t="s">
        <v>21</v>
      </c>
      <c r="I8350" s="2" t="s">
        <v>16129</v>
      </c>
      <c r="J8350" s="3" t="str">
        <f>HYPERLINK("https://www.boe.es/gazeta/dias/1821/10/03/pdfs/GMD-1821-282.pdf#page=4","Abrir facsímil")</f>
        <v>Abrir facsímil</v>
      </c>
      <c r="K8350" s="3" t="s">
        <v>23</v>
      </c>
    </row>
    <row r="8351" spans="1:11" ht="42" customHeight="1">
      <c r="A8351" s="2" t="s">
        <v>16106</v>
      </c>
      <c r="B8351" s="2" t="s">
        <v>16106</v>
      </c>
      <c r="C8351" s="2" t="s">
        <v>17</v>
      </c>
      <c r="D8351" s="2" t="s">
        <v>18</v>
      </c>
      <c r="E8351" s="5">
        <v>-28531</v>
      </c>
      <c r="F8351" s="3" t="s">
        <v>365</v>
      </c>
      <c r="G8351" s="3" t="s">
        <v>20</v>
      </c>
      <c r="H8351" s="2" t="s">
        <v>21</v>
      </c>
      <c r="I8351" s="2" t="s">
        <v>16130</v>
      </c>
      <c r="J8351" s="3" t="str">
        <f>HYPERLINK("https://www.boe.es/gazeta/dias/1821/11/18/pdfs/GMD-1821-329.pdf#page=3","Abrir facsímil")</f>
        <v>Abrir facsímil</v>
      </c>
      <c r="K8351" s="3" t="s">
        <v>23</v>
      </c>
    </row>
    <row r="8352" spans="1:11" ht="42" customHeight="1">
      <c r="A8352" s="2" t="s">
        <v>16106</v>
      </c>
      <c r="B8352" s="2" t="s">
        <v>16106</v>
      </c>
      <c r="C8352" s="2" t="s">
        <v>26</v>
      </c>
      <c r="D8352" s="2" t="s">
        <v>27</v>
      </c>
      <c r="E8352" s="5">
        <v>-28511</v>
      </c>
      <c r="F8352" s="3" t="s">
        <v>340</v>
      </c>
      <c r="G8352" s="3" t="s">
        <v>52</v>
      </c>
      <c r="H8352" s="2" t="s">
        <v>21</v>
      </c>
      <c r="I8352" s="2" t="s">
        <v>16131</v>
      </c>
      <c r="J8352" s="3" t="str">
        <f>HYPERLINK("https://www.boe.es/gazeta/dias/1821/12/08/pdfs/GMD-1821-350.pdf#page=2","Abrir facsímil")</f>
        <v>Abrir facsímil</v>
      </c>
      <c r="K8352" s="3" t="s">
        <v>23</v>
      </c>
    </row>
    <row r="8353" spans="1:11" ht="42" customHeight="1">
      <c r="A8353" s="2" t="s">
        <v>16106</v>
      </c>
      <c r="B8353" s="2" t="s">
        <v>16106</v>
      </c>
      <c r="C8353" s="2" t="s">
        <v>26</v>
      </c>
      <c r="D8353" s="2" t="s">
        <v>27</v>
      </c>
      <c r="E8353" s="5">
        <v>-28510</v>
      </c>
      <c r="F8353" s="3" t="s">
        <v>83</v>
      </c>
      <c r="G8353" s="3" t="s">
        <v>29</v>
      </c>
      <c r="H8353" s="2" t="s">
        <v>21</v>
      </c>
      <c r="I8353" s="2" t="s">
        <v>16132</v>
      </c>
      <c r="J8353" s="3" t="str">
        <f>HYPERLINK("https://www.boe.es/gazeta/dias/1821/12/09/pdfs/GMD-1821-351.pdf#page=6","Abrir facsímil")</f>
        <v>Abrir facsímil</v>
      </c>
      <c r="K8353" s="3" t="s">
        <v>23</v>
      </c>
    </row>
    <row r="8354" spans="1:11" ht="42" customHeight="1">
      <c r="A8354" s="2" t="s">
        <v>16106</v>
      </c>
      <c r="B8354" s="2" t="s">
        <v>16106</v>
      </c>
      <c r="C8354" s="2" t="s">
        <v>40</v>
      </c>
      <c r="D8354" s="2" t="s">
        <v>41</v>
      </c>
      <c r="E8354" s="5">
        <v>-28508</v>
      </c>
      <c r="F8354" s="3" t="s">
        <v>42</v>
      </c>
      <c r="G8354" s="3" t="s">
        <v>43</v>
      </c>
      <c r="H8354" s="2" t="s">
        <v>21</v>
      </c>
      <c r="I8354" s="2" t="s">
        <v>16133</v>
      </c>
      <c r="J8354" s="3" t="str">
        <f>HYPERLINK("https://www.boe.es/gazeta/dias/1821/12/11/pdfs/GMD-1821-353.pdf#page=1","Abrir facsímil")</f>
        <v>Abrir facsímil</v>
      </c>
      <c r="K8354" s="3" t="s">
        <v>23</v>
      </c>
    </row>
    <row r="8355" spans="1:11" ht="42" customHeight="1">
      <c r="A8355" s="2" t="s">
        <v>16106</v>
      </c>
      <c r="B8355" s="2" t="s">
        <v>16106</v>
      </c>
      <c r="C8355" s="2" t="s">
        <v>70</v>
      </c>
      <c r="D8355" s="2" t="s">
        <v>27</v>
      </c>
      <c r="E8355" s="5">
        <v>-28501</v>
      </c>
      <c r="F8355" s="3" t="s">
        <v>456</v>
      </c>
      <c r="G8355" s="3" t="s">
        <v>457</v>
      </c>
      <c r="H8355" s="2" t="s">
        <v>21</v>
      </c>
      <c r="I8355" s="2" t="s">
        <v>16134</v>
      </c>
      <c r="J8355" s="3" t="str">
        <f>HYPERLINK("https://www.boe.es/gazeta/dias/1821/12/18/pdfs/GMD-1821-361.pdf#page=5","Abrir facsímil")</f>
        <v>Abrir facsímil</v>
      </c>
      <c r="K8355" s="3" t="s">
        <v>23</v>
      </c>
    </row>
    <row r="8356" spans="1:11" ht="42" customHeight="1">
      <c r="A8356" s="2" t="s">
        <v>16106</v>
      </c>
      <c r="B8356" s="2" t="s">
        <v>16106</v>
      </c>
      <c r="C8356" s="2" t="s">
        <v>26</v>
      </c>
      <c r="D8356" s="2" t="s">
        <v>27</v>
      </c>
      <c r="E8356" s="5">
        <v>-28490</v>
      </c>
      <c r="F8356" s="3" t="s">
        <v>801</v>
      </c>
      <c r="G8356" s="3" t="s">
        <v>88</v>
      </c>
      <c r="H8356" s="2" t="s">
        <v>21</v>
      </c>
      <c r="I8356" s="2" t="s">
        <v>16135</v>
      </c>
      <c r="J8356" s="3" t="str">
        <f>HYPERLINK("https://www.boe.es/gazeta/dias/1821/12/29/pdfs/GMD-1821-372.pdf#page=4","Abrir facsímil")</f>
        <v>Abrir facsímil</v>
      </c>
      <c r="K8356" s="3" t="s">
        <v>23</v>
      </c>
    </row>
    <row r="8357" spans="1:11" ht="42" customHeight="1">
      <c r="A8357" s="2" t="s">
        <v>16136</v>
      </c>
      <c r="B8357" s="2" t="s">
        <v>16137</v>
      </c>
      <c r="C8357" s="2" t="s">
        <v>279</v>
      </c>
      <c r="D8357" s="2" t="s">
        <v>27</v>
      </c>
      <c r="E8357" s="5">
        <v>-28847</v>
      </c>
      <c r="F8357" s="3" t="s">
        <v>288</v>
      </c>
      <c r="G8357" s="3" t="s">
        <v>289</v>
      </c>
      <c r="H8357" s="2" t="s">
        <v>21</v>
      </c>
      <c r="I8357" s="2" t="s">
        <v>16138</v>
      </c>
      <c r="J8357" s="3" t="str">
        <f>HYPERLINK("https://www.boe.es/gazeta/dias/1821/01/06/pdfs/GGB-1821-6.pdf#page=4","Abrir facsímil")</f>
        <v>Abrir facsímil</v>
      </c>
      <c r="K8357" s="3" t="s">
        <v>23</v>
      </c>
    </row>
    <row r="8358" spans="1:11" ht="42" customHeight="1">
      <c r="A8358" s="2" t="s">
        <v>16139</v>
      </c>
      <c r="B8358" s="2" t="s">
        <v>16140</v>
      </c>
      <c r="C8358" s="2" t="s">
        <v>17</v>
      </c>
      <c r="D8358" s="2" t="s">
        <v>18</v>
      </c>
      <c r="E8358" s="5">
        <v>-28738</v>
      </c>
      <c r="F8358" s="3" t="s">
        <v>359</v>
      </c>
      <c r="G8358" s="3" t="s">
        <v>88</v>
      </c>
      <c r="H8358" s="2" t="s">
        <v>21</v>
      </c>
      <c r="I8358" s="2" t="s">
        <v>16141</v>
      </c>
      <c r="J8358" s="3" t="str">
        <f>HYPERLINK("https://www.boe.es/gazeta/dias/1821/04/25/pdfs/GMD-1821-117.pdf#page=4","Abrir facsímil")</f>
        <v>Abrir facsímil</v>
      </c>
      <c r="K8358" s="3" t="s">
        <v>23</v>
      </c>
    </row>
    <row r="8359" spans="1:11" ht="42" customHeight="1">
      <c r="A8359" s="2" t="s">
        <v>16142</v>
      </c>
      <c r="B8359" s="2" t="s">
        <v>16143</v>
      </c>
      <c r="C8359" s="2" t="s">
        <v>26</v>
      </c>
      <c r="D8359" s="2" t="s">
        <v>27</v>
      </c>
      <c r="E8359" s="5">
        <v>-28620</v>
      </c>
      <c r="F8359" s="3" t="s">
        <v>87</v>
      </c>
      <c r="G8359" s="3" t="s">
        <v>88</v>
      </c>
      <c r="H8359" s="2" t="s">
        <v>21</v>
      </c>
      <c r="I8359" s="2" t="s">
        <v>16144</v>
      </c>
      <c r="J8359" s="3" t="str">
        <f>HYPERLINK("https://www.boe.es/gazeta/dias/1821/08/21/pdfs/GMD-1821-238.pdf#page=4","Abrir facsímil")</f>
        <v>Abrir facsímil</v>
      </c>
      <c r="K8359" s="3" t="s">
        <v>23</v>
      </c>
    </row>
    <row r="8360" spans="1:11" ht="42" customHeight="1">
      <c r="A8360" s="2" t="s">
        <v>16145</v>
      </c>
      <c r="B8360" s="2" t="s">
        <v>16146</v>
      </c>
      <c r="C8360" s="2" t="s">
        <v>26</v>
      </c>
      <c r="D8360" s="2" t="s">
        <v>27</v>
      </c>
      <c r="E8360" s="5">
        <v>-28682</v>
      </c>
      <c r="F8360" s="3" t="s">
        <v>1064</v>
      </c>
      <c r="G8360" s="3" t="s">
        <v>162</v>
      </c>
      <c r="H8360" s="2" t="s">
        <v>21</v>
      </c>
      <c r="I8360" s="2" t="s">
        <v>16147</v>
      </c>
      <c r="J8360" s="3" t="str">
        <f>HYPERLINK("https://www.boe.es/gazeta/dias/1821/06/20/pdfs/GMD-1821-173.pdf#page=5","Abrir facsímil")</f>
        <v>Abrir facsímil</v>
      </c>
      <c r="K8360" s="3" t="s">
        <v>23</v>
      </c>
    </row>
    <row r="8361" spans="1:11" ht="42" customHeight="1">
      <c r="A8361" s="2" t="s">
        <v>16148</v>
      </c>
      <c r="B8361" s="2" t="s">
        <v>16149</v>
      </c>
      <c r="C8361" s="2" t="s">
        <v>35</v>
      </c>
      <c r="D8361" s="2" t="s">
        <v>27</v>
      </c>
      <c r="E8361" s="5">
        <v>-28786</v>
      </c>
      <c r="F8361" s="3" t="s">
        <v>1933</v>
      </c>
      <c r="G8361" s="3" t="s">
        <v>88</v>
      </c>
      <c r="H8361" s="2" t="s">
        <v>21</v>
      </c>
      <c r="I8361" s="2" t="s">
        <v>16150</v>
      </c>
      <c r="J8361" s="3" t="str">
        <f>HYPERLINK("https://www.boe.es/gazeta/dias/1821/03/08/pdfs/GGB-1821-67.pdf#page=4","Abrir facsímil")</f>
        <v>Abrir facsímil</v>
      </c>
      <c r="K8361" s="3" t="s">
        <v>23</v>
      </c>
    </row>
    <row r="8362" spans="1:11" ht="42" customHeight="1">
      <c r="A8362" s="2" t="s">
        <v>16151</v>
      </c>
      <c r="B8362" s="2" t="s">
        <v>16152</v>
      </c>
      <c r="C8362" s="2" t="s">
        <v>17</v>
      </c>
      <c r="D8362" s="2" t="s">
        <v>18</v>
      </c>
      <c r="E8362" s="5">
        <v>-28796</v>
      </c>
      <c r="F8362" s="3" t="s">
        <v>1421</v>
      </c>
      <c r="G8362" s="3" t="s">
        <v>52</v>
      </c>
      <c r="H8362" s="2" t="s">
        <v>21</v>
      </c>
      <c r="I8362" s="2" t="s">
        <v>16153</v>
      </c>
      <c r="J8362" s="3" t="str">
        <f>HYPERLINK("https://www.boe.es/gazeta/dias/1821/02/26/pdfs/GGB-1821-57.pdf#page=2","Abrir facsímil")</f>
        <v>Abrir facsímil</v>
      </c>
      <c r="K8362" s="3" t="s">
        <v>23</v>
      </c>
    </row>
    <row r="8363" spans="1:11" ht="42" customHeight="1">
      <c r="A8363" s="2" t="s">
        <v>16154</v>
      </c>
      <c r="B8363" s="2" t="s">
        <v>16155</v>
      </c>
      <c r="C8363" s="2" t="s">
        <v>17</v>
      </c>
      <c r="D8363" s="2" t="s">
        <v>18</v>
      </c>
      <c r="E8363" s="5">
        <v>-28824</v>
      </c>
      <c r="F8363" s="3" t="s">
        <v>1227</v>
      </c>
      <c r="G8363" s="3" t="s">
        <v>43</v>
      </c>
      <c r="H8363" s="2" t="s">
        <v>21</v>
      </c>
      <c r="I8363" s="2" t="s">
        <v>16156</v>
      </c>
      <c r="J8363" s="3" t="str">
        <f>HYPERLINK("https://www.boe.es/gazeta/dias/1821/01/29/pdfs/GGB-1821-29.pdf#page=1","Abrir facsímil")</f>
        <v>Abrir facsímil</v>
      </c>
      <c r="K8363" s="3" t="s">
        <v>23</v>
      </c>
    </row>
    <row r="8364" spans="1:11" ht="42" customHeight="1">
      <c r="A8364" s="2" t="s">
        <v>16157</v>
      </c>
      <c r="B8364" s="2" t="s">
        <v>16158</v>
      </c>
      <c r="C8364" s="2" t="s">
        <v>26</v>
      </c>
      <c r="D8364" s="2" t="s">
        <v>27</v>
      </c>
      <c r="E8364" s="5">
        <v>-28664</v>
      </c>
      <c r="F8364" s="3" t="s">
        <v>1365</v>
      </c>
      <c r="G8364" s="3" t="s">
        <v>20</v>
      </c>
      <c r="H8364" s="2" t="s">
        <v>30</v>
      </c>
      <c r="I8364" s="2" t="s">
        <v>16159</v>
      </c>
      <c r="J8364" s="3" t="str">
        <f>HYPERLINK("https://www.boe.es/gazeta/dias/1821/07/08/pdfs/GMD-1821-193.pdf#page=3","Abrir facsímil")</f>
        <v>Abrir facsímil</v>
      </c>
      <c r="K8364" s="3" t="s">
        <v>32</v>
      </c>
    </row>
    <row r="8365" spans="1:11" ht="42" customHeight="1">
      <c r="A8365" s="2" t="s">
        <v>16160</v>
      </c>
      <c r="B8365" s="2" t="s">
        <v>16161</v>
      </c>
      <c r="C8365" s="2" t="s">
        <v>26</v>
      </c>
      <c r="D8365" s="2" t="s">
        <v>27</v>
      </c>
      <c r="E8365" s="5">
        <v>-28707</v>
      </c>
      <c r="F8365" s="3" t="s">
        <v>495</v>
      </c>
      <c r="G8365" s="3" t="s">
        <v>88</v>
      </c>
      <c r="H8365" s="2" t="s">
        <v>21</v>
      </c>
      <c r="I8365" s="2" t="s">
        <v>16162</v>
      </c>
      <c r="J8365" s="3" t="str">
        <f>HYPERLINK("https://www.boe.es/gazeta/dias/1821/05/26/pdfs/GMD-1821-148.pdf#page=4","Abrir facsímil")</f>
        <v>Abrir facsímil</v>
      </c>
      <c r="K8365" s="3" t="s">
        <v>23</v>
      </c>
    </row>
    <row r="8366" spans="1:11" ht="42" customHeight="1">
      <c r="A8366" s="2" t="s">
        <v>16163</v>
      </c>
      <c r="B8366" s="2" t="s">
        <v>16163</v>
      </c>
      <c r="C8366" s="2" t="s">
        <v>40</v>
      </c>
      <c r="D8366" s="2" t="s">
        <v>41</v>
      </c>
      <c r="E8366" s="5">
        <v>-28774</v>
      </c>
      <c r="F8366" s="3" t="s">
        <v>1221</v>
      </c>
      <c r="G8366" s="3" t="s">
        <v>43</v>
      </c>
      <c r="H8366" s="2" t="s">
        <v>21</v>
      </c>
      <c r="I8366" s="2" t="s">
        <v>16164</v>
      </c>
      <c r="J8366" s="3" t="str">
        <f>HYPERLINK("https://www.boe.es/gazeta/dias/1821/03/20/pdfs/GMD-1821-79.pdf#page=1","Abrir facsímil")</f>
        <v>Abrir facsímil</v>
      </c>
      <c r="K8366" s="3" t="s">
        <v>23</v>
      </c>
    </row>
    <row r="8367" spans="1:11" ht="42" customHeight="1">
      <c r="A8367" s="2" t="s">
        <v>16163</v>
      </c>
      <c r="B8367" s="2" t="s">
        <v>16163</v>
      </c>
      <c r="C8367" s="2" t="s">
        <v>17</v>
      </c>
      <c r="D8367" s="2" t="s">
        <v>18</v>
      </c>
      <c r="E8367" s="5">
        <v>-28591</v>
      </c>
      <c r="F8367" s="3" t="s">
        <v>3638</v>
      </c>
      <c r="G8367" s="3" t="s">
        <v>52</v>
      </c>
      <c r="H8367" s="2" t="s">
        <v>21</v>
      </c>
      <c r="I8367" s="2" t="s">
        <v>16165</v>
      </c>
      <c r="J8367" s="3" t="str">
        <f>HYPERLINK("https://www.boe.es/gazeta/dias/1821/09/19/pdfs/GMD-1821-267.pdf#page=2","Abrir facsímil")</f>
        <v>Abrir facsímil</v>
      </c>
      <c r="K8367" s="3" t="s">
        <v>23</v>
      </c>
    </row>
    <row r="8368" spans="1:11" ht="42" customHeight="1">
      <c r="A8368" s="2" t="s">
        <v>16166</v>
      </c>
      <c r="B8368" s="2" t="s">
        <v>16167</v>
      </c>
      <c r="C8368" s="2" t="s">
        <v>174</v>
      </c>
      <c r="D8368" s="2" t="s">
        <v>27</v>
      </c>
      <c r="E8368" s="5">
        <v>-28547</v>
      </c>
      <c r="F8368" s="3" t="s">
        <v>247</v>
      </c>
      <c r="G8368" s="3" t="s">
        <v>248</v>
      </c>
      <c r="H8368" s="2" t="s">
        <v>21</v>
      </c>
      <c r="I8368" s="2" t="s">
        <v>16168</v>
      </c>
      <c r="J8368" s="3" t="str">
        <f>HYPERLINK("https://www.boe.es/gazeta/dias/1821/11/02/pdfs/GMD-1821-312.pdf#page=2","Abrir facsímil")</f>
        <v>Abrir facsímil</v>
      </c>
      <c r="K8368" s="3" t="s">
        <v>23</v>
      </c>
    </row>
    <row r="8369" spans="1:11" ht="42" customHeight="1">
      <c r="A8369" s="2" t="s">
        <v>16169</v>
      </c>
      <c r="B8369" s="2" t="s">
        <v>16169</v>
      </c>
      <c r="C8369" s="2" t="s">
        <v>26</v>
      </c>
      <c r="D8369" s="2" t="s">
        <v>27</v>
      </c>
      <c r="E8369" s="5">
        <v>-28800</v>
      </c>
      <c r="F8369" s="3" t="s">
        <v>1753</v>
      </c>
      <c r="G8369" s="3" t="s">
        <v>3432</v>
      </c>
      <c r="H8369" s="2" t="s">
        <v>21</v>
      </c>
      <c r="I8369" s="2" t="s">
        <v>16170</v>
      </c>
      <c r="J8369" s="3" t="str">
        <f>HYPERLINK("https://www.boe.es/gazeta/dias/1821/02/22/pdfs/GGB-1821-53.pdf#page=3","Abrir facsímil")</f>
        <v>Abrir facsímil</v>
      </c>
      <c r="K8369" s="3" t="s">
        <v>23</v>
      </c>
    </row>
    <row r="8370" spans="1:11" ht="42" customHeight="1">
      <c r="A8370" s="2" t="s">
        <v>16169</v>
      </c>
      <c r="B8370" s="2" t="s">
        <v>16169</v>
      </c>
      <c r="C8370" s="2" t="s">
        <v>17</v>
      </c>
      <c r="D8370" s="2" t="s">
        <v>18</v>
      </c>
      <c r="E8370" s="5">
        <v>-28645</v>
      </c>
      <c r="F8370" s="3" t="s">
        <v>2579</v>
      </c>
      <c r="G8370" s="3" t="s">
        <v>52</v>
      </c>
      <c r="H8370" s="2" t="s">
        <v>21</v>
      </c>
      <c r="I8370" s="2" t="s">
        <v>16171</v>
      </c>
      <c r="J8370" s="3" t="str">
        <f>HYPERLINK("https://www.boe.es/gazeta/dias/1821/07/27/pdfs/GMD-1821-212.pdf#page=2","Abrir facsímil")</f>
        <v>Abrir facsímil</v>
      </c>
      <c r="K8370" s="3" t="s">
        <v>23</v>
      </c>
    </row>
    <row r="8371" spans="1:11" ht="42" customHeight="1">
      <c r="A8371" s="2" t="s">
        <v>16169</v>
      </c>
      <c r="B8371" s="2" t="s">
        <v>16169</v>
      </c>
      <c r="C8371" s="2" t="s">
        <v>40</v>
      </c>
      <c r="D8371" s="2" t="s">
        <v>41</v>
      </c>
      <c r="E8371" s="5">
        <v>-28632</v>
      </c>
      <c r="F8371" s="3" t="s">
        <v>6572</v>
      </c>
      <c r="G8371" s="3" t="s">
        <v>52</v>
      </c>
      <c r="H8371" s="2" t="s">
        <v>21</v>
      </c>
      <c r="I8371" s="2" t="s">
        <v>16172</v>
      </c>
      <c r="J8371" s="3" t="str">
        <f>HYPERLINK("https://www.boe.es/gazeta/dias/1821/08/09/pdfs/GMD-1821-225.pdf#page=2","Abrir facsímil")</f>
        <v>Abrir facsímil</v>
      </c>
      <c r="K8371" s="3" t="s">
        <v>23</v>
      </c>
    </row>
    <row r="8372" spans="1:11" ht="42" customHeight="1">
      <c r="A8372" s="2" t="s">
        <v>16169</v>
      </c>
      <c r="B8372" s="2" t="s">
        <v>16169</v>
      </c>
      <c r="C8372" s="2" t="s">
        <v>40</v>
      </c>
      <c r="D8372" s="2" t="s">
        <v>41</v>
      </c>
      <c r="E8372" s="5">
        <v>-28626</v>
      </c>
      <c r="F8372" s="3" t="s">
        <v>468</v>
      </c>
      <c r="G8372" s="3" t="s">
        <v>20</v>
      </c>
      <c r="H8372" s="2" t="s">
        <v>21</v>
      </c>
      <c r="I8372" s="2" t="s">
        <v>16173</v>
      </c>
      <c r="J8372" s="3" t="str">
        <f>HYPERLINK("https://www.boe.es/gazeta/dias/1821/08/15/pdfs/GMD-1821-232.pdf#page=3","Abrir facsímil")</f>
        <v>Abrir facsímil</v>
      </c>
      <c r="K8372" s="3" t="s">
        <v>23</v>
      </c>
    </row>
    <row r="8373" spans="1:11" ht="42" customHeight="1">
      <c r="A8373" s="2" t="s">
        <v>16174</v>
      </c>
      <c r="B8373" s="2" t="s">
        <v>16175</v>
      </c>
      <c r="C8373" s="2" t="s">
        <v>17</v>
      </c>
      <c r="D8373" s="2" t="s">
        <v>18</v>
      </c>
      <c r="E8373" s="5">
        <v>-28678</v>
      </c>
      <c r="F8373" s="3" t="s">
        <v>215</v>
      </c>
      <c r="G8373" s="3" t="s">
        <v>88</v>
      </c>
      <c r="H8373" s="2" t="s">
        <v>21</v>
      </c>
      <c r="I8373" s="2" t="s">
        <v>16176</v>
      </c>
      <c r="J8373" s="3" t="str">
        <f>HYPERLINK("https://www.boe.es/gazeta/dias/1821/06/24/pdfs/GMD-1821-177.pdf#page=4","Abrir facsímil")</f>
        <v>Abrir facsímil</v>
      </c>
      <c r="K8373" s="3" t="s">
        <v>23</v>
      </c>
    </row>
    <row r="8374" spans="1:11" ht="42" customHeight="1">
      <c r="A8374" s="2" t="s">
        <v>16177</v>
      </c>
      <c r="B8374" s="2" t="s">
        <v>16178</v>
      </c>
      <c r="C8374" s="2" t="s">
        <v>17</v>
      </c>
      <c r="D8374" s="2" t="s">
        <v>18</v>
      </c>
      <c r="E8374" s="5">
        <v>-28787</v>
      </c>
      <c r="F8374" s="3" t="s">
        <v>486</v>
      </c>
      <c r="G8374" s="3" t="s">
        <v>20</v>
      </c>
      <c r="H8374" s="2" t="s">
        <v>21</v>
      </c>
      <c r="I8374" s="2" t="s">
        <v>16179</v>
      </c>
      <c r="J8374" s="3" t="str">
        <f>HYPERLINK("https://www.boe.es/gazeta/dias/1821/03/07/pdfs/GGB-1821-66.pdf#page=3","Abrir facsímil")</f>
        <v>Abrir facsímil</v>
      </c>
      <c r="K8374" s="3" t="s">
        <v>23</v>
      </c>
    </row>
    <row r="8375" spans="1:11" ht="42" customHeight="1">
      <c r="A8375" s="2" t="s">
        <v>16180</v>
      </c>
      <c r="B8375" s="2" t="s">
        <v>16181</v>
      </c>
      <c r="C8375" s="2" t="s">
        <v>17</v>
      </c>
      <c r="D8375" s="2" t="s">
        <v>18</v>
      </c>
      <c r="E8375" s="5">
        <v>-28697</v>
      </c>
      <c r="F8375" s="3" t="s">
        <v>166</v>
      </c>
      <c r="G8375" s="3" t="s">
        <v>52</v>
      </c>
      <c r="H8375" s="2" t="s">
        <v>21</v>
      </c>
      <c r="I8375" s="2" t="s">
        <v>16182</v>
      </c>
      <c r="J8375" s="3" t="str">
        <f>HYPERLINK("https://www.boe.es/gazeta/dias/1821/06/05/pdfs/GMD-1821-158.pdf#page=2","Abrir facsímil")</f>
        <v>Abrir facsímil</v>
      </c>
      <c r="K8375" s="3" t="s">
        <v>23</v>
      </c>
    </row>
    <row r="8376" spans="1:11" ht="42" customHeight="1">
      <c r="A8376" s="2" t="s">
        <v>16183</v>
      </c>
      <c r="B8376" s="2" t="s">
        <v>16184</v>
      </c>
      <c r="C8376" s="2" t="s">
        <v>26</v>
      </c>
      <c r="D8376" s="2" t="s">
        <v>27</v>
      </c>
      <c r="E8376" s="5">
        <v>-28617</v>
      </c>
      <c r="F8376" s="3" t="s">
        <v>436</v>
      </c>
      <c r="G8376" s="3" t="s">
        <v>20</v>
      </c>
      <c r="H8376" s="2" t="s">
        <v>21</v>
      </c>
      <c r="I8376" s="2" t="s">
        <v>16185</v>
      </c>
      <c r="J8376" s="3" t="str">
        <f>HYPERLINK("https://www.boe.es/gazeta/dias/1821/08/24/pdfs/GMD-1821-241.pdf#page=3","Abrir facsímil")</f>
        <v>Abrir facsímil</v>
      </c>
      <c r="K8376" s="3" t="s">
        <v>23</v>
      </c>
    </row>
    <row r="8377" spans="1:11" ht="42" customHeight="1">
      <c r="A8377" s="2" t="s">
        <v>16186</v>
      </c>
      <c r="B8377" s="2" t="s">
        <v>16187</v>
      </c>
      <c r="C8377" s="2" t="s">
        <v>26</v>
      </c>
      <c r="D8377" s="2" t="s">
        <v>27</v>
      </c>
      <c r="E8377" s="5">
        <v>-28623</v>
      </c>
      <c r="F8377" s="3" t="s">
        <v>2767</v>
      </c>
      <c r="G8377" s="3" t="s">
        <v>20</v>
      </c>
      <c r="H8377" s="2" t="s">
        <v>21</v>
      </c>
      <c r="I8377" s="2" t="s">
        <v>16188</v>
      </c>
      <c r="J8377" s="3" t="str">
        <f>HYPERLINK("https://www.boe.es/gazeta/dias/1821/08/18/pdfs/GMD-1821-235.pdf#page=3","Abrir facsímil")</f>
        <v>Abrir facsímil</v>
      </c>
      <c r="K8377" s="3" t="s">
        <v>23</v>
      </c>
    </row>
    <row r="8378" spans="1:11" ht="42" customHeight="1">
      <c r="A8378" s="2" t="s">
        <v>16189</v>
      </c>
      <c r="B8378" s="2" t="s">
        <v>16190</v>
      </c>
      <c r="C8378" s="2" t="s">
        <v>26</v>
      </c>
      <c r="D8378" s="2" t="s">
        <v>27</v>
      </c>
      <c r="E8378" s="5">
        <v>-28618</v>
      </c>
      <c r="F8378" s="3" t="s">
        <v>4041</v>
      </c>
      <c r="G8378" s="3" t="s">
        <v>52</v>
      </c>
      <c r="H8378" s="2" t="s">
        <v>21</v>
      </c>
      <c r="I8378" s="2" t="s">
        <v>16191</v>
      </c>
      <c r="J8378" s="3" t="str">
        <f>HYPERLINK("https://www.boe.es/gazeta/dias/1821/08/23/pdfs/GMD-1821-240.pdf#page=2","Abrir facsímil")</f>
        <v>Abrir facsímil</v>
      </c>
      <c r="K8378" s="3" t="s">
        <v>23</v>
      </c>
    </row>
    <row r="8379" spans="1:11" ht="42" customHeight="1">
      <c r="A8379" s="2" t="s">
        <v>16189</v>
      </c>
      <c r="B8379" s="2" t="s">
        <v>16190</v>
      </c>
      <c r="C8379" s="2" t="s">
        <v>40</v>
      </c>
      <c r="D8379" s="2" t="s">
        <v>41</v>
      </c>
      <c r="E8379" s="5">
        <v>-28618</v>
      </c>
      <c r="F8379" s="3" t="s">
        <v>4041</v>
      </c>
      <c r="G8379" s="3" t="s">
        <v>20</v>
      </c>
      <c r="H8379" s="2" t="s">
        <v>21</v>
      </c>
      <c r="I8379" s="2" t="s">
        <v>16192</v>
      </c>
      <c r="J8379" s="3" t="str">
        <f>HYPERLINK("https://www.boe.es/gazeta/dias/1821/08/23/pdfs/GMD-1821-240.pdf#page=3","Abrir facsímil")</f>
        <v>Abrir facsímil</v>
      </c>
      <c r="K8379" s="3" t="s">
        <v>23</v>
      </c>
    </row>
    <row r="8380" spans="1:11" ht="42" customHeight="1">
      <c r="A8380" s="2" t="s">
        <v>16193</v>
      </c>
      <c r="B8380" s="2" t="s">
        <v>16194</v>
      </c>
      <c r="C8380" s="2" t="s">
        <v>26</v>
      </c>
      <c r="D8380" s="2" t="s">
        <v>27</v>
      </c>
      <c r="E8380" s="5">
        <v>-28615</v>
      </c>
      <c r="F8380" s="3" t="s">
        <v>427</v>
      </c>
      <c r="G8380" s="3" t="s">
        <v>20</v>
      </c>
      <c r="H8380" s="2" t="s">
        <v>21</v>
      </c>
      <c r="I8380" s="2" t="s">
        <v>16195</v>
      </c>
      <c r="J8380" s="3" t="str">
        <f>HYPERLINK("https://www.boe.es/gazeta/dias/1821/08/26/pdfs/GMD-1821-243.pdf#page=3","Abrir facsímil")</f>
        <v>Abrir facsímil</v>
      </c>
      <c r="K8380" s="3" t="s">
        <v>23</v>
      </c>
    </row>
    <row r="8381" spans="1:11" ht="42" customHeight="1">
      <c r="A8381" s="2" t="s">
        <v>16196</v>
      </c>
      <c r="B8381" s="2" t="s">
        <v>16197</v>
      </c>
      <c r="C8381" s="2" t="s">
        <v>40</v>
      </c>
      <c r="D8381" s="2" t="s">
        <v>41</v>
      </c>
      <c r="E8381" s="5">
        <v>-28806</v>
      </c>
      <c r="F8381" s="3" t="s">
        <v>1201</v>
      </c>
      <c r="G8381" s="3" t="s">
        <v>88</v>
      </c>
      <c r="H8381" s="2" t="s">
        <v>21</v>
      </c>
      <c r="I8381" s="2" t="s">
        <v>16198</v>
      </c>
      <c r="J8381" s="3" t="str">
        <f>HYPERLINK("https://www.boe.es/gazeta/dias/1821/02/16/pdfs/GGB-1821-47.pdf#page=4","Abrir facsímil")</f>
        <v>Abrir facsímil</v>
      </c>
      <c r="K8381" s="3" t="s">
        <v>23</v>
      </c>
    </row>
    <row r="8382" spans="1:11" ht="42" customHeight="1">
      <c r="A8382" s="2" t="s">
        <v>16199</v>
      </c>
      <c r="B8382" s="2" t="s">
        <v>16200</v>
      </c>
      <c r="C8382" s="2" t="s">
        <v>35</v>
      </c>
      <c r="D8382" s="2" t="s">
        <v>27</v>
      </c>
      <c r="E8382" s="5">
        <v>-28619</v>
      </c>
      <c r="F8382" s="3" t="s">
        <v>3364</v>
      </c>
      <c r="G8382" s="3" t="s">
        <v>52</v>
      </c>
      <c r="H8382" s="2" t="s">
        <v>21</v>
      </c>
      <c r="I8382" s="2" t="s">
        <v>16201</v>
      </c>
      <c r="J8382" s="3" t="str">
        <f>HYPERLINK("https://www.boe.es/gazeta/dias/1821/08/22/pdfs/GMD-1821-239.pdf#page=2","Abrir facsímil")</f>
        <v>Abrir facsímil</v>
      </c>
      <c r="K8382" s="3" t="s">
        <v>23</v>
      </c>
    </row>
    <row r="8383" spans="1:11" ht="42" customHeight="1">
      <c r="A8383" s="2" t="s">
        <v>16202</v>
      </c>
      <c r="B8383" s="2" t="s">
        <v>16202</v>
      </c>
      <c r="C8383" s="2" t="s">
        <v>17</v>
      </c>
      <c r="D8383" s="2" t="s">
        <v>18</v>
      </c>
      <c r="E8383" s="5">
        <v>-28796</v>
      </c>
      <c r="F8383" s="3" t="s">
        <v>1421</v>
      </c>
      <c r="G8383" s="3" t="s">
        <v>1422</v>
      </c>
      <c r="H8383" s="2" t="s">
        <v>21</v>
      </c>
      <c r="I8383" s="2" t="s">
        <v>16203</v>
      </c>
      <c r="J8383" s="3" t="str">
        <f>HYPERLINK("https://www.boe.es/gazeta/dias/1821/02/26/pdfs/GGB-1821-57.pdf#page=3","Abrir facsímil")</f>
        <v>Abrir facsímil</v>
      </c>
      <c r="K8383" s="3" t="s">
        <v>23</v>
      </c>
    </row>
    <row r="8384" spans="1:11" ht="42" customHeight="1">
      <c r="A8384" s="2" t="s">
        <v>16204</v>
      </c>
      <c r="B8384" s="2" t="s">
        <v>16205</v>
      </c>
      <c r="C8384" s="2" t="s">
        <v>279</v>
      </c>
      <c r="D8384" s="2" t="s">
        <v>27</v>
      </c>
      <c r="E8384" s="5">
        <v>-28646</v>
      </c>
      <c r="F8384" s="3" t="s">
        <v>1457</v>
      </c>
      <c r="G8384" s="3" t="s">
        <v>79</v>
      </c>
      <c r="H8384" s="2" t="s">
        <v>30</v>
      </c>
      <c r="I8384" s="2" t="s">
        <v>16206</v>
      </c>
      <c r="J8384" s="3" t="str">
        <f>HYPERLINK("https://www.boe.es/gazeta/dias/1821/07/26/pdfs/GMD-1821-211.pdf#page=4","Abrir facsímil")</f>
        <v>Abrir facsímil</v>
      </c>
      <c r="K8384" s="3" t="s">
        <v>32</v>
      </c>
    </row>
    <row r="8385" spans="1:11" ht="42" customHeight="1">
      <c r="A8385" s="2" t="s">
        <v>16207</v>
      </c>
      <c r="B8385" s="2" t="s">
        <v>16208</v>
      </c>
      <c r="C8385" s="2" t="s">
        <v>40</v>
      </c>
      <c r="D8385" s="2" t="s">
        <v>41</v>
      </c>
      <c r="E8385" s="5">
        <v>-28717</v>
      </c>
      <c r="F8385" s="3" t="s">
        <v>1044</v>
      </c>
      <c r="G8385" s="3" t="s">
        <v>52</v>
      </c>
      <c r="H8385" s="2" t="s">
        <v>21</v>
      </c>
      <c r="I8385" s="2" t="s">
        <v>16209</v>
      </c>
      <c r="J8385" s="3" t="str">
        <f>HYPERLINK("https://www.boe.es/gazeta/dias/1821/05/16/pdfs/GMD-1821-138.pdf#page=2","Abrir facsímil")</f>
        <v>Abrir facsímil</v>
      </c>
      <c r="K8385" s="3" t="s">
        <v>23</v>
      </c>
    </row>
    <row r="8386" spans="1:11" ht="42" customHeight="1">
      <c r="A8386" s="2" t="s">
        <v>16207</v>
      </c>
      <c r="B8386" s="2" t="s">
        <v>16208</v>
      </c>
      <c r="C8386" s="2" t="s">
        <v>26</v>
      </c>
      <c r="D8386" s="2" t="s">
        <v>27</v>
      </c>
      <c r="E8386" s="5">
        <v>-28716</v>
      </c>
      <c r="F8386" s="3" t="s">
        <v>842</v>
      </c>
      <c r="G8386" s="3" t="s">
        <v>88</v>
      </c>
      <c r="H8386" s="2" t="s">
        <v>21</v>
      </c>
      <c r="I8386" s="2" t="s">
        <v>16210</v>
      </c>
      <c r="J8386" s="3" t="str">
        <f>HYPERLINK("https://www.boe.es/gazeta/dias/1821/05/17/pdfs/GMD-1821-139.pdf#page=4","Abrir facsímil")</f>
        <v>Abrir facsímil</v>
      </c>
      <c r="K8386" s="3" t="s">
        <v>23</v>
      </c>
    </row>
    <row r="8387" spans="1:11" ht="42" customHeight="1">
      <c r="A8387" s="2" t="s">
        <v>16211</v>
      </c>
      <c r="B8387" s="2" t="s">
        <v>16211</v>
      </c>
      <c r="C8387" s="2" t="s">
        <v>40</v>
      </c>
      <c r="D8387" s="2" t="s">
        <v>41</v>
      </c>
      <c r="E8387" s="5">
        <v>-28786</v>
      </c>
      <c r="F8387" s="3" t="s">
        <v>1933</v>
      </c>
      <c r="G8387" s="3" t="s">
        <v>20</v>
      </c>
      <c r="H8387" s="2" t="s">
        <v>21</v>
      </c>
      <c r="I8387" s="2" t="s">
        <v>16212</v>
      </c>
      <c r="J8387" s="3" t="str">
        <f>HYPERLINK("https://www.boe.es/gazeta/dias/1821/03/08/pdfs/GGB-1821-67.pdf#page=3","Abrir facsímil")</f>
        <v>Abrir facsímil</v>
      </c>
      <c r="K8387" s="3" t="s">
        <v>23</v>
      </c>
    </row>
    <row r="8388" spans="1:11" ht="42" customHeight="1">
      <c r="A8388" s="2" t="s">
        <v>16211</v>
      </c>
      <c r="B8388" s="2" t="s">
        <v>16211</v>
      </c>
      <c r="C8388" s="2" t="s">
        <v>26</v>
      </c>
      <c r="D8388" s="2" t="s">
        <v>27</v>
      </c>
      <c r="E8388" s="5">
        <v>-28730</v>
      </c>
      <c r="F8388" s="3" t="s">
        <v>747</v>
      </c>
      <c r="G8388" s="3" t="s">
        <v>20</v>
      </c>
      <c r="H8388" s="2" t="s">
        <v>21</v>
      </c>
      <c r="I8388" s="2" t="s">
        <v>16213</v>
      </c>
      <c r="J8388" s="3" t="str">
        <f>HYPERLINK("https://www.boe.es/gazeta/dias/1821/05/03/pdfs/GMD-1821-125.pdf#page=3","Abrir facsímil")</f>
        <v>Abrir facsímil</v>
      </c>
      <c r="K8388" s="3" t="s">
        <v>23</v>
      </c>
    </row>
    <row r="8389" spans="1:11" ht="42" customHeight="1">
      <c r="A8389" s="2" t="s">
        <v>16211</v>
      </c>
      <c r="B8389" s="2" t="s">
        <v>16211</v>
      </c>
      <c r="C8389" s="2" t="s">
        <v>26</v>
      </c>
      <c r="D8389" s="2" t="s">
        <v>27</v>
      </c>
      <c r="E8389" s="5">
        <v>-28565</v>
      </c>
      <c r="F8389" s="3" t="s">
        <v>326</v>
      </c>
      <c r="G8389" s="3" t="s">
        <v>88</v>
      </c>
      <c r="H8389" s="2" t="s">
        <v>21</v>
      </c>
      <c r="I8389" s="2" t="s">
        <v>16214</v>
      </c>
      <c r="J8389" s="3" t="str">
        <f>HYPERLINK("https://www.boe.es/gazeta/dias/1821/10/15/pdfs/GMD-1821-294.pdf#page=4","Abrir facsímil")</f>
        <v>Abrir facsímil</v>
      </c>
      <c r="K8389" s="3" t="s">
        <v>23</v>
      </c>
    </row>
    <row r="8390" spans="1:11" ht="42" customHeight="1">
      <c r="A8390" s="2" t="s">
        <v>16215</v>
      </c>
      <c r="B8390" s="2" t="s">
        <v>16216</v>
      </c>
      <c r="C8390" s="2" t="s">
        <v>26</v>
      </c>
      <c r="D8390" s="2" t="s">
        <v>27</v>
      </c>
      <c r="E8390" s="5">
        <v>-28758</v>
      </c>
      <c r="F8390" s="3" t="s">
        <v>4115</v>
      </c>
      <c r="G8390" s="3" t="s">
        <v>52</v>
      </c>
      <c r="H8390" s="2" t="s">
        <v>21</v>
      </c>
      <c r="I8390" s="2" t="s">
        <v>16217</v>
      </c>
      <c r="J8390" s="3" t="str">
        <f>HYPERLINK("https://www.boe.es/gazeta/dias/1821/04/05/pdfs/GMD-1821-97.pdf#page=2","Abrir facsímil")</f>
        <v>Abrir facsímil</v>
      </c>
      <c r="K8390" s="3" t="s">
        <v>23</v>
      </c>
    </row>
    <row r="8391" spans="1:11" ht="42" customHeight="1">
      <c r="A8391" s="2" t="s">
        <v>16218</v>
      </c>
      <c r="B8391" s="2" t="s">
        <v>16219</v>
      </c>
      <c r="C8391" s="2" t="s">
        <v>35</v>
      </c>
      <c r="D8391" s="2" t="s">
        <v>27</v>
      </c>
      <c r="E8391" s="5">
        <v>-28493</v>
      </c>
      <c r="F8391" s="3" t="s">
        <v>3010</v>
      </c>
      <c r="G8391" s="3" t="s">
        <v>52</v>
      </c>
      <c r="H8391" s="2" t="s">
        <v>30</v>
      </c>
      <c r="I8391" s="2" t="s">
        <v>16220</v>
      </c>
      <c r="J8391" s="3" t="str">
        <f>HYPERLINK("https://www.boe.es/gazeta/dias/1821/12/26/pdfs/GMD-1821-369.pdf#page=2","Abrir facsímil")</f>
        <v>Abrir facsímil</v>
      </c>
      <c r="K8391" s="3" t="s">
        <v>32</v>
      </c>
    </row>
    <row r="8392" spans="1:11" ht="42" customHeight="1">
      <c r="A8392" s="2" t="s">
        <v>16221</v>
      </c>
      <c r="B8392" s="2" t="s">
        <v>16222</v>
      </c>
      <c r="C8392" s="2" t="s">
        <v>174</v>
      </c>
      <c r="D8392" s="2" t="s">
        <v>27</v>
      </c>
      <c r="E8392" s="5">
        <v>-28787</v>
      </c>
      <c r="F8392" s="3" t="s">
        <v>486</v>
      </c>
      <c r="G8392" s="3" t="s">
        <v>88</v>
      </c>
      <c r="H8392" s="2" t="s">
        <v>21</v>
      </c>
      <c r="I8392" s="2" t="s">
        <v>16223</v>
      </c>
      <c r="J8392" s="3" t="str">
        <f>HYPERLINK("https://www.boe.es/gazeta/dias/1821/03/07/pdfs/GGB-1821-66.pdf#page=4","Abrir facsímil")</f>
        <v>Abrir facsímil</v>
      </c>
      <c r="K8392" s="3" t="s">
        <v>23</v>
      </c>
    </row>
    <row r="8393" spans="1:11" ht="42" customHeight="1">
      <c r="A8393" s="2" t="s">
        <v>16224</v>
      </c>
      <c r="B8393" s="2" t="s">
        <v>16225</v>
      </c>
      <c r="C8393" s="2" t="s">
        <v>35</v>
      </c>
      <c r="D8393" s="2" t="s">
        <v>27</v>
      </c>
      <c r="E8393" s="5">
        <v>-28675</v>
      </c>
      <c r="F8393" s="3" t="s">
        <v>943</v>
      </c>
      <c r="G8393" s="3" t="s">
        <v>333</v>
      </c>
      <c r="H8393" s="2" t="s">
        <v>21</v>
      </c>
      <c r="I8393" s="2" t="s">
        <v>16226</v>
      </c>
      <c r="J8393" s="3" t="str">
        <f>HYPERLINK("https://www.boe.es/gazeta/dias/1821/06/27/pdfs/GMD-1821-180.pdf#page=8","Abrir facsímil")</f>
        <v>Abrir facsímil</v>
      </c>
      <c r="K8393" s="3" t="s">
        <v>23</v>
      </c>
    </row>
    <row r="8394" spans="1:11" ht="42" customHeight="1">
      <c r="A8394" s="2" t="s">
        <v>16227</v>
      </c>
      <c r="B8394" s="2" t="s">
        <v>16228</v>
      </c>
      <c r="C8394" s="2" t="s">
        <v>174</v>
      </c>
      <c r="D8394" s="2" t="s">
        <v>27</v>
      </c>
      <c r="E8394" s="5">
        <v>-28762</v>
      </c>
      <c r="F8394" s="3" t="s">
        <v>608</v>
      </c>
      <c r="G8394" s="3" t="s">
        <v>333</v>
      </c>
      <c r="H8394" s="2" t="s">
        <v>21</v>
      </c>
      <c r="I8394" s="2" t="s">
        <v>16229</v>
      </c>
      <c r="J8394" s="3" t="str">
        <f>HYPERLINK("https://www.boe.es/gazeta/dias/1821/04/01/pdfs/GMD-1821-93.pdf#page=8","Abrir facsímil")</f>
        <v>Abrir facsímil</v>
      </c>
      <c r="K8394" s="3" t="s">
        <v>23</v>
      </c>
    </row>
    <row r="8395" spans="1:11" ht="42" customHeight="1">
      <c r="A8395" s="2" t="s">
        <v>16230</v>
      </c>
      <c r="B8395" s="2" t="s">
        <v>16231</v>
      </c>
      <c r="C8395" s="2" t="s">
        <v>17</v>
      </c>
      <c r="D8395" s="2" t="s">
        <v>18</v>
      </c>
      <c r="E8395" s="5">
        <v>-28687</v>
      </c>
      <c r="F8395" s="3" t="s">
        <v>851</v>
      </c>
      <c r="G8395" s="3" t="s">
        <v>52</v>
      </c>
      <c r="H8395" s="2" t="s">
        <v>21</v>
      </c>
      <c r="I8395" s="2" t="s">
        <v>16232</v>
      </c>
      <c r="J8395" s="3" t="str">
        <f>HYPERLINK("https://www.boe.es/gazeta/dias/1821/06/15/pdfs/GMD-1821-168.pdf#page=2","Abrir facsímil")</f>
        <v>Abrir facsímil</v>
      </c>
      <c r="K8395" s="3" t="s">
        <v>23</v>
      </c>
    </row>
    <row r="8396" spans="1:11" ht="42" customHeight="1">
      <c r="A8396" s="2" t="s">
        <v>16233</v>
      </c>
      <c r="B8396" s="2" t="s">
        <v>16234</v>
      </c>
      <c r="C8396" s="2" t="s">
        <v>17</v>
      </c>
      <c r="D8396" s="2" t="s">
        <v>18</v>
      </c>
      <c r="E8396" s="5">
        <v>-28779</v>
      </c>
      <c r="F8396" s="3" t="s">
        <v>1002</v>
      </c>
      <c r="G8396" s="3" t="s">
        <v>43</v>
      </c>
      <c r="H8396" s="2" t="s">
        <v>21</v>
      </c>
      <c r="I8396" s="2" t="s">
        <v>16235</v>
      </c>
      <c r="J8396" s="3" t="str">
        <f>HYPERLINK("https://www.boe.es/gazeta/dias/1821/03/15/pdfs/GMD-1821-74.pdf#page=1","Abrir facsímil")</f>
        <v>Abrir facsímil</v>
      </c>
      <c r="K8396" s="3" t="s">
        <v>23</v>
      </c>
    </row>
    <row r="8397" spans="1:11" ht="42" customHeight="1">
      <c r="A8397" s="2" t="s">
        <v>16236</v>
      </c>
      <c r="B8397" s="2" t="s">
        <v>16236</v>
      </c>
      <c r="C8397" s="2" t="s">
        <v>40</v>
      </c>
      <c r="D8397" s="2" t="s">
        <v>41</v>
      </c>
      <c r="E8397" s="5">
        <v>-28626</v>
      </c>
      <c r="F8397" s="3" t="s">
        <v>468</v>
      </c>
      <c r="G8397" s="3" t="s">
        <v>43</v>
      </c>
      <c r="H8397" s="2" t="s">
        <v>21</v>
      </c>
      <c r="I8397" s="2" t="s">
        <v>16237</v>
      </c>
      <c r="J8397" s="3" t="str">
        <f>HYPERLINK("https://www.boe.es/gazeta/dias/1821/08/15/pdfs/GMD-1821-232.pdf#page=1","Abrir facsímil")</f>
        <v>Abrir facsímil</v>
      </c>
      <c r="K8397" s="3" t="s">
        <v>23</v>
      </c>
    </row>
    <row r="8398" spans="1:11" ht="42" customHeight="1">
      <c r="A8398" s="2" t="s">
        <v>16238</v>
      </c>
      <c r="B8398" s="2" t="s">
        <v>16239</v>
      </c>
      <c r="C8398" s="2" t="s">
        <v>40</v>
      </c>
      <c r="D8398" s="2" t="s">
        <v>41</v>
      </c>
      <c r="E8398" s="5">
        <v>-28550</v>
      </c>
      <c r="F8398" s="3" t="s">
        <v>546</v>
      </c>
      <c r="G8398" s="3" t="s">
        <v>162</v>
      </c>
      <c r="H8398" s="2" t="s">
        <v>21</v>
      </c>
      <c r="I8398" s="2" t="s">
        <v>16240</v>
      </c>
      <c r="J8398" s="3" t="str">
        <f>HYPERLINK("https://www.boe.es/gazeta/dias/1821/10/30/pdfs/GMD-1821-309.pdf#page=5","Abrir facsímil")</f>
        <v>Abrir facsímil</v>
      </c>
      <c r="K8398" s="3" t="s">
        <v>23</v>
      </c>
    </row>
    <row r="8399" spans="1:11" ht="42" customHeight="1">
      <c r="A8399" s="2" t="s">
        <v>16241</v>
      </c>
      <c r="B8399" s="2" t="s">
        <v>16241</v>
      </c>
      <c r="C8399" s="2" t="s">
        <v>40</v>
      </c>
      <c r="D8399" s="2" t="s">
        <v>41</v>
      </c>
      <c r="E8399" s="5">
        <v>-28850</v>
      </c>
      <c r="F8399" s="3" t="s">
        <v>664</v>
      </c>
      <c r="G8399" s="3" t="s">
        <v>43</v>
      </c>
      <c r="H8399" s="2" t="s">
        <v>21</v>
      </c>
      <c r="I8399" s="2" t="s">
        <v>16242</v>
      </c>
      <c r="J8399" s="3" t="str">
        <f>HYPERLINK("https://www.boe.es/gazeta/dias/1821/01/03/pdfs/GGB-1821-3.pdf#page=1","Abrir facsímil")</f>
        <v>Abrir facsímil</v>
      </c>
      <c r="K8399" s="3" t="s">
        <v>23</v>
      </c>
    </row>
    <row r="8400" spans="1:11" ht="42" customHeight="1">
      <c r="A8400" s="2" t="s">
        <v>16241</v>
      </c>
      <c r="B8400" s="2" t="s">
        <v>16241</v>
      </c>
      <c r="C8400" s="2" t="s">
        <v>40</v>
      </c>
      <c r="D8400" s="2" t="s">
        <v>41</v>
      </c>
      <c r="E8400" s="5">
        <v>-28840</v>
      </c>
      <c r="F8400" s="3" t="s">
        <v>161</v>
      </c>
      <c r="G8400" s="3" t="s">
        <v>88</v>
      </c>
      <c r="H8400" s="2" t="s">
        <v>21</v>
      </c>
      <c r="I8400" s="2" t="s">
        <v>16243</v>
      </c>
      <c r="J8400" s="3" t="str">
        <f>HYPERLINK("https://www.boe.es/gazeta/dias/1821/01/13/pdfs/GGB-1821-13.pdf#page=4","Abrir facsímil")</f>
        <v>Abrir facsímil</v>
      </c>
      <c r="K8400" s="3" t="s">
        <v>23</v>
      </c>
    </row>
    <row r="8401" spans="1:11" ht="42" customHeight="1">
      <c r="A8401" s="2" t="s">
        <v>16244</v>
      </c>
      <c r="B8401" s="2" t="s">
        <v>16244</v>
      </c>
      <c r="C8401" s="2" t="s">
        <v>40</v>
      </c>
      <c r="D8401" s="2" t="s">
        <v>41</v>
      </c>
      <c r="E8401" s="5">
        <v>-28831</v>
      </c>
      <c r="F8401" s="3" t="s">
        <v>3179</v>
      </c>
      <c r="G8401" s="3" t="s">
        <v>52</v>
      </c>
      <c r="H8401" s="2" t="s">
        <v>21</v>
      </c>
      <c r="I8401" s="2" t="s">
        <v>16245</v>
      </c>
      <c r="J8401" s="3" t="str">
        <f>HYPERLINK("https://www.boe.es/gazeta/dias/1821/01/22/pdfs/GGB-1821-22.pdf#page=2","Abrir facsímil")</f>
        <v>Abrir facsímil</v>
      </c>
      <c r="K8401" s="3" t="s">
        <v>23</v>
      </c>
    </row>
    <row r="8402" spans="1:11" ht="42" customHeight="1">
      <c r="A8402" s="2" t="s">
        <v>16241</v>
      </c>
      <c r="B8402" s="2" t="s">
        <v>16241</v>
      </c>
      <c r="C8402" s="2" t="s">
        <v>40</v>
      </c>
      <c r="D8402" s="2" t="s">
        <v>41</v>
      </c>
      <c r="E8402" s="5">
        <v>-28826</v>
      </c>
      <c r="F8402" s="3" t="s">
        <v>2706</v>
      </c>
      <c r="G8402" s="3" t="s">
        <v>2707</v>
      </c>
      <c r="H8402" s="2" t="s">
        <v>21</v>
      </c>
      <c r="I8402" s="2" t="s">
        <v>16246</v>
      </c>
      <c r="J8402" s="3" t="str">
        <f>HYPERLINK("https://www.boe.es/gazeta/dias/1821/01/27/pdfs/GGB-1821-27.pdf#page=3","Abrir facsímil")</f>
        <v>Abrir facsímil</v>
      </c>
      <c r="K8402" s="3" t="s">
        <v>23</v>
      </c>
    </row>
    <row r="8403" spans="1:11" ht="42" customHeight="1">
      <c r="A8403" s="2" t="s">
        <v>16244</v>
      </c>
      <c r="B8403" s="2" t="s">
        <v>16244</v>
      </c>
      <c r="C8403" s="2" t="s">
        <v>17</v>
      </c>
      <c r="D8403" s="2" t="s">
        <v>18</v>
      </c>
      <c r="E8403" s="5">
        <v>-28820</v>
      </c>
      <c r="F8403" s="3" t="s">
        <v>1430</v>
      </c>
      <c r="G8403" s="3" t="s">
        <v>52</v>
      </c>
      <c r="H8403" s="2" t="s">
        <v>21</v>
      </c>
      <c r="I8403" s="2" t="s">
        <v>16247</v>
      </c>
      <c r="J8403" s="3" t="str">
        <f>HYPERLINK("https://www.boe.es/gazeta/dias/1821/02/02/pdfs/GGB-1821-33.pdf#page=2","Abrir facsímil")</f>
        <v>Abrir facsímil</v>
      </c>
      <c r="K8403" s="3" t="s">
        <v>23</v>
      </c>
    </row>
    <row r="8404" spans="1:11" ht="42" customHeight="1">
      <c r="A8404" s="2" t="s">
        <v>16244</v>
      </c>
      <c r="B8404" s="2" t="s">
        <v>16244</v>
      </c>
      <c r="C8404" s="2" t="s">
        <v>40</v>
      </c>
      <c r="D8404" s="2" t="s">
        <v>41</v>
      </c>
      <c r="E8404" s="5">
        <v>-28819</v>
      </c>
      <c r="F8404" s="3" t="s">
        <v>1830</v>
      </c>
      <c r="G8404" s="3" t="s">
        <v>52</v>
      </c>
      <c r="H8404" s="2" t="s">
        <v>21</v>
      </c>
      <c r="I8404" s="2" t="s">
        <v>16248</v>
      </c>
      <c r="J8404" s="3" t="str">
        <f>HYPERLINK("https://www.boe.es/gazeta/dias/1821/02/03/pdfs/GGB-1821-34.pdf#page=2","Abrir facsímil")</f>
        <v>Abrir facsímil</v>
      </c>
      <c r="K8404" s="3" t="s">
        <v>23</v>
      </c>
    </row>
    <row r="8405" spans="1:11" ht="42" customHeight="1">
      <c r="A8405" s="2" t="s">
        <v>16244</v>
      </c>
      <c r="B8405" s="2" t="s">
        <v>16244</v>
      </c>
      <c r="C8405" s="2" t="s">
        <v>40</v>
      </c>
      <c r="D8405" s="2" t="s">
        <v>41</v>
      </c>
      <c r="E8405" s="5">
        <v>-28818</v>
      </c>
      <c r="F8405" s="3" t="s">
        <v>2337</v>
      </c>
      <c r="G8405" s="3" t="s">
        <v>52</v>
      </c>
      <c r="H8405" s="2" t="s">
        <v>21</v>
      </c>
      <c r="I8405" s="2" t="s">
        <v>16249</v>
      </c>
      <c r="J8405" s="3" t="str">
        <f>HYPERLINK("https://www.boe.es/gazeta/dias/1821/02/04/pdfs/GGB-1821-35.pdf#page=2","Abrir facsímil")</f>
        <v>Abrir facsímil</v>
      </c>
      <c r="K8405" s="3" t="s">
        <v>23</v>
      </c>
    </row>
    <row r="8406" spans="1:11" ht="42" customHeight="1">
      <c r="A8406" s="2" t="s">
        <v>16241</v>
      </c>
      <c r="B8406" s="2" t="s">
        <v>16241</v>
      </c>
      <c r="C8406" s="2" t="s">
        <v>40</v>
      </c>
      <c r="D8406" s="2" t="s">
        <v>41</v>
      </c>
      <c r="E8406" s="5">
        <v>-28816</v>
      </c>
      <c r="F8406" s="3" t="s">
        <v>794</v>
      </c>
      <c r="G8406" s="3" t="s">
        <v>43</v>
      </c>
      <c r="H8406" s="2" t="s">
        <v>21</v>
      </c>
      <c r="I8406" s="2" t="s">
        <v>16250</v>
      </c>
      <c r="J8406" s="3" t="str">
        <f>HYPERLINK("https://www.boe.es/gazeta/dias/1821/02/06/pdfs/GGB-1821-37.pdf#page=1","Abrir facsímil")</f>
        <v>Abrir facsímil</v>
      </c>
      <c r="K8406" s="3" t="s">
        <v>23</v>
      </c>
    </row>
    <row r="8407" spans="1:11" ht="42" customHeight="1">
      <c r="A8407" s="2" t="s">
        <v>16241</v>
      </c>
      <c r="B8407" s="2" t="s">
        <v>16241</v>
      </c>
      <c r="C8407" s="2" t="s">
        <v>40</v>
      </c>
      <c r="D8407" s="2" t="s">
        <v>41</v>
      </c>
      <c r="E8407" s="5">
        <v>-28781</v>
      </c>
      <c r="F8407" s="3" t="s">
        <v>149</v>
      </c>
      <c r="G8407" s="3" t="s">
        <v>162</v>
      </c>
      <c r="H8407" s="2" t="s">
        <v>21</v>
      </c>
      <c r="I8407" s="2" t="s">
        <v>16251</v>
      </c>
      <c r="J8407" s="3" t="str">
        <f>HYPERLINK("https://www.boe.es/gazeta/dias/1821/03/13/pdfs/GMD-1821-72.pdf#page=5","Abrir facsímil")</f>
        <v>Abrir facsímil</v>
      </c>
      <c r="K8407" s="3" t="s">
        <v>23</v>
      </c>
    </row>
    <row r="8408" spans="1:11" ht="42" customHeight="1">
      <c r="A8408" s="2" t="s">
        <v>16244</v>
      </c>
      <c r="B8408" s="2" t="s">
        <v>16244</v>
      </c>
      <c r="C8408" s="2" t="s">
        <v>40</v>
      </c>
      <c r="D8408" s="2" t="s">
        <v>41</v>
      </c>
      <c r="E8408" s="5">
        <v>-28780</v>
      </c>
      <c r="F8408" s="3" t="s">
        <v>143</v>
      </c>
      <c r="G8408" s="3" t="s">
        <v>43</v>
      </c>
      <c r="H8408" s="2" t="s">
        <v>21</v>
      </c>
      <c r="I8408" s="2" t="s">
        <v>16252</v>
      </c>
      <c r="J8408" s="3" t="str">
        <f>HYPERLINK("https://www.boe.es/gazeta/dias/1821/03/14/pdfs/GMD-1821-73.pdf#page=1","Abrir facsímil")</f>
        <v>Abrir facsímil</v>
      </c>
      <c r="K8408" s="3" t="s">
        <v>23</v>
      </c>
    </row>
    <row r="8409" spans="1:11" ht="42" customHeight="1">
      <c r="A8409" s="2" t="s">
        <v>16244</v>
      </c>
      <c r="B8409" s="2" t="s">
        <v>16244</v>
      </c>
      <c r="C8409" s="2" t="s">
        <v>40</v>
      </c>
      <c r="D8409" s="2" t="s">
        <v>41</v>
      </c>
      <c r="E8409" s="5">
        <v>-28778</v>
      </c>
      <c r="F8409" s="3" t="s">
        <v>1301</v>
      </c>
      <c r="G8409" s="3" t="s">
        <v>43</v>
      </c>
      <c r="H8409" s="2" t="s">
        <v>21</v>
      </c>
      <c r="I8409" s="2" t="s">
        <v>16253</v>
      </c>
      <c r="J8409" s="3" t="str">
        <f>HYPERLINK("https://www.boe.es/gazeta/dias/1821/03/16/pdfs/GMD-1821-75.pdf#page=1","Abrir facsímil")</f>
        <v>Abrir facsímil</v>
      </c>
      <c r="K8409" s="3" t="s">
        <v>23</v>
      </c>
    </row>
    <row r="8410" spans="1:11" ht="42" customHeight="1">
      <c r="A8410" s="2" t="s">
        <v>16241</v>
      </c>
      <c r="B8410" s="2" t="s">
        <v>16241</v>
      </c>
      <c r="C8410" s="2" t="s">
        <v>40</v>
      </c>
      <c r="D8410" s="2" t="s">
        <v>41</v>
      </c>
      <c r="E8410" s="5">
        <v>-28774</v>
      </c>
      <c r="F8410" s="3" t="s">
        <v>1221</v>
      </c>
      <c r="G8410" s="3" t="s">
        <v>88</v>
      </c>
      <c r="H8410" s="2" t="s">
        <v>21</v>
      </c>
      <c r="I8410" s="2" t="s">
        <v>16254</v>
      </c>
      <c r="J8410" s="3" t="str">
        <f>HYPERLINK("https://www.boe.es/gazeta/dias/1821/03/20/pdfs/GMD-1821-79.pdf#page=4","Abrir facsímil")</f>
        <v>Abrir facsímil</v>
      </c>
      <c r="K8410" s="3" t="s">
        <v>23</v>
      </c>
    </row>
    <row r="8411" spans="1:11" ht="42" customHeight="1">
      <c r="A8411" s="2" t="s">
        <v>16244</v>
      </c>
      <c r="B8411" s="2" t="s">
        <v>16244</v>
      </c>
      <c r="C8411" s="2" t="s">
        <v>40</v>
      </c>
      <c r="D8411" s="2" t="s">
        <v>41</v>
      </c>
      <c r="E8411" s="5">
        <v>-28766</v>
      </c>
      <c r="F8411" s="3" t="s">
        <v>1481</v>
      </c>
      <c r="G8411" s="3" t="s">
        <v>88</v>
      </c>
      <c r="H8411" s="2" t="s">
        <v>21</v>
      </c>
      <c r="I8411" s="2" t="s">
        <v>16255</v>
      </c>
      <c r="J8411" s="3" t="str">
        <f>HYPERLINK("https://www.boe.es/gazeta/dias/1821/03/28/pdfs/GMD-1821-88.pdf#page=4","Abrir facsímil")</f>
        <v>Abrir facsímil</v>
      </c>
      <c r="K8411" s="3" t="s">
        <v>23</v>
      </c>
    </row>
    <row r="8412" spans="1:11" ht="42" customHeight="1">
      <c r="A8412" s="2" t="s">
        <v>16244</v>
      </c>
      <c r="B8412" s="2" t="s">
        <v>16244</v>
      </c>
      <c r="C8412" s="2" t="s">
        <v>40</v>
      </c>
      <c r="D8412" s="2" t="s">
        <v>41</v>
      </c>
      <c r="E8412" s="5">
        <v>-28765</v>
      </c>
      <c r="F8412" s="3" t="s">
        <v>974</v>
      </c>
      <c r="G8412" s="3" t="s">
        <v>1483</v>
      </c>
      <c r="H8412" s="2" t="s">
        <v>21</v>
      </c>
      <c r="I8412" s="2" t="s">
        <v>16256</v>
      </c>
      <c r="J8412" s="3" t="str">
        <f>HYPERLINK("https://www.boe.es/gazeta/dias/1821/03/29/pdfs/GMD-1821-90.pdf#page=4","Abrir facsímil")</f>
        <v>Abrir facsímil</v>
      </c>
      <c r="K8412" s="3" t="s">
        <v>23</v>
      </c>
    </row>
    <row r="8413" spans="1:11" ht="42" customHeight="1">
      <c r="A8413" s="2" t="s">
        <v>16241</v>
      </c>
      <c r="B8413" s="2" t="s">
        <v>16241</v>
      </c>
      <c r="C8413" s="2" t="s">
        <v>40</v>
      </c>
      <c r="D8413" s="2" t="s">
        <v>41</v>
      </c>
      <c r="E8413" s="5">
        <v>-28763</v>
      </c>
      <c r="F8413" s="3" t="s">
        <v>1145</v>
      </c>
      <c r="G8413" s="3" t="s">
        <v>88</v>
      </c>
      <c r="H8413" s="2" t="s">
        <v>21</v>
      </c>
      <c r="I8413" s="2" t="s">
        <v>16257</v>
      </c>
      <c r="J8413" s="3" t="str">
        <f>HYPERLINK("https://www.boe.es/gazeta/dias/1821/03/31/pdfs/GMD-1821-92.pdf#page=4","Abrir facsímil")</f>
        <v>Abrir facsímil</v>
      </c>
      <c r="K8413" s="3" t="s">
        <v>23</v>
      </c>
    </row>
    <row r="8414" spans="1:11" ht="42" customHeight="1">
      <c r="A8414" s="2" t="s">
        <v>16241</v>
      </c>
      <c r="B8414" s="2" t="s">
        <v>16241</v>
      </c>
      <c r="C8414" s="2" t="s">
        <v>40</v>
      </c>
      <c r="D8414" s="2" t="s">
        <v>41</v>
      </c>
      <c r="E8414" s="5">
        <v>-28760</v>
      </c>
      <c r="F8414" s="3" t="s">
        <v>170</v>
      </c>
      <c r="G8414" s="3" t="s">
        <v>20</v>
      </c>
      <c r="H8414" s="2" t="s">
        <v>21</v>
      </c>
      <c r="I8414" s="2" t="s">
        <v>16258</v>
      </c>
      <c r="J8414" s="3" t="str">
        <f>HYPERLINK("https://www.boe.es/gazeta/dias/1821/04/03/pdfs/GMD-1821-95.pdf#page=3","Abrir facsímil")</f>
        <v>Abrir facsímil</v>
      </c>
      <c r="K8414" s="3" t="s">
        <v>23</v>
      </c>
    </row>
    <row r="8415" spans="1:11" ht="42" customHeight="1">
      <c r="A8415" s="2" t="s">
        <v>16244</v>
      </c>
      <c r="B8415" s="2" t="s">
        <v>16244</v>
      </c>
      <c r="C8415" s="2" t="s">
        <v>40</v>
      </c>
      <c r="D8415" s="2" t="s">
        <v>41</v>
      </c>
      <c r="E8415" s="5">
        <v>-28759</v>
      </c>
      <c r="F8415" s="3" t="s">
        <v>71</v>
      </c>
      <c r="G8415" s="3" t="s">
        <v>20</v>
      </c>
      <c r="H8415" s="2" t="s">
        <v>21</v>
      </c>
      <c r="I8415" s="2" t="s">
        <v>16259</v>
      </c>
      <c r="J8415" s="3" t="str">
        <f>HYPERLINK("https://www.boe.es/gazeta/dias/1821/04/04/pdfs/GMD-1821-96.pdf#page=3","Abrir facsímil")</f>
        <v>Abrir facsímil</v>
      </c>
      <c r="K8415" s="3" t="s">
        <v>23</v>
      </c>
    </row>
    <row r="8416" spans="1:11" ht="42" customHeight="1">
      <c r="A8416" s="2" t="s">
        <v>16244</v>
      </c>
      <c r="B8416" s="2" t="s">
        <v>16244</v>
      </c>
      <c r="C8416" s="2" t="s">
        <v>40</v>
      </c>
      <c r="D8416" s="2" t="s">
        <v>41</v>
      </c>
      <c r="E8416" s="5">
        <v>-28759</v>
      </c>
      <c r="F8416" s="3" t="s">
        <v>71</v>
      </c>
      <c r="G8416" s="3" t="s">
        <v>88</v>
      </c>
      <c r="H8416" s="2" t="s">
        <v>21</v>
      </c>
      <c r="I8416" s="2" t="s">
        <v>16260</v>
      </c>
      <c r="J8416" s="3" t="str">
        <f>HYPERLINK("https://www.boe.es/gazeta/dias/1821/04/04/pdfs/GMD-1821-96.pdf#page=4","Abrir facsímil")</f>
        <v>Abrir facsímil</v>
      </c>
      <c r="K8416" s="3" t="s">
        <v>23</v>
      </c>
    </row>
    <row r="8417" spans="1:11" ht="42" customHeight="1">
      <c r="A8417" s="2" t="s">
        <v>16244</v>
      </c>
      <c r="B8417" s="2" t="s">
        <v>16244</v>
      </c>
      <c r="C8417" s="2" t="s">
        <v>40</v>
      </c>
      <c r="D8417" s="2" t="s">
        <v>41</v>
      </c>
      <c r="E8417" s="5">
        <v>-28758</v>
      </c>
      <c r="F8417" s="3" t="s">
        <v>4115</v>
      </c>
      <c r="G8417" s="3" t="s">
        <v>43</v>
      </c>
      <c r="H8417" s="2" t="s">
        <v>21</v>
      </c>
      <c r="I8417" s="2" t="s">
        <v>16261</v>
      </c>
      <c r="J8417" s="3" t="str">
        <f>HYPERLINK("https://www.boe.es/gazeta/dias/1821/04/05/pdfs/GMD-1821-97.pdf#page=1","Abrir facsímil")</f>
        <v>Abrir facsímil</v>
      </c>
      <c r="K8417" s="3" t="s">
        <v>23</v>
      </c>
    </row>
    <row r="8418" spans="1:11" ht="42" customHeight="1">
      <c r="A8418" s="2" t="s">
        <v>16241</v>
      </c>
      <c r="B8418" s="2" t="s">
        <v>16241</v>
      </c>
      <c r="C8418" s="2" t="s">
        <v>40</v>
      </c>
      <c r="D8418" s="2" t="s">
        <v>41</v>
      </c>
      <c r="E8418" s="5">
        <v>-28758</v>
      </c>
      <c r="F8418" s="3" t="s">
        <v>4115</v>
      </c>
      <c r="G8418" s="3" t="s">
        <v>20</v>
      </c>
      <c r="H8418" s="2" t="s">
        <v>21</v>
      </c>
      <c r="I8418" s="2" t="s">
        <v>16262</v>
      </c>
      <c r="J8418" s="3" t="str">
        <f>HYPERLINK("https://www.boe.es/gazeta/dias/1821/04/05/pdfs/GMD-1821-97.pdf#page=3","Abrir facsímil")</f>
        <v>Abrir facsímil</v>
      </c>
      <c r="K8418" s="3" t="s">
        <v>23</v>
      </c>
    </row>
    <row r="8419" spans="1:11" ht="42" customHeight="1">
      <c r="A8419" s="2" t="s">
        <v>16241</v>
      </c>
      <c r="B8419" s="2" t="s">
        <v>16241</v>
      </c>
      <c r="C8419" s="2" t="s">
        <v>40</v>
      </c>
      <c r="D8419" s="2" t="s">
        <v>41</v>
      </c>
      <c r="E8419" s="5">
        <v>-28757</v>
      </c>
      <c r="F8419" s="3" t="s">
        <v>472</v>
      </c>
      <c r="G8419" s="3" t="s">
        <v>88</v>
      </c>
      <c r="H8419" s="2" t="s">
        <v>21</v>
      </c>
      <c r="I8419" s="2" t="s">
        <v>16263</v>
      </c>
      <c r="J8419" s="3" t="str">
        <f>HYPERLINK("https://www.boe.es/gazeta/dias/1821/04/06/pdfs/GMD-1821-98.pdf#page=4","Abrir facsímil")</f>
        <v>Abrir facsímil</v>
      </c>
      <c r="K8419" s="3" t="s">
        <v>23</v>
      </c>
    </row>
    <row r="8420" spans="1:11" ht="42" customHeight="1">
      <c r="A8420" s="2" t="s">
        <v>16244</v>
      </c>
      <c r="B8420" s="2" t="s">
        <v>16244</v>
      </c>
      <c r="C8420" s="2" t="s">
        <v>40</v>
      </c>
      <c r="D8420" s="2" t="s">
        <v>41</v>
      </c>
      <c r="E8420" s="5">
        <v>-28756</v>
      </c>
      <c r="F8420" s="3" t="s">
        <v>3145</v>
      </c>
      <c r="G8420" s="3" t="s">
        <v>43</v>
      </c>
      <c r="H8420" s="2" t="s">
        <v>21</v>
      </c>
      <c r="I8420" s="2" t="s">
        <v>16264</v>
      </c>
      <c r="J8420" s="3" t="str">
        <f>HYPERLINK("https://www.boe.es/gazeta/dias/1821/04/07/pdfs/GMD-1821-99.pdf#page=1","Abrir facsímil")</f>
        <v>Abrir facsímil</v>
      </c>
      <c r="K8420" s="3" t="s">
        <v>23</v>
      </c>
    </row>
    <row r="8421" spans="1:11" ht="42" customHeight="1">
      <c r="A8421" s="2" t="s">
        <v>16241</v>
      </c>
      <c r="B8421" s="2" t="s">
        <v>16241</v>
      </c>
      <c r="C8421" s="2" t="s">
        <v>40</v>
      </c>
      <c r="D8421" s="2" t="s">
        <v>41</v>
      </c>
      <c r="E8421" s="5">
        <v>-28754</v>
      </c>
      <c r="F8421" s="3" t="s">
        <v>1942</v>
      </c>
      <c r="G8421" s="3" t="s">
        <v>20</v>
      </c>
      <c r="H8421" s="2" t="s">
        <v>21</v>
      </c>
      <c r="I8421" s="2" t="s">
        <v>16265</v>
      </c>
      <c r="J8421" s="3" t="str">
        <f>HYPERLINK("https://www.boe.es/gazeta/dias/1821/04/09/pdfs/GMD-1821-101.pdf#page=3","Abrir facsímil")</f>
        <v>Abrir facsímil</v>
      </c>
      <c r="K8421" s="3" t="s">
        <v>23</v>
      </c>
    </row>
    <row r="8422" spans="1:11" ht="42" customHeight="1">
      <c r="A8422" s="2" t="s">
        <v>16244</v>
      </c>
      <c r="B8422" s="2" t="s">
        <v>16244</v>
      </c>
      <c r="C8422" s="2" t="s">
        <v>40</v>
      </c>
      <c r="D8422" s="2" t="s">
        <v>41</v>
      </c>
      <c r="E8422" s="5">
        <v>-28752</v>
      </c>
      <c r="F8422" s="3" t="s">
        <v>1012</v>
      </c>
      <c r="G8422" s="3" t="s">
        <v>88</v>
      </c>
      <c r="H8422" s="2" t="s">
        <v>21</v>
      </c>
      <c r="I8422" s="2" t="s">
        <v>16266</v>
      </c>
      <c r="J8422" s="3" t="str">
        <f>HYPERLINK("https://www.boe.es/gazeta/dias/1821/04/11/pdfs/GMD-1821-103.pdf#page=4","Abrir facsímil")</f>
        <v>Abrir facsímil</v>
      </c>
      <c r="K8422" s="3" t="s">
        <v>23</v>
      </c>
    </row>
    <row r="8423" spans="1:11" ht="42" customHeight="1">
      <c r="A8423" s="2" t="s">
        <v>16241</v>
      </c>
      <c r="B8423" s="2" t="s">
        <v>16241</v>
      </c>
      <c r="C8423" s="2" t="s">
        <v>40</v>
      </c>
      <c r="D8423" s="2" t="s">
        <v>41</v>
      </c>
      <c r="E8423" s="5">
        <v>-28743</v>
      </c>
      <c r="F8423" s="3" t="s">
        <v>51</v>
      </c>
      <c r="G8423" s="3" t="s">
        <v>52</v>
      </c>
      <c r="H8423" s="2" t="s">
        <v>21</v>
      </c>
      <c r="I8423" s="2" t="s">
        <v>16267</v>
      </c>
      <c r="J8423" s="3" t="str">
        <f>HYPERLINK("https://www.boe.es/gazeta/dias/1821/04/20/pdfs/GMD-1821-112.pdf#page=2","Abrir facsímil")</f>
        <v>Abrir facsímil</v>
      </c>
      <c r="K8423" s="3" t="s">
        <v>23</v>
      </c>
    </row>
    <row r="8424" spans="1:11" ht="42" customHeight="1">
      <c r="A8424" s="2" t="s">
        <v>16241</v>
      </c>
      <c r="B8424" s="2" t="s">
        <v>16241</v>
      </c>
      <c r="C8424" s="2" t="s">
        <v>40</v>
      </c>
      <c r="D8424" s="2" t="s">
        <v>41</v>
      </c>
      <c r="E8424" s="5">
        <v>-28737</v>
      </c>
      <c r="F8424" s="3" t="s">
        <v>732</v>
      </c>
      <c r="G8424" s="3" t="s">
        <v>20</v>
      </c>
      <c r="H8424" s="2" t="s">
        <v>21</v>
      </c>
      <c r="I8424" s="2" t="s">
        <v>16268</v>
      </c>
      <c r="J8424" s="3" t="str">
        <f>HYPERLINK("https://www.boe.es/gazeta/dias/1821/04/26/pdfs/GMD-1821-118.pdf#page=3","Abrir facsímil")</f>
        <v>Abrir facsímil</v>
      </c>
      <c r="K8424" s="3" t="s">
        <v>23</v>
      </c>
    </row>
    <row r="8425" spans="1:11" ht="42" customHeight="1">
      <c r="A8425" s="2" t="s">
        <v>16244</v>
      </c>
      <c r="B8425" s="2" t="s">
        <v>16244</v>
      </c>
      <c r="C8425" s="2" t="s">
        <v>40</v>
      </c>
      <c r="D8425" s="2" t="s">
        <v>41</v>
      </c>
      <c r="E8425" s="5">
        <v>-28728</v>
      </c>
      <c r="F8425" s="3" t="s">
        <v>1038</v>
      </c>
      <c r="G8425" s="3" t="s">
        <v>88</v>
      </c>
      <c r="H8425" s="2" t="s">
        <v>21</v>
      </c>
      <c r="I8425" s="2" t="s">
        <v>16269</v>
      </c>
      <c r="J8425" s="3" t="str">
        <f>HYPERLINK("https://www.boe.es/gazeta/dias/1821/05/05/pdfs/GMD-1821-127.pdf#page=4","Abrir facsímil")</f>
        <v>Abrir facsímil</v>
      </c>
      <c r="K8425" s="3" t="s">
        <v>23</v>
      </c>
    </row>
    <row r="8426" spans="1:11" ht="42" customHeight="1">
      <c r="A8426" s="2" t="s">
        <v>16244</v>
      </c>
      <c r="B8426" s="2" t="s">
        <v>16244</v>
      </c>
      <c r="C8426" s="2" t="s">
        <v>40</v>
      </c>
      <c r="D8426" s="2" t="s">
        <v>41</v>
      </c>
      <c r="E8426" s="5">
        <v>-28726</v>
      </c>
      <c r="F8426" s="3" t="s">
        <v>347</v>
      </c>
      <c r="G8426" s="3" t="s">
        <v>43</v>
      </c>
      <c r="H8426" s="2" t="s">
        <v>21</v>
      </c>
      <c r="I8426" s="2" t="s">
        <v>16270</v>
      </c>
      <c r="J8426" s="3" t="str">
        <f>HYPERLINK("https://www.boe.es/gazeta/dias/1821/05/07/pdfs/GMD-1821-129.pdf#page=1","Abrir facsímil")</f>
        <v>Abrir facsímil</v>
      </c>
      <c r="K8426" s="3" t="s">
        <v>23</v>
      </c>
    </row>
    <row r="8427" spans="1:11" ht="42" customHeight="1">
      <c r="A8427" s="2" t="s">
        <v>16244</v>
      </c>
      <c r="B8427" s="2" t="s">
        <v>16244</v>
      </c>
      <c r="C8427" s="2" t="s">
        <v>40</v>
      </c>
      <c r="D8427" s="2" t="s">
        <v>41</v>
      </c>
      <c r="E8427" s="5">
        <v>-28726</v>
      </c>
      <c r="F8427" s="3" t="s">
        <v>347</v>
      </c>
      <c r="G8427" s="3" t="s">
        <v>20</v>
      </c>
      <c r="H8427" s="2" t="s">
        <v>21</v>
      </c>
      <c r="I8427" s="2" t="s">
        <v>16271</v>
      </c>
      <c r="J8427" s="3" t="str">
        <f>HYPERLINK("https://www.boe.es/gazeta/dias/1821/05/07/pdfs/GMD-1821-129.pdf#page=3","Abrir facsímil")</f>
        <v>Abrir facsímil</v>
      </c>
      <c r="K8427" s="3" t="s">
        <v>23</v>
      </c>
    </row>
    <row r="8428" spans="1:11" ht="42" customHeight="1">
      <c r="A8428" s="2" t="s">
        <v>16244</v>
      </c>
      <c r="B8428" s="2" t="s">
        <v>16244</v>
      </c>
      <c r="C8428" s="2" t="s">
        <v>40</v>
      </c>
      <c r="D8428" s="2" t="s">
        <v>41</v>
      </c>
      <c r="E8428" s="5">
        <v>-28724</v>
      </c>
      <c r="F8428" s="3" t="s">
        <v>1305</v>
      </c>
      <c r="G8428" s="3" t="s">
        <v>1583</v>
      </c>
      <c r="H8428" s="2" t="s">
        <v>21</v>
      </c>
      <c r="I8428" s="2" t="s">
        <v>16272</v>
      </c>
      <c r="J8428" s="3" t="str">
        <f>HYPERLINK("https://www.boe.es/gazeta/dias/1821/05/09/pdfs/GMD-1821-131.pdf#page=4","Abrir facsímil")</f>
        <v>Abrir facsímil</v>
      </c>
      <c r="K8428" s="3" t="s">
        <v>23</v>
      </c>
    </row>
    <row r="8429" spans="1:11" ht="42" customHeight="1">
      <c r="A8429" s="2" t="s">
        <v>16244</v>
      </c>
      <c r="B8429" s="2" t="s">
        <v>16244</v>
      </c>
      <c r="C8429" s="2" t="s">
        <v>40</v>
      </c>
      <c r="D8429" s="2" t="s">
        <v>41</v>
      </c>
      <c r="E8429" s="5">
        <v>-28716</v>
      </c>
      <c r="F8429" s="3" t="s">
        <v>842</v>
      </c>
      <c r="G8429" s="3" t="s">
        <v>43</v>
      </c>
      <c r="H8429" s="2" t="s">
        <v>21</v>
      </c>
      <c r="I8429" s="2" t="s">
        <v>16273</v>
      </c>
      <c r="J8429" s="3" t="str">
        <f>HYPERLINK("https://www.boe.es/gazeta/dias/1821/05/17/pdfs/GMD-1821-139.pdf#page=1","Abrir facsímil")</f>
        <v>Abrir facsímil</v>
      </c>
      <c r="K8429" s="3" t="s">
        <v>23</v>
      </c>
    </row>
    <row r="8430" spans="1:11" ht="42" customHeight="1">
      <c r="A8430" s="2" t="s">
        <v>16241</v>
      </c>
      <c r="B8430" s="2" t="s">
        <v>16241</v>
      </c>
      <c r="C8430" s="2" t="s">
        <v>40</v>
      </c>
      <c r="D8430" s="2" t="s">
        <v>41</v>
      </c>
      <c r="E8430" s="5">
        <v>-28712</v>
      </c>
      <c r="F8430" s="3" t="s">
        <v>695</v>
      </c>
      <c r="G8430" s="3" t="s">
        <v>43</v>
      </c>
      <c r="H8430" s="2" t="s">
        <v>21</v>
      </c>
      <c r="I8430" s="2" t="s">
        <v>16274</v>
      </c>
      <c r="J8430" s="3" t="str">
        <f>HYPERLINK("https://www.boe.es/gazeta/dias/1821/05/21/pdfs/GMD-1821-143.pdf#page=1","Abrir facsímil")</f>
        <v>Abrir facsímil</v>
      </c>
      <c r="K8430" s="3" t="s">
        <v>23</v>
      </c>
    </row>
    <row r="8431" spans="1:11" ht="42" customHeight="1">
      <c r="A8431" s="2" t="s">
        <v>16241</v>
      </c>
      <c r="B8431" s="2" t="s">
        <v>16241</v>
      </c>
      <c r="C8431" s="2" t="s">
        <v>40</v>
      </c>
      <c r="D8431" s="2" t="s">
        <v>41</v>
      </c>
      <c r="E8431" s="5">
        <v>-28669</v>
      </c>
      <c r="F8431" s="3" t="s">
        <v>2816</v>
      </c>
      <c r="G8431" s="3" t="s">
        <v>20</v>
      </c>
      <c r="H8431" s="2" t="s">
        <v>21</v>
      </c>
      <c r="I8431" s="2" t="s">
        <v>16275</v>
      </c>
      <c r="J8431" s="3" t="str">
        <f>HYPERLINK("https://www.boe.es/gazeta/dias/1821/07/03/pdfs/GMD-1821-187.pdf#page=3","Abrir facsímil")</f>
        <v>Abrir facsímil</v>
      </c>
      <c r="K8431" s="3" t="s">
        <v>23</v>
      </c>
    </row>
    <row r="8432" spans="1:11" ht="42" customHeight="1">
      <c r="A8432" s="2" t="s">
        <v>16241</v>
      </c>
      <c r="B8432" s="2" t="s">
        <v>16241</v>
      </c>
      <c r="C8432" s="2" t="s">
        <v>40</v>
      </c>
      <c r="D8432" s="2" t="s">
        <v>41</v>
      </c>
      <c r="E8432" s="5">
        <v>-28650</v>
      </c>
      <c r="F8432" s="3" t="s">
        <v>3285</v>
      </c>
      <c r="G8432" s="3" t="s">
        <v>88</v>
      </c>
      <c r="H8432" s="2" t="s">
        <v>21</v>
      </c>
      <c r="I8432" s="2" t="s">
        <v>16276</v>
      </c>
      <c r="J8432" s="3" t="str">
        <f>HYPERLINK("https://www.boe.es/gazeta/dias/1821/07/22/pdfs/GMD-1821-207.pdf#page=4","Abrir facsímil")</f>
        <v>Abrir facsímil</v>
      </c>
      <c r="K8432" s="3" t="s">
        <v>23</v>
      </c>
    </row>
    <row r="8433" spans="1:11" ht="42" customHeight="1">
      <c r="A8433" s="2" t="s">
        <v>16241</v>
      </c>
      <c r="B8433" s="2" t="s">
        <v>16241</v>
      </c>
      <c r="C8433" s="2" t="s">
        <v>40</v>
      </c>
      <c r="D8433" s="2" t="s">
        <v>41</v>
      </c>
      <c r="E8433" s="5">
        <v>-28648</v>
      </c>
      <c r="F8433" s="3" t="s">
        <v>1520</v>
      </c>
      <c r="G8433" s="3" t="s">
        <v>20</v>
      </c>
      <c r="H8433" s="2" t="s">
        <v>21</v>
      </c>
      <c r="I8433" s="2" t="s">
        <v>16277</v>
      </c>
      <c r="J8433" s="3" t="str">
        <f>HYPERLINK("https://www.boe.es/gazeta/dias/1821/07/24/pdfs/GMD-1821-209.pdf#page=3","Abrir facsímil")</f>
        <v>Abrir facsímil</v>
      </c>
      <c r="K8433" s="3" t="s">
        <v>23</v>
      </c>
    </row>
    <row r="8434" spans="1:11" ht="42" customHeight="1">
      <c r="A8434" s="2" t="s">
        <v>16241</v>
      </c>
      <c r="B8434" s="2" t="s">
        <v>16241</v>
      </c>
      <c r="C8434" s="2" t="s">
        <v>40</v>
      </c>
      <c r="D8434" s="2" t="s">
        <v>41</v>
      </c>
      <c r="E8434" s="5">
        <v>-28646</v>
      </c>
      <c r="F8434" s="3" t="s">
        <v>1457</v>
      </c>
      <c r="G8434" s="3" t="s">
        <v>20</v>
      </c>
      <c r="H8434" s="2" t="s">
        <v>21</v>
      </c>
      <c r="I8434" s="2" t="s">
        <v>16278</v>
      </c>
      <c r="J8434" s="3" t="str">
        <f>HYPERLINK("https://www.boe.es/gazeta/dias/1821/07/26/pdfs/GMD-1821-211.pdf#page=3","Abrir facsímil")</f>
        <v>Abrir facsímil</v>
      </c>
      <c r="K8434" s="3" t="s">
        <v>23</v>
      </c>
    </row>
    <row r="8435" spans="1:11" ht="42" customHeight="1">
      <c r="A8435" s="2" t="s">
        <v>16241</v>
      </c>
      <c r="B8435" s="2" t="s">
        <v>16241</v>
      </c>
      <c r="C8435" s="2" t="s">
        <v>40</v>
      </c>
      <c r="D8435" s="2" t="s">
        <v>41</v>
      </c>
      <c r="E8435" s="5">
        <v>-28642</v>
      </c>
      <c r="F8435" s="3" t="s">
        <v>734</v>
      </c>
      <c r="G8435" s="3" t="s">
        <v>52</v>
      </c>
      <c r="H8435" s="2" t="s">
        <v>21</v>
      </c>
      <c r="I8435" s="2" t="s">
        <v>16279</v>
      </c>
      <c r="J8435" s="3" t="str">
        <f>HYPERLINK("https://www.boe.es/gazeta/dias/1821/07/30/pdfs/GMD-1821-215.pdf#page=2","Abrir facsímil")</f>
        <v>Abrir facsímil</v>
      </c>
      <c r="K8435" s="3" t="s">
        <v>23</v>
      </c>
    </row>
    <row r="8436" spans="1:11" ht="42" customHeight="1">
      <c r="A8436" s="2" t="s">
        <v>16244</v>
      </c>
      <c r="B8436" s="2" t="s">
        <v>16244</v>
      </c>
      <c r="C8436" s="2" t="s">
        <v>40</v>
      </c>
      <c r="D8436" s="2" t="s">
        <v>41</v>
      </c>
      <c r="E8436" s="5">
        <v>-28638</v>
      </c>
      <c r="F8436" s="3" t="s">
        <v>736</v>
      </c>
      <c r="G8436" s="3" t="s">
        <v>52</v>
      </c>
      <c r="H8436" s="2" t="s">
        <v>21</v>
      </c>
      <c r="I8436" s="2" t="s">
        <v>16280</v>
      </c>
      <c r="J8436" s="3" t="str">
        <f>HYPERLINK("https://www.boe.es/gazeta/dias/1821/08/03/pdfs/GMD-1821-219.pdf#page=2","Abrir facsímil")</f>
        <v>Abrir facsímil</v>
      </c>
      <c r="K8436" s="3" t="s">
        <v>23</v>
      </c>
    </row>
    <row r="8437" spans="1:11" ht="42" customHeight="1">
      <c r="A8437" s="2" t="s">
        <v>16241</v>
      </c>
      <c r="B8437" s="2" t="s">
        <v>16241</v>
      </c>
      <c r="C8437" s="2" t="s">
        <v>40</v>
      </c>
      <c r="D8437" s="2" t="s">
        <v>41</v>
      </c>
      <c r="E8437" s="5">
        <v>-28630</v>
      </c>
      <c r="F8437" s="3" t="s">
        <v>616</v>
      </c>
      <c r="G8437" s="3" t="s">
        <v>52</v>
      </c>
      <c r="H8437" s="2" t="s">
        <v>21</v>
      </c>
      <c r="I8437" s="2" t="s">
        <v>16281</v>
      </c>
      <c r="J8437" s="3" t="str">
        <f>HYPERLINK("https://www.boe.es/gazeta/dias/1821/08/11/pdfs/GMD-1821-228.pdf#page=2","Abrir facsímil")</f>
        <v>Abrir facsímil</v>
      </c>
      <c r="K8437" s="3" t="s">
        <v>23</v>
      </c>
    </row>
    <row r="8438" spans="1:11" ht="42" customHeight="1">
      <c r="A8438" s="2" t="s">
        <v>16241</v>
      </c>
      <c r="B8438" s="2" t="s">
        <v>16241</v>
      </c>
      <c r="C8438" s="2" t="s">
        <v>40</v>
      </c>
      <c r="D8438" s="2" t="s">
        <v>41</v>
      </c>
      <c r="E8438" s="5">
        <v>-28628</v>
      </c>
      <c r="F8438" s="3" t="s">
        <v>4257</v>
      </c>
      <c r="G8438" s="3" t="s">
        <v>88</v>
      </c>
      <c r="H8438" s="2" t="s">
        <v>21</v>
      </c>
      <c r="I8438" s="2" t="s">
        <v>16282</v>
      </c>
      <c r="J8438" s="3" t="str">
        <f>HYPERLINK("https://www.boe.es/gazeta/dias/1821/08/13/pdfs/GMD-1821-230.pdf#page=4","Abrir facsímil")</f>
        <v>Abrir facsímil</v>
      </c>
      <c r="K8438" s="3" t="s">
        <v>23</v>
      </c>
    </row>
    <row r="8439" spans="1:11" ht="42" customHeight="1">
      <c r="A8439" s="2" t="s">
        <v>16244</v>
      </c>
      <c r="B8439" s="2" t="s">
        <v>16244</v>
      </c>
      <c r="C8439" s="2" t="s">
        <v>40</v>
      </c>
      <c r="D8439" s="2" t="s">
        <v>41</v>
      </c>
      <c r="E8439" s="5">
        <v>-28589</v>
      </c>
      <c r="F8439" s="3" t="s">
        <v>3130</v>
      </c>
      <c r="G8439" s="3" t="s">
        <v>20</v>
      </c>
      <c r="H8439" s="2" t="s">
        <v>21</v>
      </c>
      <c r="I8439" s="2" t="s">
        <v>16283</v>
      </c>
      <c r="J8439" s="3" t="str">
        <f>HYPERLINK("https://www.boe.es/gazeta/dias/1821/09/21/pdfs/GMD-1821-269.pdf#page=3","Abrir facsímil")</f>
        <v>Abrir facsímil</v>
      </c>
      <c r="K8439" s="3" t="s">
        <v>23</v>
      </c>
    </row>
    <row r="8440" spans="1:11" ht="42" customHeight="1">
      <c r="A8440" s="2" t="s">
        <v>16284</v>
      </c>
      <c r="B8440" s="2" t="s">
        <v>16285</v>
      </c>
      <c r="C8440" s="2" t="s">
        <v>40</v>
      </c>
      <c r="D8440" s="2" t="s">
        <v>41</v>
      </c>
      <c r="E8440" s="5">
        <v>-28775</v>
      </c>
      <c r="F8440" s="3" t="s">
        <v>132</v>
      </c>
      <c r="G8440" s="3" t="s">
        <v>20</v>
      </c>
      <c r="H8440" s="2" t="s">
        <v>21</v>
      </c>
      <c r="I8440" s="2" t="s">
        <v>16286</v>
      </c>
      <c r="J8440" s="3" t="str">
        <f>HYPERLINK("https://www.boe.es/gazeta/dias/1821/03/19/pdfs/GMD-1821-78.pdf#page=3","Abrir facsímil")</f>
        <v>Abrir facsímil</v>
      </c>
      <c r="K8440" s="3" t="s">
        <v>23</v>
      </c>
    </row>
    <row r="8441" spans="1:11" ht="42" customHeight="1">
      <c r="A8441" s="2" t="s">
        <v>16287</v>
      </c>
      <c r="B8441" s="2" t="s">
        <v>16288</v>
      </c>
      <c r="C8441" s="2" t="s">
        <v>40</v>
      </c>
      <c r="D8441" s="2" t="s">
        <v>41</v>
      </c>
      <c r="E8441" s="5">
        <v>-28775</v>
      </c>
      <c r="F8441" s="3" t="s">
        <v>132</v>
      </c>
      <c r="G8441" s="3" t="s">
        <v>20</v>
      </c>
      <c r="H8441" s="2" t="s">
        <v>30</v>
      </c>
      <c r="I8441" s="2" t="s">
        <v>16289</v>
      </c>
      <c r="J8441" s="3" t="str">
        <f>HYPERLINK("https://www.boe.es/gazeta/dias/1821/03/19/pdfs/GMD-1821-78.pdf#page=3","Abrir facsímil")</f>
        <v>Abrir facsímil</v>
      </c>
      <c r="K8441" s="3" t="s">
        <v>32</v>
      </c>
    </row>
    <row r="8442" spans="1:11" ht="42" customHeight="1">
      <c r="A8442" s="2" t="s">
        <v>16287</v>
      </c>
      <c r="B8442" s="2" t="s">
        <v>16288</v>
      </c>
      <c r="C8442" s="2" t="s">
        <v>40</v>
      </c>
      <c r="D8442" s="2" t="s">
        <v>41</v>
      </c>
      <c r="E8442" s="5">
        <v>-28765</v>
      </c>
      <c r="F8442" s="3" t="s">
        <v>974</v>
      </c>
      <c r="G8442" s="3" t="s">
        <v>1483</v>
      </c>
      <c r="H8442" s="2" t="s">
        <v>30</v>
      </c>
      <c r="I8442" s="2" t="s">
        <v>16290</v>
      </c>
      <c r="J8442" s="3" t="str">
        <f>HYPERLINK("https://www.boe.es/gazeta/dias/1821/03/29/pdfs/GMD-1821-90.pdf#page=4","Abrir facsímil")</f>
        <v>Abrir facsímil</v>
      </c>
      <c r="K8442" s="3" t="s">
        <v>32</v>
      </c>
    </row>
    <row r="8443" spans="1:11" ht="42" customHeight="1">
      <c r="A8443" s="2" t="s">
        <v>16291</v>
      </c>
      <c r="B8443" s="2" t="s">
        <v>16292</v>
      </c>
      <c r="C8443" s="2" t="s">
        <v>40</v>
      </c>
      <c r="D8443" s="2" t="s">
        <v>41</v>
      </c>
      <c r="E8443" s="5">
        <v>-28832</v>
      </c>
      <c r="F8443" s="3" t="s">
        <v>353</v>
      </c>
      <c r="G8443" s="3" t="s">
        <v>88</v>
      </c>
      <c r="H8443" s="2" t="s">
        <v>21</v>
      </c>
      <c r="I8443" s="2" t="s">
        <v>16293</v>
      </c>
      <c r="J8443" s="3" t="str">
        <f>HYPERLINK("https://www.boe.es/gazeta/dias/1821/01/21/pdfs/GGB-1821-21.pdf#page=4","Abrir facsímil")</f>
        <v>Abrir facsímil</v>
      </c>
      <c r="K8443" s="3" t="s">
        <v>23</v>
      </c>
    </row>
    <row r="8444" spans="1:11" ht="42" customHeight="1">
      <c r="A8444" s="2" t="s">
        <v>16294</v>
      </c>
      <c r="B8444" s="2" t="s">
        <v>16295</v>
      </c>
      <c r="C8444" s="2" t="s">
        <v>40</v>
      </c>
      <c r="D8444" s="2" t="s">
        <v>41</v>
      </c>
      <c r="E8444" s="5">
        <v>-28826</v>
      </c>
      <c r="F8444" s="3" t="s">
        <v>2706</v>
      </c>
      <c r="G8444" s="3" t="s">
        <v>2707</v>
      </c>
      <c r="H8444" s="2" t="s">
        <v>21</v>
      </c>
      <c r="I8444" s="2" t="s">
        <v>16296</v>
      </c>
      <c r="J8444" s="3" t="str">
        <f>HYPERLINK("https://www.boe.es/gazeta/dias/1821/01/27/pdfs/GGB-1821-27.pdf#page=3","Abrir facsímil")</f>
        <v>Abrir facsímil</v>
      </c>
      <c r="K8444" s="3" t="s">
        <v>23</v>
      </c>
    </row>
    <row r="8445" spans="1:11" ht="42" customHeight="1">
      <c r="A8445" s="2" t="s">
        <v>16291</v>
      </c>
      <c r="B8445" s="2" t="s">
        <v>16292</v>
      </c>
      <c r="C8445" s="2" t="s">
        <v>40</v>
      </c>
      <c r="D8445" s="2" t="s">
        <v>41</v>
      </c>
      <c r="E8445" s="5">
        <v>-28825</v>
      </c>
      <c r="F8445" s="3" t="s">
        <v>1199</v>
      </c>
      <c r="G8445" s="3" t="s">
        <v>52</v>
      </c>
      <c r="H8445" s="2" t="s">
        <v>21</v>
      </c>
      <c r="I8445" s="2" t="s">
        <v>16297</v>
      </c>
      <c r="J8445" s="3" t="str">
        <f>HYPERLINK("https://www.boe.es/gazeta/dias/1821/01/28/pdfs/GGB-1821-28.pdf#page=2","Abrir facsímil")</f>
        <v>Abrir facsímil</v>
      </c>
      <c r="K8445" s="3" t="s">
        <v>23</v>
      </c>
    </row>
    <row r="8446" spans="1:11" ht="42" customHeight="1">
      <c r="A8446" s="2" t="s">
        <v>16291</v>
      </c>
      <c r="B8446" s="2" t="s">
        <v>16292</v>
      </c>
      <c r="C8446" s="2" t="s">
        <v>40</v>
      </c>
      <c r="D8446" s="2" t="s">
        <v>41</v>
      </c>
      <c r="E8446" s="5">
        <v>-28819</v>
      </c>
      <c r="F8446" s="3" t="s">
        <v>1830</v>
      </c>
      <c r="G8446" s="3" t="s">
        <v>52</v>
      </c>
      <c r="H8446" s="2" t="s">
        <v>21</v>
      </c>
      <c r="I8446" s="2" t="s">
        <v>16298</v>
      </c>
      <c r="J8446" s="3" t="str">
        <f>HYPERLINK("https://www.boe.es/gazeta/dias/1821/02/03/pdfs/GGB-1821-34.pdf#page=2","Abrir facsímil")</f>
        <v>Abrir facsímil</v>
      </c>
      <c r="K8446" s="3" t="s">
        <v>23</v>
      </c>
    </row>
    <row r="8447" spans="1:11" ht="42" customHeight="1">
      <c r="A8447" s="2" t="s">
        <v>16291</v>
      </c>
      <c r="B8447" s="2" t="s">
        <v>16292</v>
      </c>
      <c r="C8447" s="2" t="s">
        <v>40</v>
      </c>
      <c r="D8447" s="2" t="s">
        <v>41</v>
      </c>
      <c r="E8447" s="5">
        <v>-28818</v>
      </c>
      <c r="F8447" s="3" t="s">
        <v>2337</v>
      </c>
      <c r="G8447" s="3" t="s">
        <v>52</v>
      </c>
      <c r="H8447" s="2" t="s">
        <v>21</v>
      </c>
      <c r="I8447" s="2" t="s">
        <v>16299</v>
      </c>
      <c r="J8447" s="3" t="str">
        <f>HYPERLINK("https://www.boe.es/gazeta/dias/1821/02/04/pdfs/GGB-1821-35.pdf#page=2","Abrir facsímil")</f>
        <v>Abrir facsímil</v>
      </c>
      <c r="K8447" s="3" t="s">
        <v>23</v>
      </c>
    </row>
    <row r="8448" spans="1:11" ht="42" customHeight="1">
      <c r="A8448" s="2" t="s">
        <v>16294</v>
      </c>
      <c r="B8448" s="2" t="s">
        <v>16295</v>
      </c>
      <c r="C8448" s="2" t="s">
        <v>40</v>
      </c>
      <c r="D8448" s="2" t="s">
        <v>41</v>
      </c>
      <c r="E8448" s="5">
        <v>-28800</v>
      </c>
      <c r="F8448" s="3" t="s">
        <v>1753</v>
      </c>
      <c r="G8448" s="3" t="s">
        <v>52</v>
      </c>
      <c r="H8448" s="2" t="s">
        <v>21</v>
      </c>
      <c r="I8448" s="2" t="s">
        <v>16300</v>
      </c>
      <c r="J8448" s="3" t="str">
        <f>HYPERLINK("https://www.boe.es/gazeta/dias/1821/02/22/pdfs/GGB-1821-53.pdf#page=2","Abrir facsímil")</f>
        <v>Abrir facsímil</v>
      </c>
      <c r="K8448" s="3" t="s">
        <v>23</v>
      </c>
    </row>
    <row r="8449" spans="1:11" ht="42" customHeight="1">
      <c r="A8449" s="2" t="s">
        <v>16301</v>
      </c>
      <c r="B8449" s="2" t="s">
        <v>16302</v>
      </c>
      <c r="C8449" s="2" t="s">
        <v>17</v>
      </c>
      <c r="D8449" s="2" t="s">
        <v>18</v>
      </c>
      <c r="E8449" s="5">
        <v>-28531</v>
      </c>
      <c r="F8449" s="3" t="s">
        <v>365</v>
      </c>
      <c r="G8449" s="3" t="s">
        <v>20</v>
      </c>
      <c r="H8449" s="2" t="s">
        <v>21</v>
      </c>
      <c r="I8449" s="2" t="s">
        <v>16303</v>
      </c>
      <c r="J8449" s="3" t="str">
        <f>HYPERLINK("https://www.boe.es/gazeta/dias/1821/11/18/pdfs/GMD-1821-329.pdf#page=3","Abrir facsímil")</f>
        <v>Abrir facsímil</v>
      </c>
      <c r="K8449" s="3" t="s">
        <v>23</v>
      </c>
    </row>
    <row r="8450" spans="1:11" ht="42" customHeight="1">
      <c r="A8450" s="2" t="s">
        <v>16304</v>
      </c>
      <c r="B8450" s="2" t="s">
        <v>16305</v>
      </c>
      <c r="C8450" s="2" t="s">
        <v>40</v>
      </c>
      <c r="D8450" s="2" t="s">
        <v>41</v>
      </c>
      <c r="E8450" s="5">
        <v>-28630</v>
      </c>
      <c r="F8450" s="3" t="s">
        <v>616</v>
      </c>
      <c r="G8450" s="3" t="s">
        <v>20</v>
      </c>
      <c r="H8450" s="2" t="s">
        <v>21</v>
      </c>
      <c r="I8450" s="2" t="s">
        <v>16306</v>
      </c>
      <c r="J8450" s="3" t="str">
        <f>HYPERLINK("https://www.boe.es/gazeta/dias/1821/08/11/pdfs/GMD-1821-228.pdf#page=3","Abrir facsímil")</f>
        <v>Abrir facsímil</v>
      </c>
      <c r="K8450" s="3" t="s">
        <v>23</v>
      </c>
    </row>
    <row r="8451" spans="1:11" ht="42" customHeight="1">
      <c r="A8451" s="2" t="s">
        <v>16307</v>
      </c>
      <c r="B8451" s="2" t="s">
        <v>16308</v>
      </c>
      <c r="C8451" s="2" t="s">
        <v>35</v>
      </c>
      <c r="D8451" s="2" t="s">
        <v>27</v>
      </c>
      <c r="E8451" s="5">
        <v>-28707</v>
      </c>
      <c r="F8451" s="3" t="s">
        <v>495</v>
      </c>
      <c r="G8451" s="3" t="s">
        <v>52</v>
      </c>
      <c r="H8451" s="2" t="s">
        <v>21</v>
      </c>
      <c r="I8451" s="2" t="s">
        <v>16309</v>
      </c>
      <c r="J8451" s="3" t="str">
        <f>HYPERLINK("https://www.boe.es/gazeta/dias/1821/05/26/pdfs/GMD-1821-148.pdf#page=2","Abrir facsímil")</f>
        <v>Abrir facsímil</v>
      </c>
      <c r="K8451" s="3" t="s">
        <v>23</v>
      </c>
    </row>
    <row r="8452" spans="1:11" ht="42" customHeight="1">
      <c r="A8452" s="2" t="s">
        <v>16310</v>
      </c>
      <c r="B8452" s="2" t="s">
        <v>16311</v>
      </c>
      <c r="C8452" s="2" t="s">
        <v>40</v>
      </c>
      <c r="D8452" s="2" t="s">
        <v>41</v>
      </c>
      <c r="E8452" s="5">
        <v>-28541</v>
      </c>
      <c r="F8452" s="3" t="s">
        <v>275</v>
      </c>
      <c r="G8452" s="3" t="s">
        <v>52</v>
      </c>
      <c r="H8452" s="2" t="s">
        <v>21</v>
      </c>
      <c r="I8452" s="2" t="s">
        <v>16312</v>
      </c>
      <c r="J8452" s="3" t="str">
        <f>HYPERLINK("https://www.boe.es/gazeta/dias/1821/11/08/pdfs/GMD-1821-319.pdf#page=2","Abrir facsímil")</f>
        <v>Abrir facsímil</v>
      </c>
      <c r="K8452" s="3" t="s">
        <v>23</v>
      </c>
    </row>
    <row r="8453" spans="1:11" ht="42" customHeight="1">
      <c r="A8453" s="2" t="s">
        <v>16313</v>
      </c>
      <c r="B8453" s="2" t="s">
        <v>16314</v>
      </c>
      <c r="C8453" s="2" t="s">
        <v>26</v>
      </c>
      <c r="D8453" s="2" t="s">
        <v>27</v>
      </c>
      <c r="E8453" s="5">
        <v>-28648</v>
      </c>
      <c r="F8453" s="3" t="s">
        <v>1520</v>
      </c>
      <c r="G8453" s="3" t="s">
        <v>1521</v>
      </c>
      <c r="H8453" s="2" t="s">
        <v>21</v>
      </c>
      <c r="I8453" s="2" t="s">
        <v>16315</v>
      </c>
      <c r="J8453" s="3" t="str">
        <f>HYPERLINK("https://www.boe.es/gazeta/dias/1821/07/24/pdfs/GMD-1821-209.pdf#page=6","Abrir facsímil")</f>
        <v>Abrir facsímil</v>
      </c>
      <c r="K8453" s="3" t="s">
        <v>23</v>
      </c>
    </row>
    <row r="8454" spans="1:11" ht="42" customHeight="1">
      <c r="A8454" s="2" t="s">
        <v>16316</v>
      </c>
      <c r="B8454" s="2" t="s">
        <v>16316</v>
      </c>
      <c r="C8454" s="2" t="s">
        <v>17</v>
      </c>
      <c r="D8454" s="2" t="s">
        <v>18</v>
      </c>
      <c r="E8454" s="5">
        <v>-28796</v>
      </c>
      <c r="F8454" s="3" t="s">
        <v>1421</v>
      </c>
      <c r="G8454" s="3" t="s">
        <v>52</v>
      </c>
      <c r="H8454" s="2" t="s">
        <v>21</v>
      </c>
      <c r="I8454" s="2" t="s">
        <v>16317</v>
      </c>
      <c r="J8454" s="3" t="str">
        <f>HYPERLINK("https://www.boe.es/gazeta/dias/1821/02/26/pdfs/GGB-1821-57.pdf#page=2","Abrir facsímil")</f>
        <v>Abrir facsímil</v>
      </c>
      <c r="K8454" s="3" t="s">
        <v>23</v>
      </c>
    </row>
    <row r="8455" spans="1:11" ht="42" customHeight="1">
      <c r="A8455" s="2" t="s">
        <v>16316</v>
      </c>
      <c r="B8455" s="2" t="s">
        <v>16316</v>
      </c>
      <c r="C8455" s="2" t="s">
        <v>40</v>
      </c>
      <c r="D8455" s="2" t="s">
        <v>41</v>
      </c>
      <c r="E8455" s="5">
        <v>-28565</v>
      </c>
      <c r="F8455" s="3" t="s">
        <v>326</v>
      </c>
      <c r="G8455" s="3" t="s">
        <v>162</v>
      </c>
      <c r="H8455" s="2" t="s">
        <v>21</v>
      </c>
      <c r="I8455" s="2" t="s">
        <v>16318</v>
      </c>
      <c r="J8455" s="3" t="str">
        <f>HYPERLINK("https://www.boe.es/gazeta/dias/1821/10/15/pdfs/GMD-1821-294.pdf#page=5","Abrir facsímil")</f>
        <v>Abrir facsímil</v>
      </c>
      <c r="K8455" s="3" t="s">
        <v>23</v>
      </c>
    </row>
    <row r="8456" spans="1:11" ht="42" customHeight="1">
      <c r="A8456" s="2" t="s">
        <v>16316</v>
      </c>
      <c r="B8456" s="2" t="s">
        <v>16316</v>
      </c>
      <c r="C8456" s="2" t="s">
        <v>40</v>
      </c>
      <c r="D8456" s="2" t="s">
        <v>41</v>
      </c>
      <c r="E8456" s="5">
        <v>-28563</v>
      </c>
      <c r="F8456" s="3" t="s">
        <v>118</v>
      </c>
      <c r="G8456" s="3" t="s">
        <v>20</v>
      </c>
      <c r="H8456" s="2" t="s">
        <v>21</v>
      </c>
      <c r="I8456" s="2" t="s">
        <v>16319</v>
      </c>
      <c r="J8456" s="3" t="str">
        <f>HYPERLINK("https://www.boe.es/gazeta/dias/1821/10/17/pdfs/GMD-1821-296.pdf#page=3","Abrir facsímil")</f>
        <v>Abrir facsímil</v>
      </c>
      <c r="K8456" s="3" t="s">
        <v>23</v>
      </c>
    </row>
    <row r="8457" spans="1:11" ht="42" customHeight="1">
      <c r="A8457" s="2" t="s">
        <v>16320</v>
      </c>
      <c r="B8457" s="2" t="s">
        <v>16321</v>
      </c>
      <c r="C8457" s="2" t="s">
        <v>26</v>
      </c>
      <c r="D8457" s="2" t="s">
        <v>27</v>
      </c>
      <c r="E8457" s="5">
        <v>-28796</v>
      </c>
      <c r="F8457" s="3" t="s">
        <v>1421</v>
      </c>
      <c r="G8457" s="3" t="s">
        <v>52</v>
      </c>
      <c r="H8457" s="2" t="s">
        <v>21</v>
      </c>
      <c r="I8457" s="2" t="s">
        <v>16322</v>
      </c>
      <c r="J8457" s="3" t="str">
        <f>HYPERLINK("https://www.boe.es/gazeta/dias/1821/02/26/pdfs/GGB-1821-57.pdf#page=2","Abrir facsímil")</f>
        <v>Abrir facsímil</v>
      </c>
      <c r="K8457" s="3" t="s">
        <v>23</v>
      </c>
    </row>
    <row r="8458" spans="1:11" ht="42" customHeight="1">
      <c r="A8458" s="2" t="s">
        <v>16323</v>
      </c>
      <c r="B8458" s="2" t="s">
        <v>16324</v>
      </c>
      <c r="C8458" s="2" t="s">
        <v>40</v>
      </c>
      <c r="D8458" s="2" t="s">
        <v>41</v>
      </c>
      <c r="E8458" s="5">
        <v>-28565</v>
      </c>
      <c r="F8458" s="3" t="s">
        <v>326</v>
      </c>
      <c r="G8458" s="3" t="s">
        <v>162</v>
      </c>
      <c r="H8458" s="2" t="s">
        <v>21</v>
      </c>
      <c r="I8458" s="2" t="s">
        <v>16325</v>
      </c>
      <c r="J8458" s="3" t="str">
        <f>HYPERLINK("https://www.boe.es/gazeta/dias/1821/10/15/pdfs/GMD-1821-294.pdf#page=5","Abrir facsímil")</f>
        <v>Abrir facsímil</v>
      </c>
      <c r="K8458" s="3" t="s">
        <v>23</v>
      </c>
    </row>
    <row r="8459" spans="1:11" ht="42" customHeight="1">
      <c r="A8459" s="2" t="s">
        <v>16323</v>
      </c>
      <c r="B8459" s="2" t="s">
        <v>16324</v>
      </c>
      <c r="C8459" s="2" t="s">
        <v>40</v>
      </c>
      <c r="D8459" s="2" t="s">
        <v>41</v>
      </c>
      <c r="E8459" s="5">
        <v>-28563</v>
      </c>
      <c r="F8459" s="3" t="s">
        <v>118</v>
      </c>
      <c r="G8459" s="3" t="s">
        <v>52</v>
      </c>
      <c r="H8459" s="2" t="s">
        <v>21</v>
      </c>
      <c r="I8459" s="2" t="s">
        <v>16326</v>
      </c>
      <c r="J8459" s="3" t="str">
        <f>HYPERLINK("https://www.boe.es/gazeta/dias/1821/10/17/pdfs/GMD-1821-296.pdf#page=2","Abrir facsímil")</f>
        <v>Abrir facsímil</v>
      </c>
      <c r="K8459" s="3" t="s">
        <v>23</v>
      </c>
    </row>
    <row r="8460" spans="1:11" ht="42" customHeight="1">
      <c r="A8460" s="2" t="s">
        <v>16327</v>
      </c>
      <c r="B8460" s="2" t="s">
        <v>16328</v>
      </c>
      <c r="C8460" s="2" t="s">
        <v>26</v>
      </c>
      <c r="D8460" s="2" t="s">
        <v>27</v>
      </c>
      <c r="E8460" s="5">
        <v>-28651</v>
      </c>
      <c r="F8460" s="3" t="s">
        <v>1518</v>
      </c>
      <c r="G8460" s="3" t="s">
        <v>88</v>
      </c>
      <c r="H8460" s="2" t="s">
        <v>21</v>
      </c>
      <c r="I8460" s="2" t="s">
        <v>16329</v>
      </c>
      <c r="J8460" s="3" t="str">
        <f>HYPERLINK("https://www.boe.es/gazeta/dias/1821/07/21/pdfs/GMD-1821-206.pdf#page=4","Abrir facsímil")</f>
        <v>Abrir facsímil</v>
      </c>
      <c r="K8460" s="3" t="s">
        <v>23</v>
      </c>
    </row>
    <row r="8461" spans="1:11" ht="42" customHeight="1">
      <c r="A8461" s="2" t="s">
        <v>16330</v>
      </c>
      <c r="B8461" s="2" t="s">
        <v>16331</v>
      </c>
      <c r="C8461" s="2" t="s">
        <v>17</v>
      </c>
      <c r="D8461" s="2" t="s">
        <v>18</v>
      </c>
      <c r="E8461" s="5">
        <v>-28787</v>
      </c>
      <c r="F8461" s="3" t="s">
        <v>486</v>
      </c>
      <c r="G8461" s="3" t="s">
        <v>52</v>
      </c>
      <c r="H8461" s="2" t="s">
        <v>21</v>
      </c>
      <c r="I8461" s="2" t="s">
        <v>16332</v>
      </c>
      <c r="J8461" s="3" t="str">
        <f>HYPERLINK("https://www.boe.es/gazeta/dias/1821/03/07/pdfs/GGB-1821-66.pdf#page=2","Abrir facsímil")</f>
        <v>Abrir facsímil</v>
      </c>
      <c r="K8461" s="3" t="s">
        <v>23</v>
      </c>
    </row>
    <row r="8462" spans="1:11" ht="42" customHeight="1">
      <c r="A8462" s="2" t="s">
        <v>16330</v>
      </c>
      <c r="B8462" s="2" t="s">
        <v>16331</v>
      </c>
      <c r="C8462" s="2" t="s">
        <v>17</v>
      </c>
      <c r="D8462" s="2" t="s">
        <v>18</v>
      </c>
      <c r="E8462" s="5">
        <v>-28776</v>
      </c>
      <c r="F8462" s="3" t="s">
        <v>312</v>
      </c>
      <c r="G8462" s="3" t="s">
        <v>162</v>
      </c>
      <c r="H8462" s="2" t="s">
        <v>21</v>
      </c>
      <c r="I8462" s="2" t="s">
        <v>16333</v>
      </c>
      <c r="J8462" s="3" t="str">
        <f>HYPERLINK("https://www.boe.es/gazeta/dias/1821/03/18/pdfs/GMD-1821-77.pdf#page=5","Abrir facsímil")</f>
        <v>Abrir facsímil</v>
      </c>
      <c r="K8462" s="3" t="s">
        <v>23</v>
      </c>
    </row>
    <row r="8463" spans="1:11" ht="42" customHeight="1">
      <c r="A8463" s="2" t="s">
        <v>16334</v>
      </c>
      <c r="B8463" s="2" t="s">
        <v>16335</v>
      </c>
      <c r="C8463" s="2" t="s">
        <v>40</v>
      </c>
      <c r="D8463" s="2" t="s">
        <v>41</v>
      </c>
      <c r="E8463" s="5">
        <v>-28497</v>
      </c>
      <c r="F8463" s="3" t="s">
        <v>225</v>
      </c>
      <c r="G8463" s="3" t="s">
        <v>162</v>
      </c>
      <c r="H8463" s="2" t="s">
        <v>21</v>
      </c>
      <c r="I8463" s="2" t="s">
        <v>16336</v>
      </c>
      <c r="J8463" s="3" t="str">
        <f>HYPERLINK("https://www.boe.es/gazeta/dias/1821/12/22/pdfs/GMD-1821-365.pdf#page=5","Abrir facsímil")</f>
        <v>Abrir facsímil</v>
      </c>
      <c r="K8463" s="3" t="s">
        <v>23</v>
      </c>
    </row>
    <row r="8464" spans="1:11" ht="42" customHeight="1">
      <c r="A8464" s="2" t="s">
        <v>16337</v>
      </c>
      <c r="B8464" s="2" t="s">
        <v>16338</v>
      </c>
      <c r="C8464" s="2" t="s">
        <v>40</v>
      </c>
      <c r="D8464" s="2" t="s">
        <v>41</v>
      </c>
      <c r="E8464" s="5">
        <v>-28765</v>
      </c>
      <c r="F8464" s="3" t="s">
        <v>974</v>
      </c>
      <c r="G8464" s="3" t="s">
        <v>52</v>
      </c>
      <c r="H8464" s="2" t="s">
        <v>21</v>
      </c>
      <c r="I8464" s="2" t="s">
        <v>16339</v>
      </c>
      <c r="J8464" s="3" t="str">
        <f>HYPERLINK("https://www.boe.es/gazeta/dias/1821/03/29/pdfs/GMD-1821-90.pdf#page=2","Abrir facsímil")</f>
        <v>Abrir facsímil</v>
      </c>
      <c r="K8464" s="3" t="s">
        <v>23</v>
      </c>
    </row>
    <row r="8465" spans="1:11" ht="42" customHeight="1">
      <c r="A8465" s="2" t="s">
        <v>16340</v>
      </c>
      <c r="B8465" s="2" t="s">
        <v>16341</v>
      </c>
      <c r="C8465" s="2" t="s">
        <v>17</v>
      </c>
      <c r="D8465" s="2" t="s">
        <v>18</v>
      </c>
      <c r="E8465" s="5">
        <v>-28763</v>
      </c>
      <c r="F8465" s="3" t="s">
        <v>1145</v>
      </c>
      <c r="G8465" s="3" t="s">
        <v>52</v>
      </c>
      <c r="H8465" s="2" t="s">
        <v>21</v>
      </c>
      <c r="I8465" s="2" t="s">
        <v>16342</v>
      </c>
      <c r="J8465" s="3" t="str">
        <f>HYPERLINK("https://www.boe.es/gazeta/dias/1821/03/31/pdfs/GMD-1821-92.pdf#page=2","Abrir facsímil")</f>
        <v>Abrir facsímil</v>
      </c>
      <c r="K8465" s="3" t="s">
        <v>23</v>
      </c>
    </row>
    <row r="8466" spans="1:11" ht="42" customHeight="1">
      <c r="A8466" s="2" t="s">
        <v>16343</v>
      </c>
      <c r="B8466" s="2" t="s">
        <v>16343</v>
      </c>
      <c r="C8466" s="2" t="s">
        <v>17</v>
      </c>
      <c r="D8466" s="2" t="s">
        <v>18</v>
      </c>
      <c r="E8466" s="5">
        <v>-28668</v>
      </c>
      <c r="F8466" s="3" t="s">
        <v>2130</v>
      </c>
      <c r="G8466" s="3" t="s">
        <v>88</v>
      </c>
      <c r="H8466" s="2" t="s">
        <v>21</v>
      </c>
      <c r="I8466" s="2" t="s">
        <v>16344</v>
      </c>
      <c r="J8466" s="3" t="str">
        <f>HYPERLINK("https://www.boe.es/gazeta/dias/1821/07/04/pdfs/GMD-1821-188.pdf#page=4","Abrir facsímil")</f>
        <v>Abrir facsímil</v>
      </c>
      <c r="K8466" s="3" t="s">
        <v>23</v>
      </c>
    </row>
    <row r="8467" spans="1:11" ht="42" customHeight="1">
      <c r="A8467" s="2" t="s">
        <v>16345</v>
      </c>
      <c r="B8467" s="2" t="s">
        <v>16346</v>
      </c>
      <c r="C8467" s="2" t="s">
        <v>174</v>
      </c>
      <c r="D8467" s="2" t="s">
        <v>27</v>
      </c>
      <c r="E8467" s="5">
        <v>-28814</v>
      </c>
      <c r="F8467" s="3" t="s">
        <v>2090</v>
      </c>
      <c r="G8467" s="3" t="s">
        <v>88</v>
      </c>
      <c r="H8467" s="2" t="s">
        <v>21</v>
      </c>
      <c r="I8467" s="2" t="s">
        <v>16347</v>
      </c>
      <c r="J8467" s="3" t="str">
        <f>HYPERLINK("https://www.boe.es/gazeta/dias/1821/02/08/pdfs/GGB-1821-39.pdf#page=4","Abrir facsímil")</f>
        <v>Abrir facsímil</v>
      </c>
      <c r="K8467" s="3" t="s">
        <v>23</v>
      </c>
    </row>
    <row r="8468" spans="1:11" ht="42" customHeight="1">
      <c r="A8468" s="2" t="s">
        <v>16348</v>
      </c>
      <c r="B8468" s="2" t="s">
        <v>16349</v>
      </c>
      <c r="C8468" s="2" t="s">
        <v>40</v>
      </c>
      <c r="D8468" s="2" t="s">
        <v>41</v>
      </c>
      <c r="E8468" s="5">
        <v>-28762</v>
      </c>
      <c r="F8468" s="3" t="s">
        <v>608</v>
      </c>
      <c r="G8468" s="3" t="s">
        <v>162</v>
      </c>
      <c r="H8468" s="2" t="s">
        <v>21</v>
      </c>
      <c r="I8468" s="2" t="s">
        <v>16350</v>
      </c>
      <c r="J8468" s="3" t="str">
        <f>HYPERLINK("https://www.boe.es/gazeta/dias/1821/04/01/pdfs/GMD-1821-93.pdf#page=5","Abrir facsímil")</f>
        <v>Abrir facsímil</v>
      </c>
      <c r="K8468" s="3" t="s">
        <v>23</v>
      </c>
    </row>
    <row r="8469" spans="1:11" ht="42" customHeight="1">
      <c r="A8469" s="2" t="s">
        <v>16351</v>
      </c>
      <c r="B8469" s="2" t="s">
        <v>16352</v>
      </c>
      <c r="C8469" s="2" t="s">
        <v>26</v>
      </c>
      <c r="D8469" s="2" t="s">
        <v>27</v>
      </c>
      <c r="E8469" s="5">
        <v>-28541</v>
      </c>
      <c r="F8469" s="3" t="s">
        <v>275</v>
      </c>
      <c r="G8469" s="3" t="s">
        <v>52</v>
      </c>
      <c r="H8469" s="2" t="s">
        <v>21</v>
      </c>
      <c r="I8469" s="2" t="s">
        <v>16353</v>
      </c>
      <c r="J8469" s="3" t="str">
        <f>HYPERLINK("https://www.boe.es/gazeta/dias/1821/11/08/pdfs/GMD-1821-319.pdf#page=2","Abrir facsímil")</f>
        <v>Abrir facsímil</v>
      </c>
      <c r="K8469" s="3" t="s">
        <v>23</v>
      </c>
    </row>
    <row r="8470" spans="1:11" ht="42" customHeight="1">
      <c r="A8470" s="2" t="s">
        <v>16354</v>
      </c>
      <c r="B8470" s="2" t="s">
        <v>16355</v>
      </c>
      <c r="C8470" s="2" t="s">
        <v>17</v>
      </c>
      <c r="D8470" s="2" t="s">
        <v>18</v>
      </c>
      <c r="E8470" s="5">
        <v>-28518</v>
      </c>
      <c r="F8470" s="3" t="s">
        <v>410</v>
      </c>
      <c r="G8470" s="3" t="s">
        <v>162</v>
      </c>
      <c r="H8470" s="2" t="s">
        <v>21</v>
      </c>
      <c r="I8470" s="2" t="s">
        <v>16356</v>
      </c>
      <c r="J8470" s="3" t="str">
        <f>HYPERLINK("https://www.boe.es/gazeta/dias/1821/12/01/pdfs/GMD-1821-343.pdf#page=5","Abrir facsímil")</f>
        <v>Abrir facsímil</v>
      </c>
      <c r="K8470" s="3" t="s">
        <v>23</v>
      </c>
    </row>
    <row r="8471" spans="1:11" ht="42" customHeight="1">
      <c r="A8471" s="2" t="s">
        <v>16357</v>
      </c>
      <c r="B8471" s="2" t="s">
        <v>16358</v>
      </c>
      <c r="C8471" s="2" t="s">
        <v>40</v>
      </c>
      <c r="D8471" s="2" t="s">
        <v>41</v>
      </c>
      <c r="E8471" s="5">
        <v>-28839</v>
      </c>
      <c r="F8471" s="3" t="s">
        <v>1686</v>
      </c>
      <c r="G8471" s="3" t="s">
        <v>20</v>
      </c>
      <c r="H8471" s="2" t="s">
        <v>21</v>
      </c>
      <c r="I8471" s="2" t="s">
        <v>16359</v>
      </c>
      <c r="J8471" s="3" t="str">
        <f>HYPERLINK("https://www.boe.es/gazeta/dias/1821/01/14/pdfs/GGB-1821-14.pdf#page=3","Abrir facsímil")</f>
        <v>Abrir facsímil</v>
      </c>
      <c r="K8471" s="3" t="s">
        <v>23</v>
      </c>
    </row>
    <row r="8472" spans="1:11" ht="42" customHeight="1">
      <c r="A8472" s="2" t="s">
        <v>16360</v>
      </c>
      <c r="B8472" s="2" t="s">
        <v>16361</v>
      </c>
      <c r="C8472" s="2" t="s">
        <v>40</v>
      </c>
      <c r="D8472" s="2" t="s">
        <v>41</v>
      </c>
      <c r="E8472" s="5">
        <v>-28746</v>
      </c>
      <c r="F8472" s="3" t="s">
        <v>687</v>
      </c>
      <c r="G8472" s="3" t="s">
        <v>333</v>
      </c>
      <c r="H8472" s="2" t="s">
        <v>21</v>
      </c>
      <c r="I8472" s="2" t="s">
        <v>16362</v>
      </c>
      <c r="J8472" s="3" t="str">
        <f>HYPERLINK("https://www.boe.es/gazeta/dias/1821/04/17/pdfs/GMD-1821-109.pdf#page=8","Abrir facsímil")</f>
        <v>Abrir facsímil</v>
      </c>
      <c r="K8472" s="3" t="s">
        <v>23</v>
      </c>
    </row>
    <row r="8473" spans="1:11" ht="42" customHeight="1">
      <c r="A8473" s="2" t="s">
        <v>16363</v>
      </c>
      <c r="B8473" s="2" t="s">
        <v>16364</v>
      </c>
      <c r="C8473" s="2" t="s">
        <v>174</v>
      </c>
      <c r="D8473" s="2" t="s">
        <v>27</v>
      </c>
      <c r="E8473" s="5">
        <v>-28616</v>
      </c>
      <c r="F8473" s="3" t="s">
        <v>1912</v>
      </c>
      <c r="G8473" s="3" t="s">
        <v>6462</v>
      </c>
      <c r="H8473" s="2" t="s">
        <v>21</v>
      </c>
      <c r="I8473" s="2" t="s">
        <v>16365</v>
      </c>
      <c r="J8473" s="3" t="str">
        <f>HYPERLINK("https://www.boe.es/gazeta/dias/1821/08/25/pdfs/GMD-1821-242.pdf#page=4","Abrir facsímil")</f>
        <v>Abrir facsímil</v>
      </c>
      <c r="K8473" s="3" t="s">
        <v>23</v>
      </c>
    </row>
    <row r="8474" spans="1:11" ht="42" customHeight="1">
      <c r="A8474" s="2" t="s">
        <v>16366</v>
      </c>
      <c r="B8474" s="2" t="s">
        <v>16367</v>
      </c>
      <c r="C8474" s="2" t="s">
        <v>40</v>
      </c>
      <c r="D8474" s="2" t="s">
        <v>41</v>
      </c>
      <c r="E8474" s="5">
        <v>-28745</v>
      </c>
      <c r="F8474" s="3" t="s">
        <v>1020</v>
      </c>
      <c r="G8474" s="3" t="s">
        <v>52</v>
      </c>
      <c r="H8474" s="2" t="s">
        <v>21</v>
      </c>
      <c r="I8474" s="2" t="s">
        <v>16368</v>
      </c>
      <c r="J8474" s="3" t="str">
        <f>HYPERLINK("https://www.boe.es/gazeta/dias/1821/04/18/pdfs/GMD-1821-110.pdf#page=2","Abrir facsímil")</f>
        <v>Abrir facsímil</v>
      </c>
      <c r="K8474" s="3" t="s">
        <v>23</v>
      </c>
    </row>
    <row r="8475" spans="1:11" ht="42" customHeight="1">
      <c r="A8475" s="2" t="s">
        <v>16369</v>
      </c>
      <c r="B8475" s="2" t="s">
        <v>16370</v>
      </c>
      <c r="C8475" s="2" t="s">
        <v>40</v>
      </c>
      <c r="D8475" s="2" t="s">
        <v>41</v>
      </c>
      <c r="E8475" s="5">
        <v>-28729</v>
      </c>
      <c r="F8475" s="3" t="s">
        <v>838</v>
      </c>
      <c r="G8475" s="3" t="s">
        <v>52</v>
      </c>
      <c r="H8475" s="2" t="s">
        <v>21</v>
      </c>
      <c r="I8475" s="2" t="s">
        <v>16371</v>
      </c>
      <c r="J8475" s="3" t="str">
        <f>HYPERLINK("https://www.boe.es/gazeta/dias/1821/05/04/pdfs/GMD-1821-126.pdf#page=2","Abrir facsímil")</f>
        <v>Abrir facsímil</v>
      </c>
      <c r="K8475" s="3" t="s">
        <v>23</v>
      </c>
    </row>
    <row r="8476" spans="1:11" ht="42" customHeight="1">
      <c r="A8476" s="2" t="s">
        <v>16369</v>
      </c>
      <c r="B8476" s="2" t="s">
        <v>16370</v>
      </c>
      <c r="C8476" s="2" t="s">
        <v>26</v>
      </c>
      <c r="D8476" s="2" t="s">
        <v>27</v>
      </c>
      <c r="E8476" s="5">
        <v>-28718</v>
      </c>
      <c r="F8476" s="3" t="s">
        <v>583</v>
      </c>
      <c r="G8476" s="3" t="s">
        <v>88</v>
      </c>
      <c r="H8476" s="2" t="s">
        <v>21</v>
      </c>
      <c r="I8476" s="2" t="s">
        <v>16372</v>
      </c>
      <c r="J8476" s="3" t="str">
        <f>HYPERLINK("https://www.boe.es/gazeta/dias/1821/05/15/pdfs/GMD-1821-137.pdf#page=4","Abrir facsímil")</f>
        <v>Abrir facsímil</v>
      </c>
      <c r="K8476" s="3" t="s">
        <v>23</v>
      </c>
    </row>
    <row r="8477" spans="1:11" ht="42" customHeight="1">
      <c r="A8477" s="2" t="s">
        <v>16373</v>
      </c>
      <c r="B8477" s="2" t="s">
        <v>16374</v>
      </c>
      <c r="C8477" s="2" t="s">
        <v>17</v>
      </c>
      <c r="D8477" s="2" t="s">
        <v>18</v>
      </c>
      <c r="E8477" s="5">
        <v>-28602</v>
      </c>
      <c r="F8477" s="3" t="s">
        <v>1526</v>
      </c>
      <c r="G8477" s="3" t="s">
        <v>20</v>
      </c>
      <c r="H8477" s="2" t="s">
        <v>21</v>
      </c>
      <c r="I8477" s="2" t="s">
        <v>16375</v>
      </c>
      <c r="J8477" s="3" t="str">
        <f>HYPERLINK("https://www.boe.es/gazeta/dias/1821/09/08/pdfs/GMD-1821-256.pdf#page=3","Abrir facsímil")</f>
        <v>Abrir facsímil</v>
      </c>
      <c r="K8477" s="3" t="s">
        <v>23</v>
      </c>
    </row>
    <row r="8478" spans="1:11" ht="42" customHeight="1">
      <c r="A8478" s="2" t="s">
        <v>16376</v>
      </c>
      <c r="B8478" s="2" t="s">
        <v>16377</v>
      </c>
      <c r="C8478" s="2" t="s">
        <v>26</v>
      </c>
      <c r="D8478" s="2" t="s">
        <v>27</v>
      </c>
      <c r="E8478" s="5">
        <v>-28566</v>
      </c>
      <c r="F8478" s="3" t="s">
        <v>1529</v>
      </c>
      <c r="G8478" s="3" t="s">
        <v>43</v>
      </c>
      <c r="H8478" s="2" t="s">
        <v>21</v>
      </c>
      <c r="I8478" s="2" t="s">
        <v>16378</v>
      </c>
      <c r="J8478" s="3" t="str">
        <f>HYPERLINK("https://www.boe.es/gazeta/dias/1821/10/14/pdfs/GMD-1821-293.pdf#page=1","Abrir facsímil")</f>
        <v>Abrir facsímil</v>
      </c>
      <c r="K8478" s="3" t="s">
        <v>23</v>
      </c>
    </row>
    <row r="8479" spans="1:11" ht="42" customHeight="1">
      <c r="A8479" s="2" t="s">
        <v>16379</v>
      </c>
      <c r="B8479" s="2" t="s">
        <v>16380</v>
      </c>
      <c r="C8479" s="2" t="s">
        <v>17</v>
      </c>
      <c r="D8479" s="2" t="s">
        <v>18</v>
      </c>
      <c r="E8479" s="5">
        <v>-28610</v>
      </c>
      <c r="F8479" s="3" t="s">
        <v>190</v>
      </c>
      <c r="G8479" s="3" t="s">
        <v>88</v>
      </c>
      <c r="H8479" s="2" t="s">
        <v>21</v>
      </c>
      <c r="I8479" s="2" t="s">
        <v>16381</v>
      </c>
      <c r="J8479" s="3" t="str">
        <f>HYPERLINK("https://www.boe.es/gazeta/dias/1821/08/31/pdfs/GMD-1821-248.pdf#page=4","Abrir facsímil")</f>
        <v>Abrir facsímil</v>
      </c>
      <c r="K8479" s="3" t="s">
        <v>23</v>
      </c>
    </row>
    <row r="8480" spans="1:11" ht="42" customHeight="1">
      <c r="A8480" s="2" t="s">
        <v>16382</v>
      </c>
      <c r="B8480" s="2" t="s">
        <v>16383</v>
      </c>
      <c r="C8480" s="2" t="s">
        <v>114</v>
      </c>
      <c r="D8480" s="2" t="s">
        <v>27</v>
      </c>
      <c r="E8480" s="5">
        <v>-28836</v>
      </c>
      <c r="F8480" s="3" t="s">
        <v>601</v>
      </c>
      <c r="G8480" s="3" t="s">
        <v>20</v>
      </c>
      <c r="H8480" s="2" t="s">
        <v>21</v>
      </c>
      <c r="I8480" s="2" t="s">
        <v>16384</v>
      </c>
      <c r="J8480" s="3" t="str">
        <f>HYPERLINK("https://www.boe.es/gazeta/dias/1821/01/17/pdfs/GGB-1821-17.pdf#page=3","Abrir facsímil")</f>
        <v>Abrir facsímil</v>
      </c>
      <c r="K8480" s="3" t="s">
        <v>23</v>
      </c>
    </row>
    <row r="8481" spans="1:11" ht="42" customHeight="1">
      <c r="A8481" s="2" t="s">
        <v>16385</v>
      </c>
      <c r="B8481" s="2" t="s">
        <v>16386</v>
      </c>
      <c r="C8481" s="2" t="s">
        <v>40</v>
      </c>
      <c r="D8481" s="2" t="s">
        <v>41</v>
      </c>
      <c r="E8481" s="5">
        <v>-28665</v>
      </c>
      <c r="F8481" s="3" t="s">
        <v>789</v>
      </c>
      <c r="G8481" s="3" t="s">
        <v>790</v>
      </c>
      <c r="H8481" s="2" t="s">
        <v>21</v>
      </c>
      <c r="I8481" s="2" t="s">
        <v>16387</v>
      </c>
      <c r="J8481" s="3" t="str">
        <f>HYPERLINK("https://www.boe.es/gazeta/dias/1821/07/07/pdfs/GMD-1821-191.pdf#page=4","Abrir facsímil")</f>
        <v>Abrir facsímil</v>
      </c>
      <c r="K8481" s="3" t="s">
        <v>23</v>
      </c>
    </row>
    <row r="8482" spans="1:11" ht="42" customHeight="1">
      <c r="A8482" s="2" t="s">
        <v>16388</v>
      </c>
      <c r="B8482" s="2" t="s">
        <v>16389</v>
      </c>
      <c r="C8482" s="2" t="s">
        <v>114</v>
      </c>
      <c r="D8482" s="2" t="s">
        <v>27</v>
      </c>
      <c r="E8482" s="5">
        <v>-28523</v>
      </c>
      <c r="F8482" s="3" t="s">
        <v>257</v>
      </c>
      <c r="G8482" s="3" t="s">
        <v>88</v>
      </c>
      <c r="H8482" s="2" t="s">
        <v>21</v>
      </c>
      <c r="I8482" s="2" t="s">
        <v>16390</v>
      </c>
      <c r="J8482" s="3" t="str">
        <f>HYPERLINK("https://www.boe.es/gazeta/dias/1821/11/26/pdfs/GMD-1821-337.pdf#page=4","Abrir facsímil")</f>
        <v>Abrir facsímil</v>
      </c>
      <c r="K8482" s="3" t="s">
        <v>23</v>
      </c>
    </row>
    <row r="8483" spans="1:11" ht="42" customHeight="1">
      <c r="A8483" s="2" t="s">
        <v>16391</v>
      </c>
      <c r="B8483" s="2" t="s">
        <v>16392</v>
      </c>
      <c r="C8483" s="2" t="s">
        <v>26</v>
      </c>
      <c r="D8483" s="2" t="s">
        <v>27</v>
      </c>
      <c r="E8483" s="5">
        <v>-28755</v>
      </c>
      <c r="F8483" s="3" t="s">
        <v>906</v>
      </c>
      <c r="G8483" s="3" t="s">
        <v>907</v>
      </c>
      <c r="H8483" s="2" t="s">
        <v>21</v>
      </c>
      <c r="I8483" s="2" t="s">
        <v>16393</v>
      </c>
      <c r="J8483" s="3" t="str">
        <f>HYPERLINK("https://www.boe.es/gazeta/dias/1821/04/08/pdfs/GMD-1821-100.pdf#page=4","Abrir facsímil")</f>
        <v>Abrir facsímil</v>
      </c>
      <c r="K8483" s="3" t="s">
        <v>23</v>
      </c>
    </row>
    <row r="8484" spans="1:11" ht="42" customHeight="1">
      <c r="A8484" s="2" t="s">
        <v>16394</v>
      </c>
      <c r="B8484" s="2" t="s">
        <v>16395</v>
      </c>
      <c r="C8484" s="2" t="s">
        <v>40</v>
      </c>
      <c r="D8484" s="2" t="s">
        <v>41</v>
      </c>
      <c r="E8484" s="5">
        <v>-28745</v>
      </c>
      <c r="F8484" s="3" t="s">
        <v>1020</v>
      </c>
      <c r="G8484" s="3" t="s">
        <v>88</v>
      </c>
      <c r="H8484" s="2" t="s">
        <v>21</v>
      </c>
      <c r="I8484" s="2" t="s">
        <v>16396</v>
      </c>
      <c r="J8484" s="3" t="str">
        <f>HYPERLINK("https://www.boe.es/gazeta/dias/1821/04/18/pdfs/GMD-1821-110.pdf#page=4","Abrir facsímil")</f>
        <v>Abrir facsímil</v>
      </c>
      <c r="K8484" s="3" t="s">
        <v>23</v>
      </c>
    </row>
    <row r="8485" spans="1:11" ht="42" customHeight="1">
      <c r="A8485" s="2" t="s">
        <v>16397</v>
      </c>
      <c r="B8485" s="2" t="s">
        <v>16398</v>
      </c>
      <c r="C8485" s="2" t="s">
        <v>174</v>
      </c>
      <c r="D8485" s="2" t="s">
        <v>27</v>
      </c>
      <c r="E8485" s="5">
        <v>-28647</v>
      </c>
      <c r="F8485" s="3" t="s">
        <v>1295</v>
      </c>
      <c r="G8485" s="3" t="s">
        <v>88</v>
      </c>
      <c r="H8485" s="2" t="s">
        <v>21</v>
      </c>
      <c r="I8485" s="2" t="s">
        <v>16399</v>
      </c>
      <c r="J8485" s="3" t="str">
        <f>HYPERLINK("https://www.boe.es/gazeta/dias/1821/07/25/pdfs/GMD-1821-210.pdf#page=4","Abrir facsímil")</f>
        <v>Abrir facsímil</v>
      </c>
      <c r="K8485" s="3" t="s">
        <v>23</v>
      </c>
    </row>
    <row r="8486" spans="1:11" ht="42" customHeight="1">
      <c r="A8486" s="2" t="s">
        <v>16400</v>
      </c>
      <c r="B8486" s="2" t="s">
        <v>16400</v>
      </c>
      <c r="C8486" s="2" t="s">
        <v>174</v>
      </c>
      <c r="D8486" s="2" t="s">
        <v>27</v>
      </c>
      <c r="E8486" s="5">
        <v>-28647</v>
      </c>
      <c r="F8486" s="3" t="s">
        <v>1295</v>
      </c>
      <c r="G8486" s="3" t="s">
        <v>4339</v>
      </c>
      <c r="H8486" s="2" t="s">
        <v>21</v>
      </c>
      <c r="I8486" s="2" t="s">
        <v>16401</v>
      </c>
      <c r="J8486" s="3" t="str">
        <f>HYPERLINK("https://www.boe.es/gazeta/dias/1821/07/25/pdfs/GMD-1821-210.pdf#page=2","Abrir facsímil")</f>
        <v>Abrir facsímil</v>
      </c>
      <c r="K8486" s="3" t="s">
        <v>23</v>
      </c>
    </row>
    <row r="8487" spans="1:11" ht="42" customHeight="1">
      <c r="A8487" s="2" t="s">
        <v>16402</v>
      </c>
      <c r="B8487" s="2" t="s">
        <v>16403</v>
      </c>
      <c r="C8487" s="2" t="s">
        <v>40</v>
      </c>
      <c r="D8487" s="2" t="s">
        <v>41</v>
      </c>
      <c r="E8487" s="5">
        <v>-28531</v>
      </c>
      <c r="F8487" s="3" t="s">
        <v>365</v>
      </c>
      <c r="G8487" s="3" t="s">
        <v>20</v>
      </c>
      <c r="H8487" s="2" t="s">
        <v>21</v>
      </c>
      <c r="I8487" s="2" t="s">
        <v>16404</v>
      </c>
      <c r="J8487" s="3" t="str">
        <f>HYPERLINK("https://www.boe.es/gazeta/dias/1821/11/18/pdfs/GMD-1821-329.pdf#page=3","Abrir facsímil")</f>
        <v>Abrir facsímil</v>
      </c>
      <c r="K8487" s="3" t="s">
        <v>23</v>
      </c>
    </row>
    <row r="8488" spans="1:11" ht="42" customHeight="1">
      <c r="A8488" s="2" t="s">
        <v>16405</v>
      </c>
      <c r="B8488" s="2" t="s">
        <v>16405</v>
      </c>
      <c r="C8488" s="2" t="s">
        <v>17</v>
      </c>
      <c r="D8488" s="2" t="s">
        <v>18</v>
      </c>
      <c r="E8488" s="5">
        <v>-28746</v>
      </c>
      <c r="F8488" s="3" t="s">
        <v>687</v>
      </c>
      <c r="G8488" s="3" t="s">
        <v>20</v>
      </c>
      <c r="H8488" s="2" t="s">
        <v>21</v>
      </c>
      <c r="I8488" s="2" t="s">
        <v>16406</v>
      </c>
      <c r="J8488" s="3" t="str">
        <f>HYPERLINK("https://www.boe.es/gazeta/dias/1821/04/17/pdfs/GMD-1821-109.pdf#page=3","Abrir facsímil")</f>
        <v>Abrir facsímil</v>
      </c>
      <c r="K8488" s="3" t="s">
        <v>23</v>
      </c>
    </row>
    <row r="8489" spans="1:11" ht="42" customHeight="1">
      <c r="A8489" s="2" t="s">
        <v>16405</v>
      </c>
      <c r="B8489" s="2" t="s">
        <v>16405</v>
      </c>
      <c r="C8489" s="2" t="s">
        <v>17</v>
      </c>
      <c r="D8489" s="2" t="s">
        <v>18</v>
      </c>
      <c r="E8489" s="5">
        <v>-28665</v>
      </c>
      <c r="F8489" s="3" t="s">
        <v>789</v>
      </c>
      <c r="G8489" s="3" t="s">
        <v>20</v>
      </c>
      <c r="H8489" s="2" t="s">
        <v>21</v>
      </c>
      <c r="I8489" s="2" t="s">
        <v>16407</v>
      </c>
      <c r="J8489" s="3" t="str">
        <f>HYPERLINK("https://www.boe.es/gazeta/dias/1821/07/07/pdfs/GMD-1821-191.pdf#page=3","Abrir facsímil")</f>
        <v>Abrir facsímil</v>
      </c>
      <c r="K8489" s="3" t="s">
        <v>23</v>
      </c>
    </row>
    <row r="8490" spans="1:11" ht="42" customHeight="1">
      <c r="A8490" s="2" t="s">
        <v>16408</v>
      </c>
      <c r="B8490" s="2" t="s">
        <v>16409</v>
      </c>
      <c r="C8490" s="2" t="s">
        <v>114</v>
      </c>
      <c r="D8490" s="2" t="s">
        <v>27</v>
      </c>
      <c r="E8490" s="5">
        <v>-28793</v>
      </c>
      <c r="F8490" s="3" t="s">
        <v>157</v>
      </c>
      <c r="G8490" s="3" t="s">
        <v>29</v>
      </c>
      <c r="H8490" s="2" t="s">
        <v>21</v>
      </c>
      <c r="I8490" s="2" t="s">
        <v>16410</v>
      </c>
      <c r="J8490" s="3" t="str">
        <f>HYPERLINK("https://www.boe.es/gazeta/dias/1821/03/01/pdfs/GGB-1821-60.pdf#page=6","Abrir facsímil")</f>
        <v>Abrir facsímil</v>
      </c>
      <c r="K8490" s="3" t="s">
        <v>23</v>
      </c>
    </row>
    <row r="8491" spans="1:11" ht="42" customHeight="1">
      <c r="A8491" s="2" t="s">
        <v>16411</v>
      </c>
      <c r="B8491" s="2" t="s">
        <v>16412</v>
      </c>
      <c r="C8491" s="2" t="s">
        <v>114</v>
      </c>
      <c r="D8491" s="2" t="s">
        <v>27</v>
      </c>
      <c r="E8491" s="5">
        <v>-28644</v>
      </c>
      <c r="F8491" s="3" t="s">
        <v>1340</v>
      </c>
      <c r="G8491" s="3" t="s">
        <v>88</v>
      </c>
      <c r="H8491" s="2" t="s">
        <v>21</v>
      </c>
      <c r="I8491" s="2" t="s">
        <v>16413</v>
      </c>
      <c r="J8491" s="3" t="str">
        <f>HYPERLINK("https://www.boe.es/gazeta/dias/1821/07/28/pdfs/GMD-1821-213.pdf#page=4","Abrir facsímil")</f>
        <v>Abrir facsímil</v>
      </c>
      <c r="K8491" s="3" t="s">
        <v>23</v>
      </c>
    </row>
    <row r="8492" spans="1:11" ht="42" customHeight="1">
      <c r="A8492" s="2" t="s">
        <v>16414</v>
      </c>
      <c r="B8492" s="2" t="s">
        <v>16414</v>
      </c>
      <c r="C8492" s="2" t="s">
        <v>40</v>
      </c>
      <c r="D8492" s="2" t="s">
        <v>41</v>
      </c>
      <c r="E8492" s="5">
        <v>-28726</v>
      </c>
      <c r="F8492" s="3" t="s">
        <v>347</v>
      </c>
      <c r="G8492" s="3" t="s">
        <v>52</v>
      </c>
      <c r="H8492" s="2" t="s">
        <v>21</v>
      </c>
      <c r="I8492" s="2" t="s">
        <v>16415</v>
      </c>
      <c r="J8492" s="3" t="str">
        <f>HYPERLINK("https://www.boe.es/gazeta/dias/1821/05/07/pdfs/GMD-1821-129.pdf#page=2","Abrir facsímil")</f>
        <v>Abrir facsímil</v>
      </c>
      <c r="K8492" s="3" t="s">
        <v>23</v>
      </c>
    </row>
    <row r="8493" spans="1:11" ht="42" customHeight="1">
      <c r="A8493" s="2" t="s">
        <v>16416</v>
      </c>
      <c r="B8493" s="2" t="s">
        <v>16416</v>
      </c>
      <c r="C8493" s="2" t="s">
        <v>40</v>
      </c>
      <c r="D8493" s="2" t="s">
        <v>41</v>
      </c>
      <c r="E8493" s="5">
        <v>-28742</v>
      </c>
      <c r="F8493" s="3" t="s">
        <v>324</v>
      </c>
      <c r="G8493" s="3" t="s">
        <v>43</v>
      </c>
      <c r="H8493" s="2" t="s">
        <v>21</v>
      </c>
      <c r="I8493" s="2" t="s">
        <v>16417</v>
      </c>
      <c r="J8493" s="3" t="str">
        <f>HYPERLINK("https://www.boe.es/gazeta/dias/1821/04/21/pdfs/GMD-1821-113.pdf#page=1","Abrir facsímil")</f>
        <v>Abrir facsímil</v>
      </c>
      <c r="K8493" s="3" t="s">
        <v>23</v>
      </c>
    </row>
    <row r="8494" spans="1:11" ht="42" customHeight="1">
      <c r="A8494" s="2" t="s">
        <v>16416</v>
      </c>
      <c r="B8494" s="2" t="s">
        <v>16416</v>
      </c>
      <c r="C8494" s="2" t="s">
        <v>40</v>
      </c>
      <c r="D8494" s="2" t="s">
        <v>41</v>
      </c>
      <c r="E8494" s="5">
        <v>-28709</v>
      </c>
      <c r="F8494" s="3" t="s">
        <v>1434</v>
      </c>
      <c r="G8494" s="3" t="s">
        <v>43</v>
      </c>
      <c r="H8494" s="2" t="s">
        <v>21</v>
      </c>
      <c r="I8494" s="2" t="s">
        <v>16418</v>
      </c>
      <c r="J8494" s="3" t="str">
        <f>HYPERLINK("https://www.boe.es/gazeta/dias/1821/05/24/pdfs/GMD-1821-146.pdf#page=1","Abrir facsímil")</f>
        <v>Abrir facsímil</v>
      </c>
      <c r="K8494" s="3" t="s">
        <v>23</v>
      </c>
    </row>
    <row r="8495" spans="1:11" ht="42" customHeight="1">
      <c r="A8495" s="2" t="s">
        <v>16419</v>
      </c>
      <c r="B8495" s="2" t="s">
        <v>16420</v>
      </c>
      <c r="C8495" s="2" t="s">
        <v>26</v>
      </c>
      <c r="D8495" s="2" t="s">
        <v>27</v>
      </c>
      <c r="E8495" s="5">
        <v>-28623</v>
      </c>
      <c r="F8495" s="3" t="s">
        <v>2767</v>
      </c>
      <c r="G8495" s="3" t="s">
        <v>20</v>
      </c>
      <c r="H8495" s="2" t="s">
        <v>21</v>
      </c>
      <c r="I8495" s="2" t="s">
        <v>16421</v>
      </c>
      <c r="J8495" s="3" t="str">
        <f>HYPERLINK("https://www.boe.es/gazeta/dias/1821/08/18/pdfs/GMD-1821-235.pdf#page=3","Abrir facsímil")</f>
        <v>Abrir facsímil</v>
      </c>
      <c r="K8495" s="3" t="s">
        <v>23</v>
      </c>
    </row>
    <row r="8496" spans="1:11" ht="42" customHeight="1">
      <c r="A8496" s="2" t="s">
        <v>16422</v>
      </c>
      <c r="B8496" s="2" t="s">
        <v>16422</v>
      </c>
      <c r="C8496" s="2" t="s">
        <v>26</v>
      </c>
      <c r="D8496" s="2" t="s">
        <v>27</v>
      </c>
      <c r="E8496" s="5">
        <v>-28617</v>
      </c>
      <c r="F8496" s="3" t="s">
        <v>436</v>
      </c>
      <c r="G8496" s="3" t="s">
        <v>88</v>
      </c>
      <c r="H8496" s="2" t="s">
        <v>21</v>
      </c>
      <c r="I8496" s="2" t="s">
        <v>16423</v>
      </c>
      <c r="J8496" s="3" t="str">
        <f>HYPERLINK("https://www.boe.es/gazeta/dias/1821/08/24/pdfs/GMD-1821-241.pdf#page=4","Abrir facsímil")</f>
        <v>Abrir facsímil</v>
      </c>
      <c r="K8496" s="3" t="s">
        <v>23</v>
      </c>
    </row>
    <row r="8497" spans="1:11" ht="42" customHeight="1">
      <c r="A8497" s="2" t="s">
        <v>16424</v>
      </c>
      <c r="B8497" s="2" t="s">
        <v>16424</v>
      </c>
      <c r="C8497" s="2" t="s">
        <v>40</v>
      </c>
      <c r="D8497" s="2" t="s">
        <v>41</v>
      </c>
      <c r="E8497" s="5">
        <v>-28760</v>
      </c>
      <c r="F8497" s="3" t="s">
        <v>170</v>
      </c>
      <c r="G8497" s="3" t="s">
        <v>20</v>
      </c>
      <c r="H8497" s="2" t="s">
        <v>21</v>
      </c>
      <c r="I8497" s="2" t="s">
        <v>16425</v>
      </c>
      <c r="J8497" s="3" t="str">
        <f>HYPERLINK("https://www.boe.es/gazeta/dias/1821/04/03/pdfs/GMD-1821-95.pdf#page=3","Abrir facsímil")</f>
        <v>Abrir facsímil</v>
      </c>
      <c r="K8497" s="3" t="s">
        <v>23</v>
      </c>
    </row>
    <row r="8498" spans="1:11" ht="42" customHeight="1">
      <c r="A8498" s="2" t="s">
        <v>16426</v>
      </c>
      <c r="B8498" s="2" t="s">
        <v>16426</v>
      </c>
      <c r="C8498" s="2" t="s">
        <v>70</v>
      </c>
      <c r="D8498" s="2" t="s">
        <v>27</v>
      </c>
      <c r="E8498" s="5">
        <v>-28774</v>
      </c>
      <c r="F8498" s="3" t="s">
        <v>1221</v>
      </c>
      <c r="G8498" s="3" t="s">
        <v>52</v>
      </c>
      <c r="H8498" s="2" t="s">
        <v>21</v>
      </c>
      <c r="I8498" s="2" t="s">
        <v>16427</v>
      </c>
      <c r="J8498" s="3" t="str">
        <f>HYPERLINK("https://www.boe.es/gazeta/dias/1821/03/20/pdfs/GMD-1821-79.pdf#page=2","Abrir facsímil")</f>
        <v>Abrir facsímil</v>
      </c>
      <c r="K8498" s="3" t="s">
        <v>23</v>
      </c>
    </row>
    <row r="8499" spans="1:11" ht="42" customHeight="1">
      <c r="A8499" s="2" t="s">
        <v>16426</v>
      </c>
      <c r="B8499" s="2" t="s">
        <v>16426</v>
      </c>
      <c r="C8499" s="2" t="s">
        <v>40</v>
      </c>
      <c r="D8499" s="2" t="s">
        <v>41</v>
      </c>
      <c r="E8499" s="5">
        <v>-28767</v>
      </c>
      <c r="F8499" s="3" t="s">
        <v>1439</v>
      </c>
      <c r="G8499" s="3" t="s">
        <v>43</v>
      </c>
      <c r="H8499" s="2" t="s">
        <v>21</v>
      </c>
      <c r="I8499" s="2" t="s">
        <v>16428</v>
      </c>
      <c r="J8499" s="3" t="str">
        <f>HYPERLINK("https://www.boe.es/gazeta/dias/1821/03/27/pdfs/GMD-1821-87.pdf#page=1","Abrir facsímil")</f>
        <v>Abrir facsímil</v>
      </c>
      <c r="K8499" s="3" t="s">
        <v>23</v>
      </c>
    </row>
    <row r="8500" spans="1:11" ht="42" customHeight="1">
      <c r="A8500" s="2" t="s">
        <v>16429</v>
      </c>
      <c r="B8500" s="2" t="s">
        <v>16430</v>
      </c>
      <c r="C8500" s="2" t="s">
        <v>40</v>
      </c>
      <c r="D8500" s="2" t="s">
        <v>41</v>
      </c>
      <c r="E8500" s="5">
        <v>-28625</v>
      </c>
      <c r="F8500" s="3" t="s">
        <v>738</v>
      </c>
      <c r="G8500" s="3" t="s">
        <v>88</v>
      </c>
      <c r="H8500" s="2" t="s">
        <v>21</v>
      </c>
      <c r="I8500" s="2" t="s">
        <v>16431</v>
      </c>
      <c r="J8500" s="3" t="str">
        <f>HYPERLINK("https://www.boe.es/gazeta/dias/1821/08/16/pdfs/GMD-1821-233.pdf#page=4","Abrir facsímil")</f>
        <v>Abrir facsímil</v>
      </c>
      <c r="K8500" s="3" t="s">
        <v>23</v>
      </c>
    </row>
    <row r="8501" spans="1:11" ht="42" customHeight="1">
      <c r="A8501" s="2" t="s">
        <v>16432</v>
      </c>
      <c r="B8501" s="2" t="s">
        <v>16433</v>
      </c>
      <c r="C8501" s="2" t="s">
        <v>70</v>
      </c>
      <c r="D8501" s="2" t="s">
        <v>27</v>
      </c>
      <c r="E8501" s="5">
        <v>-28531</v>
      </c>
      <c r="F8501" s="3" t="s">
        <v>365</v>
      </c>
      <c r="G8501" s="3" t="s">
        <v>20</v>
      </c>
      <c r="H8501" s="2" t="s">
        <v>30</v>
      </c>
      <c r="I8501" s="2" t="s">
        <v>16434</v>
      </c>
      <c r="J8501" s="3" t="str">
        <f>HYPERLINK("https://www.boe.es/gazeta/dias/1821/11/18/pdfs/GMD-1821-329.pdf#page=3","Abrir facsímil")</f>
        <v>Abrir facsímil</v>
      </c>
      <c r="K8501" s="3" t="s">
        <v>32</v>
      </c>
    </row>
    <row r="8502" spans="1:11" ht="42" customHeight="1">
      <c r="A8502" s="2" t="s">
        <v>16435</v>
      </c>
      <c r="B8502" s="2" t="s">
        <v>16436</v>
      </c>
      <c r="C8502" s="2" t="s">
        <v>17</v>
      </c>
      <c r="D8502" s="2" t="s">
        <v>18</v>
      </c>
      <c r="E8502" s="5">
        <v>-28633</v>
      </c>
      <c r="F8502" s="3" t="s">
        <v>2601</v>
      </c>
      <c r="G8502" s="3" t="s">
        <v>88</v>
      </c>
      <c r="H8502" s="2" t="s">
        <v>21</v>
      </c>
      <c r="I8502" s="2" t="s">
        <v>16437</v>
      </c>
      <c r="J8502" s="3" t="str">
        <f>HYPERLINK("https://www.boe.es/gazeta/dias/1821/08/08/pdfs/GMD-1821-224.pdf#page=4","Abrir facsímil")</f>
        <v>Abrir facsímil</v>
      </c>
      <c r="K8502" s="3" t="s">
        <v>23</v>
      </c>
    </row>
    <row r="8503" spans="1:11" ht="42" customHeight="1">
      <c r="A8503" s="2" t="s">
        <v>16438</v>
      </c>
      <c r="B8503" s="2" t="s">
        <v>16438</v>
      </c>
      <c r="C8503" s="2" t="s">
        <v>17</v>
      </c>
      <c r="D8503" s="2" t="s">
        <v>18</v>
      </c>
      <c r="E8503" s="5">
        <v>-28850</v>
      </c>
      <c r="F8503" s="3" t="s">
        <v>664</v>
      </c>
      <c r="G8503" s="3" t="s">
        <v>43</v>
      </c>
      <c r="H8503" s="2" t="s">
        <v>21</v>
      </c>
      <c r="I8503" s="2" t="s">
        <v>16439</v>
      </c>
      <c r="J8503" s="3" t="str">
        <f>HYPERLINK("https://www.boe.es/gazeta/dias/1821/01/03/pdfs/GGB-1821-3.pdf#page=1","Abrir facsímil")</f>
        <v>Abrir facsímil</v>
      </c>
      <c r="K8503" s="3" t="s">
        <v>23</v>
      </c>
    </row>
    <row r="8504" spans="1:11" ht="42" customHeight="1">
      <c r="A8504" s="2" t="s">
        <v>16440</v>
      </c>
      <c r="B8504" s="2" t="s">
        <v>16441</v>
      </c>
      <c r="C8504" s="2" t="s">
        <v>26</v>
      </c>
      <c r="D8504" s="2" t="s">
        <v>27</v>
      </c>
      <c r="E8504" s="5">
        <v>-28759</v>
      </c>
      <c r="F8504" s="3" t="s">
        <v>71</v>
      </c>
      <c r="G8504" s="3" t="s">
        <v>43</v>
      </c>
      <c r="H8504" s="2" t="s">
        <v>21</v>
      </c>
      <c r="I8504" s="2" t="s">
        <v>16442</v>
      </c>
      <c r="J8504" s="3" t="str">
        <f>HYPERLINK("https://www.boe.es/gazeta/dias/1821/04/04/pdfs/GMD-1821-96.pdf#page=1","Abrir facsímil")</f>
        <v>Abrir facsímil</v>
      </c>
      <c r="K8504" s="3" t="s">
        <v>23</v>
      </c>
    </row>
    <row r="8505" spans="1:11" ht="42" customHeight="1">
      <c r="A8505" s="2" t="s">
        <v>16443</v>
      </c>
      <c r="B8505" s="2" t="s">
        <v>16444</v>
      </c>
      <c r="C8505" s="2" t="s">
        <v>35</v>
      </c>
      <c r="D8505" s="2" t="s">
        <v>27</v>
      </c>
      <c r="E8505" s="5">
        <v>-28778</v>
      </c>
      <c r="F8505" s="3" t="s">
        <v>1301</v>
      </c>
      <c r="G8505" s="3" t="s">
        <v>162</v>
      </c>
      <c r="H8505" s="2" t="s">
        <v>30</v>
      </c>
      <c r="I8505" s="2" t="s">
        <v>16445</v>
      </c>
      <c r="J8505" s="3" t="str">
        <f>HYPERLINK("https://www.boe.es/gazeta/dias/1821/03/16/pdfs/GMD-1821-75.pdf#page=5","Abrir facsímil")</f>
        <v>Abrir facsímil</v>
      </c>
      <c r="K8505" s="3" t="s">
        <v>32</v>
      </c>
    </row>
    <row r="8506" spans="1:11" ht="42" customHeight="1">
      <c r="A8506" s="2" t="s">
        <v>16446</v>
      </c>
      <c r="B8506" s="2" t="s">
        <v>16447</v>
      </c>
      <c r="C8506" s="2" t="s">
        <v>17</v>
      </c>
      <c r="D8506" s="2" t="s">
        <v>18</v>
      </c>
      <c r="E8506" s="5">
        <v>-28586</v>
      </c>
      <c r="F8506" s="3" t="s">
        <v>587</v>
      </c>
      <c r="G8506" s="3" t="s">
        <v>88</v>
      </c>
      <c r="H8506" s="2" t="s">
        <v>21</v>
      </c>
      <c r="I8506" s="2" t="s">
        <v>16448</v>
      </c>
      <c r="J8506" s="3" t="str">
        <f>HYPERLINK("https://www.boe.es/gazeta/dias/1821/09/24/pdfs/GMD-1821-272.pdf#page=4","Abrir facsímil")</f>
        <v>Abrir facsímil</v>
      </c>
      <c r="K8506" s="3" t="s">
        <v>23</v>
      </c>
    </row>
    <row r="8507" spans="1:11" ht="42" customHeight="1">
      <c r="A8507" s="2" t="s">
        <v>16449</v>
      </c>
      <c r="B8507" s="2" t="s">
        <v>16450</v>
      </c>
      <c r="C8507" s="2" t="s">
        <v>26</v>
      </c>
      <c r="D8507" s="2" t="s">
        <v>27</v>
      </c>
      <c r="E8507" s="5">
        <v>-28636</v>
      </c>
      <c r="F8507" s="3" t="s">
        <v>122</v>
      </c>
      <c r="G8507" s="3" t="s">
        <v>20</v>
      </c>
      <c r="H8507" s="2" t="s">
        <v>21</v>
      </c>
      <c r="I8507" s="2" t="s">
        <v>16451</v>
      </c>
      <c r="J8507" s="3" t="str">
        <f>HYPERLINK("https://www.boe.es/gazeta/dias/1821/08/05/pdfs/GMD-1821-221.pdf#page=3","Abrir facsímil")</f>
        <v>Abrir facsímil</v>
      </c>
      <c r="K8507" s="3" t="s">
        <v>23</v>
      </c>
    </row>
    <row r="8508" spans="1:11" ht="42" customHeight="1">
      <c r="A8508" s="2" t="s">
        <v>16452</v>
      </c>
      <c r="B8508" s="2" t="s">
        <v>16453</v>
      </c>
      <c r="C8508" s="2" t="s">
        <v>17</v>
      </c>
      <c r="D8508" s="2" t="s">
        <v>18</v>
      </c>
      <c r="E8508" s="5">
        <v>-28617</v>
      </c>
      <c r="F8508" s="3" t="s">
        <v>436</v>
      </c>
      <c r="G8508" s="3" t="s">
        <v>20</v>
      </c>
      <c r="H8508" s="2" t="s">
        <v>21</v>
      </c>
      <c r="I8508" s="2" t="s">
        <v>16454</v>
      </c>
      <c r="J8508" s="3" t="str">
        <f>HYPERLINK("https://www.boe.es/gazeta/dias/1821/08/24/pdfs/GMD-1821-241.pdf#page=3","Abrir facsímil")</f>
        <v>Abrir facsímil</v>
      </c>
      <c r="K8508" s="3" t="s">
        <v>23</v>
      </c>
    </row>
    <row r="8509" spans="1:11" ht="42" customHeight="1">
      <c r="A8509" s="2" t="s">
        <v>16455</v>
      </c>
      <c r="B8509" s="2" t="s">
        <v>16456</v>
      </c>
      <c r="C8509" s="2" t="s">
        <v>40</v>
      </c>
      <c r="D8509" s="2" t="s">
        <v>41</v>
      </c>
      <c r="E8509" s="5">
        <v>-28755</v>
      </c>
      <c r="F8509" s="3" t="s">
        <v>906</v>
      </c>
      <c r="G8509" s="3" t="s">
        <v>52</v>
      </c>
      <c r="H8509" s="2" t="s">
        <v>21</v>
      </c>
      <c r="I8509" s="2" t="s">
        <v>16457</v>
      </c>
      <c r="J8509" s="3" t="str">
        <f>HYPERLINK("https://www.boe.es/gazeta/dias/1821/04/08/pdfs/GMD-1821-100.pdf#page=2","Abrir facsímil")</f>
        <v>Abrir facsímil</v>
      </c>
      <c r="K8509" s="3" t="s">
        <v>23</v>
      </c>
    </row>
    <row r="8510" spans="1:11" ht="42" customHeight="1">
      <c r="A8510" s="2" t="s">
        <v>16458</v>
      </c>
      <c r="B8510" s="2" t="s">
        <v>16459</v>
      </c>
      <c r="C8510" s="2" t="s">
        <v>26</v>
      </c>
      <c r="D8510" s="2" t="s">
        <v>27</v>
      </c>
      <c r="E8510" s="5">
        <v>-28631</v>
      </c>
      <c r="F8510" s="3" t="s">
        <v>751</v>
      </c>
      <c r="G8510" s="3" t="s">
        <v>20</v>
      </c>
      <c r="H8510" s="2" t="s">
        <v>21</v>
      </c>
      <c r="I8510" s="2" t="s">
        <v>16460</v>
      </c>
      <c r="J8510" s="3" t="str">
        <f>HYPERLINK("https://www.boe.es/gazeta/dias/1821/08/10/pdfs/GMD-1821-227.pdf#page=3","Abrir facsímil")</f>
        <v>Abrir facsímil</v>
      </c>
      <c r="K8510" s="3" t="s">
        <v>23</v>
      </c>
    </row>
    <row r="8511" spans="1:11" ht="42" customHeight="1">
      <c r="A8511" s="2" t="s">
        <v>16461</v>
      </c>
      <c r="B8511" s="2" t="s">
        <v>16461</v>
      </c>
      <c r="C8511" s="2" t="s">
        <v>17</v>
      </c>
      <c r="D8511" s="2" t="s">
        <v>18</v>
      </c>
      <c r="E8511" s="5">
        <v>-28827</v>
      </c>
      <c r="F8511" s="3" t="s">
        <v>1382</v>
      </c>
      <c r="G8511" s="3" t="s">
        <v>52</v>
      </c>
      <c r="H8511" s="2" t="s">
        <v>21</v>
      </c>
      <c r="I8511" s="2" t="s">
        <v>16462</v>
      </c>
      <c r="J8511" s="3" t="str">
        <f>HYPERLINK("https://www.boe.es/gazeta/dias/1821/01/26/pdfs/GGB-1821-26.pdf#page=2","Abrir facsímil")</f>
        <v>Abrir facsímil</v>
      </c>
      <c r="K8511" s="3" t="s">
        <v>23</v>
      </c>
    </row>
    <row r="8512" spans="1:11" ht="42" customHeight="1">
      <c r="A8512" s="2" t="s">
        <v>16463</v>
      </c>
      <c r="B8512" s="2" t="s">
        <v>16464</v>
      </c>
      <c r="C8512" s="2" t="s">
        <v>279</v>
      </c>
      <c r="D8512" s="2" t="s">
        <v>27</v>
      </c>
      <c r="E8512" s="5">
        <v>-28765</v>
      </c>
      <c r="F8512" s="3" t="s">
        <v>974</v>
      </c>
      <c r="G8512" s="3" t="s">
        <v>1483</v>
      </c>
      <c r="H8512" s="2" t="s">
        <v>21</v>
      </c>
      <c r="I8512" s="2" t="s">
        <v>16465</v>
      </c>
      <c r="J8512" s="3" t="str">
        <f>HYPERLINK("https://www.boe.es/gazeta/dias/1821/03/29/pdfs/GMD-1821-90.pdf#page=4","Abrir facsímil")</f>
        <v>Abrir facsímil</v>
      </c>
      <c r="K8512" s="3" t="s">
        <v>23</v>
      </c>
    </row>
    <row r="8513" spans="1:11" ht="42" customHeight="1">
      <c r="A8513" s="2" t="s">
        <v>16466</v>
      </c>
      <c r="B8513" s="2" t="s">
        <v>16467</v>
      </c>
      <c r="C8513" s="2" t="s">
        <v>35</v>
      </c>
      <c r="D8513" s="2" t="s">
        <v>27</v>
      </c>
      <c r="E8513" s="5">
        <v>-28832</v>
      </c>
      <c r="F8513" s="3" t="s">
        <v>353</v>
      </c>
      <c r="G8513" s="3" t="s">
        <v>12069</v>
      </c>
      <c r="H8513" s="2" t="s">
        <v>21</v>
      </c>
      <c r="I8513" s="2" t="s">
        <v>16468</v>
      </c>
      <c r="J8513" s="3" t="str">
        <f>HYPERLINK("https://www.boe.es/gazeta/dias/1821/01/21/pdfs/GGB-1821-21.pdf#page=1","Abrir facsímil")</f>
        <v>Abrir facsímil</v>
      </c>
      <c r="K8513" s="3" t="s">
        <v>23</v>
      </c>
    </row>
    <row r="8514" spans="1:11" ht="42" customHeight="1">
      <c r="A8514" s="2" t="s">
        <v>16469</v>
      </c>
      <c r="B8514" s="2" t="s">
        <v>16470</v>
      </c>
      <c r="C8514" s="2" t="s">
        <v>70</v>
      </c>
      <c r="D8514" s="2" t="s">
        <v>27</v>
      </c>
      <c r="E8514" s="5">
        <v>-28494</v>
      </c>
      <c r="F8514" s="3" t="s">
        <v>1665</v>
      </c>
      <c r="G8514" s="3" t="s">
        <v>3631</v>
      </c>
      <c r="H8514" s="2" t="s">
        <v>21</v>
      </c>
      <c r="I8514" s="2" t="s">
        <v>16471</v>
      </c>
      <c r="J8514" s="3" t="str">
        <f>HYPERLINK("https://www.boe.es/gazeta/dias/1821/12/25/pdfs/GMD-1821-368.pdf#page=4","Abrir facsímil")</f>
        <v>Abrir facsímil</v>
      </c>
      <c r="K8514" s="3" t="s">
        <v>23</v>
      </c>
    </row>
    <row r="8515" spans="1:11" ht="42" customHeight="1">
      <c r="A8515" s="2" t="s">
        <v>16472</v>
      </c>
      <c r="B8515" s="2" t="s">
        <v>16473</v>
      </c>
      <c r="C8515" s="2" t="s">
        <v>17</v>
      </c>
      <c r="D8515" s="2" t="s">
        <v>18</v>
      </c>
      <c r="E8515" s="5">
        <v>-28615</v>
      </c>
      <c r="F8515" s="3" t="s">
        <v>427</v>
      </c>
      <c r="G8515" s="3" t="s">
        <v>20</v>
      </c>
      <c r="H8515" s="2" t="s">
        <v>21</v>
      </c>
      <c r="I8515" s="2" t="s">
        <v>16474</v>
      </c>
      <c r="J8515" s="3" t="str">
        <f>HYPERLINK("https://www.boe.es/gazeta/dias/1821/08/26/pdfs/GMD-1821-243.pdf#page=3","Abrir facsímil")</f>
        <v>Abrir facsímil</v>
      </c>
      <c r="K8515" s="3" t="s">
        <v>23</v>
      </c>
    </row>
    <row r="8516" spans="1:11" ht="42" customHeight="1">
      <c r="A8516" s="2" t="s">
        <v>16475</v>
      </c>
      <c r="B8516" s="2" t="s">
        <v>16475</v>
      </c>
      <c r="C8516" s="2" t="s">
        <v>70</v>
      </c>
      <c r="D8516" s="2" t="s">
        <v>27</v>
      </c>
      <c r="E8516" s="5">
        <v>-28509</v>
      </c>
      <c r="F8516" s="3" t="s">
        <v>388</v>
      </c>
      <c r="G8516" s="3" t="s">
        <v>609</v>
      </c>
      <c r="H8516" s="2" t="s">
        <v>21</v>
      </c>
      <c r="I8516" s="2" t="s">
        <v>16476</v>
      </c>
      <c r="J8516" s="3" t="str">
        <f>HYPERLINK("https://www.boe.es/gazeta/dias/1821/12/10/pdfs/GMD-1821-352.pdf#page=7","Abrir facsímil")</f>
        <v>Abrir facsímil</v>
      </c>
      <c r="K8516" s="3" t="s">
        <v>23</v>
      </c>
    </row>
    <row r="8517" spans="1:11" ht="42" customHeight="1">
      <c r="A8517" s="2" t="s">
        <v>16477</v>
      </c>
      <c r="B8517" s="2" t="s">
        <v>16477</v>
      </c>
      <c r="C8517" s="2" t="s">
        <v>17</v>
      </c>
      <c r="D8517" s="2" t="s">
        <v>18</v>
      </c>
      <c r="E8517" s="5">
        <v>-28750</v>
      </c>
      <c r="F8517" s="3" t="s">
        <v>917</v>
      </c>
      <c r="G8517" s="3" t="s">
        <v>20</v>
      </c>
      <c r="H8517" s="2" t="s">
        <v>21</v>
      </c>
      <c r="I8517" s="2" t="s">
        <v>16478</v>
      </c>
      <c r="J8517" s="3" t="str">
        <f>HYPERLINK("https://www.boe.es/gazeta/dias/1821/04/13/pdfs/GMD-1821-105.pdf#page=3","Abrir facsímil")</f>
        <v>Abrir facsímil</v>
      </c>
      <c r="K8517" s="3" t="s">
        <v>23</v>
      </c>
    </row>
    <row r="8518" spans="1:11" ht="42" customHeight="1">
      <c r="A8518" s="2" t="s">
        <v>16479</v>
      </c>
      <c r="B8518" s="2" t="s">
        <v>16479</v>
      </c>
      <c r="C8518" s="2" t="s">
        <v>26</v>
      </c>
      <c r="D8518" s="2" t="s">
        <v>27</v>
      </c>
      <c r="E8518" s="5">
        <v>-28813</v>
      </c>
      <c r="F8518" s="3" t="s">
        <v>268</v>
      </c>
      <c r="G8518" s="3" t="s">
        <v>52</v>
      </c>
      <c r="H8518" s="2" t="s">
        <v>21</v>
      </c>
      <c r="I8518" s="2" t="s">
        <v>16480</v>
      </c>
      <c r="J8518" s="3" t="str">
        <f>HYPERLINK("https://www.boe.es/gazeta/dias/1821/02/09/pdfs/GGB-1821-40.pdf#page=2","Abrir facsímil")</f>
        <v>Abrir facsímil</v>
      </c>
      <c r="K8518" s="3" t="s">
        <v>23</v>
      </c>
    </row>
    <row r="8519" spans="1:11" ht="42" customHeight="1">
      <c r="A8519" s="2" t="s">
        <v>16481</v>
      </c>
      <c r="B8519" s="2" t="s">
        <v>16482</v>
      </c>
      <c r="C8519" s="2" t="s">
        <v>17</v>
      </c>
      <c r="D8519" s="2" t="s">
        <v>18</v>
      </c>
      <c r="E8519" s="5">
        <v>-28731</v>
      </c>
      <c r="F8519" s="3" t="s">
        <v>577</v>
      </c>
      <c r="G8519" s="3" t="s">
        <v>20</v>
      </c>
      <c r="H8519" s="2" t="s">
        <v>21</v>
      </c>
      <c r="I8519" s="2" t="s">
        <v>16483</v>
      </c>
      <c r="J8519" s="3" t="str">
        <f>HYPERLINK("https://www.boe.es/gazeta/dias/1821/05/02/pdfs/GMD-1821-124.pdf#page=3","Abrir facsímil")</f>
        <v>Abrir facsímil</v>
      </c>
      <c r="K8519" s="3" t="s">
        <v>23</v>
      </c>
    </row>
    <row r="8520" spans="1:11" ht="42" customHeight="1">
      <c r="A8520" s="2" t="s">
        <v>16484</v>
      </c>
      <c r="B8520" s="2" t="s">
        <v>16484</v>
      </c>
      <c r="C8520" s="2" t="s">
        <v>40</v>
      </c>
      <c r="D8520" s="2" t="s">
        <v>41</v>
      </c>
      <c r="E8520" s="5">
        <v>-28585</v>
      </c>
      <c r="F8520" s="3" t="s">
        <v>627</v>
      </c>
      <c r="G8520" s="3" t="s">
        <v>20</v>
      </c>
      <c r="H8520" s="2" t="s">
        <v>21</v>
      </c>
      <c r="I8520" s="2" t="s">
        <v>16485</v>
      </c>
      <c r="J8520" s="3" t="str">
        <f>HYPERLINK("https://www.boe.es/gazeta/dias/1821/09/25/pdfs/GMD-1821-273.pdf#page=3","Abrir facsímil")</f>
        <v>Abrir facsímil</v>
      </c>
      <c r="K8520" s="3" t="s">
        <v>23</v>
      </c>
    </row>
    <row r="8521" spans="1:11" ht="42" customHeight="1">
      <c r="A8521" s="2" t="s">
        <v>16486</v>
      </c>
      <c r="B8521" s="2" t="s">
        <v>16487</v>
      </c>
      <c r="C8521" s="2" t="s">
        <v>17</v>
      </c>
      <c r="D8521" s="2" t="s">
        <v>18</v>
      </c>
      <c r="E8521" s="5">
        <v>-28654</v>
      </c>
      <c r="F8521" s="3" t="s">
        <v>674</v>
      </c>
      <c r="G8521" s="3" t="s">
        <v>88</v>
      </c>
      <c r="H8521" s="2" t="s">
        <v>21</v>
      </c>
      <c r="I8521" s="2" t="s">
        <v>16488</v>
      </c>
      <c r="J8521" s="3" t="str">
        <f>HYPERLINK("https://www.boe.es/gazeta/dias/1821/07/18/pdfs/GMD-1821-203.pdf#page=4","Abrir facsímil")</f>
        <v>Abrir facsímil</v>
      </c>
      <c r="K8521" s="3" t="s">
        <v>23</v>
      </c>
    </row>
    <row r="8522" spans="1:11" ht="42" customHeight="1">
      <c r="A8522" s="2" t="s">
        <v>16489</v>
      </c>
      <c r="B8522" s="2" t="s">
        <v>16490</v>
      </c>
      <c r="C8522" s="2" t="s">
        <v>17</v>
      </c>
      <c r="D8522" s="2" t="s">
        <v>18</v>
      </c>
      <c r="E8522" s="5">
        <v>-28675</v>
      </c>
      <c r="F8522" s="3" t="s">
        <v>943</v>
      </c>
      <c r="G8522" s="3" t="s">
        <v>333</v>
      </c>
      <c r="H8522" s="2" t="s">
        <v>30</v>
      </c>
      <c r="I8522" s="2" t="s">
        <v>16491</v>
      </c>
      <c r="J8522" s="3" t="str">
        <f>HYPERLINK("https://www.boe.es/gazeta/dias/1821/06/27/pdfs/GMD-1821-180.pdf#page=8","Abrir facsímil")</f>
        <v>Abrir facsímil</v>
      </c>
      <c r="K8522" s="3" t="s">
        <v>32</v>
      </c>
    </row>
    <row r="8523" spans="1:11" ht="42" customHeight="1">
      <c r="A8523" s="2" t="s">
        <v>16492</v>
      </c>
      <c r="B8523" s="2" t="s">
        <v>16493</v>
      </c>
      <c r="C8523" s="2" t="s">
        <v>17</v>
      </c>
      <c r="D8523" s="2" t="s">
        <v>18</v>
      </c>
      <c r="E8523" s="5">
        <v>-28776</v>
      </c>
      <c r="F8523" s="3" t="s">
        <v>312</v>
      </c>
      <c r="G8523" s="3" t="s">
        <v>88</v>
      </c>
      <c r="H8523" s="2" t="s">
        <v>21</v>
      </c>
      <c r="I8523" s="2" t="s">
        <v>16494</v>
      </c>
      <c r="J8523" s="3" t="str">
        <f>HYPERLINK("https://www.boe.es/gazeta/dias/1821/03/18/pdfs/GMD-1821-77.pdf#page=4","Abrir facsímil")</f>
        <v>Abrir facsímil</v>
      </c>
      <c r="K8523" s="3" t="s">
        <v>23</v>
      </c>
    </row>
    <row r="8524" spans="1:11" ht="42" customHeight="1">
      <c r="A8524" s="2" t="s">
        <v>16495</v>
      </c>
      <c r="B8524" s="2" t="s">
        <v>16496</v>
      </c>
      <c r="C8524" s="2" t="s">
        <v>26</v>
      </c>
      <c r="D8524" s="2" t="s">
        <v>27</v>
      </c>
      <c r="E8524" s="5">
        <v>-28662</v>
      </c>
      <c r="F8524" s="3" t="s">
        <v>3289</v>
      </c>
      <c r="G8524" s="3" t="s">
        <v>52</v>
      </c>
      <c r="H8524" s="2" t="s">
        <v>21</v>
      </c>
      <c r="I8524" s="2" t="s">
        <v>16497</v>
      </c>
      <c r="J8524" s="3" t="str">
        <f>HYPERLINK("https://www.boe.es/gazeta/dias/1821/07/10/pdfs/GMD-1821-195.pdf#page=2","Abrir facsímil")</f>
        <v>Abrir facsímil</v>
      </c>
      <c r="K8524" s="3" t="s">
        <v>23</v>
      </c>
    </row>
    <row r="8525" spans="1:11" ht="42" customHeight="1">
      <c r="A8525" s="2" t="s">
        <v>16498</v>
      </c>
      <c r="B8525" s="2" t="s">
        <v>16499</v>
      </c>
      <c r="C8525" s="2" t="s">
        <v>17</v>
      </c>
      <c r="D8525" s="2" t="s">
        <v>18</v>
      </c>
      <c r="E8525" s="5">
        <v>-28602</v>
      </c>
      <c r="F8525" s="3" t="s">
        <v>1526</v>
      </c>
      <c r="G8525" s="3" t="s">
        <v>52</v>
      </c>
      <c r="H8525" s="2" t="s">
        <v>21</v>
      </c>
      <c r="I8525" s="2" t="s">
        <v>16500</v>
      </c>
      <c r="J8525" s="3" t="str">
        <f>HYPERLINK("https://www.boe.es/gazeta/dias/1821/09/08/pdfs/GMD-1821-256.pdf#page=2","Abrir facsímil")</f>
        <v>Abrir facsímil</v>
      </c>
      <c r="K8525" s="3" t="s">
        <v>23</v>
      </c>
    </row>
    <row r="8526" spans="1:11" ht="42" customHeight="1">
      <c r="A8526" s="2" t="s">
        <v>16501</v>
      </c>
      <c r="B8526" s="2" t="s">
        <v>16502</v>
      </c>
      <c r="C8526" s="2" t="s">
        <v>17</v>
      </c>
      <c r="D8526" s="2" t="s">
        <v>18</v>
      </c>
      <c r="E8526" s="5">
        <v>-28671</v>
      </c>
      <c r="F8526" s="3" t="s">
        <v>5059</v>
      </c>
      <c r="G8526" s="3" t="s">
        <v>52</v>
      </c>
      <c r="H8526" s="2" t="s">
        <v>21</v>
      </c>
      <c r="I8526" s="2" t="s">
        <v>16503</v>
      </c>
      <c r="J8526" s="3" t="str">
        <f>HYPERLINK("https://www.boe.es/gazeta/dias/1821/07/01/pdfs/GMD-1821-185.pdf#page=2","Abrir facsímil")</f>
        <v>Abrir facsímil</v>
      </c>
      <c r="K8526" s="3" t="s">
        <v>23</v>
      </c>
    </row>
    <row r="8527" spans="1:11" ht="42" customHeight="1">
      <c r="A8527" s="2" t="s">
        <v>16504</v>
      </c>
      <c r="B8527" s="2" t="s">
        <v>16505</v>
      </c>
      <c r="C8527" s="2" t="s">
        <v>26</v>
      </c>
      <c r="D8527" s="2" t="s">
        <v>27</v>
      </c>
      <c r="E8527" s="5">
        <v>-28791</v>
      </c>
      <c r="F8527" s="3" t="s">
        <v>47</v>
      </c>
      <c r="G8527" s="3" t="s">
        <v>88</v>
      </c>
      <c r="H8527" s="2" t="s">
        <v>21</v>
      </c>
      <c r="I8527" s="2" t="s">
        <v>16506</v>
      </c>
      <c r="J8527" s="3" t="str">
        <f>HYPERLINK("https://www.boe.es/gazeta/dias/1821/03/03/pdfs/GGB-1821-62.pdf#page=4","Abrir facsímil")</f>
        <v>Abrir facsímil</v>
      </c>
      <c r="K8527" s="3" t="s">
        <v>23</v>
      </c>
    </row>
    <row r="8528" spans="1:11" ht="42" customHeight="1">
      <c r="A8528" s="2" t="s">
        <v>16507</v>
      </c>
      <c r="B8528" s="2" t="s">
        <v>16508</v>
      </c>
      <c r="C8528" s="2" t="s">
        <v>17</v>
      </c>
      <c r="D8528" s="2" t="s">
        <v>18</v>
      </c>
      <c r="E8528" s="5">
        <v>-28558</v>
      </c>
      <c r="F8528" s="3" t="s">
        <v>758</v>
      </c>
      <c r="G8528" s="3" t="s">
        <v>52</v>
      </c>
      <c r="H8528" s="2" t="s">
        <v>21</v>
      </c>
      <c r="I8528" s="2" t="s">
        <v>16509</v>
      </c>
      <c r="J8528" s="3" t="str">
        <f>HYPERLINK("https://www.boe.es/gazeta/dias/1821/10/22/pdfs/GMD-1821-301.pdf#page=2","Abrir facsímil")</f>
        <v>Abrir facsímil</v>
      </c>
      <c r="K8528" s="3" t="s">
        <v>23</v>
      </c>
    </row>
    <row r="8529" spans="1:11" ht="42" customHeight="1">
      <c r="A8529" s="2" t="s">
        <v>16510</v>
      </c>
      <c r="B8529" s="2" t="s">
        <v>16511</v>
      </c>
      <c r="C8529" s="2" t="s">
        <v>26</v>
      </c>
      <c r="D8529" s="2" t="s">
        <v>27</v>
      </c>
      <c r="E8529" s="5">
        <v>-28803</v>
      </c>
      <c r="F8529" s="3" t="s">
        <v>320</v>
      </c>
      <c r="G8529" s="3" t="s">
        <v>16512</v>
      </c>
      <c r="H8529" s="2" t="s">
        <v>21</v>
      </c>
      <c r="I8529" s="2" t="s">
        <v>16513</v>
      </c>
      <c r="J8529" s="3" t="str">
        <f>HYPERLINK("https://www.boe.es/gazeta/dias/1821/02/19/pdfs/GGB-1821-50.pdf#page=4","Abrir facsímil")</f>
        <v>Abrir facsímil</v>
      </c>
      <c r="K8529" s="3" t="s">
        <v>23</v>
      </c>
    </row>
    <row r="8530" spans="1:11" ht="42" customHeight="1">
      <c r="A8530" s="2" t="s">
        <v>16514</v>
      </c>
      <c r="B8530" s="2" t="s">
        <v>16515</v>
      </c>
      <c r="C8530" s="2" t="s">
        <v>26</v>
      </c>
      <c r="D8530" s="2" t="s">
        <v>27</v>
      </c>
      <c r="E8530" s="5">
        <v>-28644</v>
      </c>
      <c r="F8530" s="3" t="s">
        <v>1340</v>
      </c>
      <c r="G8530" s="3" t="s">
        <v>88</v>
      </c>
      <c r="H8530" s="2" t="s">
        <v>21</v>
      </c>
      <c r="I8530" s="2" t="s">
        <v>16516</v>
      </c>
      <c r="J8530" s="3" t="str">
        <f>HYPERLINK("https://www.boe.es/gazeta/dias/1821/07/28/pdfs/GMD-1821-213.pdf#page=4","Abrir facsímil")</f>
        <v>Abrir facsímil</v>
      </c>
      <c r="K8530" s="3" t="s">
        <v>23</v>
      </c>
    </row>
    <row r="8531" spans="1:11" ht="42" customHeight="1">
      <c r="A8531" s="2" t="s">
        <v>16517</v>
      </c>
      <c r="B8531" s="2" t="s">
        <v>16518</v>
      </c>
      <c r="C8531" s="2" t="s">
        <v>35</v>
      </c>
      <c r="D8531" s="2" t="s">
        <v>27</v>
      </c>
      <c r="E8531" s="5">
        <v>-28626</v>
      </c>
      <c r="F8531" s="3" t="s">
        <v>468</v>
      </c>
      <c r="G8531" s="3" t="s">
        <v>88</v>
      </c>
      <c r="H8531" s="2" t="s">
        <v>21</v>
      </c>
      <c r="I8531" s="2" t="s">
        <v>16519</v>
      </c>
      <c r="J8531" s="3" t="str">
        <f>HYPERLINK("https://www.boe.es/gazeta/dias/1821/08/15/pdfs/GMD-1821-232.pdf#page=4","Abrir facsímil")</f>
        <v>Abrir facsímil</v>
      </c>
      <c r="K8531" s="3" t="s">
        <v>23</v>
      </c>
    </row>
    <row r="8532" spans="1:11" ht="42" customHeight="1">
      <c r="A8532" s="2" t="s">
        <v>16520</v>
      </c>
      <c r="B8532" s="2" t="s">
        <v>16521</v>
      </c>
      <c r="C8532" s="2" t="s">
        <v>174</v>
      </c>
      <c r="D8532" s="2" t="s">
        <v>27</v>
      </c>
      <c r="E8532" s="5">
        <v>-28511</v>
      </c>
      <c r="F8532" s="3" t="s">
        <v>340</v>
      </c>
      <c r="G8532" s="3" t="s">
        <v>52</v>
      </c>
      <c r="H8532" s="2" t="s">
        <v>21</v>
      </c>
      <c r="I8532" s="2" t="s">
        <v>16522</v>
      </c>
      <c r="J8532" s="3" t="str">
        <f>HYPERLINK("https://www.boe.es/gazeta/dias/1821/12/08/pdfs/GMD-1821-350.pdf#page=2","Abrir facsímil")</f>
        <v>Abrir facsímil</v>
      </c>
      <c r="K8532" s="3" t="s">
        <v>23</v>
      </c>
    </row>
    <row r="8533" spans="1:11" ht="42" customHeight="1">
      <c r="A8533" s="2" t="s">
        <v>16523</v>
      </c>
      <c r="B8533" s="2" t="s">
        <v>16524</v>
      </c>
      <c r="C8533" s="2" t="s">
        <v>70</v>
      </c>
      <c r="D8533" s="2" t="s">
        <v>27</v>
      </c>
      <c r="E8533" s="5">
        <v>-28669</v>
      </c>
      <c r="F8533" s="3" t="s">
        <v>2816</v>
      </c>
      <c r="G8533" s="3" t="s">
        <v>20</v>
      </c>
      <c r="H8533" s="2" t="s">
        <v>21</v>
      </c>
      <c r="I8533" s="2" t="s">
        <v>16525</v>
      </c>
      <c r="J8533" s="3" t="str">
        <f>HYPERLINK("https://www.boe.es/gazeta/dias/1821/07/03/pdfs/GMD-1821-187.pdf#page=3","Abrir facsímil")</f>
        <v>Abrir facsímil</v>
      </c>
      <c r="K8533" s="3" t="s">
        <v>23</v>
      </c>
    </row>
    <row r="8534" spans="1:11" ht="42" customHeight="1">
      <c r="A8534" s="2" t="s">
        <v>16526</v>
      </c>
      <c r="B8534" s="2" t="s">
        <v>16527</v>
      </c>
      <c r="C8534" s="2" t="s">
        <v>40</v>
      </c>
      <c r="D8534" s="2" t="s">
        <v>41</v>
      </c>
      <c r="E8534" s="5">
        <v>-28637</v>
      </c>
      <c r="F8534" s="3" t="s">
        <v>3049</v>
      </c>
      <c r="G8534" s="3" t="s">
        <v>88</v>
      </c>
      <c r="H8534" s="2" t="s">
        <v>21</v>
      </c>
      <c r="I8534" s="2" t="s">
        <v>16528</v>
      </c>
      <c r="J8534" s="3" t="str">
        <f>HYPERLINK("https://www.boe.es/gazeta/dias/1821/08/04/pdfs/GMD-1821-220.pdf#page=4","Abrir facsímil")</f>
        <v>Abrir facsímil</v>
      </c>
      <c r="K8534" s="3" t="s">
        <v>23</v>
      </c>
    </row>
    <row r="8535" spans="1:11" ht="42" customHeight="1">
      <c r="A8535" s="2" t="s">
        <v>16529</v>
      </c>
      <c r="B8535" s="2" t="s">
        <v>16530</v>
      </c>
      <c r="C8535" s="2" t="s">
        <v>17</v>
      </c>
      <c r="D8535" s="2" t="s">
        <v>18</v>
      </c>
      <c r="E8535" s="5">
        <v>-28547</v>
      </c>
      <c r="F8535" s="3" t="s">
        <v>247</v>
      </c>
      <c r="G8535" s="3" t="s">
        <v>248</v>
      </c>
      <c r="H8535" s="2" t="s">
        <v>21</v>
      </c>
      <c r="I8535" s="2" t="s">
        <v>16531</v>
      </c>
      <c r="J8535" s="3" t="str">
        <f>HYPERLINK("https://www.boe.es/gazeta/dias/1821/11/02/pdfs/GMD-1821-312.pdf#page=2","Abrir facsímil")</f>
        <v>Abrir facsímil</v>
      </c>
      <c r="K8535" s="3" t="s">
        <v>23</v>
      </c>
    </row>
    <row r="8536" spans="1:11" ht="42" customHeight="1">
      <c r="A8536" s="2" t="s">
        <v>16532</v>
      </c>
      <c r="B8536" s="2" t="s">
        <v>16533</v>
      </c>
      <c r="C8536" s="2" t="s">
        <v>40</v>
      </c>
      <c r="D8536" s="2" t="s">
        <v>41</v>
      </c>
      <c r="E8536" s="5">
        <v>-28573</v>
      </c>
      <c r="F8536" s="3" t="s">
        <v>19</v>
      </c>
      <c r="G8536" s="3" t="s">
        <v>88</v>
      </c>
      <c r="H8536" s="2" t="s">
        <v>21</v>
      </c>
      <c r="I8536" s="2" t="s">
        <v>16534</v>
      </c>
      <c r="J8536" s="3" t="str">
        <f>HYPERLINK("https://www.boe.es/gazeta/dias/1821/10/07/pdfs/GMD-1821-286.pdf#page=4","Abrir facsímil")</f>
        <v>Abrir facsímil</v>
      </c>
      <c r="K8536" s="3" t="s">
        <v>23</v>
      </c>
    </row>
    <row r="8537" spans="1:11" ht="42" customHeight="1">
      <c r="A8537" s="2" t="s">
        <v>16535</v>
      </c>
      <c r="B8537" s="2" t="s">
        <v>16536</v>
      </c>
      <c r="C8537" s="2" t="s">
        <v>26</v>
      </c>
      <c r="D8537" s="2" t="s">
        <v>27</v>
      </c>
      <c r="E8537" s="5">
        <v>-28741</v>
      </c>
      <c r="F8537" s="3" t="s">
        <v>1841</v>
      </c>
      <c r="G8537" s="3" t="s">
        <v>88</v>
      </c>
      <c r="H8537" s="2" t="s">
        <v>21</v>
      </c>
      <c r="I8537" s="2" t="s">
        <v>16537</v>
      </c>
      <c r="J8537" s="3" t="str">
        <f>HYPERLINK("https://www.boe.es/gazeta/dias/1821/04/22/pdfs/GMD-1821-114.pdf#page=4","Abrir facsímil")</f>
        <v>Abrir facsímil</v>
      </c>
      <c r="K8537" s="3" t="s">
        <v>23</v>
      </c>
    </row>
    <row r="8538" spans="1:11" ht="42" customHeight="1">
      <c r="A8538" s="2" t="s">
        <v>16538</v>
      </c>
      <c r="B8538" s="2" t="s">
        <v>16539</v>
      </c>
      <c r="C8538" s="2" t="s">
        <v>17</v>
      </c>
      <c r="D8538" s="2" t="s">
        <v>18</v>
      </c>
      <c r="E8538" s="5">
        <v>-28547</v>
      </c>
      <c r="F8538" s="3" t="s">
        <v>247</v>
      </c>
      <c r="G8538" s="3" t="s">
        <v>248</v>
      </c>
      <c r="H8538" s="2" t="s">
        <v>21</v>
      </c>
      <c r="I8538" s="2" t="s">
        <v>16540</v>
      </c>
      <c r="J8538" s="3" t="str">
        <f>HYPERLINK("https://www.boe.es/gazeta/dias/1821/11/02/pdfs/GMD-1821-312.pdf#page=2","Abrir facsímil")</f>
        <v>Abrir facsímil</v>
      </c>
      <c r="K8538" s="3" t="s">
        <v>23</v>
      </c>
    </row>
    <row r="8539" spans="1:11" ht="42" customHeight="1">
      <c r="A8539" s="2" t="s">
        <v>16541</v>
      </c>
      <c r="B8539" s="2" t="s">
        <v>16542</v>
      </c>
      <c r="C8539" s="2" t="s">
        <v>17</v>
      </c>
      <c r="D8539" s="2" t="s">
        <v>18</v>
      </c>
      <c r="E8539" s="5">
        <v>-28775</v>
      </c>
      <c r="F8539" s="3" t="s">
        <v>132</v>
      </c>
      <c r="G8539" s="3" t="s">
        <v>52</v>
      </c>
      <c r="H8539" s="2" t="s">
        <v>21</v>
      </c>
      <c r="I8539" s="2" t="s">
        <v>16543</v>
      </c>
      <c r="J8539" s="3" t="str">
        <f>HYPERLINK("https://www.boe.es/gazeta/dias/1821/03/19/pdfs/GMD-1821-78.pdf#page=2","Abrir facsímil")</f>
        <v>Abrir facsímil</v>
      </c>
      <c r="K8539" s="3" t="s">
        <v>23</v>
      </c>
    </row>
    <row r="8540" spans="1:11" ht="42" customHeight="1">
      <c r="A8540" s="2" t="s">
        <v>16541</v>
      </c>
      <c r="B8540" s="2" t="s">
        <v>16542</v>
      </c>
      <c r="C8540" s="2" t="s">
        <v>35</v>
      </c>
      <c r="D8540" s="2" t="s">
        <v>27</v>
      </c>
      <c r="E8540" s="5">
        <v>-28518</v>
      </c>
      <c r="F8540" s="3" t="s">
        <v>410</v>
      </c>
      <c r="G8540" s="3" t="s">
        <v>20</v>
      </c>
      <c r="H8540" s="2" t="s">
        <v>21</v>
      </c>
      <c r="I8540" s="2" t="s">
        <v>16544</v>
      </c>
      <c r="J8540" s="3" t="str">
        <f>HYPERLINK("https://www.boe.es/gazeta/dias/1821/12/01/pdfs/GMD-1821-343.pdf#page=3","Abrir facsímil")</f>
        <v>Abrir facsímil</v>
      </c>
      <c r="K8540" s="3" t="s">
        <v>23</v>
      </c>
    </row>
    <row r="8541" spans="1:11" ht="42" customHeight="1">
      <c r="A8541" s="2" t="s">
        <v>16545</v>
      </c>
      <c r="B8541" s="2" t="s">
        <v>16546</v>
      </c>
      <c r="C8541" s="2" t="s">
        <v>35</v>
      </c>
      <c r="D8541" s="2" t="s">
        <v>27</v>
      </c>
      <c r="E8541" s="5">
        <v>-28655</v>
      </c>
      <c r="F8541" s="3" t="s">
        <v>2530</v>
      </c>
      <c r="G8541" s="3" t="s">
        <v>88</v>
      </c>
      <c r="H8541" s="2" t="s">
        <v>21</v>
      </c>
      <c r="I8541" s="2" t="s">
        <v>16547</v>
      </c>
      <c r="J8541" s="3" t="str">
        <f>HYPERLINK("https://www.boe.es/gazeta/dias/1821/07/17/pdfs/GMD-1821-202.pdf#page=4","Abrir facsímil")</f>
        <v>Abrir facsímil</v>
      </c>
      <c r="K8541" s="3" t="s">
        <v>23</v>
      </c>
    </row>
    <row r="8542" spans="1:11" ht="42" customHeight="1">
      <c r="A8542" s="2" t="s">
        <v>16548</v>
      </c>
      <c r="B8542" s="2" t="s">
        <v>16549</v>
      </c>
      <c r="C8542" s="2" t="s">
        <v>40</v>
      </c>
      <c r="D8542" s="2" t="s">
        <v>41</v>
      </c>
      <c r="E8542" s="5">
        <v>-28735</v>
      </c>
      <c r="F8542" s="3" t="s">
        <v>836</v>
      </c>
      <c r="G8542" s="3" t="s">
        <v>52</v>
      </c>
      <c r="H8542" s="2" t="s">
        <v>21</v>
      </c>
      <c r="I8542" s="2" t="s">
        <v>16550</v>
      </c>
      <c r="J8542" s="3" t="str">
        <f>HYPERLINK("https://www.boe.es/gazeta/dias/1821/04/28/pdfs/GMD-1821-120.pdf#page=2","Abrir facsímil")</f>
        <v>Abrir facsímil</v>
      </c>
      <c r="K8542" s="3" t="s">
        <v>23</v>
      </c>
    </row>
    <row r="8543" spans="1:11" ht="42" customHeight="1">
      <c r="A8543" s="2" t="s">
        <v>16551</v>
      </c>
      <c r="B8543" s="2" t="s">
        <v>16552</v>
      </c>
      <c r="C8543" s="2" t="s">
        <v>40</v>
      </c>
      <c r="D8543" s="2" t="s">
        <v>41</v>
      </c>
      <c r="E8543" s="5">
        <v>-28616</v>
      </c>
      <c r="F8543" s="3" t="s">
        <v>1912</v>
      </c>
      <c r="G8543" s="3" t="s">
        <v>1913</v>
      </c>
      <c r="H8543" s="2" t="s">
        <v>21</v>
      </c>
      <c r="I8543" s="2" t="s">
        <v>16553</v>
      </c>
      <c r="J8543" s="3" t="str">
        <f>HYPERLINK("https://www.boe.es/gazeta/dias/1821/08/25/pdfs/GMD-1821-242.pdf#page=3","Abrir facsímil")</f>
        <v>Abrir facsímil</v>
      </c>
      <c r="K8543" s="3" t="s">
        <v>23</v>
      </c>
    </row>
    <row r="8544" spans="1:11" ht="42" customHeight="1">
      <c r="A8544" s="2" t="s">
        <v>16554</v>
      </c>
      <c r="B8544" s="2" t="s">
        <v>16555</v>
      </c>
      <c r="C8544" s="2" t="s">
        <v>40</v>
      </c>
      <c r="D8544" s="2" t="s">
        <v>41</v>
      </c>
      <c r="E8544" s="5">
        <v>-28541</v>
      </c>
      <c r="F8544" s="3" t="s">
        <v>275</v>
      </c>
      <c r="G8544" s="3" t="s">
        <v>52</v>
      </c>
      <c r="H8544" s="2" t="s">
        <v>21</v>
      </c>
      <c r="I8544" s="2" t="s">
        <v>16556</v>
      </c>
      <c r="J8544" s="3" t="str">
        <f>HYPERLINK("https://www.boe.es/gazeta/dias/1821/11/08/pdfs/GMD-1821-319.pdf#page=2","Abrir facsímil")</f>
        <v>Abrir facsímil</v>
      </c>
      <c r="K8544" s="3" t="s">
        <v>23</v>
      </c>
    </row>
    <row r="8545" spans="1:11" ht="42" customHeight="1">
      <c r="A8545" s="2" t="s">
        <v>16557</v>
      </c>
      <c r="B8545" s="2" t="s">
        <v>16558</v>
      </c>
      <c r="C8545" s="2" t="s">
        <v>40</v>
      </c>
      <c r="D8545" s="2" t="s">
        <v>41</v>
      </c>
      <c r="E8545" s="5">
        <v>-28629</v>
      </c>
      <c r="F8545" s="3" t="s">
        <v>235</v>
      </c>
      <c r="G8545" s="3" t="s">
        <v>88</v>
      </c>
      <c r="H8545" s="2" t="s">
        <v>21</v>
      </c>
      <c r="I8545" s="2" t="s">
        <v>16559</v>
      </c>
      <c r="J8545" s="3" t="str">
        <f>HYPERLINK("https://www.boe.es/gazeta/dias/1821/08/12/pdfs/GMD-1821-229.pdf#page=4","Abrir facsímil")</f>
        <v>Abrir facsímil</v>
      </c>
      <c r="K8545" s="3" t="s">
        <v>23</v>
      </c>
    </row>
    <row r="8546" spans="1:11" ht="42" customHeight="1">
      <c r="A8546" s="2" t="s">
        <v>16560</v>
      </c>
      <c r="B8546" s="2" t="s">
        <v>16561</v>
      </c>
      <c r="C8546" s="2" t="s">
        <v>40</v>
      </c>
      <c r="D8546" s="2" t="s">
        <v>41</v>
      </c>
      <c r="E8546" s="5">
        <v>-28549</v>
      </c>
      <c r="F8546" s="3" t="s">
        <v>930</v>
      </c>
      <c r="G8546" s="3" t="s">
        <v>29</v>
      </c>
      <c r="H8546" s="2" t="s">
        <v>21</v>
      </c>
      <c r="I8546" s="2" t="s">
        <v>16562</v>
      </c>
      <c r="J8546" s="3" t="str">
        <f>HYPERLINK("https://www.boe.es/gazeta/dias/1821/10/31/pdfs/GMD-1821-310.pdf#page=6","Abrir facsímil")</f>
        <v>Abrir facsímil</v>
      </c>
      <c r="K8546" s="3" t="s">
        <v>23</v>
      </c>
    </row>
    <row r="8547" spans="1:11" ht="42" customHeight="1">
      <c r="A8547" s="2" t="s">
        <v>16563</v>
      </c>
      <c r="B8547" s="2" t="s">
        <v>16564</v>
      </c>
      <c r="C8547" s="2" t="s">
        <v>17</v>
      </c>
      <c r="D8547" s="2" t="s">
        <v>18</v>
      </c>
      <c r="E8547" s="5">
        <v>-28782</v>
      </c>
      <c r="F8547" s="3" t="s">
        <v>508</v>
      </c>
      <c r="G8547" s="3" t="s">
        <v>88</v>
      </c>
      <c r="H8547" s="2" t="s">
        <v>21</v>
      </c>
      <c r="I8547" s="2" t="s">
        <v>16565</v>
      </c>
      <c r="J8547" s="3" t="str">
        <f>HYPERLINK("https://www.boe.es/gazeta/dias/1821/03/12/pdfs/GMD-1821-71.pdf#page=4","Abrir facsímil")</f>
        <v>Abrir facsímil</v>
      </c>
      <c r="K8547" s="3" t="s">
        <v>23</v>
      </c>
    </row>
    <row r="8548" spans="1:11" ht="42" customHeight="1">
      <c r="A8548" s="2" t="s">
        <v>16566</v>
      </c>
      <c r="B8548" s="2" t="s">
        <v>16567</v>
      </c>
      <c r="C8548" s="2" t="s">
        <v>40</v>
      </c>
      <c r="D8548" s="2" t="s">
        <v>41</v>
      </c>
      <c r="E8548" s="5">
        <v>-28776</v>
      </c>
      <c r="F8548" s="3" t="s">
        <v>312</v>
      </c>
      <c r="G8548" s="3" t="s">
        <v>162</v>
      </c>
      <c r="H8548" s="2" t="s">
        <v>30</v>
      </c>
      <c r="I8548" s="2" t="s">
        <v>16568</v>
      </c>
      <c r="J8548" s="3" t="str">
        <f>HYPERLINK("https://www.boe.es/gazeta/dias/1821/03/18/pdfs/GMD-1821-77.pdf#page=5","Abrir facsímil")</f>
        <v>Abrir facsímil</v>
      </c>
      <c r="K8548" s="3" t="s">
        <v>32</v>
      </c>
    </row>
    <row r="8549" spans="1:11" ht="42" customHeight="1">
      <c r="A8549" s="2" t="s">
        <v>16569</v>
      </c>
      <c r="B8549" s="2" t="s">
        <v>16569</v>
      </c>
      <c r="C8549" s="2" t="s">
        <v>40</v>
      </c>
      <c r="D8549" s="2" t="s">
        <v>41</v>
      </c>
      <c r="E8549" s="5">
        <v>-28565</v>
      </c>
      <c r="F8549" s="3" t="s">
        <v>326</v>
      </c>
      <c r="G8549" s="3" t="s">
        <v>162</v>
      </c>
      <c r="H8549" s="2" t="s">
        <v>21</v>
      </c>
      <c r="I8549" s="2" t="s">
        <v>16570</v>
      </c>
      <c r="J8549" s="3" t="str">
        <f>HYPERLINK("https://www.boe.es/gazeta/dias/1821/10/15/pdfs/GMD-1821-294.pdf#page=5","Abrir facsímil")</f>
        <v>Abrir facsímil</v>
      </c>
      <c r="K8549" s="3" t="s">
        <v>23</v>
      </c>
    </row>
    <row r="8550" spans="1:11" ht="42" customHeight="1">
      <c r="A8550" s="2" t="s">
        <v>16571</v>
      </c>
      <c r="B8550" s="2" t="s">
        <v>16572</v>
      </c>
      <c r="C8550" s="2" t="s">
        <v>279</v>
      </c>
      <c r="D8550" s="2" t="s">
        <v>27</v>
      </c>
      <c r="E8550" s="5">
        <v>-28836</v>
      </c>
      <c r="F8550" s="3" t="s">
        <v>601</v>
      </c>
      <c r="G8550" s="3" t="s">
        <v>20</v>
      </c>
      <c r="H8550" s="2" t="s">
        <v>21</v>
      </c>
      <c r="I8550" s="2" t="s">
        <v>16573</v>
      </c>
      <c r="J8550" s="3" t="str">
        <f>HYPERLINK("https://www.boe.es/gazeta/dias/1821/01/17/pdfs/GGB-1821-17.pdf#page=3","Abrir facsímil")</f>
        <v>Abrir facsímil</v>
      </c>
      <c r="K8550" s="3" t="s">
        <v>23</v>
      </c>
    </row>
    <row r="8551" spans="1:11" ht="42" customHeight="1">
      <c r="A8551" s="2" t="s">
        <v>16574</v>
      </c>
      <c r="B8551" s="2" t="s">
        <v>16575</v>
      </c>
      <c r="C8551" s="2" t="s">
        <v>26</v>
      </c>
      <c r="D8551" s="2" t="s">
        <v>27</v>
      </c>
      <c r="E8551" s="5">
        <v>-28664</v>
      </c>
      <c r="F8551" s="3" t="s">
        <v>1365</v>
      </c>
      <c r="G8551" s="3" t="s">
        <v>20</v>
      </c>
      <c r="H8551" s="2" t="s">
        <v>21</v>
      </c>
      <c r="I8551" s="2" t="s">
        <v>16576</v>
      </c>
      <c r="J8551" s="3" t="str">
        <f>HYPERLINK("https://www.boe.es/gazeta/dias/1821/07/08/pdfs/GMD-1821-193.pdf#page=3","Abrir facsímil")</f>
        <v>Abrir facsímil</v>
      </c>
      <c r="K8551" s="3" t="s">
        <v>23</v>
      </c>
    </row>
    <row r="8552" spans="1:11" ht="42" customHeight="1">
      <c r="A8552" s="2" t="s">
        <v>16577</v>
      </c>
      <c r="B8552" s="2" t="s">
        <v>16577</v>
      </c>
      <c r="C8552" s="2" t="s">
        <v>26</v>
      </c>
      <c r="D8552" s="2" t="s">
        <v>27</v>
      </c>
      <c r="E8552" s="5">
        <v>-28498</v>
      </c>
      <c r="F8552" s="3" t="s">
        <v>447</v>
      </c>
      <c r="G8552" s="3" t="s">
        <v>20</v>
      </c>
      <c r="H8552" s="2" t="s">
        <v>21</v>
      </c>
      <c r="I8552" s="2" t="s">
        <v>16578</v>
      </c>
      <c r="J8552" s="3" t="str">
        <f>HYPERLINK("https://www.boe.es/gazeta/dias/1821/12/21/pdfs/GMD-1821-364.pdf#page=3","Abrir facsímil")</f>
        <v>Abrir facsímil</v>
      </c>
      <c r="K8552" s="3" t="s">
        <v>23</v>
      </c>
    </row>
    <row r="8553" spans="1:11" ht="42" customHeight="1">
      <c r="A8553" s="2" t="s">
        <v>16579</v>
      </c>
      <c r="B8553" s="2" t="s">
        <v>16580</v>
      </c>
      <c r="C8553" s="2" t="s">
        <v>17</v>
      </c>
      <c r="D8553" s="2" t="s">
        <v>18</v>
      </c>
      <c r="E8553" s="5">
        <v>-28819</v>
      </c>
      <c r="F8553" s="3" t="s">
        <v>1830</v>
      </c>
      <c r="G8553" s="3" t="s">
        <v>52</v>
      </c>
      <c r="H8553" s="2" t="s">
        <v>21</v>
      </c>
      <c r="I8553" s="2" t="s">
        <v>16581</v>
      </c>
      <c r="J8553" s="3" t="str">
        <f>HYPERLINK("https://www.boe.es/gazeta/dias/1821/02/03/pdfs/GGB-1821-34.pdf#page=2","Abrir facsímil")</f>
        <v>Abrir facsímil</v>
      </c>
      <c r="K8553" s="3" t="s">
        <v>23</v>
      </c>
    </row>
    <row r="8554" spans="1:11" ht="42" customHeight="1">
      <c r="A8554" s="2" t="s">
        <v>16582</v>
      </c>
      <c r="B8554" s="2" t="s">
        <v>16582</v>
      </c>
      <c r="C8554" s="2" t="s">
        <v>17</v>
      </c>
      <c r="D8554" s="2" t="s">
        <v>18</v>
      </c>
      <c r="E8554" s="5">
        <v>-28652</v>
      </c>
      <c r="F8554" s="3" t="s">
        <v>1314</v>
      </c>
      <c r="G8554" s="3" t="s">
        <v>52</v>
      </c>
      <c r="H8554" s="2" t="s">
        <v>21</v>
      </c>
      <c r="I8554" s="2" t="s">
        <v>16583</v>
      </c>
      <c r="J8554" s="3" t="str">
        <f>HYPERLINK("https://www.boe.es/gazeta/dias/1821/07/20/pdfs/GMD-1821-205.pdf#page=2","Abrir facsímil")</f>
        <v>Abrir facsímil</v>
      </c>
      <c r="K8554" s="3" t="s">
        <v>23</v>
      </c>
    </row>
    <row r="8555" spans="1:11" ht="42" customHeight="1">
      <c r="A8555" s="2" t="s">
        <v>16584</v>
      </c>
      <c r="B8555" s="2" t="s">
        <v>16584</v>
      </c>
      <c r="C8555" s="2" t="s">
        <v>26</v>
      </c>
      <c r="D8555" s="2" t="s">
        <v>27</v>
      </c>
      <c r="E8555" s="5">
        <v>-28850</v>
      </c>
      <c r="F8555" s="3" t="s">
        <v>664</v>
      </c>
      <c r="G8555" s="3" t="s">
        <v>43</v>
      </c>
      <c r="H8555" s="2" t="s">
        <v>21</v>
      </c>
      <c r="I8555" s="2" t="s">
        <v>16585</v>
      </c>
      <c r="J8555" s="3" t="str">
        <f>HYPERLINK("https://www.boe.es/gazeta/dias/1821/01/03/pdfs/GGB-1821-3.pdf#page=1","Abrir facsímil")</f>
        <v>Abrir facsímil</v>
      </c>
      <c r="K8555" s="3" t="s">
        <v>23</v>
      </c>
    </row>
    <row r="8556" spans="1:11" ht="42" customHeight="1">
      <c r="A8556" s="2" t="s">
        <v>16584</v>
      </c>
      <c r="B8556" s="2" t="s">
        <v>16584</v>
      </c>
      <c r="C8556" s="2" t="s">
        <v>26</v>
      </c>
      <c r="D8556" s="2" t="s">
        <v>27</v>
      </c>
      <c r="E8556" s="5">
        <v>-28844</v>
      </c>
      <c r="F8556" s="3" t="s">
        <v>1743</v>
      </c>
      <c r="G8556" s="3" t="s">
        <v>52</v>
      </c>
      <c r="H8556" s="2" t="s">
        <v>21</v>
      </c>
      <c r="I8556" s="2" t="s">
        <v>16586</v>
      </c>
      <c r="J8556" s="3" t="str">
        <f>HYPERLINK("https://www.boe.es/gazeta/dias/1821/01/09/pdfs/GGB-1821-9.pdf#page=2","Abrir facsímil")</f>
        <v>Abrir facsímil</v>
      </c>
      <c r="K8556" s="3" t="s">
        <v>23</v>
      </c>
    </row>
    <row r="8557" spans="1:11" ht="42" customHeight="1">
      <c r="A8557" s="2" t="s">
        <v>16584</v>
      </c>
      <c r="B8557" s="2" t="s">
        <v>16584</v>
      </c>
      <c r="C8557" s="2" t="s">
        <v>494</v>
      </c>
      <c r="D8557" s="2" t="s">
        <v>18</v>
      </c>
      <c r="E8557" s="5">
        <v>-28840</v>
      </c>
      <c r="F8557" s="3" t="s">
        <v>161</v>
      </c>
      <c r="G8557" s="3" t="s">
        <v>20</v>
      </c>
      <c r="H8557" s="2" t="s">
        <v>21</v>
      </c>
      <c r="I8557" s="2" t="s">
        <v>16587</v>
      </c>
      <c r="J8557" s="3" t="str">
        <f>HYPERLINK("https://www.boe.es/gazeta/dias/1821/01/13/pdfs/GGB-1821-13.pdf#page=3","Abrir facsímil")</f>
        <v>Abrir facsímil</v>
      </c>
      <c r="K8557" s="3" t="s">
        <v>23</v>
      </c>
    </row>
    <row r="8558" spans="1:11" ht="42" customHeight="1">
      <c r="A8558" s="2" t="s">
        <v>16584</v>
      </c>
      <c r="B8558" s="2" t="s">
        <v>16584</v>
      </c>
      <c r="C8558" s="2" t="s">
        <v>26</v>
      </c>
      <c r="D8558" s="2" t="s">
        <v>27</v>
      </c>
      <c r="E8558" s="5">
        <v>-28837</v>
      </c>
      <c r="F8558" s="3" t="s">
        <v>1234</v>
      </c>
      <c r="G8558" s="3" t="s">
        <v>52</v>
      </c>
      <c r="H8558" s="2" t="s">
        <v>21</v>
      </c>
      <c r="I8558" s="2" t="s">
        <v>16588</v>
      </c>
      <c r="J8558" s="3" t="str">
        <f>HYPERLINK("https://www.boe.es/gazeta/dias/1821/01/16/pdfs/GGB-1821-16.pdf#page=2","Abrir facsímil")</f>
        <v>Abrir facsímil</v>
      </c>
      <c r="K8558" s="3" t="s">
        <v>23</v>
      </c>
    </row>
    <row r="8559" spans="1:11" ht="42" customHeight="1">
      <c r="A8559" s="2" t="s">
        <v>16584</v>
      </c>
      <c r="B8559" s="2" t="s">
        <v>16584</v>
      </c>
      <c r="C8559" s="2" t="s">
        <v>40</v>
      </c>
      <c r="D8559" s="2" t="s">
        <v>41</v>
      </c>
      <c r="E8559" s="5">
        <v>-28827</v>
      </c>
      <c r="F8559" s="3" t="s">
        <v>1382</v>
      </c>
      <c r="G8559" s="3" t="s">
        <v>52</v>
      </c>
      <c r="H8559" s="2" t="s">
        <v>21</v>
      </c>
      <c r="I8559" s="2" t="s">
        <v>16589</v>
      </c>
      <c r="J8559" s="3" t="str">
        <f>HYPERLINK("https://www.boe.es/gazeta/dias/1821/01/26/pdfs/GGB-1821-26.pdf#page=2","Abrir facsímil")</f>
        <v>Abrir facsímil</v>
      </c>
      <c r="K8559" s="3" t="s">
        <v>23</v>
      </c>
    </row>
    <row r="8560" spans="1:11" ht="42" customHeight="1">
      <c r="A8560" s="2" t="s">
        <v>16584</v>
      </c>
      <c r="B8560" s="2" t="s">
        <v>16584</v>
      </c>
      <c r="C8560" s="2" t="s">
        <v>40</v>
      </c>
      <c r="D8560" s="2" t="s">
        <v>41</v>
      </c>
      <c r="E8560" s="5">
        <v>-28826</v>
      </c>
      <c r="F8560" s="3" t="s">
        <v>2706</v>
      </c>
      <c r="G8560" s="3" t="s">
        <v>2707</v>
      </c>
      <c r="H8560" s="2" t="s">
        <v>21</v>
      </c>
      <c r="I8560" s="2" t="s">
        <v>16590</v>
      </c>
      <c r="J8560" s="3" t="str">
        <f>HYPERLINK("https://www.boe.es/gazeta/dias/1821/01/27/pdfs/GGB-1821-27.pdf#page=3","Abrir facsímil")</f>
        <v>Abrir facsímil</v>
      </c>
      <c r="K8560" s="3" t="s">
        <v>23</v>
      </c>
    </row>
    <row r="8561" spans="1:11" ht="42" customHeight="1">
      <c r="A8561" s="2" t="s">
        <v>16584</v>
      </c>
      <c r="B8561" s="2" t="s">
        <v>16584</v>
      </c>
      <c r="C8561" s="2" t="s">
        <v>40</v>
      </c>
      <c r="D8561" s="2" t="s">
        <v>41</v>
      </c>
      <c r="E8561" s="5">
        <v>-28771</v>
      </c>
      <c r="F8561" s="3" t="s">
        <v>110</v>
      </c>
      <c r="G8561" s="3" t="s">
        <v>43</v>
      </c>
      <c r="H8561" s="2" t="s">
        <v>21</v>
      </c>
      <c r="I8561" s="2" t="s">
        <v>16591</v>
      </c>
      <c r="J8561" s="3" t="str">
        <f>HYPERLINK("https://www.boe.es/gazeta/dias/1821/03/23/pdfs/GMD-1821-83.pdf#page=1","Abrir facsímil")</f>
        <v>Abrir facsímil</v>
      </c>
      <c r="K8561" s="3" t="s">
        <v>23</v>
      </c>
    </row>
    <row r="8562" spans="1:11" ht="42" customHeight="1">
      <c r="A8562" s="2" t="s">
        <v>16584</v>
      </c>
      <c r="B8562" s="2" t="s">
        <v>16584</v>
      </c>
      <c r="C8562" s="2" t="s">
        <v>17</v>
      </c>
      <c r="D8562" s="2" t="s">
        <v>18</v>
      </c>
      <c r="E8562" s="5">
        <v>-28762</v>
      </c>
      <c r="F8562" s="3" t="s">
        <v>608</v>
      </c>
      <c r="G8562" s="3" t="s">
        <v>43</v>
      </c>
      <c r="H8562" s="2" t="s">
        <v>21</v>
      </c>
      <c r="I8562" s="2" t="s">
        <v>16592</v>
      </c>
      <c r="J8562" s="3" t="str">
        <f>HYPERLINK("https://www.boe.es/gazeta/dias/1821/04/01/pdfs/GMD-1821-93.pdf#page=1","Abrir facsímil")</f>
        <v>Abrir facsímil</v>
      </c>
      <c r="K8562" s="3" t="s">
        <v>23</v>
      </c>
    </row>
    <row r="8563" spans="1:11" ht="42" customHeight="1">
      <c r="A8563" s="2" t="s">
        <v>16584</v>
      </c>
      <c r="B8563" s="2" t="s">
        <v>16584</v>
      </c>
      <c r="C8563" s="2" t="s">
        <v>35</v>
      </c>
      <c r="D8563" s="2" t="s">
        <v>27</v>
      </c>
      <c r="E8563" s="5">
        <v>-28743</v>
      </c>
      <c r="F8563" s="3" t="s">
        <v>51</v>
      </c>
      <c r="G8563" s="3" t="s">
        <v>20</v>
      </c>
      <c r="H8563" s="2" t="s">
        <v>21</v>
      </c>
      <c r="I8563" s="2" t="s">
        <v>16593</v>
      </c>
      <c r="J8563" s="3" t="str">
        <f>HYPERLINK("https://www.boe.es/gazeta/dias/1821/04/20/pdfs/GMD-1821-112.pdf#page=3","Abrir facsímil")</f>
        <v>Abrir facsímil</v>
      </c>
      <c r="K8563" s="3" t="s">
        <v>23</v>
      </c>
    </row>
    <row r="8564" spans="1:11" ht="42" customHeight="1">
      <c r="A8564" s="2" t="s">
        <v>16584</v>
      </c>
      <c r="B8564" s="2" t="s">
        <v>16584</v>
      </c>
      <c r="C8564" s="2" t="s">
        <v>40</v>
      </c>
      <c r="D8564" s="2" t="s">
        <v>41</v>
      </c>
      <c r="E8564" s="5">
        <v>-28742</v>
      </c>
      <c r="F8564" s="3" t="s">
        <v>324</v>
      </c>
      <c r="G8564" s="3" t="s">
        <v>20</v>
      </c>
      <c r="H8564" s="2" t="s">
        <v>21</v>
      </c>
      <c r="I8564" s="2" t="s">
        <v>16594</v>
      </c>
      <c r="J8564" s="3" t="str">
        <f>HYPERLINK("https://www.boe.es/gazeta/dias/1821/04/21/pdfs/GMD-1821-113.pdf#page=3","Abrir facsímil")</f>
        <v>Abrir facsímil</v>
      </c>
      <c r="K8564" s="3" t="s">
        <v>23</v>
      </c>
    </row>
    <row r="8565" spans="1:11" ht="42" customHeight="1">
      <c r="A8565" s="2" t="s">
        <v>16595</v>
      </c>
      <c r="B8565" s="2" t="s">
        <v>16595</v>
      </c>
      <c r="C8565" s="2" t="s">
        <v>40</v>
      </c>
      <c r="D8565" s="2" t="s">
        <v>41</v>
      </c>
      <c r="E8565" s="5">
        <v>-28773</v>
      </c>
      <c r="F8565" s="3" t="s">
        <v>1755</v>
      </c>
      <c r="G8565" s="3" t="s">
        <v>43</v>
      </c>
      <c r="H8565" s="2" t="s">
        <v>21</v>
      </c>
      <c r="I8565" s="2" t="s">
        <v>16596</v>
      </c>
      <c r="J8565" s="3" t="str">
        <f>HYPERLINK("https://www.boe.es/gazeta/dias/1821/03/21/pdfs/GMD-1821-80.pdf#page=1","Abrir facsímil")</f>
        <v>Abrir facsímil</v>
      </c>
      <c r="K8565" s="3" t="s">
        <v>23</v>
      </c>
    </row>
    <row r="8566" spans="1:11" ht="42" customHeight="1">
      <c r="A8566" s="2" t="s">
        <v>16597</v>
      </c>
      <c r="B8566" s="2" t="s">
        <v>16598</v>
      </c>
      <c r="C8566" s="2" t="s">
        <v>26</v>
      </c>
      <c r="D8566" s="2" t="s">
        <v>27</v>
      </c>
      <c r="E8566" s="5">
        <v>-28683</v>
      </c>
      <c r="F8566" s="3" t="s">
        <v>332</v>
      </c>
      <c r="G8566" s="3" t="s">
        <v>52</v>
      </c>
      <c r="H8566" s="2" t="s">
        <v>21</v>
      </c>
      <c r="I8566" s="2" t="s">
        <v>16599</v>
      </c>
      <c r="J8566" s="3" t="str">
        <f>HYPERLINK("https://www.boe.es/gazeta/dias/1821/06/19/pdfs/GMD-1821-172.pdf#page=2","Abrir facsímil")</f>
        <v>Abrir facsímil</v>
      </c>
      <c r="K8566" s="3" t="s">
        <v>23</v>
      </c>
    </row>
    <row r="8567" spans="1:11" ht="42" customHeight="1">
      <c r="A8567" s="2" t="s">
        <v>16600</v>
      </c>
      <c r="B8567" s="2" t="s">
        <v>16601</v>
      </c>
      <c r="C8567" s="2" t="s">
        <v>40</v>
      </c>
      <c r="D8567" s="2" t="s">
        <v>41</v>
      </c>
      <c r="E8567" s="5">
        <v>-28706</v>
      </c>
      <c r="F8567" s="3" t="s">
        <v>4791</v>
      </c>
      <c r="G8567" s="3" t="s">
        <v>88</v>
      </c>
      <c r="H8567" s="2" t="s">
        <v>21</v>
      </c>
      <c r="I8567" s="2" t="s">
        <v>16602</v>
      </c>
      <c r="J8567" s="3" t="str">
        <f>HYPERLINK("https://www.boe.es/gazeta/dias/1821/05/27/pdfs/GMD-1821-149.pdf#page=4","Abrir facsímil")</f>
        <v>Abrir facsímil</v>
      </c>
      <c r="K8567" s="3" t="s">
        <v>23</v>
      </c>
    </row>
    <row r="8568" spans="1:11" ht="42" customHeight="1">
      <c r="A8568" s="2" t="s">
        <v>16603</v>
      </c>
      <c r="B8568" s="2" t="s">
        <v>16604</v>
      </c>
      <c r="C8568" s="2" t="s">
        <v>26</v>
      </c>
      <c r="D8568" s="2" t="s">
        <v>27</v>
      </c>
      <c r="E8568" s="5">
        <v>-28547</v>
      </c>
      <c r="F8568" s="3" t="s">
        <v>247</v>
      </c>
      <c r="G8568" s="3" t="s">
        <v>248</v>
      </c>
      <c r="H8568" s="2" t="s">
        <v>21</v>
      </c>
      <c r="I8568" s="2" t="s">
        <v>16605</v>
      </c>
      <c r="J8568" s="3" t="str">
        <f>HYPERLINK("https://www.boe.es/gazeta/dias/1821/11/02/pdfs/GMD-1821-312.pdf#page=2","Abrir facsímil")</f>
        <v>Abrir facsímil</v>
      </c>
      <c r="K8568" s="3" t="s">
        <v>23</v>
      </c>
    </row>
    <row r="8569" spans="1:11" ht="42" customHeight="1">
      <c r="A8569" s="2" t="s">
        <v>16606</v>
      </c>
      <c r="B8569" s="2" t="s">
        <v>16607</v>
      </c>
      <c r="C8569" s="2" t="s">
        <v>114</v>
      </c>
      <c r="D8569" s="2" t="s">
        <v>27</v>
      </c>
      <c r="E8569" s="5">
        <v>-28560</v>
      </c>
      <c r="F8569" s="3" t="s">
        <v>363</v>
      </c>
      <c r="G8569" s="3" t="s">
        <v>162</v>
      </c>
      <c r="H8569" s="2" t="s">
        <v>30</v>
      </c>
      <c r="I8569" s="2" t="s">
        <v>16608</v>
      </c>
      <c r="J8569" s="3" t="str">
        <f>HYPERLINK("https://www.boe.es/gazeta/dias/1821/10/20/pdfs/GMD-1821-299.pdf#page=5","Abrir facsímil")</f>
        <v>Abrir facsímil</v>
      </c>
      <c r="K8569" s="3" t="s">
        <v>32</v>
      </c>
    </row>
    <row r="8570" spans="1:11" ht="42" customHeight="1">
      <c r="A8570" s="2" t="s">
        <v>16609</v>
      </c>
      <c r="B8570" s="2" t="s">
        <v>16609</v>
      </c>
      <c r="C8570" s="2" t="s">
        <v>40</v>
      </c>
      <c r="D8570" s="2" t="s">
        <v>41</v>
      </c>
      <c r="E8570" s="5">
        <v>-28565</v>
      </c>
      <c r="F8570" s="3" t="s">
        <v>326</v>
      </c>
      <c r="G8570" s="3" t="s">
        <v>29</v>
      </c>
      <c r="H8570" s="2" t="s">
        <v>21</v>
      </c>
      <c r="I8570" s="2" t="s">
        <v>16610</v>
      </c>
      <c r="J8570" s="3" t="str">
        <f>HYPERLINK("https://www.boe.es/gazeta/dias/1821/10/15/pdfs/GMD-1821-294.pdf#page=6","Abrir facsímil")</f>
        <v>Abrir facsímil</v>
      </c>
      <c r="K8570" s="3" t="s">
        <v>23</v>
      </c>
    </row>
    <row r="8571" spans="1:11" ht="42" customHeight="1">
      <c r="A8571" s="2" t="s">
        <v>16611</v>
      </c>
      <c r="B8571" s="2" t="s">
        <v>16612</v>
      </c>
      <c r="C8571" s="2" t="s">
        <v>40</v>
      </c>
      <c r="D8571" s="2" t="s">
        <v>41</v>
      </c>
      <c r="E8571" s="5">
        <v>-28703</v>
      </c>
      <c r="F8571" s="3" t="s">
        <v>231</v>
      </c>
      <c r="G8571" s="3" t="s">
        <v>52</v>
      </c>
      <c r="H8571" s="2" t="s">
        <v>21</v>
      </c>
      <c r="I8571" s="2" t="s">
        <v>16613</v>
      </c>
      <c r="J8571" s="3" t="str">
        <f>HYPERLINK("https://www.boe.es/gazeta/dias/1821/05/30/pdfs/GMD-1821-152.pdf#page=2","Abrir facsímil")</f>
        <v>Abrir facsímil</v>
      </c>
      <c r="K8571" s="3" t="s">
        <v>23</v>
      </c>
    </row>
    <row r="8572" spans="1:11" ht="42" customHeight="1">
      <c r="A8572" s="2" t="s">
        <v>16614</v>
      </c>
      <c r="B8572" s="2" t="s">
        <v>16615</v>
      </c>
      <c r="C8572" s="2" t="s">
        <v>114</v>
      </c>
      <c r="D8572" s="2" t="s">
        <v>27</v>
      </c>
      <c r="E8572" s="5">
        <v>-28495</v>
      </c>
      <c r="F8572" s="3" t="s">
        <v>227</v>
      </c>
      <c r="G8572" s="3" t="s">
        <v>333</v>
      </c>
      <c r="H8572" s="2" t="s">
        <v>21</v>
      </c>
      <c r="I8572" s="2" t="s">
        <v>16616</v>
      </c>
      <c r="J8572" s="3" t="str">
        <f>HYPERLINK("https://www.boe.es/gazeta/dias/1821/12/24/pdfs/GMD-1821-367.pdf#page=8","Abrir facsímil")</f>
        <v>Abrir facsímil</v>
      </c>
      <c r="K8572" s="3" t="s">
        <v>23</v>
      </c>
    </row>
    <row r="8573" spans="1:11" ht="42" customHeight="1">
      <c r="A8573" s="2" t="s">
        <v>16617</v>
      </c>
      <c r="B8573" s="2" t="s">
        <v>16618</v>
      </c>
      <c r="C8573" s="2" t="s">
        <v>35</v>
      </c>
      <c r="D8573" s="2" t="s">
        <v>27</v>
      </c>
      <c r="E8573" s="5">
        <v>-28786</v>
      </c>
      <c r="F8573" s="3" t="s">
        <v>1933</v>
      </c>
      <c r="G8573" s="3" t="s">
        <v>88</v>
      </c>
      <c r="H8573" s="2" t="s">
        <v>21</v>
      </c>
      <c r="I8573" s="2" t="s">
        <v>16619</v>
      </c>
      <c r="J8573" s="3" t="str">
        <f>HYPERLINK("https://www.boe.es/gazeta/dias/1821/03/08/pdfs/GGB-1821-67.pdf#page=4","Abrir facsímil")</f>
        <v>Abrir facsímil</v>
      </c>
      <c r="K8573" s="3" t="s">
        <v>23</v>
      </c>
    </row>
    <row r="8574" spans="1:11" ht="42" customHeight="1">
      <c r="A8574" s="2" t="s">
        <v>16617</v>
      </c>
      <c r="B8574" s="2" t="s">
        <v>16618</v>
      </c>
      <c r="C8574" s="2" t="s">
        <v>17</v>
      </c>
      <c r="D8574" s="2" t="s">
        <v>18</v>
      </c>
      <c r="E8574" s="5">
        <v>-28701</v>
      </c>
      <c r="F8574" s="3" t="s">
        <v>202</v>
      </c>
      <c r="G8574" s="3" t="s">
        <v>52</v>
      </c>
      <c r="H8574" s="2" t="s">
        <v>21</v>
      </c>
      <c r="I8574" s="2" t="s">
        <v>16620</v>
      </c>
      <c r="J8574" s="3" t="str">
        <f>HYPERLINK("https://www.boe.es/gazeta/dias/1821/06/01/pdfs/GMD-1821-154.pdf#page=2","Abrir facsímil")</f>
        <v>Abrir facsímil</v>
      </c>
      <c r="K8574" s="3" t="s">
        <v>23</v>
      </c>
    </row>
    <row r="8575" spans="1:11" ht="42" customHeight="1">
      <c r="A8575" s="2" t="s">
        <v>16621</v>
      </c>
      <c r="B8575" s="2" t="s">
        <v>16622</v>
      </c>
      <c r="C8575" s="2" t="s">
        <v>40</v>
      </c>
      <c r="D8575" s="2" t="s">
        <v>41</v>
      </c>
      <c r="E8575" s="5">
        <v>-28711</v>
      </c>
      <c r="F8575" s="3" t="s">
        <v>1048</v>
      </c>
      <c r="G8575" s="3" t="s">
        <v>43</v>
      </c>
      <c r="H8575" s="2" t="s">
        <v>21</v>
      </c>
      <c r="I8575" s="2" t="s">
        <v>16623</v>
      </c>
      <c r="J8575" s="3" t="str">
        <f>HYPERLINK("https://www.boe.es/gazeta/dias/1821/05/22/pdfs/GMD-1821-144.pdf#page=1","Abrir facsímil")</f>
        <v>Abrir facsímil</v>
      </c>
      <c r="K8575" s="3" t="s">
        <v>23</v>
      </c>
    </row>
    <row r="8576" spans="1:11" ht="42" customHeight="1">
      <c r="A8576" s="2" t="s">
        <v>16624</v>
      </c>
      <c r="B8576" s="2" t="s">
        <v>16625</v>
      </c>
      <c r="C8576" s="2" t="s">
        <v>70</v>
      </c>
      <c r="D8576" s="2" t="s">
        <v>27</v>
      </c>
      <c r="E8576" s="5">
        <v>-28712</v>
      </c>
      <c r="F8576" s="3" t="s">
        <v>695</v>
      </c>
      <c r="G8576" s="3" t="s">
        <v>20</v>
      </c>
      <c r="H8576" s="2" t="s">
        <v>30</v>
      </c>
      <c r="I8576" s="2" t="s">
        <v>16626</v>
      </c>
      <c r="J8576" s="3" t="str">
        <f>HYPERLINK("https://www.boe.es/gazeta/dias/1821/05/21/pdfs/GMD-1821-143.pdf#page=3","Abrir facsímil")</f>
        <v>Abrir facsímil</v>
      </c>
      <c r="K8576" s="3" t="s">
        <v>32</v>
      </c>
    </row>
    <row r="8577" spans="1:11" ht="42" customHeight="1">
      <c r="A8577" s="2" t="s">
        <v>16627</v>
      </c>
      <c r="B8577" s="2" t="s">
        <v>16628</v>
      </c>
      <c r="C8577" s="2" t="s">
        <v>279</v>
      </c>
      <c r="D8577" s="2" t="s">
        <v>27</v>
      </c>
      <c r="E8577" s="5">
        <v>-28535</v>
      </c>
      <c r="F8577" s="3" t="s">
        <v>96</v>
      </c>
      <c r="G8577" s="3" t="s">
        <v>29</v>
      </c>
      <c r="H8577" s="2" t="s">
        <v>21</v>
      </c>
      <c r="I8577" s="2" t="s">
        <v>16629</v>
      </c>
      <c r="J8577" s="3" t="str">
        <f>HYPERLINK("https://www.boe.es/gazeta/dias/1821/11/14/pdfs/GMD-1821-325.pdf#page=6","Abrir facsímil")</f>
        <v>Abrir facsímil</v>
      </c>
      <c r="K8577" s="3" t="s">
        <v>23</v>
      </c>
    </row>
    <row r="8578" spans="1:11" ht="42" customHeight="1">
      <c r="A8578" s="2" t="s">
        <v>16630</v>
      </c>
      <c r="B8578" s="2" t="s">
        <v>16631</v>
      </c>
      <c r="C8578" s="2" t="s">
        <v>40</v>
      </c>
      <c r="D8578" s="2" t="s">
        <v>41</v>
      </c>
      <c r="E8578" s="5">
        <v>-28706</v>
      </c>
      <c r="F8578" s="3" t="s">
        <v>4791</v>
      </c>
      <c r="G8578" s="3" t="s">
        <v>43</v>
      </c>
      <c r="H8578" s="2" t="s">
        <v>21</v>
      </c>
      <c r="I8578" s="2" t="s">
        <v>16632</v>
      </c>
      <c r="J8578" s="3" t="str">
        <f>HYPERLINK("https://www.boe.es/gazeta/dias/1821/05/27/pdfs/GMD-1821-149.pdf#page=1","Abrir facsímil")</f>
        <v>Abrir facsímil</v>
      </c>
      <c r="K8578" s="3" t="s">
        <v>23</v>
      </c>
    </row>
    <row r="8579" spans="1:11" ht="42" customHeight="1">
      <c r="A8579" s="2" t="s">
        <v>16630</v>
      </c>
      <c r="B8579" s="2" t="s">
        <v>16631</v>
      </c>
      <c r="C8579" s="2" t="s">
        <v>17</v>
      </c>
      <c r="D8579" s="2" t="s">
        <v>18</v>
      </c>
      <c r="E8579" s="5">
        <v>-28704</v>
      </c>
      <c r="F8579" s="3" t="s">
        <v>1050</v>
      </c>
      <c r="G8579" s="3" t="s">
        <v>52</v>
      </c>
      <c r="H8579" s="2" t="s">
        <v>21</v>
      </c>
      <c r="I8579" s="2" t="s">
        <v>16633</v>
      </c>
      <c r="J8579" s="3" t="str">
        <f>HYPERLINK("https://www.boe.es/gazeta/dias/1821/05/29/pdfs/GMD-1821-151.pdf#page=2","Abrir facsímil")</f>
        <v>Abrir facsímil</v>
      </c>
      <c r="K8579" s="3" t="s">
        <v>23</v>
      </c>
    </row>
    <row r="8580" spans="1:11" ht="42" customHeight="1">
      <c r="A8580" s="2" t="s">
        <v>16634</v>
      </c>
      <c r="B8580" s="2" t="s">
        <v>16635</v>
      </c>
      <c r="C8580" s="2" t="s">
        <v>40</v>
      </c>
      <c r="D8580" s="2" t="s">
        <v>41</v>
      </c>
      <c r="E8580" s="5">
        <v>-28764</v>
      </c>
      <c r="F8580" s="3" t="s">
        <v>924</v>
      </c>
      <c r="G8580" s="3" t="s">
        <v>52</v>
      </c>
      <c r="H8580" s="2" t="s">
        <v>21</v>
      </c>
      <c r="I8580" s="2" t="s">
        <v>16636</v>
      </c>
      <c r="J8580" s="3" t="str">
        <f>HYPERLINK("https://www.boe.es/gazeta/dias/1821/03/30/pdfs/GMD-1821-91.pdf#page=2","Abrir facsímil")</f>
        <v>Abrir facsímil</v>
      </c>
      <c r="K8580" s="3" t="s">
        <v>23</v>
      </c>
    </row>
    <row r="8581" spans="1:11" ht="42" customHeight="1">
      <c r="A8581" s="2" t="s">
        <v>16637</v>
      </c>
      <c r="B8581" s="2" t="s">
        <v>16638</v>
      </c>
      <c r="C8581" s="2" t="s">
        <v>26</v>
      </c>
      <c r="D8581" s="2" t="s">
        <v>27</v>
      </c>
      <c r="E8581" s="5">
        <v>-28733</v>
      </c>
      <c r="F8581" s="3" t="s">
        <v>1033</v>
      </c>
      <c r="G8581" s="3" t="s">
        <v>52</v>
      </c>
      <c r="H8581" s="2" t="s">
        <v>21</v>
      </c>
      <c r="I8581" s="2" t="s">
        <v>16639</v>
      </c>
      <c r="J8581" s="3" t="str">
        <f>HYPERLINK("https://www.boe.es/gazeta/dias/1821/04/30/pdfs/GMD-1821-122.pdf#page=2","Abrir facsímil")</f>
        <v>Abrir facsímil</v>
      </c>
      <c r="K8581" s="3" t="s">
        <v>23</v>
      </c>
    </row>
    <row r="8582" spans="1:11" ht="42" customHeight="1">
      <c r="A8582" s="2" t="s">
        <v>16640</v>
      </c>
      <c r="B8582" s="2" t="s">
        <v>16641</v>
      </c>
      <c r="C8582" s="2" t="s">
        <v>35</v>
      </c>
      <c r="D8582" s="2" t="s">
        <v>27</v>
      </c>
      <c r="E8582" s="5">
        <v>-28543</v>
      </c>
      <c r="F8582" s="3" t="s">
        <v>136</v>
      </c>
      <c r="G8582" s="3" t="s">
        <v>88</v>
      </c>
      <c r="H8582" s="2" t="s">
        <v>21</v>
      </c>
      <c r="I8582" s="2" t="s">
        <v>16642</v>
      </c>
      <c r="J8582" s="3" t="str">
        <f>HYPERLINK("https://www.boe.es/gazeta/dias/1821/11/06/pdfs/GMD-1821-317.pdf#page=4","Abrir facsímil")</f>
        <v>Abrir facsímil</v>
      </c>
      <c r="K8582" s="3" t="s">
        <v>23</v>
      </c>
    </row>
    <row r="8583" spans="1:11" ht="42" customHeight="1">
      <c r="A8583" s="2" t="s">
        <v>16643</v>
      </c>
      <c r="B8583" s="2" t="s">
        <v>16643</v>
      </c>
      <c r="C8583" s="2" t="s">
        <v>40</v>
      </c>
      <c r="D8583" s="2" t="s">
        <v>41</v>
      </c>
      <c r="E8583" s="5">
        <v>-28764</v>
      </c>
      <c r="F8583" s="3" t="s">
        <v>924</v>
      </c>
      <c r="G8583" s="3" t="s">
        <v>43</v>
      </c>
      <c r="H8583" s="2" t="s">
        <v>21</v>
      </c>
      <c r="I8583" s="2" t="s">
        <v>16644</v>
      </c>
      <c r="J8583" s="3" t="str">
        <f>HYPERLINK("https://www.boe.es/gazeta/dias/1821/03/30/pdfs/GMD-1821-91.pdf#page=1","Abrir facsímil")</f>
        <v>Abrir facsímil</v>
      </c>
      <c r="K8583" s="3" t="s">
        <v>23</v>
      </c>
    </row>
    <row r="8584" spans="1:11" ht="42" customHeight="1">
      <c r="A8584" s="2" t="s">
        <v>16645</v>
      </c>
      <c r="B8584" s="2" t="s">
        <v>16645</v>
      </c>
      <c r="C8584" s="2" t="s">
        <v>40</v>
      </c>
      <c r="D8584" s="2" t="s">
        <v>41</v>
      </c>
      <c r="E8584" s="5">
        <v>-28776</v>
      </c>
      <c r="F8584" s="3" t="s">
        <v>312</v>
      </c>
      <c r="G8584" s="3" t="s">
        <v>52</v>
      </c>
      <c r="H8584" s="2" t="s">
        <v>21</v>
      </c>
      <c r="I8584" s="2" t="s">
        <v>16646</v>
      </c>
      <c r="J8584" s="3" t="str">
        <f>HYPERLINK("https://www.boe.es/gazeta/dias/1821/03/18/pdfs/GMD-1821-77.pdf#page=2","Abrir facsímil")</f>
        <v>Abrir facsímil</v>
      </c>
      <c r="K8584" s="3" t="s">
        <v>23</v>
      </c>
    </row>
    <row r="8585" spans="1:11" ht="42" customHeight="1">
      <c r="A8585" s="2" t="s">
        <v>16645</v>
      </c>
      <c r="B8585" s="2" t="s">
        <v>16645</v>
      </c>
      <c r="C8585" s="2" t="s">
        <v>40</v>
      </c>
      <c r="D8585" s="2" t="s">
        <v>41</v>
      </c>
      <c r="E8585" s="5">
        <v>-28711</v>
      </c>
      <c r="F8585" s="3" t="s">
        <v>1048</v>
      </c>
      <c r="G8585" s="3" t="s">
        <v>52</v>
      </c>
      <c r="H8585" s="2" t="s">
        <v>21</v>
      </c>
      <c r="I8585" s="2" t="s">
        <v>16647</v>
      </c>
      <c r="J8585" s="3" t="str">
        <f>HYPERLINK("https://www.boe.es/gazeta/dias/1821/05/22/pdfs/GMD-1821-144.pdf#page=2","Abrir facsímil")</f>
        <v>Abrir facsímil</v>
      </c>
      <c r="K8585" s="3" t="s">
        <v>23</v>
      </c>
    </row>
    <row r="8586" spans="1:11" ht="42" customHeight="1">
      <c r="A8586" s="2" t="s">
        <v>16645</v>
      </c>
      <c r="B8586" s="2" t="s">
        <v>16645</v>
      </c>
      <c r="C8586" s="2" t="s">
        <v>40</v>
      </c>
      <c r="D8586" s="2" t="s">
        <v>41</v>
      </c>
      <c r="E8586" s="5">
        <v>-28704</v>
      </c>
      <c r="F8586" s="3" t="s">
        <v>1050</v>
      </c>
      <c r="G8586" s="3" t="s">
        <v>52</v>
      </c>
      <c r="H8586" s="2" t="s">
        <v>21</v>
      </c>
      <c r="I8586" s="2" t="s">
        <v>16648</v>
      </c>
      <c r="J8586" s="3" t="str">
        <f>HYPERLINK("https://www.boe.es/gazeta/dias/1821/05/29/pdfs/GMD-1821-151.pdf#page=2","Abrir facsímil")</f>
        <v>Abrir facsímil</v>
      </c>
      <c r="K8586" s="3" t="s">
        <v>23</v>
      </c>
    </row>
    <row r="8587" spans="1:11" ht="42" customHeight="1">
      <c r="A8587" s="2" t="s">
        <v>16645</v>
      </c>
      <c r="B8587" s="2" t="s">
        <v>16645</v>
      </c>
      <c r="C8587" s="2" t="s">
        <v>40</v>
      </c>
      <c r="D8587" s="2" t="s">
        <v>41</v>
      </c>
      <c r="E8587" s="5">
        <v>-28699</v>
      </c>
      <c r="F8587" s="3" t="s">
        <v>280</v>
      </c>
      <c r="G8587" s="3" t="s">
        <v>20</v>
      </c>
      <c r="H8587" s="2" t="s">
        <v>21</v>
      </c>
      <c r="I8587" s="2" t="s">
        <v>16649</v>
      </c>
      <c r="J8587" s="3" t="str">
        <f>HYPERLINK("https://www.boe.es/gazeta/dias/1821/06/03/pdfs/GMD-1821-156.pdf#page=3","Abrir facsímil")</f>
        <v>Abrir facsímil</v>
      </c>
      <c r="K8587" s="3" t="s">
        <v>23</v>
      </c>
    </row>
    <row r="8588" spans="1:11" ht="42" customHeight="1">
      <c r="A8588" s="2" t="s">
        <v>16645</v>
      </c>
      <c r="B8588" s="2" t="s">
        <v>16645</v>
      </c>
      <c r="C8588" s="2" t="s">
        <v>40</v>
      </c>
      <c r="D8588" s="2" t="s">
        <v>41</v>
      </c>
      <c r="E8588" s="5">
        <v>-28684</v>
      </c>
      <c r="F8588" s="3" t="s">
        <v>208</v>
      </c>
      <c r="G8588" s="3" t="s">
        <v>20</v>
      </c>
      <c r="H8588" s="2" t="s">
        <v>21</v>
      </c>
      <c r="I8588" s="2" t="s">
        <v>16650</v>
      </c>
      <c r="J8588" s="3" t="str">
        <f>HYPERLINK("https://www.boe.es/gazeta/dias/1821/06/18/pdfs/GMD-1821-171.pdf#page=3","Abrir facsímil")</f>
        <v>Abrir facsímil</v>
      </c>
      <c r="K8588" s="3" t="s">
        <v>23</v>
      </c>
    </row>
    <row r="8589" spans="1:11" ht="42" customHeight="1">
      <c r="A8589" s="2" t="s">
        <v>16651</v>
      </c>
      <c r="B8589" s="2" t="s">
        <v>16652</v>
      </c>
      <c r="C8589" s="2" t="s">
        <v>26</v>
      </c>
      <c r="D8589" s="2" t="s">
        <v>27</v>
      </c>
      <c r="E8589" s="5">
        <v>-28547</v>
      </c>
      <c r="F8589" s="3" t="s">
        <v>247</v>
      </c>
      <c r="G8589" s="3" t="s">
        <v>248</v>
      </c>
      <c r="H8589" s="2" t="s">
        <v>21</v>
      </c>
      <c r="I8589" s="2" t="s">
        <v>16653</v>
      </c>
      <c r="J8589" s="3" t="str">
        <f>HYPERLINK("https://www.boe.es/gazeta/dias/1821/11/02/pdfs/GMD-1821-312.pdf#page=2","Abrir facsímil")</f>
        <v>Abrir facsímil</v>
      </c>
      <c r="K8589" s="3" t="s">
        <v>23</v>
      </c>
    </row>
    <row r="8590" spans="1:11" ht="42" customHeight="1">
      <c r="A8590" s="2" t="s">
        <v>16654</v>
      </c>
      <c r="B8590" s="2" t="s">
        <v>16654</v>
      </c>
      <c r="C8590" s="2" t="s">
        <v>17</v>
      </c>
      <c r="D8590" s="2" t="s">
        <v>18</v>
      </c>
      <c r="E8590" s="5">
        <v>-28815</v>
      </c>
      <c r="F8590" s="3" t="s">
        <v>2394</v>
      </c>
      <c r="G8590" s="3" t="s">
        <v>52</v>
      </c>
      <c r="H8590" s="2" t="s">
        <v>21</v>
      </c>
      <c r="I8590" s="2" t="s">
        <v>16655</v>
      </c>
      <c r="J8590" s="3" t="str">
        <f>HYPERLINK("https://www.boe.es/gazeta/dias/1821/02/07/pdfs/GGB-1821-38.pdf#page=2","Abrir facsímil")</f>
        <v>Abrir facsímil</v>
      </c>
      <c r="K8590" s="3" t="s">
        <v>23</v>
      </c>
    </row>
    <row r="8591" spans="1:11" ht="42" customHeight="1">
      <c r="A8591" s="2" t="s">
        <v>16656</v>
      </c>
      <c r="B8591" s="2" t="s">
        <v>16657</v>
      </c>
      <c r="C8591" s="2" t="s">
        <v>17</v>
      </c>
      <c r="D8591" s="2" t="s">
        <v>18</v>
      </c>
      <c r="E8591" s="5">
        <v>-28519</v>
      </c>
      <c r="F8591" s="3" t="s">
        <v>880</v>
      </c>
      <c r="G8591" s="3" t="s">
        <v>88</v>
      </c>
      <c r="H8591" s="2" t="s">
        <v>21</v>
      </c>
      <c r="I8591" s="2" t="s">
        <v>16658</v>
      </c>
      <c r="J8591" s="3" t="str">
        <f>HYPERLINK("https://www.boe.es/gazeta/dias/1821/11/30/pdfs/GMD-1821-342.pdf#page=4","Abrir facsímil")</f>
        <v>Abrir facsímil</v>
      </c>
      <c r="K8591" s="3" t="s">
        <v>23</v>
      </c>
    </row>
    <row r="8592" spans="1:11" ht="42" customHeight="1">
      <c r="A8592" s="2" t="s">
        <v>16659</v>
      </c>
      <c r="B8592" s="2" t="s">
        <v>16660</v>
      </c>
      <c r="C8592" s="2" t="s">
        <v>26</v>
      </c>
      <c r="D8592" s="2" t="s">
        <v>27</v>
      </c>
      <c r="E8592" s="5">
        <v>-28565</v>
      </c>
      <c r="F8592" s="3" t="s">
        <v>326</v>
      </c>
      <c r="G8592" s="3" t="s">
        <v>162</v>
      </c>
      <c r="H8592" s="2" t="s">
        <v>21</v>
      </c>
      <c r="I8592" s="2" t="s">
        <v>16661</v>
      </c>
      <c r="J8592" s="3" t="str">
        <f>HYPERLINK("https://www.boe.es/gazeta/dias/1821/10/15/pdfs/GMD-1821-294.pdf#page=5","Abrir facsímil")</f>
        <v>Abrir facsímil</v>
      </c>
      <c r="K8592" s="3" t="s">
        <v>23</v>
      </c>
    </row>
    <row r="8593" spans="1:11" ht="42" customHeight="1">
      <c r="A8593" s="2" t="s">
        <v>16662</v>
      </c>
      <c r="B8593" s="2" t="s">
        <v>16663</v>
      </c>
      <c r="C8593" s="2" t="s">
        <v>26</v>
      </c>
      <c r="D8593" s="2" t="s">
        <v>27</v>
      </c>
      <c r="E8593" s="5">
        <v>-28712</v>
      </c>
      <c r="F8593" s="3" t="s">
        <v>695</v>
      </c>
      <c r="G8593" s="3" t="s">
        <v>88</v>
      </c>
      <c r="H8593" s="2" t="s">
        <v>21</v>
      </c>
      <c r="I8593" s="2" t="s">
        <v>16664</v>
      </c>
      <c r="J8593" s="3" t="str">
        <f>HYPERLINK("https://www.boe.es/gazeta/dias/1821/05/21/pdfs/GMD-1821-143.pdf#page=4","Abrir facsímil")</f>
        <v>Abrir facsímil</v>
      </c>
      <c r="K8593" s="3" t="s">
        <v>23</v>
      </c>
    </row>
    <row r="8594" spans="1:11" ht="42" customHeight="1">
      <c r="A8594" s="2" t="s">
        <v>16665</v>
      </c>
      <c r="B8594" s="2" t="s">
        <v>16666</v>
      </c>
      <c r="C8594" s="2" t="s">
        <v>70</v>
      </c>
      <c r="D8594" s="2" t="s">
        <v>27</v>
      </c>
      <c r="E8594" s="5">
        <v>-28738</v>
      </c>
      <c r="F8594" s="3" t="s">
        <v>359</v>
      </c>
      <c r="G8594" s="3" t="s">
        <v>88</v>
      </c>
      <c r="H8594" s="2" t="s">
        <v>21</v>
      </c>
      <c r="I8594" s="2" t="s">
        <v>16667</v>
      </c>
      <c r="J8594" s="3" t="str">
        <f>HYPERLINK("https://www.boe.es/gazeta/dias/1821/04/25/pdfs/GMD-1821-117.pdf#page=4","Abrir facsímil")</f>
        <v>Abrir facsímil</v>
      </c>
      <c r="K8594" s="3" t="s">
        <v>23</v>
      </c>
    </row>
    <row r="8595" spans="1:11" ht="42" customHeight="1">
      <c r="A8595" s="2" t="s">
        <v>16668</v>
      </c>
      <c r="B8595" s="2" t="s">
        <v>16668</v>
      </c>
      <c r="C8595" s="2" t="s">
        <v>40</v>
      </c>
      <c r="D8595" s="2" t="s">
        <v>41</v>
      </c>
      <c r="E8595" s="5">
        <v>-28762</v>
      </c>
      <c r="F8595" s="3" t="s">
        <v>608</v>
      </c>
      <c r="G8595" s="3" t="s">
        <v>162</v>
      </c>
      <c r="H8595" s="2" t="s">
        <v>21</v>
      </c>
      <c r="I8595" s="2" t="s">
        <v>16669</v>
      </c>
      <c r="J8595" s="3" t="str">
        <f>HYPERLINK("https://www.boe.es/gazeta/dias/1821/04/01/pdfs/GMD-1821-93.pdf#page=5","Abrir facsímil")</f>
        <v>Abrir facsímil</v>
      </c>
      <c r="K8595" s="3" t="s">
        <v>23</v>
      </c>
    </row>
    <row r="8596" spans="1:11" ht="42" customHeight="1">
      <c r="A8596" s="2" t="s">
        <v>16670</v>
      </c>
      <c r="B8596" s="2" t="s">
        <v>16671</v>
      </c>
      <c r="C8596" s="2" t="s">
        <v>279</v>
      </c>
      <c r="D8596" s="2" t="s">
        <v>27</v>
      </c>
      <c r="E8596" s="5">
        <v>-28646</v>
      </c>
      <c r="F8596" s="3" t="s">
        <v>1457</v>
      </c>
      <c r="G8596" s="3" t="s">
        <v>79</v>
      </c>
      <c r="H8596" s="2" t="s">
        <v>21</v>
      </c>
      <c r="I8596" s="2" t="s">
        <v>16672</v>
      </c>
      <c r="J8596" s="3" t="str">
        <f>HYPERLINK("https://www.boe.es/gazeta/dias/1821/07/26/pdfs/GMD-1821-211.pdf#page=4","Abrir facsímil")</f>
        <v>Abrir facsímil</v>
      </c>
      <c r="K8596" s="3" t="s">
        <v>23</v>
      </c>
    </row>
    <row r="8597" spans="1:11" ht="42" customHeight="1">
      <c r="A8597" s="2" t="s">
        <v>16673</v>
      </c>
      <c r="B8597" s="2" t="s">
        <v>16674</v>
      </c>
      <c r="C8597" s="2" t="s">
        <v>26</v>
      </c>
      <c r="D8597" s="2" t="s">
        <v>27</v>
      </c>
      <c r="E8597" s="5">
        <v>-28809</v>
      </c>
      <c r="F8597" s="3" t="s">
        <v>1173</v>
      </c>
      <c r="G8597" s="3" t="s">
        <v>88</v>
      </c>
      <c r="H8597" s="2" t="s">
        <v>21</v>
      </c>
      <c r="I8597" s="2" t="s">
        <v>16675</v>
      </c>
      <c r="J8597" s="3" t="str">
        <f>HYPERLINK("https://www.boe.es/gazeta/dias/1821/02/13/pdfs/GGB-1821-44.pdf#page=4","Abrir facsímil")</f>
        <v>Abrir facsímil</v>
      </c>
      <c r="K8597" s="3" t="s">
        <v>23</v>
      </c>
    </row>
    <row r="8598" spans="1:11" ht="42" customHeight="1">
      <c r="A8598" s="2" t="s">
        <v>16676</v>
      </c>
      <c r="B8598" s="2" t="s">
        <v>16676</v>
      </c>
      <c r="C8598" s="2" t="s">
        <v>26</v>
      </c>
      <c r="D8598" s="2" t="s">
        <v>27</v>
      </c>
      <c r="E8598" s="5">
        <v>-28521</v>
      </c>
      <c r="F8598" s="3" t="s">
        <v>499</v>
      </c>
      <c r="G8598" s="3" t="s">
        <v>52</v>
      </c>
      <c r="H8598" s="2" t="s">
        <v>21</v>
      </c>
      <c r="I8598" s="2" t="s">
        <v>16677</v>
      </c>
      <c r="J8598" s="3" t="str">
        <f>HYPERLINK("https://www.boe.es/gazeta/dias/1821/11/28/pdfs/GMD-1821-340.pdf#page=2","Abrir facsímil")</f>
        <v>Abrir facsímil</v>
      </c>
      <c r="K8598" s="3" t="s">
        <v>23</v>
      </c>
    </row>
    <row r="8599" spans="1:11" ht="42" customHeight="1">
      <c r="A8599" s="2" t="s">
        <v>16676</v>
      </c>
      <c r="B8599" s="2" t="s">
        <v>16676</v>
      </c>
      <c r="C8599" s="2" t="s">
        <v>35</v>
      </c>
      <c r="D8599" s="2" t="s">
        <v>27</v>
      </c>
      <c r="E8599" s="5">
        <v>-28519</v>
      </c>
      <c r="F8599" s="3" t="s">
        <v>880</v>
      </c>
      <c r="G8599" s="3" t="s">
        <v>3835</v>
      </c>
      <c r="H8599" s="2" t="s">
        <v>21</v>
      </c>
      <c r="I8599" s="2" t="s">
        <v>16678</v>
      </c>
      <c r="J8599" s="3" t="str">
        <f>HYPERLINK("https://www.boe.es/gazeta/dias/1821/11/30/pdfs/GMD-1821-342.pdf#page=3","Abrir facsímil")</f>
        <v>Abrir facsímil</v>
      </c>
      <c r="K8599" s="3" t="s">
        <v>23</v>
      </c>
    </row>
    <row r="8600" spans="1:11" ht="42" customHeight="1">
      <c r="A8600" s="2" t="s">
        <v>16676</v>
      </c>
      <c r="B8600" s="2" t="s">
        <v>16676</v>
      </c>
      <c r="C8600" s="2" t="s">
        <v>70</v>
      </c>
      <c r="D8600" s="2" t="s">
        <v>27</v>
      </c>
      <c r="E8600" s="5">
        <v>-28501</v>
      </c>
      <c r="F8600" s="3" t="s">
        <v>456</v>
      </c>
      <c r="G8600" s="3" t="s">
        <v>88</v>
      </c>
      <c r="H8600" s="2" t="s">
        <v>21</v>
      </c>
      <c r="I8600" s="2" t="s">
        <v>16679</v>
      </c>
      <c r="J8600" s="3" t="str">
        <f>HYPERLINK("https://www.boe.es/gazeta/dias/1821/12/18/pdfs/GMD-1821-361.pdf#page=4","Abrir facsímil")</f>
        <v>Abrir facsímil</v>
      </c>
      <c r="K8600" s="3" t="s">
        <v>23</v>
      </c>
    </row>
    <row r="8601" spans="1:11" ht="42" customHeight="1">
      <c r="A8601" s="2" t="s">
        <v>16680</v>
      </c>
      <c r="B8601" s="2" t="s">
        <v>16681</v>
      </c>
      <c r="C8601" s="2" t="s">
        <v>26</v>
      </c>
      <c r="D8601" s="2" t="s">
        <v>27</v>
      </c>
      <c r="E8601" s="5">
        <v>-28681</v>
      </c>
      <c r="F8601" s="3" t="s">
        <v>210</v>
      </c>
      <c r="G8601" s="3" t="s">
        <v>52</v>
      </c>
      <c r="H8601" s="2" t="s">
        <v>21</v>
      </c>
      <c r="I8601" s="2" t="s">
        <v>16682</v>
      </c>
      <c r="J8601" s="3" t="str">
        <f>HYPERLINK("https://www.boe.es/gazeta/dias/1821/06/21/pdfs/GMD-1821-174.pdf#page=2","Abrir facsímil")</f>
        <v>Abrir facsímil</v>
      </c>
      <c r="K8601" s="3" t="s">
        <v>23</v>
      </c>
    </row>
    <row r="8602" spans="1:11" ht="42" customHeight="1">
      <c r="A8602" s="2" t="s">
        <v>16683</v>
      </c>
      <c r="B8602" s="2" t="s">
        <v>16684</v>
      </c>
      <c r="C8602" s="2" t="s">
        <v>26</v>
      </c>
      <c r="D8602" s="2" t="s">
        <v>27</v>
      </c>
      <c r="E8602" s="5">
        <v>-28635</v>
      </c>
      <c r="F8602" s="3" t="s">
        <v>1210</v>
      </c>
      <c r="G8602" s="3" t="s">
        <v>88</v>
      </c>
      <c r="H8602" s="2" t="s">
        <v>21</v>
      </c>
      <c r="I8602" s="2" t="s">
        <v>16685</v>
      </c>
      <c r="J8602" s="3" t="str">
        <f>HYPERLINK("https://www.boe.es/gazeta/dias/1821/08/06/pdfs/GMD-1821-222.pdf#page=4","Abrir facsímil")</f>
        <v>Abrir facsímil</v>
      </c>
      <c r="K8602" s="3" t="s">
        <v>23</v>
      </c>
    </row>
    <row r="8603" spans="1:11" ht="42" customHeight="1">
      <c r="A8603" s="2" t="s">
        <v>16686</v>
      </c>
      <c r="B8603" s="2" t="s">
        <v>16687</v>
      </c>
      <c r="C8603" s="2" t="s">
        <v>40</v>
      </c>
      <c r="D8603" s="2" t="s">
        <v>41</v>
      </c>
      <c r="E8603" s="5">
        <v>-28830</v>
      </c>
      <c r="F8603" s="3" t="s">
        <v>3230</v>
      </c>
      <c r="G8603" s="3" t="s">
        <v>20</v>
      </c>
      <c r="H8603" s="2" t="s">
        <v>21</v>
      </c>
      <c r="I8603" s="2" t="s">
        <v>16688</v>
      </c>
      <c r="J8603" s="3" t="str">
        <f>HYPERLINK("https://www.boe.es/gazeta/dias/1821/01/23/pdfs/GGB-1821-23.pdf#page=3","Abrir facsímil")</f>
        <v>Abrir facsímil</v>
      </c>
      <c r="K8603" s="3" t="s">
        <v>23</v>
      </c>
    </row>
    <row r="8604" spans="1:11" ht="42" customHeight="1">
      <c r="A8604" s="2" t="s">
        <v>16689</v>
      </c>
      <c r="B8604" s="2" t="s">
        <v>16690</v>
      </c>
      <c r="C8604" s="2" t="s">
        <v>114</v>
      </c>
      <c r="D8604" s="2" t="s">
        <v>27</v>
      </c>
      <c r="E8604" s="5">
        <v>-28764</v>
      </c>
      <c r="F8604" s="3" t="s">
        <v>924</v>
      </c>
      <c r="G8604" s="3" t="s">
        <v>52</v>
      </c>
      <c r="H8604" s="2" t="s">
        <v>21</v>
      </c>
      <c r="I8604" s="2" t="s">
        <v>16691</v>
      </c>
      <c r="J8604" s="3" t="str">
        <f>HYPERLINK("https://www.boe.es/gazeta/dias/1821/03/30/pdfs/GMD-1821-91.pdf#page=2","Abrir facsímil")</f>
        <v>Abrir facsímil</v>
      </c>
      <c r="K8604" s="3" t="s">
        <v>23</v>
      </c>
    </row>
    <row r="8605" spans="1:11" ht="42" customHeight="1">
      <c r="A8605" s="2" t="s">
        <v>16692</v>
      </c>
      <c r="B8605" s="2" t="s">
        <v>16693</v>
      </c>
      <c r="C8605" s="2" t="s">
        <v>40</v>
      </c>
      <c r="D8605" s="2" t="s">
        <v>41</v>
      </c>
      <c r="E8605" s="5">
        <v>-28754</v>
      </c>
      <c r="F8605" s="3" t="s">
        <v>1942</v>
      </c>
      <c r="G8605" s="3" t="s">
        <v>52</v>
      </c>
      <c r="H8605" s="2" t="s">
        <v>21</v>
      </c>
      <c r="I8605" s="2" t="s">
        <v>16694</v>
      </c>
      <c r="J8605" s="3" t="str">
        <f>HYPERLINK("https://www.boe.es/gazeta/dias/1821/04/09/pdfs/GMD-1821-101.pdf#page=2","Abrir facsímil")</f>
        <v>Abrir facsímil</v>
      </c>
      <c r="K8605" s="3" t="s">
        <v>23</v>
      </c>
    </row>
    <row r="8606" spans="1:11" ht="42" customHeight="1">
      <c r="A8606" s="2" t="s">
        <v>16695</v>
      </c>
      <c r="B8606" s="2" t="s">
        <v>16695</v>
      </c>
      <c r="C8606" s="2" t="s">
        <v>40</v>
      </c>
      <c r="D8606" s="2" t="s">
        <v>41</v>
      </c>
      <c r="E8606" s="5">
        <v>-28652</v>
      </c>
      <c r="F8606" s="3" t="s">
        <v>1314</v>
      </c>
      <c r="G8606" s="3" t="s">
        <v>52</v>
      </c>
      <c r="H8606" s="2" t="s">
        <v>21</v>
      </c>
      <c r="I8606" s="2" t="s">
        <v>16696</v>
      </c>
      <c r="J8606" s="3" t="str">
        <f>HYPERLINK("https://www.boe.es/gazeta/dias/1821/07/20/pdfs/GMD-1821-205.pdf#page=2","Abrir facsímil")</f>
        <v>Abrir facsímil</v>
      </c>
      <c r="K8606" s="3" t="s">
        <v>23</v>
      </c>
    </row>
    <row r="8607" spans="1:11" ht="42" customHeight="1">
      <c r="A8607" s="2" t="s">
        <v>16695</v>
      </c>
      <c r="B8607" s="2" t="s">
        <v>16695</v>
      </c>
      <c r="C8607" s="2" t="s">
        <v>17</v>
      </c>
      <c r="D8607" s="2" t="s">
        <v>18</v>
      </c>
      <c r="E8607" s="5">
        <v>-28651</v>
      </c>
      <c r="F8607" s="3" t="s">
        <v>1518</v>
      </c>
      <c r="G8607" s="3" t="s">
        <v>1917</v>
      </c>
      <c r="H8607" s="2" t="s">
        <v>21</v>
      </c>
      <c r="I8607" s="2" t="s">
        <v>16697</v>
      </c>
      <c r="J8607" s="3" t="str">
        <f>HYPERLINK("https://www.boe.es/gazeta/dias/1821/07/21/pdfs/GMD-1821-206.pdf#page=3","Abrir facsímil")</f>
        <v>Abrir facsímil</v>
      </c>
      <c r="K8607" s="3" t="s">
        <v>23</v>
      </c>
    </row>
    <row r="8608" spans="1:11" ht="42" customHeight="1">
      <c r="A8608" s="2" t="s">
        <v>16698</v>
      </c>
      <c r="B8608" s="2" t="s">
        <v>16698</v>
      </c>
      <c r="C8608" s="2" t="s">
        <v>26</v>
      </c>
      <c r="D8608" s="2" t="s">
        <v>27</v>
      </c>
      <c r="E8608" s="5">
        <v>-28631</v>
      </c>
      <c r="F8608" s="3" t="s">
        <v>751</v>
      </c>
      <c r="G8608" s="3" t="s">
        <v>43</v>
      </c>
      <c r="H8608" s="2" t="s">
        <v>21</v>
      </c>
      <c r="I8608" s="2" t="s">
        <v>16699</v>
      </c>
      <c r="J8608" s="3" t="str">
        <f>HYPERLINK("https://www.boe.es/gazeta/dias/1821/08/10/pdfs/GMD-1821-227.pdf#page=1","Abrir facsímil")</f>
        <v>Abrir facsímil</v>
      </c>
      <c r="K8608" s="3" t="s">
        <v>23</v>
      </c>
    </row>
    <row r="8609" spans="1:11" ht="42" customHeight="1">
      <c r="A8609" s="2" t="s">
        <v>16700</v>
      </c>
      <c r="B8609" s="2" t="s">
        <v>16701</v>
      </c>
      <c r="C8609" s="2" t="s">
        <v>40</v>
      </c>
      <c r="D8609" s="2" t="s">
        <v>41</v>
      </c>
      <c r="E8609" s="5">
        <v>-28739</v>
      </c>
      <c r="F8609" s="3" t="s">
        <v>1024</v>
      </c>
      <c r="G8609" s="3" t="s">
        <v>52</v>
      </c>
      <c r="H8609" s="2" t="s">
        <v>21</v>
      </c>
      <c r="I8609" s="2" t="s">
        <v>16702</v>
      </c>
      <c r="J8609" s="3" t="str">
        <f>HYPERLINK("https://www.boe.es/gazeta/dias/1821/04/24/pdfs/GMD-1821-116.pdf#page=2","Abrir facsímil")</f>
        <v>Abrir facsímil</v>
      </c>
      <c r="K8609" s="3" t="s">
        <v>23</v>
      </c>
    </row>
    <row r="8610" spans="1:11" ht="42" customHeight="1">
      <c r="A8610" s="2" t="s">
        <v>16703</v>
      </c>
      <c r="B8610" s="2" t="s">
        <v>16704</v>
      </c>
      <c r="C8610" s="2" t="s">
        <v>17</v>
      </c>
      <c r="D8610" s="2" t="s">
        <v>18</v>
      </c>
      <c r="E8610" s="5">
        <v>-28840</v>
      </c>
      <c r="F8610" s="3" t="s">
        <v>161</v>
      </c>
      <c r="G8610" s="3" t="s">
        <v>88</v>
      </c>
      <c r="H8610" s="2" t="s">
        <v>21</v>
      </c>
      <c r="I8610" s="2" t="s">
        <v>16705</v>
      </c>
      <c r="J8610" s="3" t="str">
        <f>HYPERLINK("https://www.boe.es/gazeta/dias/1821/01/13/pdfs/GGB-1821-13.pdf#page=4","Abrir facsímil")</f>
        <v>Abrir facsímil</v>
      </c>
      <c r="K8610" s="3" t="s">
        <v>23</v>
      </c>
    </row>
    <row r="8611" spans="1:11" ht="42" customHeight="1">
      <c r="A8611" s="2" t="s">
        <v>16706</v>
      </c>
      <c r="B8611" s="2" t="s">
        <v>16707</v>
      </c>
      <c r="C8611" s="2" t="s">
        <v>17</v>
      </c>
      <c r="D8611" s="2" t="s">
        <v>18</v>
      </c>
      <c r="E8611" s="5">
        <v>-28537</v>
      </c>
      <c r="F8611" s="3" t="s">
        <v>56</v>
      </c>
      <c r="G8611" s="3" t="s">
        <v>52</v>
      </c>
      <c r="H8611" s="2" t="s">
        <v>21</v>
      </c>
      <c r="I8611" s="2" t="s">
        <v>16708</v>
      </c>
      <c r="J8611" s="3" t="str">
        <f>HYPERLINK("https://www.boe.es/gazeta/dias/1821/11/12/pdfs/GMD-1821-323.pdf#page=2","Abrir facsímil")</f>
        <v>Abrir facsímil</v>
      </c>
      <c r="K8611" s="3" t="s">
        <v>23</v>
      </c>
    </row>
    <row r="8612" spans="1:11" ht="42" customHeight="1">
      <c r="A8612" s="2" t="s">
        <v>16709</v>
      </c>
      <c r="B8612" s="2" t="s">
        <v>16709</v>
      </c>
      <c r="C8612" s="2" t="s">
        <v>35</v>
      </c>
      <c r="D8612" s="2" t="s">
        <v>27</v>
      </c>
      <c r="E8612" s="5">
        <v>-28842</v>
      </c>
      <c r="F8612" s="3" t="s">
        <v>660</v>
      </c>
      <c r="G8612" s="3" t="s">
        <v>43</v>
      </c>
      <c r="H8612" s="2" t="s">
        <v>21</v>
      </c>
      <c r="I8612" s="2" t="s">
        <v>16710</v>
      </c>
      <c r="J8612" s="3" t="str">
        <f>HYPERLINK("https://www.boe.es/gazeta/dias/1821/01/11/pdfs/GGB-1821-11.pdf#page=1","Abrir facsímil")</f>
        <v>Abrir facsímil</v>
      </c>
      <c r="K8612" s="3" t="s">
        <v>23</v>
      </c>
    </row>
    <row r="8613" spans="1:11" ht="42" customHeight="1">
      <c r="A8613" s="2" t="s">
        <v>16711</v>
      </c>
      <c r="B8613" s="2" t="s">
        <v>16711</v>
      </c>
      <c r="C8613" s="2" t="s">
        <v>40</v>
      </c>
      <c r="D8613" s="2" t="s">
        <v>41</v>
      </c>
      <c r="E8613" s="5">
        <v>-28694</v>
      </c>
      <c r="F8613" s="3" t="s">
        <v>1057</v>
      </c>
      <c r="G8613" s="3" t="s">
        <v>43</v>
      </c>
      <c r="H8613" s="2" t="s">
        <v>21</v>
      </c>
      <c r="I8613" s="2" t="s">
        <v>16712</v>
      </c>
      <c r="J8613" s="3" t="str">
        <f>HYPERLINK("https://www.boe.es/gazeta/dias/1821/06/08/pdfs/GMD-1821-161.pdf#page=1","Abrir facsímil")</f>
        <v>Abrir facsímil</v>
      </c>
      <c r="K8613" s="3" t="s">
        <v>23</v>
      </c>
    </row>
    <row r="8614" spans="1:11" ht="42" customHeight="1">
      <c r="A8614" s="2" t="s">
        <v>16713</v>
      </c>
      <c r="B8614" s="2" t="s">
        <v>16713</v>
      </c>
      <c r="C8614" s="2" t="s">
        <v>114</v>
      </c>
      <c r="D8614" s="2" t="s">
        <v>27</v>
      </c>
      <c r="E8614" s="5">
        <v>-28526</v>
      </c>
      <c r="F8614" s="3" t="s">
        <v>223</v>
      </c>
      <c r="G8614" s="3" t="s">
        <v>52</v>
      </c>
      <c r="H8614" s="2" t="s">
        <v>21</v>
      </c>
      <c r="I8614" s="2" t="s">
        <v>16714</v>
      </c>
      <c r="J8614" s="3" t="str">
        <f>HYPERLINK("https://www.boe.es/gazeta/dias/1821/11/23/pdfs/GMD-1821-334.pdf#page=2","Abrir facsímil")</f>
        <v>Abrir facsímil</v>
      </c>
      <c r="K8614" s="3" t="s">
        <v>23</v>
      </c>
    </row>
    <row r="8615" spans="1:11" ht="42" customHeight="1">
      <c r="A8615" s="2" t="s">
        <v>16715</v>
      </c>
      <c r="B8615" s="2" t="s">
        <v>16716</v>
      </c>
      <c r="C8615" s="2" t="s">
        <v>40</v>
      </c>
      <c r="D8615" s="2" t="s">
        <v>41</v>
      </c>
      <c r="E8615" s="5">
        <v>-28531</v>
      </c>
      <c r="F8615" s="3" t="s">
        <v>365</v>
      </c>
      <c r="G8615" s="3" t="s">
        <v>20</v>
      </c>
      <c r="H8615" s="2" t="s">
        <v>21</v>
      </c>
      <c r="I8615" s="2" t="s">
        <v>16717</v>
      </c>
      <c r="J8615" s="3" t="str">
        <f>HYPERLINK("https://www.boe.es/gazeta/dias/1821/11/18/pdfs/GMD-1821-329.pdf#page=3","Abrir facsímil")</f>
        <v>Abrir facsímil</v>
      </c>
      <c r="K8615" s="3" t="s">
        <v>23</v>
      </c>
    </row>
    <row r="8616" spans="1:11" ht="42" customHeight="1">
      <c r="A8616" s="2" t="s">
        <v>16718</v>
      </c>
      <c r="B8616" s="2" t="s">
        <v>16718</v>
      </c>
      <c r="C8616" s="2" t="s">
        <v>40</v>
      </c>
      <c r="D8616" s="2" t="s">
        <v>41</v>
      </c>
      <c r="E8616" s="5">
        <v>-28683</v>
      </c>
      <c r="F8616" s="3" t="s">
        <v>332</v>
      </c>
      <c r="G8616" s="3" t="s">
        <v>29</v>
      </c>
      <c r="H8616" s="2" t="s">
        <v>21</v>
      </c>
      <c r="I8616" s="2" t="s">
        <v>16719</v>
      </c>
      <c r="J8616" s="3" t="str">
        <f>HYPERLINK("https://www.boe.es/gazeta/dias/1821/06/19/pdfs/GMD-1821-172.pdf#page=6","Abrir facsímil")</f>
        <v>Abrir facsímil</v>
      </c>
      <c r="K8616" s="3" t="s">
        <v>23</v>
      </c>
    </row>
    <row r="8617" spans="1:11" ht="42" customHeight="1">
      <c r="A8617" s="2" t="s">
        <v>16720</v>
      </c>
      <c r="B8617" s="2" t="s">
        <v>16721</v>
      </c>
      <c r="C8617" s="2" t="s">
        <v>17</v>
      </c>
      <c r="D8617" s="2" t="s">
        <v>18</v>
      </c>
      <c r="E8617" s="5">
        <v>-28783</v>
      </c>
      <c r="F8617" s="3" t="s">
        <v>198</v>
      </c>
      <c r="G8617" s="3" t="s">
        <v>88</v>
      </c>
      <c r="H8617" s="2" t="s">
        <v>21</v>
      </c>
      <c r="I8617" s="2" t="s">
        <v>16722</v>
      </c>
      <c r="J8617" s="3" t="str">
        <f>HYPERLINK("https://www.boe.es/gazeta/dias/1821/03/11/pdfs/GGB-1821-70.pdf#page=4","Abrir facsímil")</f>
        <v>Abrir facsímil</v>
      </c>
      <c r="K8617" s="3" t="s">
        <v>23</v>
      </c>
    </row>
    <row r="8618" spans="1:11" ht="42" customHeight="1">
      <c r="A8618" s="2" t="s">
        <v>16723</v>
      </c>
      <c r="B8618" s="2" t="s">
        <v>16724</v>
      </c>
      <c r="C8618" s="2" t="s">
        <v>114</v>
      </c>
      <c r="D8618" s="2" t="s">
        <v>27</v>
      </c>
      <c r="E8618" s="5">
        <v>-28823</v>
      </c>
      <c r="F8618" s="3" t="s">
        <v>1890</v>
      </c>
      <c r="G8618" s="3" t="s">
        <v>1891</v>
      </c>
      <c r="H8618" s="2" t="s">
        <v>21</v>
      </c>
      <c r="I8618" s="2" t="s">
        <v>16725</v>
      </c>
      <c r="J8618" s="3" t="str">
        <f>HYPERLINK("https://www.boe.es/gazeta/dias/1821/01/30/pdfs/GGB-1821-30.pdf#page=4","Abrir facsímil")</f>
        <v>Abrir facsímil</v>
      </c>
      <c r="K8618" s="3" t="s">
        <v>23</v>
      </c>
    </row>
    <row r="8619" spans="1:11" ht="42" customHeight="1">
      <c r="A8619" s="2" t="s">
        <v>16726</v>
      </c>
      <c r="B8619" s="2" t="s">
        <v>16727</v>
      </c>
      <c r="C8619" s="2" t="s">
        <v>40</v>
      </c>
      <c r="D8619" s="2" t="s">
        <v>41</v>
      </c>
      <c r="E8619" s="5">
        <v>-28767</v>
      </c>
      <c r="F8619" s="3" t="s">
        <v>1439</v>
      </c>
      <c r="G8619" s="3" t="s">
        <v>1440</v>
      </c>
      <c r="H8619" s="2" t="s">
        <v>21</v>
      </c>
      <c r="I8619" s="2" t="s">
        <v>16728</v>
      </c>
      <c r="J8619" s="3" t="str">
        <f>HYPERLINK("https://www.boe.es/gazeta/dias/1821/03/27/pdfs/GMD-1821-87.pdf#page=3","Abrir facsímil")</f>
        <v>Abrir facsímil</v>
      </c>
      <c r="K8619" s="3" t="s">
        <v>23</v>
      </c>
    </row>
    <row r="8620" spans="1:11" ht="42" customHeight="1">
      <c r="A8620" s="2" t="s">
        <v>16729</v>
      </c>
      <c r="B8620" s="2" t="s">
        <v>16730</v>
      </c>
      <c r="C8620" s="2" t="s">
        <v>40</v>
      </c>
      <c r="D8620" s="2" t="s">
        <v>41</v>
      </c>
      <c r="E8620" s="5">
        <v>-28531</v>
      </c>
      <c r="F8620" s="3" t="s">
        <v>365</v>
      </c>
      <c r="G8620" s="3" t="s">
        <v>20</v>
      </c>
      <c r="H8620" s="2" t="s">
        <v>21</v>
      </c>
      <c r="I8620" s="2" t="s">
        <v>16731</v>
      </c>
      <c r="J8620" s="3" t="str">
        <f>HYPERLINK("https://www.boe.es/gazeta/dias/1821/11/18/pdfs/GMD-1821-329.pdf#page=3","Abrir facsímil")</f>
        <v>Abrir facsímil</v>
      </c>
      <c r="K8620" s="3" t="s">
        <v>23</v>
      </c>
    </row>
    <row r="8621" spans="1:11" ht="42" customHeight="1">
      <c r="A8621" s="2" t="s">
        <v>16732</v>
      </c>
      <c r="B8621" s="2" t="s">
        <v>16733</v>
      </c>
      <c r="C8621" s="2" t="s">
        <v>40</v>
      </c>
      <c r="D8621" s="2" t="s">
        <v>41</v>
      </c>
      <c r="E8621" s="5">
        <v>-28501</v>
      </c>
      <c r="F8621" s="3" t="s">
        <v>456</v>
      </c>
      <c r="G8621" s="3" t="s">
        <v>20</v>
      </c>
      <c r="H8621" s="2" t="s">
        <v>21</v>
      </c>
      <c r="I8621" s="2" t="s">
        <v>16734</v>
      </c>
      <c r="J8621" s="3" t="str">
        <f>HYPERLINK("https://www.boe.es/gazeta/dias/1821/12/18/pdfs/GMD-1821-361.pdf#page=3","Abrir facsímil")</f>
        <v>Abrir facsímil</v>
      </c>
      <c r="K8621" s="3" t="s">
        <v>23</v>
      </c>
    </row>
    <row r="8622" spans="1:11" ht="42" customHeight="1">
      <c r="A8622" s="2" t="s">
        <v>16735</v>
      </c>
      <c r="B8622" s="2" t="s">
        <v>16736</v>
      </c>
      <c r="C8622" s="2" t="s">
        <v>40</v>
      </c>
      <c r="D8622" s="2" t="s">
        <v>41</v>
      </c>
      <c r="E8622" s="5">
        <v>-28772</v>
      </c>
      <c r="F8622" s="3" t="s">
        <v>62</v>
      </c>
      <c r="G8622" s="3" t="s">
        <v>20</v>
      </c>
      <c r="H8622" s="2" t="s">
        <v>21</v>
      </c>
      <c r="I8622" s="2" t="s">
        <v>16737</v>
      </c>
      <c r="J8622" s="3" t="str">
        <f>HYPERLINK("https://www.boe.es/gazeta/dias/1821/03/22/pdfs/GMD-1821-81.pdf#page=3","Abrir facsímil")</f>
        <v>Abrir facsímil</v>
      </c>
      <c r="K8622" s="3" t="s">
        <v>23</v>
      </c>
    </row>
    <row r="8623" spans="1:11" ht="42" customHeight="1">
      <c r="A8623" s="2" t="s">
        <v>16738</v>
      </c>
      <c r="B8623" s="2" t="s">
        <v>16739</v>
      </c>
      <c r="C8623" s="2" t="s">
        <v>26</v>
      </c>
      <c r="D8623" s="2" t="s">
        <v>27</v>
      </c>
      <c r="E8623" s="5">
        <v>-28489</v>
      </c>
      <c r="F8623" s="3" t="s">
        <v>3894</v>
      </c>
      <c r="G8623" s="3" t="s">
        <v>88</v>
      </c>
      <c r="H8623" s="2" t="s">
        <v>30</v>
      </c>
      <c r="I8623" s="2" t="s">
        <v>16740</v>
      </c>
      <c r="J8623" s="3" t="str">
        <f>HYPERLINK("https://www.boe.es/gazeta/dias/1821/12/30/pdfs/GMD-1821-373.pdf#page=4","Abrir facsímil")</f>
        <v>Abrir facsímil</v>
      </c>
      <c r="K8623" s="3" t="s">
        <v>32</v>
      </c>
    </row>
    <row r="8624" spans="1:11" ht="42" customHeight="1">
      <c r="A8624" s="2" t="s">
        <v>16741</v>
      </c>
      <c r="B8624" s="2" t="s">
        <v>16742</v>
      </c>
      <c r="C8624" s="2" t="s">
        <v>17</v>
      </c>
      <c r="D8624" s="2" t="s">
        <v>18</v>
      </c>
      <c r="E8624" s="5">
        <v>-28798</v>
      </c>
      <c r="F8624" s="3" t="s">
        <v>60</v>
      </c>
      <c r="G8624" s="3" t="s">
        <v>88</v>
      </c>
      <c r="H8624" s="2" t="s">
        <v>30</v>
      </c>
      <c r="I8624" s="2" t="s">
        <v>16743</v>
      </c>
      <c r="J8624" s="3" t="str">
        <f>HYPERLINK("https://www.boe.es/gazeta/dias/1821/02/24/pdfs/GGB-1821-55.pdf#page=4","Abrir facsímil")</f>
        <v>Abrir facsímil</v>
      </c>
      <c r="K8624" s="3" t="s">
        <v>32</v>
      </c>
    </row>
    <row r="8625" spans="1:11" ht="42" customHeight="1">
      <c r="A8625" s="2" t="s">
        <v>16744</v>
      </c>
      <c r="B8625" s="2" t="s">
        <v>16745</v>
      </c>
      <c r="C8625" s="2" t="s">
        <v>114</v>
      </c>
      <c r="D8625" s="2" t="s">
        <v>27</v>
      </c>
      <c r="E8625" s="5">
        <v>-28507</v>
      </c>
      <c r="F8625" s="3" t="s">
        <v>1158</v>
      </c>
      <c r="G8625" s="3" t="s">
        <v>52</v>
      </c>
      <c r="H8625" s="2" t="s">
        <v>21</v>
      </c>
      <c r="I8625" s="2" t="s">
        <v>16746</v>
      </c>
      <c r="J8625" s="3" t="str">
        <f>HYPERLINK("https://www.boe.es/gazeta/dias/1821/12/12/pdfs/GMD-1821-354.pdf#page=2","Abrir facsímil")</f>
        <v>Abrir facsímil</v>
      </c>
      <c r="K8625" s="3" t="s">
        <v>23</v>
      </c>
    </row>
    <row r="8626" spans="1:11" ht="42" customHeight="1">
      <c r="A8626" s="2" t="s">
        <v>16747</v>
      </c>
      <c r="B8626" s="2" t="s">
        <v>16748</v>
      </c>
      <c r="C8626" s="2" t="s">
        <v>40</v>
      </c>
      <c r="D8626" s="2" t="s">
        <v>41</v>
      </c>
      <c r="E8626" s="5">
        <v>-28492</v>
      </c>
      <c r="F8626" s="3" t="s">
        <v>1550</v>
      </c>
      <c r="G8626" s="3" t="s">
        <v>88</v>
      </c>
      <c r="H8626" s="2" t="s">
        <v>21</v>
      </c>
      <c r="I8626" s="2" t="s">
        <v>16749</v>
      </c>
      <c r="J8626" s="3" t="str">
        <f>HYPERLINK("https://www.boe.es/gazeta/dias/1821/12/27/pdfs/GMD-1821-370.pdf#page=4","Abrir facsímil")</f>
        <v>Abrir facsímil</v>
      </c>
      <c r="K8626" s="3" t="s">
        <v>23</v>
      </c>
    </row>
    <row r="8627" spans="1:11" ht="42" customHeight="1">
      <c r="A8627" s="2" t="s">
        <v>16750</v>
      </c>
      <c r="B8627" s="2" t="s">
        <v>16751</v>
      </c>
      <c r="C8627" s="2" t="s">
        <v>17</v>
      </c>
      <c r="D8627" s="2" t="s">
        <v>18</v>
      </c>
      <c r="E8627" s="5">
        <v>-28776</v>
      </c>
      <c r="F8627" s="3" t="s">
        <v>312</v>
      </c>
      <c r="G8627" s="3" t="s">
        <v>88</v>
      </c>
      <c r="H8627" s="2" t="s">
        <v>21</v>
      </c>
      <c r="I8627" s="2" t="s">
        <v>16752</v>
      </c>
      <c r="J8627" s="3" t="str">
        <f>HYPERLINK("https://www.boe.es/gazeta/dias/1821/03/18/pdfs/GMD-1821-77.pdf#page=4","Abrir facsímil")</f>
        <v>Abrir facsímil</v>
      </c>
      <c r="K8627" s="3" t="s">
        <v>23</v>
      </c>
    </row>
    <row r="8628" spans="1:11" ht="42" customHeight="1">
      <c r="A8628" s="2" t="s">
        <v>16753</v>
      </c>
      <c r="B8628" s="2" t="s">
        <v>16754</v>
      </c>
      <c r="C8628" s="2" t="s">
        <v>40</v>
      </c>
      <c r="D8628" s="2" t="s">
        <v>41</v>
      </c>
      <c r="E8628" s="5">
        <v>-28580</v>
      </c>
      <c r="F8628" s="3" t="s">
        <v>175</v>
      </c>
      <c r="G8628" s="3" t="s">
        <v>20</v>
      </c>
      <c r="H8628" s="2" t="s">
        <v>21</v>
      </c>
      <c r="I8628" s="2" t="s">
        <v>16755</v>
      </c>
      <c r="J8628" s="3" t="str">
        <f>HYPERLINK("https://www.boe.es/gazeta/dias/1821/09/30/pdfs/GMD-1821-279.pdf#page=3","Abrir facsímil")</f>
        <v>Abrir facsímil</v>
      </c>
      <c r="K8628" s="3" t="s">
        <v>23</v>
      </c>
    </row>
    <row r="8629" spans="1:11" ht="42" customHeight="1">
      <c r="A8629" s="2" t="s">
        <v>16756</v>
      </c>
      <c r="B8629" s="2" t="s">
        <v>16756</v>
      </c>
      <c r="C8629" s="2" t="s">
        <v>17</v>
      </c>
      <c r="D8629" s="2" t="s">
        <v>18</v>
      </c>
      <c r="E8629" s="5">
        <v>-28791</v>
      </c>
      <c r="F8629" s="3" t="s">
        <v>47</v>
      </c>
      <c r="G8629" s="3" t="s">
        <v>20</v>
      </c>
      <c r="H8629" s="2" t="s">
        <v>21</v>
      </c>
      <c r="I8629" s="2" t="s">
        <v>16757</v>
      </c>
      <c r="J8629" s="3" t="str">
        <f>HYPERLINK("https://www.boe.es/gazeta/dias/1821/03/03/pdfs/GGB-1821-62.pdf#page=3","Abrir facsímil")</f>
        <v>Abrir facsímil</v>
      </c>
      <c r="K8629" s="3" t="s">
        <v>23</v>
      </c>
    </row>
    <row r="8630" spans="1:11" ht="42" customHeight="1">
      <c r="A8630" s="2" t="s">
        <v>16756</v>
      </c>
      <c r="B8630" s="2" t="s">
        <v>16756</v>
      </c>
      <c r="C8630" s="2" t="s">
        <v>70</v>
      </c>
      <c r="D8630" s="2" t="s">
        <v>27</v>
      </c>
      <c r="E8630" s="5">
        <v>-28779</v>
      </c>
      <c r="F8630" s="3" t="s">
        <v>1002</v>
      </c>
      <c r="G8630" s="3" t="s">
        <v>20</v>
      </c>
      <c r="H8630" s="2" t="s">
        <v>21</v>
      </c>
      <c r="I8630" s="2" t="s">
        <v>16758</v>
      </c>
      <c r="J8630" s="3" t="str">
        <f>HYPERLINK("https://www.boe.es/gazeta/dias/1821/03/15/pdfs/GMD-1821-74.pdf#page=3","Abrir facsímil")</f>
        <v>Abrir facsímil</v>
      </c>
      <c r="K8630" s="3" t="s">
        <v>23</v>
      </c>
    </row>
    <row r="8631" spans="1:11" ht="42" customHeight="1">
      <c r="A8631" s="2" t="s">
        <v>16756</v>
      </c>
      <c r="B8631" s="2" t="s">
        <v>16756</v>
      </c>
      <c r="C8631" s="2" t="s">
        <v>17</v>
      </c>
      <c r="D8631" s="2" t="s">
        <v>18</v>
      </c>
      <c r="E8631" s="5">
        <v>-28774</v>
      </c>
      <c r="F8631" s="3" t="s">
        <v>1221</v>
      </c>
      <c r="G8631" s="3" t="s">
        <v>88</v>
      </c>
      <c r="H8631" s="2" t="s">
        <v>21</v>
      </c>
      <c r="I8631" s="2" t="s">
        <v>16759</v>
      </c>
      <c r="J8631" s="3" t="str">
        <f>HYPERLINK("https://www.boe.es/gazeta/dias/1821/03/20/pdfs/GMD-1821-79.pdf#page=4","Abrir facsímil")</f>
        <v>Abrir facsímil</v>
      </c>
      <c r="K8631" s="3" t="s">
        <v>23</v>
      </c>
    </row>
    <row r="8632" spans="1:11" ht="42" customHeight="1">
      <c r="A8632" s="2" t="s">
        <v>16756</v>
      </c>
      <c r="B8632" s="2" t="s">
        <v>16756</v>
      </c>
      <c r="C8632" s="2" t="s">
        <v>17</v>
      </c>
      <c r="D8632" s="2" t="s">
        <v>18</v>
      </c>
      <c r="E8632" s="5">
        <v>-28772</v>
      </c>
      <c r="F8632" s="3" t="s">
        <v>62</v>
      </c>
      <c r="G8632" s="3" t="s">
        <v>88</v>
      </c>
      <c r="H8632" s="2" t="s">
        <v>21</v>
      </c>
      <c r="I8632" s="2" t="s">
        <v>16760</v>
      </c>
      <c r="J8632" s="3" t="str">
        <f>HYPERLINK("https://www.boe.es/gazeta/dias/1821/03/22/pdfs/GMD-1821-81.pdf#page=4","Abrir facsímil")</f>
        <v>Abrir facsímil</v>
      </c>
      <c r="K8632" s="3" t="s">
        <v>23</v>
      </c>
    </row>
    <row r="8633" spans="1:11" ht="42" customHeight="1">
      <c r="A8633" s="2" t="s">
        <v>16756</v>
      </c>
      <c r="B8633" s="2" t="s">
        <v>16756</v>
      </c>
      <c r="C8633" s="2" t="s">
        <v>17</v>
      </c>
      <c r="D8633" s="2" t="s">
        <v>18</v>
      </c>
      <c r="E8633" s="5">
        <v>-28576</v>
      </c>
      <c r="F8633" s="3" t="s">
        <v>1924</v>
      </c>
      <c r="G8633" s="3" t="s">
        <v>52</v>
      </c>
      <c r="H8633" s="2" t="s">
        <v>21</v>
      </c>
      <c r="I8633" s="2" t="s">
        <v>16761</v>
      </c>
      <c r="J8633" s="3" t="str">
        <f>HYPERLINK("https://www.boe.es/gazeta/dias/1821/10/04/pdfs/GMD-1821-283.pdf#page=2","Abrir facsímil")</f>
        <v>Abrir facsímil</v>
      </c>
      <c r="K8633" s="3" t="s">
        <v>23</v>
      </c>
    </row>
    <row r="8634" spans="1:11" ht="42" customHeight="1">
      <c r="A8634" s="2" t="s">
        <v>16762</v>
      </c>
      <c r="B8634" s="2" t="s">
        <v>16763</v>
      </c>
      <c r="C8634" s="2" t="s">
        <v>17</v>
      </c>
      <c r="D8634" s="2" t="s">
        <v>18</v>
      </c>
      <c r="E8634" s="5">
        <v>-28782</v>
      </c>
      <c r="F8634" s="3" t="s">
        <v>508</v>
      </c>
      <c r="G8634" s="3" t="s">
        <v>88</v>
      </c>
      <c r="H8634" s="2" t="s">
        <v>21</v>
      </c>
      <c r="I8634" s="2" t="s">
        <v>16764</v>
      </c>
      <c r="J8634" s="3" t="str">
        <f>HYPERLINK("https://www.boe.es/gazeta/dias/1821/03/12/pdfs/GMD-1821-71.pdf#page=4","Abrir facsímil")</f>
        <v>Abrir facsímil</v>
      </c>
      <c r="K8634" s="3" t="s">
        <v>23</v>
      </c>
    </row>
    <row r="8635" spans="1:11" ht="42" customHeight="1">
      <c r="A8635" s="2" t="s">
        <v>16765</v>
      </c>
      <c r="B8635" s="2" t="s">
        <v>16765</v>
      </c>
      <c r="C8635" s="2" t="s">
        <v>35</v>
      </c>
      <c r="D8635" s="2" t="s">
        <v>27</v>
      </c>
      <c r="E8635" s="5">
        <v>-28685</v>
      </c>
      <c r="F8635" s="3" t="s">
        <v>303</v>
      </c>
      <c r="G8635" s="3" t="s">
        <v>52</v>
      </c>
      <c r="H8635" s="2" t="s">
        <v>21</v>
      </c>
      <c r="I8635" s="2" t="s">
        <v>16766</v>
      </c>
      <c r="J8635" s="3" t="str">
        <f>HYPERLINK("https://www.boe.es/gazeta/dias/1821/06/17/pdfs/GMD-1821-170.pdf#page=2","Abrir facsímil")</f>
        <v>Abrir facsímil</v>
      </c>
      <c r="K8635" s="3" t="s">
        <v>23</v>
      </c>
    </row>
    <row r="8636" spans="1:11" ht="42" customHeight="1">
      <c r="A8636" s="2" t="s">
        <v>16767</v>
      </c>
      <c r="B8636" s="2" t="s">
        <v>16767</v>
      </c>
      <c r="C8636" s="2" t="s">
        <v>17</v>
      </c>
      <c r="D8636" s="2" t="s">
        <v>18</v>
      </c>
      <c r="E8636" s="5">
        <v>-28791</v>
      </c>
      <c r="F8636" s="3" t="s">
        <v>47</v>
      </c>
      <c r="G8636" s="3" t="s">
        <v>88</v>
      </c>
      <c r="H8636" s="2" t="s">
        <v>21</v>
      </c>
      <c r="I8636" s="2" t="s">
        <v>16768</v>
      </c>
      <c r="J8636" s="3" t="str">
        <f>HYPERLINK("https://www.boe.es/gazeta/dias/1821/03/03/pdfs/GGB-1821-62.pdf#page=4","Abrir facsímil")</f>
        <v>Abrir facsímil</v>
      </c>
      <c r="K8636" s="3" t="s">
        <v>23</v>
      </c>
    </row>
    <row r="8637" spans="1:11" ht="42" customHeight="1">
      <c r="A8637" s="2" t="s">
        <v>16767</v>
      </c>
      <c r="B8637" s="2" t="s">
        <v>16767</v>
      </c>
      <c r="C8637" s="2" t="s">
        <v>174</v>
      </c>
      <c r="D8637" s="2" t="s">
        <v>27</v>
      </c>
      <c r="E8637" s="5">
        <v>-28789</v>
      </c>
      <c r="F8637" s="3" t="s">
        <v>36</v>
      </c>
      <c r="G8637" s="3" t="s">
        <v>993</v>
      </c>
      <c r="H8637" s="2" t="s">
        <v>21</v>
      </c>
      <c r="I8637" s="2" t="s">
        <v>16769</v>
      </c>
      <c r="J8637" s="3" t="str">
        <f>HYPERLINK("https://www.boe.es/gazeta/dias/1821/03/05/pdfs/GGB-1821-64.pdf#page=4","Abrir facsímil")</f>
        <v>Abrir facsímil</v>
      </c>
      <c r="K8637" s="3" t="s">
        <v>23</v>
      </c>
    </row>
    <row r="8638" spans="1:11" ht="42" customHeight="1">
      <c r="A8638" s="2" t="s">
        <v>16767</v>
      </c>
      <c r="B8638" s="2" t="s">
        <v>16767</v>
      </c>
      <c r="C8638" s="2" t="s">
        <v>26</v>
      </c>
      <c r="D8638" s="2" t="s">
        <v>27</v>
      </c>
      <c r="E8638" s="5">
        <v>-28788</v>
      </c>
      <c r="F8638" s="3" t="s">
        <v>996</v>
      </c>
      <c r="G8638" s="3" t="s">
        <v>52</v>
      </c>
      <c r="H8638" s="2" t="s">
        <v>21</v>
      </c>
      <c r="I8638" s="2" t="s">
        <v>16770</v>
      </c>
      <c r="J8638" s="3" t="str">
        <f>HYPERLINK("https://www.boe.es/gazeta/dias/1821/03/06/pdfs/GGB-1821-65.pdf#page=2","Abrir facsímil")</f>
        <v>Abrir facsímil</v>
      </c>
      <c r="K8638" s="3" t="s">
        <v>23</v>
      </c>
    </row>
    <row r="8639" spans="1:11" ht="42" customHeight="1">
      <c r="A8639" s="2" t="s">
        <v>16767</v>
      </c>
      <c r="B8639" s="2" t="s">
        <v>16767</v>
      </c>
      <c r="C8639" s="2" t="s">
        <v>17</v>
      </c>
      <c r="D8639" s="2" t="s">
        <v>18</v>
      </c>
      <c r="E8639" s="5">
        <v>-28780</v>
      </c>
      <c r="F8639" s="3" t="s">
        <v>143</v>
      </c>
      <c r="G8639" s="3" t="s">
        <v>52</v>
      </c>
      <c r="H8639" s="2" t="s">
        <v>21</v>
      </c>
      <c r="I8639" s="2" t="s">
        <v>16771</v>
      </c>
      <c r="J8639" s="3" t="str">
        <f>HYPERLINK("https://www.boe.es/gazeta/dias/1821/03/14/pdfs/GMD-1821-73.pdf#page=2","Abrir facsímil")</f>
        <v>Abrir facsímil</v>
      </c>
      <c r="K8639" s="3" t="s">
        <v>23</v>
      </c>
    </row>
    <row r="8640" spans="1:11" ht="42" customHeight="1">
      <c r="A8640" s="2" t="s">
        <v>16767</v>
      </c>
      <c r="B8640" s="2" t="s">
        <v>16767</v>
      </c>
      <c r="C8640" s="2" t="s">
        <v>17</v>
      </c>
      <c r="D8640" s="2" t="s">
        <v>18</v>
      </c>
      <c r="E8640" s="5">
        <v>-28779</v>
      </c>
      <c r="F8640" s="3" t="s">
        <v>1002</v>
      </c>
      <c r="G8640" s="3" t="s">
        <v>20</v>
      </c>
      <c r="H8640" s="2" t="s">
        <v>21</v>
      </c>
      <c r="I8640" s="2" t="s">
        <v>16772</v>
      </c>
      <c r="J8640" s="3" t="str">
        <f>HYPERLINK("https://www.boe.es/gazeta/dias/1821/03/15/pdfs/GMD-1821-74.pdf#page=3","Abrir facsímil")</f>
        <v>Abrir facsímil</v>
      </c>
      <c r="K8640" s="3" t="s">
        <v>23</v>
      </c>
    </row>
    <row r="8641" spans="1:11" ht="42" customHeight="1">
      <c r="A8641" s="2" t="s">
        <v>16767</v>
      </c>
      <c r="B8641" s="2" t="s">
        <v>16767</v>
      </c>
      <c r="C8641" s="2" t="s">
        <v>40</v>
      </c>
      <c r="D8641" s="2" t="s">
        <v>41</v>
      </c>
      <c r="E8641" s="5">
        <v>-28762</v>
      </c>
      <c r="F8641" s="3" t="s">
        <v>608</v>
      </c>
      <c r="G8641" s="3" t="s">
        <v>162</v>
      </c>
      <c r="H8641" s="2" t="s">
        <v>21</v>
      </c>
      <c r="I8641" s="2" t="s">
        <v>16773</v>
      </c>
      <c r="J8641" s="3" t="str">
        <f>HYPERLINK("https://www.boe.es/gazeta/dias/1821/04/01/pdfs/GMD-1821-93.pdf#page=5","Abrir facsímil")</f>
        <v>Abrir facsímil</v>
      </c>
      <c r="K8641" s="3" t="s">
        <v>23</v>
      </c>
    </row>
    <row r="8642" spans="1:11" ht="42" customHeight="1">
      <c r="A8642" s="2" t="s">
        <v>16767</v>
      </c>
      <c r="B8642" s="2" t="s">
        <v>16767</v>
      </c>
      <c r="C8642" s="2" t="s">
        <v>40</v>
      </c>
      <c r="D8642" s="2" t="s">
        <v>41</v>
      </c>
      <c r="E8642" s="5">
        <v>-28761</v>
      </c>
      <c r="F8642" s="3" t="s">
        <v>771</v>
      </c>
      <c r="G8642" s="3" t="s">
        <v>52</v>
      </c>
      <c r="H8642" s="2" t="s">
        <v>21</v>
      </c>
      <c r="I8642" s="2" t="s">
        <v>16774</v>
      </c>
      <c r="J8642" s="3" t="str">
        <f>HYPERLINK("https://www.boe.es/gazeta/dias/1821/04/02/pdfs/GMD-1821-94.pdf#page=2","Abrir facsímil")</f>
        <v>Abrir facsímil</v>
      </c>
      <c r="K8642" s="3" t="s">
        <v>23</v>
      </c>
    </row>
    <row r="8643" spans="1:11" ht="42" customHeight="1">
      <c r="A8643" s="2" t="s">
        <v>16767</v>
      </c>
      <c r="B8643" s="2" t="s">
        <v>16767</v>
      </c>
      <c r="C8643" s="2" t="s">
        <v>26</v>
      </c>
      <c r="D8643" s="2" t="s">
        <v>27</v>
      </c>
      <c r="E8643" s="5">
        <v>-28759</v>
      </c>
      <c r="F8643" s="3" t="s">
        <v>71</v>
      </c>
      <c r="G8643" s="3" t="s">
        <v>52</v>
      </c>
      <c r="H8643" s="2" t="s">
        <v>21</v>
      </c>
      <c r="I8643" s="2" t="s">
        <v>16775</v>
      </c>
      <c r="J8643" s="3" t="str">
        <f>HYPERLINK("https://www.boe.es/gazeta/dias/1821/04/04/pdfs/GMD-1821-96.pdf#page=2","Abrir facsímil")</f>
        <v>Abrir facsímil</v>
      </c>
      <c r="K8643" s="3" t="s">
        <v>23</v>
      </c>
    </row>
    <row r="8644" spans="1:11" ht="42" customHeight="1">
      <c r="A8644" s="2" t="s">
        <v>16767</v>
      </c>
      <c r="B8644" s="2" t="s">
        <v>16767</v>
      </c>
      <c r="C8644" s="2" t="s">
        <v>40</v>
      </c>
      <c r="D8644" s="2" t="s">
        <v>41</v>
      </c>
      <c r="E8644" s="5">
        <v>-28754</v>
      </c>
      <c r="F8644" s="3" t="s">
        <v>1942</v>
      </c>
      <c r="G8644" s="3" t="s">
        <v>52</v>
      </c>
      <c r="H8644" s="2" t="s">
        <v>21</v>
      </c>
      <c r="I8644" s="2" t="s">
        <v>16776</v>
      </c>
      <c r="J8644" s="3" t="str">
        <f>HYPERLINK("https://www.boe.es/gazeta/dias/1821/04/09/pdfs/GMD-1821-101.pdf#page=2","Abrir facsímil")</f>
        <v>Abrir facsímil</v>
      </c>
      <c r="K8644" s="3" t="s">
        <v>23</v>
      </c>
    </row>
    <row r="8645" spans="1:11" ht="42" customHeight="1">
      <c r="A8645" s="2" t="s">
        <v>16767</v>
      </c>
      <c r="B8645" s="2" t="s">
        <v>16767</v>
      </c>
      <c r="C8645" s="2" t="s">
        <v>70</v>
      </c>
      <c r="D8645" s="2" t="s">
        <v>27</v>
      </c>
      <c r="E8645" s="5">
        <v>-28753</v>
      </c>
      <c r="F8645" s="3" t="s">
        <v>720</v>
      </c>
      <c r="G8645" s="3" t="s">
        <v>776</v>
      </c>
      <c r="H8645" s="2" t="s">
        <v>21</v>
      </c>
      <c r="I8645" s="2" t="s">
        <v>16777</v>
      </c>
      <c r="J8645" s="3" t="str">
        <f>HYPERLINK("https://www.boe.es/gazeta/dias/1821/04/10/pdfs/GMD-1821-102.pdf#page=2","Abrir facsímil")</f>
        <v>Abrir facsímil</v>
      </c>
      <c r="K8645" s="3" t="s">
        <v>23</v>
      </c>
    </row>
    <row r="8646" spans="1:11" ht="42" customHeight="1">
      <c r="A8646" s="2" t="s">
        <v>16767</v>
      </c>
      <c r="B8646" s="2" t="s">
        <v>16767</v>
      </c>
      <c r="C8646" s="2" t="s">
        <v>40</v>
      </c>
      <c r="D8646" s="2" t="s">
        <v>41</v>
      </c>
      <c r="E8646" s="5">
        <v>-28752</v>
      </c>
      <c r="F8646" s="3" t="s">
        <v>1012</v>
      </c>
      <c r="G8646" s="3" t="s">
        <v>1013</v>
      </c>
      <c r="H8646" s="2" t="s">
        <v>21</v>
      </c>
      <c r="I8646" s="2" t="s">
        <v>16778</v>
      </c>
      <c r="J8646" s="3" t="str">
        <f>HYPERLINK("https://www.boe.es/gazeta/dias/1821/04/11/pdfs/GMD-1821-103.pdf#page=3","Abrir facsímil")</f>
        <v>Abrir facsímil</v>
      </c>
      <c r="K8646" s="3" t="s">
        <v>23</v>
      </c>
    </row>
    <row r="8647" spans="1:11" ht="42" customHeight="1">
      <c r="A8647" s="2" t="s">
        <v>16767</v>
      </c>
      <c r="B8647" s="2" t="s">
        <v>16767</v>
      </c>
      <c r="C8647" s="2" t="s">
        <v>35</v>
      </c>
      <c r="D8647" s="2" t="s">
        <v>27</v>
      </c>
      <c r="E8647" s="5">
        <v>-28751</v>
      </c>
      <c r="F8647" s="3" t="s">
        <v>356</v>
      </c>
      <c r="G8647" s="3" t="s">
        <v>20</v>
      </c>
      <c r="H8647" s="2" t="s">
        <v>21</v>
      </c>
      <c r="I8647" s="2" t="s">
        <v>16779</v>
      </c>
      <c r="J8647" s="3" t="str">
        <f>HYPERLINK("https://www.boe.es/gazeta/dias/1821/04/12/pdfs/GMD-1821-104.pdf#page=3","Abrir facsímil")</f>
        <v>Abrir facsímil</v>
      </c>
      <c r="K8647" s="3" t="s">
        <v>23</v>
      </c>
    </row>
    <row r="8648" spans="1:11" ht="42" customHeight="1">
      <c r="A8648" s="2" t="s">
        <v>16767</v>
      </c>
      <c r="B8648" s="2" t="s">
        <v>16767</v>
      </c>
      <c r="C8648" s="2" t="s">
        <v>35</v>
      </c>
      <c r="D8648" s="2" t="s">
        <v>27</v>
      </c>
      <c r="E8648" s="5">
        <v>-28749</v>
      </c>
      <c r="F8648" s="3" t="s">
        <v>832</v>
      </c>
      <c r="G8648" s="3" t="s">
        <v>52</v>
      </c>
      <c r="H8648" s="2" t="s">
        <v>21</v>
      </c>
      <c r="I8648" s="2" t="s">
        <v>16780</v>
      </c>
      <c r="J8648" s="3" t="str">
        <f>HYPERLINK("https://www.boe.es/gazeta/dias/1821/04/14/pdfs/GMD-1821-106.pdf#page=2","Abrir facsímil")</f>
        <v>Abrir facsímil</v>
      </c>
      <c r="K8648" s="3" t="s">
        <v>23</v>
      </c>
    </row>
    <row r="8649" spans="1:11" ht="42" customHeight="1">
      <c r="A8649" s="2" t="s">
        <v>16767</v>
      </c>
      <c r="B8649" s="2" t="s">
        <v>16767</v>
      </c>
      <c r="C8649" s="2" t="s">
        <v>40</v>
      </c>
      <c r="D8649" s="2" t="s">
        <v>41</v>
      </c>
      <c r="E8649" s="5">
        <v>-28748</v>
      </c>
      <c r="F8649" s="3" t="s">
        <v>634</v>
      </c>
      <c r="G8649" s="3" t="s">
        <v>52</v>
      </c>
      <c r="H8649" s="2" t="s">
        <v>21</v>
      </c>
      <c r="I8649" s="2" t="s">
        <v>16781</v>
      </c>
      <c r="J8649" s="3" t="str">
        <f>HYPERLINK("https://www.boe.es/gazeta/dias/1821/04/15/pdfs/GMD-1821-107.pdf#page=2","Abrir facsímil")</f>
        <v>Abrir facsímil</v>
      </c>
      <c r="K8649" s="3" t="s">
        <v>23</v>
      </c>
    </row>
    <row r="8650" spans="1:11" ht="42" customHeight="1">
      <c r="A8650" s="2" t="s">
        <v>16767</v>
      </c>
      <c r="B8650" s="2" t="s">
        <v>16767</v>
      </c>
      <c r="C8650" s="2" t="s">
        <v>26</v>
      </c>
      <c r="D8650" s="2" t="s">
        <v>27</v>
      </c>
      <c r="E8650" s="5">
        <v>-28744</v>
      </c>
      <c r="F8650" s="3" t="s">
        <v>834</v>
      </c>
      <c r="G8650" s="3" t="s">
        <v>88</v>
      </c>
      <c r="H8650" s="2" t="s">
        <v>21</v>
      </c>
      <c r="I8650" s="2" t="s">
        <v>16782</v>
      </c>
      <c r="J8650" s="3" t="str">
        <f>HYPERLINK("https://www.boe.es/gazeta/dias/1821/04/19/pdfs/GMD-1821-111.pdf#page=4","Abrir facsímil")</f>
        <v>Abrir facsímil</v>
      </c>
      <c r="K8650" s="3" t="s">
        <v>23</v>
      </c>
    </row>
    <row r="8651" spans="1:11" ht="42" customHeight="1">
      <c r="A8651" s="2" t="s">
        <v>16767</v>
      </c>
      <c r="B8651" s="2" t="s">
        <v>16767</v>
      </c>
      <c r="C8651" s="2" t="s">
        <v>26</v>
      </c>
      <c r="D8651" s="2" t="s">
        <v>27</v>
      </c>
      <c r="E8651" s="5">
        <v>-28731</v>
      </c>
      <c r="F8651" s="3" t="s">
        <v>577</v>
      </c>
      <c r="G8651" s="3" t="s">
        <v>20</v>
      </c>
      <c r="H8651" s="2" t="s">
        <v>21</v>
      </c>
      <c r="I8651" s="2" t="s">
        <v>16783</v>
      </c>
      <c r="J8651" s="3" t="str">
        <f>HYPERLINK("https://www.boe.es/gazeta/dias/1821/05/02/pdfs/GMD-1821-124.pdf#page=3","Abrir facsímil")</f>
        <v>Abrir facsímil</v>
      </c>
      <c r="K8651" s="3" t="s">
        <v>23</v>
      </c>
    </row>
    <row r="8652" spans="1:11" ht="42" customHeight="1">
      <c r="A8652" s="2" t="s">
        <v>16767</v>
      </c>
      <c r="B8652" s="2" t="s">
        <v>16767</v>
      </c>
      <c r="C8652" s="2" t="s">
        <v>40</v>
      </c>
      <c r="D8652" s="2" t="s">
        <v>41</v>
      </c>
      <c r="E8652" s="5">
        <v>-28718</v>
      </c>
      <c r="F8652" s="3" t="s">
        <v>583</v>
      </c>
      <c r="G8652" s="3" t="s">
        <v>52</v>
      </c>
      <c r="H8652" s="2" t="s">
        <v>21</v>
      </c>
      <c r="I8652" s="2" t="s">
        <v>16784</v>
      </c>
      <c r="J8652" s="3" t="str">
        <f>HYPERLINK("https://www.boe.es/gazeta/dias/1821/05/15/pdfs/GMD-1821-137.pdf#page=2","Abrir facsímil")</f>
        <v>Abrir facsímil</v>
      </c>
      <c r="K8652" s="3" t="s">
        <v>23</v>
      </c>
    </row>
    <row r="8653" spans="1:11" ht="42" customHeight="1">
      <c r="A8653" s="2" t="s">
        <v>16767</v>
      </c>
      <c r="B8653" s="2" t="s">
        <v>16767</v>
      </c>
      <c r="C8653" s="2" t="s">
        <v>17</v>
      </c>
      <c r="D8653" s="2" t="s">
        <v>18</v>
      </c>
      <c r="E8653" s="5">
        <v>-28713</v>
      </c>
      <c r="F8653" s="3" t="s">
        <v>1976</v>
      </c>
      <c r="G8653" s="3" t="s">
        <v>52</v>
      </c>
      <c r="H8653" s="2" t="s">
        <v>21</v>
      </c>
      <c r="I8653" s="2" t="s">
        <v>16785</v>
      </c>
      <c r="J8653" s="3" t="str">
        <f>HYPERLINK("https://www.boe.es/gazeta/dias/1821/05/20/pdfs/GMD-1821-142.pdf#page=2","Abrir facsímil")</f>
        <v>Abrir facsímil</v>
      </c>
      <c r="K8653" s="3" t="s">
        <v>23</v>
      </c>
    </row>
    <row r="8654" spans="1:11" ht="42" customHeight="1">
      <c r="A8654" s="2" t="s">
        <v>16767</v>
      </c>
      <c r="B8654" s="2" t="s">
        <v>16767</v>
      </c>
      <c r="C8654" s="2" t="s">
        <v>26</v>
      </c>
      <c r="D8654" s="2" t="s">
        <v>27</v>
      </c>
      <c r="E8654" s="5">
        <v>-28711</v>
      </c>
      <c r="F8654" s="3" t="s">
        <v>1048</v>
      </c>
      <c r="G8654" s="3" t="s">
        <v>52</v>
      </c>
      <c r="H8654" s="2" t="s">
        <v>21</v>
      </c>
      <c r="I8654" s="2" t="s">
        <v>16786</v>
      </c>
      <c r="J8654" s="3" t="str">
        <f>HYPERLINK("https://www.boe.es/gazeta/dias/1821/05/22/pdfs/GMD-1821-144.pdf#page=2","Abrir facsímil")</f>
        <v>Abrir facsímil</v>
      </c>
      <c r="K8654" s="3" t="s">
        <v>23</v>
      </c>
    </row>
    <row r="8655" spans="1:11" ht="42" customHeight="1">
      <c r="A8655" s="2" t="s">
        <v>16767</v>
      </c>
      <c r="B8655" s="2" t="s">
        <v>16767</v>
      </c>
      <c r="C8655" s="2" t="s">
        <v>40</v>
      </c>
      <c r="D8655" s="2" t="s">
        <v>41</v>
      </c>
      <c r="E8655" s="5">
        <v>-28708</v>
      </c>
      <c r="F8655" s="3" t="s">
        <v>528</v>
      </c>
      <c r="G8655" s="3" t="s">
        <v>20</v>
      </c>
      <c r="H8655" s="2" t="s">
        <v>21</v>
      </c>
      <c r="I8655" s="2" t="s">
        <v>16787</v>
      </c>
      <c r="J8655" s="3" t="str">
        <f>HYPERLINK("https://www.boe.es/gazeta/dias/1821/05/25/pdfs/GMD-1821-147.pdf#page=3","Abrir facsímil")</f>
        <v>Abrir facsímil</v>
      </c>
      <c r="K8655" s="3" t="s">
        <v>23</v>
      </c>
    </row>
    <row r="8656" spans="1:11" ht="42" customHeight="1">
      <c r="A8656" s="2" t="s">
        <v>16767</v>
      </c>
      <c r="B8656" s="2" t="s">
        <v>16767</v>
      </c>
      <c r="C8656" s="2" t="s">
        <v>17</v>
      </c>
      <c r="D8656" s="2" t="s">
        <v>18</v>
      </c>
      <c r="E8656" s="5">
        <v>-28706</v>
      </c>
      <c r="F8656" s="3" t="s">
        <v>4791</v>
      </c>
      <c r="G8656" s="3" t="s">
        <v>8867</v>
      </c>
      <c r="H8656" s="2" t="s">
        <v>21</v>
      </c>
      <c r="I8656" s="2" t="s">
        <v>16788</v>
      </c>
      <c r="J8656" s="3" t="str">
        <f>HYPERLINK("https://www.boe.es/gazeta/dias/1821/05/27/pdfs/GMD-1821-149.pdf#page=3","Abrir facsímil")</f>
        <v>Abrir facsímil</v>
      </c>
      <c r="K8656" s="3" t="s">
        <v>23</v>
      </c>
    </row>
    <row r="8657" spans="1:11" ht="42" customHeight="1">
      <c r="A8657" s="2" t="s">
        <v>16767</v>
      </c>
      <c r="B8657" s="2" t="s">
        <v>16767</v>
      </c>
      <c r="C8657" s="2" t="s">
        <v>114</v>
      </c>
      <c r="D8657" s="2" t="s">
        <v>27</v>
      </c>
      <c r="E8657" s="5">
        <v>-28705</v>
      </c>
      <c r="F8657" s="3" t="s">
        <v>1844</v>
      </c>
      <c r="G8657" s="3" t="s">
        <v>20</v>
      </c>
      <c r="H8657" s="2" t="s">
        <v>21</v>
      </c>
      <c r="I8657" s="2" t="s">
        <v>16789</v>
      </c>
      <c r="J8657" s="3" t="str">
        <f>HYPERLINK("https://www.boe.es/gazeta/dias/1821/05/28/pdfs/GMD-1821-150.pdf#page=3","Abrir facsímil")</f>
        <v>Abrir facsímil</v>
      </c>
      <c r="K8657" s="3" t="s">
        <v>23</v>
      </c>
    </row>
    <row r="8658" spans="1:11" ht="42" customHeight="1">
      <c r="A8658" s="2" t="s">
        <v>16767</v>
      </c>
      <c r="B8658" s="2" t="s">
        <v>16767</v>
      </c>
      <c r="C8658" s="2" t="s">
        <v>17</v>
      </c>
      <c r="D8658" s="2" t="s">
        <v>18</v>
      </c>
      <c r="E8658" s="5">
        <v>-28704</v>
      </c>
      <c r="F8658" s="3" t="s">
        <v>1050</v>
      </c>
      <c r="G8658" s="3" t="s">
        <v>52</v>
      </c>
      <c r="H8658" s="2" t="s">
        <v>21</v>
      </c>
      <c r="I8658" s="2" t="s">
        <v>16790</v>
      </c>
      <c r="J8658" s="3" t="str">
        <f>HYPERLINK("https://www.boe.es/gazeta/dias/1821/05/29/pdfs/GMD-1821-151.pdf#page=2","Abrir facsímil")</f>
        <v>Abrir facsímil</v>
      </c>
      <c r="K8658" s="3" t="s">
        <v>23</v>
      </c>
    </row>
    <row r="8659" spans="1:11" ht="42" customHeight="1">
      <c r="A8659" s="2" t="s">
        <v>16767</v>
      </c>
      <c r="B8659" s="2" t="s">
        <v>16767</v>
      </c>
      <c r="C8659" s="2" t="s">
        <v>40</v>
      </c>
      <c r="D8659" s="2" t="s">
        <v>41</v>
      </c>
      <c r="E8659" s="5">
        <v>-28698</v>
      </c>
      <c r="F8659" s="3" t="s">
        <v>2067</v>
      </c>
      <c r="G8659" s="3" t="s">
        <v>20</v>
      </c>
      <c r="H8659" s="2" t="s">
        <v>21</v>
      </c>
      <c r="I8659" s="2" t="s">
        <v>16791</v>
      </c>
      <c r="J8659" s="3" t="str">
        <f>HYPERLINK("https://www.boe.es/gazeta/dias/1821/06/04/pdfs/GMD-1821-157.pdf#page=3","Abrir facsímil")</f>
        <v>Abrir facsímil</v>
      </c>
      <c r="K8659" s="3" t="s">
        <v>23</v>
      </c>
    </row>
    <row r="8660" spans="1:11" ht="42" customHeight="1">
      <c r="A8660" s="2" t="s">
        <v>16767</v>
      </c>
      <c r="B8660" s="2" t="s">
        <v>16767</v>
      </c>
      <c r="C8660" s="2" t="s">
        <v>40</v>
      </c>
      <c r="D8660" s="2" t="s">
        <v>41</v>
      </c>
      <c r="E8660" s="5">
        <v>-28682</v>
      </c>
      <c r="F8660" s="3" t="s">
        <v>1064</v>
      </c>
      <c r="G8660" s="3" t="s">
        <v>52</v>
      </c>
      <c r="H8660" s="2" t="s">
        <v>21</v>
      </c>
      <c r="I8660" s="2" t="s">
        <v>16792</v>
      </c>
      <c r="J8660" s="3" t="str">
        <f>HYPERLINK("https://www.boe.es/gazeta/dias/1821/06/20/pdfs/GMD-1821-173.pdf#page=2","Abrir facsímil")</f>
        <v>Abrir facsímil</v>
      </c>
      <c r="K8660" s="3" t="s">
        <v>23</v>
      </c>
    </row>
    <row r="8661" spans="1:11" ht="42" customHeight="1">
      <c r="A8661" s="2" t="s">
        <v>16767</v>
      </c>
      <c r="B8661" s="2" t="s">
        <v>16767</v>
      </c>
      <c r="C8661" s="2" t="s">
        <v>114</v>
      </c>
      <c r="D8661" s="2" t="s">
        <v>27</v>
      </c>
      <c r="E8661" s="5">
        <v>-28674</v>
      </c>
      <c r="F8661" s="3" t="s">
        <v>536</v>
      </c>
      <c r="G8661" s="3" t="s">
        <v>20</v>
      </c>
      <c r="H8661" s="2" t="s">
        <v>21</v>
      </c>
      <c r="I8661" s="2" t="s">
        <v>16793</v>
      </c>
      <c r="J8661" s="3" t="str">
        <f>HYPERLINK("https://www.boe.es/gazeta/dias/1821/06/28/pdfs/GMD-1821-181.pdf#page=3","Abrir facsímil")</f>
        <v>Abrir facsímil</v>
      </c>
      <c r="K8661" s="3" t="s">
        <v>23</v>
      </c>
    </row>
    <row r="8662" spans="1:11" ht="42" customHeight="1">
      <c r="A8662" s="2" t="s">
        <v>16767</v>
      </c>
      <c r="B8662" s="2" t="s">
        <v>16767</v>
      </c>
      <c r="C8662" s="2" t="s">
        <v>35</v>
      </c>
      <c r="D8662" s="2" t="s">
        <v>27</v>
      </c>
      <c r="E8662" s="5">
        <v>-28569</v>
      </c>
      <c r="F8662" s="3" t="s">
        <v>512</v>
      </c>
      <c r="G8662" s="3" t="s">
        <v>162</v>
      </c>
      <c r="H8662" s="2" t="s">
        <v>21</v>
      </c>
      <c r="I8662" s="2" t="s">
        <v>16794</v>
      </c>
      <c r="J8662" s="3" t="str">
        <f>HYPERLINK("https://www.boe.es/gazeta/dias/1821/10/11/pdfs/GMD-1821-290.pdf#page=5","Abrir facsímil")</f>
        <v>Abrir facsímil</v>
      </c>
      <c r="K8662" s="3" t="s">
        <v>23</v>
      </c>
    </row>
    <row r="8663" spans="1:11" ht="42" customHeight="1">
      <c r="A8663" s="2" t="s">
        <v>16767</v>
      </c>
      <c r="B8663" s="2" t="s">
        <v>16767</v>
      </c>
      <c r="C8663" s="2" t="s">
        <v>26</v>
      </c>
      <c r="D8663" s="2" t="s">
        <v>27</v>
      </c>
      <c r="E8663" s="5">
        <v>-28558</v>
      </c>
      <c r="F8663" s="3" t="s">
        <v>758</v>
      </c>
      <c r="G8663" s="3" t="s">
        <v>20</v>
      </c>
      <c r="H8663" s="2" t="s">
        <v>21</v>
      </c>
      <c r="I8663" s="2" t="s">
        <v>16795</v>
      </c>
      <c r="J8663" s="3" t="str">
        <f>HYPERLINK("https://www.boe.es/gazeta/dias/1821/10/22/pdfs/GMD-1821-301.pdf#page=3","Abrir facsímil")</f>
        <v>Abrir facsímil</v>
      </c>
      <c r="K8663" s="3" t="s">
        <v>23</v>
      </c>
    </row>
    <row r="8664" spans="1:11" ht="42" customHeight="1">
      <c r="A8664" s="2" t="s">
        <v>16767</v>
      </c>
      <c r="B8664" s="2" t="s">
        <v>16767</v>
      </c>
      <c r="C8664" s="2" t="s">
        <v>40</v>
      </c>
      <c r="D8664" s="2" t="s">
        <v>41</v>
      </c>
      <c r="E8664" s="5">
        <v>-28558</v>
      </c>
      <c r="F8664" s="3" t="s">
        <v>758</v>
      </c>
      <c r="G8664" s="3" t="s">
        <v>88</v>
      </c>
      <c r="H8664" s="2" t="s">
        <v>21</v>
      </c>
      <c r="I8664" s="2" t="s">
        <v>16796</v>
      </c>
      <c r="J8664" s="3" t="str">
        <f>HYPERLINK("https://www.boe.es/gazeta/dias/1821/10/22/pdfs/GMD-1821-301.pdf#page=4","Abrir facsímil")</f>
        <v>Abrir facsímil</v>
      </c>
      <c r="K8664" s="3" t="s">
        <v>23</v>
      </c>
    </row>
    <row r="8665" spans="1:11" ht="42" customHeight="1">
      <c r="A8665" s="2" t="s">
        <v>16767</v>
      </c>
      <c r="B8665" s="2" t="s">
        <v>16767</v>
      </c>
      <c r="C8665" s="2" t="s">
        <v>40</v>
      </c>
      <c r="D8665" s="2" t="s">
        <v>41</v>
      </c>
      <c r="E8665" s="5">
        <v>-28557</v>
      </c>
      <c r="F8665" s="3" t="s">
        <v>316</v>
      </c>
      <c r="G8665" s="3" t="s">
        <v>29</v>
      </c>
      <c r="H8665" s="2" t="s">
        <v>21</v>
      </c>
      <c r="I8665" s="2" t="s">
        <v>16797</v>
      </c>
      <c r="J8665" s="3" t="str">
        <f>HYPERLINK("https://www.boe.es/gazeta/dias/1821/10/23/pdfs/GMD-1821-302.pdf#page=6","Abrir facsímil")</f>
        <v>Abrir facsímil</v>
      </c>
      <c r="K8665" s="3" t="s">
        <v>23</v>
      </c>
    </row>
    <row r="8666" spans="1:11" ht="42" customHeight="1">
      <c r="A8666" s="2" t="s">
        <v>16767</v>
      </c>
      <c r="B8666" s="2" t="s">
        <v>16767</v>
      </c>
      <c r="C8666" s="2" t="s">
        <v>26</v>
      </c>
      <c r="D8666" s="2" t="s">
        <v>27</v>
      </c>
      <c r="E8666" s="5">
        <v>-28526</v>
      </c>
      <c r="F8666" s="3" t="s">
        <v>223</v>
      </c>
      <c r="G8666" s="3" t="s">
        <v>1251</v>
      </c>
      <c r="H8666" s="2" t="s">
        <v>21</v>
      </c>
      <c r="I8666" s="2" t="s">
        <v>16798</v>
      </c>
      <c r="J8666" s="3" t="str">
        <f>HYPERLINK("https://www.boe.es/gazeta/dias/1821/11/23/pdfs/GMD-1821-334.pdf#page=3","Abrir facsímil")</f>
        <v>Abrir facsímil</v>
      </c>
      <c r="K8666" s="3" t="s">
        <v>23</v>
      </c>
    </row>
    <row r="8667" spans="1:11" ht="42" customHeight="1">
      <c r="A8667" s="2" t="s">
        <v>16767</v>
      </c>
      <c r="B8667" s="2" t="s">
        <v>16767</v>
      </c>
      <c r="C8667" s="2" t="s">
        <v>17</v>
      </c>
      <c r="D8667" s="2" t="s">
        <v>18</v>
      </c>
      <c r="E8667" s="5">
        <v>-28504</v>
      </c>
      <c r="F8667" s="3" t="s">
        <v>1098</v>
      </c>
      <c r="G8667" s="3" t="s">
        <v>20</v>
      </c>
      <c r="H8667" s="2" t="s">
        <v>21</v>
      </c>
      <c r="I8667" s="2" t="s">
        <v>16799</v>
      </c>
      <c r="J8667" s="3" t="str">
        <f>HYPERLINK("https://www.boe.es/gazeta/dias/1821/12/15/pdfs/GMD-1821-358.pdf#page=3","Abrir facsímil")</f>
        <v>Abrir facsímil</v>
      </c>
      <c r="K8667" s="3" t="s">
        <v>23</v>
      </c>
    </row>
    <row r="8668" spans="1:11" ht="42" customHeight="1">
      <c r="A8668" s="2" t="s">
        <v>16800</v>
      </c>
      <c r="B8668" s="2" t="s">
        <v>16801</v>
      </c>
      <c r="C8668" s="2" t="s">
        <v>40</v>
      </c>
      <c r="D8668" s="2" t="s">
        <v>405</v>
      </c>
      <c r="E8668" s="5">
        <v>-28546</v>
      </c>
      <c r="F8668" s="3" t="s">
        <v>6425</v>
      </c>
      <c r="G8668" s="3" t="s">
        <v>43</v>
      </c>
      <c r="H8668" s="2" t="s">
        <v>21</v>
      </c>
      <c r="I8668" s="2" t="s">
        <v>16802</v>
      </c>
      <c r="J8668" s="3" t="str">
        <f>HYPERLINK("https://www.boe.es/gazeta/dias/1821/11/03/pdfs/GMD-1821-314E.pdf#page=1","Abrir facsímil")</f>
        <v>Abrir facsímil</v>
      </c>
      <c r="K8668" s="3" t="s">
        <v>23</v>
      </c>
    </row>
    <row r="8669" spans="1:11" ht="42" customHeight="1">
      <c r="A8669" s="2" t="s">
        <v>16803</v>
      </c>
      <c r="B8669" s="2" t="s">
        <v>16804</v>
      </c>
      <c r="C8669" s="2" t="s">
        <v>40</v>
      </c>
      <c r="D8669" s="2" t="s">
        <v>41</v>
      </c>
      <c r="E8669" s="5">
        <v>-28709</v>
      </c>
      <c r="F8669" s="3" t="s">
        <v>1434</v>
      </c>
      <c r="G8669" s="3" t="s">
        <v>1435</v>
      </c>
      <c r="H8669" s="2" t="s">
        <v>21</v>
      </c>
      <c r="I8669" s="2" t="s">
        <v>16805</v>
      </c>
      <c r="J8669" s="3" t="str">
        <f>HYPERLINK("https://www.boe.es/gazeta/dias/1821/05/24/pdfs/GMD-1821-146.pdf#page=2","Abrir facsímil")</f>
        <v>Abrir facsímil</v>
      </c>
      <c r="K8669" s="3" t="s">
        <v>23</v>
      </c>
    </row>
    <row r="8670" spans="1:11" ht="42" customHeight="1">
      <c r="A8670" s="2" t="s">
        <v>16806</v>
      </c>
      <c r="B8670" s="2" t="s">
        <v>16807</v>
      </c>
      <c r="C8670" s="2" t="s">
        <v>26</v>
      </c>
      <c r="D8670" s="2" t="s">
        <v>27</v>
      </c>
      <c r="E8670" s="5">
        <v>-28729</v>
      </c>
      <c r="F8670" s="3" t="s">
        <v>838</v>
      </c>
      <c r="G8670" s="3" t="s">
        <v>52</v>
      </c>
      <c r="H8670" s="2" t="s">
        <v>21</v>
      </c>
      <c r="I8670" s="2" t="s">
        <v>16808</v>
      </c>
      <c r="J8670" s="3" t="str">
        <f>HYPERLINK("https://www.boe.es/gazeta/dias/1821/05/04/pdfs/GMD-1821-126.pdf#page=2","Abrir facsímil")</f>
        <v>Abrir facsímil</v>
      </c>
      <c r="K8670" s="3" t="s">
        <v>23</v>
      </c>
    </row>
    <row r="8671" spans="1:11" ht="42" customHeight="1">
      <c r="A8671" s="2" t="s">
        <v>16809</v>
      </c>
      <c r="B8671" s="2" t="s">
        <v>16810</v>
      </c>
      <c r="C8671" s="2" t="s">
        <v>17</v>
      </c>
      <c r="D8671" s="2" t="s">
        <v>18</v>
      </c>
      <c r="E8671" s="5">
        <v>-28696</v>
      </c>
      <c r="F8671" s="3" t="s">
        <v>497</v>
      </c>
      <c r="G8671" s="3" t="s">
        <v>88</v>
      </c>
      <c r="H8671" s="2" t="s">
        <v>21</v>
      </c>
      <c r="I8671" s="2" t="s">
        <v>16811</v>
      </c>
      <c r="J8671" s="3" t="str">
        <f>HYPERLINK("https://www.boe.es/gazeta/dias/1821/06/06/pdfs/GMD-1821-159.pdf#page=4","Abrir facsímil")</f>
        <v>Abrir facsímil</v>
      </c>
      <c r="K8671" s="3" t="s">
        <v>23</v>
      </c>
    </row>
    <row r="8672" spans="1:11" ht="42" customHeight="1">
      <c r="A8672" s="2" t="s">
        <v>16812</v>
      </c>
      <c r="B8672" s="2" t="s">
        <v>16812</v>
      </c>
      <c r="C8672" s="2" t="s">
        <v>279</v>
      </c>
      <c r="D8672" s="2" t="s">
        <v>27</v>
      </c>
      <c r="E8672" s="5">
        <v>-28646</v>
      </c>
      <c r="F8672" s="3" t="s">
        <v>1457</v>
      </c>
      <c r="G8672" s="3" t="s">
        <v>43</v>
      </c>
      <c r="H8672" s="2" t="s">
        <v>21</v>
      </c>
      <c r="I8672" s="2" t="s">
        <v>16813</v>
      </c>
      <c r="J8672" s="3" t="str">
        <f>HYPERLINK("https://www.boe.es/gazeta/dias/1821/07/26/pdfs/GMD-1821-211.pdf#page=1","Abrir facsímil")</f>
        <v>Abrir facsímil</v>
      </c>
      <c r="K8672" s="3" t="s">
        <v>23</v>
      </c>
    </row>
    <row r="8673" spans="1:11" ht="42" customHeight="1">
      <c r="A8673" s="2" t="s">
        <v>16814</v>
      </c>
      <c r="B8673" s="2" t="s">
        <v>16814</v>
      </c>
      <c r="C8673" s="2" t="s">
        <v>40</v>
      </c>
      <c r="D8673" s="2" t="s">
        <v>41</v>
      </c>
      <c r="E8673" s="5">
        <v>-28587</v>
      </c>
      <c r="F8673" s="3" t="s">
        <v>392</v>
      </c>
      <c r="G8673" s="3" t="s">
        <v>88</v>
      </c>
      <c r="H8673" s="2" t="s">
        <v>21</v>
      </c>
      <c r="I8673" s="2" t="s">
        <v>16815</v>
      </c>
      <c r="J8673" s="3" t="str">
        <f>HYPERLINK("https://www.boe.es/gazeta/dias/1821/09/23/pdfs/GMD-1821-271.pdf#page=4","Abrir facsímil")</f>
        <v>Abrir facsímil</v>
      </c>
      <c r="K8673" s="3" t="s">
        <v>23</v>
      </c>
    </row>
    <row r="8674" spans="1:11" ht="42" customHeight="1">
      <c r="A8674" s="2" t="s">
        <v>16816</v>
      </c>
      <c r="B8674" s="2" t="s">
        <v>16816</v>
      </c>
      <c r="C8674" s="2" t="s">
        <v>26</v>
      </c>
      <c r="D8674" s="2" t="s">
        <v>27</v>
      </c>
      <c r="E8674" s="5">
        <v>-28587</v>
      </c>
      <c r="F8674" s="3" t="s">
        <v>392</v>
      </c>
      <c r="G8674" s="3" t="s">
        <v>52</v>
      </c>
      <c r="H8674" s="2" t="s">
        <v>21</v>
      </c>
      <c r="I8674" s="2" t="s">
        <v>16817</v>
      </c>
      <c r="J8674" s="3" t="str">
        <f>HYPERLINK("https://www.boe.es/gazeta/dias/1821/09/23/pdfs/GMD-1821-271.pdf#page=2","Abrir facsímil")</f>
        <v>Abrir facsímil</v>
      </c>
      <c r="K8674" s="3" t="s">
        <v>23</v>
      </c>
    </row>
    <row r="8675" spans="1:11" ht="42" customHeight="1">
      <c r="A8675" s="2" t="s">
        <v>16818</v>
      </c>
      <c r="B8675" s="2" t="s">
        <v>16819</v>
      </c>
      <c r="C8675" s="2" t="s">
        <v>17</v>
      </c>
      <c r="D8675" s="2" t="s">
        <v>18</v>
      </c>
      <c r="E8675" s="5">
        <v>-28565</v>
      </c>
      <c r="F8675" s="3" t="s">
        <v>326</v>
      </c>
      <c r="G8675" s="3" t="s">
        <v>162</v>
      </c>
      <c r="H8675" s="2" t="s">
        <v>21</v>
      </c>
      <c r="I8675" s="2" t="s">
        <v>16820</v>
      </c>
      <c r="J8675" s="3" t="str">
        <f>HYPERLINK("https://www.boe.es/gazeta/dias/1821/10/15/pdfs/GMD-1821-294.pdf#page=5","Abrir facsímil")</f>
        <v>Abrir facsímil</v>
      </c>
      <c r="K8675" s="3" t="s">
        <v>23</v>
      </c>
    </row>
    <row r="8676" spans="1:11" ht="42" customHeight="1">
      <c r="A8676" s="2" t="s">
        <v>16821</v>
      </c>
      <c r="B8676" s="2" t="s">
        <v>16821</v>
      </c>
      <c r="C8676" s="2" t="s">
        <v>17</v>
      </c>
      <c r="D8676" s="2" t="s">
        <v>18</v>
      </c>
      <c r="E8676" s="5">
        <v>-28814</v>
      </c>
      <c r="F8676" s="3" t="s">
        <v>2090</v>
      </c>
      <c r="G8676" s="3" t="s">
        <v>52</v>
      </c>
      <c r="H8676" s="2" t="s">
        <v>21</v>
      </c>
      <c r="I8676" s="2" t="s">
        <v>16822</v>
      </c>
      <c r="J8676" s="3" t="str">
        <f>HYPERLINK("https://www.boe.es/gazeta/dias/1821/02/08/pdfs/GGB-1821-39.pdf#page=2","Abrir facsímil")</f>
        <v>Abrir facsímil</v>
      </c>
      <c r="K8676" s="3" t="s">
        <v>23</v>
      </c>
    </row>
    <row r="8677" spans="1:11" ht="42" customHeight="1">
      <c r="A8677" s="2" t="s">
        <v>16823</v>
      </c>
      <c r="B8677" s="2" t="s">
        <v>16824</v>
      </c>
      <c r="C8677" s="2" t="s">
        <v>26</v>
      </c>
      <c r="D8677" s="2" t="s">
        <v>27</v>
      </c>
      <c r="E8677" s="5">
        <v>-28645</v>
      </c>
      <c r="F8677" s="3" t="s">
        <v>2579</v>
      </c>
      <c r="G8677" s="3" t="s">
        <v>43</v>
      </c>
      <c r="H8677" s="2" t="s">
        <v>21</v>
      </c>
      <c r="I8677" s="2" t="s">
        <v>16825</v>
      </c>
      <c r="J8677" s="3" t="str">
        <f>HYPERLINK("https://www.boe.es/gazeta/dias/1821/07/27/pdfs/GMD-1821-212.pdf#page=1","Abrir facsímil")</f>
        <v>Abrir facsímil</v>
      </c>
      <c r="K8677" s="3" t="s">
        <v>23</v>
      </c>
    </row>
    <row r="8678" spans="1:11" ht="42" customHeight="1">
      <c r="A8678" s="2" t="s">
        <v>16826</v>
      </c>
      <c r="B8678" s="2" t="s">
        <v>16827</v>
      </c>
      <c r="C8678" s="2" t="s">
        <v>17</v>
      </c>
      <c r="D8678" s="2" t="s">
        <v>18</v>
      </c>
      <c r="E8678" s="5">
        <v>-28601</v>
      </c>
      <c r="F8678" s="3" t="s">
        <v>2924</v>
      </c>
      <c r="G8678" s="3" t="s">
        <v>52</v>
      </c>
      <c r="H8678" s="2" t="s">
        <v>21</v>
      </c>
      <c r="I8678" s="2" t="s">
        <v>16828</v>
      </c>
      <c r="J8678" s="3" t="str">
        <f>HYPERLINK("https://www.boe.es/gazeta/dias/1821/09/09/pdfs/GMD-1821-257.pdf#page=2","Abrir facsímil")</f>
        <v>Abrir facsímil</v>
      </c>
      <c r="K8678" s="3" t="s">
        <v>23</v>
      </c>
    </row>
    <row r="8679" spans="1:11" ht="42" customHeight="1">
      <c r="A8679" s="2" t="s">
        <v>16829</v>
      </c>
      <c r="B8679" s="2" t="s">
        <v>16830</v>
      </c>
      <c r="C8679" s="2" t="s">
        <v>40</v>
      </c>
      <c r="D8679" s="2" t="s">
        <v>41</v>
      </c>
      <c r="E8679" s="5">
        <v>-28691</v>
      </c>
      <c r="F8679" s="3" t="s">
        <v>716</v>
      </c>
      <c r="G8679" s="3" t="s">
        <v>52</v>
      </c>
      <c r="H8679" s="2" t="s">
        <v>21</v>
      </c>
      <c r="I8679" s="2" t="s">
        <v>16831</v>
      </c>
      <c r="J8679" s="3" t="str">
        <f>HYPERLINK("https://www.boe.es/gazeta/dias/1821/06/11/pdfs/GMD-1821-164.pdf#page=2","Abrir facsímil")</f>
        <v>Abrir facsímil</v>
      </c>
      <c r="K8679" s="3" t="s">
        <v>23</v>
      </c>
    </row>
    <row r="8680" spans="1:11" ht="42" customHeight="1">
      <c r="A8680" s="2" t="s">
        <v>16832</v>
      </c>
      <c r="B8680" s="2" t="s">
        <v>16832</v>
      </c>
      <c r="C8680" s="2" t="s">
        <v>40</v>
      </c>
      <c r="D8680" s="2" t="s">
        <v>41</v>
      </c>
      <c r="E8680" s="5">
        <v>-28713</v>
      </c>
      <c r="F8680" s="3" t="s">
        <v>1976</v>
      </c>
      <c r="G8680" s="3" t="s">
        <v>52</v>
      </c>
      <c r="H8680" s="2" t="s">
        <v>21</v>
      </c>
      <c r="I8680" s="2" t="s">
        <v>16833</v>
      </c>
      <c r="J8680" s="3" t="str">
        <f>HYPERLINK("https://www.boe.es/gazeta/dias/1821/05/20/pdfs/GMD-1821-142.pdf#page=2","Abrir facsímil")</f>
        <v>Abrir facsímil</v>
      </c>
      <c r="K8680" s="3" t="s">
        <v>23</v>
      </c>
    </row>
    <row r="8681" spans="1:11" ht="42" customHeight="1">
      <c r="A8681" s="2" t="s">
        <v>16832</v>
      </c>
      <c r="B8681" s="2" t="s">
        <v>16832</v>
      </c>
      <c r="C8681" s="2" t="s">
        <v>17</v>
      </c>
      <c r="D8681" s="2" t="s">
        <v>18</v>
      </c>
      <c r="E8681" s="5">
        <v>-28586</v>
      </c>
      <c r="F8681" s="3" t="s">
        <v>587</v>
      </c>
      <c r="G8681" s="3" t="s">
        <v>588</v>
      </c>
      <c r="H8681" s="2" t="s">
        <v>21</v>
      </c>
      <c r="I8681" s="2" t="s">
        <v>16834</v>
      </c>
      <c r="J8681" s="3" t="str">
        <f>HYPERLINK("https://www.boe.es/gazeta/dias/1821/09/24/pdfs/GMD-1821-272.pdf#page=3","Abrir facsímil")</f>
        <v>Abrir facsímil</v>
      </c>
      <c r="K8681" s="3" t="s">
        <v>23</v>
      </c>
    </row>
    <row r="8682" spans="1:11" ht="42" customHeight="1">
      <c r="A8682" s="2" t="s">
        <v>16832</v>
      </c>
      <c r="B8682" s="2" t="s">
        <v>16832</v>
      </c>
      <c r="C8682" s="2" t="s">
        <v>26</v>
      </c>
      <c r="D8682" s="2" t="s">
        <v>27</v>
      </c>
      <c r="E8682" s="5">
        <v>-28544</v>
      </c>
      <c r="F8682" s="3" t="s">
        <v>139</v>
      </c>
      <c r="G8682" s="3" t="s">
        <v>52</v>
      </c>
      <c r="H8682" s="2" t="s">
        <v>21</v>
      </c>
      <c r="I8682" s="2" t="s">
        <v>16835</v>
      </c>
      <c r="J8682" s="3" t="str">
        <f>HYPERLINK("https://www.boe.es/gazeta/dias/1821/11/05/pdfs/GMD-1821-316.pdf#page=2","Abrir facsímil")</f>
        <v>Abrir facsímil</v>
      </c>
      <c r="K8682" s="3" t="s">
        <v>23</v>
      </c>
    </row>
    <row r="8683" spans="1:11" ht="42" customHeight="1">
      <c r="A8683" s="2" t="s">
        <v>16832</v>
      </c>
      <c r="B8683" s="2" t="s">
        <v>16832</v>
      </c>
      <c r="C8683" s="2" t="s">
        <v>70</v>
      </c>
      <c r="D8683" s="2" t="s">
        <v>27</v>
      </c>
      <c r="E8683" s="5">
        <v>-28525</v>
      </c>
      <c r="F8683" s="3" t="s">
        <v>186</v>
      </c>
      <c r="G8683" s="3" t="s">
        <v>20</v>
      </c>
      <c r="H8683" s="2" t="s">
        <v>21</v>
      </c>
      <c r="I8683" s="2" t="s">
        <v>16836</v>
      </c>
      <c r="J8683" s="3" t="str">
        <f>HYPERLINK("https://www.boe.es/gazeta/dias/1821/11/24/pdfs/GMD-1821-335.pdf#page=3","Abrir facsímil")</f>
        <v>Abrir facsímil</v>
      </c>
      <c r="K8683" s="3" t="s">
        <v>23</v>
      </c>
    </row>
    <row r="8684" spans="1:11" ht="42" customHeight="1">
      <c r="A8684" s="2" t="s">
        <v>16832</v>
      </c>
      <c r="B8684" s="2" t="s">
        <v>16832</v>
      </c>
      <c r="C8684" s="2" t="s">
        <v>26</v>
      </c>
      <c r="D8684" s="2" t="s">
        <v>27</v>
      </c>
      <c r="E8684" s="5">
        <v>-28515</v>
      </c>
      <c r="F8684" s="3" t="s">
        <v>260</v>
      </c>
      <c r="G8684" s="3" t="s">
        <v>3841</v>
      </c>
      <c r="H8684" s="2" t="s">
        <v>21</v>
      </c>
      <c r="I8684" s="2" t="s">
        <v>16837</v>
      </c>
      <c r="J8684" s="3" t="str">
        <f>HYPERLINK("https://www.boe.es/gazeta/dias/1821/12/04/pdfs/GMD-1821-346.pdf#page=6","Abrir facsímil")</f>
        <v>Abrir facsímil</v>
      </c>
      <c r="K8684" s="3" t="s">
        <v>23</v>
      </c>
    </row>
    <row r="8685" spans="1:11" ht="42" customHeight="1">
      <c r="A8685" s="2" t="s">
        <v>16832</v>
      </c>
      <c r="B8685" s="2" t="s">
        <v>16832</v>
      </c>
      <c r="C8685" s="2" t="s">
        <v>40</v>
      </c>
      <c r="D8685" s="2" t="s">
        <v>41</v>
      </c>
      <c r="E8685" s="5">
        <v>-28514</v>
      </c>
      <c r="F8685" s="3" t="s">
        <v>103</v>
      </c>
      <c r="G8685" s="3" t="s">
        <v>88</v>
      </c>
      <c r="H8685" s="2" t="s">
        <v>21</v>
      </c>
      <c r="I8685" s="2" t="s">
        <v>16838</v>
      </c>
      <c r="J8685" s="3" t="str">
        <f>HYPERLINK("https://www.boe.es/gazeta/dias/1821/12/05/pdfs/GMD-1821-347.pdf#page=4","Abrir facsímil")</f>
        <v>Abrir facsímil</v>
      </c>
      <c r="K8685" s="3" t="s">
        <v>23</v>
      </c>
    </row>
    <row r="8686" spans="1:11" ht="42" customHeight="1">
      <c r="A8686" s="2" t="s">
        <v>16832</v>
      </c>
      <c r="B8686" s="2" t="s">
        <v>16832</v>
      </c>
      <c r="C8686" s="2" t="s">
        <v>17</v>
      </c>
      <c r="D8686" s="2" t="s">
        <v>18</v>
      </c>
      <c r="E8686" s="5">
        <v>-28512</v>
      </c>
      <c r="F8686" s="3" t="s">
        <v>66</v>
      </c>
      <c r="G8686" s="3" t="s">
        <v>20</v>
      </c>
      <c r="H8686" s="2" t="s">
        <v>21</v>
      </c>
      <c r="I8686" s="2" t="s">
        <v>16839</v>
      </c>
      <c r="J8686" s="3" t="str">
        <f>HYPERLINK("https://www.boe.es/gazeta/dias/1821/12/07/pdfs/GMD-1821-349.pdf#page=3","Abrir facsímil")</f>
        <v>Abrir facsímil</v>
      </c>
      <c r="K8686" s="3" t="s">
        <v>23</v>
      </c>
    </row>
    <row r="8687" spans="1:11" ht="42" customHeight="1">
      <c r="A8687" s="2" t="s">
        <v>16840</v>
      </c>
      <c r="B8687" s="2" t="s">
        <v>16841</v>
      </c>
      <c r="C8687" s="2" t="s">
        <v>279</v>
      </c>
      <c r="D8687" s="2" t="s">
        <v>27</v>
      </c>
      <c r="E8687" s="5">
        <v>-28635</v>
      </c>
      <c r="F8687" s="3" t="s">
        <v>1210</v>
      </c>
      <c r="G8687" s="3" t="s">
        <v>88</v>
      </c>
      <c r="H8687" s="2" t="s">
        <v>21</v>
      </c>
      <c r="I8687" s="2" t="s">
        <v>16842</v>
      </c>
      <c r="J8687" s="3" t="str">
        <f>HYPERLINK("https://www.boe.es/gazeta/dias/1821/08/06/pdfs/GMD-1821-222.pdf#page=4","Abrir facsímil")</f>
        <v>Abrir facsímil</v>
      </c>
      <c r="K8687" s="3" t="s">
        <v>23</v>
      </c>
    </row>
    <row r="8688" spans="1:11" ht="42" customHeight="1">
      <c r="A8688" s="2" t="s">
        <v>16843</v>
      </c>
      <c r="B8688" s="2" t="s">
        <v>16843</v>
      </c>
      <c r="C8688" s="2" t="s">
        <v>26</v>
      </c>
      <c r="D8688" s="2" t="s">
        <v>27</v>
      </c>
      <c r="E8688" s="5">
        <v>-28514</v>
      </c>
      <c r="F8688" s="3" t="s">
        <v>103</v>
      </c>
      <c r="G8688" s="3" t="s">
        <v>20</v>
      </c>
      <c r="H8688" s="2" t="s">
        <v>21</v>
      </c>
      <c r="I8688" s="2" t="s">
        <v>16844</v>
      </c>
      <c r="J8688" s="3" t="str">
        <f>HYPERLINK("https://www.boe.es/gazeta/dias/1821/12/05/pdfs/GMD-1821-347.pdf#page=3","Abrir facsímil")</f>
        <v>Abrir facsímil</v>
      </c>
      <c r="K8688" s="3" t="s">
        <v>23</v>
      </c>
    </row>
    <row r="8689" spans="1:11" ht="42" customHeight="1">
      <c r="A8689" s="2" t="s">
        <v>16845</v>
      </c>
      <c r="B8689" s="2" t="s">
        <v>16846</v>
      </c>
      <c r="C8689" s="2" t="s">
        <v>17</v>
      </c>
      <c r="D8689" s="2" t="s">
        <v>18</v>
      </c>
      <c r="E8689" s="5">
        <v>-28528</v>
      </c>
      <c r="F8689" s="3" t="s">
        <v>1872</v>
      </c>
      <c r="G8689" s="3" t="s">
        <v>52</v>
      </c>
      <c r="H8689" s="2" t="s">
        <v>21</v>
      </c>
      <c r="I8689" s="2" t="s">
        <v>16847</v>
      </c>
      <c r="J8689" s="3" t="str">
        <f>HYPERLINK("https://www.boe.es/gazeta/dias/1821/11/21/pdfs/GMD-1821-332.pdf#page=2","Abrir facsímil")</f>
        <v>Abrir facsímil</v>
      </c>
      <c r="K8689" s="3" t="s">
        <v>23</v>
      </c>
    </row>
    <row r="8690" spans="1:11" ht="42" customHeight="1">
      <c r="A8690" s="2" t="s">
        <v>16848</v>
      </c>
      <c r="B8690" s="2" t="s">
        <v>16849</v>
      </c>
      <c r="C8690" s="2" t="s">
        <v>17</v>
      </c>
      <c r="D8690" s="2" t="s">
        <v>18</v>
      </c>
      <c r="E8690" s="5">
        <v>-28708</v>
      </c>
      <c r="F8690" s="3" t="s">
        <v>528</v>
      </c>
      <c r="G8690" s="3" t="s">
        <v>1716</v>
      </c>
      <c r="H8690" s="2" t="s">
        <v>21</v>
      </c>
      <c r="I8690" s="2" t="s">
        <v>16850</v>
      </c>
      <c r="J8690" s="3" t="str">
        <f>HYPERLINK("https://www.boe.es/gazeta/dias/1821/05/25/pdfs/GMD-1821-147.pdf#page=2","Abrir facsímil")</f>
        <v>Abrir facsímil</v>
      </c>
      <c r="K8690" s="3" t="s">
        <v>23</v>
      </c>
    </row>
    <row r="8691" spans="1:11" ht="42" customHeight="1">
      <c r="A8691" s="2" t="s">
        <v>16851</v>
      </c>
      <c r="B8691" s="2" t="s">
        <v>16852</v>
      </c>
      <c r="C8691" s="2" t="s">
        <v>17</v>
      </c>
      <c r="D8691" s="2" t="s">
        <v>18</v>
      </c>
      <c r="E8691" s="5">
        <v>-28648</v>
      </c>
      <c r="F8691" s="3" t="s">
        <v>1520</v>
      </c>
      <c r="G8691" s="3" t="s">
        <v>1521</v>
      </c>
      <c r="H8691" s="2" t="s">
        <v>21</v>
      </c>
      <c r="I8691" s="2" t="s">
        <v>16853</v>
      </c>
      <c r="J8691" s="3" t="str">
        <f>HYPERLINK("https://www.boe.es/gazeta/dias/1821/07/24/pdfs/GMD-1821-209.pdf#page=6","Abrir facsímil")</f>
        <v>Abrir facsímil</v>
      </c>
      <c r="K8691" s="3" t="s">
        <v>23</v>
      </c>
    </row>
    <row r="8692" spans="1:11" ht="42" customHeight="1">
      <c r="A8692" s="2" t="s">
        <v>16854</v>
      </c>
      <c r="B8692" s="2" t="s">
        <v>16855</v>
      </c>
      <c r="C8692" s="2" t="s">
        <v>26</v>
      </c>
      <c r="D8692" s="2" t="s">
        <v>27</v>
      </c>
      <c r="E8692" s="5">
        <v>-28547</v>
      </c>
      <c r="F8692" s="3" t="s">
        <v>247</v>
      </c>
      <c r="G8692" s="3" t="s">
        <v>248</v>
      </c>
      <c r="H8692" s="2" t="s">
        <v>21</v>
      </c>
      <c r="I8692" s="2" t="s">
        <v>16856</v>
      </c>
      <c r="J8692" s="3" t="str">
        <f>HYPERLINK("https://www.boe.es/gazeta/dias/1821/11/02/pdfs/GMD-1821-312.pdf#page=2","Abrir facsímil")</f>
        <v>Abrir facsímil</v>
      </c>
      <c r="K8692" s="3" t="s">
        <v>23</v>
      </c>
    </row>
    <row r="8693" spans="1:11" ht="42" customHeight="1">
      <c r="A8693" s="2" t="s">
        <v>16857</v>
      </c>
      <c r="B8693" s="2" t="s">
        <v>16858</v>
      </c>
      <c r="C8693" s="2" t="s">
        <v>17</v>
      </c>
      <c r="D8693" s="2" t="s">
        <v>18</v>
      </c>
      <c r="E8693" s="5">
        <v>-28747</v>
      </c>
      <c r="F8693" s="3" t="s">
        <v>1016</v>
      </c>
      <c r="G8693" s="3" t="s">
        <v>43</v>
      </c>
      <c r="H8693" s="2" t="s">
        <v>21</v>
      </c>
      <c r="I8693" s="2" t="s">
        <v>16859</v>
      </c>
      <c r="J8693" s="3" t="str">
        <f>HYPERLINK("https://www.boe.es/gazeta/dias/1821/04/16/pdfs/GMD-1821-108.pdf#page=1","Abrir facsímil")</f>
        <v>Abrir facsímil</v>
      </c>
      <c r="K8693" s="3" t="s">
        <v>23</v>
      </c>
    </row>
    <row r="8694" spans="1:11" ht="42" customHeight="1">
      <c r="A8694" s="2" t="s">
        <v>16860</v>
      </c>
      <c r="B8694" s="2" t="s">
        <v>16860</v>
      </c>
      <c r="C8694" s="2" t="s">
        <v>26</v>
      </c>
      <c r="D8694" s="2" t="s">
        <v>27</v>
      </c>
      <c r="E8694" s="5">
        <v>-28728</v>
      </c>
      <c r="F8694" s="3" t="s">
        <v>1038</v>
      </c>
      <c r="G8694" s="3" t="s">
        <v>20</v>
      </c>
      <c r="H8694" s="2" t="s">
        <v>21</v>
      </c>
      <c r="I8694" s="2" t="s">
        <v>16861</v>
      </c>
      <c r="J8694" s="3" t="str">
        <f>HYPERLINK("https://www.boe.es/gazeta/dias/1821/05/05/pdfs/GMD-1821-127.pdf#page=3","Abrir facsímil")</f>
        <v>Abrir facsímil</v>
      </c>
      <c r="K8694" s="3" t="s">
        <v>23</v>
      </c>
    </row>
    <row r="8695" spans="1:11" ht="42" customHeight="1">
      <c r="A8695" s="2" t="s">
        <v>16860</v>
      </c>
      <c r="B8695" s="2" t="s">
        <v>16860</v>
      </c>
      <c r="C8695" s="2" t="s">
        <v>17</v>
      </c>
      <c r="D8695" s="2" t="s">
        <v>18</v>
      </c>
      <c r="E8695" s="5">
        <v>-28723</v>
      </c>
      <c r="F8695" s="3" t="s">
        <v>840</v>
      </c>
      <c r="G8695" s="3" t="s">
        <v>52</v>
      </c>
      <c r="H8695" s="2" t="s">
        <v>21</v>
      </c>
      <c r="I8695" s="2" t="s">
        <v>16862</v>
      </c>
      <c r="J8695" s="3" t="str">
        <f>HYPERLINK("https://www.boe.es/gazeta/dias/1821/05/10/pdfs/GMD-1821-132.pdf#page=2","Abrir facsímil")</f>
        <v>Abrir facsímil</v>
      </c>
      <c r="K8695" s="3" t="s">
        <v>23</v>
      </c>
    </row>
    <row r="8696" spans="1:11" ht="42" customHeight="1">
      <c r="A8696" s="2" t="s">
        <v>16860</v>
      </c>
      <c r="B8696" s="2" t="s">
        <v>16860</v>
      </c>
      <c r="C8696" s="2" t="s">
        <v>17</v>
      </c>
      <c r="D8696" s="2" t="s">
        <v>18</v>
      </c>
      <c r="E8696" s="5">
        <v>-28722</v>
      </c>
      <c r="F8696" s="3" t="s">
        <v>623</v>
      </c>
      <c r="G8696" s="3" t="s">
        <v>52</v>
      </c>
      <c r="H8696" s="2" t="s">
        <v>21</v>
      </c>
      <c r="I8696" s="2" t="s">
        <v>16863</v>
      </c>
      <c r="J8696" s="3" t="str">
        <f>HYPERLINK("https://www.boe.es/gazeta/dias/1821/05/11/pdfs/GMD-1821-133.pdf#page=2","Abrir facsímil")</f>
        <v>Abrir facsímil</v>
      </c>
      <c r="K8696" s="3" t="s">
        <v>23</v>
      </c>
    </row>
    <row r="8697" spans="1:11" ht="42" customHeight="1">
      <c r="A8697" s="2" t="s">
        <v>16864</v>
      </c>
      <c r="B8697" s="2" t="s">
        <v>16865</v>
      </c>
      <c r="C8697" s="2" t="s">
        <v>17</v>
      </c>
      <c r="D8697" s="2" t="s">
        <v>18</v>
      </c>
      <c r="E8697" s="5">
        <v>-28746</v>
      </c>
      <c r="F8697" s="3" t="s">
        <v>687</v>
      </c>
      <c r="G8697" s="3" t="s">
        <v>20</v>
      </c>
      <c r="H8697" s="2" t="s">
        <v>21</v>
      </c>
      <c r="I8697" s="2" t="s">
        <v>16866</v>
      </c>
      <c r="J8697" s="3" t="str">
        <f>HYPERLINK("https://www.boe.es/gazeta/dias/1821/04/17/pdfs/GMD-1821-109.pdf#page=3","Abrir facsímil")</f>
        <v>Abrir facsímil</v>
      </c>
      <c r="K8697" s="3" t="s">
        <v>23</v>
      </c>
    </row>
    <row r="8698" spans="1:11" ht="42" customHeight="1">
      <c r="A8698" s="2" t="s">
        <v>16867</v>
      </c>
      <c r="B8698" s="2" t="s">
        <v>16867</v>
      </c>
      <c r="C8698" s="2" t="s">
        <v>17</v>
      </c>
      <c r="D8698" s="2" t="s">
        <v>18</v>
      </c>
      <c r="E8698" s="5">
        <v>-28776</v>
      </c>
      <c r="F8698" s="3" t="s">
        <v>312</v>
      </c>
      <c r="G8698" s="3" t="s">
        <v>88</v>
      </c>
      <c r="H8698" s="2" t="s">
        <v>21</v>
      </c>
      <c r="I8698" s="2" t="s">
        <v>16868</v>
      </c>
      <c r="J8698" s="3" t="str">
        <f>HYPERLINK("https://www.boe.es/gazeta/dias/1821/03/18/pdfs/GMD-1821-77.pdf#page=4","Abrir facsímil")</f>
        <v>Abrir facsímil</v>
      </c>
      <c r="K8698" s="3" t="s">
        <v>23</v>
      </c>
    </row>
    <row r="8699" spans="1:11" ht="42" customHeight="1">
      <c r="A8699" s="2" t="s">
        <v>16867</v>
      </c>
      <c r="B8699" s="2" t="s">
        <v>16867</v>
      </c>
      <c r="C8699" s="2" t="s">
        <v>17</v>
      </c>
      <c r="D8699" s="2" t="s">
        <v>18</v>
      </c>
      <c r="E8699" s="5">
        <v>-28744</v>
      </c>
      <c r="F8699" s="3" t="s">
        <v>834</v>
      </c>
      <c r="G8699" s="3" t="s">
        <v>52</v>
      </c>
      <c r="H8699" s="2" t="s">
        <v>21</v>
      </c>
      <c r="I8699" s="2" t="s">
        <v>16869</v>
      </c>
      <c r="J8699" s="3" t="str">
        <f>HYPERLINK("https://www.boe.es/gazeta/dias/1821/04/19/pdfs/GMD-1821-111.pdf#page=2","Abrir facsímil")</f>
        <v>Abrir facsímil</v>
      </c>
      <c r="K8699" s="3" t="s">
        <v>23</v>
      </c>
    </row>
    <row r="8700" spans="1:11" ht="42" customHeight="1">
      <c r="A8700" s="2" t="s">
        <v>16870</v>
      </c>
      <c r="B8700" s="2" t="s">
        <v>16871</v>
      </c>
      <c r="C8700" s="2" t="s">
        <v>17</v>
      </c>
      <c r="D8700" s="2" t="s">
        <v>18</v>
      </c>
      <c r="E8700" s="5">
        <v>-28531</v>
      </c>
      <c r="F8700" s="3" t="s">
        <v>365</v>
      </c>
      <c r="G8700" s="3" t="s">
        <v>20</v>
      </c>
      <c r="H8700" s="2" t="s">
        <v>21</v>
      </c>
      <c r="I8700" s="2" t="s">
        <v>16872</v>
      </c>
      <c r="J8700" s="3" t="str">
        <f>HYPERLINK("https://www.boe.es/gazeta/dias/1821/11/18/pdfs/GMD-1821-329.pdf#page=3","Abrir facsímil")</f>
        <v>Abrir facsímil</v>
      </c>
      <c r="K8700" s="3" t="s">
        <v>23</v>
      </c>
    </row>
    <row r="8701" spans="1:11" ht="42" customHeight="1">
      <c r="A8701" s="2" t="s">
        <v>16873</v>
      </c>
      <c r="B8701" s="2" t="s">
        <v>16874</v>
      </c>
      <c r="C8701" s="2" t="s">
        <v>26</v>
      </c>
      <c r="D8701" s="2" t="s">
        <v>27</v>
      </c>
      <c r="E8701" s="5">
        <v>-28738</v>
      </c>
      <c r="F8701" s="3" t="s">
        <v>359</v>
      </c>
      <c r="G8701" s="3" t="s">
        <v>88</v>
      </c>
      <c r="H8701" s="2" t="s">
        <v>30</v>
      </c>
      <c r="I8701" s="2" t="s">
        <v>16875</v>
      </c>
      <c r="J8701" s="3" t="str">
        <f>HYPERLINK("https://www.boe.es/gazeta/dias/1821/04/25/pdfs/GMD-1821-117.pdf#page=4","Abrir facsímil")</f>
        <v>Abrir facsímil</v>
      </c>
      <c r="K8701" s="3" t="s">
        <v>32</v>
      </c>
    </row>
    <row r="8702" spans="1:11" ht="42" customHeight="1">
      <c r="A8702" s="2" t="s">
        <v>16876</v>
      </c>
      <c r="B8702" s="2" t="s">
        <v>16877</v>
      </c>
      <c r="C8702" s="2" t="s">
        <v>40</v>
      </c>
      <c r="D8702" s="2" t="s">
        <v>41</v>
      </c>
      <c r="E8702" s="5">
        <v>-28490</v>
      </c>
      <c r="F8702" s="3" t="s">
        <v>801</v>
      </c>
      <c r="G8702" s="3" t="s">
        <v>88</v>
      </c>
      <c r="H8702" s="2" t="s">
        <v>21</v>
      </c>
      <c r="I8702" s="2" t="s">
        <v>16878</v>
      </c>
      <c r="J8702" s="3" t="str">
        <f>HYPERLINK("https://www.boe.es/gazeta/dias/1821/12/29/pdfs/GMD-1821-372.pdf#page=4","Abrir facsímil")</f>
        <v>Abrir facsímil</v>
      </c>
      <c r="K8702" s="3" t="s">
        <v>23</v>
      </c>
    </row>
    <row r="8703" spans="1:11" ht="42" customHeight="1">
      <c r="A8703" s="2" t="s">
        <v>16879</v>
      </c>
      <c r="B8703" s="2" t="s">
        <v>16880</v>
      </c>
      <c r="C8703" s="2" t="s">
        <v>174</v>
      </c>
      <c r="D8703" s="2" t="s">
        <v>27</v>
      </c>
      <c r="E8703" s="5">
        <v>-28851</v>
      </c>
      <c r="F8703" s="3" t="s">
        <v>3227</v>
      </c>
      <c r="G8703" s="3" t="s">
        <v>20</v>
      </c>
      <c r="H8703" s="2" t="s">
        <v>21</v>
      </c>
      <c r="I8703" s="2" t="s">
        <v>16881</v>
      </c>
      <c r="J8703" s="3" t="str">
        <f>HYPERLINK("https://www.boe.es/gazeta/dias/1821/01/02/pdfs/GGB-1821-2.pdf#page=3","Abrir facsímil")</f>
        <v>Abrir facsímil</v>
      </c>
      <c r="K8703" s="3" t="s">
        <v>23</v>
      </c>
    </row>
    <row r="8704" spans="1:11" ht="42" customHeight="1">
      <c r="A8704" s="2" t="s">
        <v>16882</v>
      </c>
      <c r="B8704" s="2" t="s">
        <v>16882</v>
      </c>
      <c r="C8704" s="2" t="s">
        <v>17</v>
      </c>
      <c r="D8704" s="2" t="s">
        <v>18</v>
      </c>
      <c r="E8704" s="5">
        <v>-28705</v>
      </c>
      <c r="F8704" s="3" t="s">
        <v>1844</v>
      </c>
      <c r="G8704" s="3" t="s">
        <v>52</v>
      </c>
      <c r="H8704" s="2" t="s">
        <v>21</v>
      </c>
      <c r="I8704" s="2" t="s">
        <v>16883</v>
      </c>
      <c r="J8704" s="3" t="str">
        <f>HYPERLINK("https://www.boe.es/gazeta/dias/1821/05/28/pdfs/GMD-1821-150.pdf#page=2","Abrir facsímil")</f>
        <v>Abrir facsímil</v>
      </c>
      <c r="K8704" s="3" t="s">
        <v>23</v>
      </c>
    </row>
    <row r="8705" spans="1:11" ht="42" customHeight="1">
      <c r="A8705" s="2" t="s">
        <v>16882</v>
      </c>
      <c r="B8705" s="2" t="s">
        <v>16882</v>
      </c>
      <c r="C8705" s="2" t="s">
        <v>17</v>
      </c>
      <c r="D8705" s="2" t="s">
        <v>18</v>
      </c>
      <c r="E8705" s="5">
        <v>-28676</v>
      </c>
      <c r="F8705" s="3" t="s">
        <v>534</v>
      </c>
      <c r="G8705" s="3" t="s">
        <v>52</v>
      </c>
      <c r="H8705" s="2" t="s">
        <v>21</v>
      </c>
      <c r="I8705" s="2" t="s">
        <v>16884</v>
      </c>
      <c r="J8705" s="3" t="str">
        <f>HYPERLINK("https://www.boe.es/gazeta/dias/1821/06/26/pdfs/GMD-1821-179.pdf#page=2","Abrir facsímil")</f>
        <v>Abrir facsímil</v>
      </c>
      <c r="K8705" s="3" t="s">
        <v>23</v>
      </c>
    </row>
    <row r="8706" spans="1:11" ht="42" customHeight="1">
      <c r="A8706" s="2" t="s">
        <v>16885</v>
      </c>
      <c r="B8706" s="2" t="s">
        <v>16885</v>
      </c>
      <c r="C8706" s="2" t="s">
        <v>17</v>
      </c>
      <c r="D8706" s="2" t="s">
        <v>18</v>
      </c>
      <c r="E8706" s="5">
        <v>-28498</v>
      </c>
      <c r="F8706" s="3" t="s">
        <v>447</v>
      </c>
      <c r="G8706" s="3" t="s">
        <v>20</v>
      </c>
      <c r="H8706" s="2" t="s">
        <v>21</v>
      </c>
      <c r="I8706" s="2" t="s">
        <v>16886</v>
      </c>
      <c r="J8706" s="3" t="str">
        <f>HYPERLINK("https://www.boe.es/gazeta/dias/1821/12/21/pdfs/GMD-1821-364.pdf#page=3","Abrir facsímil")</f>
        <v>Abrir facsímil</v>
      </c>
      <c r="K8706" s="3" t="s">
        <v>23</v>
      </c>
    </row>
    <row r="8707" spans="1:11" ht="42" customHeight="1">
      <c r="A8707" s="2" t="s">
        <v>16887</v>
      </c>
      <c r="B8707" s="2" t="s">
        <v>16887</v>
      </c>
      <c r="C8707" s="2" t="s">
        <v>26</v>
      </c>
      <c r="D8707" s="2" t="s">
        <v>27</v>
      </c>
      <c r="E8707" s="5">
        <v>-28488</v>
      </c>
      <c r="F8707" s="3" t="s">
        <v>1563</v>
      </c>
      <c r="G8707" s="3" t="s">
        <v>3734</v>
      </c>
      <c r="H8707" s="2" t="s">
        <v>21</v>
      </c>
      <c r="I8707" s="2" t="s">
        <v>16888</v>
      </c>
      <c r="J8707" s="3" t="str">
        <f>HYPERLINK("https://www.boe.es/gazeta/dias/1821/12/31/pdfs/GMD-1821-374.pdf#page=3","Abrir facsímil")</f>
        <v>Abrir facsímil</v>
      </c>
      <c r="K8707" s="3" t="s">
        <v>23</v>
      </c>
    </row>
    <row r="8708" spans="1:11" ht="42" customHeight="1">
      <c r="A8708" s="2" t="s">
        <v>16889</v>
      </c>
      <c r="B8708" s="2" t="s">
        <v>16889</v>
      </c>
      <c r="C8708" s="2" t="s">
        <v>70</v>
      </c>
      <c r="D8708" s="2" t="s">
        <v>27</v>
      </c>
      <c r="E8708" s="5">
        <v>-28753</v>
      </c>
      <c r="F8708" s="3" t="s">
        <v>720</v>
      </c>
      <c r="G8708" s="3" t="s">
        <v>776</v>
      </c>
      <c r="H8708" s="2" t="s">
        <v>21</v>
      </c>
      <c r="I8708" s="2" t="s">
        <v>16890</v>
      </c>
      <c r="J8708" s="3" t="str">
        <f>HYPERLINK("https://www.boe.es/gazeta/dias/1821/04/10/pdfs/GMD-1821-102.pdf#page=2","Abrir facsímil")</f>
        <v>Abrir facsímil</v>
      </c>
      <c r="K8708" s="3" t="s">
        <v>23</v>
      </c>
    </row>
    <row r="8709" spans="1:11" ht="42" customHeight="1">
      <c r="A8709" s="2" t="s">
        <v>16889</v>
      </c>
      <c r="B8709" s="2" t="s">
        <v>16889</v>
      </c>
      <c r="C8709" s="2" t="s">
        <v>35</v>
      </c>
      <c r="D8709" s="2" t="s">
        <v>27</v>
      </c>
      <c r="E8709" s="5">
        <v>-28753</v>
      </c>
      <c r="F8709" s="3" t="s">
        <v>720</v>
      </c>
      <c r="G8709" s="3" t="s">
        <v>20</v>
      </c>
      <c r="H8709" s="2" t="s">
        <v>21</v>
      </c>
      <c r="I8709" s="2" t="s">
        <v>16891</v>
      </c>
      <c r="J8709" s="3" t="str">
        <f>HYPERLINK("https://www.boe.es/gazeta/dias/1821/04/10/pdfs/GMD-1821-102.pdf#page=3","Abrir facsímil")</f>
        <v>Abrir facsímil</v>
      </c>
      <c r="K8709" s="3" t="s">
        <v>23</v>
      </c>
    </row>
    <row r="8710" spans="1:11" ht="42" customHeight="1">
      <c r="A8710" s="2" t="s">
        <v>16889</v>
      </c>
      <c r="B8710" s="2" t="s">
        <v>16889</v>
      </c>
      <c r="C8710" s="2" t="s">
        <v>70</v>
      </c>
      <c r="D8710" s="2" t="s">
        <v>27</v>
      </c>
      <c r="E8710" s="5">
        <v>-28751</v>
      </c>
      <c r="F8710" s="3" t="s">
        <v>356</v>
      </c>
      <c r="G8710" s="3" t="s">
        <v>52</v>
      </c>
      <c r="H8710" s="2" t="s">
        <v>21</v>
      </c>
      <c r="I8710" s="2" t="s">
        <v>16892</v>
      </c>
      <c r="J8710" s="3" t="str">
        <f>HYPERLINK("https://www.boe.es/gazeta/dias/1821/04/12/pdfs/GMD-1821-104.pdf#page=2","Abrir facsímil")</f>
        <v>Abrir facsímil</v>
      </c>
      <c r="K8710" s="3" t="s">
        <v>23</v>
      </c>
    </row>
    <row r="8711" spans="1:11" ht="42" customHeight="1">
      <c r="A8711" s="2" t="s">
        <v>16889</v>
      </c>
      <c r="B8711" s="2" t="s">
        <v>16889</v>
      </c>
      <c r="C8711" s="2" t="s">
        <v>26</v>
      </c>
      <c r="D8711" s="2" t="s">
        <v>27</v>
      </c>
      <c r="E8711" s="5">
        <v>-28746</v>
      </c>
      <c r="F8711" s="3" t="s">
        <v>687</v>
      </c>
      <c r="G8711" s="3" t="s">
        <v>88</v>
      </c>
      <c r="H8711" s="2" t="s">
        <v>21</v>
      </c>
      <c r="I8711" s="2" t="s">
        <v>16893</v>
      </c>
      <c r="J8711" s="3" t="str">
        <f>HYPERLINK("https://www.boe.es/gazeta/dias/1821/04/17/pdfs/GMD-1821-109.pdf#page=4","Abrir facsímil")</f>
        <v>Abrir facsímil</v>
      </c>
      <c r="K8711" s="3" t="s">
        <v>23</v>
      </c>
    </row>
    <row r="8712" spans="1:11" ht="42" customHeight="1">
      <c r="A8712" s="2" t="s">
        <v>16889</v>
      </c>
      <c r="B8712" s="2" t="s">
        <v>16889</v>
      </c>
      <c r="C8712" s="2" t="s">
        <v>35</v>
      </c>
      <c r="D8712" s="2" t="s">
        <v>27</v>
      </c>
      <c r="E8712" s="5">
        <v>-28745</v>
      </c>
      <c r="F8712" s="3" t="s">
        <v>1020</v>
      </c>
      <c r="G8712" s="3" t="s">
        <v>20</v>
      </c>
      <c r="H8712" s="2" t="s">
        <v>21</v>
      </c>
      <c r="I8712" s="2" t="s">
        <v>16894</v>
      </c>
      <c r="J8712" s="3" t="str">
        <f>HYPERLINK("https://www.boe.es/gazeta/dias/1821/04/18/pdfs/GMD-1821-110.pdf#page=3","Abrir facsímil")</f>
        <v>Abrir facsímil</v>
      </c>
      <c r="K8712" s="3" t="s">
        <v>23</v>
      </c>
    </row>
    <row r="8713" spans="1:11" ht="42" customHeight="1">
      <c r="A8713" s="2" t="s">
        <v>16889</v>
      </c>
      <c r="B8713" s="2" t="s">
        <v>16889</v>
      </c>
      <c r="C8713" s="2" t="s">
        <v>17</v>
      </c>
      <c r="D8713" s="2" t="s">
        <v>18</v>
      </c>
      <c r="E8713" s="5">
        <v>-28738</v>
      </c>
      <c r="F8713" s="3" t="s">
        <v>359</v>
      </c>
      <c r="G8713" s="3" t="s">
        <v>20</v>
      </c>
      <c r="H8713" s="2" t="s">
        <v>21</v>
      </c>
      <c r="I8713" s="2" t="s">
        <v>16895</v>
      </c>
      <c r="J8713" s="3" t="str">
        <f>HYPERLINK("https://www.boe.es/gazeta/dias/1821/04/25/pdfs/GMD-1821-117.pdf#page=3","Abrir facsímil")</f>
        <v>Abrir facsímil</v>
      </c>
      <c r="K8713" s="3" t="s">
        <v>23</v>
      </c>
    </row>
    <row r="8714" spans="1:11" ht="42" customHeight="1">
      <c r="A8714" s="2" t="s">
        <v>16889</v>
      </c>
      <c r="B8714" s="2" t="s">
        <v>16889</v>
      </c>
      <c r="C8714" s="2" t="s">
        <v>40</v>
      </c>
      <c r="D8714" s="2" t="s">
        <v>41</v>
      </c>
      <c r="E8714" s="5">
        <v>-28734</v>
      </c>
      <c r="F8714" s="3" t="s">
        <v>1553</v>
      </c>
      <c r="G8714" s="3" t="s">
        <v>20</v>
      </c>
      <c r="H8714" s="2" t="s">
        <v>21</v>
      </c>
      <c r="I8714" s="2" t="s">
        <v>16896</v>
      </c>
      <c r="J8714" s="3" t="str">
        <f>HYPERLINK("https://www.boe.es/gazeta/dias/1821/04/29/pdfs/GMD-1821-121.pdf#page=3","Abrir facsímil")</f>
        <v>Abrir facsímil</v>
      </c>
      <c r="K8714" s="3" t="s">
        <v>23</v>
      </c>
    </row>
    <row r="8715" spans="1:11" ht="42" customHeight="1">
      <c r="A8715" s="2" t="s">
        <v>16889</v>
      </c>
      <c r="B8715" s="2" t="s">
        <v>16889</v>
      </c>
      <c r="C8715" s="2" t="s">
        <v>26</v>
      </c>
      <c r="D8715" s="2" t="s">
        <v>27</v>
      </c>
      <c r="E8715" s="5">
        <v>-28694</v>
      </c>
      <c r="F8715" s="3" t="s">
        <v>1057</v>
      </c>
      <c r="G8715" s="3" t="s">
        <v>20</v>
      </c>
      <c r="H8715" s="2" t="s">
        <v>21</v>
      </c>
      <c r="I8715" s="2" t="s">
        <v>16897</v>
      </c>
      <c r="J8715" s="3" t="str">
        <f>HYPERLINK("https://www.boe.es/gazeta/dias/1821/06/08/pdfs/GMD-1821-161.pdf#page=3","Abrir facsímil")</f>
        <v>Abrir facsímil</v>
      </c>
      <c r="K8715" s="3" t="s">
        <v>23</v>
      </c>
    </row>
    <row r="8716" spans="1:11" ht="42" customHeight="1">
      <c r="A8716" s="2" t="s">
        <v>16889</v>
      </c>
      <c r="B8716" s="2" t="s">
        <v>16889</v>
      </c>
      <c r="C8716" s="2" t="s">
        <v>40</v>
      </c>
      <c r="D8716" s="2" t="s">
        <v>41</v>
      </c>
      <c r="E8716" s="5">
        <v>-28693</v>
      </c>
      <c r="F8716" s="3" t="s">
        <v>74</v>
      </c>
      <c r="G8716" s="3" t="s">
        <v>52</v>
      </c>
      <c r="H8716" s="2" t="s">
        <v>21</v>
      </c>
      <c r="I8716" s="2" t="s">
        <v>16898</v>
      </c>
      <c r="J8716" s="3" t="str">
        <f>HYPERLINK("https://www.boe.es/gazeta/dias/1821/06/09/pdfs/GMD-1821-162.pdf#page=2","Abrir facsímil")</f>
        <v>Abrir facsímil</v>
      </c>
      <c r="K8716" s="3" t="s">
        <v>23</v>
      </c>
    </row>
    <row r="8717" spans="1:11" ht="42" customHeight="1">
      <c r="A8717" s="2" t="s">
        <v>16889</v>
      </c>
      <c r="B8717" s="2" t="s">
        <v>16889</v>
      </c>
      <c r="C8717" s="2" t="s">
        <v>35</v>
      </c>
      <c r="D8717" s="2" t="s">
        <v>27</v>
      </c>
      <c r="E8717" s="5">
        <v>-28681</v>
      </c>
      <c r="F8717" s="3" t="s">
        <v>210</v>
      </c>
      <c r="G8717" s="3" t="s">
        <v>52</v>
      </c>
      <c r="H8717" s="2" t="s">
        <v>21</v>
      </c>
      <c r="I8717" s="2" t="s">
        <v>16899</v>
      </c>
      <c r="J8717" s="3" t="str">
        <f>HYPERLINK("https://www.boe.es/gazeta/dias/1821/06/21/pdfs/GMD-1821-174.pdf#page=2","Abrir facsímil")</f>
        <v>Abrir facsímil</v>
      </c>
      <c r="K8717" s="3" t="s">
        <v>23</v>
      </c>
    </row>
    <row r="8718" spans="1:11" ht="42" customHeight="1">
      <c r="A8718" s="2" t="s">
        <v>16889</v>
      </c>
      <c r="B8718" s="2" t="s">
        <v>16889</v>
      </c>
      <c r="C8718" s="2" t="s">
        <v>26</v>
      </c>
      <c r="D8718" s="2" t="s">
        <v>27</v>
      </c>
      <c r="E8718" s="5">
        <v>-28680</v>
      </c>
      <c r="F8718" s="3" t="s">
        <v>531</v>
      </c>
      <c r="G8718" s="3" t="s">
        <v>20</v>
      </c>
      <c r="H8718" s="2" t="s">
        <v>21</v>
      </c>
      <c r="I8718" s="2" t="s">
        <v>16900</v>
      </c>
      <c r="J8718" s="3" t="str">
        <f>HYPERLINK("https://www.boe.es/gazeta/dias/1821/06/22/pdfs/GMD-1821-175.pdf#page=3","Abrir facsímil")</f>
        <v>Abrir facsímil</v>
      </c>
      <c r="K8718" s="3" t="s">
        <v>23</v>
      </c>
    </row>
    <row r="8719" spans="1:11" ht="42" customHeight="1">
      <c r="A8719" s="2" t="s">
        <v>16889</v>
      </c>
      <c r="B8719" s="2" t="s">
        <v>16889</v>
      </c>
      <c r="C8719" s="2" t="s">
        <v>26</v>
      </c>
      <c r="D8719" s="2" t="s">
        <v>27</v>
      </c>
      <c r="E8719" s="5">
        <v>-28553</v>
      </c>
      <c r="F8719" s="3" t="s">
        <v>182</v>
      </c>
      <c r="G8719" s="3" t="s">
        <v>162</v>
      </c>
      <c r="H8719" s="2" t="s">
        <v>21</v>
      </c>
      <c r="I8719" s="2" t="s">
        <v>16901</v>
      </c>
      <c r="J8719" s="3" t="str">
        <f>HYPERLINK("https://www.boe.es/gazeta/dias/1821/10/27/pdfs/GMD-1821-306.pdf#page=5","Abrir facsímil")</f>
        <v>Abrir facsímil</v>
      </c>
      <c r="K8719" s="3" t="s">
        <v>23</v>
      </c>
    </row>
    <row r="8720" spans="1:11" ht="42" customHeight="1">
      <c r="A8720" s="2" t="s">
        <v>16889</v>
      </c>
      <c r="B8720" s="2" t="s">
        <v>16889</v>
      </c>
      <c r="C8720" s="2" t="s">
        <v>35</v>
      </c>
      <c r="D8720" s="2" t="s">
        <v>27</v>
      </c>
      <c r="E8720" s="5">
        <v>-28552</v>
      </c>
      <c r="F8720" s="3" t="s">
        <v>28</v>
      </c>
      <c r="G8720" s="3" t="s">
        <v>162</v>
      </c>
      <c r="H8720" s="2" t="s">
        <v>21</v>
      </c>
      <c r="I8720" s="2" t="s">
        <v>16902</v>
      </c>
      <c r="J8720" s="3" t="str">
        <f>HYPERLINK("https://www.boe.es/gazeta/dias/1821/10/28/pdfs/GMD-1821-307.pdf#page=5","Abrir facsímil")</f>
        <v>Abrir facsímil</v>
      </c>
      <c r="K8720" s="3" t="s">
        <v>23</v>
      </c>
    </row>
    <row r="8721" spans="1:11" ht="42" customHeight="1">
      <c r="A8721" s="2" t="s">
        <v>16889</v>
      </c>
      <c r="B8721" s="2" t="s">
        <v>16889</v>
      </c>
      <c r="C8721" s="2" t="s">
        <v>17</v>
      </c>
      <c r="D8721" s="2" t="s">
        <v>18</v>
      </c>
      <c r="E8721" s="5">
        <v>-28549</v>
      </c>
      <c r="F8721" s="3" t="s">
        <v>930</v>
      </c>
      <c r="G8721" s="3" t="s">
        <v>88</v>
      </c>
      <c r="H8721" s="2" t="s">
        <v>21</v>
      </c>
      <c r="I8721" s="2" t="s">
        <v>16903</v>
      </c>
      <c r="J8721" s="3" t="str">
        <f>HYPERLINK("https://www.boe.es/gazeta/dias/1821/10/31/pdfs/GMD-1821-310.pdf#page=4","Abrir facsímil")</f>
        <v>Abrir facsímil</v>
      </c>
      <c r="K8721" s="3" t="s">
        <v>23</v>
      </c>
    </row>
    <row r="8722" spans="1:11" ht="42" customHeight="1">
      <c r="A8722" s="2" t="s">
        <v>16889</v>
      </c>
      <c r="B8722" s="2" t="s">
        <v>16889</v>
      </c>
      <c r="C8722" s="2" t="s">
        <v>70</v>
      </c>
      <c r="D8722" s="2" t="s">
        <v>27</v>
      </c>
      <c r="E8722" s="5">
        <v>-28534</v>
      </c>
      <c r="F8722" s="3" t="s">
        <v>414</v>
      </c>
      <c r="G8722" s="3" t="s">
        <v>88</v>
      </c>
      <c r="H8722" s="2" t="s">
        <v>21</v>
      </c>
      <c r="I8722" s="2" t="s">
        <v>16904</v>
      </c>
      <c r="J8722" s="3" t="str">
        <f>HYPERLINK("https://www.boe.es/gazeta/dias/1821/11/15/pdfs/GMD-1821-326.pdf#page=4","Abrir facsímil")</f>
        <v>Abrir facsímil</v>
      </c>
      <c r="K8722" s="3" t="s">
        <v>23</v>
      </c>
    </row>
    <row r="8723" spans="1:11" ht="42" customHeight="1">
      <c r="A8723" s="2" t="s">
        <v>16889</v>
      </c>
      <c r="B8723" s="2" t="s">
        <v>16889</v>
      </c>
      <c r="C8723" s="2" t="s">
        <v>26</v>
      </c>
      <c r="D8723" s="2" t="s">
        <v>27</v>
      </c>
      <c r="E8723" s="5">
        <v>-28518</v>
      </c>
      <c r="F8723" s="3" t="s">
        <v>410</v>
      </c>
      <c r="G8723" s="3" t="s">
        <v>162</v>
      </c>
      <c r="H8723" s="2" t="s">
        <v>21</v>
      </c>
      <c r="I8723" s="2" t="s">
        <v>16905</v>
      </c>
      <c r="J8723" s="3" t="str">
        <f>HYPERLINK("https://www.boe.es/gazeta/dias/1821/12/01/pdfs/GMD-1821-343.pdf#page=5","Abrir facsímil")</f>
        <v>Abrir facsímil</v>
      </c>
      <c r="K8723" s="3" t="s">
        <v>23</v>
      </c>
    </row>
    <row r="8724" spans="1:11" ht="42" customHeight="1">
      <c r="A8724" s="2" t="s">
        <v>16889</v>
      </c>
      <c r="B8724" s="2" t="s">
        <v>16889</v>
      </c>
      <c r="C8724" s="2" t="s">
        <v>26</v>
      </c>
      <c r="D8724" s="2" t="s">
        <v>27</v>
      </c>
      <c r="E8724" s="5">
        <v>-28512</v>
      </c>
      <c r="F8724" s="3" t="s">
        <v>66</v>
      </c>
      <c r="G8724" s="3" t="s">
        <v>52</v>
      </c>
      <c r="H8724" s="2" t="s">
        <v>21</v>
      </c>
      <c r="I8724" s="2" t="s">
        <v>16906</v>
      </c>
      <c r="J8724" s="3" t="str">
        <f>HYPERLINK("https://www.boe.es/gazeta/dias/1821/12/07/pdfs/GMD-1821-349.pdf#page=2","Abrir facsímil")</f>
        <v>Abrir facsímil</v>
      </c>
      <c r="K8724" s="3" t="s">
        <v>23</v>
      </c>
    </row>
    <row r="8725" spans="1:11" ht="42" customHeight="1">
      <c r="A8725" s="2" t="s">
        <v>16889</v>
      </c>
      <c r="B8725" s="2" t="s">
        <v>16889</v>
      </c>
      <c r="C8725" s="2" t="s">
        <v>26</v>
      </c>
      <c r="D8725" s="2" t="s">
        <v>27</v>
      </c>
      <c r="E8725" s="5">
        <v>-28510</v>
      </c>
      <c r="F8725" s="3" t="s">
        <v>83</v>
      </c>
      <c r="G8725" s="3" t="s">
        <v>20</v>
      </c>
      <c r="H8725" s="2" t="s">
        <v>21</v>
      </c>
      <c r="I8725" s="2" t="s">
        <v>16907</v>
      </c>
      <c r="J8725" s="3" t="str">
        <f>HYPERLINK("https://www.boe.es/gazeta/dias/1821/12/09/pdfs/GMD-1821-351.pdf#page=3","Abrir facsímil")</f>
        <v>Abrir facsímil</v>
      </c>
      <c r="K8725" s="3" t="s">
        <v>23</v>
      </c>
    </row>
    <row r="8726" spans="1:11" ht="42" customHeight="1">
      <c r="A8726" s="2" t="s">
        <v>16889</v>
      </c>
      <c r="B8726" s="2" t="s">
        <v>16889</v>
      </c>
      <c r="C8726" s="2" t="s">
        <v>26</v>
      </c>
      <c r="D8726" s="2" t="s">
        <v>27</v>
      </c>
      <c r="E8726" s="5">
        <v>-28508</v>
      </c>
      <c r="F8726" s="3" t="s">
        <v>42</v>
      </c>
      <c r="G8726" s="3" t="s">
        <v>20</v>
      </c>
      <c r="H8726" s="2" t="s">
        <v>21</v>
      </c>
      <c r="I8726" s="2" t="s">
        <v>16908</v>
      </c>
      <c r="J8726" s="3" t="str">
        <f>HYPERLINK("https://www.boe.es/gazeta/dias/1821/12/11/pdfs/GMD-1821-353.pdf#page=3","Abrir facsímil")</f>
        <v>Abrir facsímil</v>
      </c>
      <c r="K8726" s="3" t="s">
        <v>23</v>
      </c>
    </row>
    <row r="8727" spans="1:11" ht="42" customHeight="1">
      <c r="A8727" s="2" t="s">
        <v>16889</v>
      </c>
      <c r="B8727" s="2" t="s">
        <v>16889</v>
      </c>
      <c r="C8727" s="2" t="s">
        <v>26</v>
      </c>
      <c r="D8727" s="2" t="s">
        <v>27</v>
      </c>
      <c r="E8727" s="5">
        <v>-28501</v>
      </c>
      <c r="F8727" s="3" t="s">
        <v>456</v>
      </c>
      <c r="G8727" s="3" t="s">
        <v>88</v>
      </c>
      <c r="H8727" s="2" t="s">
        <v>21</v>
      </c>
      <c r="I8727" s="2" t="s">
        <v>16909</v>
      </c>
      <c r="J8727" s="3" t="str">
        <f>HYPERLINK("https://www.boe.es/gazeta/dias/1821/12/18/pdfs/GMD-1821-361.pdf#page=4","Abrir facsímil")</f>
        <v>Abrir facsímil</v>
      </c>
      <c r="K8727" s="3" t="s">
        <v>23</v>
      </c>
    </row>
    <row r="8728" spans="1:11" ht="42" customHeight="1">
      <c r="A8728" s="2" t="s">
        <v>16889</v>
      </c>
      <c r="B8728" s="2" t="s">
        <v>16889</v>
      </c>
      <c r="C8728" s="2" t="s">
        <v>70</v>
      </c>
      <c r="D8728" s="2" t="s">
        <v>27</v>
      </c>
      <c r="E8728" s="5">
        <v>-28500</v>
      </c>
      <c r="F8728" s="3" t="s">
        <v>298</v>
      </c>
      <c r="G8728" s="3" t="s">
        <v>20</v>
      </c>
      <c r="H8728" s="2" t="s">
        <v>21</v>
      </c>
      <c r="I8728" s="2" t="s">
        <v>16910</v>
      </c>
      <c r="J8728" s="3" t="str">
        <f>HYPERLINK("https://www.boe.es/gazeta/dias/1821/12/19/pdfs/GMD-1821-362.pdf#page=3","Abrir facsímil")</f>
        <v>Abrir facsímil</v>
      </c>
      <c r="K8728" s="3" t="s">
        <v>23</v>
      </c>
    </row>
    <row r="8729" spans="1:11" ht="42" customHeight="1">
      <c r="A8729" s="2" t="s">
        <v>16911</v>
      </c>
      <c r="B8729" s="2" t="s">
        <v>16911</v>
      </c>
      <c r="C8729" s="2" t="s">
        <v>17</v>
      </c>
      <c r="D8729" s="2" t="s">
        <v>18</v>
      </c>
      <c r="E8729" s="5">
        <v>-28510</v>
      </c>
      <c r="F8729" s="3" t="s">
        <v>83</v>
      </c>
      <c r="G8729" s="3" t="s">
        <v>20</v>
      </c>
      <c r="H8729" s="2" t="s">
        <v>21</v>
      </c>
      <c r="I8729" s="2" t="s">
        <v>16912</v>
      </c>
      <c r="J8729" s="3" t="str">
        <f>HYPERLINK("https://www.boe.es/gazeta/dias/1821/12/09/pdfs/GMD-1821-351.pdf#page=3","Abrir facsímil")</f>
        <v>Abrir facsímil</v>
      </c>
      <c r="K8729" s="3" t="s">
        <v>23</v>
      </c>
    </row>
    <row r="8730" spans="1:11" ht="42" customHeight="1">
      <c r="A8730" s="2" t="s">
        <v>16913</v>
      </c>
      <c r="B8730" s="2" t="s">
        <v>16914</v>
      </c>
      <c r="C8730" s="2" t="s">
        <v>17</v>
      </c>
      <c r="D8730" s="2" t="s">
        <v>18</v>
      </c>
      <c r="E8730" s="5">
        <v>-28580</v>
      </c>
      <c r="F8730" s="3" t="s">
        <v>175</v>
      </c>
      <c r="G8730" s="3" t="s">
        <v>20</v>
      </c>
      <c r="H8730" s="2" t="s">
        <v>21</v>
      </c>
      <c r="I8730" s="2" t="s">
        <v>16915</v>
      </c>
      <c r="J8730" s="3" t="str">
        <f>HYPERLINK("https://www.boe.es/gazeta/dias/1821/09/30/pdfs/GMD-1821-279.pdf#page=3","Abrir facsímil")</f>
        <v>Abrir facsímil</v>
      </c>
      <c r="K8730" s="3" t="s">
        <v>23</v>
      </c>
    </row>
    <row r="8731" spans="1:11" ht="42" customHeight="1">
      <c r="A8731" s="2" t="s">
        <v>16916</v>
      </c>
      <c r="B8731" s="2" t="s">
        <v>16916</v>
      </c>
      <c r="C8731" s="2" t="s">
        <v>26</v>
      </c>
      <c r="D8731" s="2" t="s">
        <v>27</v>
      </c>
      <c r="E8731" s="5">
        <v>-28745</v>
      </c>
      <c r="F8731" s="3" t="s">
        <v>1020</v>
      </c>
      <c r="G8731" s="3" t="s">
        <v>20</v>
      </c>
      <c r="H8731" s="2" t="s">
        <v>21</v>
      </c>
      <c r="I8731" s="2" t="s">
        <v>16917</v>
      </c>
      <c r="J8731" s="3" t="str">
        <f>HYPERLINK("https://www.boe.es/gazeta/dias/1821/04/18/pdfs/GMD-1821-110.pdf#page=3","Abrir facsímil")</f>
        <v>Abrir facsímil</v>
      </c>
      <c r="K8731" s="3" t="s">
        <v>23</v>
      </c>
    </row>
    <row r="8732" spans="1:11" ht="42" customHeight="1">
      <c r="A8732" s="2" t="s">
        <v>16918</v>
      </c>
      <c r="B8732" s="2" t="s">
        <v>16918</v>
      </c>
      <c r="C8732" s="2" t="s">
        <v>26</v>
      </c>
      <c r="D8732" s="2" t="s">
        <v>27</v>
      </c>
      <c r="E8732" s="5">
        <v>-28763</v>
      </c>
      <c r="F8732" s="3" t="s">
        <v>1145</v>
      </c>
      <c r="G8732" s="3" t="s">
        <v>20</v>
      </c>
      <c r="H8732" s="2" t="s">
        <v>21</v>
      </c>
      <c r="I8732" s="2" t="s">
        <v>16919</v>
      </c>
      <c r="J8732" s="3" t="str">
        <f>HYPERLINK("https://www.boe.es/gazeta/dias/1821/03/31/pdfs/GMD-1821-92.pdf#page=3","Abrir facsímil")</f>
        <v>Abrir facsímil</v>
      </c>
      <c r="K8732" s="3" t="s">
        <v>23</v>
      </c>
    </row>
    <row r="8733" spans="1:11" ht="42" customHeight="1">
      <c r="A8733" s="2" t="s">
        <v>16920</v>
      </c>
      <c r="B8733" s="2" t="s">
        <v>16920</v>
      </c>
      <c r="C8733" s="2" t="s">
        <v>17</v>
      </c>
      <c r="D8733" s="2" t="s">
        <v>18</v>
      </c>
      <c r="E8733" s="5">
        <v>-28694</v>
      </c>
      <c r="F8733" s="3" t="s">
        <v>1057</v>
      </c>
      <c r="G8733" s="3" t="s">
        <v>52</v>
      </c>
      <c r="H8733" s="2" t="s">
        <v>21</v>
      </c>
      <c r="I8733" s="2" t="s">
        <v>16921</v>
      </c>
      <c r="J8733" s="3" t="str">
        <f>HYPERLINK("https://www.boe.es/gazeta/dias/1821/06/08/pdfs/GMD-1821-161.pdf#page=2","Abrir facsímil")</f>
        <v>Abrir facsímil</v>
      </c>
      <c r="K8733" s="3" t="s">
        <v>23</v>
      </c>
    </row>
    <row r="8734" spans="1:11" ht="42" customHeight="1">
      <c r="A8734" s="2" t="s">
        <v>16922</v>
      </c>
      <c r="B8734" s="2" t="s">
        <v>16922</v>
      </c>
      <c r="C8734" s="2" t="s">
        <v>40</v>
      </c>
      <c r="D8734" s="2" t="s">
        <v>41</v>
      </c>
      <c r="E8734" s="5">
        <v>-28595</v>
      </c>
      <c r="F8734" s="3" t="s">
        <v>1621</v>
      </c>
      <c r="G8734" s="3" t="s">
        <v>20</v>
      </c>
      <c r="H8734" s="2" t="s">
        <v>21</v>
      </c>
      <c r="I8734" s="2" t="s">
        <v>16923</v>
      </c>
      <c r="J8734" s="3" t="str">
        <f>HYPERLINK("https://www.boe.es/gazeta/dias/1821/09/15/pdfs/GMD-1821-263.pdf#page=3","Abrir facsímil")</f>
        <v>Abrir facsímil</v>
      </c>
      <c r="K8734" s="3" t="s">
        <v>23</v>
      </c>
    </row>
    <row r="8735" spans="1:11" ht="42" customHeight="1">
      <c r="A8735" s="2" t="s">
        <v>16924</v>
      </c>
      <c r="B8735" s="2" t="s">
        <v>16925</v>
      </c>
      <c r="C8735" s="2" t="s">
        <v>35</v>
      </c>
      <c r="D8735" s="2" t="s">
        <v>27</v>
      </c>
      <c r="E8735" s="5">
        <v>-28847</v>
      </c>
      <c r="F8735" s="3" t="s">
        <v>288</v>
      </c>
      <c r="G8735" s="3" t="s">
        <v>289</v>
      </c>
      <c r="H8735" s="2" t="s">
        <v>21</v>
      </c>
      <c r="I8735" s="2" t="s">
        <v>16926</v>
      </c>
      <c r="J8735" s="3" t="str">
        <f>HYPERLINK("https://www.boe.es/gazeta/dias/1821/01/06/pdfs/GGB-1821-6.pdf#page=4","Abrir facsímil")</f>
        <v>Abrir facsímil</v>
      </c>
      <c r="K8735" s="3" t="s">
        <v>23</v>
      </c>
    </row>
    <row r="8736" spans="1:11" ht="42" customHeight="1">
      <c r="A8736" s="2" t="s">
        <v>16927</v>
      </c>
      <c r="B8736" s="2" t="s">
        <v>16928</v>
      </c>
      <c r="C8736" s="2" t="s">
        <v>40</v>
      </c>
      <c r="D8736" s="2" t="s">
        <v>41</v>
      </c>
      <c r="E8736" s="5">
        <v>-28667</v>
      </c>
      <c r="F8736" s="3" t="s">
        <v>107</v>
      </c>
      <c r="G8736" s="3" t="s">
        <v>52</v>
      </c>
      <c r="H8736" s="2" t="s">
        <v>21</v>
      </c>
      <c r="I8736" s="2" t="s">
        <v>16929</v>
      </c>
      <c r="J8736" s="3" t="str">
        <f>HYPERLINK("https://www.boe.es/gazeta/dias/1821/07/05/pdfs/GMD-1821-189.pdf#page=2","Abrir facsímil")</f>
        <v>Abrir facsímil</v>
      </c>
      <c r="K8736" s="3" t="s">
        <v>23</v>
      </c>
    </row>
    <row r="8737" spans="1:11" ht="42" customHeight="1">
      <c r="A8737" s="2" t="s">
        <v>16930</v>
      </c>
      <c r="B8737" s="2" t="s">
        <v>16931</v>
      </c>
      <c r="C8737" s="2" t="s">
        <v>40</v>
      </c>
      <c r="D8737" s="2" t="s">
        <v>41</v>
      </c>
      <c r="E8737" s="5">
        <v>-28686</v>
      </c>
      <c r="F8737" s="3" t="s">
        <v>115</v>
      </c>
      <c r="G8737" s="3" t="s">
        <v>20</v>
      </c>
      <c r="H8737" s="2" t="s">
        <v>21</v>
      </c>
      <c r="I8737" s="2" t="s">
        <v>16932</v>
      </c>
      <c r="J8737" s="3" t="str">
        <f>HYPERLINK("https://www.boe.es/gazeta/dias/1821/06/16/pdfs/GMD-1821-169.pdf#page=3","Abrir facsímil")</f>
        <v>Abrir facsímil</v>
      </c>
      <c r="K8737" s="3" t="s">
        <v>23</v>
      </c>
    </row>
    <row r="8738" spans="1:11" ht="42" customHeight="1">
      <c r="A8738" s="2" t="s">
        <v>16933</v>
      </c>
      <c r="B8738" s="2" t="s">
        <v>16934</v>
      </c>
      <c r="C8738" s="2" t="s">
        <v>40</v>
      </c>
      <c r="D8738" s="2" t="s">
        <v>41</v>
      </c>
      <c r="E8738" s="5">
        <v>-28643</v>
      </c>
      <c r="F8738" s="3" t="s">
        <v>1569</v>
      </c>
      <c r="G8738" s="3" t="s">
        <v>88</v>
      </c>
      <c r="H8738" s="2" t="s">
        <v>30</v>
      </c>
      <c r="I8738" s="2" t="s">
        <v>16935</v>
      </c>
      <c r="J8738" s="3" t="str">
        <f>HYPERLINK("https://www.boe.es/gazeta/dias/1821/07/29/pdfs/GMD-1821-214.pdf#page=4","Abrir facsímil")</f>
        <v>Abrir facsímil</v>
      </c>
      <c r="K8738" s="3" t="s">
        <v>32</v>
      </c>
    </row>
    <row r="8739" spans="1:11" ht="42" customHeight="1">
      <c r="A8739" s="2" t="s">
        <v>16936</v>
      </c>
      <c r="B8739" s="2" t="s">
        <v>16937</v>
      </c>
      <c r="C8739" s="2" t="s">
        <v>35</v>
      </c>
      <c r="D8739" s="2" t="s">
        <v>27</v>
      </c>
      <c r="E8739" s="5">
        <v>-28524</v>
      </c>
      <c r="F8739" s="3" t="s">
        <v>874</v>
      </c>
      <c r="G8739" s="3" t="s">
        <v>16938</v>
      </c>
      <c r="H8739" s="2" t="s">
        <v>30</v>
      </c>
      <c r="I8739" s="2" t="s">
        <v>16939</v>
      </c>
      <c r="J8739" s="3" t="str">
        <f>HYPERLINK("https://www.boe.es/gazeta/dias/1821/11/25/pdfs/GMD-1821-336.pdf#page=6","Abrir facsímil")</f>
        <v>Abrir facsímil</v>
      </c>
      <c r="K8739" s="3" t="s">
        <v>32</v>
      </c>
    </row>
    <row r="8740" spans="1:11" ht="42" customHeight="1">
      <c r="A8740" s="2" t="s">
        <v>16940</v>
      </c>
      <c r="B8740" s="2" t="s">
        <v>16941</v>
      </c>
      <c r="C8740" s="2" t="s">
        <v>114</v>
      </c>
      <c r="D8740" s="2" t="s">
        <v>27</v>
      </c>
      <c r="E8740" s="5">
        <v>-28507</v>
      </c>
      <c r="F8740" s="3" t="s">
        <v>1158</v>
      </c>
      <c r="G8740" s="3" t="s">
        <v>88</v>
      </c>
      <c r="H8740" s="2" t="s">
        <v>30</v>
      </c>
      <c r="I8740" s="2" t="s">
        <v>16942</v>
      </c>
      <c r="J8740" s="3" t="str">
        <f>HYPERLINK("https://www.boe.es/gazeta/dias/1821/12/12/pdfs/GMD-1821-354.pdf#page=4","Abrir facsímil")</f>
        <v>Abrir facsímil</v>
      </c>
      <c r="K8740" s="3" t="s">
        <v>32</v>
      </c>
    </row>
    <row r="8741" spans="1:11" ht="42" customHeight="1">
      <c r="A8741" s="2" t="s">
        <v>16943</v>
      </c>
      <c r="B8741" s="2" t="s">
        <v>16944</v>
      </c>
      <c r="C8741" s="2" t="s">
        <v>26</v>
      </c>
      <c r="D8741" s="2" t="s">
        <v>27</v>
      </c>
      <c r="E8741" s="5">
        <v>-28777</v>
      </c>
      <c r="F8741" s="3" t="s">
        <v>1004</v>
      </c>
      <c r="G8741" s="3" t="s">
        <v>1005</v>
      </c>
      <c r="H8741" s="2" t="s">
        <v>30</v>
      </c>
      <c r="I8741" s="2" t="s">
        <v>16945</v>
      </c>
      <c r="J8741" s="3" t="str">
        <f>HYPERLINK("https://www.boe.es/gazeta/dias/1821/03/17/pdfs/GMD-1821-76.pdf#page=2","Abrir facsímil")</f>
        <v>Abrir facsímil</v>
      </c>
      <c r="K8741" s="3" t="s">
        <v>32</v>
      </c>
    </row>
    <row r="8742" spans="1:11" ht="42" customHeight="1">
      <c r="A8742" s="2" t="s">
        <v>16946</v>
      </c>
      <c r="B8742" s="2" t="s">
        <v>16946</v>
      </c>
      <c r="C8742" s="2" t="s">
        <v>40</v>
      </c>
      <c r="D8742" s="2" t="s">
        <v>41</v>
      </c>
      <c r="E8742" s="5">
        <v>-28707</v>
      </c>
      <c r="F8742" s="3" t="s">
        <v>495</v>
      </c>
      <c r="G8742" s="3" t="s">
        <v>52</v>
      </c>
      <c r="H8742" s="2" t="s">
        <v>21</v>
      </c>
      <c r="I8742" s="2" t="s">
        <v>16947</v>
      </c>
      <c r="J8742" s="3" t="str">
        <f>HYPERLINK("https://www.boe.es/gazeta/dias/1821/05/26/pdfs/GMD-1821-148.pdf#page=2","Abrir facsímil")</f>
        <v>Abrir facsímil</v>
      </c>
      <c r="K8742" s="3" t="s">
        <v>23</v>
      </c>
    </row>
    <row r="8743" spans="1:11" ht="42" customHeight="1">
      <c r="A8743" s="2" t="s">
        <v>16948</v>
      </c>
      <c r="B8743" s="2" t="s">
        <v>16948</v>
      </c>
      <c r="C8743" s="2" t="s">
        <v>17</v>
      </c>
      <c r="D8743" s="2" t="s">
        <v>18</v>
      </c>
      <c r="E8743" s="5">
        <v>-28638</v>
      </c>
      <c r="F8743" s="3" t="s">
        <v>736</v>
      </c>
      <c r="G8743" s="3" t="s">
        <v>20</v>
      </c>
      <c r="H8743" s="2" t="s">
        <v>21</v>
      </c>
      <c r="I8743" s="2" t="s">
        <v>16949</v>
      </c>
      <c r="J8743" s="3" t="str">
        <f>HYPERLINK("https://www.boe.es/gazeta/dias/1821/08/03/pdfs/GMD-1821-219.pdf#page=3","Abrir facsímil")</f>
        <v>Abrir facsímil</v>
      </c>
      <c r="K8743" s="3" t="s">
        <v>23</v>
      </c>
    </row>
    <row r="8744" spans="1:11" ht="42" customHeight="1">
      <c r="A8744" s="2" t="s">
        <v>16950</v>
      </c>
      <c r="B8744" s="2" t="s">
        <v>16951</v>
      </c>
      <c r="C8744" s="2" t="s">
        <v>174</v>
      </c>
      <c r="D8744" s="2" t="s">
        <v>27</v>
      </c>
      <c r="E8744" s="5">
        <v>-28619</v>
      </c>
      <c r="F8744" s="3" t="s">
        <v>3364</v>
      </c>
      <c r="G8744" s="3" t="s">
        <v>88</v>
      </c>
      <c r="H8744" s="2" t="s">
        <v>21</v>
      </c>
      <c r="I8744" s="2" t="s">
        <v>16952</v>
      </c>
      <c r="J8744" s="3" t="str">
        <f>HYPERLINK("https://www.boe.es/gazeta/dias/1821/08/22/pdfs/GMD-1821-239.pdf#page=4","Abrir facsímil")</f>
        <v>Abrir facsímil</v>
      </c>
      <c r="K8744" s="3" t="s">
        <v>23</v>
      </c>
    </row>
    <row r="8745" spans="1:11" ht="42" customHeight="1">
      <c r="A8745" s="2" t="s">
        <v>16953</v>
      </c>
      <c r="B8745" s="2" t="s">
        <v>16954</v>
      </c>
      <c r="C8745" s="2" t="s">
        <v>26</v>
      </c>
      <c r="D8745" s="2" t="s">
        <v>27</v>
      </c>
      <c r="E8745" s="5">
        <v>-28738</v>
      </c>
      <c r="F8745" s="3" t="s">
        <v>359</v>
      </c>
      <c r="G8745" s="3" t="s">
        <v>88</v>
      </c>
      <c r="H8745" s="2" t="s">
        <v>21</v>
      </c>
      <c r="I8745" s="2" t="s">
        <v>16955</v>
      </c>
      <c r="J8745" s="3" t="str">
        <f>HYPERLINK("https://www.boe.es/gazeta/dias/1821/04/25/pdfs/GMD-1821-117.pdf#page=4","Abrir facsímil")</f>
        <v>Abrir facsímil</v>
      </c>
      <c r="K8745" s="3" t="s">
        <v>23</v>
      </c>
    </row>
    <row r="8746" spans="1:11" ht="42" customHeight="1">
      <c r="A8746" s="2" t="s">
        <v>16956</v>
      </c>
      <c r="B8746" s="2" t="s">
        <v>16957</v>
      </c>
      <c r="C8746" s="2" t="s">
        <v>40</v>
      </c>
      <c r="D8746" s="2" t="s">
        <v>41</v>
      </c>
      <c r="E8746" s="5">
        <v>-28531</v>
      </c>
      <c r="F8746" s="3" t="s">
        <v>365</v>
      </c>
      <c r="G8746" s="3" t="s">
        <v>20</v>
      </c>
      <c r="H8746" s="2" t="s">
        <v>21</v>
      </c>
      <c r="I8746" s="2" t="s">
        <v>16958</v>
      </c>
      <c r="J8746" s="3" t="str">
        <f>HYPERLINK("https://www.boe.es/gazeta/dias/1821/11/18/pdfs/GMD-1821-329.pdf#page=3","Abrir facsímil")</f>
        <v>Abrir facsímil</v>
      </c>
      <c r="K8746" s="3" t="s">
        <v>23</v>
      </c>
    </row>
    <row r="8747" spans="1:11" ht="42" customHeight="1">
      <c r="A8747" s="2" t="s">
        <v>16959</v>
      </c>
      <c r="B8747" s="2" t="s">
        <v>16959</v>
      </c>
      <c r="C8747" s="2" t="s">
        <v>26</v>
      </c>
      <c r="D8747" s="2" t="s">
        <v>27</v>
      </c>
      <c r="E8747" s="5">
        <v>-28765</v>
      </c>
      <c r="F8747" s="3" t="s">
        <v>974</v>
      </c>
      <c r="G8747" s="3" t="s">
        <v>1483</v>
      </c>
      <c r="H8747" s="2" t="s">
        <v>21</v>
      </c>
      <c r="I8747" s="2" t="s">
        <v>16960</v>
      </c>
      <c r="J8747" s="3" t="str">
        <f>HYPERLINK("https://www.boe.es/gazeta/dias/1821/03/29/pdfs/GMD-1821-90.pdf#page=4","Abrir facsímil")</f>
        <v>Abrir facsímil</v>
      </c>
      <c r="K8747" s="3" t="s">
        <v>23</v>
      </c>
    </row>
    <row r="8748" spans="1:11" ht="42" customHeight="1">
      <c r="A8748" s="2" t="s">
        <v>16961</v>
      </c>
      <c r="B8748" s="2" t="s">
        <v>16961</v>
      </c>
      <c r="C8748" s="2" t="s">
        <v>40</v>
      </c>
      <c r="D8748" s="2" t="s">
        <v>41</v>
      </c>
      <c r="E8748" s="5">
        <v>-28648</v>
      </c>
      <c r="F8748" s="3" t="s">
        <v>1520</v>
      </c>
      <c r="G8748" s="3" t="s">
        <v>1521</v>
      </c>
      <c r="H8748" s="2" t="s">
        <v>21</v>
      </c>
      <c r="I8748" s="2" t="s">
        <v>16962</v>
      </c>
      <c r="J8748" s="3" t="str">
        <f>HYPERLINK("https://www.boe.es/gazeta/dias/1821/07/24/pdfs/GMD-1821-209.pdf#page=6","Abrir facsímil")</f>
        <v>Abrir facsímil</v>
      </c>
      <c r="K8748" s="3" t="s">
        <v>23</v>
      </c>
    </row>
    <row r="8749" spans="1:11" ht="42" customHeight="1">
      <c r="A8749" s="2" t="s">
        <v>16963</v>
      </c>
      <c r="B8749" s="2" t="s">
        <v>16964</v>
      </c>
      <c r="C8749" s="2" t="s">
        <v>35</v>
      </c>
      <c r="D8749" s="2" t="s">
        <v>27</v>
      </c>
      <c r="E8749" s="5">
        <v>-28718</v>
      </c>
      <c r="F8749" s="3" t="s">
        <v>583</v>
      </c>
      <c r="G8749" s="3" t="s">
        <v>88</v>
      </c>
      <c r="H8749" s="2" t="s">
        <v>21</v>
      </c>
      <c r="I8749" s="2" t="s">
        <v>16965</v>
      </c>
      <c r="J8749" s="3" t="str">
        <f>HYPERLINK("https://www.boe.es/gazeta/dias/1821/05/15/pdfs/GMD-1821-137.pdf#page=4","Abrir facsímil")</f>
        <v>Abrir facsímil</v>
      </c>
      <c r="K8749" s="3" t="s">
        <v>23</v>
      </c>
    </row>
    <row r="8750" spans="1:11" ht="42" customHeight="1">
      <c r="A8750" s="2" t="s">
        <v>16966</v>
      </c>
      <c r="B8750" s="2" t="s">
        <v>16966</v>
      </c>
      <c r="C8750" s="2" t="s">
        <v>17</v>
      </c>
      <c r="D8750" s="2" t="s">
        <v>18</v>
      </c>
      <c r="E8750" s="5">
        <v>-28790</v>
      </c>
      <c r="F8750" s="3" t="s">
        <v>991</v>
      </c>
      <c r="G8750" s="3" t="s">
        <v>20</v>
      </c>
      <c r="H8750" s="2" t="s">
        <v>21</v>
      </c>
      <c r="I8750" s="2" t="s">
        <v>16967</v>
      </c>
      <c r="J8750" s="3" t="str">
        <f>HYPERLINK("https://www.boe.es/gazeta/dias/1821/03/04/pdfs/GGB-1821-63.pdf#page=3","Abrir facsímil")</f>
        <v>Abrir facsímil</v>
      </c>
      <c r="K8750" s="3" t="s">
        <v>23</v>
      </c>
    </row>
    <row r="8751" spans="1:11" ht="42" customHeight="1">
      <c r="A8751" s="2" t="s">
        <v>16966</v>
      </c>
      <c r="B8751" s="2" t="s">
        <v>16966</v>
      </c>
      <c r="C8751" s="2" t="s">
        <v>17</v>
      </c>
      <c r="D8751" s="2" t="s">
        <v>18</v>
      </c>
      <c r="E8751" s="5">
        <v>-28778</v>
      </c>
      <c r="F8751" s="3" t="s">
        <v>1301</v>
      </c>
      <c r="G8751" s="3" t="s">
        <v>88</v>
      </c>
      <c r="H8751" s="2" t="s">
        <v>21</v>
      </c>
      <c r="I8751" s="2" t="s">
        <v>16968</v>
      </c>
      <c r="J8751" s="3" t="str">
        <f>HYPERLINK("https://www.boe.es/gazeta/dias/1821/03/16/pdfs/GMD-1821-75.pdf#page=4","Abrir facsímil")</f>
        <v>Abrir facsímil</v>
      </c>
      <c r="K8751" s="3" t="s">
        <v>23</v>
      </c>
    </row>
    <row r="8752" spans="1:11" ht="42" customHeight="1">
      <c r="A8752" s="2" t="s">
        <v>16966</v>
      </c>
      <c r="B8752" s="2" t="s">
        <v>16966</v>
      </c>
      <c r="C8752" s="2" t="s">
        <v>26</v>
      </c>
      <c r="D8752" s="2" t="s">
        <v>27</v>
      </c>
      <c r="E8752" s="5">
        <v>-28777</v>
      </c>
      <c r="F8752" s="3" t="s">
        <v>1004</v>
      </c>
      <c r="G8752" s="3" t="s">
        <v>1005</v>
      </c>
      <c r="H8752" s="2" t="s">
        <v>21</v>
      </c>
      <c r="I8752" s="2" t="s">
        <v>16969</v>
      </c>
      <c r="J8752" s="3" t="str">
        <f>HYPERLINK("https://www.boe.es/gazeta/dias/1821/03/17/pdfs/GMD-1821-76.pdf#page=2","Abrir facsímil")</f>
        <v>Abrir facsímil</v>
      </c>
      <c r="K8752" s="3" t="s">
        <v>23</v>
      </c>
    </row>
    <row r="8753" spans="1:11" ht="42" customHeight="1">
      <c r="A8753" s="2" t="s">
        <v>16966</v>
      </c>
      <c r="B8753" s="2" t="s">
        <v>16966</v>
      </c>
      <c r="C8753" s="2" t="s">
        <v>17</v>
      </c>
      <c r="D8753" s="2" t="s">
        <v>18</v>
      </c>
      <c r="E8753" s="5">
        <v>-28777</v>
      </c>
      <c r="F8753" s="3" t="s">
        <v>1004</v>
      </c>
      <c r="G8753" s="3" t="s">
        <v>88</v>
      </c>
      <c r="H8753" s="2" t="s">
        <v>21</v>
      </c>
      <c r="I8753" s="2" t="s">
        <v>16970</v>
      </c>
      <c r="J8753" s="3" t="str">
        <f>HYPERLINK("https://www.boe.es/gazeta/dias/1821/03/17/pdfs/GMD-1821-76.pdf#page=4","Abrir facsímil")</f>
        <v>Abrir facsímil</v>
      </c>
      <c r="K8753" s="3" t="s">
        <v>23</v>
      </c>
    </row>
    <row r="8754" spans="1:11" ht="42" customHeight="1">
      <c r="A8754" s="2" t="s">
        <v>16966</v>
      </c>
      <c r="B8754" s="2" t="s">
        <v>16966</v>
      </c>
      <c r="C8754" s="2" t="s">
        <v>17</v>
      </c>
      <c r="D8754" s="2" t="s">
        <v>18</v>
      </c>
      <c r="E8754" s="5">
        <v>-28775</v>
      </c>
      <c r="F8754" s="3" t="s">
        <v>132</v>
      </c>
      <c r="G8754" s="3" t="s">
        <v>52</v>
      </c>
      <c r="H8754" s="2" t="s">
        <v>21</v>
      </c>
      <c r="I8754" s="2" t="s">
        <v>16971</v>
      </c>
      <c r="J8754" s="3" t="str">
        <f>HYPERLINK("https://www.boe.es/gazeta/dias/1821/03/19/pdfs/GMD-1821-78.pdf#page=2","Abrir facsímil")</f>
        <v>Abrir facsímil</v>
      </c>
      <c r="K8754" s="3" t="s">
        <v>23</v>
      </c>
    </row>
    <row r="8755" spans="1:11" ht="42" customHeight="1">
      <c r="A8755" s="2" t="s">
        <v>16966</v>
      </c>
      <c r="B8755" s="2" t="s">
        <v>16966</v>
      </c>
      <c r="C8755" s="2" t="s">
        <v>17</v>
      </c>
      <c r="D8755" s="2" t="s">
        <v>18</v>
      </c>
      <c r="E8755" s="5">
        <v>-28756</v>
      </c>
      <c r="F8755" s="3" t="s">
        <v>3145</v>
      </c>
      <c r="G8755" s="3" t="s">
        <v>20</v>
      </c>
      <c r="H8755" s="2" t="s">
        <v>21</v>
      </c>
      <c r="I8755" s="2" t="s">
        <v>16972</v>
      </c>
      <c r="J8755" s="3" t="str">
        <f>HYPERLINK("https://www.boe.es/gazeta/dias/1821/04/07/pdfs/GMD-1821-99.pdf#page=3","Abrir facsímil")</f>
        <v>Abrir facsímil</v>
      </c>
      <c r="K8755" s="3" t="s">
        <v>23</v>
      </c>
    </row>
    <row r="8756" spans="1:11" ht="42" customHeight="1">
      <c r="A8756" s="2" t="s">
        <v>16966</v>
      </c>
      <c r="B8756" s="2" t="s">
        <v>16966</v>
      </c>
      <c r="C8756" s="2" t="s">
        <v>40</v>
      </c>
      <c r="D8756" s="2" t="s">
        <v>41</v>
      </c>
      <c r="E8756" s="5">
        <v>-28748</v>
      </c>
      <c r="F8756" s="3" t="s">
        <v>634</v>
      </c>
      <c r="G8756" s="3" t="s">
        <v>20</v>
      </c>
      <c r="H8756" s="2" t="s">
        <v>21</v>
      </c>
      <c r="I8756" s="2" t="s">
        <v>16973</v>
      </c>
      <c r="J8756" s="3" t="str">
        <f>HYPERLINK("https://www.boe.es/gazeta/dias/1821/04/15/pdfs/GMD-1821-107.pdf#page=3","Abrir facsímil")</f>
        <v>Abrir facsímil</v>
      </c>
      <c r="K8756" s="3" t="s">
        <v>23</v>
      </c>
    </row>
    <row r="8757" spans="1:11" ht="42" customHeight="1">
      <c r="A8757" s="2" t="s">
        <v>16966</v>
      </c>
      <c r="B8757" s="2" t="s">
        <v>16966</v>
      </c>
      <c r="C8757" s="2" t="s">
        <v>17</v>
      </c>
      <c r="D8757" s="2" t="s">
        <v>18</v>
      </c>
      <c r="E8757" s="5">
        <v>-28747</v>
      </c>
      <c r="F8757" s="3" t="s">
        <v>1016</v>
      </c>
      <c r="G8757" s="3" t="s">
        <v>52</v>
      </c>
      <c r="H8757" s="2" t="s">
        <v>21</v>
      </c>
      <c r="I8757" s="2" t="s">
        <v>16974</v>
      </c>
      <c r="J8757" s="3" t="str">
        <f>HYPERLINK("https://www.boe.es/gazeta/dias/1821/04/16/pdfs/GMD-1821-108.pdf#page=2","Abrir facsímil")</f>
        <v>Abrir facsímil</v>
      </c>
      <c r="K8757" s="3" t="s">
        <v>23</v>
      </c>
    </row>
    <row r="8758" spans="1:11" ht="42" customHeight="1">
      <c r="A8758" s="2" t="s">
        <v>16966</v>
      </c>
      <c r="B8758" s="2" t="s">
        <v>16966</v>
      </c>
      <c r="C8758" s="2" t="s">
        <v>35</v>
      </c>
      <c r="D8758" s="2" t="s">
        <v>27</v>
      </c>
      <c r="E8758" s="5">
        <v>-28744</v>
      </c>
      <c r="F8758" s="3" t="s">
        <v>834</v>
      </c>
      <c r="G8758" s="3" t="s">
        <v>20</v>
      </c>
      <c r="H8758" s="2" t="s">
        <v>21</v>
      </c>
      <c r="I8758" s="2" t="s">
        <v>16975</v>
      </c>
      <c r="J8758" s="3" t="str">
        <f>HYPERLINK("https://www.boe.es/gazeta/dias/1821/04/19/pdfs/GMD-1821-111.pdf#page=3","Abrir facsímil")</f>
        <v>Abrir facsímil</v>
      </c>
      <c r="K8758" s="3" t="s">
        <v>23</v>
      </c>
    </row>
    <row r="8759" spans="1:11" ht="42" customHeight="1">
      <c r="A8759" s="2" t="s">
        <v>16966</v>
      </c>
      <c r="B8759" s="2" t="s">
        <v>16966</v>
      </c>
      <c r="C8759" s="2" t="s">
        <v>35</v>
      </c>
      <c r="D8759" s="2" t="s">
        <v>27</v>
      </c>
      <c r="E8759" s="5">
        <v>-28741</v>
      </c>
      <c r="F8759" s="3" t="s">
        <v>1841</v>
      </c>
      <c r="G8759" s="3" t="s">
        <v>52</v>
      </c>
      <c r="H8759" s="2" t="s">
        <v>21</v>
      </c>
      <c r="I8759" s="2" t="s">
        <v>16976</v>
      </c>
      <c r="J8759" s="3" t="str">
        <f>HYPERLINK("https://www.boe.es/gazeta/dias/1821/04/22/pdfs/GMD-1821-114.pdf#page=2","Abrir facsímil")</f>
        <v>Abrir facsímil</v>
      </c>
      <c r="K8759" s="3" t="s">
        <v>23</v>
      </c>
    </row>
    <row r="8760" spans="1:11" ht="42" customHeight="1">
      <c r="A8760" s="2" t="s">
        <v>16966</v>
      </c>
      <c r="B8760" s="2" t="s">
        <v>16966</v>
      </c>
      <c r="C8760" s="2" t="s">
        <v>40</v>
      </c>
      <c r="D8760" s="2" t="s">
        <v>41</v>
      </c>
      <c r="E8760" s="5">
        <v>-28734</v>
      </c>
      <c r="F8760" s="3" t="s">
        <v>1553</v>
      </c>
      <c r="G8760" s="3" t="s">
        <v>20</v>
      </c>
      <c r="H8760" s="2" t="s">
        <v>21</v>
      </c>
      <c r="I8760" s="2" t="s">
        <v>16977</v>
      </c>
      <c r="J8760" s="3" t="str">
        <f>HYPERLINK("https://www.boe.es/gazeta/dias/1821/04/29/pdfs/GMD-1821-121.pdf#page=3","Abrir facsímil")</f>
        <v>Abrir facsímil</v>
      </c>
      <c r="K8760" s="3" t="s">
        <v>23</v>
      </c>
    </row>
    <row r="8761" spans="1:11" ht="42" customHeight="1">
      <c r="A8761" s="2" t="s">
        <v>16966</v>
      </c>
      <c r="B8761" s="2" t="s">
        <v>16966</v>
      </c>
      <c r="C8761" s="2" t="s">
        <v>17</v>
      </c>
      <c r="D8761" s="2" t="s">
        <v>18</v>
      </c>
      <c r="E8761" s="5">
        <v>-28726</v>
      </c>
      <c r="F8761" s="3" t="s">
        <v>347</v>
      </c>
      <c r="G8761" s="3" t="s">
        <v>20</v>
      </c>
      <c r="H8761" s="2" t="s">
        <v>21</v>
      </c>
      <c r="I8761" s="2" t="s">
        <v>16978</v>
      </c>
      <c r="J8761" s="3" t="str">
        <f>HYPERLINK("https://www.boe.es/gazeta/dias/1821/05/07/pdfs/GMD-1821-129.pdf#page=3","Abrir facsímil")</f>
        <v>Abrir facsímil</v>
      </c>
      <c r="K8761" s="3" t="s">
        <v>23</v>
      </c>
    </row>
    <row r="8762" spans="1:11" ht="42" customHeight="1">
      <c r="A8762" s="2" t="s">
        <v>16966</v>
      </c>
      <c r="B8762" s="2" t="s">
        <v>16966</v>
      </c>
      <c r="C8762" s="2" t="s">
        <v>35</v>
      </c>
      <c r="D8762" s="2" t="s">
        <v>27</v>
      </c>
      <c r="E8762" s="5">
        <v>-28721</v>
      </c>
      <c r="F8762" s="3" t="s">
        <v>92</v>
      </c>
      <c r="G8762" s="3" t="s">
        <v>52</v>
      </c>
      <c r="H8762" s="2" t="s">
        <v>21</v>
      </c>
      <c r="I8762" s="2" t="s">
        <v>16979</v>
      </c>
      <c r="J8762" s="3" t="str">
        <f>HYPERLINK("https://www.boe.es/gazeta/dias/1821/05/12/pdfs/GMD-1821-134.pdf#page=2","Abrir facsímil")</f>
        <v>Abrir facsímil</v>
      </c>
      <c r="K8762" s="3" t="s">
        <v>23</v>
      </c>
    </row>
    <row r="8763" spans="1:11" ht="42" customHeight="1">
      <c r="A8763" s="2" t="s">
        <v>16966</v>
      </c>
      <c r="B8763" s="2" t="s">
        <v>16966</v>
      </c>
      <c r="C8763" s="2" t="s">
        <v>494</v>
      </c>
      <c r="D8763" s="2" t="s">
        <v>18</v>
      </c>
      <c r="E8763" s="5">
        <v>-28720</v>
      </c>
      <c r="F8763" s="3" t="s">
        <v>492</v>
      </c>
      <c r="G8763" s="3" t="s">
        <v>88</v>
      </c>
      <c r="H8763" s="2" t="s">
        <v>21</v>
      </c>
      <c r="I8763" s="2" t="s">
        <v>16980</v>
      </c>
      <c r="J8763" s="3" t="str">
        <f>HYPERLINK("https://www.boe.es/gazeta/dias/1821/05/13/pdfs/GMD-1821-135.pdf#page=4","Abrir facsímil")</f>
        <v>Abrir facsímil</v>
      </c>
      <c r="K8763" s="3" t="s">
        <v>23</v>
      </c>
    </row>
    <row r="8764" spans="1:11" ht="42" customHeight="1">
      <c r="A8764" s="2" t="s">
        <v>16966</v>
      </c>
      <c r="B8764" s="2" t="s">
        <v>16966</v>
      </c>
      <c r="C8764" s="2" t="s">
        <v>40</v>
      </c>
      <c r="D8764" s="2" t="s">
        <v>41</v>
      </c>
      <c r="E8764" s="5">
        <v>-28717</v>
      </c>
      <c r="F8764" s="3" t="s">
        <v>1044</v>
      </c>
      <c r="G8764" s="3" t="s">
        <v>52</v>
      </c>
      <c r="H8764" s="2" t="s">
        <v>21</v>
      </c>
      <c r="I8764" s="2" t="s">
        <v>16981</v>
      </c>
      <c r="J8764" s="3" t="str">
        <f>HYPERLINK("https://www.boe.es/gazeta/dias/1821/05/16/pdfs/GMD-1821-138.pdf#page=2","Abrir facsímil")</f>
        <v>Abrir facsímil</v>
      </c>
      <c r="K8764" s="3" t="s">
        <v>23</v>
      </c>
    </row>
    <row r="8765" spans="1:11" ht="42" customHeight="1">
      <c r="A8765" s="2" t="s">
        <v>16966</v>
      </c>
      <c r="B8765" s="2" t="s">
        <v>16966</v>
      </c>
      <c r="C8765" s="2" t="s">
        <v>35</v>
      </c>
      <c r="D8765" s="2" t="s">
        <v>27</v>
      </c>
      <c r="E8765" s="5">
        <v>-28716</v>
      </c>
      <c r="F8765" s="3" t="s">
        <v>842</v>
      </c>
      <c r="G8765" s="3" t="s">
        <v>52</v>
      </c>
      <c r="H8765" s="2" t="s">
        <v>21</v>
      </c>
      <c r="I8765" s="2" t="s">
        <v>16982</v>
      </c>
      <c r="J8765" s="3" t="str">
        <f>HYPERLINK("https://www.boe.es/gazeta/dias/1821/05/17/pdfs/GMD-1821-139.pdf#page=2","Abrir facsímil")</f>
        <v>Abrir facsímil</v>
      </c>
      <c r="K8765" s="3" t="s">
        <v>23</v>
      </c>
    </row>
    <row r="8766" spans="1:11" ht="42" customHeight="1">
      <c r="A8766" s="2" t="s">
        <v>16966</v>
      </c>
      <c r="B8766" s="2" t="s">
        <v>16966</v>
      </c>
      <c r="C8766" s="2" t="s">
        <v>17</v>
      </c>
      <c r="D8766" s="2" t="s">
        <v>18</v>
      </c>
      <c r="E8766" s="5">
        <v>-28709</v>
      </c>
      <c r="F8766" s="3" t="s">
        <v>1434</v>
      </c>
      <c r="G8766" s="3" t="s">
        <v>1435</v>
      </c>
      <c r="H8766" s="2" t="s">
        <v>21</v>
      </c>
      <c r="I8766" s="2" t="s">
        <v>16983</v>
      </c>
      <c r="J8766" s="3" t="str">
        <f>HYPERLINK("https://www.boe.es/gazeta/dias/1821/05/24/pdfs/GMD-1821-146.pdf#page=2","Abrir facsímil")</f>
        <v>Abrir facsímil</v>
      </c>
      <c r="K8766" s="3" t="s">
        <v>23</v>
      </c>
    </row>
    <row r="8767" spans="1:11" ht="42" customHeight="1">
      <c r="A8767" s="2" t="s">
        <v>16966</v>
      </c>
      <c r="B8767" s="2" t="s">
        <v>16966</v>
      </c>
      <c r="C8767" s="2" t="s">
        <v>17</v>
      </c>
      <c r="D8767" s="2" t="s">
        <v>18</v>
      </c>
      <c r="E8767" s="5">
        <v>-28701</v>
      </c>
      <c r="F8767" s="3" t="s">
        <v>202</v>
      </c>
      <c r="G8767" s="3" t="s">
        <v>52</v>
      </c>
      <c r="H8767" s="2" t="s">
        <v>21</v>
      </c>
      <c r="I8767" s="2" t="s">
        <v>16984</v>
      </c>
      <c r="J8767" s="3" t="str">
        <f>HYPERLINK("https://www.boe.es/gazeta/dias/1821/06/01/pdfs/GMD-1821-154.pdf#page=2","Abrir facsímil")</f>
        <v>Abrir facsímil</v>
      </c>
      <c r="K8767" s="3" t="s">
        <v>23</v>
      </c>
    </row>
    <row r="8768" spans="1:11" ht="42" customHeight="1">
      <c r="A8768" s="2" t="s">
        <v>16966</v>
      </c>
      <c r="B8768" s="2" t="s">
        <v>16966</v>
      </c>
      <c r="C8768" s="2" t="s">
        <v>174</v>
      </c>
      <c r="D8768" s="2" t="s">
        <v>27</v>
      </c>
      <c r="E8768" s="5">
        <v>-28686</v>
      </c>
      <c r="F8768" s="3" t="s">
        <v>115</v>
      </c>
      <c r="G8768" s="3" t="s">
        <v>20</v>
      </c>
      <c r="H8768" s="2" t="s">
        <v>21</v>
      </c>
      <c r="I8768" s="2" t="s">
        <v>16985</v>
      </c>
      <c r="J8768" s="3" t="str">
        <f>HYPERLINK("https://www.boe.es/gazeta/dias/1821/06/16/pdfs/GMD-1821-169.pdf#page=3","Abrir facsímil")</f>
        <v>Abrir facsímil</v>
      </c>
      <c r="K8768" s="3" t="s">
        <v>23</v>
      </c>
    </row>
    <row r="8769" spans="1:11" ht="42" customHeight="1">
      <c r="A8769" s="2" t="s">
        <v>16966</v>
      </c>
      <c r="B8769" s="2" t="s">
        <v>16966</v>
      </c>
      <c r="C8769" s="2" t="s">
        <v>35</v>
      </c>
      <c r="D8769" s="2" t="s">
        <v>27</v>
      </c>
      <c r="E8769" s="5">
        <v>-28681</v>
      </c>
      <c r="F8769" s="3" t="s">
        <v>210</v>
      </c>
      <c r="G8769" s="3" t="s">
        <v>52</v>
      </c>
      <c r="H8769" s="2" t="s">
        <v>21</v>
      </c>
      <c r="I8769" s="2" t="s">
        <v>16986</v>
      </c>
      <c r="J8769" s="3" t="str">
        <f>HYPERLINK("https://www.boe.es/gazeta/dias/1821/06/21/pdfs/GMD-1821-174.pdf#page=2","Abrir facsímil")</f>
        <v>Abrir facsímil</v>
      </c>
      <c r="K8769" s="3" t="s">
        <v>23</v>
      </c>
    </row>
    <row r="8770" spans="1:11" ht="42" customHeight="1">
      <c r="A8770" s="2" t="s">
        <v>16966</v>
      </c>
      <c r="B8770" s="2" t="s">
        <v>16966</v>
      </c>
      <c r="C8770" s="2" t="s">
        <v>26</v>
      </c>
      <c r="D8770" s="2" t="s">
        <v>27</v>
      </c>
      <c r="E8770" s="5">
        <v>-28671</v>
      </c>
      <c r="F8770" s="3" t="s">
        <v>5059</v>
      </c>
      <c r="G8770" s="3" t="s">
        <v>52</v>
      </c>
      <c r="H8770" s="2" t="s">
        <v>21</v>
      </c>
      <c r="I8770" s="2" t="s">
        <v>16987</v>
      </c>
      <c r="J8770" s="3" t="str">
        <f>HYPERLINK("https://www.boe.es/gazeta/dias/1821/07/01/pdfs/GMD-1821-185.pdf#page=2","Abrir facsímil")</f>
        <v>Abrir facsímil</v>
      </c>
      <c r="K8770" s="3" t="s">
        <v>23</v>
      </c>
    </row>
    <row r="8771" spans="1:11" ht="42" customHeight="1">
      <c r="A8771" s="2" t="s">
        <v>16966</v>
      </c>
      <c r="B8771" s="2" t="s">
        <v>16966</v>
      </c>
      <c r="C8771" s="2" t="s">
        <v>114</v>
      </c>
      <c r="D8771" s="2" t="s">
        <v>27</v>
      </c>
      <c r="E8771" s="5">
        <v>-28561</v>
      </c>
      <c r="F8771" s="3" t="s">
        <v>240</v>
      </c>
      <c r="G8771" s="3" t="s">
        <v>162</v>
      </c>
      <c r="H8771" s="2" t="s">
        <v>21</v>
      </c>
      <c r="I8771" s="2" t="s">
        <v>16988</v>
      </c>
      <c r="J8771" s="3" t="str">
        <f>HYPERLINK("https://www.boe.es/gazeta/dias/1821/10/19/pdfs/GMD-1821-298.pdf#page=5","Abrir facsímil")</f>
        <v>Abrir facsímil</v>
      </c>
      <c r="K8771" s="3" t="s">
        <v>23</v>
      </c>
    </row>
    <row r="8772" spans="1:11" ht="42" customHeight="1">
      <c r="A8772" s="2" t="s">
        <v>16966</v>
      </c>
      <c r="B8772" s="2" t="s">
        <v>16966</v>
      </c>
      <c r="C8772" s="2" t="s">
        <v>174</v>
      </c>
      <c r="D8772" s="2" t="s">
        <v>27</v>
      </c>
      <c r="E8772" s="5">
        <v>-28561</v>
      </c>
      <c r="F8772" s="3" t="s">
        <v>240</v>
      </c>
      <c r="G8772" s="3" t="s">
        <v>29</v>
      </c>
      <c r="H8772" s="2" t="s">
        <v>21</v>
      </c>
      <c r="I8772" s="2" t="s">
        <v>16989</v>
      </c>
      <c r="J8772" s="3" t="str">
        <f>HYPERLINK("https://www.boe.es/gazeta/dias/1821/10/19/pdfs/GMD-1821-298.pdf#page=6","Abrir facsímil")</f>
        <v>Abrir facsímil</v>
      </c>
      <c r="K8772" s="3" t="s">
        <v>23</v>
      </c>
    </row>
    <row r="8773" spans="1:11" ht="42" customHeight="1">
      <c r="A8773" s="2" t="s">
        <v>16966</v>
      </c>
      <c r="B8773" s="2" t="s">
        <v>16966</v>
      </c>
      <c r="C8773" s="2" t="s">
        <v>114</v>
      </c>
      <c r="D8773" s="2" t="s">
        <v>27</v>
      </c>
      <c r="E8773" s="5">
        <v>-28559</v>
      </c>
      <c r="F8773" s="3" t="s">
        <v>1078</v>
      </c>
      <c r="G8773" s="3" t="s">
        <v>29</v>
      </c>
      <c r="H8773" s="2" t="s">
        <v>21</v>
      </c>
      <c r="I8773" s="2" t="s">
        <v>16990</v>
      </c>
      <c r="J8773" s="3" t="str">
        <f>HYPERLINK("https://www.boe.es/gazeta/dias/1821/10/21/pdfs/GMD-1821-300.pdf#page=6","Abrir facsímil")</f>
        <v>Abrir facsímil</v>
      </c>
      <c r="K8773" s="3" t="s">
        <v>23</v>
      </c>
    </row>
    <row r="8774" spans="1:11" ht="42" customHeight="1">
      <c r="A8774" s="2" t="s">
        <v>16966</v>
      </c>
      <c r="B8774" s="2" t="s">
        <v>16966</v>
      </c>
      <c r="C8774" s="2" t="s">
        <v>17</v>
      </c>
      <c r="D8774" s="2" t="s">
        <v>18</v>
      </c>
      <c r="E8774" s="5">
        <v>-28549</v>
      </c>
      <c r="F8774" s="3" t="s">
        <v>930</v>
      </c>
      <c r="G8774" s="3" t="s">
        <v>88</v>
      </c>
      <c r="H8774" s="2" t="s">
        <v>21</v>
      </c>
      <c r="I8774" s="2" t="s">
        <v>16991</v>
      </c>
      <c r="J8774" s="3" t="str">
        <f>HYPERLINK("https://www.boe.es/gazeta/dias/1821/10/31/pdfs/GMD-1821-310.pdf#page=4","Abrir facsímil")</f>
        <v>Abrir facsímil</v>
      </c>
      <c r="K8774" s="3" t="s">
        <v>23</v>
      </c>
    </row>
    <row r="8775" spans="1:11" ht="42" customHeight="1">
      <c r="A8775" s="2" t="s">
        <v>16966</v>
      </c>
      <c r="B8775" s="2" t="s">
        <v>16966</v>
      </c>
      <c r="C8775" s="2" t="s">
        <v>17</v>
      </c>
      <c r="D8775" s="2" t="s">
        <v>18</v>
      </c>
      <c r="E8775" s="5">
        <v>-28548</v>
      </c>
      <c r="F8775" s="3" t="s">
        <v>782</v>
      </c>
      <c r="G8775" s="3" t="s">
        <v>20</v>
      </c>
      <c r="H8775" s="2" t="s">
        <v>21</v>
      </c>
      <c r="I8775" s="2" t="s">
        <v>16992</v>
      </c>
      <c r="J8775" s="3" t="str">
        <f>HYPERLINK("https://www.boe.es/gazeta/dias/1821/11/01/pdfs/GMD-1821-311.pdf#page=3","Abrir facsímil")</f>
        <v>Abrir facsímil</v>
      </c>
      <c r="K8775" s="3" t="s">
        <v>23</v>
      </c>
    </row>
    <row r="8776" spans="1:11" ht="42" customHeight="1">
      <c r="A8776" s="2" t="s">
        <v>16966</v>
      </c>
      <c r="B8776" s="2" t="s">
        <v>16966</v>
      </c>
      <c r="C8776" s="2" t="s">
        <v>26</v>
      </c>
      <c r="D8776" s="2" t="s">
        <v>27</v>
      </c>
      <c r="E8776" s="5">
        <v>-28545</v>
      </c>
      <c r="F8776" s="3" t="s">
        <v>284</v>
      </c>
      <c r="G8776" s="3" t="s">
        <v>20</v>
      </c>
      <c r="H8776" s="2" t="s">
        <v>21</v>
      </c>
      <c r="I8776" s="2" t="s">
        <v>16993</v>
      </c>
      <c r="J8776" s="3" t="str">
        <f>HYPERLINK("https://www.boe.es/gazeta/dias/1821/11/04/pdfs/GMD-1821-315.pdf#page=3","Abrir facsímil")</f>
        <v>Abrir facsímil</v>
      </c>
      <c r="K8776" s="3" t="s">
        <v>23</v>
      </c>
    </row>
    <row r="8777" spans="1:11" ht="42" customHeight="1">
      <c r="A8777" s="2" t="s">
        <v>16966</v>
      </c>
      <c r="B8777" s="2" t="s">
        <v>16966</v>
      </c>
      <c r="C8777" s="2" t="s">
        <v>35</v>
      </c>
      <c r="D8777" s="2" t="s">
        <v>27</v>
      </c>
      <c r="E8777" s="5">
        <v>-28535</v>
      </c>
      <c r="F8777" s="3" t="s">
        <v>96</v>
      </c>
      <c r="G8777" s="3" t="s">
        <v>20</v>
      </c>
      <c r="H8777" s="2" t="s">
        <v>21</v>
      </c>
      <c r="I8777" s="2" t="s">
        <v>16994</v>
      </c>
      <c r="J8777" s="3" t="str">
        <f>HYPERLINK("https://www.boe.es/gazeta/dias/1821/11/14/pdfs/GMD-1821-325.pdf#page=3","Abrir facsímil")</f>
        <v>Abrir facsímil</v>
      </c>
      <c r="K8777" s="3" t="s">
        <v>23</v>
      </c>
    </row>
    <row r="8778" spans="1:11" ht="42" customHeight="1">
      <c r="A8778" s="2" t="s">
        <v>16966</v>
      </c>
      <c r="B8778" s="2" t="s">
        <v>16966</v>
      </c>
      <c r="C8778" s="2" t="s">
        <v>26</v>
      </c>
      <c r="D8778" s="2" t="s">
        <v>27</v>
      </c>
      <c r="E8778" s="5">
        <v>-28534</v>
      </c>
      <c r="F8778" s="3" t="s">
        <v>414</v>
      </c>
      <c r="G8778" s="3" t="s">
        <v>20</v>
      </c>
      <c r="H8778" s="2" t="s">
        <v>21</v>
      </c>
      <c r="I8778" s="2" t="s">
        <v>16995</v>
      </c>
      <c r="J8778" s="3" t="str">
        <f>HYPERLINK("https://www.boe.es/gazeta/dias/1821/11/15/pdfs/GMD-1821-326.pdf#page=3","Abrir facsímil")</f>
        <v>Abrir facsímil</v>
      </c>
      <c r="K8778" s="3" t="s">
        <v>23</v>
      </c>
    </row>
    <row r="8779" spans="1:11" ht="42" customHeight="1">
      <c r="A8779" s="2" t="s">
        <v>16966</v>
      </c>
      <c r="B8779" s="2" t="s">
        <v>16966</v>
      </c>
      <c r="C8779" s="2" t="s">
        <v>26</v>
      </c>
      <c r="D8779" s="2" t="s">
        <v>27</v>
      </c>
      <c r="E8779" s="5">
        <v>-28525</v>
      </c>
      <c r="F8779" s="3" t="s">
        <v>186</v>
      </c>
      <c r="G8779" s="3" t="s">
        <v>88</v>
      </c>
      <c r="H8779" s="2" t="s">
        <v>21</v>
      </c>
      <c r="I8779" s="2" t="s">
        <v>16996</v>
      </c>
      <c r="J8779" s="3" t="str">
        <f>HYPERLINK("https://www.boe.es/gazeta/dias/1821/11/24/pdfs/GMD-1821-335.pdf#page=4","Abrir facsímil")</f>
        <v>Abrir facsímil</v>
      </c>
      <c r="K8779" s="3" t="s">
        <v>23</v>
      </c>
    </row>
    <row r="8780" spans="1:11" ht="42" customHeight="1">
      <c r="A8780" s="2" t="s">
        <v>16966</v>
      </c>
      <c r="B8780" s="2" t="s">
        <v>16966</v>
      </c>
      <c r="C8780" s="2" t="s">
        <v>40</v>
      </c>
      <c r="D8780" s="2" t="s">
        <v>41</v>
      </c>
      <c r="E8780" s="5">
        <v>-28517</v>
      </c>
      <c r="F8780" s="3" t="s">
        <v>563</v>
      </c>
      <c r="G8780" s="3" t="s">
        <v>20</v>
      </c>
      <c r="H8780" s="2" t="s">
        <v>21</v>
      </c>
      <c r="I8780" s="2" t="s">
        <v>16997</v>
      </c>
      <c r="J8780" s="3" t="str">
        <f>HYPERLINK("https://www.boe.es/gazeta/dias/1821/12/02/pdfs/GMD-1821-344.pdf#page=3","Abrir facsímil")</f>
        <v>Abrir facsímil</v>
      </c>
      <c r="K8780" s="3" t="s">
        <v>23</v>
      </c>
    </row>
    <row r="8781" spans="1:11" ht="42" customHeight="1">
      <c r="A8781" s="2" t="s">
        <v>16966</v>
      </c>
      <c r="B8781" s="2" t="s">
        <v>16966</v>
      </c>
      <c r="C8781" s="2" t="s">
        <v>26</v>
      </c>
      <c r="D8781" s="2" t="s">
        <v>27</v>
      </c>
      <c r="E8781" s="5">
        <v>-28501</v>
      </c>
      <c r="F8781" s="3" t="s">
        <v>456</v>
      </c>
      <c r="G8781" s="3" t="s">
        <v>1253</v>
      </c>
      <c r="H8781" s="2" t="s">
        <v>21</v>
      </c>
      <c r="I8781" s="2" t="s">
        <v>16998</v>
      </c>
      <c r="J8781" s="3" t="str">
        <f>HYPERLINK("https://www.boe.es/gazeta/dias/1821/12/18/pdfs/GMD-1821-361.pdf#page=6","Abrir facsímil")</f>
        <v>Abrir facsímil</v>
      </c>
      <c r="K8781" s="3" t="s">
        <v>23</v>
      </c>
    </row>
    <row r="8782" spans="1:11" ht="42" customHeight="1">
      <c r="A8782" s="2" t="s">
        <v>16999</v>
      </c>
      <c r="B8782" s="2" t="s">
        <v>17000</v>
      </c>
      <c r="C8782" s="2" t="s">
        <v>26</v>
      </c>
      <c r="D8782" s="2" t="s">
        <v>27</v>
      </c>
      <c r="E8782" s="5">
        <v>-28803</v>
      </c>
      <c r="F8782" s="3" t="s">
        <v>320</v>
      </c>
      <c r="G8782" s="3" t="s">
        <v>16512</v>
      </c>
      <c r="H8782" s="2" t="s">
        <v>21</v>
      </c>
      <c r="I8782" s="2" t="s">
        <v>17001</v>
      </c>
      <c r="J8782" s="3" t="str">
        <f>HYPERLINK("https://www.boe.es/gazeta/dias/1821/02/19/pdfs/GGB-1821-50.pdf#page=4","Abrir facsímil")</f>
        <v>Abrir facsímil</v>
      </c>
      <c r="K8782" s="3" t="s">
        <v>23</v>
      </c>
    </row>
    <row r="8783" spans="1:11" ht="42" customHeight="1">
      <c r="A8783" s="2" t="s">
        <v>17002</v>
      </c>
      <c r="B8783" s="2" t="s">
        <v>17003</v>
      </c>
      <c r="C8783" s="2" t="s">
        <v>70</v>
      </c>
      <c r="D8783" s="2" t="s">
        <v>27</v>
      </c>
      <c r="E8783" s="5">
        <v>-28577</v>
      </c>
      <c r="F8783" s="3" t="s">
        <v>858</v>
      </c>
      <c r="G8783" s="3" t="s">
        <v>20</v>
      </c>
      <c r="H8783" s="2" t="s">
        <v>21</v>
      </c>
      <c r="I8783" s="2" t="s">
        <v>17004</v>
      </c>
      <c r="J8783" s="3" t="str">
        <f>HYPERLINK("https://www.boe.es/gazeta/dias/1821/10/03/pdfs/GMD-1821-282.pdf#page=3","Abrir facsímil")</f>
        <v>Abrir facsímil</v>
      </c>
      <c r="K8783" s="3" t="s">
        <v>23</v>
      </c>
    </row>
    <row r="8784" spans="1:11" ht="42" customHeight="1">
      <c r="A8784" s="2" t="s">
        <v>17005</v>
      </c>
      <c r="B8784" s="2" t="s">
        <v>17006</v>
      </c>
      <c r="C8784" s="2" t="s">
        <v>494</v>
      </c>
      <c r="D8784" s="2" t="s">
        <v>18</v>
      </c>
      <c r="E8784" s="5">
        <v>-28708</v>
      </c>
      <c r="F8784" s="3" t="s">
        <v>528</v>
      </c>
      <c r="G8784" s="3" t="s">
        <v>20</v>
      </c>
      <c r="H8784" s="2" t="s">
        <v>21</v>
      </c>
      <c r="I8784" s="2" t="s">
        <v>17007</v>
      </c>
      <c r="J8784" s="3" t="str">
        <f>HYPERLINK("https://www.boe.es/gazeta/dias/1821/05/25/pdfs/GMD-1821-147.pdf#page=3","Abrir facsímil")</f>
        <v>Abrir facsímil</v>
      </c>
      <c r="K8784" s="3" t="s">
        <v>23</v>
      </c>
    </row>
    <row r="8785" spans="1:11" ht="42" customHeight="1">
      <c r="A8785" s="2" t="s">
        <v>17005</v>
      </c>
      <c r="B8785" s="2" t="s">
        <v>17006</v>
      </c>
      <c r="C8785" s="2" t="s">
        <v>26</v>
      </c>
      <c r="D8785" s="2" t="s">
        <v>27</v>
      </c>
      <c r="E8785" s="5">
        <v>-28547</v>
      </c>
      <c r="F8785" s="3" t="s">
        <v>247</v>
      </c>
      <c r="G8785" s="3" t="s">
        <v>248</v>
      </c>
      <c r="H8785" s="2" t="s">
        <v>21</v>
      </c>
      <c r="I8785" s="2" t="s">
        <v>17008</v>
      </c>
      <c r="J8785" s="3" t="str">
        <f>HYPERLINK("https://www.boe.es/gazeta/dias/1821/11/02/pdfs/GMD-1821-312.pdf#page=2","Abrir facsímil")</f>
        <v>Abrir facsímil</v>
      </c>
      <c r="K8785" s="3" t="s">
        <v>23</v>
      </c>
    </row>
    <row r="8786" spans="1:11" ht="42" customHeight="1">
      <c r="A8786" s="2" t="s">
        <v>17005</v>
      </c>
      <c r="B8786" s="2" t="s">
        <v>17006</v>
      </c>
      <c r="C8786" s="2" t="s">
        <v>17</v>
      </c>
      <c r="D8786" s="2" t="s">
        <v>18</v>
      </c>
      <c r="E8786" s="5">
        <v>-28513</v>
      </c>
      <c r="F8786" s="3" t="s">
        <v>502</v>
      </c>
      <c r="G8786" s="3" t="s">
        <v>88</v>
      </c>
      <c r="H8786" s="2" t="s">
        <v>21</v>
      </c>
      <c r="I8786" s="2" t="s">
        <v>17009</v>
      </c>
      <c r="J8786" s="3" t="str">
        <f>HYPERLINK("https://www.boe.es/gazeta/dias/1821/12/06/pdfs/GMD-1821-348.pdf#page=4","Abrir facsímil")</f>
        <v>Abrir facsímil</v>
      </c>
      <c r="K8786" s="3" t="s">
        <v>23</v>
      </c>
    </row>
    <row r="8787" spans="1:11" ht="42" customHeight="1">
      <c r="A8787" s="2" t="s">
        <v>17010</v>
      </c>
      <c r="B8787" s="2" t="s">
        <v>17011</v>
      </c>
      <c r="C8787" s="2" t="s">
        <v>40</v>
      </c>
      <c r="D8787" s="2" t="s">
        <v>41</v>
      </c>
      <c r="E8787" s="5">
        <v>-28667</v>
      </c>
      <c r="F8787" s="3" t="s">
        <v>107</v>
      </c>
      <c r="G8787" s="3" t="s">
        <v>52</v>
      </c>
      <c r="H8787" s="2" t="s">
        <v>21</v>
      </c>
      <c r="I8787" s="2" t="s">
        <v>17012</v>
      </c>
      <c r="J8787" s="3" t="str">
        <f>HYPERLINK("https://www.boe.es/gazeta/dias/1821/07/05/pdfs/GMD-1821-189.pdf#page=2","Abrir facsímil")</f>
        <v>Abrir facsímil</v>
      </c>
      <c r="K8787" s="3" t="s">
        <v>23</v>
      </c>
    </row>
    <row r="8788" spans="1:11" ht="42" customHeight="1">
      <c r="A8788" s="2" t="s">
        <v>17013</v>
      </c>
      <c r="B8788" s="2" t="s">
        <v>17014</v>
      </c>
      <c r="C8788" s="2" t="s">
        <v>26</v>
      </c>
      <c r="D8788" s="2" t="s">
        <v>27</v>
      </c>
      <c r="E8788" s="5">
        <v>-28537</v>
      </c>
      <c r="F8788" s="3" t="s">
        <v>56</v>
      </c>
      <c r="G8788" s="3" t="s">
        <v>52</v>
      </c>
      <c r="H8788" s="2" t="s">
        <v>21</v>
      </c>
      <c r="I8788" s="2" t="s">
        <v>17015</v>
      </c>
      <c r="J8788" s="3" t="str">
        <f>HYPERLINK("https://www.boe.es/gazeta/dias/1821/11/12/pdfs/GMD-1821-323.pdf#page=2","Abrir facsímil")</f>
        <v>Abrir facsímil</v>
      </c>
      <c r="K8788" s="3" t="s">
        <v>23</v>
      </c>
    </row>
    <row r="8789" spans="1:11" ht="42" customHeight="1">
      <c r="A8789" s="2" t="s">
        <v>17016</v>
      </c>
      <c r="B8789" s="2" t="s">
        <v>17016</v>
      </c>
      <c r="C8789" s="2" t="s">
        <v>494</v>
      </c>
      <c r="D8789" s="2" t="s">
        <v>18</v>
      </c>
      <c r="E8789" s="5">
        <v>-28673</v>
      </c>
      <c r="F8789" s="3" t="s">
        <v>1069</v>
      </c>
      <c r="G8789" s="3" t="s">
        <v>20</v>
      </c>
      <c r="H8789" s="2" t="s">
        <v>21</v>
      </c>
      <c r="I8789" s="2" t="s">
        <v>17017</v>
      </c>
      <c r="J8789" s="3" t="str">
        <f>HYPERLINK("https://www.boe.es/gazeta/dias/1821/06/29/pdfs/GMD-1821-182.pdf#page=3","Abrir facsímil")</f>
        <v>Abrir facsímil</v>
      </c>
      <c r="K8789" s="3" t="s">
        <v>23</v>
      </c>
    </row>
    <row r="8790" spans="1:11" ht="42" customHeight="1">
      <c r="A8790" s="2" t="s">
        <v>17018</v>
      </c>
      <c r="B8790" s="2" t="s">
        <v>17018</v>
      </c>
      <c r="C8790" s="2" t="s">
        <v>26</v>
      </c>
      <c r="D8790" s="2" t="s">
        <v>27</v>
      </c>
      <c r="E8790" s="5">
        <v>-28789</v>
      </c>
      <c r="F8790" s="3" t="s">
        <v>36</v>
      </c>
      <c r="G8790" s="3" t="s">
        <v>993</v>
      </c>
      <c r="H8790" s="2" t="s">
        <v>21</v>
      </c>
      <c r="I8790" s="2" t="s">
        <v>17019</v>
      </c>
      <c r="J8790" s="3" t="str">
        <f>HYPERLINK("https://www.boe.es/gazeta/dias/1821/03/05/pdfs/GGB-1821-64.pdf#page=4","Abrir facsímil")</f>
        <v>Abrir facsímil</v>
      </c>
      <c r="K8790" s="3" t="s">
        <v>23</v>
      </c>
    </row>
    <row r="8791" spans="1:11" ht="42" customHeight="1">
      <c r="A8791" s="2" t="s">
        <v>17020</v>
      </c>
      <c r="B8791" s="2" t="s">
        <v>17020</v>
      </c>
      <c r="C8791" s="2" t="s">
        <v>26</v>
      </c>
      <c r="D8791" s="2" t="s">
        <v>27</v>
      </c>
      <c r="E8791" s="5">
        <v>-28789</v>
      </c>
      <c r="F8791" s="3" t="s">
        <v>36</v>
      </c>
      <c r="G8791" s="3" t="s">
        <v>20</v>
      </c>
      <c r="H8791" s="2" t="s">
        <v>21</v>
      </c>
      <c r="I8791" s="2" t="s">
        <v>17021</v>
      </c>
      <c r="J8791" s="3" t="str">
        <f>HYPERLINK("https://www.boe.es/gazeta/dias/1821/03/05/pdfs/GGB-1821-64.pdf#page=3","Abrir facsímil")</f>
        <v>Abrir facsímil</v>
      </c>
      <c r="K8791" s="3" t="s">
        <v>23</v>
      </c>
    </row>
    <row r="8792" spans="1:11" ht="42" customHeight="1">
      <c r="A8792" s="2" t="s">
        <v>17018</v>
      </c>
      <c r="B8792" s="2" t="s">
        <v>17018</v>
      </c>
      <c r="C8792" s="2" t="s">
        <v>17</v>
      </c>
      <c r="D8792" s="2" t="s">
        <v>18</v>
      </c>
      <c r="E8792" s="5">
        <v>-28788</v>
      </c>
      <c r="F8792" s="3" t="s">
        <v>996</v>
      </c>
      <c r="G8792" s="3" t="s">
        <v>52</v>
      </c>
      <c r="H8792" s="2" t="s">
        <v>21</v>
      </c>
      <c r="I8792" s="2" t="s">
        <v>17022</v>
      </c>
      <c r="J8792" s="3" t="str">
        <f>HYPERLINK("https://www.boe.es/gazeta/dias/1821/03/06/pdfs/GGB-1821-65.pdf#page=2","Abrir facsímil")</f>
        <v>Abrir facsímil</v>
      </c>
      <c r="K8792" s="3" t="s">
        <v>23</v>
      </c>
    </row>
    <row r="8793" spans="1:11" ht="42" customHeight="1">
      <c r="A8793" s="2" t="s">
        <v>17018</v>
      </c>
      <c r="B8793" s="2" t="s">
        <v>17018</v>
      </c>
      <c r="C8793" s="2" t="s">
        <v>17</v>
      </c>
      <c r="D8793" s="2" t="s">
        <v>18</v>
      </c>
      <c r="E8793" s="5">
        <v>-28779</v>
      </c>
      <c r="F8793" s="3" t="s">
        <v>1002</v>
      </c>
      <c r="G8793" s="3" t="s">
        <v>20</v>
      </c>
      <c r="H8793" s="2" t="s">
        <v>21</v>
      </c>
      <c r="I8793" s="2" t="s">
        <v>17023</v>
      </c>
      <c r="J8793" s="3" t="str">
        <f>HYPERLINK("https://www.boe.es/gazeta/dias/1821/03/15/pdfs/GMD-1821-74.pdf#page=3","Abrir facsímil")</f>
        <v>Abrir facsímil</v>
      </c>
      <c r="K8793" s="3" t="s">
        <v>23</v>
      </c>
    </row>
    <row r="8794" spans="1:11" ht="42" customHeight="1">
      <c r="A8794" s="2" t="s">
        <v>17018</v>
      </c>
      <c r="B8794" s="2" t="s">
        <v>17018</v>
      </c>
      <c r="C8794" s="2" t="s">
        <v>40</v>
      </c>
      <c r="D8794" s="2" t="s">
        <v>41</v>
      </c>
      <c r="E8794" s="5">
        <v>-28773</v>
      </c>
      <c r="F8794" s="3" t="s">
        <v>1755</v>
      </c>
      <c r="G8794" s="3" t="s">
        <v>88</v>
      </c>
      <c r="H8794" s="2" t="s">
        <v>21</v>
      </c>
      <c r="I8794" s="2" t="s">
        <v>17024</v>
      </c>
      <c r="J8794" s="3" t="str">
        <f>HYPERLINK("https://www.boe.es/gazeta/dias/1821/03/21/pdfs/GMD-1821-80.pdf#page=4","Abrir facsímil")</f>
        <v>Abrir facsímil</v>
      </c>
      <c r="K8794" s="3" t="s">
        <v>23</v>
      </c>
    </row>
    <row r="8795" spans="1:11" ht="42" customHeight="1">
      <c r="A8795" s="2" t="s">
        <v>17018</v>
      </c>
      <c r="B8795" s="2" t="s">
        <v>17018</v>
      </c>
      <c r="C8795" s="2" t="s">
        <v>40</v>
      </c>
      <c r="D8795" s="2" t="s">
        <v>41</v>
      </c>
      <c r="E8795" s="5">
        <v>-28763</v>
      </c>
      <c r="F8795" s="3" t="s">
        <v>1145</v>
      </c>
      <c r="G8795" s="3" t="s">
        <v>20</v>
      </c>
      <c r="H8795" s="2" t="s">
        <v>21</v>
      </c>
      <c r="I8795" s="2" t="s">
        <v>17025</v>
      </c>
      <c r="J8795" s="3" t="str">
        <f>HYPERLINK("https://www.boe.es/gazeta/dias/1821/03/31/pdfs/GMD-1821-92.pdf#page=3","Abrir facsímil")</f>
        <v>Abrir facsímil</v>
      </c>
      <c r="K8795" s="3" t="s">
        <v>23</v>
      </c>
    </row>
    <row r="8796" spans="1:11" ht="42" customHeight="1">
      <c r="A8796" s="2" t="s">
        <v>17018</v>
      </c>
      <c r="B8796" s="2" t="s">
        <v>17018</v>
      </c>
      <c r="C8796" s="2" t="s">
        <v>26</v>
      </c>
      <c r="D8796" s="2" t="s">
        <v>27</v>
      </c>
      <c r="E8796" s="5">
        <v>-28760</v>
      </c>
      <c r="F8796" s="3" t="s">
        <v>170</v>
      </c>
      <c r="G8796" s="3" t="s">
        <v>52</v>
      </c>
      <c r="H8796" s="2" t="s">
        <v>21</v>
      </c>
      <c r="I8796" s="2" t="s">
        <v>17026</v>
      </c>
      <c r="J8796" s="3" t="str">
        <f>HYPERLINK("https://www.boe.es/gazeta/dias/1821/04/03/pdfs/GMD-1821-95.pdf#page=2","Abrir facsímil")</f>
        <v>Abrir facsímil</v>
      </c>
      <c r="K8796" s="3" t="s">
        <v>23</v>
      </c>
    </row>
    <row r="8797" spans="1:11" ht="42" customHeight="1">
      <c r="A8797" s="2" t="s">
        <v>17018</v>
      </c>
      <c r="B8797" s="2" t="s">
        <v>17018</v>
      </c>
      <c r="C8797" s="2" t="s">
        <v>40</v>
      </c>
      <c r="D8797" s="2" t="s">
        <v>41</v>
      </c>
      <c r="E8797" s="5">
        <v>-28746</v>
      </c>
      <c r="F8797" s="3" t="s">
        <v>687</v>
      </c>
      <c r="G8797" s="3" t="s">
        <v>162</v>
      </c>
      <c r="H8797" s="2" t="s">
        <v>21</v>
      </c>
      <c r="I8797" s="2" t="s">
        <v>17027</v>
      </c>
      <c r="J8797" s="3" t="str">
        <f>HYPERLINK("https://www.boe.es/gazeta/dias/1821/04/17/pdfs/GMD-1821-109.pdf#page=5","Abrir facsímil")</f>
        <v>Abrir facsímil</v>
      </c>
      <c r="K8797" s="3" t="s">
        <v>23</v>
      </c>
    </row>
    <row r="8798" spans="1:11" ht="42" customHeight="1">
      <c r="A8798" s="2" t="s">
        <v>17018</v>
      </c>
      <c r="B8798" s="2" t="s">
        <v>17018</v>
      </c>
      <c r="C8798" s="2" t="s">
        <v>40</v>
      </c>
      <c r="D8798" s="2" t="s">
        <v>41</v>
      </c>
      <c r="E8798" s="5">
        <v>-28744</v>
      </c>
      <c r="F8798" s="3" t="s">
        <v>834</v>
      </c>
      <c r="G8798" s="3" t="s">
        <v>88</v>
      </c>
      <c r="H8798" s="2" t="s">
        <v>21</v>
      </c>
      <c r="I8798" s="2" t="s">
        <v>17028</v>
      </c>
      <c r="J8798" s="3" t="str">
        <f>HYPERLINK("https://www.boe.es/gazeta/dias/1821/04/19/pdfs/GMD-1821-111.pdf#page=4","Abrir facsímil")</f>
        <v>Abrir facsímil</v>
      </c>
      <c r="K8798" s="3" t="s">
        <v>23</v>
      </c>
    </row>
    <row r="8799" spans="1:11" ht="42" customHeight="1">
      <c r="A8799" s="2" t="s">
        <v>17018</v>
      </c>
      <c r="B8799" s="2" t="s">
        <v>17018</v>
      </c>
      <c r="C8799" s="2" t="s">
        <v>40</v>
      </c>
      <c r="D8799" s="2" t="s">
        <v>41</v>
      </c>
      <c r="E8799" s="5">
        <v>-28735</v>
      </c>
      <c r="F8799" s="3" t="s">
        <v>836</v>
      </c>
      <c r="G8799" s="3" t="s">
        <v>52</v>
      </c>
      <c r="H8799" s="2" t="s">
        <v>21</v>
      </c>
      <c r="I8799" s="2" t="s">
        <v>17029</v>
      </c>
      <c r="J8799" s="3" t="str">
        <f>HYPERLINK("https://www.boe.es/gazeta/dias/1821/04/28/pdfs/GMD-1821-120.pdf#page=2","Abrir facsímil")</f>
        <v>Abrir facsímil</v>
      </c>
      <c r="K8799" s="3" t="s">
        <v>23</v>
      </c>
    </row>
    <row r="8800" spans="1:11" ht="42" customHeight="1">
      <c r="A8800" s="2" t="s">
        <v>17018</v>
      </c>
      <c r="B8800" s="2" t="s">
        <v>17018</v>
      </c>
      <c r="C8800" s="2" t="s">
        <v>35</v>
      </c>
      <c r="D8800" s="2" t="s">
        <v>27</v>
      </c>
      <c r="E8800" s="5">
        <v>-28733</v>
      </c>
      <c r="F8800" s="3" t="s">
        <v>1033</v>
      </c>
      <c r="G8800" s="3" t="s">
        <v>20</v>
      </c>
      <c r="H8800" s="2" t="s">
        <v>21</v>
      </c>
      <c r="I8800" s="2" t="s">
        <v>17030</v>
      </c>
      <c r="J8800" s="3" t="str">
        <f>HYPERLINK("https://www.boe.es/gazeta/dias/1821/04/30/pdfs/GMD-1821-122.pdf#page=3","Abrir facsímil")</f>
        <v>Abrir facsímil</v>
      </c>
      <c r="K8800" s="3" t="s">
        <v>23</v>
      </c>
    </row>
    <row r="8801" spans="1:11" ht="42" customHeight="1">
      <c r="A8801" s="2" t="s">
        <v>17031</v>
      </c>
      <c r="B8801" s="2" t="s">
        <v>17031</v>
      </c>
      <c r="C8801" s="2" t="s">
        <v>17</v>
      </c>
      <c r="D8801" s="2" t="s">
        <v>18</v>
      </c>
      <c r="E8801" s="5">
        <v>-28726</v>
      </c>
      <c r="F8801" s="3" t="s">
        <v>347</v>
      </c>
      <c r="G8801" s="3" t="s">
        <v>52</v>
      </c>
      <c r="H8801" s="2" t="s">
        <v>21</v>
      </c>
      <c r="I8801" s="2" t="s">
        <v>17032</v>
      </c>
      <c r="J8801" s="3" t="str">
        <f>HYPERLINK("https://www.boe.es/gazeta/dias/1821/05/07/pdfs/GMD-1821-129.pdf#page=2","Abrir facsímil")</f>
        <v>Abrir facsímil</v>
      </c>
      <c r="K8801" s="3" t="s">
        <v>23</v>
      </c>
    </row>
    <row r="8802" spans="1:11" ht="42" customHeight="1">
      <c r="A8802" s="2" t="s">
        <v>17018</v>
      </c>
      <c r="B8802" s="2" t="s">
        <v>17018</v>
      </c>
      <c r="C8802" s="2" t="s">
        <v>35</v>
      </c>
      <c r="D8802" s="2" t="s">
        <v>27</v>
      </c>
      <c r="E8802" s="5">
        <v>-28722</v>
      </c>
      <c r="F8802" s="3" t="s">
        <v>623</v>
      </c>
      <c r="G8802" s="3" t="s">
        <v>52</v>
      </c>
      <c r="H8802" s="2" t="s">
        <v>21</v>
      </c>
      <c r="I8802" s="2" t="s">
        <v>17033</v>
      </c>
      <c r="J8802" s="3" t="str">
        <f>HYPERLINK("https://www.boe.es/gazeta/dias/1821/05/11/pdfs/GMD-1821-133.pdf#page=2","Abrir facsímil")</f>
        <v>Abrir facsímil</v>
      </c>
      <c r="K8802" s="3" t="s">
        <v>23</v>
      </c>
    </row>
    <row r="8803" spans="1:11" ht="42" customHeight="1">
      <c r="A8803" s="2" t="s">
        <v>17018</v>
      </c>
      <c r="B8803" s="2" t="s">
        <v>17018</v>
      </c>
      <c r="C8803" s="2" t="s">
        <v>26</v>
      </c>
      <c r="D8803" s="2" t="s">
        <v>27</v>
      </c>
      <c r="E8803" s="5">
        <v>-28722</v>
      </c>
      <c r="F8803" s="3" t="s">
        <v>623</v>
      </c>
      <c r="G8803" s="3" t="s">
        <v>20</v>
      </c>
      <c r="H8803" s="2" t="s">
        <v>21</v>
      </c>
      <c r="I8803" s="2" t="s">
        <v>17034</v>
      </c>
      <c r="J8803" s="3" t="str">
        <f>HYPERLINK("https://www.boe.es/gazeta/dias/1821/05/11/pdfs/GMD-1821-133.pdf#page=3","Abrir facsímil")</f>
        <v>Abrir facsímil</v>
      </c>
      <c r="K8803" s="3" t="s">
        <v>23</v>
      </c>
    </row>
    <row r="8804" spans="1:11" ht="42" customHeight="1">
      <c r="A8804" s="2" t="s">
        <v>17018</v>
      </c>
      <c r="B8804" s="2" t="s">
        <v>17018</v>
      </c>
      <c r="C8804" s="2" t="s">
        <v>26</v>
      </c>
      <c r="D8804" s="2" t="s">
        <v>27</v>
      </c>
      <c r="E8804" s="5">
        <v>-28720</v>
      </c>
      <c r="F8804" s="3" t="s">
        <v>492</v>
      </c>
      <c r="G8804" s="3" t="s">
        <v>52</v>
      </c>
      <c r="H8804" s="2" t="s">
        <v>21</v>
      </c>
      <c r="I8804" s="2" t="s">
        <v>17035</v>
      </c>
      <c r="J8804" s="3" t="str">
        <f>HYPERLINK("https://www.boe.es/gazeta/dias/1821/05/13/pdfs/GMD-1821-135.pdf#page=2","Abrir facsímil")</f>
        <v>Abrir facsímil</v>
      </c>
      <c r="K8804" s="3" t="s">
        <v>23</v>
      </c>
    </row>
    <row r="8805" spans="1:11" ht="42" customHeight="1">
      <c r="A8805" s="2" t="s">
        <v>17018</v>
      </c>
      <c r="B8805" s="2" t="s">
        <v>17018</v>
      </c>
      <c r="C8805" s="2" t="s">
        <v>40</v>
      </c>
      <c r="D8805" s="2" t="s">
        <v>41</v>
      </c>
      <c r="E8805" s="5">
        <v>-28717</v>
      </c>
      <c r="F8805" s="3" t="s">
        <v>1044</v>
      </c>
      <c r="G8805" s="3" t="s">
        <v>20</v>
      </c>
      <c r="H8805" s="2" t="s">
        <v>21</v>
      </c>
      <c r="I8805" s="2" t="s">
        <v>17036</v>
      </c>
      <c r="J8805" s="3" t="str">
        <f>HYPERLINK("https://www.boe.es/gazeta/dias/1821/05/16/pdfs/GMD-1821-138.pdf#page=3","Abrir facsímil")</f>
        <v>Abrir facsímil</v>
      </c>
      <c r="K8805" s="3" t="s">
        <v>23</v>
      </c>
    </row>
    <row r="8806" spans="1:11" ht="42" customHeight="1">
      <c r="A8806" s="2" t="s">
        <v>17018</v>
      </c>
      <c r="B8806" s="2" t="s">
        <v>17018</v>
      </c>
      <c r="C8806" s="2" t="s">
        <v>114</v>
      </c>
      <c r="D8806" s="2" t="s">
        <v>27</v>
      </c>
      <c r="E8806" s="5">
        <v>-28714</v>
      </c>
      <c r="F8806" s="3" t="s">
        <v>522</v>
      </c>
      <c r="G8806" s="3" t="s">
        <v>20</v>
      </c>
      <c r="H8806" s="2" t="s">
        <v>21</v>
      </c>
      <c r="I8806" s="2" t="s">
        <v>17037</v>
      </c>
      <c r="J8806" s="3" t="str">
        <f>HYPERLINK("https://www.boe.es/gazeta/dias/1821/05/19/pdfs/GMD-1821-141.pdf#page=3","Abrir facsímil")</f>
        <v>Abrir facsímil</v>
      </c>
      <c r="K8806" s="3" t="s">
        <v>23</v>
      </c>
    </row>
    <row r="8807" spans="1:11" ht="42" customHeight="1">
      <c r="A8807" s="2" t="s">
        <v>17018</v>
      </c>
      <c r="B8807" s="2" t="s">
        <v>17018</v>
      </c>
      <c r="C8807" s="2" t="s">
        <v>40</v>
      </c>
      <c r="D8807" s="2" t="s">
        <v>41</v>
      </c>
      <c r="E8807" s="5">
        <v>-28711</v>
      </c>
      <c r="F8807" s="3" t="s">
        <v>1048</v>
      </c>
      <c r="G8807" s="3" t="s">
        <v>52</v>
      </c>
      <c r="H8807" s="2" t="s">
        <v>21</v>
      </c>
      <c r="I8807" s="2" t="s">
        <v>17038</v>
      </c>
      <c r="J8807" s="3" t="str">
        <f>HYPERLINK("https://www.boe.es/gazeta/dias/1821/05/22/pdfs/GMD-1821-144.pdf#page=2","Abrir facsímil")</f>
        <v>Abrir facsímil</v>
      </c>
      <c r="K8807" s="3" t="s">
        <v>23</v>
      </c>
    </row>
    <row r="8808" spans="1:11" ht="42" customHeight="1">
      <c r="A8808" s="2" t="s">
        <v>17039</v>
      </c>
      <c r="B8808" s="2" t="s">
        <v>17039</v>
      </c>
      <c r="C8808" s="2" t="s">
        <v>40</v>
      </c>
      <c r="D8808" s="2" t="s">
        <v>41</v>
      </c>
      <c r="E8808" s="5">
        <v>-28702</v>
      </c>
      <c r="F8808" s="3" t="s">
        <v>1176</v>
      </c>
      <c r="G8808" s="3" t="s">
        <v>1177</v>
      </c>
      <c r="H8808" s="2" t="s">
        <v>21</v>
      </c>
      <c r="I8808" s="2" t="s">
        <v>17040</v>
      </c>
      <c r="J8808" s="3" t="str">
        <f>HYPERLINK("https://www.boe.es/gazeta/dias/1821/05/31/pdfs/GMD-1821-153.pdf#page=2","Abrir facsímil")</f>
        <v>Abrir facsímil</v>
      </c>
      <c r="K8808" s="3" t="s">
        <v>23</v>
      </c>
    </row>
    <row r="8809" spans="1:11" ht="42" customHeight="1">
      <c r="A8809" s="2" t="s">
        <v>17018</v>
      </c>
      <c r="B8809" s="2" t="s">
        <v>17018</v>
      </c>
      <c r="C8809" s="2" t="s">
        <v>70</v>
      </c>
      <c r="D8809" s="2" t="s">
        <v>27</v>
      </c>
      <c r="E8809" s="5">
        <v>-28701</v>
      </c>
      <c r="F8809" s="3" t="s">
        <v>202</v>
      </c>
      <c r="G8809" s="3" t="s">
        <v>52</v>
      </c>
      <c r="H8809" s="2" t="s">
        <v>21</v>
      </c>
      <c r="I8809" s="2" t="s">
        <v>17041</v>
      </c>
      <c r="J8809" s="3" t="str">
        <f>HYPERLINK("https://www.boe.es/gazeta/dias/1821/06/01/pdfs/GMD-1821-154.pdf#page=2","Abrir facsímil")</f>
        <v>Abrir facsímil</v>
      </c>
      <c r="K8809" s="3" t="s">
        <v>23</v>
      </c>
    </row>
    <row r="8810" spans="1:11" ht="42" customHeight="1">
      <c r="A8810" s="2" t="s">
        <v>17018</v>
      </c>
      <c r="B8810" s="2" t="s">
        <v>17018</v>
      </c>
      <c r="C8810" s="2" t="s">
        <v>40</v>
      </c>
      <c r="D8810" s="2" t="s">
        <v>41</v>
      </c>
      <c r="E8810" s="5">
        <v>-28700</v>
      </c>
      <c r="F8810" s="3" t="s">
        <v>701</v>
      </c>
      <c r="G8810" s="3" t="s">
        <v>88</v>
      </c>
      <c r="H8810" s="2" t="s">
        <v>21</v>
      </c>
      <c r="I8810" s="2" t="s">
        <v>17042</v>
      </c>
      <c r="J8810" s="3" t="str">
        <f>HYPERLINK("https://www.boe.es/gazeta/dias/1821/06/02/pdfs/GMD-1821-155.pdf#page=4","Abrir facsímil")</f>
        <v>Abrir facsímil</v>
      </c>
      <c r="K8810" s="3" t="s">
        <v>23</v>
      </c>
    </row>
    <row r="8811" spans="1:11" ht="42" customHeight="1">
      <c r="A8811" s="2" t="s">
        <v>17018</v>
      </c>
      <c r="B8811" s="2" t="s">
        <v>17018</v>
      </c>
      <c r="C8811" s="2" t="s">
        <v>35</v>
      </c>
      <c r="D8811" s="2" t="s">
        <v>27</v>
      </c>
      <c r="E8811" s="5">
        <v>-28698</v>
      </c>
      <c r="F8811" s="3" t="s">
        <v>2067</v>
      </c>
      <c r="G8811" s="3" t="s">
        <v>3804</v>
      </c>
      <c r="H8811" s="2" t="s">
        <v>21</v>
      </c>
      <c r="I8811" s="2" t="s">
        <v>17043</v>
      </c>
      <c r="J8811" s="3" t="str">
        <f>HYPERLINK("https://www.boe.es/gazeta/dias/1821/06/04/pdfs/GMD-1821-157.pdf#page=2","Abrir facsímil")</f>
        <v>Abrir facsímil</v>
      </c>
      <c r="K8811" s="3" t="s">
        <v>23</v>
      </c>
    </row>
    <row r="8812" spans="1:11" ht="42" customHeight="1">
      <c r="A8812" s="2" t="s">
        <v>17018</v>
      </c>
      <c r="B8812" s="2" t="s">
        <v>17018</v>
      </c>
      <c r="C8812" s="2" t="s">
        <v>40</v>
      </c>
      <c r="D8812" s="2" t="s">
        <v>41</v>
      </c>
      <c r="E8812" s="5">
        <v>-28692</v>
      </c>
      <c r="F8812" s="3" t="s">
        <v>3807</v>
      </c>
      <c r="G8812" s="3" t="s">
        <v>3808</v>
      </c>
      <c r="H8812" s="2" t="s">
        <v>21</v>
      </c>
      <c r="I8812" s="2" t="s">
        <v>17044</v>
      </c>
      <c r="J8812" s="3" t="str">
        <f>HYPERLINK("https://www.boe.es/gazeta/dias/1821/06/10/pdfs/GMD-1821-163.pdf#page=3","Abrir facsímil")</f>
        <v>Abrir facsímil</v>
      </c>
      <c r="K8812" s="3" t="s">
        <v>23</v>
      </c>
    </row>
    <row r="8813" spans="1:11" ht="42" customHeight="1">
      <c r="A8813" s="2" t="s">
        <v>17018</v>
      </c>
      <c r="B8813" s="2" t="s">
        <v>17018</v>
      </c>
      <c r="C8813" s="2" t="s">
        <v>40</v>
      </c>
      <c r="D8813" s="2" t="s">
        <v>41</v>
      </c>
      <c r="E8813" s="5">
        <v>-28690</v>
      </c>
      <c r="F8813" s="3" t="s">
        <v>846</v>
      </c>
      <c r="G8813" s="3" t="s">
        <v>847</v>
      </c>
      <c r="H8813" s="2" t="s">
        <v>21</v>
      </c>
      <c r="I8813" s="2" t="s">
        <v>17045</v>
      </c>
      <c r="J8813" s="3" t="str">
        <f>HYPERLINK("https://www.boe.es/gazeta/dias/1821/06/12/pdfs/GMD-1821-165.pdf#page=2","Abrir facsímil")</f>
        <v>Abrir facsímil</v>
      </c>
      <c r="K8813" s="3" t="s">
        <v>23</v>
      </c>
    </row>
    <row r="8814" spans="1:11" ht="42" customHeight="1">
      <c r="A8814" s="2" t="s">
        <v>17018</v>
      </c>
      <c r="B8814" s="2" t="s">
        <v>17018</v>
      </c>
      <c r="C8814" s="2" t="s">
        <v>35</v>
      </c>
      <c r="D8814" s="2" t="s">
        <v>27</v>
      </c>
      <c r="E8814" s="5">
        <v>-28686</v>
      </c>
      <c r="F8814" s="3" t="s">
        <v>115</v>
      </c>
      <c r="G8814" s="3" t="s">
        <v>52</v>
      </c>
      <c r="H8814" s="2" t="s">
        <v>21</v>
      </c>
      <c r="I8814" s="2" t="s">
        <v>17046</v>
      </c>
      <c r="J8814" s="3" t="str">
        <f>HYPERLINK("https://www.boe.es/gazeta/dias/1821/06/16/pdfs/GMD-1821-169.pdf#page=2","Abrir facsímil")</f>
        <v>Abrir facsímil</v>
      </c>
      <c r="K8814" s="3" t="s">
        <v>23</v>
      </c>
    </row>
    <row r="8815" spans="1:11" ht="42" customHeight="1">
      <c r="A8815" s="2" t="s">
        <v>17018</v>
      </c>
      <c r="B8815" s="2" t="s">
        <v>17018</v>
      </c>
      <c r="C8815" s="2" t="s">
        <v>40</v>
      </c>
      <c r="D8815" s="2" t="s">
        <v>41</v>
      </c>
      <c r="E8815" s="5">
        <v>-28684</v>
      </c>
      <c r="F8815" s="3" t="s">
        <v>208</v>
      </c>
      <c r="G8815" s="3" t="s">
        <v>20</v>
      </c>
      <c r="H8815" s="2" t="s">
        <v>21</v>
      </c>
      <c r="I8815" s="2" t="s">
        <v>17047</v>
      </c>
      <c r="J8815" s="3" t="str">
        <f>HYPERLINK("https://www.boe.es/gazeta/dias/1821/06/18/pdfs/GMD-1821-171.pdf#page=3","Abrir facsímil")</f>
        <v>Abrir facsímil</v>
      </c>
      <c r="K8815" s="3" t="s">
        <v>23</v>
      </c>
    </row>
    <row r="8816" spans="1:11" ht="42" customHeight="1">
      <c r="A8816" s="2" t="s">
        <v>17018</v>
      </c>
      <c r="B8816" s="2" t="s">
        <v>17018</v>
      </c>
      <c r="C8816" s="2" t="s">
        <v>70</v>
      </c>
      <c r="D8816" s="2" t="s">
        <v>27</v>
      </c>
      <c r="E8816" s="5">
        <v>-28683</v>
      </c>
      <c r="F8816" s="3" t="s">
        <v>332</v>
      </c>
      <c r="G8816" s="3" t="s">
        <v>88</v>
      </c>
      <c r="H8816" s="2" t="s">
        <v>21</v>
      </c>
      <c r="I8816" s="2" t="s">
        <v>17048</v>
      </c>
      <c r="J8816" s="3" t="str">
        <f>HYPERLINK("https://www.boe.es/gazeta/dias/1821/06/19/pdfs/GMD-1821-172.pdf#page=4","Abrir facsímil")</f>
        <v>Abrir facsímil</v>
      </c>
      <c r="K8816" s="3" t="s">
        <v>23</v>
      </c>
    </row>
    <row r="8817" spans="1:11" ht="42" customHeight="1">
      <c r="A8817" s="2" t="s">
        <v>17018</v>
      </c>
      <c r="B8817" s="2" t="s">
        <v>17018</v>
      </c>
      <c r="C8817" s="2" t="s">
        <v>40</v>
      </c>
      <c r="D8817" s="2" t="s">
        <v>41</v>
      </c>
      <c r="E8817" s="5">
        <v>-28617</v>
      </c>
      <c r="F8817" s="3" t="s">
        <v>436</v>
      </c>
      <c r="G8817" s="3" t="s">
        <v>88</v>
      </c>
      <c r="H8817" s="2" t="s">
        <v>21</v>
      </c>
      <c r="I8817" s="2" t="s">
        <v>17049</v>
      </c>
      <c r="J8817" s="3" t="str">
        <f>HYPERLINK("https://www.boe.es/gazeta/dias/1821/08/24/pdfs/GMD-1821-241.pdf#page=4","Abrir facsímil")</f>
        <v>Abrir facsímil</v>
      </c>
      <c r="K8817" s="3" t="s">
        <v>23</v>
      </c>
    </row>
    <row r="8818" spans="1:11" ht="42" customHeight="1">
      <c r="A8818" s="2" t="s">
        <v>17018</v>
      </c>
      <c r="B8818" s="2" t="s">
        <v>17018</v>
      </c>
      <c r="C8818" s="2" t="s">
        <v>17</v>
      </c>
      <c r="D8818" s="2" t="s">
        <v>18</v>
      </c>
      <c r="E8818" s="5">
        <v>-28579</v>
      </c>
      <c r="F8818" s="3" t="s">
        <v>743</v>
      </c>
      <c r="G8818" s="3" t="s">
        <v>7128</v>
      </c>
      <c r="H8818" s="2" t="s">
        <v>21</v>
      </c>
      <c r="I8818" s="2" t="s">
        <v>17050</v>
      </c>
      <c r="J8818" s="3" t="str">
        <f>HYPERLINK("https://www.boe.es/gazeta/dias/1821/10/01/pdfs/GMD-1821-280.pdf#page=3","Abrir facsímil")</f>
        <v>Abrir facsímil</v>
      </c>
      <c r="K8818" s="3" t="s">
        <v>23</v>
      </c>
    </row>
    <row r="8819" spans="1:11" ht="42" customHeight="1">
      <c r="A8819" s="2" t="s">
        <v>17018</v>
      </c>
      <c r="B8819" s="2" t="s">
        <v>17018</v>
      </c>
      <c r="C8819" s="2" t="s">
        <v>26</v>
      </c>
      <c r="D8819" s="2" t="s">
        <v>27</v>
      </c>
      <c r="E8819" s="5">
        <v>-28569</v>
      </c>
      <c r="F8819" s="3" t="s">
        <v>512</v>
      </c>
      <c r="G8819" s="3" t="s">
        <v>20</v>
      </c>
      <c r="H8819" s="2" t="s">
        <v>21</v>
      </c>
      <c r="I8819" s="2" t="s">
        <v>17051</v>
      </c>
      <c r="J8819" s="3" t="str">
        <f>HYPERLINK("https://www.boe.es/gazeta/dias/1821/10/11/pdfs/GMD-1821-290.pdf#page=3","Abrir facsímil")</f>
        <v>Abrir facsímil</v>
      </c>
      <c r="K8819" s="3" t="s">
        <v>23</v>
      </c>
    </row>
    <row r="8820" spans="1:11" ht="42" customHeight="1">
      <c r="A8820" s="2" t="s">
        <v>17018</v>
      </c>
      <c r="B8820" s="2" t="s">
        <v>17018</v>
      </c>
      <c r="C8820" s="2" t="s">
        <v>17</v>
      </c>
      <c r="D8820" s="2" t="s">
        <v>18</v>
      </c>
      <c r="E8820" s="5">
        <v>-28565</v>
      </c>
      <c r="F8820" s="3" t="s">
        <v>326</v>
      </c>
      <c r="G8820" s="3" t="s">
        <v>88</v>
      </c>
      <c r="H8820" s="2" t="s">
        <v>21</v>
      </c>
      <c r="I8820" s="2" t="s">
        <v>17052</v>
      </c>
      <c r="J8820" s="3" t="str">
        <f>HYPERLINK("https://www.boe.es/gazeta/dias/1821/10/15/pdfs/GMD-1821-294.pdf#page=4","Abrir facsímil")</f>
        <v>Abrir facsímil</v>
      </c>
      <c r="K8820" s="3" t="s">
        <v>23</v>
      </c>
    </row>
    <row r="8821" spans="1:11" ht="42" customHeight="1">
      <c r="A8821" s="2" t="s">
        <v>17020</v>
      </c>
      <c r="B8821" s="2" t="s">
        <v>17020</v>
      </c>
      <c r="C8821" s="2" t="s">
        <v>17</v>
      </c>
      <c r="D8821" s="2" t="s">
        <v>18</v>
      </c>
      <c r="E8821" s="5">
        <v>-28564</v>
      </c>
      <c r="F8821" s="3" t="s">
        <v>861</v>
      </c>
      <c r="G8821" s="3" t="s">
        <v>20</v>
      </c>
      <c r="H8821" s="2" t="s">
        <v>21</v>
      </c>
      <c r="I8821" s="2" t="s">
        <v>17053</v>
      </c>
      <c r="J8821" s="3" t="str">
        <f>HYPERLINK("https://www.boe.es/gazeta/dias/1821/10/16/pdfs/GMD-1821-295.pdf#page=3","Abrir facsímil")</f>
        <v>Abrir facsímil</v>
      </c>
      <c r="K8821" s="3" t="s">
        <v>23</v>
      </c>
    </row>
    <row r="8822" spans="1:11" ht="42" customHeight="1">
      <c r="A8822" s="2" t="s">
        <v>17018</v>
      </c>
      <c r="B8822" s="2" t="s">
        <v>17018</v>
      </c>
      <c r="C8822" s="2" t="s">
        <v>174</v>
      </c>
      <c r="D8822" s="2" t="s">
        <v>27</v>
      </c>
      <c r="E8822" s="5">
        <v>-28562</v>
      </c>
      <c r="F8822" s="3" t="s">
        <v>3093</v>
      </c>
      <c r="G8822" s="3" t="s">
        <v>162</v>
      </c>
      <c r="H8822" s="2" t="s">
        <v>21</v>
      </c>
      <c r="I8822" s="2" t="s">
        <v>17054</v>
      </c>
      <c r="J8822" s="3" t="str">
        <f>HYPERLINK("https://www.boe.es/gazeta/dias/1821/10/18/pdfs/GMD-1821-297.pdf#page=5","Abrir facsímil")</f>
        <v>Abrir facsímil</v>
      </c>
      <c r="K8822" s="3" t="s">
        <v>23</v>
      </c>
    </row>
    <row r="8823" spans="1:11" ht="42" customHeight="1">
      <c r="A8823" s="2" t="s">
        <v>17018</v>
      </c>
      <c r="B8823" s="2" t="s">
        <v>17018</v>
      </c>
      <c r="C8823" s="2" t="s">
        <v>114</v>
      </c>
      <c r="D8823" s="2" t="s">
        <v>27</v>
      </c>
      <c r="E8823" s="5">
        <v>-28562</v>
      </c>
      <c r="F8823" s="3" t="s">
        <v>3093</v>
      </c>
      <c r="G8823" s="3" t="s">
        <v>29</v>
      </c>
      <c r="H8823" s="2" t="s">
        <v>21</v>
      </c>
      <c r="I8823" s="2" t="s">
        <v>17055</v>
      </c>
      <c r="J8823" s="3" t="str">
        <f>HYPERLINK("https://www.boe.es/gazeta/dias/1821/10/18/pdfs/GMD-1821-297.pdf#page=6","Abrir facsímil")</f>
        <v>Abrir facsímil</v>
      </c>
      <c r="K8823" s="3" t="s">
        <v>23</v>
      </c>
    </row>
    <row r="8824" spans="1:11" ht="42" customHeight="1">
      <c r="A8824" s="2" t="s">
        <v>17056</v>
      </c>
      <c r="B8824" s="2" t="s">
        <v>17056</v>
      </c>
      <c r="C8824" s="2" t="s">
        <v>70</v>
      </c>
      <c r="D8824" s="2" t="s">
        <v>27</v>
      </c>
      <c r="E8824" s="5">
        <v>-28542</v>
      </c>
      <c r="F8824" s="3" t="s">
        <v>221</v>
      </c>
      <c r="G8824" s="3" t="s">
        <v>88</v>
      </c>
      <c r="H8824" s="2" t="s">
        <v>21</v>
      </c>
      <c r="I8824" s="2" t="s">
        <v>17057</v>
      </c>
      <c r="J8824" s="3" t="str">
        <f>HYPERLINK("https://www.boe.es/gazeta/dias/1821/11/07/pdfs/GMD-1821-318.pdf#page=4","Abrir facsímil")</f>
        <v>Abrir facsímil</v>
      </c>
      <c r="K8824" s="3" t="s">
        <v>23</v>
      </c>
    </row>
    <row r="8825" spans="1:11" ht="42" customHeight="1">
      <c r="A8825" s="2" t="s">
        <v>17018</v>
      </c>
      <c r="B8825" s="2" t="s">
        <v>17018</v>
      </c>
      <c r="C8825" s="2" t="s">
        <v>17</v>
      </c>
      <c r="D8825" s="2" t="s">
        <v>18</v>
      </c>
      <c r="E8825" s="5">
        <v>-28522</v>
      </c>
      <c r="F8825" s="3" t="s">
        <v>1083</v>
      </c>
      <c r="G8825" s="3" t="s">
        <v>162</v>
      </c>
      <c r="H8825" s="2" t="s">
        <v>21</v>
      </c>
      <c r="I8825" s="2" t="s">
        <v>17058</v>
      </c>
      <c r="J8825" s="3" t="str">
        <f>HYPERLINK("https://www.boe.es/gazeta/dias/1821/11/27/pdfs/GMD-1821-339.pdf#page=5","Abrir facsímil")</f>
        <v>Abrir facsímil</v>
      </c>
      <c r="K8825" s="3" t="s">
        <v>23</v>
      </c>
    </row>
    <row r="8826" spans="1:11" ht="42" customHeight="1">
      <c r="A8826" s="2" t="s">
        <v>17018</v>
      </c>
      <c r="B8826" s="2" t="s">
        <v>17018</v>
      </c>
      <c r="C8826" s="2" t="s">
        <v>26</v>
      </c>
      <c r="D8826" s="2" t="s">
        <v>27</v>
      </c>
      <c r="E8826" s="5">
        <v>-28496</v>
      </c>
      <c r="F8826" s="3" t="s">
        <v>785</v>
      </c>
      <c r="G8826" s="3" t="s">
        <v>20</v>
      </c>
      <c r="H8826" s="2" t="s">
        <v>21</v>
      </c>
      <c r="I8826" s="2" t="s">
        <v>17059</v>
      </c>
      <c r="J8826" s="3" t="str">
        <f>HYPERLINK("https://www.boe.es/gazeta/dias/1821/12/23/pdfs/GMD-1821-366.pdf#page=3","Abrir facsímil")</f>
        <v>Abrir facsímil</v>
      </c>
      <c r="K8826" s="3" t="s">
        <v>23</v>
      </c>
    </row>
    <row r="8827" spans="1:11" ht="42" customHeight="1">
      <c r="A8827" s="2" t="s">
        <v>17060</v>
      </c>
      <c r="B8827" s="2" t="s">
        <v>17060</v>
      </c>
      <c r="C8827" s="2" t="s">
        <v>17</v>
      </c>
      <c r="D8827" s="2" t="s">
        <v>18</v>
      </c>
      <c r="E8827" s="5">
        <v>-28771</v>
      </c>
      <c r="F8827" s="3" t="s">
        <v>110</v>
      </c>
      <c r="G8827" s="3" t="s">
        <v>88</v>
      </c>
      <c r="H8827" s="2" t="s">
        <v>21</v>
      </c>
      <c r="I8827" s="2" t="s">
        <v>17061</v>
      </c>
      <c r="J8827" s="3" t="str">
        <f>HYPERLINK("https://www.boe.es/gazeta/dias/1821/03/23/pdfs/GMD-1821-83.pdf#page=4","Abrir facsímil")</f>
        <v>Abrir facsímil</v>
      </c>
      <c r="K8827" s="3" t="s">
        <v>23</v>
      </c>
    </row>
    <row r="8828" spans="1:11" ht="42" customHeight="1">
      <c r="A8828" s="2" t="s">
        <v>17062</v>
      </c>
      <c r="B8828" s="2" t="s">
        <v>17063</v>
      </c>
      <c r="C8828" s="2" t="s">
        <v>17</v>
      </c>
      <c r="D8828" s="2" t="s">
        <v>18</v>
      </c>
      <c r="E8828" s="5">
        <v>-28714</v>
      </c>
      <c r="F8828" s="3" t="s">
        <v>522</v>
      </c>
      <c r="G8828" s="3" t="s">
        <v>52</v>
      </c>
      <c r="H8828" s="2" t="s">
        <v>21</v>
      </c>
      <c r="I8828" s="2" t="s">
        <v>17064</v>
      </c>
      <c r="J8828" s="3" t="str">
        <f>HYPERLINK("https://www.boe.es/gazeta/dias/1821/05/19/pdfs/GMD-1821-141.pdf#page=2","Abrir facsímil")</f>
        <v>Abrir facsímil</v>
      </c>
      <c r="K8828" s="3" t="s">
        <v>23</v>
      </c>
    </row>
    <row r="8829" spans="1:11" ht="42" customHeight="1">
      <c r="A8829" s="2" t="s">
        <v>17062</v>
      </c>
      <c r="B8829" s="2" t="s">
        <v>17063</v>
      </c>
      <c r="C8829" s="2" t="s">
        <v>17</v>
      </c>
      <c r="D8829" s="2" t="s">
        <v>18</v>
      </c>
      <c r="E8829" s="5">
        <v>-28702</v>
      </c>
      <c r="F8829" s="3" t="s">
        <v>1176</v>
      </c>
      <c r="G8829" s="3" t="s">
        <v>1177</v>
      </c>
      <c r="H8829" s="2" t="s">
        <v>21</v>
      </c>
      <c r="I8829" s="2" t="s">
        <v>17065</v>
      </c>
      <c r="J8829" s="3" t="str">
        <f>HYPERLINK("https://www.boe.es/gazeta/dias/1821/05/31/pdfs/GMD-1821-153.pdf#page=2","Abrir facsímil")</f>
        <v>Abrir facsímil</v>
      </c>
      <c r="K8829" s="3" t="s">
        <v>23</v>
      </c>
    </row>
    <row r="8830" spans="1:11" ht="42" customHeight="1">
      <c r="A8830" s="2" t="s">
        <v>17062</v>
      </c>
      <c r="B8830" s="2" t="s">
        <v>17063</v>
      </c>
      <c r="C8830" s="2" t="s">
        <v>40</v>
      </c>
      <c r="D8830" s="2" t="s">
        <v>41</v>
      </c>
      <c r="E8830" s="5">
        <v>-28688</v>
      </c>
      <c r="F8830" s="3" t="s">
        <v>1504</v>
      </c>
      <c r="G8830" s="3" t="s">
        <v>20</v>
      </c>
      <c r="H8830" s="2" t="s">
        <v>21</v>
      </c>
      <c r="I8830" s="2" t="s">
        <v>17066</v>
      </c>
      <c r="J8830" s="3" t="str">
        <f>HYPERLINK("https://www.boe.es/gazeta/dias/1821/06/14/pdfs/GMD-1821-167.pdf#page=3","Abrir facsímil")</f>
        <v>Abrir facsímil</v>
      </c>
      <c r="K8830" s="3" t="s">
        <v>23</v>
      </c>
    </row>
    <row r="8831" spans="1:11" ht="42" customHeight="1">
      <c r="A8831" s="2" t="s">
        <v>17062</v>
      </c>
      <c r="B8831" s="2" t="s">
        <v>17063</v>
      </c>
      <c r="C8831" s="2" t="s">
        <v>35</v>
      </c>
      <c r="D8831" s="2" t="s">
        <v>27</v>
      </c>
      <c r="E8831" s="5">
        <v>-28685</v>
      </c>
      <c r="F8831" s="3" t="s">
        <v>303</v>
      </c>
      <c r="G8831" s="3" t="s">
        <v>162</v>
      </c>
      <c r="H8831" s="2" t="s">
        <v>21</v>
      </c>
      <c r="I8831" s="2" t="s">
        <v>17067</v>
      </c>
      <c r="J8831" s="3" t="str">
        <f>HYPERLINK("https://www.boe.es/gazeta/dias/1821/06/17/pdfs/GMD-1821-170.pdf#page=5","Abrir facsímil")</f>
        <v>Abrir facsímil</v>
      </c>
      <c r="K8831" s="3" t="s">
        <v>23</v>
      </c>
    </row>
    <row r="8832" spans="1:11" ht="42" customHeight="1">
      <c r="A8832" s="2" t="s">
        <v>17062</v>
      </c>
      <c r="B8832" s="2" t="s">
        <v>17063</v>
      </c>
      <c r="C8832" s="2" t="s">
        <v>17</v>
      </c>
      <c r="D8832" s="2" t="s">
        <v>18</v>
      </c>
      <c r="E8832" s="5">
        <v>-28684</v>
      </c>
      <c r="F8832" s="3" t="s">
        <v>208</v>
      </c>
      <c r="G8832" s="3" t="s">
        <v>88</v>
      </c>
      <c r="H8832" s="2" t="s">
        <v>21</v>
      </c>
      <c r="I8832" s="2" t="s">
        <v>17068</v>
      </c>
      <c r="J8832" s="3" t="str">
        <f>HYPERLINK("https://www.boe.es/gazeta/dias/1821/06/18/pdfs/GMD-1821-171.pdf#page=4","Abrir facsímil")</f>
        <v>Abrir facsímil</v>
      </c>
      <c r="K8832" s="3" t="s">
        <v>23</v>
      </c>
    </row>
    <row r="8833" spans="1:11" ht="42" customHeight="1">
      <c r="A8833" s="2" t="s">
        <v>17062</v>
      </c>
      <c r="B8833" s="2" t="s">
        <v>17063</v>
      </c>
      <c r="C8833" s="2" t="s">
        <v>35</v>
      </c>
      <c r="D8833" s="2" t="s">
        <v>27</v>
      </c>
      <c r="E8833" s="5">
        <v>-28646</v>
      </c>
      <c r="F8833" s="3" t="s">
        <v>1457</v>
      </c>
      <c r="G8833" s="3" t="s">
        <v>20</v>
      </c>
      <c r="H8833" s="2" t="s">
        <v>21</v>
      </c>
      <c r="I8833" s="2" t="s">
        <v>17069</v>
      </c>
      <c r="J8833" s="3" t="str">
        <f>HYPERLINK("https://www.boe.es/gazeta/dias/1821/07/26/pdfs/GMD-1821-211.pdf#page=3","Abrir facsímil")</f>
        <v>Abrir facsímil</v>
      </c>
      <c r="K8833" s="3" t="s">
        <v>23</v>
      </c>
    </row>
    <row r="8834" spans="1:11" ht="42" customHeight="1">
      <c r="A8834" s="2" t="s">
        <v>17070</v>
      </c>
      <c r="B8834" s="2" t="s">
        <v>17070</v>
      </c>
      <c r="C8834" s="2" t="s">
        <v>40</v>
      </c>
      <c r="D8834" s="2" t="s">
        <v>41</v>
      </c>
      <c r="E8834" s="5">
        <v>-28773</v>
      </c>
      <c r="F8834" s="3" t="s">
        <v>1755</v>
      </c>
      <c r="G8834" s="3" t="s">
        <v>20</v>
      </c>
      <c r="H8834" s="2" t="s">
        <v>21</v>
      </c>
      <c r="I8834" s="2" t="s">
        <v>17071</v>
      </c>
      <c r="J8834" s="3" t="str">
        <f>HYPERLINK("https://www.boe.es/gazeta/dias/1821/03/21/pdfs/GMD-1821-80.pdf#page=3","Abrir facsímil")</f>
        <v>Abrir facsímil</v>
      </c>
      <c r="K8834" s="3" t="s">
        <v>23</v>
      </c>
    </row>
    <row r="8835" spans="1:11" ht="42" customHeight="1">
      <c r="A8835" s="2" t="s">
        <v>17072</v>
      </c>
      <c r="B8835" s="2" t="s">
        <v>17072</v>
      </c>
      <c r="C8835" s="2" t="s">
        <v>35</v>
      </c>
      <c r="D8835" s="2" t="s">
        <v>27</v>
      </c>
      <c r="E8835" s="5">
        <v>-28682</v>
      </c>
      <c r="F8835" s="3" t="s">
        <v>1064</v>
      </c>
      <c r="G8835" s="3" t="s">
        <v>162</v>
      </c>
      <c r="H8835" s="2" t="s">
        <v>21</v>
      </c>
      <c r="I8835" s="2" t="s">
        <v>17073</v>
      </c>
      <c r="J8835" s="3" t="str">
        <f>HYPERLINK("https://www.boe.es/gazeta/dias/1821/06/20/pdfs/GMD-1821-173.pdf#page=5","Abrir facsímil")</f>
        <v>Abrir facsímil</v>
      </c>
      <c r="K8835" s="3" t="s">
        <v>23</v>
      </c>
    </row>
    <row r="8836" spans="1:11" ht="42" customHeight="1">
      <c r="A8836" s="2" t="s">
        <v>17074</v>
      </c>
      <c r="B8836" s="2" t="s">
        <v>17075</v>
      </c>
      <c r="C8836" s="2" t="s">
        <v>26</v>
      </c>
      <c r="D8836" s="2" t="s">
        <v>27</v>
      </c>
      <c r="E8836" s="5">
        <v>-28725</v>
      </c>
      <c r="F8836" s="3" t="s">
        <v>440</v>
      </c>
      <c r="G8836" s="3" t="s">
        <v>88</v>
      </c>
      <c r="H8836" s="2" t="s">
        <v>21</v>
      </c>
      <c r="I8836" s="2" t="s">
        <v>17076</v>
      </c>
      <c r="J8836" s="3" t="str">
        <f>HYPERLINK("https://www.boe.es/gazeta/dias/1821/05/08/pdfs/GMD-1821-130.pdf#page=4","Abrir facsímil")</f>
        <v>Abrir facsímil</v>
      </c>
      <c r="K8836" s="3" t="s">
        <v>23</v>
      </c>
    </row>
    <row r="8837" spans="1:11" ht="42" customHeight="1">
      <c r="A8837" s="2" t="s">
        <v>17077</v>
      </c>
      <c r="B8837" s="2" t="s">
        <v>17077</v>
      </c>
      <c r="C8837" s="2" t="s">
        <v>35</v>
      </c>
      <c r="D8837" s="2" t="s">
        <v>27</v>
      </c>
      <c r="E8837" s="5">
        <v>-28744</v>
      </c>
      <c r="F8837" s="3" t="s">
        <v>834</v>
      </c>
      <c r="G8837" s="3" t="s">
        <v>20</v>
      </c>
      <c r="H8837" s="2" t="s">
        <v>21</v>
      </c>
      <c r="I8837" s="2" t="s">
        <v>17078</v>
      </c>
      <c r="J8837" s="3" t="str">
        <f>HYPERLINK("https://www.boe.es/gazeta/dias/1821/04/19/pdfs/GMD-1821-111.pdf#page=3","Abrir facsímil")</f>
        <v>Abrir facsímil</v>
      </c>
      <c r="K8837" s="3" t="s">
        <v>23</v>
      </c>
    </row>
    <row r="8838" spans="1:11" ht="42" customHeight="1">
      <c r="A8838" s="2" t="s">
        <v>17079</v>
      </c>
      <c r="B8838" s="2" t="s">
        <v>17079</v>
      </c>
      <c r="C8838" s="2" t="s">
        <v>26</v>
      </c>
      <c r="D8838" s="2" t="s">
        <v>27</v>
      </c>
      <c r="E8838" s="5">
        <v>-28793</v>
      </c>
      <c r="F8838" s="3" t="s">
        <v>157</v>
      </c>
      <c r="G8838" s="3" t="s">
        <v>52</v>
      </c>
      <c r="H8838" s="2" t="s">
        <v>21</v>
      </c>
      <c r="I8838" s="2" t="s">
        <v>17080</v>
      </c>
      <c r="J8838" s="3" t="str">
        <f>HYPERLINK("https://www.boe.es/gazeta/dias/1821/03/01/pdfs/GGB-1821-60.pdf#page=2","Abrir facsímil")</f>
        <v>Abrir facsímil</v>
      </c>
      <c r="K8838" s="3" t="s">
        <v>23</v>
      </c>
    </row>
    <row r="8839" spans="1:11" ht="42" customHeight="1">
      <c r="A8839" s="2" t="s">
        <v>17081</v>
      </c>
      <c r="B8839" s="2" t="s">
        <v>17082</v>
      </c>
      <c r="C8839" s="2" t="s">
        <v>40</v>
      </c>
      <c r="D8839" s="2" t="s">
        <v>41</v>
      </c>
      <c r="E8839" s="5">
        <v>-28685</v>
      </c>
      <c r="F8839" s="3" t="s">
        <v>303</v>
      </c>
      <c r="G8839" s="3" t="s">
        <v>162</v>
      </c>
      <c r="H8839" s="2" t="s">
        <v>30</v>
      </c>
      <c r="I8839" s="2" t="s">
        <v>17083</v>
      </c>
      <c r="J8839" s="3" t="str">
        <f>HYPERLINK("https://www.boe.es/gazeta/dias/1821/06/17/pdfs/GMD-1821-170.pdf#page=5","Abrir facsímil")</f>
        <v>Abrir facsímil</v>
      </c>
      <c r="K8839" s="3" t="s">
        <v>32</v>
      </c>
    </row>
    <row r="8840" spans="1:11" ht="42" customHeight="1">
      <c r="A8840" s="2" t="s">
        <v>17084</v>
      </c>
      <c r="B8840" s="2" t="s">
        <v>17084</v>
      </c>
      <c r="C8840" s="2" t="s">
        <v>35</v>
      </c>
      <c r="D8840" s="2" t="s">
        <v>27</v>
      </c>
      <c r="E8840" s="5">
        <v>-28790</v>
      </c>
      <c r="F8840" s="3" t="s">
        <v>991</v>
      </c>
      <c r="G8840" s="3" t="s">
        <v>20</v>
      </c>
      <c r="H8840" s="2" t="s">
        <v>21</v>
      </c>
      <c r="I8840" s="2" t="s">
        <v>17085</v>
      </c>
      <c r="J8840" s="3" t="str">
        <f>HYPERLINK("https://www.boe.es/gazeta/dias/1821/03/04/pdfs/GGB-1821-63.pdf#page=3","Abrir facsímil")</f>
        <v>Abrir facsímil</v>
      </c>
      <c r="K8840" s="3" t="s">
        <v>23</v>
      </c>
    </row>
    <row r="8841" spans="1:11" ht="42" customHeight="1">
      <c r="A8841" s="2" t="s">
        <v>17084</v>
      </c>
      <c r="B8841" s="2" t="s">
        <v>17084</v>
      </c>
      <c r="C8841" s="2" t="s">
        <v>17</v>
      </c>
      <c r="D8841" s="2" t="s">
        <v>18</v>
      </c>
      <c r="E8841" s="5">
        <v>-28755</v>
      </c>
      <c r="F8841" s="3" t="s">
        <v>906</v>
      </c>
      <c r="G8841" s="3" t="s">
        <v>52</v>
      </c>
      <c r="H8841" s="2" t="s">
        <v>21</v>
      </c>
      <c r="I8841" s="2" t="s">
        <v>17086</v>
      </c>
      <c r="J8841" s="3" t="str">
        <f>HYPERLINK("https://www.boe.es/gazeta/dias/1821/04/08/pdfs/GMD-1821-100.pdf#page=2","Abrir facsímil")</f>
        <v>Abrir facsímil</v>
      </c>
      <c r="K8841" s="3" t="s">
        <v>23</v>
      </c>
    </row>
    <row r="8842" spans="1:11" ht="42" customHeight="1">
      <c r="A8842" s="2" t="s">
        <v>17084</v>
      </c>
      <c r="B8842" s="2" t="s">
        <v>17084</v>
      </c>
      <c r="C8842" s="2" t="s">
        <v>17</v>
      </c>
      <c r="D8842" s="2" t="s">
        <v>18</v>
      </c>
      <c r="E8842" s="5">
        <v>-28685</v>
      </c>
      <c r="F8842" s="3" t="s">
        <v>303</v>
      </c>
      <c r="G8842" s="3" t="s">
        <v>162</v>
      </c>
      <c r="H8842" s="2" t="s">
        <v>21</v>
      </c>
      <c r="I8842" s="2" t="s">
        <v>17087</v>
      </c>
      <c r="J8842" s="3" t="str">
        <f>HYPERLINK("https://www.boe.es/gazeta/dias/1821/06/17/pdfs/GMD-1821-170.pdf#page=5","Abrir facsímil")</f>
        <v>Abrir facsímil</v>
      </c>
      <c r="K8842" s="3" t="s">
        <v>23</v>
      </c>
    </row>
    <row r="8843" spans="1:11" ht="42" customHeight="1">
      <c r="A8843" s="2" t="s">
        <v>17084</v>
      </c>
      <c r="B8843" s="2" t="s">
        <v>17084</v>
      </c>
      <c r="C8843" s="2" t="s">
        <v>17</v>
      </c>
      <c r="D8843" s="2" t="s">
        <v>18</v>
      </c>
      <c r="E8843" s="5">
        <v>-28675</v>
      </c>
      <c r="F8843" s="3" t="s">
        <v>943</v>
      </c>
      <c r="G8843" s="3" t="s">
        <v>29</v>
      </c>
      <c r="H8843" s="2" t="s">
        <v>21</v>
      </c>
      <c r="I8843" s="2" t="s">
        <v>17088</v>
      </c>
      <c r="J8843" s="3" t="str">
        <f>HYPERLINK("https://www.boe.es/gazeta/dias/1821/06/27/pdfs/GMD-1821-180.pdf#page=6","Abrir facsímil")</f>
        <v>Abrir facsímil</v>
      </c>
      <c r="K8843" s="3" t="s">
        <v>23</v>
      </c>
    </row>
    <row r="8844" spans="1:11" ht="42" customHeight="1">
      <c r="A8844" s="2" t="s">
        <v>17084</v>
      </c>
      <c r="B8844" s="2" t="s">
        <v>17084</v>
      </c>
      <c r="C8844" s="2" t="s">
        <v>40</v>
      </c>
      <c r="D8844" s="2" t="s">
        <v>41</v>
      </c>
      <c r="E8844" s="5">
        <v>-28591</v>
      </c>
      <c r="F8844" s="3" t="s">
        <v>3638</v>
      </c>
      <c r="G8844" s="3" t="s">
        <v>88</v>
      </c>
      <c r="H8844" s="2" t="s">
        <v>21</v>
      </c>
      <c r="I8844" s="2" t="s">
        <v>17089</v>
      </c>
      <c r="J8844" s="3" t="str">
        <f>HYPERLINK("https://www.boe.es/gazeta/dias/1821/09/19/pdfs/GMD-1821-267.pdf#page=4","Abrir facsímil")</f>
        <v>Abrir facsímil</v>
      </c>
      <c r="K8844" s="3" t="s">
        <v>23</v>
      </c>
    </row>
    <row r="8845" spans="1:11" ht="42" customHeight="1">
      <c r="A8845" s="2" t="s">
        <v>17084</v>
      </c>
      <c r="B8845" s="2" t="s">
        <v>17084</v>
      </c>
      <c r="C8845" s="2" t="s">
        <v>40</v>
      </c>
      <c r="D8845" s="2" t="s">
        <v>41</v>
      </c>
      <c r="E8845" s="5">
        <v>-28507</v>
      </c>
      <c r="F8845" s="3" t="s">
        <v>1158</v>
      </c>
      <c r="G8845" s="3" t="s">
        <v>52</v>
      </c>
      <c r="H8845" s="2" t="s">
        <v>21</v>
      </c>
      <c r="I8845" s="2" t="s">
        <v>17090</v>
      </c>
      <c r="J8845" s="3" t="str">
        <f>HYPERLINK("https://www.boe.es/gazeta/dias/1821/12/12/pdfs/GMD-1821-354.pdf#page=2","Abrir facsímil")</f>
        <v>Abrir facsímil</v>
      </c>
      <c r="K8845" s="3" t="s">
        <v>23</v>
      </c>
    </row>
    <row r="8846" spans="1:11" ht="42" customHeight="1">
      <c r="A8846" s="2" t="s">
        <v>17084</v>
      </c>
      <c r="B8846" s="2" t="s">
        <v>17084</v>
      </c>
      <c r="C8846" s="2" t="s">
        <v>17</v>
      </c>
      <c r="D8846" s="2" t="s">
        <v>18</v>
      </c>
      <c r="E8846" s="5">
        <v>-28496</v>
      </c>
      <c r="F8846" s="3" t="s">
        <v>785</v>
      </c>
      <c r="G8846" s="3" t="s">
        <v>29</v>
      </c>
      <c r="H8846" s="2" t="s">
        <v>21</v>
      </c>
      <c r="I8846" s="2" t="s">
        <v>17091</v>
      </c>
      <c r="J8846" s="3" t="str">
        <f>HYPERLINK("https://www.boe.es/gazeta/dias/1821/12/23/pdfs/GMD-1821-366.pdf#page=6","Abrir facsímil")</f>
        <v>Abrir facsímil</v>
      </c>
      <c r="K8846" s="3" t="s">
        <v>23</v>
      </c>
    </row>
    <row r="8847" spans="1:11" ht="42" customHeight="1">
      <c r="A8847" t="s">
        <v>17092</v>
      </c>
      <c r="B8847" t="s">
        <v>17093</v>
      </c>
      <c r="C8847" t="s">
        <v>40</v>
      </c>
      <c r="D8847" t="s">
        <v>41</v>
      </c>
      <c r="E8847" s="6">
        <v>-28779</v>
      </c>
      <c r="F8847" t="s">
        <v>1002</v>
      </c>
      <c r="G8847" t="s">
        <v>52</v>
      </c>
      <c r="H8847" t="s">
        <v>21</v>
      </c>
      <c r="I8847" t="s">
        <v>17094</v>
      </c>
      <c r="J8847" t="str">
        <f>HYPERLINK("https://www.boe.es/gazeta/dias/1821/03/15/pdfs/GMD-1821-74.pdf#page=2","Abrir facsímil")</f>
        <v>Abrir facsímil</v>
      </c>
      <c r="K8847" t="s">
        <v>23</v>
      </c>
    </row>
    <row r="8848" spans="1:11" ht="42" customHeight="1">
      <c r="A8848" t="s">
        <v>17095</v>
      </c>
      <c r="B8848" t="s">
        <v>17096</v>
      </c>
      <c r="C8848" t="s">
        <v>17</v>
      </c>
      <c r="D8848" t="s">
        <v>18</v>
      </c>
      <c r="E8848" s="6">
        <v>-28583</v>
      </c>
      <c r="F8848" t="s">
        <v>2668</v>
      </c>
      <c r="G8848" t="s">
        <v>88</v>
      </c>
      <c r="H8848" t="s">
        <v>21</v>
      </c>
      <c r="I8848" t="s">
        <v>17097</v>
      </c>
      <c r="J8848" t="str">
        <f>HYPERLINK("https://www.boe.es/gazeta/dias/1821/09/27/pdfs/GMD-1821-275.pdf#page=4","Abrir facsímil")</f>
        <v>Abrir facsímil</v>
      </c>
      <c r="K8848" t="s">
        <v>23</v>
      </c>
    </row>
    <row r="8849" spans="1:11" ht="42" customHeight="1">
      <c r="A8849" t="s">
        <v>17098</v>
      </c>
      <c r="B8849" t="s">
        <v>17099</v>
      </c>
      <c r="C8849" t="s">
        <v>40</v>
      </c>
      <c r="D8849" t="s">
        <v>41</v>
      </c>
      <c r="E8849" s="6">
        <v>-28757</v>
      </c>
      <c r="F8849" t="s">
        <v>472</v>
      </c>
      <c r="G8849" t="s">
        <v>52</v>
      </c>
      <c r="H8849" t="s">
        <v>21</v>
      </c>
      <c r="I8849" t="s">
        <v>17100</v>
      </c>
      <c r="J8849" t="str">
        <f>HYPERLINK("https://www.boe.es/gazeta/dias/1821/04/06/pdfs/GMD-1821-98.pdf#page=2","Abrir facsímil")</f>
        <v>Abrir facsímil</v>
      </c>
      <c r="K8849" t="s">
        <v>23</v>
      </c>
    </row>
    <row r="8850" spans="1:11" ht="42" customHeight="1">
      <c r="A8850" t="s">
        <v>17101</v>
      </c>
      <c r="B8850" t="s">
        <v>17102</v>
      </c>
      <c r="C8850" t="s">
        <v>174</v>
      </c>
      <c r="D8850" t="s">
        <v>27</v>
      </c>
      <c r="E8850" s="6">
        <v>-28617</v>
      </c>
      <c r="F8850" t="s">
        <v>436</v>
      </c>
      <c r="G8850" t="s">
        <v>88</v>
      </c>
      <c r="H8850" t="s">
        <v>21</v>
      </c>
      <c r="I8850" t="s">
        <v>17103</v>
      </c>
      <c r="J8850" t="str">
        <f>HYPERLINK("https://www.boe.es/gazeta/dias/1821/08/24/pdfs/GMD-1821-241.pdf#page=4","Abrir facsímil")</f>
        <v>Abrir facsímil</v>
      </c>
      <c r="K8850" t="s">
        <v>23</v>
      </c>
    </row>
    <row r="8851" spans="1:11" ht="42" customHeight="1">
      <c r="A8851" t="s">
        <v>17104</v>
      </c>
      <c r="B8851" t="s">
        <v>17105</v>
      </c>
      <c r="C8851" t="s">
        <v>174</v>
      </c>
      <c r="D8851" t="s">
        <v>27</v>
      </c>
      <c r="E8851" s="6">
        <v>-28847</v>
      </c>
      <c r="F8851" t="s">
        <v>288</v>
      </c>
      <c r="G8851" t="s">
        <v>289</v>
      </c>
      <c r="H8851" t="s">
        <v>21</v>
      </c>
      <c r="I8851" t="s">
        <v>17106</v>
      </c>
      <c r="J8851" t="str">
        <f>HYPERLINK("https://www.boe.es/gazeta/dias/1821/01/06/pdfs/GGB-1821-6.pdf#page=4","Abrir facsímil")</f>
        <v>Abrir facsímil</v>
      </c>
      <c r="K8851" t="s">
        <v>23</v>
      </c>
    </row>
    <row r="8852" spans="1:11" ht="42" customHeight="1">
      <c r="A8852" t="s">
        <v>17107</v>
      </c>
      <c r="B8852" t="s">
        <v>17108</v>
      </c>
      <c r="C8852" t="s">
        <v>26</v>
      </c>
      <c r="D8852" t="s">
        <v>27</v>
      </c>
      <c r="E8852" s="6">
        <v>-28539</v>
      </c>
      <c r="F8852" t="s">
        <v>153</v>
      </c>
      <c r="G8852" t="s">
        <v>52</v>
      </c>
      <c r="H8852" t="s">
        <v>21</v>
      </c>
      <c r="I8852" t="s">
        <v>17109</v>
      </c>
      <c r="J8852" t="str">
        <f>HYPERLINK("https://www.boe.es/gazeta/dias/1821/11/10/pdfs/GMD-1821-321.pdf#page=2","Abrir facsímil")</f>
        <v>Abrir facsímil</v>
      </c>
      <c r="K8852" t="s">
        <v>23</v>
      </c>
    </row>
    <row r="8853" spans="1:11" ht="42" customHeight="1">
      <c r="A8853" t="s">
        <v>17110</v>
      </c>
      <c r="B8853" t="s">
        <v>17111</v>
      </c>
      <c r="C8853" t="s">
        <v>40</v>
      </c>
      <c r="D8853" t="s">
        <v>41</v>
      </c>
      <c r="E8853" s="6">
        <v>-28749</v>
      </c>
      <c r="F8853" t="s">
        <v>832</v>
      </c>
      <c r="G8853" t="s">
        <v>52</v>
      </c>
      <c r="H8853" t="s">
        <v>21</v>
      </c>
      <c r="I8853" t="s">
        <v>17112</v>
      </c>
      <c r="J8853" t="str">
        <f>HYPERLINK("https://www.boe.es/gazeta/dias/1821/04/14/pdfs/GMD-1821-106.pdf#page=2","Abrir facsímil")</f>
        <v>Abrir facsímil</v>
      </c>
      <c r="K8853" t="s">
        <v>23</v>
      </c>
    </row>
    <row r="8854" spans="1:11" ht="42" customHeight="1">
      <c r="A8854" t="s">
        <v>17113</v>
      </c>
      <c r="B8854" t="s">
        <v>17114</v>
      </c>
      <c r="C8854" t="s">
        <v>114</v>
      </c>
      <c r="D8854" t="s">
        <v>27</v>
      </c>
      <c r="E8854" s="6">
        <v>-28836</v>
      </c>
      <c r="F8854" t="s">
        <v>601</v>
      </c>
      <c r="G8854" t="s">
        <v>20</v>
      </c>
      <c r="H8854" t="s">
        <v>21</v>
      </c>
      <c r="I8854" t="s">
        <v>17115</v>
      </c>
      <c r="J8854" t="str">
        <f>HYPERLINK("https://www.boe.es/gazeta/dias/1821/01/17/pdfs/GGB-1821-17.pdf#page=3","Abrir facsímil")</f>
        <v>Abrir facsímil</v>
      </c>
      <c r="K8854" t="s">
        <v>23</v>
      </c>
    </row>
    <row r="8855" spans="1:11" ht="42" customHeight="1">
      <c r="A8855" t="s">
        <v>17116</v>
      </c>
      <c r="B8855" t="s">
        <v>17116</v>
      </c>
      <c r="C8855" t="s">
        <v>40</v>
      </c>
      <c r="D8855" t="s">
        <v>405</v>
      </c>
      <c r="E8855" s="6">
        <v>-28546</v>
      </c>
      <c r="F8855" t="s">
        <v>6425</v>
      </c>
      <c r="G8855" t="s">
        <v>43</v>
      </c>
      <c r="H8855" t="s">
        <v>21</v>
      </c>
      <c r="I8855" t="s">
        <v>17117</v>
      </c>
      <c r="J8855" t="str">
        <f>HYPERLINK("https://www.boe.es/gazeta/dias/1821/11/03/pdfs/GMD-1821-314E.pdf#page=1","Abrir facsímil")</f>
        <v>Abrir facsímil</v>
      </c>
      <c r="K8855" t="s">
        <v>23</v>
      </c>
    </row>
    <row r="8856" spans="1:11" ht="42" customHeight="1">
      <c r="A8856" t="s">
        <v>17118</v>
      </c>
      <c r="B8856" t="s">
        <v>17118</v>
      </c>
      <c r="C8856" t="s">
        <v>40</v>
      </c>
      <c r="D8856" t="s">
        <v>41</v>
      </c>
      <c r="E8856" s="6">
        <v>-28590</v>
      </c>
      <c r="F8856" t="s">
        <v>2787</v>
      </c>
      <c r="G8856" t="s">
        <v>52</v>
      </c>
      <c r="H8856" t="s">
        <v>21</v>
      </c>
      <c r="I8856" t="s">
        <v>17119</v>
      </c>
      <c r="J8856" t="str">
        <f>HYPERLINK("https://www.boe.es/gazeta/dias/1821/09/20/pdfs/GMD-1821-268.pdf#page=2","Abrir facsímil")</f>
        <v>Abrir facsímil</v>
      </c>
      <c r="K8856" t="s">
        <v>23</v>
      </c>
    </row>
    <row r="8857" spans="1:11" ht="42" customHeight="1">
      <c r="A8857" t="s">
        <v>17120</v>
      </c>
      <c r="B8857" t="s">
        <v>17120</v>
      </c>
      <c r="C8857" t="s">
        <v>40</v>
      </c>
      <c r="D8857" t="s">
        <v>41</v>
      </c>
      <c r="E8857" s="6">
        <v>-28745</v>
      </c>
      <c r="F8857" t="s">
        <v>1020</v>
      </c>
      <c r="G8857" t="s">
        <v>52</v>
      </c>
      <c r="H8857" t="s">
        <v>21</v>
      </c>
      <c r="I8857" t="s">
        <v>17121</v>
      </c>
      <c r="J8857" t="str">
        <f>HYPERLINK("https://www.boe.es/gazeta/dias/1821/04/18/pdfs/GMD-1821-110.pdf#page=2","Abrir facsímil")</f>
        <v>Abrir facsímil</v>
      </c>
      <c r="K8857" t="s">
        <v>23</v>
      </c>
    </row>
    <row r="8858" spans="1:11" ht="42" customHeight="1">
      <c r="A8858" t="s">
        <v>17122</v>
      </c>
      <c r="B8858" t="s">
        <v>17122</v>
      </c>
      <c r="C8858" t="s">
        <v>40</v>
      </c>
      <c r="D8858" t="s">
        <v>41</v>
      </c>
      <c r="E8858" s="6">
        <v>-28835</v>
      </c>
      <c r="F8858" t="s">
        <v>1362</v>
      </c>
      <c r="G8858" t="s">
        <v>88</v>
      </c>
      <c r="H8858" t="s">
        <v>21</v>
      </c>
      <c r="I8858" t="s">
        <v>17123</v>
      </c>
      <c r="J8858" t="str">
        <f>HYPERLINK("https://www.boe.es/gazeta/dias/1821/01/18/pdfs/GGB-1821-18.pdf#page=4","Abrir facsímil")</f>
        <v>Abrir facsímil</v>
      </c>
      <c r="K8858" t="s">
        <v>23</v>
      </c>
    </row>
    <row r="8859" spans="1:11" ht="42" customHeight="1">
      <c r="A8859" t="s">
        <v>17124</v>
      </c>
      <c r="B8859" t="s">
        <v>17125</v>
      </c>
      <c r="C8859" t="s">
        <v>40</v>
      </c>
      <c r="D8859" t="s">
        <v>41</v>
      </c>
      <c r="E8859" s="6">
        <v>-28733</v>
      </c>
      <c r="F8859" t="s">
        <v>1033</v>
      </c>
      <c r="G8859" t="s">
        <v>7434</v>
      </c>
      <c r="H8859" t="s">
        <v>21</v>
      </c>
      <c r="I8859" t="s">
        <v>17126</v>
      </c>
      <c r="J8859" t="str">
        <f>HYPERLINK("https://www.boe.es/gazeta/dias/1821/04/30/pdfs/GMD-1821-122.pdf#page=4","Abrir facsímil")</f>
        <v>Abrir facsímil</v>
      </c>
      <c r="K8859" t="s">
        <v>23</v>
      </c>
    </row>
    <row r="8860" spans="1:11" ht="42" customHeight="1">
      <c r="A8860" t="s">
        <v>17127</v>
      </c>
      <c r="B8860" t="s">
        <v>17128</v>
      </c>
      <c r="C8860" t="s">
        <v>40</v>
      </c>
      <c r="D8860" t="s">
        <v>41</v>
      </c>
      <c r="E8860" s="6">
        <v>-28651</v>
      </c>
      <c r="F8860" t="s">
        <v>1518</v>
      </c>
      <c r="G8860" t="s">
        <v>1917</v>
      </c>
      <c r="H8860" t="s">
        <v>21</v>
      </c>
      <c r="I8860" t="s">
        <v>17129</v>
      </c>
      <c r="J8860" t="str">
        <f>HYPERLINK("https://www.boe.es/gazeta/dias/1821/07/21/pdfs/GMD-1821-206.pdf#page=3","Abrir facsímil")</f>
        <v>Abrir facsímil</v>
      </c>
      <c r="K8860" t="s">
        <v>23</v>
      </c>
    </row>
    <row r="8861" spans="1:11" ht="42" customHeight="1">
      <c r="A8861" t="s">
        <v>17130</v>
      </c>
      <c r="B8861" t="s">
        <v>17130</v>
      </c>
      <c r="C8861" t="s">
        <v>17</v>
      </c>
      <c r="D8861" t="s">
        <v>18</v>
      </c>
      <c r="E8861" s="6">
        <v>-28551</v>
      </c>
      <c r="F8861" t="s">
        <v>542</v>
      </c>
      <c r="G8861" t="s">
        <v>52</v>
      </c>
      <c r="H8861" t="s">
        <v>21</v>
      </c>
      <c r="I8861" t="s">
        <v>17131</v>
      </c>
      <c r="J8861" t="str">
        <f>HYPERLINK("https://www.boe.es/gazeta/dias/1821/10/29/pdfs/GMD-1821-308.pdf#page=2","Abrir facsímil")</f>
        <v>Abrir facsímil</v>
      </c>
      <c r="K8861" t="s">
        <v>23</v>
      </c>
    </row>
    <row r="8862" spans="1:11" ht="42" customHeight="1">
      <c r="A8862" t="s">
        <v>17132</v>
      </c>
      <c r="B8862" t="s">
        <v>17133</v>
      </c>
      <c r="C8862" t="s">
        <v>40</v>
      </c>
      <c r="D8862" t="s">
        <v>41</v>
      </c>
      <c r="E8862" s="6">
        <v>-28620</v>
      </c>
      <c r="F8862" t="s">
        <v>87</v>
      </c>
      <c r="G8862" t="s">
        <v>88</v>
      </c>
      <c r="H8862" t="s">
        <v>21</v>
      </c>
      <c r="I8862" t="s">
        <v>17134</v>
      </c>
      <c r="J8862" t="str">
        <f>HYPERLINK("https://www.boe.es/gazeta/dias/1821/08/21/pdfs/GMD-1821-238.pdf#page=4","Abrir facsímil")</f>
        <v>Abrir facsímil</v>
      </c>
      <c r="K8862" t="s">
        <v>23</v>
      </c>
    </row>
    <row r="8863" spans="1:11" ht="42" customHeight="1">
      <c r="A8863" t="s">
        <v>17135</v>
      </c>
      <c r="B8863" t="s">
        <v>17136</v>
      </c>
      <c r="C8863" t="s">
        <v>494</v>
      </c>
      <c r="D8863" t="s">
        <v>18</v>
      </c>
      <c r="E8863" s="6">
        <v>-28610</v>
      </c>
      <c r="F8863" t="s">
        <v>190</v>
      </c>
      <c r="G8863" t="s">
        <v>20</v>
      </c>
      <c r="H8863" t="s">
        <v>21</v>
      </c>
      <c r="I8863" t="s">
        <v>17137</v>
      </c>
      <c r="J8863" t="str">
        <f>HYPERLINK("https://www.boe.es/gazeta/dias/1821/08/31/pdfs/GMD-1821-248.pdf#page=3","Abrir facsímil")</f>
        <v>Abrir facsímil</v>
      </c>
      <c r="K8863" t="s">
        <v>23</v>
      </c>
    </row>
    <row r="8864" spans="1:11" ht="42" customHeight="1">
      <c r="A8864" t="s">
        <v>17138</v>
      </c>
      <c r="B8864" t="s">
        <v>17138</v>
      </c>
      <c r="C8864" t="s">
        <v>35</v>
      </c>
      <c r="D8864" t="s">
        <v>27</v>
      </c>
      <c r="E8864" s="6">
        <v>-28687</v>
      </c>
      <c r="F8864" t="s">
        <v>851</v>
      </c>
      <c r="G8864" t="s">
        <v>20</v>
      </c>
      <c r="H8864" t="s">
        <v>21</v>
      </c>
      <c r="I8864" t="s">
        <v>17139</v>
      </c>
      <c r="J8864" t="str">
        <f>HYPERLINK("https://www.boe.es/gazeta/dias/1821/06/15/pdfs/GMD-1821-168.pdf#page=3","Abrir facsímil")</f>
        <v>Abrir facsímil</v>
      </c>
      <c r="K8864" t="s">
        <v>23</v>
      </c>
    </row>
    <row r="8865" spans="1:11" ht="42" customHeight="1">
      <c r="A8865" t="s">
        <v>17140</v>
      </c>
      <c r="B8865" t="s">
        <v>17141</v>
      </c>
      <c r="C8865" t="s">
        <v>17</v>
      </c>
      <c r="D8865" t="s">
        <v>18</v>
      </c>
      <c r="E8865" s="6">
        <v>-28782</v>
      </c>
      <c r="F8865" t="s">
        <v>508</v>
      </c>
      <c r="G8865" t="s">
        <v>88</v>
      </c>
      <c r="H8865" t="s">
        <v>21</v>
      </c>
      <c r="I8865" t="s">
        <v>17142</v>
      </c>
      <c r="J8865" t="str">
        <f>HYPERLINK("https://www.boe.es/gazeta/dias/1821/03/12/pdfs/GMD-1821-71.pdf#page=4","Abrir facsímil")</f>
        <v>Abrir facsímil</v>
      </c>
      <c r="K8865" t="s">
        <v>23</v>
      </c>
    </row>
    <row r="8866" spans="1:11" ht="42" customHeight="1">
      <c r="A8866" t="s">
        <v>17143</v>
      </c>
      <c r="B8866" t="s">
        <v>17144</v>
      </c>
      <c r="C8866" t="s">
        <v>279</v>
      </c>
      <c r="D8866" t="s">
        <v>27</v>
      </c>
      <c r="E8866" s="6">
        <v>-28648</v>
      </c>
      <c r="F8866" t="s">
        <v>1520</v>
      </c>
      <c r="G8866" t="s">
        <v>20</v>
      </c>
      <c r="H8866" t="s">
        <v>21</v>
      </c>
      <c r="I8866" t="s">
        <v>17145</v>
      </c>
      <c r="J8866" t="str">
        <f>HYPERLINK("https://www.boe.es/gazeta/dias/1821/07/24/pdfs/GMD-1821-209.pdf#page=3","Abrir facsímil")</f>
        <v>Abrir facsímil</v>
      </c>
      <c r="K8866" t="s">
        <v>23</v>
      </c>
    </row>
    <row r="8867" spans="1:11" ht="42" customHeight="1">
      <c r="A8867" t="s">
        <v>17146</v>
      </c>
      <c r="B8867" t="s">
        <v>17147</v>
      </c>
      <c r="C8867" t="s">
        <v>17</v>
      </c>
      <c r="D8867" t="s">
        <v>18</v>
      </c>
      <c r="E8867" s="6">
        <v>-28713</v>
      </c>
      <c r="F8867" t="s">
        <v>1976</v>
      </c>
      <c r="G8867" t="s">
        <v>52</v>
      </c>
      <c r="H8867" t="s">
        <v>21</v>
      </c>
      <c r="I8867" t="s">
        <v>17148</v>
      </c>
      <c r="J8867" t="str">
        <f>HYPERLINK("https://www.boe.es/gazeta/dias/1821/05/20/pdfs/GMD-1821-142.pdf#page=2","Abrir facsímil")</f>
        <v>Abrir facsímil</v>
      </c>
      <c r="K8867" t="s">
        <v>23</v>
      </c>
    </row>
    <row r="8868" spans="1:11" ht="42" customHeight="1">
      <c r="A8868" t="s">
        <v>17149</v>
      </c>
      <c r="B8868" t="s">
        <v>17150</v>
      </c>
      <c r="C8868" t="s">
        <v>17</v>
      </c>
      <c r="D8868" t="s">
        <v>18</v>
      </c>
      <c r="E8868" s="6">
        <v>-28775</v>
      </c>
      <c r="F8868" t="s">
        <v>132</v>
      </c>
      <c r="G8868" t="s">
        <v>20</v>
      </c>
      <c r="H8868" t="s">
        <v>21</v>
      </c>
      <c r="I8868" t="s">
        <v>17151</v>
      </c>
      <c r="J8868" t="str">
        <f>HYPERLINK("https://www.boe.es/gazeta/dias/1821/03/19/pdfs/GMD-1821-78.pdf#page=3","Abrir facsímil")</f>
        <v>Abrir facsímil</v>
      </c>
      <c r="K8868" t="s">
        <v>23</v>
      </c>
    </row>
    <row r="8869" spans="1:11" ht="42" customHeight="1">
      <c r="A8869" t="s">
        <v>17152</v>
      </c>
      <c r="B8869" t="s">
        <v>17153</v>
      </c>
      <c r="C8869" t="s">
        <v>26</v>
      </c>
      <c r="D8869" t="s">
        <v>27</v>
      </c>
      <c r="E8869" s="6">
        <v>-28688</v>
      </c>
      <c r="F8869" t="s">
        <v>1504</v>
      </c>
      <c r="G8869" t="s">
        <v>52</v>
      </c>
      <c r="H8869" t="s">
        <v>21</v>
      </c>
      <c r="I8869" t="s">
        <v>17154</v>
      </c>
      <c r="J8869" t="str">
        <f>HYPERLINK("https://www.boe.es/gazeta/dias/1821/06/14/pdfs/GMD-1821-167.pdf#page=2","Abrir facsímil")</f>
        <v>Abrir facsímil</v>
      </c>
      <c r="K8869" t="s">
        <v>23</v>
      </c>
    </row>
    <row r="8870" spans="1:11" ht="42" customHeight="1">
      <c r="A8870" t="s">
        <v>17155</v>
      </c>
      <c r="B8870" t="s">
        <v>17156</v>
      </c>
      <c r="C8870" t="s">
        <v>17</v>
      </c>
      <c r="D8870" t="s">
        <v>18</v>
      </c>
      <c r="E8870" s="6">
        <v>-28675</v>
      </c>
      <c r="F8870" t="s">
        <v>943</v>
      </c>
      <c r="G8870" t="s">
        <v>29</v>
      </c>
      <c r="H8870" t="s">
        <v>21</v>
      </c>
      <c r="I8870" t="s">
        <v>17157</v>
      </c>
      <c r="J8870" t="str">
        <f>HYPERLINK("https://www.boe.es/gazeta/dias/1821/06/27/pdfs/GMD-1821-180.pdf#page=6","Abrir facsímil")</f>
        <v>Abrir facsímil</v>
      </c>
      <c r="K8870" t="s">
        <v>23</v>
      </c>
    </row>
    <row r="8871" spans="1:11" ht="42" customHeight="1">
      <c r="A8871" t="s">
        <v>17158</v>
      </c>
      <c r="B8871" t="s">
        <v>17159</v>
      </c>
      <c r="C8871" t="s">
        <v>17</v>
      </c>
      <c r="D8871" t="s">
        <v>18</v>
      </c>
      <c r="E8871" s="6">
        <v>-28625</v>
      </c>
      <c r="F8871" t="s">
        <v>738</v>
      </c>
      <c r="G8871" t="s">
        <v>88</v>
      </c>
      <c r="H8871" t="s">
        <v>21</v>
      </c>
      <c r="I8871" t="s">
        <v>17160</v>
      </c>
      <c r="J8871" t="str">
        <f>HYPERLINK("https://www.boe.es/gazeta/dias/1821/08/16/pdfs/GMD-1821-233.pdf#page=4","Abrir facsímil")</f>
        <v>Abrir facsímil</v>
      </c>
      <c r="K8871" t="s">
        <v>23</v>
      </c>
    </row>
    <row r="8872" spans="1:11" ht="42" customHeight="1">
      <c r="A8872" t="s">
        <v>17161</v>
      </c>
      <c r="B8872" t="s">
        <v>17162</v>
      </c>
      <c r="C8872" t="s">
        <v>17</v>
      </c>
      <c r="D8872" t="s">
        <v>18</v>
      </c>
      <c r="E8872" s="6">
        <v>-28721</v>
      </c>
      <c r="F8872" t="s">
        <v>92</v>
      </c>
      <c r="G8872" t="s">
        <v>52</v>
      </c>
      <c r="H8872" t="s">
        <v>21</v>
      </c>
      <c r="I8872" t="s">
        <v>17163</v>
      </c>
      <c r="J8872" t="str">
        <f>HYPERLINK("https://www.boe.es/gazeta/dias/1821/05/12/pdfs/GMD-1821-134.pdf#page=2","Abrir facsímil")</f>
        <v>Abrir facsímil</v>
      </c>
      <c r="K8872" t="s">
        <v>23</v>
      </c>
    </row>
    <row r="8873" spans="1:11" ht="42" customHeight="1">
      <c r="A8873" t="s">
        <v>17164</v>
      </c>
      <c r="B8873" t="s">
        <v>17165</v>
      </c>
      <c r="C8873" t="s">
        <v>40</v>
      </c>
      <c r="D8873" t="s">
        <v>41</v>
      </c>
      <c r="E8873" s="6">
        <v>-28707</v>
      </c>
      <c r="F8873" t="s">
        <v>495</v>
      </c>
      <c r="G8873" t="s">
        <v>52</v>
      </c>
      <c r="H8873" t="s">
        <v>21</v>
      </c>
      <c r="I8873" t="s">
        <v>17166</v>
      </c>
      <c r="J8873" t="str">
        <f>HYPERLINK("https://www.boe.es/gazeta/dias/1821/05/26/pdfs/GMD-1821-148.pdf#page=2","Abrir facsímil")</f>
        <v>Abrir facsímil</v>
      </c>
      <c r="K8873" t="s">
        <v>23</v>
      </c>
    </row>
    <row r="8874" spans="1:11" ht="42" customHeight="1">
      <c r="A8874" t="s">
        <v>17167</v>
      </c>
      <c r="B8874" t="s">
        <v>17168</v>
      </c>
      <c r="C8874" t="s">
        <v>35</v>
      </c>
      <c r="D8874" t="s">
        <v>27</v>
      </c>
      <c r="E8874" s="6">
        <v>-28574</v>
      </c>
      <c r="F8874" t="s">
        <v>779</v>
      </c>
      <c r="G8874" t="s">
        <v>333</v>
      </c>
      <c r="H8874" t="s">
        <v>21</v>
      </c>
      <c r="I8874" t="s">
        <v>17169</v>
      </c>
      <c r="J8874" t="str">
        <f>HYPERLINK("https://www.boe.es/gazeta/dias/1821/10/06/pdfs/GMD-1821-285.pdf#page=8","Abrir facsímil")</f>
        <v>Abrir facsímil</v>
      </c>
      <c r="K8874" t="s">
        <v>23</v>
      </c>
    </row>
    <row r="8875" spans="1:11" ht="42" customHeight="1">
      <c r="A8875" t="s">
        <v>17170</v>
      </c>
      <c r="B8875" t="s">
        <v>17170</v>
      </c>
      <c r="C8875" t="s">
        <v>40</v>
      </c>
      <c r="D8875" t="s">
        <v>41</v>
      </c>
      <c r="E8875" s="6">
        <v>-28693</v>
      </c>
      <c r="F8875" t="s">
        <v>74</v>
      </c>
      <c r="G8875" t="s">
        <v>20</v>
      </c>
      <c r="H8875" t="s">
        <v>21</v>
      </c>
      <c r="I8875" t="s">
        <v>17171</v>
      </c>
      <c r="J8875" t="str">
        <f>HYPERLINK("https://www.boe.es/gazeta/dias/1821/06/09/pdfs/GMD-1821-162.pdf#page=3","Abrir facsímil")</f>
        <v>Abrir facsímil</v>
      </c>
      <c r="K8875" t="s">
        <v>23</v>
      </c>
    </row>
    <row r="8876" spans="1:11" ht="42" customHeight="1">
      <c r="A8876" t="s">
        <v>17172</v>
      </c>
      <c r="B8876" t="s">
        <v>17172</v>
      </c>
      <c r="C8876" t="s">
        <v>17</v>
      </c>
      <c r="D8876" t="s">
        <v>18</v>
      </c>
      <c r="E8876" s="6">
        <v>-28705</v>
      </c>
      <c r="F8876" t="s">
        <v>1844</v>
      </c>
      <c r="G8876" t="s">
        <v>52</v>
      </c>
      <c r="H8876" t="s">
        <v>21</v>
      </c>
      <c r="I8876" t="s">
        <v>17173</v>
      </c>
      <c r="J8876" t="str">
        <f>HYPERLINK("https://www.boe.es/gazeta/dias/1821/05/28/pdfs/GMD-1821-150.pdf#page=2","Abrir facsímil")</f>
        <v>Abrir facsímil</v>
      </c>
      <c r="K8876" t="s">
        <v>23</v>
      </c>
    </row>
    <row r="8877" spans="1:11" ht="42" customHeight="1">
      <c r="A8877" t="s">
        <v>17174</v>
      </c>
      <c r="B8877" t="s">
        <v>17175</v>
      </c>
      <c r="C8877" t="s">
        <v>17</v>
      </c>
      <c r="D8877" t="s">
        <v>18</v>
      </c>
      <c r="E8877" s="6">
        <v>-28551</v>
      </c>
      <c r="F8877" t="s">
        <v>542</v>
      </c>
      <c r="G8877" t="s">
        <v>88</v>
      </c>
      <c r="H8877" t="s">
        <v>21</v>
      </c>
      <c r="I8877" t="s">
        <v>17176</v>
      </c>
      <c r="J8877" t="str">
        <f>HYPERLINK("https://www.boe.es/gazeta/dias/1821/10/29/pdfs/GMD-1821-308.pdf#page=4","Abrir facsímil")</f>
        <v>Abrir facsímil</v>
      </c>
      <c r="K8877" t="s">
        <v>23</v>
      </c>
    </row>
    <row r="8878" spans="1:11" ht="42" customHeight="1">
      <c r="A8878" t="s">
        <v>17177</v>
      </c>
      <c r="B8878" t="s">
        <v>17177</v>
      </c>
      <c r="C8878" t="s">
        <v>17</v>
      </c>
      <c r="D8878" t="s">
        <v>18</v>
      </c>
      <c r="E8878" s="6">
        <v>-28844</v>
      </c>
      <c r="F8878" t="s">
        <v>1743</v>
      </c>
      <c r="G8878" t="s">
        <v>29</v>
      </c>
      <c r="H8878" t="s">
        <v>21</v>
      </c>
      <c r="I8878" t="s">
        <v>17178</v>
      </c>
      <c r="J8878" t="str">
        <f>HYPERLINK("https://www.boe.es/gazeta/dias/1821/01/09/pdfs/GGB-1821-9.pdf#page=6","Abrir facsímil")</f>
        <v>Abrir facsímil</v>
      </c>
      <c r="K8878" t="s">
        <v>23</v>
      </c>
    </row>
    <row r="8879" spans="1:11" ht="42" customHeight="1">
      <c r="A8879" t="s">
        <v>17177</v>
      </c>
      <c r="B8879" t="s">
        <v>17177</v>
      </c>
      <c r="C8879" t="s">
        <v>40</v>
      </c>
      <c r="D8879" t="s">
        <v>41</v>
      </c>
      <c r="E8879" s="6">
        <v>-28817</v>
      </c>
      <c r="F8879" t="s">
        <v>2703</v>
      </c>
      <c r="G8879" t="s">
        <v>20</v>
      </c>
      <c r="H8879" t="s">
        <v>21</v>
      </c>
      <c r="I8879" t="s">
        <v>17179</v>
      </c>
      <c r="J8879" t="str">
        <f>HYPERLINK("https://www.boe.es/gazeta/dias/1821/02/05/pdfs/GGB-1821-36.pdf#page=3","Abrir facsímil")</f>
        <v>Abrir facsímil</v>
      </c>
      <c r="K8879" t="s">
        <v>23</v>
      </c>
    </row>
    <row r="8880" spans="1:11" ht="42" customHeight="1">
      <c r="A8880" t="s">
        <v>17177</v>
      </c>
      <c r="B8880" t="s">
        <v>17177</v>
      </c>
      <c r="C8880" t="s">
        <v>114</v>
      </c>
      <c r="D8880" t="s">
        <v>27</v>
      </c>
      <c r="E8880" s="6">
        <v>-28810</v>
      </c>
      <c r="F8880" t="s">
        <v>308</v>
      </c>
      <c r="G8880" t="s">
        <v>88</v>
      </c>
      <c r="H8880" t="s">
        <v>21</v>
      </c>
      <c r="I8880" t="s">
        <v>17180</v>
      </c>
      <c r="J8880" t="str">
        <f>HYPERLINK("https://www.boe.es/gazeta/dias/1821/02/12/pdfs/GGB-1821-43.pdf#page=4","Abrir facsímil")</f>
        <v>Abrir facsímil</v>
      </c>
      <c r="K8880" t="s">
        <v>23</v>
      </c>
    </row>
    <row r="8881" spans="1:11" ht="42" customHeight="1">
      <c r="A8881" t="s">
        <v>17177</v>
      </c>
      <c r="B8881" t="s">
        <v>17177</v>
      </c>
      <c r="C8881" t="s">
        <v>17</v>
      </c>
      <c r="D8881" t="s">
        <v>18</v>
      </c>
      <c r="E8881" s="6">
        <v>-28801</v>
      </c>
      <c r="F8881" t="s">
        <v>378</v>
      </c>
      <c r="G8881" t="s">
        <v>20</v>
      </c>
      <c r="H8881" t="s">
        <v>21</v>
      </c>
      <c r="I8881" t="s">
        <v>17181</v>
      </c>
      <c r="J8881" t="str">
        <f>HYPERLINK("https://www.boe.es/gazeta/dias/1821/02/21/pdfs/GGB-1821-52.pdf#page=3","Abrir facsímil")</f>
        <v>Abrir facsímil</v>
      </c>
      <c r="K8881" t="s">
        <v>23</v>
      </c>
    </row>
    <row r="8882" spans="1:11" ht="42" customHeight="1">
      <c r="A8882" t="s">
        <v>17177</v>
      </c>
      <c r="B8882" t="s">
        <v>17177</v>
      </c>
      <c r="C8882" t="s">
        <v>40</v>
      </c>
      <c r="D8882" t="s">
        <v>41</v>
      </c>
      <c r="E8882" s="6">
        <v>-28788</v>
      </c>
      <c r="F8882" t="s">
        <v>996</v>
      </c>
      <c r="G8882" t="s">
        <v>88</v>
      </c>
      <c r="H8882" t="s">
        <v>21</v>
      </c>
      <c r="I8882" t="s">
        <v>17182</v>
      </c>
      <c r="J8882" t="str">
        <f>HYPERLINK("https://www.boe.es/gazeta/dias/1821/03/06/pdfs/GGB-1821-65.pdf#page=4","Abrir facsímil")</f>
        <v>Abrir facsímil</v>
      </c>
      <c r="K8882" t="s">
        <v>23</v>
      </c>
    </row>
    <row r="8883" spans="1:11" ht="42" customHeight="1">
      <c r="A8883" t="s">
        <v>17177</v>
      </c>
      <c r="B8883" t="s">
        <v>17177</v>
      </c>
      <c r="C8883" t="s">
        <v>70</v>
      </c>
      <c r="D8883" t="s">
        <v>27</v>
      </c>
      <c r="E8883" s="6">
        <v>-28786</v>
      </c>
      <c r="F8883" t="s">
        <v>1933</v>
      </c>
      <c r="G8883" t="s">
        <v>88</v>
      </c>
      <c r="H8883" t="s">
        <v>21</v>
      </c>
      <c r="I8883" t="s">
        <v>17183</v>
      </c>
      <c r="J8883" t="str">
        <f>HYPERLINK("https://www.boe.es/gazeta/dias/1821/03/08/pdfs/GGB-1821-67.pdf#page=4","Abrir facsímil")</f>
        <v>Abrir facsímil</v>
      </c>
      <c r="K8883" t="s">
        <v>23</v>
      </c>
    </row>
    <row r="8884" spans="1:11" ht="42" customHeight="1">
      <c r="A8884" t="s">
        <v>17177</v>
      </c>
      <c r="B8884" t="s">
        <v>17177</v>
      </c>
      <c r="C8884" t="s">
        <v>35</v>
      </c>
      <c r="D8884" t="s">
        <v>27</v>
      </c>
      <c r="E8884" s="6">
        <v>-28785</v>
      </c>
      <c r="F8884" t="s">
        <v>1935</v>
      </c>
      <c r="G8884" t="s">
        <v>20</v>
      </c>
      <c r="H8884" t="s">
        <v>21</v>
      </c>
      <c r="I8884" t="s">
        <v>17184</v>
      </c>
      <c r="J8884" t="str">
        <f>HYPERLINK("https://www.boe.es/gazeta/dias/1821/03/09/pdfs/GGB-1821-68.pdf#page=3","Abrir facsímil")</f>
        <v>Abrir facsímil</v>
      </c>
      <c r="K8884" t="s">
        <v>23</v>
      </c>
    </row>
    <row r="8885" spans="1:11" ht="42" customHeight="1">
      <c r="A8885" t="s">
        <v>17177</v>
      </c>
      <c r="B8885" t="s">
        <v>17177</v>
      </c>
      <c r="C8885" t="s">
        <v>70</v>
      </c>
      <c r="D8885" t="s">
        <v>27</v>
      </c>
      <c r="E8885" s="6">
        <v>-28780</v>
      </c>
      <c r="F8885" t="s">
        <v>143</v>
      </c>
      <c r="G8885" t="s">
        <v>52</v>
      </c>
      <c r="H8885" t="s">
        <v>21</v>
      </c>
      <c r="I8885" t="s">
        <v>17185</v>
      </c>
      <c r="J8885" t="str">
        <f>HYPERLINK("https://www.boe.es/gazeta/dias/1821/03/14/pdfs/GMD-1821-73.pdf#page=2","Abrir facsímil")</f>
        <v>Abrir facsímil</v>
      </c>
      <c r="K8885" t="s">
        <v>23</v>
      </c>
    </row>
    <row r="8886" spans="1:11" ht="42" customHeight="1">
      <c r="A8886" t="s">
        <v>17177</v>
      </c>
      <c r="B8886" t="s">
        <v>17177</v>
      </c>
      <c r="C8886" t="s">
        <v>17</v>
      </c>
      <c r="D8886" t="s">
        <v>18</v>
      </c>
      <c r="E8886" s="6">
        <v>-28755</v>
      </c>
      <c r="F8886" t="s">
        <v>906</v>
      </c>
      <c r="G8886" t="s">
        <v>907</v>
      </c>
      <c r="H8886" t="s">
        <v>21</v>
      </c>
      <c r="I8886" t="s">
        <v>17186</v>
      </c>
      <c r="J8886" t="str">
        <f>HYPERLINK("https://www.boe.es/gazeta/dias/1821/04/08/pdfs/GMD-1821-100.pdf#page=4","Abrir facsímil")</f>
        <v>Abrir facsímil</v>
      </c>
      <c r="K8886" t="s">
        <v>23</v>
      </c>
    </row>
    <row r="8887" spans="1:11" ht="42" customHeight="1">
      <c r="A8887" t="s">
        <v>17177</v>
      </c>
      <c r="B8887" t="s">
        <v>17177</v>
      </c>
      <c r="C8887" t="s">
        <v>17</v>
      </c>
      <c r="D8887" t="s">
        <v>18</v>
      </c>
      <c r="E8887" s="6">
        <v>-28711</v>
      </c>
      <c r="F8887" t="s">
        <v>1048</v>
      </c>
      <c r="G8887" t="s">
        <v>88</v>
      </c>
      <c r="H8887" t="s">
        <v>21</v>
      </c>
      <c r="I8887" t="s">
        <v>17187</v>
      </c>
      <c r="J8887" t="str">
        <f>HYPERLINK("https://www.boe.es/gazeta/dias/1821/05/22/pdfs/GMD-1821-144.pdf#page=4","Abrir facsímil")</f>
        <v>Abrir facsímil</v>
      </c>
      <c r="K8887" t="s">
        <v>23</v>
      </c>
    </row>
    <row r="8888" spans="1:11" ht="42" customHeight="1">
      <c r="A8888" t="s">
        <v>17177</v>
      </c>
      <c r="B8888" t="s">
        <v>17177</v>
      </c>
      <c r="C8888" t="s">
        <v>40</v>
      </c>
      <c r="D8888" t="s">
        <v>41</v>
      </c>
      <c r="E8888" s="6">
        <v>-28704</v>
      </c>
      <c r="F8888" t="s">
        <v>1050</v>
      </c>
      <c r="G8888" t="s">
        <v>88</v>
      </c>
      <c r="H8888" t="s">
        <v>21</v>
      </c>
      <c r="I8888" t="s">
        <v>17188</v>
      </c>
      <c r="J8888" t="str">
        <f>HYPERLINK("https://www.boe.es/gazeta/dias/1821/05/29/pdfs/GMD-1821-151.pdf#page=4","Abrir facsímil")</f>
        <v>Abrir facsímil</v>
      </c>
      <c r="K8888" t="s">
        <v>23</v>
      </c>
    </row>
    <row r="8889" spans="1:11" ht="42" customHeight="1">
      <c r="A8889" t="s">
        <v>17177</v>
      </c>
      <c r="B8889" t="s">
        <v>17177</v>
      </c>
      <c r="C8889" t="s">
        <v>40</v>
      </c>
      <c r="D8889" t="s">
        <v>41</v>
      </c>
      <c r="E8889" s="6">
        <v>-28674</v>
      </c>
      <c r="F8889" t="s">
        <v>536</v>
      </c>
      <c r="G8889" t="s">
        <v>29</v>
      </c>
      <c r="H8889" t="s">
        <v>21</v>
      </c>
      <c r="I8889" t="s">
        <v>17189</v>
      </c>
      <c r="J8889" t="str">
        <f>HYPERLINK("https://www.boe.es/gazeta/dias/1821/06/28/pdfs/GMD-1821-181.pdf#page=6","Abrir facsímil")</f>
        <v>Abrir facsímil</v>
      </c>
      <c r="K8889" t="s">
        <v>23</v>
      </c>
    </row>
    <row r="8890" spans="1:11" ht="42" customHeight="1">
      <c r="A8890" t="s">
        <v>17177</v>
      </c>
      <c r="B8890" t="s">
        <v>17177</v>
      </c>
      <c r="C8890" t="s">
        <v>26</v>
      </c>
      <c r="D8890" t="s">
        <v>27</v>
      </c>
      <c r="E8890" s="6">
        <v>-28657</v>
      </c>
      <c r="F8890" t="s">
        <v>5977</v>
      </c>
      <c r="G8890" t="s">
        <v>88</v>
      </c>
      <c r="H8890" t="s">
        <v>21</v>
      </c>
      <c r="I8890" t="s">
        <v>17190</v>
      </c>
      <c r="J8890" t="str">
        <f>HYPERLINK("https://www.boe.es/gazeta/dias/1821/07/15/pdfs/GMD-1821-200.pdf#page=4","Abrir facsímil")</f>
        <v>Abrir facsímil</v>
      </c>
      <c r="K8890" t="s">
        <v>23</v>
      </c>
    </row>
    <row r="8891" spans="1:11" ht="42" customHeight="1">
      <c r="A8891" t="s">
        <v>17177</v>
      </c>
      <c r="B8891" t="s">
        <v>17177</v>
      </c>
      <c r="C8891" t="s">
        <v>35</v>
      </c>
      <c r="D8891" t="s">
        <v>27</v>
      </c>
      <c r="E8891" s="6">
        <v>-28565</v>
      </c>
      <c r="F8891" t="s">
        <v>326</v>
      </c>
      <c r="G8891" t="s">
        <v>52</v>
      </c>
      <c r="H8891" t="s">
        <v>21</v>
      </c>
      <c r="I8891" t="s">
        <v>17191</v>
      </c>
      <c r="J8891" t="str">
        <f>HYPERLINK("https://www.boe.es/gazeta/dias/1821/10/15/pdfs/GMD-1821-294.pdf#page=2","Abrir facsímil")</f>
        <v>Abrir facsímil</v>
      </c>
      <c r="K8891" t="s">
        <v>23</v>
      </c>
    </row>
    <row r="8892" spans="1:11" ht="42" customHeight="1">
      <c r="A8892" t="s">
        <v>17177</v>
      </c>
      <c r="B8892" t="s">
        <v>17177</v>
      </c>
      <c r="C8892" t="s">
        <v>114</v>
      </c>
      <c r="D8892" t="s">
        <v>27</v>
      </c>
      <c r="E8892" s="6">
        <v>-28561</v>
      </c>
      <c r="F8892" t="s">
        <v>240</v>
      </c>
      <c r="G8892" t="s">
        <v>29</v>
      </c>
      <c r="H8892" t="s">
        <v>21</v>
      </c>
      <c r="I8892" t="s">
        <v>17192</v>
      </c>
      <c r="J8892" t="str">
        <f>HYPERLINK("https://www.boe.es/gazeta/dias/1821/10/19/pdfs/GMD-1821-298.pdf#page=6","Abrir facsímil")</f>
        <v>Abrir facsímil</v>
      </c>
      <c r="K8892" t="s">
        <v>23</v>
      </c>
    </row>
    <row r="8893" spans="1:11" ht="42" customHeight="1">
      <c r="A8893" t="s">
        <v>17177</v>
      </c>
      <c r="B8893" t="s">
        <v>17177</v>
      </c>
      <c r="C8893" t="s">
        <v>40</v>
      </c>
      <c r="D8893" t="s">
        <v>41</v>
      </c>
      <c r="E8893" s="6">
        <v>-28535</v>
      </c>
      <c r="F8893" t="s">
        <v>96</v>
      </c>
      <c r="G8893" t="s">
        <v>162</v>
      </c>
      <c r="H8893" t="s">
        <v>21</v>
      </c>
      <c r="I8893" t="s">
        <v>17193</v>
      </c>
      <c r="J8893" t="str">
        <f>HYPERLINK("https://www.boe.es/gazeta/dias/1821/11/14/pdfs/GMD-1821-325.pdf#page=5","Abrir facsímil")</f>
        <v>Abrir facsímil</v>
      </c>
      <c r="K8893" t="s">
        <v>23</v>
      </c>
    </row>
    <row r="8894" spans="1:11" ht="42" customHeight="1">
      <c r="A8894" t="s">
        <v>17177</v>
      </c>
      <c r="B8894" t="s">
        <v>17177</v>
      </c>
      <c r="C8894" t="s">
        <v>17</v>
      </c>
      <c r="D8894" t="s">
        <v>18</v>
      </c>
      <c r="E8894" s="6">
        <v>-28531</v>
      </c>
      <c r="F8894" t="s">
        <v>365</v>
      </c>
      <c r="G8894" t="s">
        <v>20</v>
      </c>
      <c r="H8894" t="s">
        <v>21</v>
      </c>
      <c r="I8894" t="s">
        <v>17194</v>
      </c>
      <c r="J8894" t="str">
        <f>HYPERLINK("https://www.boe.es/gazeta/dias/1821/11/18/pdfs/GMD-1821-329.pdf#page=3","Abrir facsímil")</f>
        <v>Abrir facsímil</v>
      </c>
      <c r="K8894" t="s">
        <v>23</v>
      </c>
    </row>
    <row r="8895" spans="1:11" ht="42" customHeight="1">
      <c r="A8895" t="s">
        <v>17177</v>
      </c>
      <c r="B8895" t="s">
        <v>17177</v>
      </c>
      <c r="C8895" t="s">
        <v>40</v>
      </c>
      <c r="D8895" t="s">
        <v>41</v>
      </c>
      <c r="E8895" s="6">
        <v>-28511</v>
      </c>
      <c r="F8895" t="s">
        <v>340</v>
      </c>
      <c r="G8895" t="s">
        <v>52</v>
      </c>
      <c r="H8895" t="s">
        <v>21</v>
      </c>
      <c r="I8895" t="s">
        <v>17195</v>
      </c>
      <c r="J8895" t="str">
        <f>HYPERLINK("https://www.boe.es/gazeta/dias/1821/12/08/pdfs/GMD-1821-350.pdf#page=2","Abrir facsímil")</f>
        <v>Abrir facsímil</v>
      </c>
      <c r="K8895" t="s">
        <v>23</v>
      </c>
    </row>
    <row r="8896" spans="1:11" ht="42" customHeight="1">
      <c r="A8896" t="s">
        <v>17196</v>
      </c>
      <c r="B8896" t="s">
        <v>17197</v>
      </c>
      <c r="C8896" t="s">
        <v>17</v>
      </c>
      <c r="D8896" t="s">
        <v>18</v>
      </c>
      <c r="E8896" s="6">
        <v>-28698</v>
      </c>
      <c r="F8896" t="s">
        <v>2067</v>
      </c>
      <c r="G8896" t="s">
        <v>88</v>
      </c>
      <c r="H8896" t="s">
        <v>21</v>
      </c>
      <c r="I8896" t="s">
        <v>17198</v>
      </c>
      <c r="J8896" t="str">
        <f>HYPERLINK("https://www.boe.es/gazeta/dias/1821/06/04/pdfs/GMD-1821-157.pdf#page=4","Abrir facsímil")</f>
        <v>Abrir facsímil</v>
      </c>
      <c r="K8896" t="s">
        <v>23</v>
      </c>
    </row>
    <row r="8897" spans="1:11" ht="42" customHeight="1">
      <c r="A8897" t="s">
        <v>17199</v>
      </c>
      <c r="B8897" t="s">
        <v>17200</v>
      </c>
      <c r="C8897" t="s">
        <v>40</v>
      </c>
      <c r="D8897" t="s">
        <v>41</v>
      </c>
      <c r="E8897" s="6">
        <v>-28696</v>
      </c>
      <c r="F8897" t="s">
        <v>497</v>
      </c>
      <c r="G8897" t="s">
        <v>52</v>
      </c>
      <c r="H8897" t="s">
        <v>21</v>
      </c>
      <c r="I8897" t="s">
        <v>17201</v>
      </c>
      <c r="J8897" t="str">
        <f>HYPERLINK("https://www.boe.es/gazeta/dias/1821/06/06/pdfs/GMD-1821-159.pdf#page=2","Abrir facsímil")</f>
        <v>Abrir facsímil</v>
      </c>
      <c r="K8897" t="s">
        <v>23</v>
      </c>
    </row>
    <row r="8898" spans="1:11" ht="42" customHeight="1">
      <c r="A8898" t="s">
        <v>17202</v>
      </c>
      <c r="B8898" t="s">
        <v>17203</v>
      </c>
      <c r="C8898" t="s">
        <v>40</v>
      </c>
      <c r="D8898" t="s">
        <v>41</v>
      </c>
      <c r="E8898" s="6">
        <v>-28793</v>
      </c>
      <c r="F8898" t="s">
        <v>157</v>
      </c>
      <c r="G8898" t="s">
        <v>162</v>
      </c>
      <c r="H8898" t="s">
        <v>21</v>
      </c>
      <c r="I8898" t="s">
        <v>17204</v>
      </c>
      <c r="J8898" t="str">
        <f>HYPERLINK("https://www.boe.es/gazeta/dias/1821/03/01/pdfs/GGB-1821-60.pdf#page=5","Abrir facsímil")</f>
        <v>Abrir facsímil</v>
      </c>
      <c r="K8898" t="s">
        <v>23</v>
      </c>
    </row>
    <row r="8899" spans="1:11" ht="42" customHeight="1">
      <c r="A8899" t="s">
        <v>17205</v>
      </c>
      <c r="B8899" t="s">
        <v>17205</v>
      </c>
      <c r="C8899" t="s">
        <v>35</v>
      </c>
      <c r="D8899" t="s">
        <v>27</v>
      </c>
      <c r="E8899" s="6">
        <v>-28693</v>
      </c>
      <c r="F8899" t="s">
        <v>74</v>
      </c>
      <c r="G8899" t="s">
        <v>20</v>
      </c>
      <c r="H8899" t="s">
        <v>21</v>
      </c>
      <c r="I8899" t="s">
        <v>17206</v>
      </c>
      <c r="J8899" t="str">
        <f>HYPERLINK("https://www.boe.es/gazeta/dias/1821/06/09/pdfs/GMD-1821-162.pdf#page=3","Abrir facsímil")</f>
        <v>Abrir facsímil</v>
      </c>
      <c r="K8899" t="s">
        <v>23</v>
      </c>
    </row>
    <row r="8900" spans="1:11" ht="42" customHeight="1">
      <c r="A8900" t="s">
        <v>17207</v>
      </c>
      <c r="B8900" t="s">
        <v>17207</v>
      </c>
      <c r="C8900" t="s">
        <v>26</v>
      </c>
      <c r="D8900" t="s">
        <v>27</v>
      </c>
      <c r="E8900" s="6">
        <v>-28496</v>
      </c>
      <c r="F8900" t="s">
        <v>785</v>
      </c>
      <c r="G8900" t="s">
        <v>52</v>
      </c>
      <c r="H8900" t="s">
        <v>21</v>
      </c>
      <c r="I8900" t="s">
        <v>17208</v>
      </c>
      <c r="J8900" t="str">
        <f>HYPERLINK("https://www.boe.es/gazeta/dias/1821/12/23/pdfs/GMD-1821-366.pdf#page=2","Abrir facsímil")</f>
        <v>Abrir facsímil</v>
      </c>
      <c r="K8900" t="s">
        <v>23</v>
      </c>
    </row>
    <row r="8901" spans="1:11" ht="42" customHeight="1">
      <c r="A8901" t="s">
        <v>17209</v>
      </c>
      <c r="B8901" t="s">
        <v>17209</v>
      </c>
      <c r="C8901" t="s">
        <v>40</v>
      </c>
      <c r="D8901" t="s">
        <v>41</v>
      </c>
      <c r="E8901" s="6">
        <v>-28752</v>
      </c>
      <c r="F8901" t="s">
        <v>1012</v>
      </c>
      <c r="G8901" t="s">
        <v>52</v>
      </c>
      <c r="H8901" t="s">
        <v>21</v>
      </c>
      <c r="I8901" t="s">
        <v>17210</v>
      </c>
      <c r="J8901" t="str">
        <f>HYPERLINK("https://www.boe.es/gazeta/dias/1821/04/11/pdfs/GMD-1821-103.pdf#page=2","Abrir facsímil")</f>
        <v>Abrir facsímil</v>
      </c>
      <c r="K8901" t="s">
        <v>23</v>
      </c>
    </row>
    <row r="8902" spans="1:11" ht="42" customHeight="1">
      <c r="A8902" t="s">
        <v>17209</v>
      </c>
      <c r="B8902" t="s">
        <v>17209</v>
      </c>
      <c r="C8902" t="s">
        <v>40</v>
      </c>
      <c r="D8902" t="s">
        <v>41</v>
      </c>
      <c r="E8902" s="6">
        <v>-28751</v>
      </c>
      <c r="F8902" t="s">
        <v>356</v>
      </c>
      <c r="G8902" t="s">
        <v>20</v>
      </c>
      <c r="H8902" t="s">
        <v>21</v>
      </c>
      <c r="I8902" t="s">
        <v>17211</v>
      </c>
      <c r="J8902" t="str">
        <f>HYPERLINK("https://www.boe.es/gazeta/dias/1821/04/12/pdfs/GMD-1821-104.pdf#page=3","Abrir facsímil")</f>
        <v>Abrir facsímil</v>
      </c>
      <c r="K8902" t="s">
        <v>23</v>
      </c>
    </row>
    <row r="8903" spans="1:11" ht="42" customHeight="1">
      <c r="A8903" t="s">
        <v>17209</v>
      </c>
      <c r="B8903" t="s">
        <v>17209</v>
      </c>
      <c r="C8903" t="s">
        <v>26</v>
      </c>
      <c r="D8903" t="s">
        <v>27</v>
      </c>
      <c r="E8903" s="6">
        <v>-28748</v>
      </c>
      <c r="F8903" t="s">
        <v>634</v>
      </c>
      <c r="G8903" t="s">
        <v>52</v>
      </c>
      <c r="H8903" t="s">
        <v>21</v>
      </c>
      <c r="I8903" t="s">
        <v>17212</v>
      </c>
      <c r="J8903" t="str">
        <f>HYPERLINK("https://www.boe.es/gazeta/dias/1821/04/15/pdfs/GMD-1821-107.pdf#page=2","Abrir facsímil")</f>
        <v>Abrir facsímil</v>
      </c>
      <c r="K8903" t="s">
        <v>23</v>
      </c>
    </row>
    <row r="8904" spans="1:11" ht="42" customHeight="1">
      <c r="A8904" t="s">
        <v>17209</v>
      </c>
      <c r="B8904" t="s">
        <v>17209</v>
      </c>
      <c r="C8904" t="s">
        <v>40</v>
      </c>
      <c r="D8904" t="s">
        <v>41</v>
      </c>
      <c r="E8904" s="6">
        <v>-28718</v>
      </c>
      <c r="F8904" t="s">
        <v>583</v>
      </c>
      <c r="G8904" t="s">
        <v>20</v>
      </c>
      <c r="H8904" t="s">
        <v>21</v>
      </c>
      <c r="I8904" t="s">
        <v>17213</v>
      </c>
      <c r="J8904" t="str">
        <f>HYPERLINK("https://www.boe.es/gazeta/dias/1821/05/15/pdfs/GMD-1821-137.pdf#page=3","Abrir facsímil")</f>
        <v>Abrir facsímil</v>
      </c>
      <c r="K8904" t="s">
        <v>23</v>
      </c>
    </row>
    <row r="8905" spans="1:11" ht="42" customHeight="1">
      <c r="A8905" t="s">
        <v>17209</v>
      </c>
      <c r="B8905" t="s">
        <v>17209</v>
      </c>
      <c r="C8905" t="s">
        <v>17</v>
      </c>
      <c r="D8905" t="s">
        <v>18</v>
      </c>
      <c r="E8905" s="6">
        <v>-28714</v>
      </c>
      <c r="F8905" t="s">
        <v>522</v>
      </c>
      <c r="G8905" t="s">
        <v>52</v>
      </c>
      <c r="H8905" t="s">
        <v>21</v>
      </c>
      <c r="I8905" t="s">
        <v>17214</v>
      </c>
      <c r="J8905" t="str">
        <f>HYPERLINK("https://www.boe.es/gazeta/dias/1821/05/19/pdfs/GMD-1821-141.pdf#page=2","Abrir facsímil")</f>
        <v>Abrir facsímil</v>
      </c>
      <c r="K8905" t="s">
        <v>23</v>
      </c>
    </row>
    <row r="8906" spans="1:11" ht="42" customHeight="1">
      <c r="A8906" t="s">
        <v>17209</v>
      </c>
      <c r="B8906" t="s">
        <v>17209</v>
      </c>
      <c r="C8906" t="s">
        <v>26</v>
      </c>
      <c r="D8906" t="s">
        <v>27</v>
      </c>
      <c r="E8906" s="6">
        <v>-28698</v>
      </c>
      <c r="F8906" t="s">
        <v>2067</v>
      </c>
      <c r="G8906" t="s">
        <v>20</v>
      </c>
      <c r="H8906" t="s">
        <v>21</v>
      </c>
      <c r="I8906" t="s">
        <v>17215</v>
      </c>
      <c r="J8906" t="str">
        <f>HYPERLINK("https://www.boe.es/gazeta/dias/1821/06/04/pdfs/GMD-1821-157.pdf#page=3","Abrir facsímil")</f>
        <v>Abrir facsímil</v>
      </c>
      <c r="K8906" t="s">
        <v>23</v>
      </c>
    </row>
    <row r="8907" spans="1:11" ht="42" customHeight="1">
      <c r="A8907" t="s">
        <v>17209</v>
      </c>
      <c r="B8907" t="s">
        <v>17209</v>
      </c>
      <c r="C8907" t="s">
        <v>40</v>
      </c>
      <c r="D8907" t="s">
        <v>41</v>
      </c>
      <c r="E8907" s="6">
        <v>-28693</v>
      </c>
      <c r="F8907" t="s">
        <v>74</v>
      </c>
      <c r="G8907" t="s">
        <v>20</v>
      </c>
      <c r="H8907" t="s">
        <v>21</v>
      </c>
      <c r="I8907" t="s">
        <v>17216</v>
      </c>
      <c r="J8907" t="str">
        <f>HYPERLINK("https://www.boe.es/gazeta/dias/1821/06/09/pdfs/GMD-1821-162.pdf#page=3","Abrir facsímil")</f>
        <v>Abrir facsímil</v>
      </c>
      <c r="K8907" t="s">
        <v>23</v>
      </c>
    </row>
    <row r="8908" spans="1:11" ht="42" customHeight="1">
      <c r="A8908" t="s">
        <v>17209</v>
      </c>
      <c r="B8908" t="s">
        <v>17209</v>
      </c>
      <c r="C8908" t="s">
        <v>40</v>
      </c>
      <c r="D8908" t="s">
        <v>41</v>
      </c>
      <c r="E8908" s="6">
        <v>-28689</v>
      </c>
      <c r="F8908" t="s">
        <v>194</v>
      </c>
      <c r="G8908" t="s">
        <v>205</v>
      </c>
      <c r="H8908" t="s">
        <v>21</v>
      </c>
      <c r="I8908" t="s">
        <v>17217</v>
      </c>
      <c r="J8908" t="str">
        <f>HYPERLINK("https://www.boe.es/gazeta/dias/1821/06/13/pdfs/GMD-1821-166.pdf#page=6","Abrir facsímil")</f>
        <v>Abrir facsímil</v>
      </c>
      <c r="K8908" t="s">
        <v>23</v>
      </c>
    </row>
    <row r="8909" spans="1:11" ht="42" customHeight="1">
      <c r="A8909" t="s">
        <v>17218</v>
      </c>
      <c r="B8909" t="s">
        <v>17218</v>
      </c>
      <c r="C8909" t="s">
        <v>26</v>
      </c>
      <c r="D8909" t="s">
        <v>27</v>
      </c>
      <c r="E8909" s="6">
        <v>-28686</v>
      </c>
      <c r="F8909" t="s">
        <v>115</v>
      </c>
      <c r="G8909" t="s">
        <v>52</v>
      </c>
      <c r="H8909" t="s">
        <v>21</v>
      </c>
      <c r="I8909" t="s">
        <v>17219</v>
      </c>
      <c r="J8909" t="str">
        <f>HYPERLINK("https://www.boe.es/gazeta/dias/1821/06/16/pdfs/GMD-1821-169.pdf#page=2","Abrir facsímil")</f>
        <v>Abrir facsímil</v>
      </c>
      <c r="K8909" t="s">
        <v>23</v>
      </c>
    </row>
    <row r="8910" spans="1:11" ht="42" customHeight="1">
      <c r="A8910" t="s">
        <v>17209</v>
      </c>
      <c r="B8910" t="s">
        <v>17209</v>
      </c>
      <c r="C8910" t="s">
        <v>17</v>
      </c>
      <c r="D8910" t="s">
        <v>18</v>
      </c>
      <c r="E8910" s="6">
        <v>-28682</v>
      </c>
      <c r="F8910" t="s">
        <v>1064</v>
      </c>
      <c r="G8910" t="s">
        <v>162</v>
      </c>
      <c r="H8910" t="s">
        <v>21</v>
      </c>
      <c r="I8910" t="s">
        <v>17220</v>
      </c>
      <c r="J8910" t="str">
        <f>HYPERLINK("https://www.boe.es/gazeta/dias/1821/06/20/pdfs/GMD-1821-173.pdf#page=5","Abrir facsímil")</f>
        <v>Abrir facsímil</v>
      </c>
      <c r="K8910" t="s">
        <v>23</v>
      </c>
    </row>
    <row r="8911" spans="1:11" ht="42" customHeight="1">
      <c r="A8911" t="s">
        <v>17209</v>
      </c>
      <c r="B8911" t="s">
        <v>17209</v>
      </c>
      <c r="C8911" t="s">
        <v>26</v>
      </c>
      <c r="D8911" t="s">
        <v>27</v>
      </c>
      <c r="E8911" s="6">
        <v>-28578</v>
      </c>
      <c r="F8911" t="s">
        <v>899</v>
      </c>
      <c r="G8911" t="s">
        <v>20</v>
      </c>
      <c r="H8911" t="s">
        <v>21</v>
      </c>
      <c r="I8911" t="s">
        <v>17221</v>
      </c>
      <c r="J8911" t="str">
        <f>HYPERLINK("https://www.boe.es/gazeta/dias/1821/10/02/pdfs/GMD-1821-281.pdf#page=3","Abrir facsímil")</f>
        <v>Abrir facsímil</v>
      </c>
      <c r="K8911" t="s">
        <v>23</v>
      </c>
    </row>
    <row r="8912" spans="1:11" ht="42" customHeight="1">
      <c r="A8912" t="s">
        <v>17209</v>
      </c>
      <c r="B8912" t="s">
        <v>17209</v>
      </c>
      <c r="C8912" t="s">
        <v>26</v>
      </c>
      <c r="D8912" t="s">
        <v>27</v>
      </c>
      <c r="E8912" s="6">
        <v>-28576</v>
      </c>
      <c r="F8912" t="s">
        <v>1924</v>
      </c>
      <c r="G8912" t="s">
        <v>52</v>
      </c>
      <c r="H8912" t="s">
        <v>21</v>
      </c>
      <c r="I8912" t="s">
        <v>17222</v>
      </c>
      <c r="J8912" t="str">
        <f>HYPERLINK("https://www.boe.es/gazeta/dias/1821/10/04/pdfs/GMD-1821-283.pdf#page=2","Abrir facsímil")</f>
        <v>Abrir facsímil</v>
      </c>
      <c r="K8912" t="s">
        <v>23</v>
      </c>
    </row>
    <row r="8913" spans="1:11" ht="42" customHeight="1">
      <c r="A8913" t="s">
        <v>17209</v>
      </c>
      <c r="B8913" t="s">
        <v>17209</v>
      </c>
      <c r="C8913" t="s">
        <v>17</v>
      </c>
      <c r="D8913" t="s">
        <v>18</v>
      </c>
      <c r="E8913" s="6">
        <v>-28573</v>
      </c>
      <c r="F8913" t="s">
        <v>19</v>
      </c>
      <c r="G8913" t="s">
        <v>20</v>
      </c>
      <c r="H8913" t="s">
        <v>21</v>
      </c>
      <c r="I8913" t="s">
        <v>17223</v>
      </c>
      <c r="J8913" t="str">
        <f>HYPERLINK("https://www.boe.es/gazeta/dias/1821/10/07/pdfs/GMD-1821-286.pdf#page=3","Abrir facsímil")</f>
        <v>Abrir facsímil</v>
      </c>
      <c r="K8913" t="s">
        <v>23</v>
      </c>
    </row>
    <row r="8914" spans="1:11" ht="42" customHeight="1">
      <c r="A8914" t="s">
        <v>17209</v>
      </c>
      <c r="B8914" t="s">
        <v>17209</v>
      </c>
      <c r="C8914" t="s">
        <v>26</v>
      </c>
      <c r="D8914" t="s">
        <v>27</v>
      </c>
      <c r="E8914" s="6">
        <v>-28566</v>
      </c>
      <c r="F8914" t="s">
        <v>1529</v>
      </c>
      <c r="G8914" t="s">
        <v>52</v>
      </c>
      <c r="H8914" t="s">
        <v>21</v>
      </c>
      <c r="I8914" t="s">
        <v>17224</v>
      </c>
      <c r="J8914" t="str">
        <f>HYPERLINK("https://www.boe.es/gazeta/dias/1821/10/14/pdfs/GMD-1821-293.pdf#page=2","Abrir facsímil")</f>
        <v>Abrir facsímil</v>
      </c>
      <c r="K8914" t="s">
        <v>23</v>
      </c>
    </row>
    <row r="8915" spans="1:11" ht="42" customHeight="1">
      <c r="A8915" t="s">
        <v>17209</v>
      </c>
      <c r="B8915" t="s">
        <v>17209</v>
      </c>
      <c r="C8915" t="s">
        <v>26</v>
      </c>
      <c r="D8915" t="s">
        <v>27</v>
      </c>
      <c r="E8915" s="6">
        <v>-28566</v>
      </c>
      <c r="F8915" t="s">
        <v>1529</v>
      </c>
      <c r="G8915" t="s">
        <v>20</v>
      </c>
      <c r="H8915" t="s">
        <v>21</v>
      </c>
      <c r="I8915" t="s">
        <v>17225</v>
      </c>
      <c r="J8915" t="str">
        <f>HYPERLINK("https://www.boe.es/gazeta/dias/1821/10/14/pdfs/GMD-1821-293.pdf#page=3","Abrir facsímil")</f>
        <v>Abrir facsímil</v>
      </c>
      <c r="K8915" t="s">
        <v>23</v>
      </c>
    </row>
    <row r="8916" spans="1:11" ht="42" customHeight="1">
      <c r="A8916" t="s">
        <v>17209</v>
      </c>
      <c r="B8916" t="s">
        <v>17209</v>
      </c>
      <c r="C8916" t="s">
        <v>35</v>
      </c>
      <c r="D8916" t="s">
        <v>27</v>
      </c>
      <c r="E8916" s="6">
        <v>-28563</v>
      </c>
      <c r="F8916" t="s">
        <v>118</v>
      </c>
      <c r="G8916" t="s">
        <v>20</v>
      </c>
      <c r="H8916" t="s">
        <v>21</v>
      </c>
      <c r="I8916" t="s">
        <v>17226</v>
      </c>
      <c r="J8916" t="str">
        <f>HYPERLINK("https://www.boe.es/gazeta/dias/1821/10/17/pdfs/GMD-1821-296.pdf#page=3","Abrir facsímil")</f>
        <v>Abrir facsímil</v>
      </c>
      <c r="K8916" t="s">
        <v>23</v>
      </c>
    </row>
    <row r="8917" spans="1:11" ht="42" customHeight="1">
      <c r="A8917" t="s">
        <v>17209</v>
      </c>
      <c r="B8917" t="s">
        <v>17209</v>
      </c>
      <c r="C8917" t="s">
        <v>26</v>
      </c>
      <c r="D8917" t="s">
        <v>27</v>
      </c>
      <c r="E8917" s="6">
        <v>-28561</v>
      </c>
      <c r="F8917" t="s">
        <v>240</v>
      </c>
      <c r="G8917" t="s">
        <v>88</v>
      </c>
      <c r="H8917" t="s">
        <v>21</v>
      </c>
      <c r="I8917" t="s">
        <v>17227</v>
      </c>
      <c r="J8917" t="str">
        <f>HYPERLINK("https://www.boe.es/gazeta/dias/1821/10/19/pdfs/GMD-1821-298.pdf#page=4","Abrir facsímil")</f>
        <v>Abrir facsímil</v>
      </c>
      <c r="K8917" t="s">
        <v>23</v>
      </c>
    </row>
    <row r="8918" spans="1:11" ht="42" customHeight="1">
      <c r="A8918" t="s">
        <v>17209</v>
      </c>
      <c r="B8918" t="s">
        <v>17209</v>
      </c>
      <c r="C8918" t="s">
        <v>174</v>
      </c>
      <c r="D8918" t="s">
        <v>27</v>
      </c>
      <c r="E8918" s="6">
        <v>-28555</v>
      </c>
      <c r="F8918" t="s">
        <v>219</v>
      </c>
      <c r="G8918" t="s">
        <v>162</v>
      </c>
      <c r="H8918" t="s">
        <v>21</v>
      </c>
      <c r="I8918" t="s">
        <v>17228</v>
      </c>
      <c r="J8918" t="str">
        <f>HYPERLINK("https://www.boe.es/gazeta/dias/1821/10/25/pdfs/GMD-1821-304.pdf#page=5","Abrir facsímil")</f>
        <v>Abrir facsímil</v>
      </c>
      <c r="K8918" t="s">
        <v>23</v>
      </c>
    </row>
    <row r="8919" spans="1:11" ht="42" customHeight="1">
      <c r="A8919" t="s">
        <v>17209</v>
      </c>
      <c r="B8919" t="s">
        <v>17209</v>
      </c>
      <c r="C8919" t="s">
        <v>17</v>
      </c>
      <c r="D8919" t="s">
        <v>18</v>
      </c>
      <c r="E8919" s="6">
        <v>-28543</v>
      </c>
      <c r="F8919" t="s">
        <v>136</v>
      </c>
      <c r="G8919" t="s">
        <v>88</v>
      </c>
      <c r="H8919" t="s">
        <v>21</v>
      </c>
      <c r="I8919" t="s">
        <v>17229</v>
      </c>
      <c r="J8919" t="str">
        <f>HYPERLINK("https://www.boe.es/gazeta/dias/1821/11/06/pdfs/GMD-1821-317.pdf#page=4","Abrir facsímil")</f>
        <v>Abrir facsímil</v>
      </c>
      <c r="K8919" t="s">
        <v>23</v>
      </c>
    </row>
    <row r="8920" spans="1:11" ht="42" customHeight="1">
      <c r="A8920" t="s">
        <v>17209</v>
      </c>
      <c r="B8920" t="s">
        <v>17209</v>
      </c>
      <c r="C8920" t="s">
        <v>26</v>
      </c>
      <c r="D8920" t="s">
        <v>27</v>
      </c>
      <c r="E8920" s="6">
        <v>-28531</v>
      </c>
      <c r="F8920" t="s">
        <v>365</v>
      </c>
      <c r="G8920" t="s">
        <v>162</v>
      </c>
      <c r="H8920" t="s">
        <v>21</v>
      </c>
      <c r="I8920" t="s">
        <v>17230</v>
      </c>
      <c r="J8920" t="str">
        <f>HYPERLINK("https://www.boe.es/gazeta/dias/1821/11/18/pdfs/GMD-1821-329.pdf#page=5","Abrir facsímil")</f>
        <v>Abrir facsímil</v>
      </c>
      <c r="K8920" t="s">
        <v>23</v>
      </c>
    </row>
    <row r="8921" spans="1:11" ht="42" customHeight="1">
      <c r="A8921" t="s">
        <v>17231</v>
      </c>
      <c r="B8921" t="s">
        <v>17231</v>
      </c>
      <c r="C8921" t="s">
        <v>35</v>
      </c>
      <c r="D8921" t="s">
        <v>27</v>
      </c>
      <c r="E8921" s="6">
        <v>-28524</v>
      </c>
      <c r="F8921" t="s">
        <v>874</v>
      </c>
      <c r="G8921" t="s">
        <v>88</v>
      </c>
      <c r="H8921" t="s">
        <v>21</v>
      </c>
      <c r="I8921" t="s">
        <v>17232</v>
      </c>
      <c r="J8921" t="str">
        <f>HYPERLINK("https://www.boe.es/gazeta/dias/1821/11/25/pdfs/GMD-1821-336.pdf#page=4","Abrir facsímil")</f>
        <v>Abrir facsímil</v>
      </c>
      <c r="K8921" t="s">
        <v>23</v>
      </c>
    </row>
    <row r="8922" spans="1:11" ht="42" customHeight="1">
      <c r="A8922" t="s">
        <v>17209</v>
      </c>
      <c r="B8922" t="s">
        <v>17209</v>
      </c>
      <c r="C8922" t="s">
        <v>40</v>
      </c>
      <c r="D8922" t="s">
        <v>41</v>
      </c>
      <c r="E8922" s="6">
        <v>-28500</v>
      </c>
      <c r="F8922" t="s">
        <v>298</v>
      </c>
      <c r="G8922" t="s">
        <v>299</v>
      </c>
      <c r="H8922" t="s">
        <v>21</v>
      </c>
      <c r="I8922" t="s">
        <v>17233</v>
      </c>
      <c r="J8922" t="str">
        <f>HYPERLINK("https://www.boe.es/gazeta/dias/1821/12/19/pdfs/GMD-1821-362.pdf#page=4","Abrir facsímil")</f>
        <v>Abrir facsímil</v>
      </c>
      <c r="K8922" t="s">
        <v>23</v>
      </c>
    </row>
    <row r="8923" spans="1:11" ht="42" customHeight="1">
      <c r="A8923" t="s">
        <v>17209</v>
      </c>
      <c r="B8923" t="s">
        <v>17209</v>
      </c>
      <c r="C8923" t="s">
        <v>279</v>
      </c>
      <c r="D8923" t="s">
        <v>27</v>
      </c>
      <c r="E8923" s="6">
        <v>-28497</v>
      </c>
      <c r="F8923" t="s">
        <v>225</v>
      </c>
      <c r="G8923" t="s">
        <v>52</v>
      </c>
      <c r="H8923" t="s">
        <v>21</v>
      </c>
      <c r="I8923" t="s">
        <v>17234</v>
      </c>
      <c r="J8923" t="str">
        <f>HYPERLINK("https://www.boe.es/gazeta/dias/1821/12/22/pdfs/GMD-1821-365.pdf#page=2","Abrir facsímil")</f>
        <v>Abrir facsímil</v>
      </c>
      <c r="K8923" t="s">
        <v>23</v>
      </c>
    </row>
    <row r="8924" spans="1:11" ht="42" customHeight="1">
      <c r="A8924" t="s">
        <v>17235</v>
      </c>
      <c r="B8924" t="s">
        <v>17235</v>
      </c>
      <c r="C8924" t="s">
        <v>40</v>
      </c>
      <c r="D8924" t="s">
        <v>41</v>
      </c>
      <c r="E8924" s="6">
        <v>-28725</v>
      </c>
      <c r="F8924" t="s">
        <v>440</v>
      </c>
      <c r="G8924" t="s">
        <v>20</v>
      </c>
      <c r="H8924" t="s">
        <v>21</v>
      </c>
      <c r="I8924" t="s">
        <v>17236</v>
      </c>
      <c r="J8924" t="str">
        <f>HYPERLINK("https://www.boe.es/gazeta/dias/1821/05/08/pdfs/GMD-1821-130.pdf#page=3","Abrir facsímil")</f>
        <v>Abrir facsímil</v>
      </c>
      <c r="K8924" t="s">
        <v>23</v>
      </c>
    </row>
    <row r="8925" spans="1:11" ht="42" customHeight="1">
      <c r="A8925" t="s">
        <v>17237</v>
      </c>
      <c r="B8925" t="s">
        <v>17237</v>
      </c>
      <c r="C8925" t="s">
        <v>26</v>
      </c>
      <c r="D8925" t="s">
        <v>27</v>
      </c>
      <c r="E8925" s="6">
        <v>-28776</v>
      </c>
      <c r="F8925" t="s">
        <v>312</v>
      </c>
      <c r="G8925" t="s">
        <v>20</v>
      </c>
      <c r="H8925" t="s">
        <v>21</v>
      </c>
      <c r="I8925" t="s">
        <v>17238</v>
      </c>
      <c r="J8925" t="str">
        <f>HYPERLINK("https://www.boe.es/gazeta/dias/1821/03/18/pdfs/GMD-1821-77.pdf#page=3","Abrir facsímil")</f>
        <v>Abrir facsímil</v>
      </c>
      <c r="K8925" t="s">
        <v>23</v>
      </c>
    </row>
    <row r="8926" spans="1:11" ht="42" customHeight="1">
      <c r="A8926" t="s">
        <v>17237</v>
      </c>
      <c r="B8926" t="s">
        <v>17237</v>
      </c>
      <c r="C8926" t="s">
        <v>26</v>
      </c>
      <c r="D8926" t="s">
        <v>27</v>
      </c>
      <c r="E8926" s="6">
        <v>-28678</v>
      </c>
      <c r="F8926" t="s">
        <v>215</v>
      </c>
      <c r="G8926" t="s">
        <v>1445</v>
      </c>
      <c r="H8926" t="s">
        <v>21</v>
      </c>
      <c r="I8926" t="s">
        <v>17239</v>
      </c>
      <c r="J8926" t="str">
        <f>HYPERLINK("https://www.boe.es/gazeta/dias/1821/06/24/pdfs/GMD-1821-177.pdf#page=3","Abrir facsímil")</f>
        <v>Abrir facsímil</v>
      </c>
      <c r="K8926" t="s">
        <v>23</v>
      </c>
    </row>
    <row r="8927" spans="1:11" ht="42" customHeight="1">
      <c r="A8927" t="s">
        <v>17240</v>
      </c>
      <c r="B8927" t="s">
        <v>17241</v>
      </c>
      <c r="C8927" t="s">
        <v>40</v>
      </c>
      <c r="D8927" t="s">
        <v>41</v>
      </c>
      <c r="E8927" s="6">
        <v>-28638</v>
      </c>
      <c r="F8927" t="s">
        <v>736</v>
      </c>
      <c r="G8927" t="s">
        <v>20</v>
      </c>
      <c r="H8927" t="s">
        <v>21</v>
      </c>
      <c r="I8927" t="s">
        <v>17242</v>
      </c>
      <c r="J8927" t="str">
        <f>HYPERLINK("https://www.boe.es/gazeta/dias/1821/08/03/pdfs/GMD-1821-219.pdf#page=3","Abrir facsímil")</f>
        <v>Abrir facsímil</v>
      </c>
      <c r="K8927" t="s">
        <v>23</v>
      </c>
    </row>
    <row r="8928" spans="1:11" ht="42" customHeight="1">
      <c r="A8928" t="s">
        <v>17243</v>
      </c>
      <c r="B8928" t="s">
        <v>17244</v>
      </c>
      <c r="C8928" t="s">
        <v>40</v>
      </c>
      <c r="D8928" t="s">
        <v>41</v>
      </c>
      <c r="E8928" s="6">
        <v>-28607</v>
      </c>
      <c r="F8928" t="s">
        <v>740</v>
      </c>
      <c r="G8928" t="s">
        <v>88</v>
      </c>
      <c r="H8928" t="s">
        <v>21</v>
      </c>
      <c r="I8928" t="s">
        <v>17245</v>
      </c>
      <c r="J8928" t="str">
        <f>HYPERLINK("https://www.boe.es/gazeta/dias/1821/09/03/pdfs/GMD-1821-251.pdf#page=4","Abrir facsímil")</f>
        <v>Abrir facsímil</v>
      </c>
      <c r="K8928" t="s">
        <v>23</v>
      </c>
    </row>
    <row r="8929" spans="1:11" ht="42" customHeight="1">
      <c r="A8929" t="s">
        <v>17246</v>
      </c>
      <c r="B8929" t="s">
        <v>17247</v>
      </c>
      <c r="C8929" t="s">
        <v>70</v>
      </c>
      <c r="D8929" t="s">
        <v>27</v>
      </c>
      <c r="E8929" s="6">
        <v>-28705</v>
      </c>
      <c r="F8929" t="s">
        <v>1844</v>
      </c>
      <c r="G8929" t="s">
        <v>43</v>
      </c>
      <c r="H8929" t="s">
        <v>21</v>
      </c>
      <c r="I8929" t="s">
        <v>17248</v>
      </c>
      <c r="J8929" t="str">
        <f>HYPERLINK("https://www.boe.es/gazeta/dias/1821/05/28/pdfs/GMD-1821-150.pdf#page=1","Abrir facsímil")</f>
        <v>Abrir facsímil</v>
      </c>
      <c r="K8929" t="s">
        <v>23</v>
      </c>
    </row>
    <row r="8930" spans="1:11" ht="42" customHeight="1">
      <c r="A8930" t="s">
        <v>17249</v>
      </c>
      <c r="B8930" t="s">
        <v>17250</v>
      </c>
      <c r="C8930" t="s">
        <v>26</v>
      </c>
      <c r="D8930" t="s">
        <v>27</v>
      </c>
      <c r="E8930" s="6">
        <v>-28721</v>
      </c>
      <c r="F8930" t="s">
        <v>92</v>
      </c>
      <c r="G8930" t="s">
        <v>88</v>
      </c>
      <c r="H8930" t="s">
        <v>21</v>
      </c>
      <c r="I8930" t="s">
        <v>17251</v>
      </c>
      <c r="J8930" t="str">
        <f>HYPERLINK("https://www.boe.es/gazeta/dias/1821/05/12/pdfs/GMD-1821-134.pdf#page=4","Abrir facsímil")</f>
        <v>Abrir facsímil</v>
      </c>
      <c r="K8930" t="s">
        <v>23</v>
      </c>
    </row>
    <row r="8931" spans="1:11" ht="42" customHeight="1">
      <c r="A8931" t="s">
        <v>17252</v>
      </c>
      <c r="B8931" t="s">
        <v>17253</v>
      </c>
      <c r="C8931" t="s">
        <v>26</v>
      </c>
      <c r="D8931" t="s">
        <v>27</v>
      </c>
      <c r="E8931" s="6">
        <v>-28489</v>
      </c>
      <c r="F8931" t="s">
        <v>3894</v>
      </c>
      <c r="G8931" t="s">
        <v>52</v>
      </c>
      <c r="H8931" t="s">
        <v>21</v>
      </c>
      <c r="I8931" t="s">
        <v>17254</v>
      </c>
      <c r="J8931" t="str">
        <f>HYPERLINK("https://www.boe.es/gazeta/dias/1821/12/30/pdfs/GMD-1821-373.pdf#page=2","Abrir facsímil")</f>
        <v>Abrir facsímil</v>
      </c>
      <c r="K8931" t="s">
        <v>23</v>
      </c>
    </row>
    <row r="8932" spans="1:11" ht="42" customHeight="1">
      <c r="A8932" t="s">
        <v>17255</v>
      </c>
      <c r="B8932" t="s">
        <v>17255</v>
      </c>
      <c r="C8932" t="s">
        <v>40</v>
      </c>
      <c r="D8932" t="s">
        <v>41</v>
      </c>
      <c r="E8932" s="6">
        <v>-28497</v>
      </c>
      <c r="F8932" t="s">
        <v>225</v>
      </c>
      <c r="G8932" t="s">
        <v>43</v>
      </c>
      <c r="H8932" t="s">
        <v>21</v>
      </c>
      <c r="I8932" t="s">
        <v>17256</v>
      </c>
      <c r="J8932" t="str">
        <f>HYPERLINK("https://www.boe.es/gazeta/dias/1821/12/22/pdfs/GMD-1821-365.pdf#page=1","Abrir facsímil")</f>
        <v>Abrir facsímil</v>
      </c>
      <c r="K8932" t="s">
        <v>23</v>
      </c>
    </row>
    <row r="8933" spans="1:11" ht="42" customHeight="1">
      <c r="A8933" t="s">
        <v>17257</v>
      </c>
      <c r="B8933" t="s">
        <v>17258</v>
      </c>
      <c r="C8933" t="s">
        <v>26</v>
      </c>
      <c r="D8933" t="s">
        <v>27</v>
      </c>
      <c r="E8933" s="6">
        <v>-28830</v>
      </c>
      <c r="F8933" t="s">
        <v>3230</v>
      </c>
      <c r="G8933" t="s">
        <v>20</v>
      </c>
      <c r="H8933" t="s">
        <v>21</v>
      </c>
      <c r="I8933" t="s">
        <v>17259</v>
      </c>
      <c r="J8933" t="str">
        <f>HYPERLINK("https://www.boe.es/gazeta/dias/1821/01/23/pdfs/GGB-1821-23.pdf#page=3","Abrir facsímil")</f>
        <v>Abrir facsímil</v>
      </c>
      <c r="K8933" t="s">
        <v>23</v>
      </c>
    </row>
    <row r="8934" spans="1:11" ht="42" customHeight="1">
      <c r="A8934" t="s">
        <v>17260</v>
      </c>
      <c r="B8934" t="s">
        <v>17261</v>
      </c>
      <c r="C8934" t="s">
        <v>26</v>
      </c>
      <c r="D8934" t="s">
        <v>27</v>
      </c>
      <c r="E8934" s="6">
        <v>-28643</v>
      </c>
      <c r="F8934" t="s">
        <v>1569</v>
      </c>
      <c r="G8934" t="s">
        <v>20</v>
      </c>
      <c r="H8934" t="s">
        <v>30</v>
      </c>
      <c r="I8934" t="s">
        <v>17262</v>
      </c>
      <c r="J8934" t="str">
        <f>HYPERLINK("https://www.boe.es/gazeta/dias/1821/07/29/pdfs/GMD-1821-214.pdf#page=3","Abrir facsímil")</f>
        <v>Abrir facsímil</v>
      </c>
      <c r="K8934" t="s">
        <v>32</v>
      </c>
    </row>
    <row r="8935" spans="1:11" ht="42" customHeight="1">
      <c r="A8935" t="s">
        <v>17263</v>
      </c>
      <c r="B8935" t="s">
        <v>17263</v>
      </c>
      <c r="C8935" t="s">
        <v>26</v>
      </c>
      <c r="D8935" t="s">
        <v>27</v>
      </c>
      <c r="E8935" s="6">
        <v>-28726</v>
      </c>
      <c r="F8935" t="s">
        <v>347</v>
      </c>
      <c r="G8935" t="s">
        <v>43</v>
      </c>
      <c r="H8935" t="s">
        <v>21</v>
      </c>
      <c r="I8935" t="s">
        <v>17264</v>
      </c>
      <c r="J8935" t="str">
        <f>HYPERLINK("https://www.boe.es/gazeta/dias/1821/05/07/pdfs/GMD-1821-129.pdf#page=1","Abrir facsímil")</f>
        <v>Abrir facsímil</v>
      </c>
      <c r="K8935" t="s">
        <v>23</v>
      </c>
    </row>
    <row r="8936" spans="1:11" ht="42" customHeight="1">
      <c r="A8936" t="s">
        <v>17265</v>
      </c>
      <c r="B8936" t="s">
        <v>17266</v>
      </c>
      <c r="C8936" t="s">
        <v>40</v>
      </c>
      <c r="D8936" t="s">
        <v>41</v>
      </c>
      <c r="E8936" s="6">
        <v>-28641</v>
      </c>
      <c r="F8936" t="s">
        <v>398</v>
      </c>
      <c r="G8936" t="s">
        <v>20</v>
      </c>
      <c r="H8936" t="s">
        <v>21</v>
      </c>
      <c r="I8936" t="s">
        <v>17267</v>
      </c>
      <c r="J8936" t="str">
        <f>HYPERLINK("https://www.boe.es/gazeta/dias/1821/07/31/pdfs/GMD-1821-216.pdf#page=3","Abrir facsímil")</f>
        <v>Abrir facsímil</v>
      </c>
      <c r="K8936" t="s">
        <v>23</v>
      </c>
    </row>
    <row r="8937" spans="1:11" ht="42" customHeight="1">
      <c r="A8937" t="s">
        <v>17268</v>
      </c>
      <c r="B8937" t="s">
        <v>17269</v>
      </c>
      <c r="C8937" t="s">
        <v>17</v>
      </c>
      <c r="D8937" t="s">
        <v>18</v>
      </c>
      <c r="E8937" s="6">
        <v>-28818</v>
      </c>
      <c r="F8937" t="s">
        <v>2337</v>
      </c>
      <c r="G8937" t="s">
        <v>4055</v>
      </c>
      <c r="H8937" t="s">
        <v>21</v>
      </c>
      <c r="I8937" t="s">
        <v>17270</v>
      </c>
      <c r="J8937" t="str">
        <f>HYPERLINK("https://www.boe.es/gazeta/dias/1821/02/04/pdfs/GGB-1821-35.pdf#page=6","Abrir facsímil")</f>
        <v>Abrir facsímil</v>
      </c>
      <c r="K8937" t="s">
        <v>23</v>
      </c>
    </row>
    <row r="8938" spans="1:11" ht="42" customHeight="1">
      <c r="A8938" t="s">
        <v>17268</v>
      </c>
      <c r="B8938" t="s">
        <v>17269</v>
      </c>
      <c r="C8938" t="s">
        <v>17</v>
      </c>
      <c r="D8938" t="s">
        <v>18</v>
      </c>
      <c r="E8938" s="6">
        <v>-28792</v>
      </c>
      <c r="F8938" t="s">
        <v>2289</v>
      </c>
      <c r="G8938" t="s">
        <v>88</v>
      </c>
      <c r="H8938" t="s">
        <v>21</v>
      </c>
      <c r="I8938" t="s">
        <v>17271</v>
      </c>
      <c r="J8938" t="str">
        <f>HYPERLINK("https://www.boe.es/gazeta/dias/1821/03/02/pdfs/GGB-1821-61.pdf#page=4","Abrir facsímil")</f>
        <v>Abrir facsímil</v>
      </c>
      <c r="K8938" t="s">
        <v>23</v>
      </c>
    </row>
    <row r="8939" spans="1:11" ht="42" customHeight="1">
      <c r="A8939" t="s">
        <v>17268</v>
      </c>
      <c r="B8939" t="s">
        <v>17269</v>
      </c>
      <c r="C8939" t="s">
        <v>17</v>
      </c>
      <c r="D8939" t="s">
        <v>18</v>
      </c>
      <c r="E8939" s="6">
        <v>-28776</v>
      </c>
      <c r="F8939" t="s">
        <v>312</v>
      </c>
      <c r="G8939" t="s">
        <v>29</v>
      </c>
      <c r="H8939" t="s">
        <v>21</v>
      </c>
      <c r="I8939" t="s">
        <v>17272</v>
      </c>
      <c r="J8939" t="str">
        <f>HYPERLINK("https://www.boe.es/gazeta/dias/1821/03/18/pdfs/GMD-1821-77.pdf#page=6","Abrir facsímil")</f>
        <v>Abrir facsímil</v>
      </c>
      <c r="K8939" t="s">
        <v>23</v>
      </c>
    </row>
    <row r="8940" spans="1:11" ht="42" customHeight="1">
      <c r="A8940" t="s">
        <v>17268</v>
      </c>
      <c r="B8940" t="s">
        <v>17269</v>
      </c>
      <c r="C8940" t="s">
        <v>17</v>
      </c>
      <c r="D8940" t="s">
        <v>18</v>
      </c>
      <c r="E8940" s="6">
        <v>-28773</v>
      </c>
      <c r="F8940" t="s">
        <v>1755</v>
      </c>
      <c r="G8940" t="s">
        <v>29</v>
      </c>
      <c r="H8940" t="s">
        <v>21</v>
      </c>
      <c r="I8940" t="s">
        <v>17273</v>
      </c>
      <c r="J8940" t="str">
        <f>HYPERLINK("https://www.boe.es/gazeta/dias/1821/03/21/pdfs/GMD-1821-80.pdf#page=6","Abrir facsímil")</f>
        <v>Abrir facsímil</v>
      </c>
      <c r="K8940" t="s">
        <v>23</v>
      </c>
    </row>
    <row r="8941" spans="1:11" ht="42" customHeight="1">
      <c r="A8941" t="s">
        <v>17268</v>
      </c>
      <c r="B8941" t="s">
        <v>17269</v>
      </c>
      <c r="C8941" t="s">
        <v>17</v>
      </c>
      <c r="D8941" t="s">
        <v>18</v>
      </c>
      <c r="E8941" s="6">
        <v>-28770</v>
      </c>
      <c r="F8941" t="s">
        <v>1009</v>
      </c>
      <c r="G8941" t="s">
        <v>29</v>
      </c>
      <c r="H8941" t="s">
        <v>21</v>
      </c>
      <c r="I8941" t="s">
        <v>17274</v>
      </c>
      <c r="J8941" t="str">
        <f>HYPERLINK("https://www.boe.es/gazeta/dias/1821/03/24/pdfs/GMD-1821-84.pdf#page=6","Abrir facsímil")</f>
        <v>Abrir facsímil</v>
      </c>
      <c r="K8941" t="s">
        <v>23</v>
      </c>
    </row>
    <row r="8942" spans="1:11" ht="42" customHeight="1">
      <c r="A8942" t="s">
        <v>17268</v>
      </c>
      <c r="B8942" t="s">
        <v>17269</v>
      </c>
      <c r="C8942" t="s">
        <v>17</v>
      </c>
      <c r="D8942" t="s">
        <v>18</v>
      </c>
      <c r="E8942" s="6">
        <v>-28745</v>
      </c>
      <c r="F8942" t="s">
        <v>1020</v>
      </c>
      <c r="G8942" t="s">
        <v>88</v>
      </c>
      <c r="H8942" t="s">
        <v>21</v>
      </c>
      <c r="I8942" t="s">
        <v>17275</v>
      </c>
      <c r="J8942" t="str">
        <f>HYPERLINK("https://www.boe.es/gazeta/dias/1821/04/18/pdfs/GMD-1821-110.pdf#page=4","Abrir facsímil")</f>
        <v>Abrir facsímil</v>
      </c>
      <c r="K8942" t="s">
        <v>23</v>
      </c>
    </row>
    <row r="8943" spans="1:11" ht="42" customHeight="1">
      <c r="A8943" t="s">
        <v>17268</v>
      </c>
      <c r="B8943" t="s">
        <v>17269</v>
      </c>
      <c r="C8943" t="s">
        <v>40</v>
      </c>
      <c r="D8943" t="s">
        <v>41</v>
      </c>
      <c r="E8943" s="6">
        <v>-28704</v>
      </c>
      <c r="F8943" t="s">
        <v>1050</v>
      </c>
      <c r="G8943" t="s">
        <v>88</v>
      </c>
      <c r="H8943" t="s">
        <v>21</v>
      </c>
      <c r="I8943" t="s">
        <v>17276</v>
      </c>
      <c r="J8943" t="str">
        <f>HYPERLINK("https://www.boe.es/gazeta/dias/1821/05/29/pdfs/GMD-1821-151.pdf#page=4","Abrir facsímil")</f>
        <v>Abrir facsímil</v>
      </c>
      <c r="K8943" t="s">
        <v>23</v>
      </c>
    </row>
    <row r="8944" spans="1:11" ht="42" customHeight="1">
      <c r="A8944" t="s">
        <v>17268</v>
      </c>
      <c r="B8944" t="s">
        <v>17269</v>
      </c>
      <c r="C8944" t="s">
        <v>17</v>
      </c>
      <c r="D8944" t="s">
        <v>18</v>
      </c>
      <c r="E8944" s="6">
        <v>-28679</v>
      </c>
      <c r="F8944" t="s">
        <v>213</v>
      </c>
      <c r="G8944" t="s">
        <v>29</v>
      </c>
      <c r="H8944" t="s">
        <v>21</v>
      </c>
      <c r="I8944" t="s">
        <v>17277</v>
      </c>
      <c r="J8944" t="str">
        <f>HYPERLINK("https://www.boe.es/gazeta/dias/1821/06/23/pdfs/GMD-1821-176.pdf#page=6","Abrir facsímil")</f>
        <v>Abrir facsímil</v>
      </c>
      <c r="K8944" t="s">
        <v>23</v>
      </c>
    </row>
    <row r="8945" spans="1:11" ht="42" customHeight="1">
      <c r="A8945" t="s">
        <v>17268</v>
      </c>
      <c r="B8945" t="s">
        <v>17269</v>
      </c>
      <c r="C8945" t="s">
        <v>40</v>
      </c>
      <c r="D8945" t="s">
        <v>41</v>
      </c>
      <c r="E8945" s="6">
        <v>-28529</v>
      </c>
      <c r="F8945" t="s">
        <v>525</v>
      </c>
      <c r="G8945" t="s">
        <v>88</v>
      </c>
      <c r="H8945" t="s">
        <v>21</v>
      </c>
      <c r="I8945" t="s">
        <v>17278</v>
      </c>
      <c r="J8945" t="str">
        <f>HYPERLINK("https://www.boe.es/gazeta/dias/1821/11/20/pdfs/GMD-1821-331.pdf#page=4","Abrir facsímil")</f>
        <v>Abrir facsímil</v>
      </c>
      <c r="K8945" t="s">
        <v>23</v>
      </c>
    </row>
    <row r="8946" spans="1:11" ht="42" customHeight="1">
      <c r="A8946" t="s">
        <v>17279</v>
      </c>
      <c r="B8946" t="s">
        <v>17280</v>
      </c>
      <c r="C8946" t="s">
        <v>40</v>
      </c>
      <c r="D8946" t="s">
        <v>41</v>
      </c>
      <c r="E8946" s="6">
        <v>-28539</v>
      </c>
      <c r="F8946" t="s">
        <v>153</v>
      </c>
      <c r="G8946" t="s">
        <v>52</v>
      </c>
      <c r="H8946" t="s">
        <v>21</v>
      </c>
      <c r="I8946" t="s">
        <v>17281</v>
      </c>
      <c r="J8946" t="str">
        <f>HYPERLINK("https://www.boe.es/gazeta/dias/1821/11/10/pdfs/GMD-1821-321.pdf#page=2","Abrir facsímil")</f>
        <v>Abrir facsímil</v>
      </c>
      <c r="K8946" t="s">
        <v>23</v>
      </c>
    </row>
    <row r="8947" spans="1:11" ht="42" customHeight="1">
      <c r="A8947" t="s">
        <v>17282</v>
      </c>
      <c r="B8947" t="s">
        <v>17283</v>
      </c>
      <c r="C8947" t="s">
        <v>174</v>
      </c>
      <c r="D8947" t="s">
        <v>27</v>
      </c>
      <c r="E8947" s="6">
        <v>-28819</v>
      </c>
      <c r="F8947" t="s">
        <v>1830</v>
      </c>
      <c r="G8947" t="s">
        <v>88</v>
      </c>
      <c r="H8947" t="s">
        <v>30</v>
      </c>
      <c r="I8947" t="s">
        <v>17284</v>
      </c>
      <c r="J8947" t="str">
        <f>HYPERLINK("https://www.boe.es/gazeta/dias/1821/02/03/pdfs/GGB-1821-34.pdf#page=4","Abrir facsímil")</f>
        <v>Abrir facsímil</v>
      </c>
      <c r="K8947" t="s">
        <v>32</v>
      </c>
    </row>
    <row r="8948" spans="1:11" ht="42" customHeight="1">
      <c r="A8948" t="s">
        <v>17285</v>
      </c>
      <c r="B8948" t="s">
        <v>17286</v>
      </c>
      <c r="C8948" t="s">
        <v>26</v>
      </c>
      <c r="D8948" t="s">
        <v>27</v>
      </c>
      <c r="E8948" s="6">
        <v>-28784</v>
      </c>
      <c r="F8948" t="s">
        <v>451</v>
      </c>
      <c r="G8948" t="s">
        <v>88</v>
      </c>
      <c r="H8948" t="s">
        <v>21</v>
      </c>
      <c r="I8948" t="s">
        <v>17287</v>
      </c>
      <c r="J8948" t="str">
        <f>HYPERLINK("https://www.boe.es/gazeta/dias/1821/03/10/pdfs/GGB-1821-69.pdf#page=4","Abrir facsímil")</f>
        <v>Abrir facsímil</v>
      </c>
      <c r="K8948" t="s">
        <v>23</v>
      </c>
    </row>
    <row r="8949" spans="1:11" ht="42" customHeight="1">
      <c r="A8949" t="s">
        <v>17288</v>
      </c>
      <c r="B8949" t="s">
        <v>17289</v>
      </c>
      <c r="C8949" t="s">
        <v>40</v>
      </c>
      <c r="D8949" t="s">
        <v>41</v>
      </c>
      <c r="E8949" s="6">
        <v>-28731</v>
      </c>
      <c r="F8949" t="s">
        <v>577</v>
      </c>
      <c r="G8949" t="s">
        <v>20</v>
      </c>
      <c r="H8949" t="s">
        <v>21</v>
      </c>
      <c r="I8949" t="s">
        <v>17290</v>
      </c>
      <c r="J8949" t="str">
        <f>HYPERLINK("https://www.boe.es/gazeta/dias/1821/05/02/pdfs/GMD-1821-124.pdf#page=3","Abrir facsímil")</f>
        <v>Abrir facsímil</v>
      </c>
      <c r="K8949" t="s">
        <v>23</v>
      </c>
    </row>
    <row r="8950" spans="1:11" ht="42" customHeight="1">
      <c r="A8950" t="s">
        <v>17291</v>
      </c>
      <c r="B8950" t="s">
        <v>17291</v>
      </c>
      <c r="C8950" t="s">
        <v>40</v>
      </c>
      <c r="D8950" t="s">
        <v>41</v>
      </c>
      <c r="E8950" s="6">
        <v>-28813</v>
      </c>
      <c r="F8950" t="s">
        <v>268</v>
      </c>
      <c r="G8950" t="s">
        <v>52</v>
      </c>
      <c r="H8950" t="s">
        <v>21</v>
      </c>
      <c r="I8950" t="s">
        <v>17292</v>
      </c>
      <c r="J8950" t="str">
        <f>HYPERLINK("https://www.boe.es/gazeta/dias/1821/02/09/pdfs/GGB-1821-40.pdf#page=2","Abrir facsímil")</f>
        <v>Abrir facsímil</v>
      </c>
      <c r="K8950" t="s">
        <v>23</v>
      </c>
    </row>
    <row r="8951" spans="1:11" ht="42" customHeight="1">
      <c r="A8951" t="s">
        <v>17293</v>
      </c>
      <c r="B8951" t="s">
        <v>17293</v>
      </c>
      <c r="C8951" t="s">
        <v>17</v>
      </c>
      <c r="D8951" t="s">
        <v>18</v>
      </c>
      <c r="E8951" s="6">
        <v>-28809</v>
      </c>
      <c r="F8951" t="s">
        <v>1173</v>
      </c>
      <c r="G8951" t="s">
        <v>52</v>
      </c>
      <c r="H8951" t="s">
        <v>21</v>
      </c>
      <c r="I8951" t="s">
        <v>17294</v>
      </c>
      <c r="J8951" t="str">
        <f>HYPERLINK("https://www.boe.es/gazeta/dias/1821/02/13/pdfs/GGB-1821-44.pdf#page=2","Abrir facsímil")</f>
        <v>Abrir facsímil</v>
      </c>
      <c r="K8951" t="s">
        <v>23</v>
      </c>
    </row>
    <row r="8952" spans="1:11" ht="42" customHeight="1">
      <c r="A8952" t="s">
        <v>17293</v>
      </c>
      <c r="B8952" t="s">
        <v>17293</v>
      </c>
      <c r="C8952" t="s">
        <v>114</v>
      </c>
      <c r="D8952" t="s">
        <v>27</v>
      </c>
      <c r="E8952" s="6">
        <v>-28799</v>
      </c>
      <c r="F8952" t="s">
        <v>3158</v>
      </c>
      <c r="G8952" t="s">
        <v>52</v>
      </c>
      <c r="H8952" t="s">
        <v>21</v>
      </c>
      <c r="I8952" t="s">
        <v>17295</v>
      </c>
      <c r="J8952" t="str">
        <f>HYPERLINK("https://www.boe.es/gazeta/dias/1821/02/23/pdfs/GGB-1821-54.pdf#page=2","Abrir facsímil")</f>
        <v>Abrir facsímil</v>
      </c>
      <c r="K8952" t="s">
        <v>23</v>
      </c>
    </row>
    <row r="8953" spans="1:11" ht="42" customHeight="1">
      <c r="A8953" t="s">
        <v>17293</v>
      </c>
      <c r="B8953" t="s">
        <v>17293</v>
      </c>
      <c r="C8953" t="s">
        <v>70</v>
      </c>
      <c r="D8953" t="s">
        <v>27</v>
      </c>
      <c r="E8953" s="6">
        <v>-28581</v>
      </c>
      <c r="F8953" t="s">
        <v>254</v>
      </c>
      <c r="G8953" t="s">
        <v>3366</v>
      </c>
      <c r="H8953" t="s">
        <v>21</v>
      </c>
      <c r="I8953" t="s">
        <v>17296</v>
      </c>
      <c r="J8953" t="str">
        <f>HYPERLINK("https://www.boe.es/gazeta/dias/1821/09/29/pdfs/GMD-1821-278.pdf#page=2","Abrir facsímil")</f>
        <v>Abrir facsímil</v>
      </c>
      <c r="K8953" t="s">
        <v>23</v>
      </c>
    </row>
    <row r="8954" spans="1:11" ht="42" customHeight="1">
      <c r="A8954" t="s">
        <v>17293</v>
      </c>
      <c r="B8954" t="s">
        <v>17293</v>
      </c>
      <c r="C8954" t="s">
        <v>174</v>
      </c>
      <c r="D8954" t="s">
        <v>27</v>
      </c>
      <c r="E8954" s="6">
        <v>-28570</v>
      </c>
      <c r="F8954" t="s">
        <v>2300</v>
      </c>
      <c r="G8954" t="s">
        <v>52</v>
      </c>
      <c r="H8954" t="s">
        <v>21</v>
      </c>
      <c r="I8954" t="s">
        <v>17297</v>
      </c>
      <c r="J8954" t="str">
        <f>HYPERLINK("https://www.boe.es/gazeta/dias/1821/10/10/pdfs/GMD-1821-289.pdf#page=2","Abrir facsímil")</f>
        <v>Abrir facsímil</v>
      </c>
      <c r="K8954" t="s">
        <v>23</v>
      </c>
    </row>
    <row r="8955" spans="1:11" ht="42" customHeight="1">
      <c r="A8955" t="s">
        <v>17293</v>
      </c>
      <c r="B8955" t="s">
        <v>17293</v>
      </c>
      <c r="C8955" t="s">
        <v>35</v>
      </c>
      <c r="D8955" t="s">
        <v>27</v>
      </c>
      <c r="E8955" s="6">
        <v>-28563</v>
      </c>
      <c r="F8955" t="s">
        <v>118</v>
      </c>
      <c r="G8955" t="s">
        <v>43</v>
      </c>
      <c r="H8955" t="s">
        <v>21</v>
      </c>
      <c r="I8955" t="s">
        <v>17298</v>
      </c>
      <c r="J8955" t="str">
        <f>HYPERLINK("https://www.boe.es/gazeta/dias/1821/10/17/pdfs/GMD-1821-296.pdf#page=1","Abrir facsímil")</f>
        <v>Abrir facsímil</v>
      </c>
      <c r="K8955" t="s">
        <v>23</v>
      </c>
    </row>
    <row r="8956" spans="1:11" ht="42" customHeight="1">
      <c r="A8956" t="s">
        <v>17299</v>
      </c>
      <c r="B8956" t="s">
        <v>17300</v>
      </c>
      <c r="C8956" t="s">
        <v>17</v>
      </c>
      <c r="D8956" t="s">
        <v>18</v>
      </c>
      <c r="E8956" s="6">
        <v>-28819</v>
      </c>
      <c r="F8956" t="s">
        <v>1830</v>
      </c>
      <c r="G8956" t="s">
        <v>20</v>
      </c>
      <c r="H8956" t="s">
        <v>21</v>
      </c>
      <c r="I8956" t="s">
        <v>17301</v>
      </c>
      <c r="J8956" t="str">
        <f>HYPERLINK("https://www.boe.es/gazeta/dias/1821/02/03/pdfs/GGB-1821-34.pdf#page=3","Abrir facsímil")</f>
        <v>Abrir facsímil</v>
      </c>
      <c r="K8956" t="s">
        <v>23</v>
      </c>
    </row>
    <row r="8957" spans="1:11" ht="42" customHeight="1">
      <c r="A8957" t="s">
        <v>17302</v>
      </c>
      <c r="B8957" t="s">
        <v>17303</v>
      </c>
      <c r="C8957" t="s">
        <v>40</v>
      </c>
      <c r="D8957" t="s">
        <v>41</v>
      </c>
      <c r="E8957" s="6">
        <v>-28813</v>
      </c>
      <c r="F8957" t="s">
        <v>268</v>
      </c>
      <c r="G8957" t="s">
        <v>52</v>
      </c>
      <c r="H8957" t="s">
        <v>21</v>
      </c>
      <c r="I8957" t="s">
        <v>17304</v>
      </c>
      <c r="J8957" t="str">
        <f>HYPERLINK("https://www.boe.es/gazeta/dias/1821/02/09/pdfs/GGB-1821-40.pdf#page=2","Abrir facsímil")</f>
        <v>Abrir facsímil</v>
      </c>
      <c r="K8957" t="s">
        <v>23</v>
      </c>
    </row>
    <row r="8958" spans="1:11" ht="42" customHeight="1">
      <c r="A8958" t="s">
        <v>17305</v>
      </c>
      <c r="B8958" t="s">
        <v>17306</v>
      </c>
      <c r="C8958" t="s">
        <v>40</v>
      </c>
      <c r="D8958" t="s">
        <v>41</v>
      </c>
      <c r="E8958" s="6">
        <v>-28732</v>
      </c>
      <c r="F8958" t="s">
        <v>2628</v>
      </c>
      <c r="G8958" t="s">
        <v>43</v>
      </c>
      <c r="H8958" t="s">
        <v>21</v>
      </c>
      <c r="I8958" t="s">
        <v>17307</v>
      </c>
      <c r="J8958" t="str">
        <f>HYPERLINK("https://www.boe.es/gazeta/dias/1821/05/01/pdfs/GMD-1821-123.pdf#page=1","Abrir facsímil")</f>
        <v>Abrir facsímil</v>
      </c>
      <c r="K8958" t="s">
        <v>23</v>
      </c>
    </row>
    <row r="8959" spans="1:11" ht="42" customHeight="1">
      <c r="A8959" t="s">
        <v>17308</v>
      </c>
      <c r="B8959" t="s">
        <v>17309</v>
      </c>
      <c r="C8959" t="s">
        <v>279</v>
      </c>
      <c r="D8959" t="s">
        <v>27</v>
      </c>
      <c r="E8959" s="6">
        <v>-28646</v>
      </c>
      <c r="F8959" t="s">
        <v>1457</v>
      </c>
      <c r="G8959" t="s">
        <v>79</v>
      </c>
      <c r="H8959" t="s">
        <v>21</v>
      </c>
      <c r="I8959" t="s">
        <v>17310</v>
      </c>
      <c r="J8959" t="str">
        <f>HYPERLINK("https://www.boe.es/gazeta/dias/1821/07/26/pdfs/GMD-1821-211.pdf#page=4","Abrir facsímil")</f>
        <v>Abrir facsímil</v>
      </c>
      <c r="K8959" t="s">
        <v>23</v>
      </c>
    </row>
    <row r="8960" spans="1:11" ht="42" customHeight="1">
      <c r="A8960" t="s">
        <v>17311</v>
      </c>
      <c r="B8960" t="s">
        <v>17312</v>
      </c>
      <c r="C8960" t="s">
        <v>17</v>
      </c>
      <c r="D8960" t="s">
        <v>18</v>
      </c>
      <c r="E8960" s="6">
        <v>-28807</v>
      </c>
      <c r="F8960" t="s">
        <v>613</v>
      </c>
      <c r="G8960" t="s">
        <v>20</v>
      </c>
      <c r="H8960" t="s">
        <v>21</v>
      </c>
      <c r="I8960" t="s">
        <v>17313</v>
      </c>
      <c r="J8960" t="str">
        <f>HYPERLINK("https://www.boe.es/gazeta/dias/1821/02/15/pdfs/GGB-1821-46.pdf#page=3","Abrir facsímil")</f>
        <v>Abrir facsímil</v>
      </c>
      <c r="K8960" t="s">
        <v>23</v>
      </c>
    </row>
    <row r="8961" spans="1:11" ht="42" customHeight="1">
      <c r="A8961" t="s">
        <v>17314</v>
      </c>
      <c r="B8961" t="s">
        <v>17315</v>
      </c>
      <c r="C8961" t="s">
        <v>26</v>
      </c>
      <c r="D8961" t="s">
        <v>27</v>
      </c>
      <c r="E8961" s="6">
        <v>-28676</v>
      </c>
      <c r="F8961" t="s">
        <v>534</v>
      </c>
      <c r="G8961" t="s">
        <v>29</v>
      </c>
      <c r="H8961" t="s">
        <v>21</v>
      </c>
      <c r="I8961" t="s">
        <v>17316</v>
      </c>
      <c r="J8961" t="str">
        <f>HYPERLINK("https://www.boe.es/gazeta/dias/1821/06/26/pdfs/GMD-1821-179.pdf#page=6","Abrir facsímil")</f>
        <v>Abrir facsímil</v>
      </c>
      <c r="K8961" t="s">
        <v>23</v>
      </c>
    </row>
    <row r="8962" spans="1:11" ht="42" customHeight="1">
      <c r="A8962" t="s">
        <v>17314</v>
      </c>
      <c r="B8962" t="s">
        <v>17315</v>
      </c>
      <c r="C8962" t="s">
        <v>17</v>
      </c>
      <c r="D8962" t="s">
        <v>18</v>
      </c>
      <c r="E8962" s="6">
        <v>-28654</v>
      </c>
      <c r="F8962" t="s">
        <v>674</v>
      </c>
      <c r="G8962" t="s">
        <v>88</v>
      </c>
      <c r="H8962" t="s">
        <v>21</v>
      </c>
      <c r="I8962" t="s">
        <v>17317</v>
      </c>
      <c r="J8962" t="str">
        <f>HYPERLINK("https://www.boe.es/gazeta/dias/1821/07/18/pdfs/GMD-1821-203.pdf#page=4","Abrir facsímil")</f>
        <v>Abrir facsímil</v>
      </c>
      <c r="K8962" t="s">
        <v>23</v>
      </c>
    </row>
    <row r="8963" spans="1:11" ht="42" customHeight="1">
      <c r="A8963" t="s">
        <v>17318</v>
      </c>
      <c r="B8963" t="s">
        <v>17318</v>
      </c>
      <c r="C8963" t="s">
        <v>174</v>
      </c>
      <c r="D8963" t="s">
        <v>27</v>
      </c>
      <c r="E8963" s="6">
        <v>-28531</v>
      </c>
      <c r="F8963" t="s">
        <v>365</v>
      </c>
      <c r="G8963" t="s">
        <v>52</v>
      </c>
      <c r="H8963" t="s">
        <v>21</v>
      </c>
      <c r="I8963" t="s">
        <v>17319</v>
      </c>
      <c r="J8963" t="str">
        <f>HYPERLINK("https://www.boe.es/gazeta/dias/1821/11/18/pdfs/GMD-1821-329.pdf#page=2","Abrir facsímil")</f>
        <v>Abrir facsímil</v>
      </c>
      <c r="K8963" t="s">
        <v>23</v>
      </c>
    </row>
    <row r="8964" spans="1:11" ht="42" customHeight="1">
      <c r="A8964" t="s">
        <v>17320</v>
      </c>
      <c r="B8964" t="s">
        <v>17321</v>
      </c>
      <c r="C8964" t="s">
        <v>279</v>
      </c>
      <c r="D8964" t="s">
        <v>27</v>
      </c>
      <c r="E8964" s="6">
        <v>-28661</v>
      </c>
      <c r="F8964" t="s">
        <v>2298</v>
      </c>
      <c r="G8964" t="s">
        <v>29</v>
      </c>
      <c r="H8964" t="s">
        <v>30</v>
      </c>
      <c r="I8964" t="s">
        <v>17322</v>
      </c>
      <c r="J8964" t="str">
        <f>HYPERLINK("https://www.boe.es/gazeta/dias/1821/07/11/pdfs/GMD-1821-196.pdf#page=6","Abrir facsímil")</f>
        <v>Abrir facsímil</v>
      </c>
      <c r="K8964" t="s">
        <v>32</v>
      </c>
    </row>
    <row r="8965" spans="1:11" ht="42" customHeight="1">
      <c r="A8965" t="s">
        <v>17323</v>
      </c>
      <c r="B8965" t="s">
        <v>17323</v>
      </c>
      <c r="C8965" t="s">
        <v>35</v>
      </c>
      <c r="D8965" t="s">
        <v>27</v>
      </c>
      <c r="E8965" s="6">
        <v>-28801</v>
      </c>
      <c r="F8965" t="s">
        <v>378</v>
      </c>
      <c r="G8965" t="s">
        <v>43</v>
      </c>
      <c r="H8965" t="s">
        <v>21</v>
      </c>
      <c r="I8965" t="s">
        <v>17324</v>
      </c>
      <c r="J8965" t="str">
        <f>HYPERLINK("https://www.boe.es/gazeta/dias/1821/02/21/pdfs/GGB-1821-52.pdf#page=1","Abrir facsímil")</f>
        <v>Abrir facsímil</v>
      </c>
      <c r="K8965" t="s">
        <v>23</v>
      </c>
    </row>
    <row r="8966" spans="1:11" ht="42" customHeight="1">
      <c r="A8966" t="s">
        <v>17325</v>
      </c>
      <c r="B8966" t="s">
        <v>17325</v>
      </c>
      <c r="C8966" t="s">
        <v>40</v>
      </c>
      <c r="D8966" t="s">
        <v>41</v>
      </c>
      <c r="E8966" s="6">
        <v>-28733</v>
      </c>
      <c r="F8966" t="s">
        <v>1033</v>
      </c>
      <c r="G8966" t="s">
        <v>43</v>
      </c>
      <c r="H8966" t="s">
        <v>21</v>
      </c>
      <c r="I8966" t="s">
        <v>17326</v>
      </c>
      <c r="J8966" t="str">
        <f>HYPERLINK("https://www.boe.es/gazeta/dias/1821/04/30/pdfs/GMD-1821-122.pdf#page=1","Abrir facsímil")</f>
        <v>Abrir facsímil</v>
      </c>
      <c r="K8966" t="s">
        <v>23</v>
      </c>
    </row>
    <row r="8967" spans="1:11" ht="42" customHeight="1">
      <c r="A8967" t="s">
        <v>17327</v>
      </c>
      <c r="B8967" t="s">
        <v>17328</v>
      </c>
      <c r="C8967" t="s">
        <v>40</v>
      </c>
      <c r="D8967" t="s">
        <v>41</v>
      </c>
      <c r="E8967" s="6">
        <v>-28531</v>
      </c>
      <c r="F8967" t="s">
        <v>365</v>
      </c>
      <c r="G8967" t="s">
        <v>20</v>
      </c>
      <c r="H8967" t="s">
        <v>21</v>
      </c>
      <c r="I8967" t="s">
        <v>17329</v>
      </c>
      <c r="J8967" t="str">
        <f>HYPERLINK("https://www.boe.es/gazeta/dias/1821/11/18/pdfs/GMD-1821-329.pdf#page=3","Abrir facsímil")</f>
        <v>Abrir facsímil</v>
      </c>
      <c r="K8967" t="s">
        <v>23</v>
      </c>
    </row>
    <row r="8968" spans="1:11" ht="42" customHeight="1">
      <c r="A8968" t="s">
        <v>17330</v>
      </c>
      <c r="B8968" t="s">
        <v>17331</v>
      </c>
      <c r="C8968" t="s">
        <v>40</v>
      </c>
      <c r="D8968" t="s">
        <v>41</v>
      </c>
      <c r="E8968" s="6">
        <v>-28644</v>
      </c>
      <c r="F8968" t="s">
        <v>1340</v>
      </c>
      <c r="G8968" t="s">
        <v>43</v>
      </c>
      <c r="H8968" t="s">
        <v>21</v>
      </c>
      <c r="I8968" t="s">
        <v>17332</v>
      </c>
      <c r="J8968" t="str">
        <f>HYPERLINK("https://www.boe.es/gazeta/dias/1821/07/28/pdfs/GMD-1821-213.pdf#page=1","Abrir facsímil")</f>
        <v>Abrir facsímil</v>
      </c>
      <c r="K8968" t="s">
        <v>23</v>
      </c>
    </row>
    <row r="8969" spans="1:11" ht="42" customHeight="1">
      <c r="A8969" t="s">
        <v>17333</v>
      </c>
      <c r="B8969" t="s">
        <v>17333</v>
      </c>
      <c r="C8969" t="s">
        <v>26</v>
      </c>
      <c r="D8969" t="s">
        <v>27</v>
      </c>
      <c r="E8969" s="6">
        <v>-28623</v>
      </c>
      <c r="F8969" t="s">
        <v>2767</v>
      </c>
      <c r="G8969" t="s">
        <v>20</v>
      </c>
      <c r="H8969" t="s">
        <v>21</v>
      </c>
      <c r="I8969" t="s">
        <v>17334</v>
      </c>
      <c r="J8969" t="str">
        <f>HYPERLINK("https://www.boe.es/gazeta/dias/1821/08/18/pdfs/GMD-1821-235.pdf#page=3","Abrir facsímil")</f>
        <v>Abrir facsímil</v>
      </c>
      <c r="K8969" t="s">
        <v>23</v>
      </c>
    </row>
    <row r="8970" spans="1:11" ht="42" customHeight="1">
      <c r="A8970" t="s">
        <v>17333</v>
      </c>
      <c r="B8970" t="s">
        <v>17333</v>
      </c>
      <c r="C8970" t="s">
        <v>40</v>
      </c>
      <c r="D8970" t="s">
        <v>41</v>
      </c>
      <c r="E8970" s="6">
        <v>-28618</v>
      </c>
      <c r="F8970" t="s">
        <v>4041</v>
      </c>
      <c r="G8970" t="s">
        <v>52</v>
      </c>
      <c r="H8970" t="s">
        <v>21</v>
      </c>
      <c r="I8970" t="s">
        <v>17335</v>
      </c>
      <c r="J8970" t="str">
        <f>HYPERLINK("https://www.boe.es/gazeta/dias/1821/08/23/pdfs/GMD-1821-240.pdf#page=2","Abrir facsímil")</f>
        <v>Abrir facsímil</v>
      </c>
      <c r="K8970" t="s">
        <v>23</v>
      </c>
    </row>
    <row r="8971" spans="1:11" ht="42" customHeight="1">
      <c r="A8971" t="s">
        <v>17333</v>
      </c>
      <c r="B8971" t="s">
        <v>17333</v>
      </c>
      <c r="C8971" t="s">
        <v>35</v>
      </c>
      <c r="D8971" t="s">
        <v>27</v>
      </c>
      <c r="E8971" s="6">
        <v>-28618</v>
      </c>
      <c r="F8971" t="s">
        <v>4041</v>
      </c>
      <c r="G8971" t="s">
        <v>20</v>
      </c>
      <c r="H8971" t="s">
        <v>21</v>
      </c>
      <c r="I8971" t="s">
        <v>17336</v>
      </c>
      <c r="J8971" t="str">
        <f>HYPERLINK("https://www.boe.es/gazeta/dias/1821/08/23/pdfs/GMD-1821-240.pdf#page=3","Abrir facsímil")</f>
        <v>Abrir facsímil</v>
      </c>
      <c r="K8971" t="s">
        <v>23</v>
      </c>
    </row>
    <row r="8972" spans="1:11" ht="42" customHeight="1">
      <c r="A8972" t="s">
        <v>17337</v>
      </c>
      <c r="B8972" t="s">
        <v>17338</v>
      </c>
      <c r="C8972" t="s">
        <v>174</v>
      </c>
      <c r="D8972" t="s">
        <v>27</v>
      </c>
      <c r="E8972" s="6">
        <v>-28623</v>
      </c>
      <c r="F8972" t="s">
        <v>2767</v>
      </c>
      <c r="G8972" t="s">
        <v>20</v>
      </c>
      <c r="H8972" t="s">
        <v>21</v>
      </c>
      <c r="I8972" t="s">
        <v>17339</v>
      </c>
      <c r="J8972" t="str">
        <f>HYPERLINK("https://www.boe.es/gazeta/dias/1821/08/18/pdfs/GMD-1821-235.pdf#page=3","Abrir facsímil")</f>
        <v>Abrir facsímil</v>
      </c>
      <c r="K8972" t="s">
        <v>23</v>
      </c>
    </row>
    <row r="8973" spans="1:11" ht="42" customHeight="1">
      <c r="A8973" t="s">
        <v>17340</v>
      </c>
      <c r="B8973" t="s">
        <v>17341</v>
      </c>
      <c r="C8973" t="s">
        <v>17</v>
      </c>
      <c r="D8973" t="s">
        <v>18</v>
      </c>
      <c r="E8973" s="6">
        <v>-28801</v>
      </c>
      <c r="F8973" t="s">
        <v>378</v>
      </c>
      <c r="G8973" t="s">
        <v>20</v>
      </c>
      <c r="H8973" t="s">
        <v>21</v>
      </c>
      <c r="I8973" t="s">
        <v>17342</v>
      </c>
      <c r="J8973" t="str">
        <f>HYPERLINK("https://www.boe.es/gazeta/dias/1821/02/21/pdfs/GGB-1821-52.pdf#page=3","Abrir facsímil")</f>
        <v>Abrir facsímil</v>
      </c>
      <c r="K8973" t="s">
        <v>23</v>
      </c>
    </row>
    <row r="8974" spans="1:11" ht="42" customHeight="1">
      <c r="A8974" t="s">
        <v>17343</v>
      </c>
      <c r="B8974" t="s">
        <v>17344</v>
      </c>
      <c r="C8974" t="s">
        <v>40</v>
      </c>
      <c r="D8974" t="s">
        <v>41</v>
      </c>
      <c r="E8974" s="6">
        <v>-28699</v>
      </c>
      <c r="F8974" t="s">
        <v>280</v>
      </c>
      <c r="G8974" t="s">
        <v>43</v>
      </c>
      <c r="H8974" t="s">
        <v>21</v>
      </c>
      <c r="I8974" t="s">
        <v>17345</v>
      </c>
      <c r="J8974" t="str">
        <f>HYPERLINK("https://www.boe.es/gazeta/dias/1821/06/03/pdfs/GMD-1821-156.pdf#page=1","Abrir facsímil")</f>
        <v>Abrir facsímil</v>
      </c>
      <c r="K8974" t="s">
        <v>23</v>
      </c>
    </row>
    <row r="8975" spans="1:11" ht="42" customHeight="1">
      <c r="A8975" t="s">
        <v>17346</v>
      </c>
      <c r="B8975" t="s">
        <v>17347</v>
      </c>
      <c r="C8975" t="s">
        <v>40</v>
      </c>
      <c r="D8975" t="s">
        <v>41</v>
      </c>
      <c r="E8975" s="6">
        <v>-28764</v>
      </c>
      <c r="F8975" t="s">
        <v>924</v>
      </c>
      <c r="G8975" t="s">
        <v>52</v>
      </c>
      <c r="H8975" t="s">
        <v>30</v>
      </c>
      <c r="I8975" t="s">
        <v>17348</v>
      </c>
      <c r="J8975" t="str">
        <f>HYPERLINK("https://www.boe.es/gazeta/dias/1821/03/30/pdfs/GMD-1821-91.pdf#page=2","Abrir facsímil")</f>
        <v>Abrir facsímil</v>
      </c>
      <c r="K8975" t="s">
        <v>32</v>
      </c>
    </row>
    <row r="8976" spans="1:11" ht="42" customHeight="1">
      <c r="A8976" t="s">
        <v>17349</v>
      </c>
      <c r="B8976" t="s">
        <v>17349</v>
      </c>
      <c r="C8976" t="s">
        <v>35</v>
      </c>
      <c r="D8976" t="s">
        <v>27</v>
      </c>
      <c r="E8976" s="6">
        <v>-28618</v>
      </c>
      <c r="F8976" t="s">
        <v>4041</v>
      </c>
      <c r="G8976" t="s">
        <v>52</v>
      </c>
      <c r="H8976" t="s">
        <v>21</v>
      </c>
      <c r="I8976" t="s">
        <v>17350</v>
      </c>
      <c r="J8976" t="str">
        <f>HYPERLINK("https://www.boe.es/gazeta/dias/1821/08/23/pdfs/GMD-1821-240.pdf#page=2","Abrir facsímil")</f>
        <v>Abrir facsímil</v>
      </c>
      <c r="K8976" t="s">
        <v>23</v>
      </c>
    </row>
    <row r="8977" spans="1:11" ht="42" customHeight="1">
      <c r="A8977" t="s">
        <v>17351</v>
      </c>
      <c r="B8977" t="s">
        <v>17352</v>
      </c>
      <c r="C8977" t="s">
        <v>26</v>
      </c>
      <c r="D8977" t="s">
        <v>27</v>
      </c>
      <c r="E8977" s="6">
        <v>-28738</v>
      </c>
      <c r="F8977" t="s">
        <v>359</v>
      </c>
      <c r="G8977" t="s">
        <v>88</v>
      </c>
      <c r="H8977" t="s">
        <v>21</v>
      </c>
      <c r="I8977" t="s">
        <v>17353</v>
      </c>
      <c r="J8977" t="str">
        <f>HYPERLINK("https://www.boe.es/gazeta/dias/1821/04/25/pdfs/GMD-1821-117.pdf#page=4","Abrir facsímil")</f>
        <v>Abrir facsímil</v>
      </c>
      <c r="K8977" t="s">
        <v>23</v>
      </c>
    </row>
    <row r="8978" spans="1:11" ht="42" customHeight="1">
      <c r="A8978" t="s">
        <v>17351</v>
      </c>
      <c r="B8978" t="s">
        <v>17352</v>
      </c>
      <c r="C8978" t="s">
        <v>17</v>
      </c>
      <c r="D8978" t="s">
        <v>18</v>
      </c>
      <c r="E8978" s="6">
        <v>-28557</v>
      </c>
      <c r="F8978" t="s">
        <v>316</v>
      </c>
      <c r="G8978" t="s">
        <v>29</v>
      </c>
      <c r="H8978" t="s">
        <v>21</v>
      </c>
      <c r="I8978" t="s">
        <v>17354</v>
      </c>
      <c r="J8978" t="str">
        <f>HYPERLINK("https://www.boe.es/gazeta/dias/1821/10/23/pdfs/GMD-1821-302.pdf#page=6","Abrir facsímil")</f>
        <v>Abrir facsímil</v>
      </c>
      <c r="K8978" t="s">
        <v>23</v>
      </c>
    </row>
    <row r="8979" spans="1:11" ht="42" customHeight="1">
      <c r="A8979" t="s">
        <v>17355</v>
      </c>
      <c r="B8979" t="s">
        <v>17356</v>
      </c>
      <c r="C8979" t="s">
        <v>17</v>
      </c>
      <c r="D8979" t="s">
        <v>18</v>
      </c>
      <c r="E8979" s="6">
        <v>-28553</v>
      </c>
      <c r="F8979" t="s">
        <v>182</v>
      </c>
      <c r="G8979" t="s">
        <v>29</v>
      </c>
      <c r="H8979" t="s">
        <v>30</v>
      </c>
      <c r="I8979" t="s">
        <v>17357</v>
      </c>
      <c r="J8979" t="str">
        <f>HYPERLINK("https://www.boe.es/gazeta/dias/1821/10/27/pdfs/GMD-1821-306.pdf#page=6","Abrir facsímil")</f>
        <v>Abrir facsímil</v>
      </c>
      <c r="K8979" t="s">
        <v>32</v>
      </c>
    </row>
    <row r="8980" spans="1:11" ht="42" customHeight="1">
      <c r="A8980" t="s">
        <v>17358</v>
      </c>
      <c r="B8980" t="s">
        <v>17359</v>
      </c>
      <c r="C8980" t="s">
        <v>35</v>
      </c>
      <c r="D8980" t="s">
        <v>27</v>
      </c>
      <c r="E8980" s="6">
        <v>-28744</v>
      </c>
      <c r="F8980" t="s">
        <v>834</v>
      </c>
      <c r="G8980" t="s">
        <v>52</v>
      </c>
      <c r="H8980" t="s">
        <v>30</v>
      </c>
      <c r="I8980" t="s">
        <v>17360</v>
      </c>
      <c r="J8980" t="str">
        <f>HYPERLINK("https://www.boe.es/gazeta/dias/1821/04/19/pdfs/GMD-1821-111.pdf#page=2","Abrir facsímil")</f>
        <v>Abrir facsímil</v>
      </c>
      <c r="K8980" t="s">
        <v>32</v>
      </c>
    </row>
    <row r="8981" spans="1:11" ht="42" customHeight="1">
      <c r="A8981" t="s">
        <v>17361</v>
      </c>
      <c r="B8981" t="s">
        <v>17361</v>
      </c>
      <c r="C8981" t="s">
        <v>40</v>
      </c>
      <c r="D8981" t="s">
        <v>41</v>
      </c>
      <c r="E8981" s="6">
        <v>-28783</v>
      </c>
      <c r="F8981" t="s">
        <v>198</v>
      </c>
      <c r="G8981" t="s">
        <v>20</v>
      </c>
      <c r="H8981" t="s">
        <v>21</v>
      </c>
      <c r="I8981" t="s">
        <v>17362</v>
      </c>
      <c r="J8981" t="str">
        <f>HYPERLINK("https://www.boe.es/gazeta/dias/1821/03/11/pdfs/GGB-1821-70.pdf#page=3","Abrir facsímil")</f>
        <v>Abrir facsímil</v>
      </c>
      <c r="K8981" t="s">
        <v>23</v>
      </c>
    </row>
    <row r="8982" spans="1:11" ht="42" customHeight="1">
      <c r="A8982" t="s">
        <v>17361</v>
      </c>
      <c r="B8982" t="s">
        <v>17361</v>
      </c>
      <c r="C8982" t="s">
        <v>40</v>
      </c>
      <c r="D8982" t="s">
        <v>41</v>
      </c>
      <c r="E8982" s="6">
        <v>-28779</v>
      </c>
      <c r="F8982" t="s">
        <v>1002</v>
      </c>
      <c r="G8982" t="s">
        <v>52</v>
      </c>
      <c r="H8982" t="s">
        <v>21</v>
      </c>
      <c r="I8982" t="s">
        <v>17363</v>
      </c>
      <c r="J8982" t="str">
        <f>HYPERLINK("https://www.boe.es/gazeta/dias/1821/03/15/pdfs/GMD-1821-74.pdf#page=2","Abrir facsímil")</f>
        <v>Abrir facsímil</v>
      </c>
      <c r="K8982" t="s">
        <v>23</v>
      </c>
    </row>
    <row r="8983" spans="1:11" ht="42" customHeight="1">
      <c r="A8983" t="s">
        <v>17364</v>
      </c>
      <c r="B8983" t="s">
        <v>17364</v>
      </c>
      <c r="C8983" t="s">
        <v>40</v>
      </c>
      <c r="D8983" t="s">
        <v>41</v>
      </c>
      <c r="E8983" s="6">
        <v>-28515</v>
      </c>
      <c r="F8983" t="s">
        <v>260</v>
      </c>
      <c r="G8983" t="s">
        <v>333</v>
      </c>
      <c r="H8983" t="s">
        <v>21</v>
      </c>
      <c r="I8983" t="s">
        <v>17365</v>
      </c>
      <c r="J8983" t="str">
        <f>HYPERLINK("https://www.boe.es/gazeta/dias/1821/12/04/pdfs/GMD-1821-346.pdf#page=8","Abrir facsímil")</f>
        <v>Abrir facsímil</v>
      </c>
      <c r="K8983" t="s">
        <v>23</v>
      </c>
    </row>
    <row r="8984" spans="1:11" ht="42" customHeight="1">
      <c r="A8984" t="s">
        <v>17366</v>
      </c>
      <c r="B8984" t="s">
        <v>17367</v>
      </c>
      <c r="C8984" t="s">
        <v>174</v>
      </c>
      <c r="D8984" t="s">
        <v>27</v>
      </c>
      <c r="E8984" s="6">
        <v>-28701</v>
      </c>
      <c r="F8984" t="s">
        <v>202</v>
      </c>
      <c r="G8984" t="s">
        <v>88</v>
      </c>
      <c r="H8984" t="s">
        <v>21</v>
      </c>
      <c r="I8984" t="s">
        <v>17368</v>
      </c>
      <c r="J8984" t="str">
        <f>HYPERLINK("https://www.boe.es/gazeta/dias/1821/06/01/pdfs/GMD-1821-154.pdf#page=4","Abrir facsímil")</f>
        <v>Abrir facsímil</v>
      </c>
      <c r="K8984" t="s">
        <v>23</v>
      </c>
    </row>
    <row r="8985" spans="1:11" ht="42" customHeight="1">
      <c r="A8985" t="s">
        <v>17369</v>
      </c>
      <c r="B8985" t="s">
        <v>17370</v>
      </c>
      <c r="C8985" t="s">
        <v>26</v>
      </c>
      <c r="D8985" t="s">
        <v>27</v>
      </c>
      <c r="E8985" s="6">
        <v>-28641</v>
      </c>
      <c r="F8985" t="s">
        <v>398</v>
      </c>
      <c r="G8985" t="s">
        <v>88</v>
      </c>
      <c r="H8985" t="s">
        <v>30</v>
      </c>
      <c r="I8985" t="s">
        <v>17371</v>
      </c>
      <c r="J8985" t="str">
        <f>HYPERLINK("https://www.boe.es/gazeta/dias/1821/07/31/pdfs/GMD-1821-216.pdf#page=4","Abrir facsímil")</f>
        <v>Abrir facsímil</v>
      </c>
      <c r="K8985" t="s">
        <v>32</v>
      </c>
    </row>
    <row r="8986" spans="1:11" ht="42" customHeight="1">
      <c r="A8986" t="s">
        <v>17372</v>
      </c>
      <c r="B8986" t="s">
        <v>17373</v>
      </c>
      <c r="C8986" t="s">
        <v>17</v>
      </c>
      <c r="D8986" t="s">
        <v>18</v>
      </c>
      <c r="E8986" s="6">
        <v>-28675</v>
      </c>
      <c r="F8986" t="s">
        <v>943</v>
      </c>
      <c r="G8986" t="s">
        <v>333</v>
      </c>
      <c r="H8986" t="s">
        <v>30</v>
      </c>
      <c r="I8986" t="s">
        <v>17374</v>
      </c>
      <c r="J8986" t="str">
        <f>HYPERLINK("https://www.boe.es/gazeta/dias/1821/06/27/pdfs/GMD-1821-180.pdf#page=8","Abrir facsímil")</f>
        <v>Abrir facsímil</v>
      </c>
      <c r="K8986" t="s">
        <v>32</v>
      </c>
    </row>
    <row r="8987" spans="1:11" ht="42" customHeight="1">
      <c r="A8987" t="s">
        <v>17375</v>
      </c>
      <c r="B8987" t="s">
        <v>17376</v>
      </c>
      <c r="C8987" t="s">
        <v>40</v>
      </c>
      <c r="D8987" t="s">
        <v>41</v>
      </c>
      <c r="E8987" s="6">
        <v>-28731</v>
      </c>
      <c r="F8987" t="s">
        <v>577</v>
      </c>
      <c r="G8987" t="s">
        <v>88</v>
      </c>
      <c r="H8987" t="s">
        <v>21</v>
      </c>
      <c r="I8987" t="s">
        <v>17377</v>
      </c>
      <c r="J8987" t="str">
        <f>HYPERLINK("https://www.boe.es/gazeta/dias/1821/05/02/pdfs/GMD-1821-124.pdf#page=4","Abrir facsímil")</f>
        <v>Abrir facsímil</v>
      </c>
      <c r="K8987" t="s">
        <v>23</v>
      </c>
    </row>
    <row r="8988" spans="1:11" ht="42" customHeight="1">
      <c r="A8988" t="s">
        <v>17378</v>
      </c>
      <c r="B8988" t="s">
        <v>17379</v>
      </c>
      <c r="C8988" t="s">
        <v>17</v>
      </c>
      <c r="D8988" t="s">
        <v>18</v>
      </c>
      <c r="E8988" s="6">
        <v>-28569</v>
      </c>
      <c r="F8988" t="s">
        <v>512</v>
      </c>
      <c r="G8988" t="s">
        <v>52</v>
      </c>
      <c r="H8988" t="s">
        <v>21</v>
      </c>
      <c r="I8988" t="s">
        <v>17380</v>
      </c>
      <c r="J8988" t="str">
        <f>HYPERLINK("https://www.boe.es/gazeta/dias/1821/10/11/pdfs/GMD-1821-290.pdf#page=2","Abrir facsímil")</f>
        <v>Abrir facsímil</v>
      </c>
      <c r="K8988" t="s">
        <v>23</v>
      </c>
    </row>
    <row r="8989" spans="1:11" ht="42" customHeight="1">
      <c r="A8989" t="s">
        <v>17381</v>
      </c>
      <c r="B8989" t="s">
        <v>17382</v>
      </c>
      <c r="C8989" t="s">
        <v>40</v>
      </c>
      <c r="D8989" t="s">
        <v>41</v>
      </c>
      <c r="E8989" s="6">
        <v>-28508</v>
      </c>
      <c r="F8989" t="s">
        <v>42</v>
      </c>
      <c r="G8989" t="s">
        <v>43</v>
      </c>
      <c r="H8989" t="s">
        <v>21</v>
      </c>
      <c r="I8989" t="s">
        <v>17383</v>
      </c>
      <c r="J8989" t="str">
        <f>HYPERLINK("https://www.boe.es/gazeta/dias/1821/12/11/pdfs/GMD-1821-353.pdf#page=1","Abrir facsímil")</f>
        <v>Abrir facsímil</v>
      </c>
      <c r="K8989" t="s">
        <v>23</v>
      </c>
    </row>
    <row r="8990" spans="1:11" ht="42" customHeight="1">
      <c r="A8990" t="s">
        <v>17384</v>
      </c>
      <c r="B8990" t="s">
        <v>17385</v>
      </c>
      <c r="C8990" t="s">
        <v>17</v>
      </c>
      <c r="D8990" t="s">
        <v>18</v>
      </c>
      <c r="E8990" s="6">
        <v>-28782</v>
      </c>
      <c r="F8990" t="s">
        <v>508</v>
      </c>
      <c r="G8990" t="s">
        <v>20</v>
      </c>
      <c r="H8990" t="s">
        <v>21</v>
      </c>
      <c r="I8990" t="s">
        <v>17386</v>
      </c>
      <c r="J8990" t="str">
        <f>HYPERLINK("https://www.boe.es/gazeta/dias/1821/03/12/pdfs/GMD-1821-71.pdf#page=3","Abrir facsímil")</f>
        <v>Abrir facsímil</v>
      </c>
      <c r="K8990" t="s">
        <v>23</v>
      </c>
    </row>
    <row r="8991" spans="1:11" ht="42" customHeight="1">
      <c r="A8991" t="s">
        <v>17387</v>
      </c>
      <c r="B8991" t="s">
        <v>17388</v>
      </c>
      <c r="C8991" t="s">
        <v>40</v>
      </c>
      <c r="D8991" t="s">
        <v>41</v>
      </c>
      <c r="E8991" s="6">
        <v>-28492</v>
      </c>
      <c r="F8991" t="s">
        <v>1550</v>
      </c>
      <c r="G8991" t="s">
        <v>88</v>
      </c>
      <c r="H8991" t="s">
        <v>21</v>
      </c>
      <c r="I8991" t="s">
        <v>17389</v>
      </c>
      <c r="J8991" t="str">
        <f>HYPERLINK("https://www.boe.es/gazeta/dias/1821/12/27/pdfs/GMD-1821-370.pdf#page=4","Abrir facsímil")</f>
        <v>Abrir facsímil</v>
      </c>
      <c r="K8991" t="s">
        <v>23</v>
      </c>
    </row>
    <row r="8992" spans="1:11" ht="42" customHeight="1">
      <c r="A8992" t="s">
        <v>17390</v>
      </c>
      <c r="B8992" t="s">
        <v>17390</v>
      </c>
      <c r="C8992" t="s">
        <v>35</v>
      </c>
      <c r="D8992" t="s">
        <v>27</v>
      </c>
      <c r="E8992" s="6">
        <v>-28699</v>
      </c>
      <c r="F8992" t="s">
        <v>280</v>
      </c>
      <c r="G8992" t="s">
        <v>20</v>
      </c>
      <c r="H8992" t="s">
        <v>21</v>
      </c>
      <c r="I8992" t="s">
        <v>17391</v>
      </c>
      <c r="J8992" t="str">
        <f>HYPERLINK("https://www.boe.es/gazeta/dias/1821/06/03/pdfs/GMD-1821-156.pdf#page=3","Abrir facsímil")</f>
        <v>Abrir facsímil</v>
      </c>
      <c r="K8992" t="s">
        <v>23</v>
      </c>
    </row>
    <row r="8993" spans="1:11" ht="42" customHeight="1">
      <c r="A8993" t="s">
        <v>17392</v>
      </c>
      <c r="B8993" t="s">
        <v>17393</v>
      </c>
      <c r="C8993" t="s">
        <v>40</v>
      </c>
      <c r="D8993" t="s">
        <v>41</v>
      </c>
      <c r="E8993" s="6">
        <v>-28656</v>
      </c>
      <c r="F8993" t="s">
        <v>2399</v>
      </c>
      <c r="G8993" t="s">
        <v>43</v>
      </c>
      <c r="H8993" t="s">
        <v>21</v>
      </c>
      <c r="I8993" t="s">
        <v>17394</v>
      </c>
      <c r="J8993" t="str">
        <f>HYPERLINK("https://www.boe.es/gazeta/dias/1821/07/16/pdfs/GMD-1821-201.pdf#page=1","Abrir facsímil")</f>
        <v>Abrir facsímil</v>
      </c>
      <c r="K8993" t="s">
        <v>23</v>
      </c>
    </row>
    <row r="8994" spans="1:11" ht="42" customHeight="1">
      <c r="A8994" t="s">
        <v>17395</v>
      </c>
      <c r="B8994" t="s">
        <v>17395</v>
      </c>
      <c r="C8994" t="s">
        <v>17</v>
      </c>
      <c r="D8994" t="s">
        <v>18</v>
      </c>
      <c r="E8994" s="6">
        <v>-28738</v>
      </c>
      <c r="F8994" t="s">
        <v>359</v>
      </c>
      <c r="G8994" t="s">
        <v>20</v>
      </c>
      <c r="H8994" t="s">
        <v>21</v>
      </c>
      <c r="I8994" t="s">
        <v>17396</v>
      </c>
      <c r="J8994" t="str">
        <f>HYPERLINK("https://www.boe.es/gazeta/dias/1821/04/25/pdfs/GMD-1821-117.pdf#page=3","Abrir facsímil")</f>
        <v>Abrir facsímil</v>
      </c>
      <c r="K8994" t="s">
        <v>23</v>
      </c>
    </row>
    <row r="8995" spans="1:11" ht="42" customHeight="1">
      <c r="A8995" t="s">
        <v>17395</v>
      </c>
      <c r="B8995" t="s">
        <v>17395</v>
      </c>
      <c r="C8995" t="s">
        <v>26</v>
      </c>
      <c r="D8995" t="s">
        <v>27</v>
      </c>
      <c r="E8995" s="6">
        <v>-28698</v>
      </c>
      <c r="F8995" t="s">
        <v>2067</v>
      </c>
      <c r="G8995" t="s">
        <v>20</v>
      </c>
      <c r="H8995" t="s">
        <v>21</v>
      </c>
      <c r="I8995" t="s">
        <v>17397</v>
      </c>
      <c r="J8995" t="str">
        <f>HYPERLINK("https://www.boe.es/gazeta/dias/1821/06/04/pdfs/GMD-1821-157.pdf#page=3","Abrir facsímil")</f>
        <v>Abrir facsímil</v>
      </c>
      <c r="K8995" t="s">
        <v>23</v>
      </c>
    </row>
    <row r="8996" spans="1:11" ht="42" customHeight="1">
      <c r="A8996" t="s">
        <v>17395</v>
      </c>
      <c r="B8996" t="s">
        <v>17395</v>
      </c>
      <c r="C8996" t="s">
        <v>40</v>
      </c>
      <c r="D8996" t="s">
        <v>41</v>
      </c>
      <c r="E8996" s="6">
        <v>-28690</v>
      </c>
      <c r="F8996" t="s">
        <v>846</v>
      </c>
      <c r="G8996" t="s">
        <v>847</v>
      </c>
      <c r="H8996" t="s">
        <v>21</v>
      </c>
      <c r="I8996" t="s">
        <v>17398</v>
      </c>
      <c r="J8996" t="str">
        <f>HYPERLINK("https://www.boe.es/gazeta/dias/1821/06/12/pdfs/GMD-1821-165.pdf#page=2","Abrir facsímil")</f>
        <v>Abrir facsímil</v>
      </c>
      <c r="K8996" t="s">
        <v>23</v>
      </c>
    </row>
    <row r="8997" spans="1:11" ht="42" customHeight="1">
      <c r="A8997" t="s">
        <v>17395</v>
      </c>
      <c r="B8997" t="s">
        <v>17395</v>
      </c>
      <c r="C8997" t="s">
        <v>17</v>
      </c>
      <c r="D8997" t="s">
        <v>18</v>
      </c>
      <c r="E8997" s="6">
        <v>-28676</v>
      </c>
      <c r="F8997" t="s">
        <v>534</v>
      </c>
      <c r="G8997" t="s">
        <v>162</v>
      </c>
      <c r="H8997" t="s">
        <v>21</v>
      </c>
      <c r="I8997" t="s">
        <v>17399</v>
      </c>
      <c r="J8997" t="str">
        <f>HYPERLINK("https://www.boe.es/gazeta/dias/1821/06/26/pdfs/GMD-1821-179.pdf#page=5","Abrir facsímil")</f>
        <v>Abrir facsímil</v>
      </c>
      <c r="K8997" t="s">
        <v>23</v>
      </c>
    </row>
    <row r="8998" spans="1:11" ht="42" customHeight="1">
      <c r="A8998" t="s">
        <v>17395</v>
      </c>
      <c r="B8998" t="s">
        <v>17395</v>
      </c>
      <c r="C8998" t="s">
        <v>26</v>
      </c>
      <c r="D8998" t="s">
        <v>27</v>
      </c>
      <c r="E8998" s="6">
        <v>-28545</v>
      </c>
      <c r="F8998" t="s">
        <v>284</v>
      </c>
      <c r="G8998" t="s">
        <v>20</v>
      </c>
      <c r="H8998" t="s">
        <v>21</v>
      </c>
      <c r="I8998" t="s">
        <v>17400</v>
      </c>
      <c r="J8998" t="str">
        <f>HYPERLINK("https://www.boe.es/gazeta/dias/1821/11/04/pdfs/GMD-1821-315.pdf#page=3","Abrir facsímil")</f>
        <v>Abrir facsímil</v>
      </c>
      <c r="K8998" t="s">
        <v>23</v>
      </c>
    </row>
    <row r="8999" spans="1:11" ht="42" customHeight="1">
      <c r="A8999" t="s">
        <v>17395</v>
      </c>
      <c r="B8999" t="s">
        <v>17395</v>
      </c>
      <c r="C8999" t="s">
        <v>40</v>
      </c>
      <c r="D8999" t="s">
        <v>41</v>
      </c>
      <c r="E8999" s="6">
        <v>-28527</v>
      </c>
      <c r="F8999" t="s">
        <v>328</v>
      </c>
      <c r="G8999" t="s">
        <v>6605</v>
      </c>
      <c r="H8999" t="s">
        <v>21</v>
      </c>
      <c r="I8999" t="s">
        <v>17401</v>
      </c>
      <c r="J8999" t="str">
        <f>HYPERLINK("https://www.boe.es/gazeta/dias/1821/11/22/pdfs/GMD-1821-333.pdf#page=2","Abrir facsímil")</f>
        <v>Abrir facsímil</v>
      </c>
      <c r="K8999" t="s">
        <v>23</v>
      </c>
    </row>
    <row r="9000" spans="1:11" ht="42" customHeight="1">
      <c r="A9000" t="s">
        <v>17395</v>
      </c>
      <c r="B9000" t="s">
        <v>17395</v>
      </c>
      <c r="C9000" t="s">
        <v>70</v>
      </c>
      <c r="D9000" t="s">
        <v>27</v>
      </c>
      <c r="E9000" s="6">
        <v>-28517</v>
      </c>
      <c r="F9000" t="s">
        <v>563</v>
      </c>
      <c r="G9000" t="s">
        <v>20</v>
      </c>
      <c r="H9000" t="s">
        <v>21</v>
      </c>
      <c r="I9000" t="s">
        <v>17402</v>
      </c>
      <c r="J9000" t="str">
        <f>HYPERLINK("https://www.boe.es/gazeta/dias/1821/12/02/pdfs/GMD-1821-344.pdf#page=3","Abrir facsímil")</f>
        <v>Abrir facsímil</v>
      </c>
      <c r="K9000" t="s">
        <v>23</v>
      </c>
    </row>
    <row r="9001" spans="1:11" ht="42" customHeight="1">
      <c r="A9001" t="s">
        <v>17403</v>
      </c>
      <c r="B9001" t="s">
        <v>17403</v>
      </c>
      <c r="C9001" t="s">
        <v>17</v>
      </c>
      <c r="D9001" t="s">
        <v>18</v>
      </c>
      <c r="E9001" s="6">
        <v>-28787</v>
      </c>
      <c r="F9001" t="s">
        <v>486</v>
      </c>
      <c r="G9001" t="s">
        <v>52</v>
      </c>
      <c r="H9001" t="s">
        <v>21</v>
      </c>
      <c r="I9001" t="s">
        <v>17404</v>
      </c>
      <c r="J9001" t="str">
        <f>HYPERLINK("https://www.boe.es/gazeta/dias/1821/03/07/pdfs/GGB-1821-66.pdf#page=2","Abrir facsímil")</f>
        <v>Abrir facsímil</v>
      </c>
      <c r="K9001" t="s">
        <v>23</v>
      </c>
    </row>
    <row r="9002" spans="1:11" ht="42" customHeight="1">
      <c r="A9002" t="s">
        <v>17403</v>
      </c>
      <c r="B9002" t="s">
        <v>17403</v>
      </c>
      <c r="C9002" t="s">
        <v>17</v>
      </c>
      <c r="D9002" t="s">
        <v>18</v>
      </c>
      <c r="E9002" s="6">
        <v>-28776</v>
      </c>
      <c r="F9002" t="s">
        <v>312</v>
      </c>
      <c r="G9002" t="s">
        <v>52</v>
      </c>
      <c r="H9002" t="s">
        <v>21</v>
      </c>
      <c r="I9002" t="s">
        <v>17405</v>
      </c>
      <c r="J9002" t="str">
        <f>HYPERLINK("https://www.boe.es/gazeta/dias/1821/03/18/pdfs/GMD-1821-77.pdf#page=2","Abrir facsímil")</f>
        <v>Abrir facsímil</v>
      </c>
      <c r="K9002" t="s">
        <v>23</v>
      </c>
    </row>
    <row r="9003" spans="1:11" ht="42" customHeight="1">
      <c r="A9003" t="s">
        <v>17403</v>
      </c>
      <c r="B9003" t="s">
        <v>17403</v>
      </c>
      <c r="C9003" t="s">
        <v>35</v>
      </c>
      <c r="D9003" t="s">
        <v>27</v>
      </c>
      <c r="E9003" s="6">
        <v>-28768</v>
      </c>
      <c r="F9003" t="s">
        <v>1114</v>
      </c>
      <c r="G9003" t="s">
        <v>20</v>
      </c>
      <c r="H9003" t="s">
        <v>21</v>
      </c>
      <c r="I9003" t="s">
        <v>17406</v>
      </c>
      <c r="J9003" t="str">
        <f>HYPERLINK("https://www.boe.es/gazeta/dias/1821/03/26/pdfs/GMD-1821-86.pdf#page=3","Abrir facsímil")</f>
        <v>Abrir facsímil</v>
      </c>
      <c r="K9003" t="s">
        <v>23</v>
      </c>
    </row>
    <row r="9004" spans="1:11" ht="42" customHeight="1">
      <c r="A9004" t="s">
        <v>17403</v>
      </c>
      <c r="B9004" t="s">
        <v>17403</v>
      </c>
      <c r="C9004" t="s">
        <v>40</v>
      </c>
      <c r="D9004" t="s">
        <v>41</v>
      </c>
      <c r="E9004" s="6">
        <v>-28767</v>
      </c>
      <c r="F9004" t="s">
        <v>1439</v>
      </c>
      <c r="G9004" t="s">
        <v>1440</v>
      </c>
      <c r="H9004" t="s">
        <v>21</v>
      </c>
      <c r="I9004" t="s">
        <v>17407</v>
      </c>
      <c r="J9004" t="str">
        <f>HYPERLINK("https://www.boe.es/gazeta/dias/1821/03/27/pdfs/GMD-1821-87.pdf#page=3","Abrir facsímil")</f>
        <v>Abrir facsímil</v>
      </c>
      <c r="K9004" t="s">
        <v>23</v>
      </c>
    </row>
    <row r="9005" spans="1:11" ht="42" customHeight="1">
      <c r="A9005" t="s">
        <v>17403</v>
      </c>
      <c r="B9005" t="s">
        <v>17403</v>
      </c>
      <c r="C9005" t="s">
        <v>70</v>
      </c>
      <c r="D9005" t="s">
        <v>27</v>
      </c>
      <c r="E9005" s="6">
        <v>-28766</v>
      </c>
      <c r="F9005" t="s">
        <v>1481</v>
      </c>
      <c r="G9005" t="s">
        <v>20</v>
      </c>
      <c r="H9005" t="s">
        <v>21</v>
      </c>
      <c r="I9005" t="s">
        <v>17408</v>
      </c>
      <c r="J9005" t="str">
        <f>HYPERLINK("https://www.boe.es/gazeta/dias/1821/03/28/pdfs/GMD-1821-88.pdf#page=3","Abrir facsímil")</f>
        <v>Abrir facsímil</v>
      </c>
      <c r="K9005" t="s">
        <v>23</v>
      </c>
    </row>
    <row r="9006" spans="1:11" ht="42" customHeight="1">
      <c r="A9006" t="s">
        <v>17403</v>
      </c>
      <c r="B9006" t="s">
        <v>17403</v>
      </c>
      <c r="C9006" t="s">
        <v>174</v>
      </c>
      <c r="D9006" t="s">
        <v>27</v>
      </c>
      <c r="E9006" s="6">
        <v>-28765</v>
      </c>
      <c r="F9006" t="s">
        <v>974</v>
      </c>
      <c r="G9006" t="s">
        <v>20</v>
      </c>
      <c r="H9006" t="s">
        <v>21</v>
      </c>
      <c r="I9006" t="s">
        <v>17409</v>
      </c>
      <c r="J9006" t="str">
        <f>HYPERLINK("https://www.boe.es/gazeta/dias/1821/03/29/pdfs/GMD-1821-90.pdf#page=3","Abrir facsímil")</f>
        <v>Abrir facsímil</v>
      </c>
      <c r="K9006" t="s">
        <v>23</v>
      </c>
    </row>
    <row r="9007" spans="1:11" ht="42" customHeight="1">
      <c r="A9007" t="s">
        <v>17403</v>
      </c>
      <c r="B9007" t="s">
        <v>17403</v>
      </c>
      <c r="C9007" t="s">
        <v>26</v>
      </c>
      <c r="D9007" t="s">
        <v>27</v>
      </c>
      <c r="E9007" s="6">
        <v>-28764</v>
      </c>
      <c r="F9007" t="s">
        <v>924</v>
      </c>
      <c r="G9007" t="s">
        <v>88</v>
      </c>
      <c r="H9007" t="s">
        <v>21</v>
      </c>
      <c r="I9007" t="s">
        <v>17410</v>
      </c>
      <c r="J9007" t="str">
        <f>HYPERLINK("https://www.boe.es/gazeta/dias/1821/03/30/pdfs/GMD-1821-91.pdf#page=4","Abrir facsímil")</f>
        <v>Abrir facsímil</v>
      </c>
      <c r="K9007" t="s">
        <v>23</v>
      </c>
    </row>
    <row r="9008" spans="1:11" ht="42" customHeight="1">
      <c r="A9008" t="s">
        <v>17403</v>
      </c>
      <c r="B9008" t="s">
        <v>17403</v>
      </c>
      <c r="C9008" t="s">
        <v>174</v>
      </c>
      <c r="D9008" t="s">
        <v>27</v>
      </c>
      <c r="E9008" s="6">
        <v>-28762</v>
      </c>
      <c r="F9008" t="s">
        <v>608</v>
      </c>
      <c r="G9008" t="s">
        <v>333</v>
      </c>
      <c r="H9008" t="s">
        <v>21</v>
      </c>
      <c r="I9008" t="s">
        <v>17411</v>
      </c>
      <c r="J9008" t="str">
        <f>HYPERLINK("https://www.boe.es/gazeta/dias/1821/04/01/pdfs/GMD-1821-93.pdf#page=8","Abrir facsímil")</f>
        <v>Abrir facsímil</v>
      </c>
      <c r="K9008" t="s">
        <v>23</v>
      </c>
    </row>
    <row r="9009" spans="1:11" ht="42" customHeight="1">
      <c r="A9009" t="s">
        <v>17403</v>
      </c>
      <c r="B9009" t="s">
        <v>17403</v>
      </c>
      <c r="C9009" t="s">
        <v>35</v>
      </c>
      <c r="D9009" t="s">
        <v>27</v>
      </c>
      <c r="E9009" s="6">
        <v>-28756</v>
      </c>
      <c r="F9009" t="s">
        <v>3145</v>
      </c>
      <c r="G9009" t="s">
        <v>7553</v>
      </c>
      <c r="H9009" t="s">
        <v>21</v>
      </c>
      <c r="I9009" t="s">
        <v>17412</v>
      </c>
      <c r="J9009" t="str">
        <f>HYPERLINK("https://www.boe.es/gazeta/dias/1821/04/07/pdfs/GMD-1821-99.pdf#page=4","Abrir facsímil")</f>
        <v>Abrir facsímil</v>
      </c>
      <c r="K9009" t="s">
        <v>23</v>
      </c>
    </row>
    <row r="9010" spans="1:11" ht="42" customHeight="1">
      <c r="A9010" t="s">
        <v>17403</v>
      </c>
      <c r="B9010" t="s">
        <v>17403</v>
      </c>
      <c r="C9010" t="s">
        <v>35</v>
      </c>
      <c r="D9010" t="s">
        <v>27</v>
      </c>
      <c r="E9010" s="6">
        <v>-28741</v>
      </c>
      <c r="F9010" t="s">
        <v>1841</v>
      </c>
      <c r="G9010" t="s">
        <v>52</v>
      </c>
      <c r="H9010" t="s">
        <v>21</v>
      </c>
      <c r="I9010" t="s">
        <v>17413</v>
      </c>
      <c r="J9010" t="str">
        <f>HYPERLINK("https://www.boe.es/gazeta/dias/1821/04/22/pdfs/GMD-1821-114.pdf#page=2","Abrir facsímil")</f>
        <v>Abrir facsímil</v>
      </c>
      <c r="K9010" t="s">
        <v>23</v>
      </c>
    </row>
    <row r="9011" spans="1:11" ht="42" customHeight="1">
      <c r="A9011" t="s">
        <v>17403</v>
      </c>
      <c r="B9011" t="s">
        <v>17403</v>
      </c>
      <c r="C9011" t="s">
        <v>26</v>
      </c>
      <c r="D9011" t="s">
        <v>27</v>
      </c>
      <c r="E9011" s="6">
        <v>-28741</v>
      </c>
      <c r="F9011" t="s">
        <v>1841</v>
      </c>
      <c r="G9011" t="s">
        <v>20</v>
      </c>
      <c r="H9011" t="s">
        <v>21</v>
      </c>
      <c r="I9011" t="s">
        <v>17414</v>
      </c>
      <c r="J9011" t="str">
        <f>HYPERLINK("https://www.boe.es/gazeta/dias/1821/04/22/pdfs/GMD-1821-114.pdf#page=3","Abrir facsímil")</f>
        <v>Abrir facsímil</v>
      </c>
      <c r="K9011" t="s">
        <v>23</v>
      </c>
    </row>
    <row r="9012" spans="1:11" ht="42" customHeight="1">
      <c r="A9012" t="s">
        <v>17403</v>
      </c>
      <c r="B9012" t="s">
        <v>17403</v>
      </c>
      <c r="C9012" t="s">
        <v>35</v>
      </c>
      <c r="D9012" t="s">
        <v>27</v>
      </c>
      <c r="E9012" s="6">
        <v>-28740</v>
      </c>
      <c r="F9012" t="s">
        <v>2800</v>
      </c>
      <c r="G9012" t="s">
        <v>88</v>
      </c>
      <c r="H9012" t="s">
        <v>21</v>
      </c>
      <c r="I9012" t="s">
        <v>17415</v>
      </c>
      <c r="J9012" t="str">
        <f>HYPERLINK("https://www.boe.es/gazeta/dias/1821/04/23/pdfs/GMD-1821-115.pdf#page=4","Abrir facsímil")</f>
        <v>Abrir facsímil</v>
      </c>
      <c r="K9012" t="s">
        <v>23</v>
      </c>
    </row>
    <row r="9013" spans="1:11" ht="42" customHeight="1">
      <c r="A9013" t="s">
        <v>17403</v>
      </c>
      <c r="B9013" t="s">
        <v>17403</v>
      </c>
      <c r="C9013" t="s">
        <v>26</v>
      </c>
      <c r="D9013" t="s">
        <v>27</v>
      </c>
      <c r="E9013" s="6">
        <v>-28699</v>
      </c>
      <c r="F9013" t="s">
        <v>280</v>
      </c>
      <c r="G9013" t="s">
        <v>162</v>
      </c>
      <c r="H9013" t="s">
        <v>21</v>
      </c>
      <c r="I9013" t="s">
        <v>17416</v>
      </c>
      <c r="J9013" t="str">
        <f>HYPERLINK("https://www.boe.es/gazeta/dias/1821/06/03/pdfs/GMD-1821-156.pdf#page=5","Abrir facsímil")</f>
        <v>Abrir facsímil</v>
      </c>
      <c r="K9013" t="s">
        <v>23</v>
      </c>
    </row>
    <row r="9014" spans="1:11" ht="42" customHeight="1">
      <c r="A9014" t="s">
        <v>17403</v>
      </c>
      <c r="B9014" t="s">
        <v>17403</v>
      </c>
      <c r="C9014" t="s">
        <v>17</v>
      </c>
      <c r="D9014" t="s">
        <v>18</v>
      </c>
      <c r="E9014" s="6">
        <v>-28695</v>
      </c>
      <c r="F9014" t="s">
        <v>1309</v>
      </c>
      <c r="G9014" t="s">
        <v>20</v>
      </c>
      <c r="H9014" t="s">
        <v>21</v>
      </c>
      <c r="I9014" t="s">
        <v>17417</v>
      </c>
      <c r="J9014" t="str">
        <f>HYPERLINK("https://www.boe.es/gazeta/dias/1821/06/07/pdfs/GMD-1821-160.pdf#page=3","Abrir facsímil")</f>
        <v>Abrir facsímil</v>
      </c>
      <c r="K9014" t="s">
        <v>23</v>
      </c>
    </row>
    <row r="9015" spans="1:11" ht="42" customHeight="1">
      <c r="A9015" t="s">
        <v>17403</v>
      </c>
      <c r="B9015" t="s">
        <v>17403</v>
      </c>
      <c r="C9015" t="s">
        <v>17</v>
      </c>
      <c r="D9015" t="s">
        <v>18</v>
      </c>
      <c r="E9015" s="6">
        <v>-28693</v>
      </c>
      <c r="F9015" t="s">
        <v>74</v>
      </c>
      <c r="G9015" t="s">
        <v>20</v>
      </c>
      <c r="H9015" t="s">
        <v>21</v>
      </c>
      <c r="I9015" t="s">
        <v>17418</v>
      </c>
      <c r="J9015" t="str">
        <f>HYPERLINK("https://www.boe.es/gazeta/dias/1821/06/09/pdfs/GMD-1821-162.pdf#page=3","Abrir facsímil")</f>
        <v>Abrir facsímil</v>
      </c>
      <c r="K9015" t="s">
        <v>23</v>
      </c>
    </row>
    <row r="9016" spans="1:11" ht="42" customHeight="1">
      <c r="A9016" t="s">
        <v>17403</v>
      </c>
      <c r="B9016" t="s">
        <v>17403</v>
      </c>
      <c r="C9016" t="s">
        <v>17</v>
      </c>
      <c r="D9016" t="s">
        <v>18</v>
      </c>
      <c r="E9016" s="6">
        <v>-28691</v>
      </c>
      <c r="F9016" t="s">
        <v>716</v>
      </c>
      <c r="G9016" t="s">
        <v>52</v>
      </c>
      <c r="H9016" t="s">
        <v>21</v>
      </c>
      <c r="I9016" t="s">
        <v>17419</v>
      </c>
      <c r="J9016" t="str">
        <f>HYPERLINK("https://www.boe.es/gazeta/dias/1821/06/11/pdfs/GMD-1821-164.pdf#page=2","Abrir facsímil")</f>
        <v>Abrir facsímil</v>
      </c>
      <c r="K9016" t="s">
        <v>23</v>
      </c>
    </row>
    <row r="9017" spans="1:11" ht="42" customHeight="1">
      <c r="A9017" t="s">
        <v>17403</v>
      </c>
      <c r="B9017" t="s">
        <v>17403</v>
      </c>
      <c r="C9017" t="s">
        <v>35</v>
      </c>
      <c r="D9017" t="s">
        <v>27</v>
      </c>
      <c r="E9017" s="6">
        <v>-28689</v>
      </c>
      <c r="F9017" t="s">
        <v>194</v>
      </c>
      <c r="G9017" t="s">
        <v>52</v>
      </c>
      <c r="H9017" t="s">
        <v>21</v>
      </c>
      <c r="I9017" t="s">
        <v>17420</v>
      </c>
      <c r="J9017" t="str">
        <f>HYPERLINK("https://www.boe.es/gazeta/dias/1821/06/13/pdfs/GMD-1821-166.pdf#page=2","Abrir facsímil")</f>
        <v>Abrir facsímil</v>
      </c>
      <c r="K9017" t="s">
        <v>23</v>
      </c>
    </row>
    <row r="9018" spans="1:11" ht="42" customHeight="1">
      <c r="A9018" t="s">
        <v>17403</v>
      </c>
      <c r="B9018" t="s">
        <v>17403</v>
      </c>
      <c r="C9018" t="s">
        <v>174</v>
      </c>
      <c r="D9018" t="s">
        <v>27</v>
      </c>
      <c r="E9018" s="6">
        <v>-28689</v>
      </c>
      <c r="F9018" t="s">
        <v>194</v>
      </c>
      <c r="G9018" t="s">
        <v>20</v>
      </c>
      <c r="H9018" t="s">
        <v>21</v>
      </c>
      <c r="I9018" t="s">
        <v>17421</v>
      </c>
      <c r="J9018" t="str">
        <f>HYPERLINK("https://www.boe.es/gazeta/dias/1821/06/13/pdfs/GMD-1821-166.pdf#page=3","Abrir facsímil")</f>
        <v>Abrir facsímil</v>
      </c>
      <c r="K9018" t="s">
        <v>23</v>
      </c>
    </row>
    <row r="9019" spans="1:11" ht="42" customHeight="1">
      <c r="A9019" t="s">
        <v>17403</v>
      </c>
      <c r="B9019" t="s">
        <v>17403</v>
      </c>
      <c r="C9019" t="s">
        <v>17</v>
      </c>
      <c r="D9019" t="s">
        <v>18</v>
      </c>
      <c r="E9019" s="6">
        <v>-28689</v>
      </c>
      <c r="F9019" t="s">
        <v>194</v>
      </c>
      <c r="G9019" t="s">
        <v>88</v>
      </c>
      <c r="H9019" t="s">
        <v>21</v>
      </c>
      <c r="I9019" t="s">
        <v>17422</v>
      </c>
      <c r="J9019" t="str">
        <f>HYPERLINK("https://www.boe.es/gazeta/dias/1821/06/13/pdfs/GMD-1821-166.pdf#page=4","Abrir facsímil")</f>
        <v>Abrir facsímil</v>
      </c>
      <c r="K9019" t="s">
        <v>23</v>
      </c>
    </row>
    <row r="9020" spans="1:11" ht="42" customHeight="1">
      <c r="A9020" t="s">
        <v>17403</v>
      </c>
      <c r="B9020" t="s">
        <v>17403</v>
      </c>
      <c r="C9020" t="s">
        <v>26</v>
      </c>
      <c r="D9020" t="s">
        <v>27</v>
      </c>
      <c r="E9020" s="6">
        <v>-28686</v>
      </c>
      <c r="F9020" t="s">
        <v>115</v>
      </c>
      <c r="G9020" t="s">
        <v>52</v>
      </c>
      <c r="H9020" t="s">
        <v>21</v>
      </c>
      <c r="I9020" t="s">
        <v>17423</v>
      </c>
      <c r="J9020" t="str">
        <f>HYPERLINK("https://www.boe.es/gazeta/dias/1821/06/16/pdfs/GMD-1821-169.pdf#page=2","Abrir facsímil")</f>
        <v>Abrir facsímil</v>
      </c>
      <c r="K9020" t="s">
        <v>23</v>
      </c>
    </row>
    <row r="9021" spans="1:11" ht="42" customHeight="1">
      <c r="A9021" t="s">
        <v>17403</v>
      </c>
      <c r="B9021" t="s">
        <v>17403</v>
      </c>
      <c r="C9021" t="s">
        <v>17</v>
      </c>
      <c r="D9021" t="s">
        <v>18</v>
      </c>
      <c r="E9021" s="6">
        <v>-28676</v>
      </c>
      <c r="F9021" t="s">
        <v>534</v>
      </c>
      <c r="G9021" t="s">
        <v>88</v>
      </c>
      <c r="H9021" t="s">
        <v>21</v>
      </c>
      <c r="I9021" t="s">
        <v>17424</v>
      </c>
      <c r="J9021" t="str">
        <f>HYPERLINK("https://www.boe.es/gazeta/dias/1821/06/26/pdfs/GMD-1821-179.pdf#page=4","Abrir facsímil")</f>
        <v>Abrir facsímil</v>
      </c>
      <c r="K9021" t="s">
        <v>23</v>
      </c>
    </row>
    <row r="9022" spans="1:11" ht="42" customHeight="1">
      <c r="A9022" t="s">
        <v>17403</v>
      </c>
      <c r="B9022" t="s">
        <v>17403</v>
      </c>
      <c r="C9022" t="s">
        <v>17</v>
      </c>
      <c r="D9022" t="s">
        <v>18</v>
      </c>
      <c r="E9022" s="6">
        <v>-28643</v>
      </c>
      <c r="F9022" t="s">
        <v>1569</v>
      </c>
      <c r="G9022" t="s">
        <v>52</v>
      </c>
      <c r="H9022" t="s">
        <v>21</v>
      </c>
      <c r="I9022" t="s">
        <v>17425</v>
      </c>
      <c r="J9022" t="str">
        <f>HYPERLINK("https://www.boe.es/gazeta/dias/1821/07/29/pdfs/GMD-1821-214.pdf#page=2","Abrir facsímil")</f>
        <v>Abrir facsímil</v>
      </c>
      <c r="K9022" t="s">
        <v>23</v>
      </c>
    </row>
    <row r="9023" spans="1:11" ht="42" customHeight="1">
      <c r="A9023" t="s">
        <v>17403</v>
      </c>
      <c r="B9023" t="s">
        <v>17403</v>
      </c>
      <c r="C9023" t="s">
        <v>40</v>
      </c>
      <c r="D9023" t="s">
        <v>41</v>
      </c>
      <c r="E9023" s="6">
        <v>-28550</v>
      </c>
      <c r="F9023" t="s">
        <v>546</v>
      </c>
      <c r="G9023" t="s">
        <v>162</v>
      </c>
      <c r="H9023" t="s">
        <v>21</v>
      </c>
      <c r="I9023" t="s">
        <v>17426</v>
      </c>
      <c r="J9023" t="str">
        <f>HYPERLINK("https://www.boe.es/gazeta/dias/1821/10/30/pdfs/GMD-1821-309.pdf#page=5","Abrir facsímil")</f>
        <v>Abrir facsímil</v>
      </c>
      <c r="K9023" t="s">
        <v>23</v>
      </c>
    </row>
    <row r="9024" spans="1:11" ht="42" customHeight="1">
      <c r="A9024" t="s">
        <v>17403</v>
      </c>
      <c r="B9024" t="s">
        <v>17403</v>
      </c>
      <c r="C9024" t="s">
        <v>26</v>
      </c>
      <c r="D9024" t="s">
        <v>27</v>
      </c>
      <c r="E9024" s="6">
        <v>-28521</v>
      </c>
      <c r="F9024" t="s">
        <v>499</v>
      </c>
      <c r="G9024" t="s">
        <v>20</v>
      </c>
      <c r="H9024" t="s">
        <v>21</v>
      </c>
      <c r="I9024" t="s">
        <v>17427</v>
      </c>
      <c r="J9024" t="str">
        <f>HYPERLINK("https://www.boe.es/gazeta/dias/1821/11/28/pdfs/GMD-1821-340.pdf#page=3","Abrir facsímil")</f>
        <v>Abrir facsímil</v>
      </c>
      <c r="K9024" t="s">
        <v>23</v>
      </c>
    </row>
    <row r="9025" spans="1:11" ht="42" customHeight="1">
      <c r="A9025" t="s">
        <v>17403</v>
      </c>
      <c r="B9025" t="s">
        <v>17403</v>
      </c>
      <c r="C9025" t="s">
        <v>26</v>
      </c>
      <c r="D9025" t="s">
        <v>27</v>
      </c>
      <c r="E9025" s="6">
        <v>-28519</v>
      </c>
      <c r="F9025" t="s">
        <v>880</v>
      </c>
      <c r="G9025" t="s">
        <v>3835</v>
      </c>
      <c r="H9025" t="s">
        <v>21</v>
      </c>
      <c r="I9025" t="s">
        <v>17428</v>
      </c>
      <c r="J9025" t="str">
        <f>HYPERLINK("https://www.boe.es/gazeta/dias/1821/11/30/pdfs/GMD-1821-342.pdf#page=3","Abrir facsímil")</f>
        <v>Abrir facsímil</v>
      </c>
      <c r="K9025" t="s">
        <v>23</v>
      </c>
    </row>
    <row r="9026" spans="1:11" ht="42" customHeight="1">
      <c r="A9026" t="s">
        <v>17403</v>
      </c>
      <c r="B9026" t="s">
        <v>17403</v>
      </c>
      <c r="C9026" t="s">
        <v>17</v>
      </c>
      <c r="D9026" t="s">
        <v>18</v>
      </c>
      <c r="E9026" s="6">
        <v>-28519</v>
      </c>
      <c r="F9026" t="s">
        <v>880</v>
      </c>
      <c r="G9026" t="s">
        <v>88</v>
      </c>
      <c r="H9026" t="s">
        <v>21</v>
      </c>
      <c r="I9026" t="s">
        <v>17429</v>
      </c>
      <c r="J9026" t="str">
        <f>HYPERLINK("https://www.boe.es/gazeta/dias/1821/11/30/pdfs/GMD-1821-342.pdf#page=4","Abrir facsímil")</f>
        <v>Abrir facsímil</v>
      </c>
      <c r="K9026" t="s">
        <v>23</v>
      </c>
    </row>
    <row r="9027" spans="1:11" ht="42" customHeight="1">
      <c r="A9027" t="s">
        <v>17403</v>
      </c>
      <c r="B9027" t="s">
        <v>17403</v>
      </c>
      <c r="C9027" t="s">
        <v>174</v>
      </c>
      <c r="D9027" t="s">
        <v>27</v>
      </c>
      <c r="E9027" s="6">
        <v>-28515</v>
      </c>
      <c r="F9027" t="s">
        <v>260</v>
      </c>
      <c r="G9027" t="s">
        <v>3841</v>
      </c>
      <c r="H9027" t="s">
        <v>21</v>
      </c>
      <c r="I9027" t="s">
        <v>17430</v>
      </c>
      <c r="J9027" t="str">
        <f>HYPERLINK("https://www.boe.es/gazeta/dias/1821/12/04/pdfs/GMD-1821-346.pdf#page=6","Abrir facsímil")</f>
        <v>Abrir facsímil</v>
      </c>
      <c r="K9027" t="s">
        <v>23</v>
      </c>
    </row>
    <row r="9028" spans="1:11" ht="42" customHeight="1">
      <c r="A9028" t="s">
        <v>17403</v>
      </c>
      <c r="B9028" t="s">
        <v>17403</v>
      </c>
      <c r="C9028" t="s">
        <v>26</v>
      </c>
      <c r="D9028" t="s">
        <v>27</v>
      </c>
      <c r="E9028" s="6">
        <v>-28515</v>
      </c>
      <c r="F9028" t="s">
        <v>260</v>
      </c>
      <c r="G9028" t="s">
        <v>88</v>
      </c>
      <c r="H9028" t="s">
        <v>21</v>
      </c>
      <c r="I9028" t="s">
        <v>17431</v>
      </c>
      <c r="J9028" t="str">
        <f>HYPERLINK("https://www.boe.es/gazeta/dias/1821/12/04/pdfs/GMD-1821-346.pdf#page=4","Abrir facsímil")</f>
        <v>Abrir facsímil</v>
      </c>
      <c r="K9028" t="s">
        <v>23</v>
      </c>
    </row>
    <row r="9029" spans="1:11" ht="42" customHeight="1">
      <c r="A9029" t="s">
        <v>17403</v>
      </c>
      <c r="B9029" t="s">
        <v>17403</v>
      </c>
      <c r="C9029" t="s">
        <v>26</v>
      </c>
      <c r="D9029" t="s">
        <v>27</v>
      </c>
      <c r="E9029" s="6">
        <v>-28514</v>
      </c>
      <c r="F9029" t="s">
        <v>103</v>
      </c>
      <c r="G9029" t="s">
        <v>20</v>
      </c>
      <c r="H9029" t="s">
        <v>21</v>
      </c>
      <c r="I9029" t="s">
        <v>17432</v>
      </c>
      <c r="J9029" t="str">
        <f>HYPERLINK("https://www.boe.es/gazeta/dias/1821/12/05/pdfs/GMD-1821-347.pdf#page=3","Abrir facsímil")</f>
        <v>Abrir facsímil</v>
      </c>
      <c r="K9029" t="s">
        <v>23</v>
      </c>
    </row>
    <row r="9030" spans="1:11" ht="42" customHeight="1">
      <c r="A9030" t="s">
        <v>17403</v>
      </c>
      <c r="B9030" t="s">
        <v>17403</v>
      </c>
      <c r="C9030" t="s">
        <v>17</v>
      </c>
      <c r="D9030" t="s">
        <v>18</v>
      </c>
      <c r="E9030" s="6">
        <v>-28511</v>
      </c>
      <c r="F9030" t="s">
        <v>340</v>
      </c>
      <c r="G9030" t="s">
        <v>3761</v>
      </c>
      <c r="H9030" t="s">
        <v>21</v>
      </c>
      <c r="I9030" t="s">
        <v>17433</v>
      </c>
      <c r="J9030" t="str">
        <f>HYPERLINK("https://www.boe.es/gazeta/dias/1821/12/08/pdfs/GMD-1821-350.pdf#page=4","Abrir facsímil")</f>
        <v>Abrir facsímil</v>
      </c>
      <c r="K9030" t="s">
        <v>23</v>
      </c>
    </row>
    <row r="9031" spans="1:11" ht="42" customHeight="1">
      <c r="A9031" t="s">
        <v>17403</v>
      </c>
      <c r="B9031" t="s">
        <v>17403</v>
      </c>
      <c r="C9031" t="s">
        <v>17</v>
      </c>
      <c r="D9031" t="s">
        <v>18</v>
      </c>
      <c r="E9031" s="6">
        <v>-28510</v>
      </c>
      <c r="F9031" t="s">
        <v>83</v>
      </c>
      <c r="G9031" t="s">
        <v>20</v>
      </c>
      <c r="H9031" t="s">
        <v>21</v>
      </c>
      <c r="I9031" t="s">
        <v>17434</v>
      </c>
      <c r="J9031" t="str">
        <f>HYPERLINK("https://www.boe.es/gazeta/dias/1821/12/09/pdfs/GMD-1821-351.pdf#page=3","Abrir facsímil")</f>
        <v>Abrir facsímil</v>
      </c>
      <c r="K9031" t="s">
        <v>23</v>
      </c>
    </row>
    <row r="9032" spans="1:11" ht="42" customHeight="1">
      <c r="A9032" t="s">
        <v>17403</v>
      </c>
      <c r="B9032" t="s">
        <v>17403</v>
      </c>
      <c r="C9032" t="s">
        <v>114</v>
      </c>
      <c r="D9032" t="s">
        <v>27</v>
      </c>
      <c r="E9032" s="6">
        <v>-28508</v>
      </c>
      <c r="F9032" t="s">
        <v>42</v>
      </c>
      <c r="G9032" t="s">
        <v>52</v>
      </c>
      <c r="H9032" t="s">
        <v>21</v>
      </c>
      <c r="I9032" t="s">
        <v>17435</v>
      </c>
      <c r="J9032" t="str">
        <f>HYPERLINK("https://www.boe.es/gazeta/dias/1821/12/11/pdfs/GMD-1821-353.pdf#page=2","Abrir facsímil")</f>
        <v>Abrir facsímil</v>
      </c>
      <c r="K9032" t="s">
        <v>23</v>
      </c>
    </row>
    <row r="9033" spans="1:11" ht="42" customHeight="1">
      <c r="A9033" t="s">
        <v>17403</v>
      </c>
      <c r="B9033" t="s">
        <v>17403</v>
      </c>
      <c r="C9033" t="s">
        <v>35</v>
      </c>
      <c r="D9033" t="s">
        <v>27</v>
      </c>
      <c r="E9033" s="6">
        <v>-28501</v>
      </c>
      <c r="F9033" t="s">
        <v>456</v>
      </c>
      <c r="G9033" t="s">
        <v>457</v>
      </c>
      <c r="H9033" t="s">
        <v>21</v>
      </c>
      <c r="I9033" t="s">
        <v>17436</v>
      </c>
      <c r="J9033" t="str">
        <f>HYPERLINK("https://www.boe.es/gazeta/dias/1821/12/18/pdfs/GMD-1821-361.pdf#page=5","Abrir facsímil")</f>
        <v>Abrir facsímil</v>
      </c>
      <c r="K9033" t="s">
        <v>23</v>
      </c>
    </row>
    <row r="9034" spans="1:11" ht="42" customHeight="1">
      <c r="A9034" t="s">
        <v>17403</v>
      </c>
      <c r="B9034" t="s">
        <v>17403</v>
      </c>
      <c r="C9034" t="s">
        <v>26</v>
      </c>
      <c r="D9034" t="s">
        <v>27</v>
      </c>
      <c r="E9034" s="6">
        <v>-28497</v>
      </c>
      <c r="F9034" t="s">
        <v>225</v>
      </c>
      <c r="G9034" t="s">
        <v>52</v>
      </c>
      <c r="H9034" t="s">
        <v>21</v>
      </c>
      <c r="I9034" t="s">
        <v>17437</v>
      </c>
      <c r="J9034" t="str">
        <f>HYPERLINK("https://www.boe.es/gazeta/dias/1821/12/22/pdfs/GMD-1821-365.pdf#page=2","Abrir facsímil")</f>
        <v>Abrir facsímil</v>
      </c>
      <c r="K9034" t="s">
        <v>23</v>
      </c>
    </row>
    <row r="9035" spans="1:11" ht="42" customHeight="1">
      <c r="A9035" t="s">
        <v>17403</v>
      </c>
      <c r="B9035" t="s">
        <v>17403</v>
      </c>
      <c r="C9035" t="s">
        <v>40</v>
      </c>
      <c r="D9035" t="s">
        <v>41</v>
      </c>
      <c r="E9035" s="6">
        <v>-28495</v>
      </c>
      <c r="F9035" t="s">
        <v>227</v>
      </c>
      <c r="G9035" t="s">
        <v>29</v>
      </c>
      <c r="H9035" t="s">
        <v>21</v>
      </c>
      <c r="I9035" t="s">
        <v>17438</v>
      </c>
      <c r="J9035" t="str">
        <f>HYPERLINK("https://www.boe.es/gazeta/dias/1821/12/24/pdfs/GMD-1821-367.pdf#page=6","Abrir facsímil")</f>
        <v>Abrir facsímil</v>
      </c>
      <c r="K9035" t="s">
        <v>23</v>
      </c>
    </row>
    <row r="9036" spans="1:11" ht="42" customHeight="1">
      <c r="A9036" t="s">
        <v>17403</v>
      </c>
      <c r="B9036" t="s">
        <v>17403</v>
      </c>
      <c r="C9036" t="s">
        <v>17</v>
      </c>
      <c r="D9036" t="s">
        <v>18</v>
      </c>
      <c r="E9036" s="6">
        <v>-28495</v>
      </c>
      <c r="F9036" t="s">
        <v>227</v>
      </c>
      <c r="G9036" t="s">
        <v>333</v>
      </c>
      <c r="H9036" t="s">
        <v>21</v>
      </c>
      <c r="I9036" t="s">
        <v>17439</v>
      </c>
      <c r="J9036" t="str">
        <f>HYPERLINK("https://www.boe.es/gazeta/dias/1821/12/24/pdfs/GMD-1821-367.pdf#page=8","Abrir facsímil")</f>
        <v>Abrir facsímil</v>
      </c>
      <c r="K9036" t="s">
        <v>23</v>
      </c>
    </row>
    <row r="9037" spans="1:11" ht="42" customHeight="1">
      <c r="A9037" t="s">
        <v>17403</v>
      </c>
      <c r="B9037" t="s">
        <v>17403</v>
      </c>
      <c r="C9037" t="s">
        <v>70</v>
      </c>
      <c r="D9037" t="s">
        <v>27</v>
      </c>
      <c r="E9037" s="6">
        <v>-28492</v>
      </c>
      <c r="F9037" t="s">
        <v>1550</v>
      </c>
      <c r="G9037" t="s">
        <v>20</v>
      </c>
      <c r="H9037" t="s">
        <v>21</v>
      </c>
      <c r="I9037" t="s">
        <v>17440</v>
      </c>
      <c r="J9037" t="str">
        <f>HYPERLINK("https://www.boe.es/gazeta/dias/1821/12/27/pdfs/GMD-1821-370.pdf#page=3","Abrir facsímil")</f>
        <v>Abrir facsímil</v>
      </c>
      <c r="K9037" t="s">
        <v>23</v>
      </c>
    </row>
    <row r="9038" spans="1:11" ht="42" customHeight="1">
      <c r="A9038" t="s">
        <v>17403</v>
      </c>
      <c r="B9038" t="s">
        <v>17403</v>
      </c>
      <c r="C9038" t="s">
        <v>17</v>
      </c>
      <c r="D9038" t="s">
        <v>18</v>
      </c>
      <c r="E9038" s="6">
        <v>-28490</v>
      </c>
      <c r="F9038" t="s">
        <v>801</v>
      </c>
      <c r="G9038" t="s">
        <v>52</v>
      </c>
      <c r="H9038" t="s">
        <v>21</v>
      </c>
      <c r="I9038" t="s">
        <v>17441</v>
      </c>
      <c r="J9038" t="str">
        <f>HYPERLINK("https://www.boe.es/gazeta/dias/1821/12/29/pdfs/GMD-1821-372.pdf#page=2","Abrir facsímil")</f>
        <v>Abrir facsímil</v>
      </c>
      <c r="K9038" t="s">
        <v>23</v>
      </c>
    </row>
    <row r="9039" spans="1:11" ht="42" customHeight="1">
      <c r="A9039" t="s">
        <v>17442</v>
      </c>
      <c r="B9039" t="s">
        <v>17443</v>
      </c>
      <c r="C9039" t="s">
        <v>174</v>
      </c>
      <c r="D9039" t="s">
        <v>27</v>
      </c>
      <c r="E9039" s="6">
        <v>-28810</v>
      </c>
      <c r="F9039" t="s">
        <v>308</v>
      </c>
      <c r="G9039" t="s">
        <v>88</v>
      </c>
      <c r="H9039" t="s">
        <v>21</v>
      </c>
      <c r="I9039" t="s">
        <v>17444</v>
      </c>
      <c r="J9039" t="str">
        <f>HYPERLINK("https://www.boe.es/gazeta/dias/1821/02/12/pdfs/GGB-1821-43.pdf#page=4","Abrir facsímil")</f>
        <v>Abrir facsímil</v>
      </c>
      <c r="K9039" t="s">
        <v>23</v>
      </c>
    </row>
    <row r="9040" spans="1:11" ht="42" customHeight="1">
      <c r="A9040" t="s">
        <v>17445</v>
      </c>
      <c r="B9040" t="s">
        <v>17446</v>
      </c>
      <c r="C9040" t="s">
        <v>17</v>
      </c>
      <c r="D9040" t="s">
        <v>18</v>
      </c>
      <c r="E9040" s="6">
        <v>-28661</v>
      </c>
      <c r="F9040" t="s">
        <v>2298</v>
      </c>
      <c r="G9040" t="s">
        <v>88</v>
      </c>
      <c r="H9040" t="s">
        <v>21</v>
      </c>
      <c r="I9040" t="s">
        <v>17447</v>
      </c>
      <c r="J9040" t="str">
        <f>HYPERLINK("https://www.boe.es/gazeta/dias/1821/07/11/pdfs/GMD-1821-196.pdf#page=4","Abrir facsímil")</f>
        <v>Abrir facsímil</v>
      </c>
      <c r="K9040" t="s">
        <v>23</v>
      </c>
    </row>
    <row r="9041" spans="1:11" ht="42" customHeight="1">
      <c r="A9041" t="s">
        <v>17445</v>
      </c>
      <c r="B9041" t="s">
        <v>17446</v>
      </c>
      <c r="C9041" t="s">
        <v>17</v>
      </c>
      <c r="D9041" t="s">
        <v>18</v>
      </c>
      <c r="E9041" s="6">
        <v>-28647</v>
      </c>
      <c r="F9041" t="s">
        <v>1295</v>
      </c>
      <c r="G9041" t="s">
        <v>88</v>
      </c>
      <c r="H9041" t="s">
        <v>21</v>
      </c>
      <c r="I9041" t="s">
        <v>17448</v>
      </c>
      <c r="J9041" t="str">
        <f>HYPERLINK("https://www.boe.es/gazeta/dias/1821/07/25/pdfs/GMD-1821-210.pdf#page=4","Abrir facsímil")</f>
        <v>Abrir facsímil</v>
      </c>
      <c r="K9041" t="s">
        <v>23</v>
      </c>
    </row>
    <row r="9042" spans="1:11" ht="42" customHeight="1">
      <c r="A9042" t="s">
        <v>17449</v>
      </c>
      <c r="B9042" t="s">
        <v>17450</v>
      </c>
      <c r="C9042" t="s">
        <v>17</v>
      </c>
      <c r="D9042" t="s">
        <v>18</v>
      </c>
      <c r="E9042" s="6">
        <v>-28526</v>
      </c>
      <c r="F9042" t="s">
        <v>223</v>
      </c>
      <c r="G9042" t="s">
        <v>29</v>
      </c>
      <c r="H9042" t="s">
        <v>21</v>
      </c>
      <c r="I9042" t="s">
        <v>17451</v>
      </c>
      <c r="J9042" t="str">
        <f>HYPERLINK("https://www.boe.es/gazeta/dias/1821/11/23/pdfs/GMD-1821-334.pdf#page=6","Abrir facsímil")</f>
        <v>Abrir facsímil</v>
      </c>
      <c r="K9042" t="s">
        <v>23</v>
      </c>
    </row>
    <row r="9043" spans="1:11" ht="42" customHeight="1">
      <c r="A9043" t="s">
        <v>17452</v>
      </c>
      <c r="B9043" t="s">
        <v>17453</v>
      </c>
      <c r="C9043" t="s">
        <v>174</v>
      </c>
      <c r="D9043" t="s">
        <v>27</v>
      </c>
      <c r="E9043" s="6">
        <v>-28626</v>
      </c>
      <c r="F9043" t="s">
        <v>468</v>
      </c>
      <c r="G9043" t="s">
        <v>88</v>
      </c>
      <c r="H9043" t="s">
        <v>21</v>
      </c>
      <c r="I9043" t="s">
        <v>17454</v>
      </c>
      <c r="J9043" t="str">
        <f>HYPERLINK("https://www.boe.es/gazeta/dias/1821/08/15/pdfs/GMD-1821-232.pdf#page=4","Abrir facsímil")</f>
        <v>Abrir facsímil</v>
      </c>
      <c r="K9043" t="s">
        <v>23</v>
      </c>
    </row>
    <row r="9044" spans="1:11" ht="42" customHeight="1">
      <c r="A9044" t="s">
        <v>17452</v>
      </c>
      <c r="B9044" t="s">
        <v>17453</v>
      </c>
      <c r="C9044" t="s">
        <v>40</v>
      </c>
      <c r="D9044" t="s">
        <v>41</v>
      </c>
      <c r="E9044" s="6">
        <v>-28625</v>
      </c>
      <c r="F9044" t="s">
        <v>738</v>
      </c>
      <c r="G9044" t="s">
        <v>88</v>
      </c>
      <c r="H9044" t="s">
        <v>21</v>
      </c>
      <c r="I9044" t="s">
        <v>17455</v>
      </c>
      <c r="J9044" t="str">
        <f>HYPERLINK("https://www.boe.es/gazeta/dias/1821/08/16/pdfs/GMD-1821-233.pdf#page=4","Abrir facsímil")</f>
        <v>Abrir facsímil</v>
      </c>
      <c r="K9044" t="s">
        <v>23</v>
      </c>
    </row>
    <row r="9045" spans="1:11" ht="42" customHeight="1">
      <c r="A9045" t="s">
        <v>17456</v>
      </c>
      <c r="B9045" t="s">
        <v>17457</v>
      </c>
      <c r="C9045" t="s">
        <v>40</v>
      </c>
      <c r="D9045" t="s">
        <v>41</v>
      </c>
      <c r="E9045" s="6">
        <v>-28616</v>
      </c>
      <c r="F9045" t="s">
        <v>1912</v>
      </c>
      <c r="G9045" t="s">
        <v>1913</v>
      </c>
      <c r="H9045" t="s">
        <v>21</v>
      </c>
      <c r="I9045" t="s">
        <v>17458</v>
      </c>
      <c r="J9045" t="str">
        <f>HYPERLINK("https://www.boe.es/gazeta/dias/1821/08/25/pdfs/GMD-1821-242.pdf#page=3","Abrir facsímil")</f>
        <v>Abrir facsímil</v>
      </c>
      <c r="K9045" t="s">
        <v>23</v>
      </c>
    </row>
    <row r="9046" spans="1:11" ht="42" customHeight="1">
      <c r="A9046" t="s">
        <v>17459</v>
      </c>
      <c r="B9046" t="s">
        <v>17460</v>
      </c>
      <c r="C9046" t="s">
        <v>40</v>
      </c>
      <c r="D9046" t="s">
        <v>41</v>
      </c>
      <c r="E9046" s="6">
        <v>-28625</v>
      </c>
      <c r="F9046" t="s">
        <v>738</v>
      </c>
      <c r="G9046" t="s">
        <v>88</v>
      </c>
      <c r="H9046" t="s">
        <v>21</v>
      </c>
      <c r="I9046" t="s">
        <v>17461</v>
      </c>
      <c r="J9046" t="str">
        <f>HYPERLINK("https://www.boe.es/gazeta/dias/1821/08/16/pdfs/GMD-1821-233.pdf#page=4","Abrir facsímil")</f>
        <v>Abrir facsímil</v>
      </c>
      <c r="K9046" t="s">
        <v>23</v>
      </c>
    </row>
    <row r="9047" spans="1:11" ht="42" customHeight="1">
      <c r="A9047" t="s">
        <v>17462</v>
      </c>
      <c r="B9047" t="s">
        <v>17463</v>
      </c>
      <c r="C9047" t="s">
        <v>17</v>
      </c>
      <c r="D9047" t="s">
        <v>18</v>
      </c>
      <c r="E9047" s="6">
        <v>-28789</v>
      </c>
      <c r="F9047" t="s">
        <v>36</v>
      </c>
      <c r="G9047" t="s">
        <v>52</v>
      </c>
      <c r="H9047" t="s">
        <v>21</v>
      </c>
      <c r="I9047" t="s">
        <v>17464</v>
      </c>
      <c r="J9047" t="str">
        <f>HYPERLINK("https://www.boe.es/gazeta/dias/1821/03/05/pdfs/GGB-1821-64.pdf#page=2","Abrir facsímil")</f>
        <v>Abrir facsímil</v>
      </c>
      <c r="K9047" t="s">
        <v>23</v>
      </c>
    </row>
    <row r="9048" spans="1:11" ht="42" customHeight="1">
      <c r="A9048" t="s">
        <v>17465</v>
      </c>
      <c r="B9048" t="s">
        <v>17466</v>
      </c>
      <c r="C9048" t="s">
        <v>26</v>
      </c>
      <c r="D9048" t="s">
        <v>27</v>
      </c>
      <c r="E9048" s="6">
        <v>-28847</v>
      </c>
      <c r="F9048" t="s">
        <v>288</v>
      </c>
      <c r="G9048" t="s">
        <v>289</v>
      </c>
      <c r="H9048" t="s">
        <v>21</v>
      </c>
      <c r="I9048" t="s">
        <v>17467</v>
      </c>
      <c r="J9048" t="str">
        <f>HYPERLINK("https://www.boe.es/gazeta/dias/1821/01/06/pdfs/GGB-1821-6.pdf#page=4","Abrir facsímil")</f>
        <v>Abrir facsímil</v>
      </c>
      <c r="K9048" t="s">
        <v>23</v>
      </c>
    </row>
    <row r="9049" spans="1:11" ht="42" customHeight="1">
      <c r="A9049" t="s">
        <v>17468</v>
      </c>
      <c r="B9049" t="s">
        <v>17469</v>
      </c>
      <c r="C9049" t="s">
        <v>26</v>
      </c>
      <c r="D9049" t="s">
        <v>27</v>
      </c>
      <c r="E9049" s="6">
        <v>-28780</v>
      </c>
      <c r="F9049" t="s">
        <v>143</v>
      </c>
      <c r="G9049" t="s">
        <v>52</v>
      </c>
      <c r="H9049" t="s">
        <v>21</v>
      </c>
      <c r="I9049" t="s">
        <v>17470</v>
      </c>
      <c r="J9049" t="str">
        <f>HYPERLINK("https://www.boe.es/gazeta/dias/1821/03/14/pdfs/GMD-1821-73.pdf#page=2","Abrir facsímil")</f>
        <v>Abrir facsímil</v>
      </c>
      <c r="K9049" t="s">
        <v>23</v>
      </c>
    </row>
    <row r="9050" spans="1:11" ht="42" customHeight="1">
      <c r="A9050" t="s">
        <v>17471</v>
      </c>
      <c r="B9050" t="s">
        <v>17472</v>
      </c>
      <c r="C9050" t="s">
        <v>279</v>
      </c>
      <c r="D9050" t="s">
        <v>27</v>
      </c>
      <c r="E9050" s="6">
        <v>-28760</v>
      </c>
      <c r="F9050" t="s">
        <v>170</v>
      </c>
      <c r="G9050" t="s">
        <v>52</v>
      </c>
      <c r="H9050" t="s">
        <v>21</v>
      </c>
      <c r="I9050" t="s">
        <v>17473</v>
      </c>
      <c r="J9050" t="str">
        <f>HYPERLINK("https://www.boe.es/gazeta/dias/1821/04/03/pdfs/GMD-1821-95.pdf#page=2","Abrir facsímil")</f>
        <v>Abrir facsímil</v>
      </c>
      <c r="K9050" t="s">
        <v>23</v>
      </c>
    </row>
    <row r="9051" spans="1:11" ht="42" customHeight="1">
      <c r="A9051" t="s">
        <v>17474</v>
      </c>
      <c r="B9051" t="s">
        <v>17475</v>
      </c>
      <c r="C9051" t="s">
        <v>26</v>
      </c>
      <c r="D9051" t="s">
        <v>27</v>
      </c>
      <c r="E9051" s="6">
        <v>-28718</v>
      </c>
      <c r="F9051" t="s">
        <v>583</v>
      </c>
      <c r="G9051" t="s">
        <v>88</v>
      </c>
      <c r="H9051" t="s">
        <v>21</v>
      </c>
      <c r="I9051" t="s">
        <v>17476</v>
      </c>
      <c r="J9051" t="str">
        <f>HYPERLINK("https://www.boe.es/gazeta/dias/1821/05/15/pdfs/GMD-1821-137.pdf#page=4","Abrir facsímil")</f>
        <v>Abrir facsímil</v>
      </c>
      <c r="K9051" t="s">
        <v>23</v>
      </c>
    </row>
    <row r="9052" spans="1:11" ht="42" customHeight="1">
      <c r="A9052" t="s">
        <v>17477</v>
      </c>
      <c r="B9052" t="s">
        <v>17478</v>
      </c>
      <c r="C9052" t="s">
        <v>26</v>
      </c>
      <c r="D9052" t="s">
        <v>27</v>
      </c>
      <c r="E9052" s="6">
        <v>-28531</v>
      </c>
      <c r="F9052" t="s">
        <v>365</v>
      </c>
      <c r="G9052" t="s">
        <v>20</v>
      </c>
      <c r="H9052" t="s">
        <v>21</v>
      </c>
      <c r="I9052" t="s">
        <v>17479</v>
      </c>
      <c r="J9052" t="str">
        <f>HYPERLINK("https://www.boe.es/gazeta/dias/1821/11/18/pdfs/GMD-1821-329.pdf#page=3","Abrir facsímil")</f>
        <v>Abrir facsímil</v>
      </c>
      <c r="K9052" t="s">
        <v>23</v>
      </c>
    </row>
    <row r="9053" spans="1:11" ht="42" customHeight="1">
      <c r="A9053" t="s">
        <v>17480</v>
      </c>
      <c r="B9053" t="s">
        <v>17481</v>
      </c>
      <c r="C9053" t="s">
        <v>17</v>
      </c>
      <c r="D9053" t="s">
        <v>18</v>
      </c>
      <c r="E9053" s="6">
        <v>-28531</v>
      </c>
      <c r="F9053" t="s">
        <v>365</v>
      </c>
      <c r="G9053" t="s">
        <v>20</v>
      </c>
      <c r="H9053" t="s">
        <v>21</v>
      </c>
      <c r="I9053" t="s">
        <v>17482</v>
      </c>
      <c r="J9053" t="str">
        <f>HYPERLINK("https://www.boe.es/gazeta/dias/1821/11/18/pdfs/GMD-1821-329.pdf#page=3","Abrir facsímil")</f>
        <v>Abrir facsímil</v>
      </c>
      <c r="K9053" t="s">
        <v>23</v>
      </c>
    </row>
    <row r="9054" spans="1:11" ht="42" customHeight="1">
      <c r="A9054" t="s">
        <v>17483</v>
      </c>
      <c r="B9054" t="s">
        <v>17484</v>
      </c>
      <c r="C9054" t="s">
        <v>40</v>
      </c>
      <c r="D9054" t="s">
        <v>41</v>
      </c>
      <c r="E9054" s="6">
        <v>-28694</v>
      </c>
      <c r="F9054" t="s">
        <v>1057</v>
      </c>
      <c r="G9054" t="s">
        <v>52</v>
      </c>
      <c r="H9054" t="s">
        <v>21</v>
      </c>
      <c r="I9054" t="s">
        <v>17485</v>
      </c>
      <c r="J9054" t="str">
        <f>HYPERLINK("https://www.boe.es/gazeta/dias/1821/06/08/pdfs/GMD-1821-161.pdf#page=2","Abrir facsímil")</f>
        <v>Abrir facsímil</v>
      </c>
      <c r="K9054" t="s">
        <v>23</v>
      </c>
    </row>
    <row r="9055" spans="1:11" ht="42" customHeight="1">
      <c r="A9055" t="s">
        <v>17486</v>
      </c>
      <c r="B9055" t="s">
        <v>17487</v>
      </c>
      <c r="C9055" t="s">
        <v>35</v>
      </c>
      <c r="D9055" t="s">
        <v>27</v>
      </c>
      <c r="E9055" s="6">
        <v>-28555</v>
      </c>
      <c r="F9055" t="s">
        <v>219</v>
      </c>
      <c r="G9055" t="s">
        <v>29</v>
      </c>
      <c r="H9055" t="s">
        <v>21</v>
      </c>
      <c r="I9055" t="s">
        <v>17488</v>
      </c>
      <c r="J9055" t="str">
        <f>HYPERLINK("https://www.boe.es/gazeta/dias/1821/10/25/pdfs/GMD-1821-304.pdf#page=6","Abrir facsímil")</f>
        <v>Abrir facsímil</v>
      </c>
      <c r="K9055" t="s">
        <v>23</v>
      </c>
    </row>
    <row r="9056" spans="1:11" ht="42" customHeight="1">
      <c r="A9056" t="s">
        <v>17489</v>
      </c>
      <c r="B9056" t="s">
        <v>17490</v>
      </c>
      <c r="C9056" t="s">
        <v>35</v>
      </c>
      <c r="D9056" t="s">
        <v>27</v>
      </c>
      <c r="E9056" s="6">
        <v>-28689</v>
      </c>
      <c r="F9056" t="s">
        <v>194</v>
      </c>
      <c r="G9056" t="s">
        <v>88</v>
      </c>
      <c r="H9056" t="s">
        <v>21</v>
      </c>
      <c r="I9056" t="s">
        <v>17491</v>
      </c>
      <c r="J9056" t="str">
        <f>HYPERLINK("https://www.boe.es/gazeta/dias/1821/06/13/pdfs/GMD-1821-166.pdf#page=4","Abrir facsímil")</f>
        <v>Abrir facsímil</v>
      </c>
      <c r="K9056" t="s">
        <v>23</v>
      </c>
    </row>
    <row r="9057" spans="1:11" ht="42" customHeight="1">
      <c r="A9057" t="s">
        <v>17492</v>
      </c>
      <c r="B9057" t="s">
        <v>17493</v>
      </c>
      <c r="C9057" t="s">
        <v>40</v>
      </c>
      <c r="D9057" t="s">
        <v>41</v>
      </c>
      <c r="E9057" s="6">
        <v>-28818</v>
      </c>
      <c r="F9057" t="s">
        <v>2337</v>
      </c>
      <c r="G9057" t="s">
        <v>4055</v>
      </c>
      <c r="H9057" t="s">
        <v>21</v>
      </c>
      <c r="I9057" t="s">
        <v>17494</v>
      </c>
      <c r="J9057" t="str">
        <f>HYPERLINK("https://www.boe.es/gazeta/dias/1821/02/04/pdfs/GGB-1821-35.pdf#page=6","Abrir facsímil")</f>
        <v>Abrir facsímil</v>
      </c>
      <c r="K9057" t="s">
        <v>23</v>
      </c>
    </row>
    <row r="9058" spans="1:11" ht="42" customHeight="1">
      <c r="A9058" t="s">
        <v>17495</v>
      </c>
      <c r="B9058" t="s">
        <v>17496</v>
      </c>
      <c r="C9058" t="s">
        <v>17</v>
      </c>
      <c r="D9058" t="s">
        <v>18</v>
      </c>
      <c r="E9058" s="6">
        <v>-28539</v>
      </c>
      <c r="F9058" t="s">
        <v>153</v>
      </c>
      <c r="G9058" t="s">
        <v>29</v>
      </c>
      <c r="H9058" t="s">
        <v>21</v>
      </c>
      <c r="I9058" t="s">
        <v>17497</v>
      </c>
      <c r="J9058" t="str">
        <f>HYPERLINK("https://www.boe.es/gazeta/dias/1821/11/10/pdfs/GMD-1821-321.pdf#page=6","Abrir facsímil")</f>
        <v>Abrir facsímil</v>
      </c>
      <c r="K9058" t="s">
        <v>23</v>
      </c>
    </row>
    <row r="9059" spans="1:11" ht="42" customHeight="1">
      <c r="A9059" t="s">
        <v>17498</v>
      </c>
      <c r="B9059" t="s">
        <v>17499</v>
      </c>
      <c r="C9059" t="s">
        <v>70</v>
      </c>
      <c r="D9059" t="s">
        <v>27</v>
      </c>
      <c r="E9059" s="6">
        <v>-28621</v>
      </c>
      <c r="F9059" t="s">
        <v>1317</v>
      </c>
      <c r="G9059" t="s">
        <v>88</v>
      </c>
      <c r="H9059" t="s">
        <v>21</v>
      </c>
      <c r="I9059" t="s">
        <v>17500</v>
      </c>
      <c r="J9059" t="str">
        <f>HYPERLINK("https://www.boe.es/gazeta/dias/1821/08/20/pdfs/GMD-1821-237.pdf#page=4","Abrir facsímil")</f>
        <v>Abrir facsímil</v>
      </c>
      <c r="K9059" t="s">
        <v>23</v>
      </c>
    </row>
    <row r="9060" spans="1:11" ht="42" customHeight="1">
      <c r="A9060" t="s">
        <v>17501</v>
      </c>
      <c r="B9060" t="s">
        <v>17501</v>
      </c>
      <c r="C9060" t="s">
        <v>40</v>
      </c>
      <c r="D9060" t="s">
        <v>41</v>
      </c>
      <c r="E9060" s="6">
        <v>-28671</v>
      </c>
      <c r="F9060" t="s">
        <v>5059</v>
      </c>
      <c r="G9060" t="s">
        <v>43</v>
      </c>
      <c r="H9060" t="s">
        <v>21</v>
      </c>
      <c r="I9060" t="s">
        <v>17502</v>
      </c>
      <c r="J9060" t="str">
        <f>HYPERLINK("https://www.boe.es/gazeta/dias/1821/07/01/pdfs/GMD-1821-185.pdf#page=1","Abrir facsímil")</f>
        <v>Abrir facsímil</v>
      </c>
      <c r="K9060" t="s">
        <v>23</v>
      </c>
    </row>
    <row r="9061" spans="1:11" ht="42" customHeight="1">
      <c r="A9061" t="s">
        <v>17503</v>
      </c>
      <c r="B9061" t="s">
        <v>17504</v>
      </c>
      <c r="C9061" t="s">
        <v>40</v>
      </c>
      <c r="D9061" t="s">
        <v>41</v>
      </c>
      <c r="E9061" s="6">
        <v>-28511</v>
      </c>
      <c r="F9061" t="s">
        <v>340</v>
      </c>
      <c r="G9061" t="s">
        <v>52</v>
      </c>
      <c r="H9061" t="s">
        <v>21</v>
      </c>
      <c r="I9061" t="s">
        <v>17505</v>
      </c>
      <c r="J9061" t="str">
        <f>HYPERLINK("https://www.boe.es/gazeta/dias/1821/12/08/pdfs/GMD-1821-350.pdf#page=2","Abrir facsímil")</f>
        <v>Abrir facsímil</v>
      </c>
      <c r="K9061" t="s">
        <v>23</v>
      </c>
    </row>
    <row r="9062" spans="1:11" ht="42" customHeight="1">
      <c r="A9062" t="s">
        <v>17506</v>
      </c>
      <c r="B9062" t="s">
        <v>17507</v>
      </c>
      <c r="C9062" t="s">
        <v>17</v>
      </c>
      <c r="D9062" t="s">
        <v>18</v>
      </c>
      <c r="E9062" s="6">
        <v>-28610</v>
      </c>
      <c r="F9062" t="s">
        <v>190</v>
      </c>
      <c r="G9062" t="s">
        <v>20</v>
      </c>
      <c r="H9062" t="s">
        <v>21</v>
      </c>
      <c r="I9062" t="s">
        <v>17508</v>
      </c>
      <c r="J9062" t="str">
        <f>HYPERLINK("https://www.boe.es/gazeta/dias/1821/08/31/pdfs/GMD-1821-248.pdf#page=3","Abrir facsímil")</f>
        <v>Abrir facsímil</v>
      </c>
      <c r="K9062" t="s">
        <v>23</v>
      </c>
    </row>
    <row r="9063" spans="1:11" ht="42" customHeight="1">
      <c r="A9063" t="s">
        <v>17509</v>
      </c>
      <c r="B9063" t="s">
        <v>17509</v>
      </c>
      <c r="C9063" t="s">
        <v>40</v>
      </c>
      <c r="D9063" t="s">
        <v>41</v>
      </c>
      <c r="E9063" s="6">
        <v>-28730</v>
      </c>
      <c r="F9063" t="s">
        <v>747</v>
      </c>
      <c r="G9063" t="s">
        <v>88</v>
      </c>
      <c r="H9063" t="s">
        <v>21</v>
      </c>
      <c r="I9063" t="s">
        <v>17510</v>
      </c>
      <c r="J9063" t="str">
        <f>HYPERLINK("https://www.boe.es/gazeta/dias/1821/05/03/pdfs/GMD-1821-125.pdf#page=4","Abrir facsímil")</f>
        <v>Abrir facsímil</v>
      </c>
      <c r="K9063" t="s">
        <v>23</v>
      </c>
    </row>
    <row r="9064" spans="1:11" ht="42" customHeight="1">
      <c r="A9064" t="s">
        <v>17509</v>
      </c>
      <c r="B9064" t="s">
        <v>17509</v>
      </c>
      <c r="C9064" t="s">
        <v>40</v>
      </c>
      <c r="D9064" t="s">
        <v>41</v>
      </c>
      <c r="E9064" s="6">
        <v>-28725</v>
      </c>
      <c r="F9064" t="s">
        <v>440</v>
      </c>
      <c r="G9064" t="s">
        <v>43</v>
      </c>
      <c r="H9064" t="s">
        <v>21</v>
      </c>
      <c r="I9064" t="s">
        <v>17511</v>
      </c>
      <c r="J9064" t="str">
        <f>HYPERLINK("https://www.boe.es/gazeta/dias/1821/05/08/pdfs/GMD-1821-130.pdf#page=1","Abrir facsímil")</f>
        <v>Abrir facsímil</v>
      </c>
      <c r="K9064" t="s">
        <v>23</v>
      </c>
    </row>
    <row r="9065" spans="1:11" ht="42" customHeight="1">
      <c r="A9065" t="s">
        <v>17512</v>
      </c>
      <c r="B9065" t="s">
        <v>17512</v>
      </c>
      <c r="C9065" t="s">
        <v>40</v>
      </c>
      <c r="D9065" t="s">
        <v>41</v>
      </c>
      <c r="E9065" s="6">
        <v>-28669</v>
      </c>
      <c r="F9065" t="s">
        <v>2816</v>
      </c>
      <c r="G9065" t="s">
        <v>52</v>
      </c>
      <c r="H9065" t="s">
        <v>21</v>
      </c>
      <c r="I9065" t="s">
        <v>17513</v>
      </c>
      <c r="J9065" t="str">
        <f>HYPERLINK("https://www.boe.es/gazeta/dias/1821/07/03/pdfs/GMD-1821-187.pdf#page=2","Abrir facsímil")</f>
        <v>Abrir facsímil</v>
      </c>
      <c r="K9065" t="s">
        <v>23</v>
      </c>
    </row>
    <row r="9066" spans="1:11" ht="42" customHeight="1">
      <c r="A9066" t="s">
        <v>17514</v>
      </c>
      <c r="B9066" t="s">
        <v>17514</v>
      </c>
      <c r="C9066" t="s">
        <v>17</v>
      </c>
      <c r="D9066" t="s">
        <v>18</v>
      </c>
      <c r="E9066" s="6">
        <v>-28669</v>
      </c>
      <c r="F9066" t="s">
        <v>2816</v>
      </c>
      <c r="G9066" t="s">
        <v>88</v>
      </c>
      <c r="H9066" t="s">
        <v>21</v>
      </c>
      <c r="I9066" t="s">
        <v>17515</v>
      </c>
      <c r="J9066" t="str">
        <f>HYPERLINK("https://www.boe.es/gazeta/dias/1821/07/03/pdfs/GMD-1821-187.pdf#page=4","Abrir facsímil")</f>
        <v>Abrir facsímil</v>
      </c>
      <c r="K9066" t="s">
        <v>23</v>
      </c>
    </row>
    <row r="9067" spans="1:11" ht="42" customHeight="1">
      <c r="A9067" t="s">
        <v>17516</v>
      </c>
      <c r="B9067" t="s">
        <v>17517</v>
      </c>
      <c r="C9067" t="s">
        <v>35</v>
      </c>
      <c r="D9067" t="s">
        <v>27</v>
      </c>
      <c r="E9067" s="6">
        <v>-28767</v>
      </c>
      <c r="F9067" t="s">
        <v>1439</v>
      </c>
      <c r="G9067" t="s">
        <v>1440</v>
      </c>
      <c r="H9067" t="s">
        <v>21</v>
      </c>
      <c r="I9067" t="s">
        <v>17518</v>
      </c>
      <c r="J9067" t="str">
        <f>HYPERLINK("https://www.boe.es/gazeta/dias/1821/03/27/pdfs/GMD-1821-87.pdf#page=3","Abrir facsímil")</f>
        <v>Abrir facsímil</v>
      </c>
      <c r="K9067" t="s">
        <v>23</v>
      </c>
    </row>
    <row r="9068" spans="1:11" ht="42" customHeight="1">
      <c r="A9068" t="s">
        <v>17519</v>
      </c>
      <c r="B9068" t="s">
        <v>17520</v>
      </c>
      <c r="C9068" t="s">
        <v>114</v>
      </c>
      <c r="D9068" t="s">
        <v>27</v>
      </c>
      <c r="E9068" s="6">
        <v>-28593</v>
      </c>
      <c r="F9068" t="s">
        <v>1635</v>
      </c>
      <c r="G9068" t="s">
        <v>88</v>
      </c>
      <c r="H9068" t="s">
        <v>21</v>
      </c>
      <c r="I9068" t="s">
        <v>17521</v>
      </c>
      <c r="J9068" t="str">
        <f>HYPERLINK("https://www.boe.es/gazeta/dias/1821/09/17/pdfs/GMD-1821-265.pdf#page=4","Abrir facsímil")</f>
        <v>Abrir facsímil</v>
      </c>
      <c r="K9068" t="s">
        <v>23</v>
      </c>
    </row>
    <row r="9069" spans="1:11" ht="42" customHeight="1">
      <c r="A9069" t="s">
        <v>17522</v>
      </c>
      <c r="B9069" t="s">
        <v>17523</v>
      </c>
      <c r="C9069" t="s">
        <v>26</v>
      </c>
      <c r="D9069" t="s">
        <v>27</v>
      </c>
      <c r="E9069" s="6">
        <v>-28620</v>
      </c>
      <c r="F9069" t="s">
        <v>87</v>
      </c>
      <c r="G9069" t="s">
        <v>88</v>
      </c>
      <c r="H9069" t="s">
        <v>21</v>
      </c>
      <c r="I9069" t="s">
        <v>17524</v>
      </c>
      <c r="J9069" t="str">
        <f>HYPERLINK("https://www.boe.es/gazeta/dias/1821/08/21/pdfs/GMD-1821-238.pdf#page=4","Abrir facsímil")</f>
        <v>Abrir facsímil</v>
      </c>
      <c r="K9069" t="s">
        <v>23</v>
      </c>
    </row>
    <row r="9070" spans="1:11" ht="42" customHeight="1">
      <c r="A9070" t="s">
        <v>17522</v>
      </c>
      <c r="B9070" t="s">
        <v>17523</v>
      </c>
      <c r="C9070" t="s">
        <v>17</v>
      </c>
      <c r="D9070" t="s">
        <v>18</v>
      </c>
      <c r="E9070" s="6">
        <v>-28535</v>
      </c>
      <c r="F9070" t="s">
        <v>96</v>
      </c>
      <c r="G9070" t="s">
        <v>52</v>
      </c>
      <c r="H9070" t="s">
        <v>21</v>
      </c>
      <c r="I9070" t="s">
        <v>17525</v>
      </c>
      <c r="J9070" t="str">
        <f>HYPERLINK("https://www.boe.es/gazeta/dias/1821/11/14/pdfs/GMD-1821-325.pdf#page=2","Abrir facsímil")</f>
        <v>Abrir facsímil</v>
      </c>
      <c r="K9070" t="s">
        <v>23</v>
      </c>
    </row>
    <row r="9071" spans="1:11" ht="42" customHeight="1">
      <c r="A9071" t="s">
        <v>17522</v>
      </c>
      <c r="B9071" t="s">
        <v>17523</v>
      </c>
      <c r="C9071" t="s">
        <v>40</v>
      </c>
      <c r="D9071" t="s">
        <v>41</v>
      </c>
      <c r="E9071" s="6">
        <v>-28512</v>
      </c>
      <c r="F9071" t="s">
        <v>66</v>
      </c>
      <c r="G9071" t="s">
        <v>43</v>
      </c>
      <c r="H9071" t="s">
        <v>21</v>
      </c>
      <c r="I9071" t="s">
        <v>17526</v>
      </c>
      <c r="J9071" t="str">
        <f>HYPERLINK("https://www.boe.es/gazeta/dias/1821/12/07/pdfs/GMD-1821-349.pdf#page=1","Abrir facsímil")</f>
        <v>Abrir facsímil</v>
      </c>
      <c r="K9071" t="s">
        <v>23</v>
      </c>
    </row>
    <row r="9072" spans="1:11" ht="42" customHeight="1">
      <c r="A9072" t="s">
        <v>17527</v>
      </c>
      <c r="B9072" t="s">
        <v>17528</v>
      </c>
      <c r="C9072" t="s">
        <v>40</v>
      </c>
      <c r="D9072" t="s">
        <v>41</v>
      </c>
      <c r="E9072" s="6">
        <v>-28673</v>
      </c>
      <c r="F9072" t="s">
        <v>1069</v>
      </c>
      <c r="G9072" t="s">
        <v>20</v>
      </c>
      <c r="H9072" t="s">
        <v>21</v>
      </c>
      <c r="I9072" t="s">
        <v>17529</v>
      </c>
      <c r="J9072" t="str">
        <f>HYPERLINK("https://www.boe.es/gazeta/dias/1821/06/29/pdfs/GMD-1821-182.pdf#page=3","Abrir facsímil")</f>
        <v>Abrir facsímil</v>
      </c>
      <c r="K9072" t="s">
        <v>23</v>
      </c>
    </row>
    <row r="9073" spans="1:11" ht="42" customHeight="1">
      <c r="A9073" t="s">
        <v>17530</v>
      </c>
      <c r="B9073" t="s">
        <v>17531</v>
      </c>
      <c r="C9073" t="s">
        <v>40</v>
      </c>
      <c r="D9073" t="s">
        <v>41</v>
      </c>
      <c r="E9073" s="6">
        <v>-28696</v>
      </c>
      <c r="F9073" t="s">
        <v>497</v>
      </c>
      <c r="G9073" t="s">
        <v>52</v>
      </c>
      <c r="H9073" t="s">
        <v>21</v>
      </c>
      <c r="I9073" t="s">
        <v>17532</v>
      </c>
      <c r="J9073" t="str">
        <f>HYPERLINK("https://www.boe.es/gazeta/dias/1821/06/06/pdfs/GMD-1821-159.pdf#page=2","Abrir facsímil")</f>
        <v>Abrir facsímil</v>
      </c>
      <c r="K9073" t="s">
        <v>23</v>
      </c>
    </row>
    <row r="9074" spans="1:11" ht="42" customHeight="1">
      <c r="A9074" t="s">
        <v>17533</v>
      </c>
      <c r="B9074" t="s">
        <v>17534</v>
      </c>
      <c r="C9074" t="s">
        <v>40</v>
      </c>
      <c r="D9074" t="s">
        <v>41</v>
      </c>
      <c r="E9074" s="6">
        <v>-28706</v>
      </c>
      <c r="F9074" t="s">
        <v>4791</v>
      </c>
      <c r="G9074" t="s">
        <v>88</v>
      </c>
      <c r="H9074" t="s">
        <v>21</v>
      </c>
      <c r="I9074" t="s">
        <v>17535</v>
      </c>
      <c r="J9074" t="str">
        <f>HYPERLINK("https://www.boe.es/gazeta/dias/1821/05/27/pdfs/GMD-1821-149.pdf#page=4","Abrir facsímil")</f>
        <v>Abrir facsímil</v>
      </c>
      <c r="K9074" t="s">
        <v>23</v>
      </c>
    </row>
    <row r="9075" spans="1:11" ht="42" customHeight="1">
      <c r="A9075" t="s">
        <v>17536</v>
      </c>
      <c r="B9075" t="s">
        <v>17537</v>
      </c>
      <c r="C9075" t="s">
        <v>40</v>
      </c>
      <c r="D9075" t="s">
        <v>41</v>
      </c>
      <c r="E9075" s="6">
        <v>-28682</v>
      </c>
      <c r="F9075" t="s">
        <v>1064</v>
      </c>
      <c r="G9075" t="s">
        <v>29</v>
      </c>
      <c r="H9075" t="s">
        <v>21</v>
      </c>
      <c r="I9075" t="s">
        <v>17538</v>
      </c>
      <c r="J9075" t="str">
        <f>HYPERLINK("https://www.boe.es/gazeta/dias/1821/06/20/pdfs/GMD-1821-173.pdf#page=6","Abrir facsímil")</f>
        <v>Abrir facsímil</v>
      </c>
      <c r="K9075" t="s">
        <v>23</v>
      </c>
    </row>
    <row r="9076" spans="1:11" ht="42" customHeight="1">
      <c r="A9076" t="s">
        <v>17539</v>
      </c>
      <c r="B9076" t="s">
        <v>17540</v>
      </c>
      <c r="C9076" t="s">
        <v>40</v>
      </c>
      <c r="D9076" t="s">
        <v>41</v>
      </c>
      <c r="E9076" s="6">
        <v>-28655</v>
      </c>
      <c r="F9076" t="s">
        <v>2530</v>
      </c>
      <c r="G9076" t="s">
        <v>88</v>
      </c>
      <c r="H9076" t="s">
        <v>21</v>
      </c>
      <c r="I9076" t="s">
        <v>17541</v>
      </c>
      <c r="J9076" t="str">
        <f>HYPERLINK("https://www.boe.es/gazeta/dias/1821/07/17/pdfs/GMD-1821-202.pdf#page=4","Abrir facsímil")</f>
        <v>Abrir facsímil</v>
      </c>
      <c r="K9076" t="s">
        <v>23</v>
      </c>
    </row>
    <row r="9077" spans="1:11" ht="42" customHeight="1">
      <c r="A9077" t="s">
        <v>17542</v>
      </c>
      <c r="B9077" t="s">
        <v>17543</v>
      </c>
      <c r="C9077" t="s">
        <v>40</v>
      </c>
      <c r="D9077" t="s">
        <v>41</v>
      </c>
      <c r="E9077" s="6">
        <v>-28616</v>
      </c>
      <c r="F9077" t="s">
        <v>1912</v>
      </c>
      <c r="G9077" t="s">
        <v>1913</v>
      </c>
      <c r="H9077" t="s">
        <v>21</v>
      </c>
      <c r="I9077" t="s">
        <v>17544</v>
      </c>
      <c r="J9077" t="str">
        <f>HYPERLINK("https://www.boe.es/gazeta/dias/1821/08/25/pdfs/GMD-1821-242.pdf#page=3","Abrir facsímil")</f>
        <v>Abrir facsímil</v>
      </c>
      <c r="K9077" t="s">
        <v>23</v>
      </c>
    </row>
    <row r="9078" spans="1:11" ht="42" customHeight="1">
      <c r="A9078" t="s">
        <v>17545</v>
      </c>
      <c r="B9078" t="s">
        <v>17546</v>
      </c>
      <c r="C9078" t="s">
        <v>17</v>
      </c>
      <c r="D9078" t="s">
        <v>18</v>
      </c>
      <c r="E9078" s="6">
        <v>-28654</v>
      </c>
      <c r="F9078" t="s">
        <v>674</v>
      </c>
      <c r="G9078" t="s">
        <v>88</v>
      </c>
      <c r="H9078" t="s">
        <v>21</v>
      </c>
      <c r="I9078" t="s">
        <v>17547</v>
      </c>
      <c r="J9078" t="str">
        <f>HYPERLINK("https://www.boe.es/gazeta/dias/1821/07/18/pdfs/GMD-1821-203.pdf#page=4","Abrir facsímil")</f>
        <v>Abrir facsímil</v>
      </c>
      <c r="K9078" t="s">
        <v>23</v>
      </c>
    </row>
    <row r="9079" spans="1:11" ht="42" customHeight="1">
      <c r="A9079" t="s">
        <v>17548</v>
      </c>
      <c r="B9079" t="s">
        <v>17549</v>
      </c>
      <c r="C9079" t="s">
        <v>40</v>
      </c>
      <c r="D9079" t="s">
        <v>41</v>
      </c>
      <c r="E9079" s="6">
        <v>-28771</v>
      </c>
      <c r="F9079" t="s">
        <v>110</v>
      </c>
      <c r="G9079" t="s">
        <v>20</v>
      </c>
      <c r="H9079" t="s">
        <v>21</v>
      </c>
      <c r="I9079" t="s">
        <v>17550</v>
      </c>
      <c r="J9079" t="str">
        <f>HYPERLINK("https://www.boe.es/gazeta/dias/1821/03/23/pdfs/GMD-1821-83.pdf#page=3","Abrir facsímil")</f>
        <v>Abrir facsímil</v>
      </c>
      <c r="K9079" t="s">
        <v>23</v>
      </c>
    </row>
    <row r="9080" spans="1:11" ht="42" customHeight="1">
      <c r="A9080" t="s">
        <v>17551</v>
      </c>
      <c r="B9080" t="s">
        <v>17551</v>
      </c>
      <c r="C9080" t="s">
        <v>40</v>
      </c>
      <c r="D9080" t="s">
        <v>41</v>
      </c>
      <c r="E9080" s="6">
        <v>-28845</v>
      </c>
      <c r="F9080" t="s">
        <v>5185</v>
      </c>
      <c r="G9080" t="s">
        <v>20</v>
      </c>
      <c r="H9080" t="s">
        <v>21</v>
      </c>
      <c r="I9080" t="s">
        <v>17552</v>
      </c>
      <c r="J9080" t="str">
        <f>HYPERLINK("https://www.boe.es/gazeta/dias/1821/01/08/pdfs/GGB-1821-8.pdf#page=3","Abrir facsímil")</f>
        <v>Abrir facsímil</v>
      </c>
      <c r="K9080" t="s">
        <v>23</v>
      </c>
    </row>
    <row r="9081" spans="1:11" ht="42" customHeight="1">
      <c r="A9081" t="s">
        <v>17551</v>
      </c>
      <c r="B9081" t="s">
        <v>17551</v>
      </c>
      <c r="C9081" t="s">
        <v>40</v>
      </c>
      <c r="D9081" t="s">
        <v>41</v>
      </c>
      <c r="E9081" s="6">
        <v>-28840</v>
      </c>
      <c r="F9081" t="s">
        <v>161</v>
      </c>
      <c r="G9081" t="s">
        <v>88</v>
      </c>
      <c r="H9081" t="s">
        <v>21</v>
      </c>
      <c r="I9081" t="s">
        <v>17553</v>
      </c>
      <c r="J9081" t="str">
        <f>HYPERLINK("https://www.boe.es/gazeta/dias/1821/01/13/pdfs/GGB-1821-13.pdf#page=4","Abrir facsímil")</f>
        <v>Abrir facsímil</v>
      </c>
      <c r="K9081" t="s">
        <v>23</v>
      </c>
    </row>
    <row r="9082" spans="1:11" ht="42" customHeight="1">
      <c r="A9082" t="s">
        <v>17551</v>
      </c>
      <c r="B9082" t="s">
        <v>17551</v>
      </c>
      <c r="C9082" t="s">
        <v>26</v>
      </c>
      <c r="D9082" t="s">
        <v>27</v>
      </c>
      <c r="E9082" s="6">
        <v>-28825</v>
      </c>
      <c r="F9082" t="s">
        <v>1199</v>
      </c>
      <c r="G9082" t="s">
        <v>20</v>
      </c>
      <c r="H9082" t="s">
        <v>21</v>
      </c>
      <c r="I9082" t="s">
        <v>17554</v>
      </c>
      <c r="J9082" t="str">
        <f>HYPERLINK("https://www.boe.es/gazeta/dias/1821/01/28/pdfs/GGB-1821-28.pdf#page=3","Abrir facsímil")</f>
        <v>Abrir facsímil</v>
      </c>
      <c r="K9082" t="s">
        <v>23</v>
      </c>
    </row>
    <row r="9083" spans="1:11" ht="42" customHeight="1">
      <c r="A9083" t="s">
        <v>17551</v>
      </c>
      <c r="B9083" t="s">
        <v>17551</v>
      </c>
      <c r="C9083" t="s">
        <v>40</v>
      </c>
      <c r="D9083" t="s">
        <v>41</v>
      </c>
      <c r="E9083" s="6">
        <v>-28702</v>
      </c>
      <c r="F9083" t="s">
        <v>1176</v>
      </c>
      <c r="G9083" t="s">
        <v>1177</v>
      </c>
      <c r="H9083" t="s">
        <v>21</v>
      </c>
      <c r="I9083" t="s">
        <v>17555</v>
      </c>
      <c r="J9083" t="str">
        <f>HYPERLINK("https://www.boe.es/gazeta/dias/1821/05/31/pdfs/GMD-1821-153.pdf#page=2","Abrir facsímil")</f>
        <v>Abrir facsímil</v>
      </c>
      <c r="K9083" t="s">
        <v>23</v>
      </c>
    </row>
    <row r="9084" spans="1:11" ht="42" customHeight="1">
      <c r="A9084" t="s">
        <v>17551</v>
      </c>
      <c r="B9084" t="s">
        <v>17551</v>
      </c>
      <c r="C9084" t="s">
        <v>40</v>
      </c>
      <c r="D9084" t="s">
        <v>41</v>
      </c>
      <c r="E9084" s="6">
        <v>-28580</v>
      </c>
      <c r="F9084" t="s">
        <v>175</v>
      </c>
      <c r="G9084" t="s">
        <v>88</v>
      </c>
      <c r="H9084" t="s">
        <v>21</v>
      </c>
      <c r="I9084" t="s">
        <v>17556</v>
      </c>
      <c r="J9084" t="str">
        <f>HYPERLINK("https://www.boe.es/gazeta/dias/1821/09/30/pdfs/GMD-1821-279.pdf#page=4","Abrir facsímil")</f>
        <v>Abrir facsímil</v>
      </c>
      <c r="K9084" t="s">
        <v>23</v>
      </c>
    </row>
    <row r="9085" spans="1:11" ht="42" customHeight="1">
      <c r="A9085" t="s">
        <v>17551</v>
      </c>
      <c r="B9085" t="s">
        <v>17551</v>
      </c>
      <c r="C9085" t="s">
        <v>40</v>
      </c>
      <c r="D9085" t="s">
        <v>41</v>
      </c>
      <c r="E9085" s="6">
        <v>-28534</v>
      </c>
      <c r="F9085" t="s">
        <v>414</v>
      </c>
      <c r="G9085" t="s">
        <v>162</v>
      </c>
      <c r="H9085" t="s">
        <v>21</v>
      </c>
      <c r="I9085" t="s">
        <v>17557</v>
      </c>
      <c r="J9085" t="str">
        <f>HYPERLINK("https://www.boe.es/gazeta/dias/1821/11/15/pdfs/GMD-1821-326.pdf#page=5","Abrir facsímil")</f>
        <v>Abrir facsímil</v>
      </c>
      <c r="K9085" t="s">
        <v>23</v>
      </c>
    </row>
    <row r="9086" spans="1:11" ht="42" customHeight="1">
      <c r="A9086" t="s">
        <v>17551</v>
      </c>
      <c r="B9086" t="s">
        <v>17551</v>
      </c>
      <c r="C9086" t="s">
        <v>40</v>
      </c>
      <c r="D9086" t="s">
        <v>41</v>
      </c>
      <c r="E9086" s="6">
        <v>-28505</v>
      </c>
      <c r="F9086" t="s">
        <v>567</v>
      </c>
      <c r="G9086" t="s">
        <v>88</v>
      </c>
      <c r="H9086" t="s">
        <v>21</v>
      </c>
      <c r="I9086" t="s">
        <v>17558</v>
      </c>
      <c r="J9086" t="str">
        <f>HYPERLINK("https://www.boe.es/gazeta/dias/1821/12/14/pdfs/GMD-1821-357.pdf#page=4","Abrir facsímil")</f>
        <v>Abrir facsímil</v>
      </c>
      <c r="K9086" t="s">
        <v>23</v>
      </c>
    </row>
    <row r="9087" spans="1:11" ht="42" customHeight="1">
      <c r="A9087" t="s">
        <v>17551</v>
      </c>
      <c r="B9087" t="s">
        <v>17551</v>
      </c>
      <c r="C9087" t="s">
        <v>40</v>
      </c>
      <c r="D9087" t="s">
        <v>41</v>
      </c>
      <c r="E9087" s="6">
        <v>-28504</v>
      </c>
      <c r="F9087" t="s">
        <v>1098</v>
      </c>
      <c r="G9087" t="s">
        <v>29</v>
      </c>
      <c r="H9087" t="s">
        <v>21</v>
      </c>
      <c r="I9087" t="s">
        <v>17559</v>
      </c>
      <c r="J9087" t="str">
        <f>HYPERLINK("https://www.boe.es/gazeta/dias/1821/12/15/pdfs/GMD-1821-358.pdf#page=6","Abrir facsímil")</f>
        <v>Abrir facsímil</v>
      </c>
      <c r="K9087" t="s">
        <v>23</v>
      </c>
    </row>
    <row r="9088" spans="1:11" ht="42" customHeight="1">
      <c r="A9088" t="s">
        <v>17560</v>
      </c>
      <c r="B9088" t="s">
        <v>17561</v>
      </c>
      <c r="C9088" t="s">
        <v>114</v>
      </c>
      <c r="D9088" t="s">
        <v>27</v>
      </c>
      <c r="E9088" s="6">
        <v>-28646</v>
      </c>
      <c r="F9088" t="s">
        <v>1457</v>
      </c>
      <c r="G9088" t="s">
        <v>20</v>
      </c>
      <c r="H9088" t="s">
        <v>30</v>
      </c>
      <c r="I9088" t="s">
        <v>17562</v>
      </c>
      <c r="J9088" t="str">
        <f>HYPERLINK("https://www.boe.es/gazeta/dias/1821/07/26/pdfs/GMD-1821-211.pdf#page=3","Abrir facsímil")</f>
        <v>Abrir facsímil</v>
      </c>
      <c r="K9088" t="s">
        <v>32</v>
      </c>
    </row>
    <row r="9089" spans="1:11" ht="42" customHeight="1">
      <c r="A9089" t="s">
        <v>17563</v>
      </c>
      <c r="B9089" t="s">
        <v>17564</v>
      </c>
      <c r="C9089" t="s">
        <v>40</v>
      </c>
      <c r="D9089" t="s">
        <v>41</v>
      </c>
      <c r="E9089" s="6">
        <v>-28837</v>
      </c>
      <c r="F9089" t="s">
        <v>1234</v>
      </c>
      <c r="G9089" t="s">
        <v>88</v>
      </c>
      <c r="H9089" t="s">
        <v>21</v>
      </c>
      <c r="I9089" t="s">
        <v>17565</v>
      </c>
      <c r="J9089" t="str">
        <f>HYPERLINK("https://www.boe.es/gazeta/dias/1821/01/16/pdfs/GGB-1821-16.pdf#page=4","Abrir facsímil")</f>
        <v>Abrir facsímil</v>
      </c>
      <c r="K9089" t="s">
        <v>23</v>
      </c>
    </row>
    <row r="9090" spans="1:11" ht="42" customHeight="1">
      <c r="A9090" t="s">
        <v>17563</v>
      </c>
      <c r="B9090" t="s">
        <v>17564</v>
      </c>
      <c r="C9090" t="s">
        <v>40</v>
      </c>
      <c r="D9090" t="s">
        <v>41</v>
      </c>
      <c r="E9090" s="6">
        <v>-28746</v>
      </c>
      <c r="F9090" t="s">
        <v>687</v>
      </c>
      <c r="G9090" t="s">
        <v>88</v>
      </c>
      <c r="H9090" t="s">
        <v>21</v>
      </c>
      <c r="I9090" t="s">
        <v>17566</v>
      </c>
      <c r="J9090" t="str">
        <f>HYPERLINK("https://www.boe.es/gazeta/dias/1821/04/17/pdfs/GMD-1821-109.pdf#page=4","Abrir facsímil")</f>
        <v>Abrir facsímil</v>
      </c>
      <c r="K9090" t="s">
        <v>23</v>
      </c>
    </row>
    <row r="9091" spans="1:11" ht="42" customHeight="1">
      <c r="A9091" t="s">
        <v>17563</v>
      </c>
      <c r="B9091" t="s">
        <v>17564</v>
      </c>
      <c r="C9091" t="s">
        <v>35</v>
      </c>
      <c r="D9091" t="s">
        <v>27</v>
      </c>
      <c r="E9091" s="6">
        <v>-28684</v>
      </c>
      <c r="F9091" t="s">
        <v>208</v>
      </c>
      <c r="G9091" t="s">
        <v>20</v>
      </c>
      <c r="H9091" t="s">
        <v>21</v>
      </c>
      <c r="I9091" t="s">
        <v>17567</v>
      </c>
      <c r="J9091" t="str">
        <f>HYPERLINK("https://www.boe.es/gazeta/dias/1821/06/18/pdfs/GMD-1821-171.pdf#page=3","Abrir facsímil")</f>
        <v>Abrir facsímil</v>
      </c>
      <c r="K9091" t="s">
        <v>23</v>
      </c>
    </row>
    <row r="9092" spans="1:11" ht="42" customHeight="1">
      <c r="A9092" t="s">
        <v>17563</v>
      </c>
      <c r="B9092" t="s">
        <v>17564</v>
      </c>
      <c r="C9092" t="s">
        <v>114</v>
      </c>
      <c r="D9092" t="s">
        <v>27</v>
      </c>
      <c r="E9092" s="6">
        <v>-28684</v>
      </c>
      <c r="F9092" t="s">
        <v>208</v>
      </c>
      <c r="G9092" t="s">
        <v>88</v>
      </c>
      <c r="H9092" t="s">
        <v>21</v>
      </c>
      <c r="I9092" t="s">
        <v>17568</v>
      </c>
      <c r="J9092" t="str">
        <f>HYPERLINK("https://www.boe.es/gazeta/dias/1821/06/18/pdfs/GMD-1821-171.pdf#page=4","Abrir facsímil")</f>
        <v>Abrir facsímil</v>
      </c>
      <c r="K9092" t="s">
        <v>23</v>
      </c>
    </row>
    <row r="9093" spans="1:11" ht="42" customHeight="1">
      <c r="A9093" t="s">
        <v>17563</v>
      </c>
      <c r="B9093" t="s">
        <v>17564</v>
      </c>
      <c r="C9093" t="s">
        <v>35</v>
      </c>
      <c r="D9093" t="s">
        <v>27</v>
      </c>
      <c r="E9093" s="6">
        <v>-28646</v>
      </c>
      <c r="F9093" t="s">
        <v>1457</v>
      </c>
      <c r="G9093" t="s">
        <v>20</v>
      </c>
      <c r="H9093" t="s">
        <v>21</v>
      </c>
      <c r="I9093" t="s">
        <v>17569</v>
      </c>
      <c r="J9093" t="str">
        <f>HYPERLINK("https://www.boe.es/gazeta/dias/1821/07/26/pdfs/GMD-1821-211.pdf#page=3","Abrir facsímil")</f>
        <v>Abrir facsímil</v>
      </c>
      <c r="K9093" t="s">
        <v>23</v>
      </c>
    </row>
    <row r="9094" spans="1:11" ht="42" customHeight="1">
      <c r="A9094" t="s">
        <v>17563</v>
      </c>
      <c r="B9094" t="s">
        <v>17564</v>
      </c>
      <c r="C9094" t="s">
        <v>40</v>
      </c>
      <c r="D9094" t="s">
        <v>41</v>
      </c>
      <c r="E9094" s="6">
        <v>-28607</v>
      </c>
      <c r="F9094" t="s">
        <v>740</v>
      </c>
      <c r="G9094" t="s">
        <v>52</v>
      </c>
      <c r="H9094" t="s">
        <v>21</v>
      </c>
      <c r="I9094" t="s">
        <v>17570</v>
      </c>
      <c r="J9094" t="str">
        <f>HYPERLINK("https://www.boe.es/gazeta/dias/1821/09/03/pdfs/GMD-1821-251.pdf#page=2","Abrir facsímil")</f>
        <v>Abrir facsímil</v>
      </c>
      <c r="K9094" t="s">
        <v>23</v>
      </c>
    </row>
    <row r="9095" spans="1:11" ht="42" customHeight="1">
      <c r="A9095" t="s">
        <v>17563</v>
      </c>
      <c r="B9095" t="s">
        <v>17564</v>
      </c>
      <c r="C9095" t="s">
        <v>40</v>
      </c>
      <c r="D9095" t="s">
        <v>41</v>
      </c>
      <c r="E9095" s="6">
        <v>-28580</v>
      </c>
      <c r="F9095" t="s">
        <v>175</v>
      </c>
      <c r="G9095" t="s">
        <v>88</v>
      </c>
      <c r="H9095" t="s">
        <v>21</v>
      </c>
      <c r="I9095" t="s">
        <v>17571</v>
      </c>
      <c r="J9095" t="str">
        <f>HYPERLINK("https://www.boe.es/gazeta/dias/1821/09/30/pdfs/GMD-1821-279.pdf#page=4","Abrir facsímil")</f>
        <v>Abrir facsímil</v>
      </c>
      <c r="K9095" t="s">
        <v>23</v>
      </c>
    </row>
    <row r="9096" spans="1:11" ht="42" customHeight="1">
      <c r="A9096" t="s">
        <v>17563</v>
      </c>
      <c r="B9096" t="s">
        <v>17564</v>
      </c>
      <c r="C9096" t="s">
        <v>40</v>
      </c>
      <c r="D9096" t="s">
        <v>405</v>
      </c>
      <c r="E9096" s="6">
        <v>-28546</v>
      </c>
      <c r="F9096" t="s">
        <v>6425</v>
      </c>
      <c r="G9096" t="s">
        <v>43</v>
      </c>
      <c r="H9096" t="s">
        <v>21</v>
      </c>
      <c r="I9096" t="s">
        <v>17572</v>
      </c>
      <c r="J9096" t="str">
        <f>HYPERLINK("https://www.boe.es/gazeta/dias/1821/11/03/pdfs/GMD-1821-314E.pdf#page=1","Abrir facsímil")</f>
        <v>Abrir facsímil</v>
      </c>
      <c r="K9096" t="s">
        <v>23</v>
      </c>
    </row>
    <row r="9097" spans="1:11" ht="42" customHeight="1">
      <c r="A9097" t="s">
        <v>17563</v>
      </c>
      <c r="B9097" t="s">
        <v>17564</v>
      </c>
      <c r="C9097" t="s">
        <v>26</v>
      </c>
      <c r="D9097" t="s">
        <v>27</v>
      </c>
      <c r="E9097" s="6">
        <v>-28510</v>
      </c>
      <c r="F9097" t="s">
        <v>83</v>
      </c>
      <c r="G9097" t="s">
        <v>52</v>
      </c>
      <c r="H9097" t="s">
        <v>21</v>
      </c>
      <c r="I9097" t="s">
        <v>17573</v>
      </c>
      <c r="J9097" t="str">
        <f>HYPERLINK("https://www.boe.es/gazeta/dias/1821/12/09/pdfs/GMD-1821-351.pdf#page=2","Abrir facsímil")</f>
        <v>Abrir facsímil</v>
      </c>
      <c r="K9097" t="s">
        <v>23</v>
      </c>
    </row>
    <row r="9098" spans="1:11" ht="42" customHeight="1">
      <c r="A9098" t="s">
        <v>17574</v>
      </c>
      <c r="B9098" t="s">
        <v>17575</v>
      </c>
      <c r="C9098" t="s">
        <v>17</v>
      </c>
      <c r="D9098" t="s">
        <v>18</v>
      </c>
      <c r="E9098" s="6">
        <v>-28684</v>
      </c>
      <c r="F9098" t="s">
        <v>208</v>
      </c>
      <c r="G9098" t="s">
        <v>88</v>
      </c>
      <c r="H9098" t="s">
        <v>21</v>
      </c>
      <c r="I9098" t="s">
        <v>17576</v>
      </c>
      <c r="J9098" t="str">
        <f>HYPERLINK("https://www.boe.es/gazeta/dias/1821/06/18/pdfs/GMD-1821-171.pdf#page=4","Abrir facsímil")</f>
        <v>Abrir facsímil</v>
      </c>
      <c r="K9098" t="s">
        <v>23</v>
      </c>
    </row>
    <row r="9099" spans="1:11" ht="42" customHeight="1">
      <c r="A9099" t="s">
        <v>17577</v>
      </c>
      <c r="B9099" t="s">
        <v>17577</v>
      </c>
      <c r="C9099" t="s">
        <v>40</v>
      </c>
      <c r="D9099" t="s">
        <v>41</v>
      </c>
      <c r="E9099" s="6">
        <v>-28738</v>
      </c>
      <c r="F9099" t="s">
        <v>359</v>
      </c>
      <c r="G9099" t="s">
        <v>43</v>
      </c>
      <c r="H9099" t="s">
        <v>21</v>
      </c>
      <c r="I9099" t="s">
        <v>17578</v>
      </c>
      <c r="J9099" t="str">
        <f>HYPERLINK("https://www.boe.es/gazeta/dias/1821/04/25/pdfs/GMD-1821-117.pdf#page=1","Abrir facsímil")</f>
        <v>Abrir facsímil</v>
      </c>
      <c r="K9099" t="s">
        <v>23</v>
      </c>
    </row>
    <row r="9100" spans="1:11" ht="42" customHeight="1">
      <c r="A9100" t="s">
        <v>17579</v>
      </c>
      <c r="B9100" t="s">
        <v>17580</v>
      </c>
      <c r="C9100" t="s">
        <v>26</v>
      </c>
      <c r="D9100" t="s">
        <v>27</v>
      </c>
      <c r="E9100" s="6">
        <v>-28733</v>
      </c>
      <c r="F9100" t="s">
        <v>1033</v>
      </c>
      <c r="G9100" t="s">
        <v>7434</v>
      </c>
      <c r="H9100" t="s">
        <v>21</v>
      </c>
      <c r="I9100" t="s">
        <v>17581</v>
      </c>
      <c r="J9100" t="str">
        <f>HYPERLINK("https://www.boe.es/gazeta/dias/1821/04/30/pdfs/GMD-1821-122.pdf#page=4","Abrir facsímil")</f>
        <v>Abrir facsímil</v>
      </c>
      <c r="K9100" t="s">
        <v>23</v>
      </c>
    </row>
    <row r="9101" spans="1:11" ht="42" customHeight="1">
      <c r="A9101" t="s">
        <v>17582</v>
      </c>
      <c r="B9101" t="s">
        <v>17583</v>
      </c>
      <c r="C9101" t="s">
        <v>70</v>
      </c>
      <c r="D9101" t="s">
        <v>27</v>
      </c>
      <c r="E9101" s="6">
        <v>-28791</v>
      </c>
      <c r="F9101" t="s">
        <v>47</v>
      </c>
      <c r="G9101" t="s">
        <v>88</v>
      </c>
      <c r="H9101" t="s">
        <v>21</v>
      </c>
      <c r="I9101" t="s">
        <v>17584</v>
      </c>
      <c r="J9101" t="str">
        <f>HYPERLINK("https://www.boe.es/gazeta/dias/1821/03/03/pdfs/GGB-1821-62.pdf#page=4","Abrir facsímil")</f>
        <v>Abrir facsímil</v>
      </c>
      <c r="K9101" t="s">
        <v>23</v>
      </c>
    </row>
    <row r="9102" spans="1:11" ht="42" customHeight="1">
      <c r="A9102" t="s">
        <v>17585</v>
      </c>
      <c r="B9102" t="s">
        <v>17586</v>
      </c>
      <c r="C9102" t="s">
        <v>26</v>
      </c>
      <c r="D9102" t="s">
        <v>27</v>
      </c>
      <c r="E9102" s="6">
        <v>-28753</v>
      </c>
      <c r="F9102" t="s">
        <v>720</v>
      </c>
      <c r="G9102" t="s">
        <v>88</v>
      </c>
      <c r="H9102" t="s">
        <v>21</v>
      </c>
      <c r="I9102" t="s">
        <v>17587</v>
      </c>
      <c r="J9102" t="str">
        <f>HYPERLINK("https://www.boe.es/gazeta/dias/1821/04/10/pdfs/GMD-1821-102.pdf#page=4","Abrir facsímil")</f>
        <v>Abrir facsímil</v>
      </c>
      <c r="K9102" t="s">
        <v>23</v>
      </c>
    </row>
    <row r="9103" spans="1:11" ht="42" customHeight="1">
      <c r="A9103" t="s">
        <v>17588</v>
      </c>
      <c r="B9103" t="s">
        <v>17588</v>
      </c>
      <c r="C9103" t="s">
        <v>35</v>
      </c>
      <c r="D9103" t="s">
        <v>27</v>
      </c>
      <c r="E9103" s="6">
        <v>-28535</v>
      </c>
      <c r="F9103" t="s">
        <v>96</v>
      </c>
      <c r="G9103" t="s">
        <v>43</v>
      </c>
      <c r="H9103" t="s">
        <v>21</v>
      </c>
      <c r="I9103" t="s">
        <v>17589</v>
      </c>
      <c r="J9103" t="str">
        <f>HYPERLINK("https://www.boe.es/gazeta/dias/1821/11/14/pdfs/GMD-1821-325.pdf#page=1","Abrir facsímil")</f>
        <v>Abrir facsímil</v>
      </c>
      <c r="K9103" t="s">
        <v>23</v>
      </c>
    </row>
    <row r="9104" spans="1:11" ht="42" customHeight="1">
      <c r="A9104" t="s">
        <v>17590</v>
      </c>
      <c r="B9104" t="s">
        <v>17590</v>
      </c>
      <c r="C9104" t="s">
        <v>40</v>
      </c>
      <c r="D9104" t="s">
        <v>41</v>
      </c>
      <c r="E9104" s="6">
        <v>-28589</v>
      </c>
      <c r="F9104" t="s">
        <v>3130</v>
      </c>
      <c r="G9104" t="s">
        <v>52</v>
      </c>
      <c r="H9104" t="s">
        <v>21</v>
      </c>
      <c r="I9104" t="s">
        <v>17591</v>
      </c>
      <c r="J9104" t="str">
        <f>HYPERLINK("https://www.boe.es/gazeta/dias/1821/09/21/pdfs/GMD-1821-269.pdf#page=2","Abrir facsímil")</f>
        <v>Abrir facsímil</v>
      </c>
      <c r="K9104" t="s">
        <v>23</v>
      </c>
    </row>
    <row r="9105" spans="1:11" ht="42" customHeight="1">
      <c r="A9105" t="s">
        <v>17592</v>
      </c>
      <c r="B9105" t="s">
        <v>17592</v>
      </c>
      <c r="C9105" t="s">
        <v>40</v>
      </c>
      <c r="D9105" t="s">
        <v>41</v>
      </c>
      <c r="E9105" s="6">
        <v>-28726</v>
      </c>
      <c r="F9105" t="s">
        <v>347</v>
      </c>
      <c r="G9105" t="s">
        <v>52</v>
      </c>
      <c r="H9105" t="s">
        <v>21</v>
      </c>
      <c r="I9105" t="s">
        <v>17593</v>
      </c>
      <c r="J9105" t="str">
        <f>HYPERLINK("https://www.boe.es/gazeta/dias/1821/05/07/pdfs/GMD-1821-129.pdf#page=2","Abrir facsímil")</f>
        <v>Abrir facsímil</v>
      </c>
      <c r="K9105" t="s">
        <v>23</v>
      </c>
    </row>
    <row r="9106" spans="1:11" ht="42" customHeight="1">
      <c r="A9106" t="s">
        <v>17594</v>
      </c>
      <c r="B9106" t="s">
        <v>17594</v>
      </c>
      <c r="C9106" t="s">
        <v>40</v>
      </c>
      <c r="D9106" t="s">
        <v>41</v>
      </c>
      <c r="E9106" s="6">
        <v>-28619</v>
      </c>
      <c r="F9106" t="s">
        <v>3364</v>
      </c>
      <c r="G9106" t="s">
        <v>52</v>
      </c>
      <c r="H9106" t="s">
        <v>21</v>
      </c>
      <c r="I9106" t="s">
        <v>17595</v>
      </c>
      <c r="J9106" t="str">
        <f>HYPERLINK("https://www.boe.es/gazeta/dias/1821/08/22/pdfs/GMD-1821-239.pdf#page=2","Abrir facsímil")</f>
        <v>Abrir facsímil</v>
      </c>
      <c r="K9106" t="s">
        <v>23</v>
      </c>
    </row>
    <row r="9107" spans="1:11" ht="42" customHeight="1">
      <c r="A9107" t="s">
        <v>17596</v>
      </c>
      <c r="B9107" t="s">
        <v>17597</v>
      </c>
      <c r="C9107" t="s">
        <v>17</v>
      </c>
      <c r="D9107" t="s">
        <v>18</v>
      </c>
      <c r="E9107" s="6">
        <v>-28531</v>
      </c>
      <c r="F9107" t="s">
        <v>365</v>
      </c>
      <c r="G9107" t="s">
        <v>20</v>
      </c>
      <c r="H9107" t="s">
        <v>21</v>
      </c>
      <c r="I9107" t="s">
        <v>17598</v>
      </c>
      <c r="J9107" t="str">
        <f>HYPERLINK("https://www.boe.es/gazeta/dias/1821/11/18/pdfs/GMD-1821-329.pdf#page=3","Abrir facsímil")</f>
        <v>Abrir facsímil</v>
      </c>
      <c r="K9107" t="s">
        <v>23</v>
      </c>
    </row>
    <row r="9108" spans="1:11" ht="42" customHeight="1">
      <c r="A9108" t="s">
        <v>17599</v>
      </c>
      <c r="B9108" t="s">
        <v>17600</v>
      </c>
      <c r="C9108" t="s">
        <v>174</v>
      </c>
      <c r="D9108" t="s">
        <v>27</v>
      </c>
      <c r="E9108" s="6">
        <v>-28604</v>
      </c>
      <c r="F9108" t="s">
        <v>729</v>
      </c>
      <c r="G9108" t="s">
        <v>29</v>
      </c>
      <c r="H9108" t="s">
        <v>21</v>
      </c>
      <c r="I9108" t="s">
        <v>17601</v>
      </c>
      <c r="J9108" t="str">
        <f>HYPERLINK("https://www.boe.es/gazeta/dias/1821/09/06/pdfs/GMD-1821-254.pdf#page=6","Abrir facsímil")</f>
        <v>Abrir facsímil</v>
      </c>
      <c r="K9108" t="s">
        <v>23</v>
      </c>
    </row>
    <row r="9109" spans="1:11" ht="42" customHeight="1">
      <c r="A9109" t="s">
        <v>17602</v>
      </c>
      <c r="B9109" t="s">
        <v>17603</v>
      </c>
      <c r="C9109" t="s">
        <v>35</v>
      </c>
      <c r="D9109" t="s">
        <v>27</v>
      </c>
      <c r="E9109" s="6">
        <v>-28637</v>
      </c>
      <c r="F9109" t="s">
        <v>3049</v>
      </c>
      <c r="G9109" t="s">
        <v>52</v>
      </c>
      <c r="H9109" t="s">
        <v>21</v>
      </c>
      <c r="I9109" t="s">
        <v>17604</v>
      </c>
      <c r="J9109" t="str">
        <f>HYPERLINK("https://www.boe.es/gazeta/dias/1821/08/04/pdfs/GMD-1821-220.pdf#page=2","Abrir facsímil")</f>
        <v>Abrir facsímil</v>
      </c>
      <c r="K9109" t="s">
        <v>23</v>
      </c>
    </row>
    <row r="9110" spans="1:11" ht="42" customHeight="1">
      <c r="A9110" t="s">
        <v>17605</v>
      </c>
      <c r="B9110" t="s">
        <v>17606</v>
      </c>
      <c r="C9110" t="s">
        <v>17</v>
      </c>
      <c r="D9110" t="s">
        <v>18</v>
      </c>
      <c r="E9110" s="6">
        <v>-28738</v>
      </c>
      <c r="F9110" t="s">
        <v>359</v>
      </c>
      <c r="G9110" t="s">
        <v>52</v>
      </c>
      <c r="H9110" t="s">
        <v>21</v>
      </c>
      <c r="I9110" t="s">
        <v>17607</v>
      </c>
      <c r="J9110" t="str">
        <f>HYPERLINK("https://www.boe.es/gazeta/dias/1821/04/25/pdfs/GMD-1821-117.pdf#page=2","Abrir facsímil")</f>
        <v>Abrir facsímil</v>
      </c>
      <c r="K9110" t="s">
        <v>23</v>
      </c>
    </row>
    <row r="9111" spans="1:11" ht="42" customHeight="1">
      <c r="A9111" t="s">
        <v>17608</v>
      </c>
      <c r="B9111" t="s">
        <v>17609</v>
      </c>
      <c r="C9111" t="s">
        <v>26</v>
      </c>
      <c r="D9111" t="s">
        <v>27</v>
      </c>
      <c r="E9111" s="6">
        <v>-28648</v>
      </c>
      <c r="F9111" t="s">
        <v>1520</v>
      </c>
      <c r="G9111" t="s">
        <v>52</v>
      </c>
      <c r="H9111" t="s">
        <v>21</v>
      </c>
      <c r="I9111" t="s">
        <v>17610</v>
      </c>
      <c r="J9111" t="str">
        <f>HYPERLINK("https://www.boe.es/gazeta/dias/1821/07/24/pdfs/GMD-1821-209.pdf#page=2","Abrir facsímil")</f>
        <v>Abrir facsímil</v>
      </c>
      <c r="K9111" t="s">
        <v>23</v>
      </c>
    </row>
    <row r="9112" spans="1:11" ht="42" customHeight="1">
      <c r="A9112" t="s">
        <v>17611</v>
      </c>
      <c r="B9112" t="s">
        <v>17612</v>
      </c>
      <c r="C9112" t="s">
        <v>40</v>
      </c>
      <c r="D9112" t="s">
        <v>41</v>
      </c>
      <c r="E9112" s="6">
        <v>-28777</v>
      </c>
      <c r="F9112" t="s">
        <v>1004</v>
      </c>
      <c r="G9112" t="s">
        <v>43</v>
      </c>
      <c r="H9112" t="s">
        <v>21</v>
      </c>
      <c r="I9112" t="s">
        <v>17613</v>
      </c>
      <c r="J9112" t="str">
        <f>HYPERLINK("https://www.boe.es/gazeta/dias/1821/03/17/pdfs/GMD-1821-76.pdf#page=1","Abrir facsímil")</f>
        <v>Abrir facsímil</v>
      </c>
      <c r="K9112" t="s">
        <v>23</v>
      </c>
    </row>
    <row r="9113" spans="1:11" ht="42" customHeight="1">
      <c r="A9113" t="s">
        <v>17614</v>
      </c>
      <c r="B9113" t="s">
        <v>17615</v>
      </c>
      <c r="C9113" t="s">
        <v>40</v>
      </c>
      <c r="D9113" t="s">
        <v>41</v>
      </c>
      <c r="E9113" s="6">
        <v>-28809</v>
      </c>
      <c r="F9113" t="s">
        <v>1173</v>
      </c>
      <c r="G9113" t="s">
        <v>52</v>
      </c>
      <c r="H9113" t="s">
        <v>21</v>
      </c>
      <c r="I9113" t="s">
        <v>17616</v>
      </c>
      <c r="J9113" t="str">
        <f>HYPERLINK("https://www.boe.es/gazeta/dias/1821/02/13/pdfs/GGB-1821-44.pdf#page=2","Abrir facsímil")</f>
        <v>Abrir facsímil</v>
      </c>
      <c r="K9113" t="s">
        <v>23</v>
      </c>
    </row>
    <row r="9114" spans="1:11" ht="42" customHeight="1">
      <c r="A9114" t="s">
        <v>17617</v>
      </c>
      <c r="B9114" t="s">
        <v>17618</v>
      </c>
      <c r="C9114" t="s">
        <v>26</v>
      </c>
      <c r="D9114" t="s">
        <v>27</v>
      </c>
      <c r="E9114" s="6">
        <v>-28804</v>
      </c>
      <c r="F9114" t="s">
        <v>1580</v>
      </c>
      <c r="G9114" t="s">
        <v>20</v>
      </c>
      <c r="H9114" t="s">
        <v>21</v>
      </c>
      <c r="I9114" t="s">
        <v>17619</v>
      </c>
      <c r="J9114" t="str">
        <f>HYPERLINK("https://www.boe.es/gazeta/dias/1821/02/18/pdfs/GGB-1821-49.pdf#page=3","Abrir facsímil")</f>
        <v>Abrir facsímil</v>
      </c>
      <c r="K9114" t="s">
        <v>23</v>
      </c>
    </row>
    <row r="9115" spans="1:11" ht="42" customHeight="1">
      <c r="A9115" t="s">
        <v>17620</v>
      </c>
      <c r="B9115" t="s">
        <v>17621</v>
      </c>
      <c r="C9115" t="s">
        <v>26</v>
      </c>
      <c r="D9115" t="s">
        <v>27</v>
      </c>
      <c r="E9115" s="6">
        <v>-28810</v>
      </c>
      <c r="F9115" t="s">
        <v>308</v>
      </c>
      <c r="G9115" t="s">
        <v>20</v>
      </c>
      <c r="H9115" t="s">
        <v>21</v>
      </c>
      <c r="I9115" t="s">
        <v>17622</v>
      </c>
      <c r="J9115" t="str">
        <f>HYPERLINK("https://www.boe.es/gazeta/dias/1821/02/12/pdfs/GGB-1821-43.pdf#page=3","Abrir facsímil")</f>
        <v>Abrir facsímil</v>
      </c>
      <c r="K9115" t="s">
        <v>23</v>
      </c>
    </row>
    <row r="9116" spans="1:11" ht="42" customHeight="1">
      <c r="A9116" t="s">
        <v>17620</v>
      </c>
      <c r="B9116" t="s">
        <v>17621</v>
      </c>
      <c r="C9116" t="s">
        <v>17</v>
      </c>
      <c r="D9116" t="s">
        <v>18</v>
      </c>
      <c r="E9116" s="6">
        <v>-28806</v>
      </c>
      <c r="F9116" t="s">
        <v>1201</v>
      </c>
      <c r="G9116" t="s">
        <v>3200</v>
      </c>
      <c r="H9116" t="s">
        <v>21</v>
      </c>
      <c r="I9116" t="s">
        <v>17623</v>
      </c>
      <c r="J9116" t="str">
        <f>HYPERLINK("https://www.boe.es/gazeta/dias/1821/02/16/pdfs/GGB-1821-47.pdf#page=3","Abrir facsímil")</f>
        <v>Abrir facsímil</v>
      </c>
      <c r="K9116" t="s">
        <v>23</v>
      </c>
    </row>
    <row r="9117" spans="1:11" ht="42" customHeight="1">
      <c r="A9117" t="s">
        <v>17620</v>
      </c>
      <c r="B9117" t="s">
        <v>17621</v>
      </c>
      <c r="C9117" t="s">
        <v>17</v>
      </c>
      <c r="D9117" t="s">
        <v>18</v>
      </c>
      <c r="E9117" s="6">
        <v>-28805</v>
      </c>
      <c r="F9117" t="s">
        <v>382</v>
      </c>
      <c r="G9117" t="s">
        <v>52</v>
      </c>
      <c r="H9117" t="s">
        <v>21</v>
      </c>
      <c r="I9117" t="s">
        <v>17624</v>
      </c>
      <c r="J9117" t="str">
        <f>HYPERLINK("https://www.boe.es/gazeta/dias/1821/02/17/pdfs/GGB-1821-48.pdf#page=2","Abrir facsímil")</f>
        <v>Abrir facsímil</v>
      </c>
      <c r="K9117" t="s">
        <v>23</v>
      </c>
    </row>
    <row r="9118" spans="1:11" ht="42" customHeight="1">
      <c r="A9118" t="s">
        <v>17620</v>
      </c>
      <c r="B9118" t="s">
        <v>17621</v>
      </c>
      <c r="C9118" t="s">
        <v>17</v>
      </c>
      <c r="D9118" t="s">
        <v>18</v>
      </c>
      <c r="E9118" s="6">
        <v>-28803</v>
      </c>
      <c r="F9118" t="s">
        <v>320</v>
      </c>
      <c r="G9118" t="s">
        <v>20</v>
      </c>
      <c r="H9118" t="s">
        <v>21</v>
      </c>
      <c r="I9118" t="s">
        <v>17625</v>
      </c>
      <c r="J9118" t="str">
        <f>HYPERLINK("https://www.boe.es/gazeta/dias/1821/02/19/pdfs/GGB-1821-50.pdf#page=3","Abrir facsímil")</f>
        <v>Abrir facsímil</v>
      </c>
      <c r="K9118" t="s">
        <v>23</v>
      </c>
    </row>
    <row r="9119" spans="1:11" ht="42" customHeight="1">
      <c r="A9119" t="s">
        <v>17620</v>
      </c>
      <c r="B9119" t="s">
        <v>17621</v>
      </c>
      <c r="C9119" t="s">
        <v>17</v>
      </c>
      <c r="D9119" t="s">
        <v>18</v>
      </c>
      <c r="E9119" s="6">
        <v>-28781</v>
      </c>
      <c r="F9119" t="s">
        <v>149</v>
      </c>
      <c r="G9119" t="s">
        <v>20</v>
      </c>
      <c r="H9119" t="s">
        <v>21</v>
      </c>
      <c r="I9119" t="s">
        <v>17626</v>
      </c>
      <c r="J9119" t="str">
        <f>HYPERLINK("https://www.boe.es/gazeta/dias/1821/03/13/pdfs/GMD-1821-72.pdf#page=3","Abrir facsímil")</f>
        <v>Abrir facsímil</v>
      </c>
      <c r="K9119" t="s">
        <v>23</v>
      </c>
    </row>
    <row r="9120" spans="1:11" ht="42" customHeight="1">
      <c r="A9120" t="s">
        <v>17620</v>
      </c>
      <c r="B9120" t="s">
        <v>17621</v>
      </c>
      <c r="C9120" t="s">
        <v>17</v>
      </c>
      <c r="D9120" t="s">
        <v>18</v>
      </c>
      <c r="E9120" s="6">
        <v>-28763</v>
      </c>
      <c r="F9120" t="s">
        <v>1145</v>
      </c>
      <c r="G9120" t="s">
        <v>52</v>
      </c>
      <c r="H9120" t="s">
        <v>21</v>
      </c>
      <c r="I9120" t="s">
        <v>17627</v>
      </c>
      <c r="J9120" t="str">
        <f>HYPERLINK("https://www.boe.es/gazeta/dias/1821/03/31/pdfs/GMD-1821-92.pdf#page=2","Abrir facsímil")</f>
        <v>Abrir facsímil</v>
      </c>
      <c r="K9120" t="s">
        <v>23</v>
      </c>
    </row>
    <row r="9121" spans="1:11" ht="42" customHeight="1">
      <c r="A9121" t="s">
        <v>17620</v>
      </c>
      <c r="B9121" t="s">
        <v>17621</v>
      </c>
      <c r="C9121" t="s">
        <v>35</v>
      </c>
      <c r="D9121" t="s">
        <v>27</v>
      </c>
      <c r="E9121" s="6">
        <v>-28758</v>
      </c>
      <c r="F9121" t="s">
        <v>4115</v>
      </c>
      <c r="G9121" t="s">
        <v>43</v>
      </c>
      <c r="H9121" t="s">
        <v>21</v>
      </c>
      <c r="I9121" t="s">
        <v>17628</v>
      </c>
      <c r="J9121" t="str">
        <f>HYPERLINK("https://www.boe.es/gazeta/dias/1821/04/05/pdfs/GMD-1821-97.pdf#page=1","Abrir facsímil")</f>
        <v>Abrir facsímil</v>
      </c>
      <c r="K9121" t="s">
        <v>23</v>
      </c>
    </row>
    <row r="9122" spans="1:11" ht="42" customHeight="1">
      <c r="A9122" t="s">
        <v>17620</v>
      </c>
      <c r="B9122" t="s">
        <v>17621</v>
      </c>
      <c r="C9122" t="s">
        <v>174</v>
      </c>
      <c r="D9122" t="s">
        <v>27</v>
      </c>
      <c r="E9122" s="6">
        <v>-28758</v>
      </c>
      <c r="F9122" t="s">
        <v>4115</v>
      </c>
      <c r="G9122" t="s">
        <v>52</v>
      </c>
      <c r="H9122" t="s">
        <v>21</v>
      </c>
      <c r="I9122" t="s">
        <v>17629</v>
      </c>
      <c r="J9122" t="str">
        <f>HYPERLINK("https://www.boe.es/gazeta/dias/1821/04/05/pdfs/GMD-1821-97.pdf#page=2","Abrir facsímil")</f>
        <v>Abrir facsímil</v>
      </c>
      <c r="K9122" t="s">
        <v>23</v>
      </c>
    </row>
    <row r="9123" spans="1:11" ht="42" customHeight="1">
      <c r="A9123" t="s">
        <v>17620</v>
      </c>
      <c r="B9123" t="s">
        <v>17621</v>
      </c>
      <c r="C9123" t="s">
        <v>279</v>
      </c>
      <c r="D9123" t="s">
        <v>27</v>
      </c>
      <c r="E9123" s="6">
        <v>-28743</v>
      </c>
      <c r="F9123" t="s">
        <v>51</v>
      </c>
      <c r="G9123" t="s">
        <v>52</v>
      </c>
      <c r="H9123" t="s">
        <v>21</v>
      </c>
      <c r="I9123" t="s">
        <v>17630</v>
      </c>
      <c r="J9123" t="str">
        <f>HYPERLINK("https://www.boe.es/gazeta/dias/1821/04/20/pdfs/GMD-1821-112.pdf#page=2","Abrir facsímil")</f>
        <v>Abrir facsímil</v>
      </c>
      <c r="K9123" t="s">
        <v>23</v>
      </c>
    </row>
    <row r="9124" spans="1:11" ht="42" customHeight="1">
      <c r="A9124" t="s">
        <v>17620</v>
      </c>
      <c r="B9124" t="s">
        <v>17621</v>
      </c>
      <c r="C9124" t="s">
        <v>17</v>
      </c>
      <c r="D9124" t="s">
        <v>18</v>
      </c>
      <c r="E9124" s="6">
        <v>-28731</v>
      </c>
      <c r="F9124" t="s">
        <v>577</v>
      </c>
      <c r="G9124" t="s">
        <v>52</v>
      </c>
      <c r="H9124" t="s">
        <v>21</v>
      </c>
      <c r="I9124" t="s">
        <v>17631</v>
      </c>
      <c r="J9124" t="str">
        <f>HYPERLINK("https://www.boe.es/gazeta/dias/1821/05/02/pdfs/GMD-1821-124.pdf#page=2","Abrir facsímil")</f>
        <v>Abrir facsímil</v>
      </c>
      <c r="K9124" t="s">
        <v>23</v>
      </c>
    </row>
    <row r="9125" spans="1:11" ht="42" customHeight="1">
      <c r="A9125" t="s">
        <v>17620</v>
      </c>
      <c r="B9125" t="s">
        <v>17621</v>
      </c>
      <c r="C9125" t="s">
        <v>26</v>
      </c>
      <c r="D9125" t="s">
        <v>27</v>
      </c>
      <c r="E9125" s="6">
        <v>-28719</v>
      </c>
      <c r="F9125" t="s">
        <v>647</v>
      </c>
      <c r="G9125" t="s">
        <v>52</v>
      </c>
      <c r="H9125" t="s">
        <v>21</v>
      </c>
      <c r="I9125" t="s">
        <v>17632</v>
      </c>
      <c r="J9125" t="str">
        <f>HYPERLINK("https://www.boe.es/gazeta/dias/1821/05/14/pdfs/GMD-1821-136.pdf#page=2","Abrir facsímil")</f>
        <v>Abrir facsímil</v>
      </c>
      <c r="K9125" t="s">
        <v>23</v>
      </c>
    </row>
    <row r="9126" spans="1:11" ht="42" customHeight="1">
      <c r="A9126" t="s">
        <v>17620</v>
      </c>
      <c r="B9126" t="s">
        <v>17621</v>
      </c>
      <c r="C9126" t="s">
        <v>40</v>
      </c>
      <c r="D9126" t="s">
        <v>41</v>
      </c>
      <c r="E9126" s="6">
        <v>-28653</v>
      </c>
      <c r="F9126" t="s">
        <v>1179</v>
      </c>
      <c r="G9126" t="s">
        <v>20</v>
      </c>
      <c r="H9126" t="s">
        <v>21</v>
      </c>
      <c r="I9126" t="s">
        <v>17633</v>
      </c>
      <c r="J9126" t="str">
        <f>HYPERLINK("https://www.boe.es/gazeta/dias/1821/07/19/pdfs/GMD-1821-204.pdf#page=3","Abrir facsímil")</f>
        <v>Abrir facsímil</v>
      </c>
      <c r="K9126" t="s">
        <v>23</v>
      </c>
    </row>
    <row r="9127" spans="1:11" ht="42" customHeight="1">
      <c r="A9127" t="s">
        <v>17620</v>
      </c>
      <c r="B9127" t="s">
        <v>17621</v>
      </c>
      <c r="C9127" t="s">
        <v>17</v>
      </c>
      <c r="D9127" t="s">
        <v>18</v>
      </c>
      <c r="E9127" s="6">
        <v>-28639</v>
      </c>
      <c r="F9127" t="s">
        <v>3316</v>
      </c>
      <c r="G9127" t="s">
        <v>52</v>
      </c>
      <c r="H9127" t="s">
        <v>21</v>
      </c>
      <c r="I9127" t="s">
        <v>17634</v>
      </c>
      <c r="J9127" t="str">
        <f>HYPERLINK("https://www.boe.es/gazeta/dias/1821/08/02/pdfs/GMD-1821-218.pdf#page=2","Abrir facsímil")</f>
        <v>Abrir facsímil</v>
      </c>
      <c r="K9127" t="s">
        <v>23</v>
      </c>
    </row>
    <row r="9128" spans="1:11" ht="42" customHeight="1">
      <c r="A9128" t="s">
        <v>17620</v>
      </c>
      <c r="B9128" t="s">
        <v>17621</v>
      </c>
      <c r="C9128" t="s">
        <v>40</v>
      </c>
      <c r="D9128" t="s">
        <v>41</v>
      </c>
      <c r="E9128" s="6">
        <v>-28638</v>
      </c>
      <c r="F9128" t="s">
        <v>736</v>
      </c>
      <c r="G9128" t="s">
        <v>52</v>
      </c>
      <c r="H9128" t="s">
        <v>21</v>
      </c>
      <c r="I9128" t="s">
        <v>17635</v>
      </c>
      <c r="J9128" t="str">
        <f>HYPERLINK("https://www.boe.es/gazeta/dias/1821/08/03/pdfs/GMD-1821-219.pdf#page=2","Abrir facsímil")</f>
        <v>Abrir facsímil</v>
      </c>
      <c r="K9128" t="s">
        <v>23</v>
      </c>
    </row>
    <row r="9129" spans="1:11" ht="42" customHeight="1">
      <c r="A9129" t="s">
        <v>17636</v>
      </c>
      <c r="B9129" t="s">
        <v>17637</v>
      </c>
      <c r="C9129" t="s">
        <v>26</v>
      </c>
      <c r="D9129" t="s">
        <v>27</v>
      </c>
      <c r="E9129" s="6">
        <v>-28581</v>
      </c>
      <c r="F9129" t="s">
        <v>254</v>
      </c>
      <c r="G9129" t="s">
        <v>3366</v>
      </c>
      <c r="H9129" t="s">
        <v>21</v>
      </c>
      <c r="I9129" t="s">
        <v>17638</v>
      </c>
      <c r="J9129" t="str">
        <f>HYPERLINK("https://www.boe.es/gazeta/dias/1821/09/29/pdfs/GMD-1821-278.pdf#page=2","Abrir facsímil")</f>
        <v>Abrir facsímil</v>
      </c>
      <c r="K9129" t="s">
        <v>23</v>
      </c>
    </row>
    <row r="9130" spans="1:11" ht="42" customHeight="1">
      <c r="A9130" t="s">
        <v>17639</v>
      </c>
      <c r="B9130" t="s">
        <v>17640</v>
      </c>
      <c r="C9130" t="s">
        <v>17</v>
      </c>
      <c r="D9130" t="s">
        <v>18</v>
      </c>
      <c r="E9130" s="6">
        <v>-28715</v>
      </c>
      <c r="F9130" t="s">
        <v>1046</v>
      </c>
      <c r="G9130" t="s">
        <v>52</v>
      </c>
      <c r="H9130" t="s">
        <v>21</v>
      </c>
      <c r="I9130" t="s">
        <v>17641</v>
      </c>
      <c r="J9130" t="str">
        <f>HYPERLINK("https://www.boe.es/gazeta/dias/1821/05/18/pdfs/GMD-1821-140.pdf#page=2","Abrir facsímil")</f>
        <v>Abrir facsímil</v>
      </c>
      <c r="K9130" t="s">
        <v>23</v>
      </c>
    </row>
    <row r="9131" spans="1:11" ht="42" customHeight="1">
      <c r="A9131" t="s">
        <v>17639</v>
      </c>
      <c r="B9131" t="s">
        <v>17640</v>
      </c>
      <c r="C9131" t="s">
        <v>40</v>
      </c>
      <c r="D9131" t="s">
        <v>41</v>
      </c>
      <c r="E9131" s="6">
        <v>-28714</v>
      </c>
      <c r="F9131" t="s">
        <v>522</v>
      </c>
      <c r="G9131" t="s">
        <v>52</v>
      </c>
      <c r="H9131" t="s">
        <v>21</v>
      </c>
      <c r="I9131" t="s">
        <v>17642</v>
      </c>
      <c r="J9131" t="str">
        <f>HYPERLINK("https://www.boe.es/gazeta/dias/1821/05/19/pdfs/GMD-1821-141.pdf#page=2","Abrir facsímil")</f>
        <v>Abrir facsímil</v>
      </c>
      <c r="K9131" t="s">
        <v>23</v>
      </c>
    </row>
    <row r="9132" spans="1:11" ht="42" customHeight="1">
      <c r="A9132" t="s">
        <v>17643</v>
      </c>
      <c r="B9132" t="s">
        <v>17644</v>
      </c>
      <c r="C9132" t="s">
        <v>26</v>
      </c>
      <c r="D9132" t="s">
        <v>27</v>
      </c>
      <c r="E9132" s="6">
        <v>-28528</v>
      </c>
      <c r="F9132" t="s">
        <v>1872</v>
      </c>
      <c r="G9132" t="s">
        <v>52</v>
      </c>
      <c r="H9132" t="s">
        <v>21</v>
      </c>
      <c r="I9132" t="s">
        <v>17645</v>
      </c>
      <c r="J9132" t="str">
        <f>HYPERLINK("https://www.boe.es/gazeta/dias/1821/11/21/pdfs/GMD-1821-332.pdf#page=2","Abrir facsímil")</f>
        <v>Abrir facsímil</v>
      </c>
      <c r="K9132" t="s">
        <v>23</v>
      </c>
    </row>
    <row r="9133" spans="1:11" ht="42" customHeight="1">
      <c r="A9133" t="s">
        <v>17646</v>
      </c>
      <c r="B9133" t="s">
        <v>17647</v>
      </c>
      <c r="C9133" t="s">
        <v>26</v>
      </c>
      <c r="D9133" t="s">
        <v>27</v>
      </c>
      <c r="E9133" s="6">
        <v>-28691</v>
      </c>
      <c r="F9133" t="s">
        <v>716</v>
      </c>
      <c r="G9133" t="s">
        <v>52</v>
      </c>
      <c r="H9133" t="s">
        <v>21</v>
      </c>
      <c r="I9133" t="s">
        <v>17648</v>
      </c>
      <c r="J9133" t="str">
        <f>HYPERLINK("https://www.boe.es/gazeta/dias/1821/06/11/pdfs/GMD-1821-164.pdf#page=2","Abrir facsímil")</f>
        <v>Abrir facsímil</v>
      </c>
      <c r="K9133" t="s">
        <v>23</v>
      </c>
    </row>
    <row r="9134" spans="1:11" ht="42" customHeight="1">
      <c r="A9134" t="s">
        <v>17649</v>
      </c>
      <c r="B9134" t="s">
        <v>17650</v>
      </c>
      <c r="C9134" t="s">
        <v>40</v>
      </c>
      <c r="D9134" t="s">
        <v>41</v>
      </c>
      <c r="E9134" s="6">
        <v>-28662</v>
      </c>
      <c r="F9134" t="s">
        <v>3289</v>
      </c>
      <c r="G9134" t="s">
        <v>52</v>
      </c>
      <c r="H9134" t="s">
        <v>21</v>
      </c>
      <c r="I9134" t="s">
        <v>17651</v>
      </c>
      <c r="J9134" t="str">
        <f>HYPERLINK("https://www.boe.es/gazeta/dias/1821/07/10/pdfs/GMD-1821-195.pdf#page=2","Abrir facsímil")</f>
        <v>Abrir facsímil</v>
      </c>
      <c r="K9134" t="s">
        <v>23</v>
      </c>
    </row>
    <row r="9135" spans="1:11" ht="42" customHeight="1">
      <c r="A9135" t="s">
        <v>17652</v>
      </c>
      <c r="B9135" t="s">
        <v>17653</v>
      </c>
      <c r="C9135" t="s">
        <v>114</v>
      </c>
      <c r="D9135" t="s">
        <v>27</v>
      </c>
      <c r="E9135" s="6">
        <v>-28648</v>
      </c>
      <c r="F9135" t="s">
        <v>1520</v>
      </c>
      <c r="G9135" t="s">
        <v>162</v>
      </c>
      <c r="H9135" t="s">
        <v>21</v>
      </c>
      <c r="I9135" t="s">
        <v>17654</v>
      </c>
      <c r="J9135" t="str">
        <f>HYPERLINK("https://www.boe.es/gazeta/dias/1821/07/24/pdfs/GMD-1821-209.pdf#page=5","Abrir facsímil")</f>
        <v>Abrir facsímil</v>
      </c>
      <c r="K9135" t="s">
        <v>23</v>
      </c>
    </row>
    <row r="9136" spans="1:11" ht="42" customHeight="1">
      <c r="A9136" t="s">
        <v>17655</v>
      </c>
      <c r="B9136" t="s">
        <v>17656</v>
      </c>
      <c r="C9136" t="s">
        <v>40</v>
      </c>
      <c r="D9136" t="s">
        <v>41</v>
      </c>
      <c r="E9136" s="6">
        <v>-28510</v>
      </c>
      <c r="F9136" t="s">
        <v>83</v>
      </c>
      <c r="G9136" t="s">
        <v>52</v>
      </c>
      <c r="H9136" t="s">
        <v>21</v>
      </c>
      <c r="I9136" t="s">
        <v>17657</v>
      </c>
      <c r="J9136" t="str">
        <f>HYPERLINK("https://www.boe.es/gazeta/dias/1821/12/09/pdfs/GMD-1821-351.pdf#page=2","Abrir facsímil")</f>
        <v>Abrir facsímil</v>
      </c>
      <c r="K9136" t="s">
        <v>23</v>
      </c>
    </row>
    <row r="9137" spans="1:11" ht="42" customHeight="1">
      <c r="A9137" t="s">
        <v>17658</v>
      </c>
      <c r="B9137" t="s">
        <v>17659</v>
      </c>
      <c r="C9137" t="s">
        <v>40</v>
      </c>
      <c r="D9137" t="s">
        <v>41</v>
      </c>
      <c r="E9137" s="6">
        <v>-28821</v>
      </c>
      <c r="F9137" t="s">
        <v>371</v>
      </c>
      <c r="G9137" t="s">
        <v>88</v>
      </c>
      <c r="H9137" t="s">
        <v>21</v>
      </c>
      <c r="I9137" t="s">
        <v>17660</v>
      </c>
      <c r="J9137" t="str">
        <f>HYPERLINK("https://www.boe.es/gazeta/dias/1821/02/01/pdfs/GGB-1821-32.pdf#page=4","Abrir facsímil")</f>
        <v>Abrir facsímil</v>
      </c>
      <c r="K9137" t="s">
        <v>23</v>
      </c>
    </row>
    <row r="9138" spans="1:11" ht="42" customHeight="1">
      <c r="A9138" t="s">
        <v>17661</v>
      </c>
      <c r="B9138" t="s">
        <v>17661</v>
      </c>
      <c r="C9138" t="s">
        <v>17</v>
      </c>
      <c r="D9138" t="s">
        <v>18</v>
      </c>
      <c r="E9138" s="6">
        <v>-28520</v>
      </c>
      <c r="F9138" t="s">
        <v>878</v>
      </c>
      <c r="G9138" t="s">
        <v>88</v>
      </c>
      <c r="H9138" t="s">
        <v>21</v>
      </c>
      <c r="I9138" t="s">
        <v>17662</v>
      </c>
      <c r="J9138" t="str">
        <f>HYPERLINK("https://www.boe.es/gazeta/dias/1821/11/29/pdfs/GMD-1821-341.pdf#page=4","Abrir facsímil")</f>
        <v>Abrir facsímil</v>
      </c>
      <c r="K9138" t="s">
        <v>23</v>
      </c>
    </row>
    <row r="9139" spans="1:11" ht="42" customHeight="1">
      <c r="A9139" t="s">
        <v>17663</v>
      </c>
      <c r="B9139" t="s">
        <v>17664</v>
      </c>
      <c r="C9139" t="s">
        <v>40</v>
      </c>
      <c r="D9139" t="s">
        <v>41</v>
      </c>
      <c r="E9139" s="6">
        <v>-28671</v>
      </c>
      <c r="F9139" t="s">
        <v>5059</v>
      </c>
      <c r="G9139" t="s">
        <v>20</v>
      </c>
      <c r="H9139" t="s">
        <v>21</v>
      </c>
      <c r="I9139" t="s">
        <v>17665</v>
      </c>
      <c r="J9139" t="str">
        <f>HYPERLINK("https://www.boe.es/gazeta/dias/1821/07/01/pdfs/GMD-1821-185.pdf#page=3","Abrir facsímil")</f>
        <v>Abrir facsímil</v>
      </c>
      <c r="K9139" t="s">
        <v>23</v>
      </c>
    </row>
    <row r="9140" spans="1:11" ht="42" customHeight="1">
      <c r="A9140" t="s">
        <v>17663</v>
      </c>
      <c r="B9140" t="s">
        <v>17664</v>
      </c>
      <c r="C9140" t="s">
        <v>40</v>
      </c>
      <c r="D9140" t="s">
        <v>41</v>
      </c>
      <c r="E9140" s="6">
        <v>-28661</v>
      </c>
      <c r="F9140" t="s">
        <v>2298</v>
      </c>
      <c r="G9140" t="s">
        <v>162</v>
      </c>
      <c r="H9140" t="s">
        <v>21</v>
      </c>
      <c r="I9140" t="s">
        <v>17666</v>
      </c>
      <c r="J9140" t="str">
        <f>HYPERLINK("https://www.boe.es/gazeta/dias/1821/07/11/pdfs/GMD-1821-196.pdf#page=5","Abrir facsímil")</f>
        <v>Abrir facsímil</v>
      </c>
      <c r="K9140" t="s">
        <v>23</v>
      </c>
    </row>
    <row r="9141" spans="1:11" ht="42" customHeight="1">
      <c r="A9141" t="s">
        <v>17667</v>
      </c>
      <c r="B9141" t="s">
        <v>17668</v>
      </c>
      <c r="C9141" t="s">
        <v>40</v>
      </c>
      <c r="D9141" t="s">
        <v>41</v>
      </c>
      <c r="E9141" s="6">
        <v>-28508</v>
      </c>
      <c r="F9141" t="s">
        <v>42</v>
      </c>
      <c r="G9141" t="s">
        <v>43</v>
      </c>
      <c r="H9141" t="s">
        <v>30</v>
      </c>
      <c r="I9141" t="s">
        <v>17669</v>
      </c>
      <c r="J9141" t="str">
        <f>HYPERLINK("https://www.boe.es/gazeta/dias/1821/12/11/pdfs/GMD-1821-353.pdf#page=1","Abrir facsímil")</f>
        <v>Abrir facsímil</v>
      </c>
      <c r="K9141" t="s">
        <v>32</v>
      </c>
    </row>
    <row r="9142" spans="1:11" ht="42" customHeight="1">
      <c r="A9142" t="s">
        <v>17670</v>
      </c>
      <c r="B9142" t="s">
        <v>17671</v>
      </c>
      <c r="C9142" t="s">
        <v>174</v>
      </c>
      <c r="D9142" t="s">
        <v>405</v>
      </c>
      <c r="E9142" s="6">
        <v>-28766</v>
      </c>
      <c r="F9142" t="s">
        <v>406</v>
      </c>
      <c r="G9142" t="s">
        <v>43</v>
      </c>
      <c r="H9142" t="s">
        <v>21</v>
      </c>
      <c r="I9142" t="s">
        <v>17672</v>
      </c>
      <c r="J9142" t="str">
        <f>HYPERLINK("https://www.boe.es/gazeta/dias/1821/03/28/pdfs/GMD-1821-89E.pdf#page=1","Abrir facsímil")</f>
        <v>Abrir facsímil</v>
      </c>
      <c r="K9142" t="s">
        <v>23</v>
      </c>
    </row>
    <row r="9143" spans="1:11" ht="42" customHeight="1">
      <c r="A9143" t="s">
        <v>17673</v>
      </c>
      <c r="B9143" t="s">
        <v>17674</v>
      </c>
      <c r="C9143" t="s">
        <v>26</v>
      </c>
      <c r="D9143" t="s">
        <v>27</v>
      </c>
      <c r="E9143" s="6">
        <v>-28528</v>
      </c>
      <c r="F9143" t="s">
        <v>1872</v>
      </c>
      <c r="G9143" t="s">
        <v>52</v>
      </c>
      <c r="H9143" t="s">
        <v>21</v>
      </c>
      <c r="I9143" t="s">
        <v>17675</v>
      </c>
      <c r="J9143" t="str">
        <f>HYPERLINK("https://www.boe.es/gazeta/dias/1821/11/21/pdfs/GMD-1821-332.pdf#page=2","Abrir facsímil")</f>
        <v>Abrir facsímil</v>
      </c>
      <c r="K9143" t="s">
        <v>23</v>
      </c>
    </row>
    <row r="9144" spans="1:11" ht="42" customHeight="1">
      <c r="A9144" t="s">
        <v>17676</v>
      </c>
      <c r="B9144" t="s">
        <v>17677</v>
      </c>
      <c r="C9144" t="s">
        <v>40</v>
      </c>
      <c r="D9144" t="s">
        <v>41</v>
      </c>
      <c r="E9144" s="6">
        <v>-28828</v>
      </c>
      <c r="F9144" t="s">
        <v>1864</v>
      </c>
      <c r="G9144" t="s">
        <v>88</v>
      </c>
      <c r="H9144" t="s">
        <v>21</v>
      </c>
      <c r="I9144" t="s">
        <v>17678</v>
      </c>
      <c r="J9144" t="str">
        <f>HYPERLINK("https://www.boe.es/gazeta/dias/1821/01/25/pdfs/GGB-1821-25.pdf#page=4","Abrir facsímil")</f>
        <v>Abrir facsímil</v>
      </c>
      <c r="K9144" t="s">
        <v>23</v>
      </c>
    </row>
    <row r="9145" spans="1:11" ht="42" customHeight="1">
      <c r="A9145" t="s">
        <v>17679</v>
      </c>
      <c r="B9145" t="s">
        <v>17680</v>
      </c>
      <c r="C9145" t="s">
        <v>17</v>
      </c>
      <c r="D9145" t="s">
        <v>18</v>
      </c>
      <c r="E9145" s="6">
        <v>-28535</v>
      </c>
      <c r="F9145" t="s">
        <v>96</v>
      </c>
      <c r="G9145" t="s">
        <v>52</v>
      </c>
      <c r="H9145" t="s">
        <v>21</v>
      </c>
      <c r="I9145" t="s">
        <v>17681</v>
      </c>
      <c r="J9145" t="str">
        <f>HYPERLINK("https://www.boe.es/gazeta/dias/1821/11/14/pdfs/GMD-1821-325.pdf#page=2","Abrir facsímil")</f>
        <v>Abrir facsímil</v>
      </c>
      <c r="K9145" t="s">
        <v>23</v>
      </c>
    </row>
    <row r="9146" spans="1:11" ht="42" customHeight="1">
      <c r="A9146" t="s">
        <v>17682</v>
      </c>
      <c r="B9146" t="s">
        <v>17683</v>
      </c>
      <c r="C9146" t="s">
        <v>17</v>
      </c>
      <c r="D9146" t="s">
        <v>18</v>
      </c>
      <c r="E9146" s="6">
        <v>-28542</v>
      </c>
      <c r="F9146" t="s">
        <v>221</v>
      </c>
      <c r="G9146" t="s">
        <v>29</v>
      </c>
      <c r="H9146" t="s">
        <v>21</v>
      </c>
      <c r="I9146" t="s">
        <v>17684</v>
      </c>
      <c r="J9146" t="str">
        <f>HYPERLINK("https://www.boe.es/gazeta/dias/1821/11/07/pdfs/GMD-1821-318.pdf#page=6","Abrir facsímil")</f>
        <v>Abrir facsímil</v>
      </c>
      <c r="K9146" t="s">
        <v>23</v>
      </c>
    </row>
    <row r="9147" spans="1:11" ht="42" customHeight="1">
      <c r="A9147" t="s">
        <v>17685</v>
      </c>
      <c r="B9147" t="s">
        <v>17686</v>
      </c>
      <c r="C9147" t="s">
        <v>114</v>
      </c>
      <c r="D9147" t="s">
        <v>27</v>
      </c>
      <c r="E9147" s="6">
        <v>-28704</v>
      </c>
      <c r="F9147" t="s">
        <v>1050</v>
      </c>
      <c r="G9147" t="s">
        <v>88</v>
      </c>
      <c r="H9147" t="s">
        <v>21</v>
      </c>
      <c r="I9147" t="s">
        <v>17687</v>
      </c>
      <c r="J9147" t="str">
        <f>HYPERLINK("https://www.boe.es/gazeta/dias/1821/05/29/pdfs/GMD-1821-151.pdf#page=4","Abrir facsímil")</f>
        <v>Abrir facsímil</v>
      </c>
      <c r="K9147" t="s">
        <v>23</v>
      </c>
    </row>
    <row r="9148" spans="1:11" ht="42" customHeight="1">
      <c r="A9148" t="s">
        <v>17688</v>
      </c>
      <c r="B9148" t="s">
        <v>17689</v>
      </c>
      <c r="C9148" t="s">
        <v>26</v>
      </c>
      <c r="D9148" t="s">
        <v>27</v>
      </c>
      <c r="E9148" s="6">
        <v>-28531</v>
      </c>
      <c r="F9148" t="s">
        <v>365</v>
      </c>
      <c r="G9148" t="s">
        <v>20</v>
      </c>
      <c r="H9148" t="s">
        <v>21</v>
      </c>
      <c r="I9148" t="s">
        <v>17690</v>
      </c>
      <c r="J9148" t="str">
        <f>HYPERLINK("https://www.boe.es/gazeta/dias/1821/11/18/pdfs/GMD-1821-329.pdf#page=3","Abrir facsímil")</f>
        <v>Abrir facsímil</v>
      </c>
      <c r="K9148" t="s">
        <v>23</v>
      </c>
    </row>
    <row r="9149" spans="1:11" ht="42" customHeight="1">
      <c r="A9149" t="s">
        <v>17691</v>
      </c>
      <c r="B9149" t="s">
        <v>17692</v>
      </c>
      <c r="C9149" t="s">
        <v>40</v>
      </c>
      <c r="D9149" t="s">
        <v>41</v>
      </c>
      <c r="E9149" s="6">
        <v>-28736</v>
      </c>
      <c r="F9149" t="s">
        <v>464</v>
      </c>
      <c r="G9149" t="s">
        <v>52</v>
      </c>
      <c r="H9149" t="s">
        <v>21</v>
      </c>
      <c r="I9149" t="s">
        <v>17693</v>
      </c>
      <c r="J9149" t="str">
        <f>HYPERLINK("https://www.boe.es/gazeta/dias/1821/04/27/pdfs/GMD-1821-119.pdf#page=2","Abrir facsímil")</f>
        <v>Abrir facsímil</v>
      </c>
      <c r="K9149" t="s">
        <v>23</v>
      </c>
    </row>
    <row r="9150" spans="1:11" ht="42" customHeight="1">
      <c r="A9150" t="s">
        <v>17694</v>
      </c>
      <c r="B9150" t="s">
        <v>17694</v>
      </c>
      <c r="C9150" t="s">
        <v>174</v>
      </c>
      <c r="D9150" t="s">
        <v>27</v>
      </c>
      <c r="E9150" s="6">
        <v>-28557</v>
      </c>
      <c r="F9150" t="s">
        <v>316</v>
      </c>
      <c r="G9150" t="s">
        <v>52</v>
      </c>
      <c r="H9150" t="s">
        <v>21</v>
      </c>
      <c r="I9150" t="s">
        <v>17695</v>
      </c>
      <c r="J9150" t="str">
        <f>HYPERLINK("https://www.boe.es/gazeta/dias/1821/10/23/pdfs/GMD-1821-302.pdf#page=2","Abrir facsímil")</f>
        <v>Abrir facsímil</v>
      </c>
      <c r="K9150" t="s">
        <v>23</v>
      </c>
    </row>
    <row r="9151" spans="1:11" ht="42" customHeight="1">
      <c r="A9151" t="s">
        <v>17696</v>
      </c>
      <c r="B9151" t="s">
        <v>17697</v>
      </c>
      <c r="C9151" t="s">
        <v>35</v>
      </c>
      <c r="D9151" t="s">
        <v>27</v>
      </c>
      <c r="E9151" s="6">
        <v>-28676</v>
      </c>
      <c r="F9151" t="s">
        <v>534</v>
      </c>
      <c r="G9151" t="s">
        <v>29</v>
      </c>
      <c r="H9151" t="s">
        <v>21</v>
      </c>
      <c r="I9151" t="s">
        <v>17698</v>
      </c>
      <c r="J9151" t="str">
        <f>HYPERLINK("https://www.boe.es/gazeta/dias/1821/06/26/pdfs/GMD-1821-179.pdf#page=6","Abrir facsímil")</f>
        <v>Abrir facsímil</v>
      </c>
      <c r="K9151" t="s">
        <v>23</v>
      </c>
    </row>
    <row r="9152" spans="1:11" ht="42" customHeight="1">
      <c r="A9152" t="s">
        <v>17699</v>
      </c>
      <c r="B9152" t="s">
        <v>17700</v>
      </c>
      <c r="C9152" t="s">
        <v>70</v>
      </c>
      <c r="D9152" t="s">
        <v>27</v>
      </c>
      <c r="E9152" s="6">
        <v>-28823</v>
      </c>
      <c r="F9152" t="s">
        <v>1890</v>
      </c>
      <c r="G9152" t="s">
        <v>1891</v>
      </c>
      <c r="H9152" t="s">
        <v>21</v>
      </c>
      <c r="I9152" t="s">
        <v>17701</v>
      </c>
      <c r="J9152" t="str">
        <f>HYPERLINK("https://www.boe.es/gazeta/dias/1821/01/30/pdfs/GGB-1821-30.pdf#page=4","Abrir facsímil")</f>
        <v>Abrir facsímil</v>
      </c>
      <c r="K9152" t="s">
        <v>23</v>
      </c>
    </row>
    <row r="9153" spans="1:11" ht="42" customHeight="1">
      <c r="A9153" t="s">
        <v>17702</v>
      </c>
      <c r="B9153" t="s">
        <v>17703</v>
      </c>
      <c r="C9153" t="s">
        <v>40</v>
      </c>
      <c r="D9153" t="s">
        <v>41</v>
      </c>
      <c r="E9153" s="6">
        <v>-28821</v>
      </c>
      <c r="F9153" t="s">
        <v>371</v>
      </c>
      <c r="G9153" t="s">
        <v>88</v>
      </c>
      <c r="H9153" t="s">
        <v>21</v>
      </c>
      <c r="I9153" t="s">
        <v>17704</v>
      </c>
      <c r="J9153" t="str">
        <f>HYPERLINK("https://www.boe.es/gazeta/dias/1821/02/01/pdfs/GGB-1821-32.pdf#page=4","Abrir facsímil")</f>
        <v>Abrir facsímil</v>
      </c>
      <c r="K9153" t="s">
        <v>23</v>
      </c>
    </row>
    <row r="9154" spans="1:11" ht="42" customHeight="1">
      <c r="A9154" t="s">
        <v>17702</v>
      </c>
      <c r="B9154" t="s">
        <v>17703</v>
      </c>
      <c r="C9154" t="s">
        <v>26</v>
      </c>
      <c r="D9154" t="s">
        <v>27</v>
      </c>
      <c r="E9154" s="6">
        <v>-28711</v>
      </c>
      <c r="F9154" t="s">
        <v>1048</v>
      </c>
      <c r="G9154" t="s">
        <v>88</v>
      </c>
      <c r="H9154" t="s">
        <v>21</v>
      </c>
      <c r="I9154" t="s">
        <v>17705</v>
      </c>
      <c r="J9154" t="str">
        <f>HYPERLINK("https://www.boe.es/gazeta/dias/1821/05/22/pdfs/GMD-1821-144.pdf#page=4","Abrir facsímil")</f>
        <v>Abrir facsímil</v>
      </c>
      <c r="K9154" t="s">
        <v>23</v>
      </c>
    </row>
    <row r="9155" spans="1:11" ht="42" customHeight="1">
      <c r="A9155" t="s">
        <v>17702</v>
      </c>
      <c r="B9155" t="s">
        <v>17703</v>
      </c>
      <c r="C9155" t="s">
        <v>35</v>
      </c>
      <c r="D9155" t="s">
        <v>27</v>
      </c>
      <c r="E9155" s="6">
        <v>-28611</v>
      </c>
      <c r="F9155" t="s">
        <v>5777</v>
      </c>
      <c r="G9155" t="s">
        <v>88</v>
      </c>
      <c r="H9155" t="s">
        <v>21</v>
      </c>
      <c r="I9155" t="s">
        <v>17706</v>
      </c>
      <c r="J9155" t="str">
        <f>HYPERLINK("https://www.boe.es/gazeta/dias/1821/08/30/pdfs/GMD-1821-247.pdf#page=4","Abrir facsímil")</f>
        <v>Abrir facsímil</v>
      </c>
      <c r="K9155" t="s">
        <v>23</v>
      </c>
    </row>
    <row r="9156" spans="1:11" ht="42" customHeight="1">
      <c r="A9156" t="s">
        <v>17707</v>
      </c>
      <c r="B9156" t="s">
        <v>17708</v>
      </c>
      <c r="C9156" t="s">
        <v>35</v>
      </c>
      <c r="D9156" t="s">
        <v>27</v>
      </c>
      <c r="E9156" s="6">
        <v>-28774</v>
      </c>
      <c r="F9156" t="s">
        <v>1221</v>
      </c>
      <c r="G9156" t="s">
        <v>52</v>
      </c>
      <c r="H9156" t="s">
        <v>30</v>
      </c>
      <c r="I9156" t="s">
        <v>17709</v>
      </c>
      <c r="J9156" t="str">
        <f>HYPERLINK("https://www.boe.es/gazeta/dias/1821/03/20/pdfs/GMD-1821-79.pdf#page=2","Abrir facsímil")</f>
        <v>Abrir facsímil</v>
      </c>
      <c r="K9156" t="s">
        <v>32</v>
      </c>
    </row>
    <row r="9157" spans="1:11" ht="42" customHeight="1">
      <c r="A9157" t="s">
        <v>17710</v>
      </c>
      <c r="B9157" t="s">
        <v>17711</v>
      </c>
      <c r="C9157" t="s">
        <v>40</v>
      </c>
      <c r="D9157" t="s">
        <v>41</v>
      </c>
      <c r="E9157" s="6">
        <v>-28538</v>
      </c>
      <c r="F9157" t="s">
        <v>395</v>
      </c>
      <c r="G9157" t="s">
        <v>29</v>
      </c>
      <c r="H9157" t="s">
        <v>21</v>
      </c>
      <c r="I9157" t="s">
        <v>17712</v>
      </c>
      <c r="J9157" t="str">
        <f>HYPERLINK("https://www.boe.es/gazeta/dias/1821/11/11/pdfs/GMD-1821-322.pdf#page=6","Abrir facsímil")</f>
        <v>Abrir facsímil</v>
      </c>
      <c r="K9157" t="s">
        <v>23</v>
      </c>
    </row>
    <row r="9158" spans="1:11" ht="42" customHeight="1">
      <c r="A9158" t="s">
        <v>17713</v>
      </c>
      <c r="B9158" t="s">
        <v>17713</v>
      </c>
      <c r="C9158" t="s">
        <v>26</v>
      </c>
      <c r="D9158" t="s">
        <v>27</v>
      </c>
      <c r="E9158" s="6">
        <v>-28718</v>
      </c>
      <c r="F9158" t="s">
        <v>583</v>
      </c>
      <c r="G9158" t="s">
        <v>88</v>
      </c>
      <c r="H9158" t="s">
        <v>21</v>
      </c>
      <c r="I9158" t="s">
        <v>17714</v>
      </c>
      <c r="J9158" t="str">
        <f>HYPERLINK("https://www.boe.es/gazeta/dias/1821/05/15/pdfs/GMD-1821-137.pdf#page=4","Abrir facsímil")</f>
        <v>Abrir facsímil</v>
      </c>
      <c r="K9158" t="s">
        <v>23</v>
      </c>
    </row>
    <row r="9159" spans="1:11" ht="42" customHeight="1">
      <c r="A9159" t="s">
        <v>17715</v>
      </c>
      <c r="B9159" t="s">
        <v>17716</v>
      </c>
      <c r="C9159" t="s">
        <v>40</v>
      </c>
      <c r="D9159" t="s">
        <v>41</v>
      </c>
      <c r="E9159" s="6">
        <v>-28515</v>
      </c>
      <c r="F9159" t="s">
        <v>260</v>
      </c>
      <c r="G9159" t="s">
        <v>52</v>
      </c>
      <c r="H9159" t="s">
        <v>30</v>
      </c>
      <c r="I9159" t="s">
        <v>17717</v>
      </c>
      <c r="J9159" t="str">
        <f>HYPERLINK("https://www.boe.es/gazeta/dias/1821/12/04/pdfs/GMD-1821-346.pdf#page=2","Abrir facsímil")</f>
        <v>Abrir facsímil</v>
      </c>
      <c r="K9159" t="s">
        <v>32</v>
      </c>
    </row>
    <row r="9160" spans="1:11" ht="42" customHeight="1">
      <c r="A9160" t="s">
        <v>17718</v>
      </c>
      <c r="B9160" t="s">
        <v>17719</v>
      </c>
      <c r="C9160" t="s">
        <v>17</v>
      </c>
      <c r="D9160" t="s">
        <v>18</v>
      </c>
      <c r="E9160" s="6">
        <v>-28653</v>
      </c>
      <c r="F9160" t="s">
        <v>1179</v>
      </c>
      <c r="G9160" t="s">
        <v>29</v>
      </c>
      <c r="H9160" t="s">
        <v>21</v>
      </c>
      <c r="I9160" t="s">
        <v>17720</v>
      </c>
      <c r="J9160" t="str">
        <f>HYPERLINK("https://www.boe.es/gazeta/dias/1821/07/19/pdfs/GMD-1821-204.pdf#page=6","Abrir facsímil")</f>
        <v>Abrir facsímil</v>
      </c>
      <c r="K9160" t="s">
        <v>23</v>
      </c>
    </row>
    <row r="9161" spans="1:11" ht="42" customHeight="1">
      <c r="A9161" t="s">
        <v>17721</v>
      </c>
      <c r="B9161" t="s">
        <v>17722</v>
      </c>
      <c r="C9161" t="s">
        <v>40</v>
      </c>
      <c r="D9161" t="s">
        <v>41</v>
      </c>
      <c r="E9161" s="6">
        <v>-28634</v>
      </c>
      <c r="F9161" t="s">
        <v>2533</v>
      </c>
      <c r="G9161" t="s">
        <v>20</v>
      </c>
      <c r="H9161" t="s">
        <v>21</v>
      </c>
      <c r="I9161" t="s">
        <v>17723</v>
      </c>
      <c r="J9161" t="str">
        <f>HYPERLINK("https://www.boe.es/gazeta/dias/1821/08/07/pdfs/GMD-1821-223.pdf#page=3","Abrir facsímil")</f>
        <v>Abrir facsímil</v>
      </c>
      <c r="K9161" t="s">
        <v>23</v>
      </c>
    </row>
    <row r="9162" spans="1:11" ht="42" customHeight="1">
      <c r="A9162" t="s">
        <v>17724</v>
      </c>
      <c r="B9162" t="s">
        <v>17724</v>
      </c>
      <c r="C9162" t="s">
        <v>40</v>
      </c>
      <c r="D9162" t="s">
        <v>41</v>
      </c>
      <c r="E9162" s="6">
        <v>-28790</v>
      </c>
      <c r="F9162" t="s">
        <v>991</v>
      </c>
      <c r="G9162" t="s">
        <v>88</v>
      </c>
      <c r="H9162" t="s">
        <v>21</v>
      </c>
      <c r="I9162" t="s">
        <v>17725</v>
      </c>
      <c r="J9162" t="str">
        <f>HYPERLINK("https://www.boe.es/gazeta/dias/1821/03/04/pdfs/GGB-1821-63.pdf#page=4","Abrir facsímil")</f>
        <v>Abrir facsímil</v>
      </c>
      <c r="K9162" t="s">
        <v>23</v>
      </c>
    </row>
    <row r="9163" spans="1:11" ht="42" customHeight="1">
      <c r="A9163" t="s">
        <v>17724</v>
      </c>
      <c r="B9163" t="s">
        <v>17724</v>
      </c>
      <c r="C9163" t="s">
        <v>17</v>
      </c>
      <c r="D9163" t="s">
        <v>18</v>
      </c>
      <c r="E9163" s="6">
        <v>-28770</v>
      </c>
      <c r="F9163" t="s">
        <v>1009</v>
      </c>
      <c r="G9163" t="s">
        <v>88</v>
      </c>
      <c r="H9163" t="s">
        <v>21</v>
      </c>
      <c r="I9163" t="s">
        <v>17726</v>
      </c>
      <c r="J9163" t="str">
        <f>HYPERLINK("https://www.boe.es/gazeta/dias/1821/03/24/pdfs/GMD-1821-84.pdf#page=4","Abrir facsímil")</f>
        <v>Abrir facsímil</v>
      </c>
      <c r="K9163" t="s">
        <v>23</v>
      </c>
    </row>
    <row r="9164" spans="1:11" ht="42" customHeight="1">
      <c r="A9164" t="s">
        <v>17724</v>
      </c>
      <c r="B9164" t="s">
        <v>17724</v>
      </c>
      <c r="C9164" t="s">
        <v>17</v>
      </c>
      <c r="D9164" t="s">
        <v>18</v>
      </c>
      <c r="E9164" s="6">
        <v>-28711</v>
      </c>
      <c r="F9164" t="s">
        <v>1048</v>
      </c>
      <c r="G9164" t="s">
        <v>43</v>
      </c>
      <c r="H9164" t="s">
        <v>21</v>
      </c>
      <c r="I9164" t="s">
        <v>17727</v>
      </c>
      <c r="J9164" t="str">
        <f>HYPERLINK("https://www.boe.es/gazeta/dias/1821/05/22/pdfs/GMD-1821-144.pdf#page=1","Abrir facsímil")</f>
        <v>Abrir facsímil</v>
      </c>
      <c r="K9164" t="s">
        <v>23</v>
      </c>
    </row>
    <row r="9165" spans="1:11" ht="42" customHeight="1">
      <c r="A9165" t="s">
        <v>17724</v>
      </c>
      <c r="B9165" t="s">
        <v>17724</v>
      </c>
      <c r="C9165" t="s">
        <v>35</v>
      </c>
      <c r="D9165" t="s">
        <v>27</v>
      </c>
      <c r="E9165" s="6">
        <v>-28673</v>
      </c>
      <c r="F9165" t="s">
        <v>1069</v>
      </c>
      <c r="G9165" t="s">
        <v>20</v>
      </c>
      <c r="H9165" t="s">
        <v>21</v>
      </c>
      <c r="I9165" t="s">
        <v>17728</v>
      </c>
      <c r="J9165" t="str">
        <f>HYPERLINK("https://www.boe.es/gazeta/dias/1821/06/29/pdfs/GMD-1821-182.pdf#page=3","Abrir facsímil")</f>
        <v>Abrir facsímil</v>
      </c>
      <c r="K9165" t="s">
        <v>23</v>
      </c>
    </row>
    <row r="9166" spans="1:11" ht="42" customHeight="1">
      <c r="A9166" t="s">
        <v>17724</v>
      </c>
      <c r="B9166" t="s">
        <v>17724</v>
      </c>
      <c r="C9166" t="s">
        <v>35</v>
      </c>
      <c r="D9166" t="s">
        <v>27</v>
      </c>
      <c r="E9166" s="6">
        <v>-28505</v>
      </c>
      <c r="F9166" t="s">
        <v>567</v>
      </c>
      <c r="G9166" t="s">
        <v>52</v>
      </c>
      <c r="H9166" t="s">
        <v>21</v>
      </c>
      <c r="I9166" t="s">
        <v>17729</v>
      </c>
      <c r="J9166" t="str">
        <f>HYPERLINK("https://www.boe.es/gazeta/dias/1821/12/14/pdfs/GMD-1821-357.pdf#page=2","Abrir facsímil")</f>
        <v>Abrir facsímil</v>
      </c>
      <c r="K9166" t="s">
        <v>23</v>
      </c>
    </row>
    <row r="9167" spans="1:11" ht="42" customHeight="1">
      <c r="A9167" t="s">
        <v>17730</v>
      </c>
      <c r="B9167" t="s">
        <v>17731</v>
      </c>
      <c r="C9167" t="s">
        <v>40</v>
      </c>
      <c r="D9167" t="s">
        <v>41</v>
      </c>
      <c r="E9167" s="6">
        <v>-28713</v>
      </c>
      <c r="F9167" t="s">
        <v>1976</v>
      </c>
      <c r="G9167" t="s">
        <v>52</v>
      </c>
      <c r="H9167" t="s">
        <v>21</v>
      </c>
      <c r="I9167" t="s">
        <v>17732</v>
      </c>
      <c r="J9167" t="str">
        <f>HYPERLINK("https://www.boe.es/gazeta/dias/1821/05/20/pdfs/GMD-1821-142.pdf#page=2","Abrir facsímil")</f>
        <v>Abrir facsímil</v>
      </c>
      <c r="K9167" t="s">
        <v>23</v>
      </c>
    </row>
    <row r="9168" spans="1:11" ht="42" customHeight="1">
      <c r="A9168" t="s">
        <v>17733</v>
      </c>
      <c r="B9168" t="s">
        <v>17734</v>
      </c>
      <c r="C9168" t="s">
        <v>40</v>
      </c>
      <c r="D9168" t="s">
        <v>41</v>
      </c>
      <c r="E9168" s="6">
        <v>-28817</v>
      </c>
      <c r="F9168" t="s">
        <v>2703</v>
      </c>
      <c r="G9168" t="s">
        <v>20</v>
      </c>
      <c r="H9168" t="s">
        <v>21</v>
      </c>
      <c r="I9168" t="s">
        <v>17735</v>
      </c>
      <c r="J9168" t="str">
        <f>HYPERLINK("https://www.boe.es/gazeta/dias/1821/02/05/pdfs/GGB-1821-36.pdf#page=3","Abrir facsímil")</f>
        <v>Abrir facsímil</v>
      </c>
      <c r="K9168" t="s">
        <v>23</v>
      </c>
    </row>
    <row r="9169" spans="1:11" ht="42" customHeight="1">
      <c r="A9169" t="s">
        <v>17736</v>
      </c>
      <c r="B9169" t="s">
        <v>17737</v>
      </c>
      <c r="C9169" t="s">
        <v>26</v>
      </c>
      <c r="D9169" t="s">
        <v>27</v>
      </c>
      <c r="E9169" s="6">
        <v>-28682</v>
      </c>
      <c r="F9169" t="s">
        <v>1064</v>
      </c>
      <c r="G9169" t="s">
        <v>162</v>
      </c>
      <c r="H9169" t="s">
        <v>21</v>
      </c>
      <c r="I9169" t="s">
        <v>17738</v>
      </c>
      <c r="J9169" t="str">
        <f>HYPERLINK("https://www.boe.es/gazeta/dias/1821/06/20/pdfs/GMD-1821-173.pdf#page=5","Abrir facsímil")</f>
        <v>Abrir facsímil</v>
      </c>
      <c r="K9169" t="s">
        <v>23</v>
      </c>
    </row>
    <row r="9170" spans="1:11" ht="42" customHeight="1">
      <c r="A9170" t="s">
        <v>17739</v>
      </c>
      <c r="B9170" t="s">
        <v>17740</v>
      </c>
      <c r="C9170" t="s">
        <v>40</v>
      </c>
      <c r="D9170" t="s">
        <v>41</v>
      </c>
      <c r="E9170" s="6">
        <v>-28715</v>
      </c>
      <c r="F9170" t="s">
        <v>1046</v>
      </c>
      <c r="G9170" t="s">
        <v>43</v>
      </c>
      <c r="H9170" t="s">
        <v>21</v>
      </c>
      <c r="I9170" t="s">
        <v>17741</v>
      </c>
      <c r="J9170" t="str">
        <f>HYPERLINK("https://www.boe.es/gazeta/dias/1821/05/18/pdfs/GMD-1821-140.pdf#page=1","Abrir facsímil")</f>
        <v>Abrir facsímil</v>
      </c>
      <c r="K9170" t="s">
        <v>23</v>
      </c>
    </row>
    <row r="9171" spans="1:11" ht="42" customHeight="1">
      <c r="A9171" t="s">
        <v>17739</v>
      </c>
      <c r="B9171" t="s">
        <v>17740</v>
      </c>
      <c r="C9171" t="s">
        <v>26</v>
      </c>
      <c r="D9171" t="s">
        <v>27</v>
      </c>
      <c r="E9171" s="6">
        <v>-28499</v>
      </c>
      <c r="F9171" t="s">
        <v>954</v>
      </c>
      <c r="G9171" t="s">
        <v>88</v>
      </c>
      <c r="H9171" t="s">
        <v>21</v>
      </c>
      <c r="I9171" t="s">
        <v>17742</v>
      </c>
      <c r="J9171" t="str">
        <f>HYPERLINK("https://www.boe.es/gazeta/dias/1821/12/20/pdfs/GMD-1821-363.pdf#page=4","Abrir facsímil")</f>
        <v>Abrir facsímil</v>
      </c>
      <c r="K9171" t="s">
        <v>23</v>
      </c>
    </row>
    <row r="9172" spans="1:11" ht="42" customHeight="1">
      <c r="A9172" t="s">
        <v>17743</v>
      </c>
      <c r="B9172" t="s">
        <v>17744</v>
      </c>
      <c r="C9172" t="s">
        <v>40</v>
      </c>
      <c r="D9172" t="s">
        <v>41</v>
      </c>
      <c r="E9172" s="6">
        <v>-28725</v>
      </c>
      <c r="F9172" t="s">
        <v>440</v>
      </c>
      <c r="G9172" t="s">
        <v>52</v>
      </c>
      <c r="H9172" t="s">
        <v>21</v>
      </c>
      <c r="I9172" t="s">
        <v>17745</v>
      </c>
      <c r="J9172" t="str">
        <f>HYPERLINK("https://www.boe.es/gazeta/dias/1821/05/08/pdfs/GMD-1821-130.pdf#page=2","Abrir facsímil")</f>
        <v>Abrir facsímil</v>
      </c>
      <c r="K9172" t="s">
        <v>23</v>
      </c>
    </row>
    <row r="9173" spans="1:11" ht="42" customHeight="1">
      <c r="A9173" t="s">
        <v>17746</v>
      </c>
      <c r="B9173" t="s">
        <v>17747</v>
      </c>
      <c r="C9173" t="s">
        <v>26</v>
      </c>
      <c r="D9173" t="s">
        <v>27</v>
      </c>
      <c r="E9173" s="6">
        <v>-28770</v>
      </c>
      <c r="F9173" t="s">
        <v>1009</v>
      </c>
      <c r="G9173" t="s">
        <v>20</v>
      </c>
      <c r="H9173" t="s">
        <v>21</v>
      </c>
      <c r="I9173" t="s">
        <v>17748</v>
      </c>
      <c r="J9173" t="str">
        <f>HYPERLINK("https://www.boe.es/gazeta/dias/1821/03/24/pdfs/GMD-1821-84.pdf#page=3","Abrir facsímil")</f>
        <v>Abrir facsímil</v>
      </c>
      <c r="K9173" t="s">
        <v>23</v>
      </c>
    </row>
    <row r="9174" spans="1:11" ht="42" customHeight="1">
      <c r="A9174" t="s">
        <v>17749</v>
      </c>
      <c r="B9174" t="s">
        <v>17750</v>
      </c>
      <c r="C9174" t="s">
        <v>17</v>
      </c>
      <c r="D9174" t="s">
        <v>18</v>
      </c>
      <c r="E9174" s="6">
        <v>-28543</v>
      </c>
      <c r="F9174" t="s">
        <v>136</v>
      </c>
      <c r="G9174" t="s">
        <v>88</v>
      </c>
      <c r="H9174" t="s">
        <v>21</v>
      </c>
      <c r="I9174" t="s">
        <v>17751</v>
      </c>
      <c r="J9174" t="str">
        <f>HYPERLINK("https://www.boe.es/gazeta/dias/1821/11/06/pdfs/GMD-1821-317.pdf#page=4","Abrir facsímil")</f>
        <v>Abrir facsímil</v>
      </c>
      <c r="K9174" t="s">
        <v>23</v>
      </c>
    </row>
    <row r="9175" spans="1:11" ht="42" customHeight="1">
      <c r="A9175" t="s">
        <v>17752</v>
      </c>
      <c r="B9175" t="s">
        <v>17753</v>
      </c>
      <c r="C9175" t="s">
        <v>40</v>
      </c>
      <c r="D9175" t="s">
        <v>41</v>
      </c>
      <c r="E9175" s="6">
        <v>-28760</v>
      </c>
      <c r="F9175" t="s">
        <v>170</v>
      </c>
      <c r="G9175" t="s">
        <v>88</v>
      </c>
      <c r="H9175" t="s">
        <v>21</v>
      </c>
      <c r="I9175" t="s">
        <v>17754</v>
      </c>
      <c r="J9175" t="str">
        <f>HYPERLINK("https://www.boe.es/gazeta/dias/1821/04/03/pdfs/GMD-1821-95.pdf#page=4","Abrir facsímil")</f>
        <v>Abrir facsímil</v>
      </c>
      <c r="K9175" t="s">
        <v>23</v>
      </c>
    </row>
    <row r="9176" spans="1:11" ht="42" customHeight="1">
      <c r="A9176" t="s">
        <v>17755</v>
      </c>
      <c r="B9176" t="s">
        <v>17755</v>
      </c>
      <c r="C9176" t="s">
        <v>26</v>
      </c>
      <c r="D9176" t="s">
        <v>27</v>
      </c>
      <c r="E9176" s="6">
        <v>-28806</v>
      </c>
      <c r="F9176" t="s">
        <v>1201</v>
      </c>
      <c r="G9176" t="s">
        <v>3200</v>
      </c>
      <c r="H9176" t="s">
        <v>21</v>
      </c>
      <c r="I9176" t="s">
        <v>17756</v>
      </c>
      <c r="J9176" t="str">
        <f>HYPERLINK("https://www.boe.es/gazeta/dias/1821/02/16/pdfs/GGB-1821-47.pdf#page=3","Abrir facsímil")</f>
        <v>Abrir facsímil</v>
      </c>
      <c r="K9176" t="s">
        <v>23</v>
      </c>
    </row>
    <row r="9177" spans="1:11" ht="42" customHeight="1">
      <c r="A9177" t="s">
        <v>17755</v>
      </c>
      <c r="B9177" t="s">
        <v>17755</v>
      </c>
      <c r="C9177" t="s">
        <v>17</v>
      </c>
      <c r="D9177" t="s">
        <v>18</v>
      </c>
      <c r="E9177" s="6">
        <v>-28797</v>
      </c>
      <c r="F9177" t="s">
        <v>2281</v>
      </c>
      <c r="G9177" t="s">
        <v>52</v>
      </c>
      <c r="H9177" t="s">
        <v>21</v>
      </c>
      <c r="I9177" t="s">
        <v>17757</v>
      </c>
      <c r="J9177" t="str">
        <f>HYPERLINK("https://www.boe.es/gazeta/dias/1821/02/25/pdfs/GGB-1821-56.pdf#page=2","Abrir facsímil")</f>
        <v>Abrir facsímil</v>
      </c>
      <c r="K9177" t="s">
        <v>23</v>
      </c>
    </row>
    <row r="9178" spans="1:11" ht="42" customHeight="1">
      <c r="A9178" t="s">
        <v>17758</v>
      </c>
      <c r="B9178" t="s">
        <v>17758</v>
      </c>
      <c r="C9178" t="s">
        <v>40</v>
      </c>
      <c r="D9178" t="s">
        <v>41</v>
      </c>
      <c r="E9178" s="6">
        <v>-28735</v>
      </c>
      <c r="F9178" t="s">
        <v>836</v>
      </c>
      <c r="G9178" t="s">
        <v>88</v>
      </c>
      <c r="H9178" t="s">
        <v>21</v>
      </c>
      <c r="I9178" t="s">
        <v>17759</v>
      </c>
      <c r="J9178" t="str">
        <f>HYPERLINK("https://www.boe.es/gazeta/dias/1821/04/28/pdfs/GMD-1821-120.pdf#page=4","Abrir facsímil")</f>
        <v>Abrir facsímil</v>
      </c>
      <c r="K9178" t="s">
        <v>23</v>
      </c>
    </row>
    <row r="9179" spans="1:11" ht="42" customHeight="1">
      <c r="A9179" t="s">
        <v>17760</v>
      </c>
      <c r="B9179" t="s">
        <v>17760</v>
      </c>
      <c r="C9179" t="s">
        <v>26</v>
      </c>
      <c r="D9179" t="s">
        <v>27</v>
      </c>
      <c r="E9179" s="6">
        <v>-28602</v>
      </c>
      <c r="F9179" t="s">
        <v>1526</v>
      </c>
      <c r="G9179" t="s">
        <v>88</v>
      </c>
      <c r="H9179" t="s">
        <v>21</v>
      </c>
      <c r="I9179" t="s">
        <v>17761</v>
      </c>
      <c r="J9179" t="str">
        <f>HYPERLINK("https://www.boe.es/gazeta/dias/1821/09/08/pdfs/GMD-1821-256.pdf#page=4","Abrir facsímil")</f>
        <v>Abrir facsímil</v>
      </c>
      <c r="K9179" t="s">
        <v>23</v>
      </c>
    </row>
    <row r="9180" spans="1:11" ht="42" customHeight="1">
      <c r="A9180" t="s">
        <v>17760</v>
      </c>
      <c r="B9180" t="s">
        <v>17760</v>
      </c>
      <c r="C9180" t="s">
        <v>174</v>
      </c>
      <c r="D9180" t="s">
        <v>27</v>
      </c>
      <c r="E9180" s="6">
        <v>-28588</v>
      </c>
      <c r="F9180" t="s">
        <v>2774</v>
      </c>
      <c r="G9180" t="s">
        <v>88</v>
      </c>
      <c r="H9180" t="s">
        <v>21</v>
      </c>
      <c r="I9180" t="s">
        <v>17762</v>
      </c>
      <c r="J9180" t="str">
        <f>HYPERLINK("https://www.boe.es/gazeta/dias/1821/09/22/pdfs/GMD-1821-270.pdf#page=4","Abrir facsímil")</f>
        <v>Abrir facsímil</v>
      </c>
      <c r="K9180" t="s">
        <v>23</v>
      </c>
    </row>
    <row r="9181" spans="1:11" ht="42" customHeight="1">
      <c r="A9181" t="s">
        <v>17763</v>
      </c>
      <c r="B9181" t="s">
        <v>17763</v>
      </c>
      <c r="C9181" t="s">
        <v>35</v>
      </c>
      <c r="D9181" t="s">
        <v>27</v>
      </c>
      <c r="E9181" s="6">
        <v>-28777</v>
      </c>
      <c r="F9181" t="s">
        <v>1004</v>
      </c>
      <c r="G9181" t="s">
        <v>1005</v>
      </c>
      <c r="H9181" t="s">
        <v>21</v>
      </c>
      <c r="I9181" t="s">
        <v>17764</v>
      </c>
      <c r="J9181" t="str">
        <f>HYPERLINK("https://www.boe.es/gazeta/dias/1821/03/17/pdfs/GMD-1821-76.pdf#page=2","Abrir facsímil")</f>
        <v>Abrir facsímil</v>
      </c>
      <c r="K9181" t="s">
        <v>23</v>
      </c>
    </row>
    <row r="9182" spans="1:11" ht="42" customHeight="1">
      <c r="A9182" t="s">
        <v>17765</v>
      </c>
      <c r="B9182" t="s">
        <v>17766</v>
      </c>
      <c r="C9182" t="s">
        <v>40</v>
      </c>
      <c r="D9182" t="s">
        <v>41</v>
      </c>
      <c r="E9182" s="6">
        <v>-28507</v>
      </c>
      <c r="F9182" t="s">
        <v>1158</v>
      </c>
      <c r="G9182" t="s">
        <v>20</v>
      </c>
      <c r="H9182" t="s">
        <v>21</v>
      </c>
      <c r="I9182" t="s">
        <v>17767</v>
      </c>
      <c r="J9182" t="str">
        <f>HYPERLINK("https://www.boe.es/gazeta/dias/1821/12/12/pdfs/GMD-1821-354.pdf#page=3","Abrir facsímil")</f>
        <v>Abrir facsímil</v>
      </c>
      <c r="K9182" t="s">
        <v>23</v>
      </c>
    </row>
    <row r="9183" spans="1:11" ht="42" customHeight="1">
      <c r="A9183" t="s">
        <v>17768</v>
      </c>
      <c r="B9183" t="s">
        <v>17769</v>
      </c>
      <c r="C9183" t="s">
        <v>40</v>
      </c>
      <c r="D9183" t="s">
        <v>41</v>
      </c>
      <c r="E9183" s="6">
        <v>-28780</v>
      </c>
      <c r="F9183" t="s">
        <v>143</v>
      </c>
      <c r="G9183" t="s">
        <v>52</v>
      </c>
      <c r="H9183" t="s">
        <v>21</v>
      </c>
      <c r="I9183" t="s">
        <v>17770</v>
      </c>
      <c r="J9183" t="str">
        <f>HYPERLINK("https://www.boe.es/gazeta/dias/1821/03/14/pdfs/GMD-1821-73.pdf#page=2","Abrir facsímil")</f>
        <v>Abrir facsímil</v>
      </c>
      <c r="K9183" t="s">
        <v>23</v>
      </c>
    </row>
    <row r="9184" spans="1:11" ht="42" customHeight="1">
      <c r="A9184" t="s">
        <v>17771</v>
      </c>
      <c r="B9184" t="s">
        <v>17772</v>
      </c>
      <c r="C9184" t="s">
        <v>17</v>
      </c>
      <c r="D9184" t="s">
        <v>18</v>
      </c>
      <c r="E9184" s="6">
        <v>-28549</v>
      </c>
      <c r="F9184" t="s">
        <v>930</v>
      </c>
      <c r="G9184" t="s">
        <v>162</v>
      </c>
      <c r="H9184" t="s">
        <v>21</v>
      </c>
      <c r="I9184" t="s">
        <v>17773</v>
      </c>
      <c r="J9184" t="str">
        <f>HYPERLINK("https://www.boe.es/gazeta/dias/1821/10/31/pdfs/GMD-1821-310.pdf#page=5","Abrir facsímil")</f>
        <v>Abrir facsímil</v>
      </c>
      <c r="K9184" t="s">
        <v>23</v>
      </c>
    </row>
    <row r="9185" spans="1:11" ht="42" customHeight="1">
      <c r="A9185" t="s">
        <v>17774</v>
      </c>
      <c r="B9185" t="s">
        <v>17775</v>
      </c>
      <c r="C9185" t="s">
        <v>26</v>
      </c>
      <c r="D9185" t="s">
        <v>27</v>
      </c>
      <c r="E9185" s="6">
        <v>-28554</v>
      </c>
      <c r="F9185" t="s">
        <v>433</v>
      </c>
      <c r="G9185" t="s">
        <v>52</v>
      </c>
      <c r="H9185" t="s">
        <v>21</v>
      </c>
      <c r="I9185" t="s">
        <v>17776</v>
      </c>
      <c r="J9185" t="str">
        <f>HYPERLINK("https://www.boe.es/gazeta/dias/1821/10/26/pdfs/GMD-1821-305.pdf#page=2","Abrir facsímil")</f>
        <v>Abrir facsímil</v>
      </c>
      <c r="K9185" t="s">
        <v>23</v>
      </c>
    </row>
    <row r="9186" spans="1:11" ht="42" customHeight="1">
      <c r="A9186" t="s">
        <v>17777</v>
      </c>
      <c r="B9186" t="s">
        <v>17778</v>
      </c>
      <c r="C9186" t="s">
        <v>35</v>
      </c>
      <c r="D9186" t="s">
        <v>27</v>
      </c>
      <c r="E9186" s="6">
        <v>-28626</v>
      </c>
      <c r="F9186" t="s">
        <v>468</v>
      </c>
      <c r="G9186" t="s">
        <v>88</v>
      </c>
      <c r="H9186" t="s">
        <v>21</v>
      </c>
      <c r="I9186" t="s">
        <v>17779</v>
      </c>
      <c r="J9186" t="str">
        <f>HYPERLINK("https://www.boe.es/gazeta/dias/1821/08/15/pdfs/GMD-1821-232.pdf#page=4","Abrir facsímil")</f>
        <v>Abrir facsímil</v>
      </c>
      <c r="K9186" t="s">
        <v>23</v>
      </c>
    </row>
    <row r="9187" spans="1:11" ht="42" customHeight="1">
      <c r="A9187" t="s">
        <v>17780</v>
      </c>
      <c r="B9187" t="s">
        <v>17781</v>
      </c>
      <c r="C9187" t="s">
        <v>17</v>
      </c>
      <c r="D9187" t="s">
        <v>18</v>
      </c>
      <c r="E9187" s="6">
        <v>-28725</v>
      </c>
      <c r="F9187" t="s">
        <v>440</v>
      </c>
      <c r="G9187" t="s">
        <v>88</v>
      </c>
      <c r="H9187" t="s">
        <v>21</v>
      </c>
      <c r="I9187" t="s">
        <v>17782</v>
      </c>
      <c r="J9187" t="str">
        <f>HYPERLINK("https://www.boe.es/gazeta/dias/1821/05/08/pdfs/GMD-1821-130.pdf#page=4","Abrir facsímil")</f>
        <v>Abrir facsímil</v>
      </c>
      <c r="K9187" t="s">
        <v>23</v>
      </c>
    </row>
    <row r="9188" spans="1:11" ht="42" customHeight="1">
      <c r="A9188" t="s">
        <v>17783</v>
      </c>
      <c r="B9188" t="s">
        <v>17784</v>
      </c>
      <c r="C9188" t="s">
        <v>17</v>
      </c>
      <c r="D9188" t="s">
        <v>18</v>
      </c>
      <c r="E9188" s="6">
        <v>-28809</v>
      </c>
      <c r="F9188" t="s">
        <v>1173</v>
      </c>
      <c r="G9188" t="s">
        <v>88</v>
      </c>
      <c r="H9188" t="s">
        <v>21</v>
      </c>
      <c r="I9188" t="s">
        <v>17785</v>
      </c>
      <c r="J9188" t="str">
        <f>HYPERLINK("https://www.boe.es/gazeta/dias/1821/02/13/pdfs/GGB-1821-44.pdf#page=4","Abrir facsímil")</f>
        <v>Abrir facsímil</v>
      </c>
      <c r="K9188" t="s">
        <v>23</v>
      </c>
    </row>
    <row r="9189" spans="1:11" ht="42" customHeight="1">
      <c r="A9189" t="s">
        <v>17786</v>
      </c>
      <c r="B9189" t="s">
        <v>17787</v>
      </c>
      <c r="C9189" t="s">
        <v>114</v>
      </c>
      <c r="D9189" t="s">
        <v>27</v>
      </c>
      <c r="E9189" s="6">
        <v>-28836</v>
      </c>
      <c r="F9189" t="s">
        <v>601</v>
      </c>
      <c r="G9189" t="s">
        <v>20</v>
      </c>
      <c r="H9189" t="s">
        <v>21</v>
      </c>
      <c r="I9189" t="s">
        <v>17788</v>
      </c>
      <c r="J9189" t="str">
        <f>HYPERLINK("https://www.boe.es/gazeta/dias/1821/01/17/pdfs/GGB-1821-17.pdf#page=3","Abrir facsímil")</f>
        <v>Abrir facsímil</v>
      </c>
      <c r="K9189" t="s">
        <v>23</v>
      </c>
    </row>
    <row r="9190" spans="1:11" ht="42" customHeight="1">
      <c r="A9190" t="s">
        <v>17789</v>
      </c>
      <c r="B9190" t="s">
        <v>17790</v>
      </c>
      <c r="C9190" t="s">
        <v>26</v>
      </c>
      <c r="D9190" t="s">
        <v>27</v>
      </c>
      <c r="E9190" s="6">
        <v>-28847</v>
      </c>
      <c r="F9190" t="s">
        <v>288</v>
      </c>
      <c r="G9190" t="s">
        <v>289</v>
      </c>
      <c r="H9190" t="s">
        <v>30</v>
      </c>
      <c r="I9190" t="s">
        <v>17791</v>
      </c>
      <c r="J9190" t="str">
        <f>HYPERLINK("https://www.boe.es/gazeta/dias/1821/01/06/pdfs/GGB-1821-6.pdf#page=4","Abrir facsímil")</f>
        <v>Abrir facsímil</v>
      </c>
      <c r="K9190" t="s">
        <v>32</v>
      </c>
    </row>
    <row r="9191" spans="1:11" ht="42" customHeight="1">
      <c r="A9191" t="s">
        <v>17792</v>
      </c>
      <c r="B9191" t="s">
        <v>17793</v>
      </c>
      <c r="C9191" t="s">
        <v>26</v>
      </c>
      <c r="D9191" t="s">
        <v>27</v>
      </c>
      <c r="E9191" s="6">
        <v>-28620</v>
      </c>
      <c r="F9191" t="s">
        <v>87</v>
      </c>
      <c r="G9191" t="s">
        <v>88</v>
      </c>
      <c r="H9191" t="s">
        <v>21</v>
      </c>
      <c r="I9191" t="s">
        <v>17794</v>
      </c>
      <c r="J9191" t="str">
        <f>HYPERLINK("https://www.boe.es/gazeta/dias/1821/08/21/pdfs/GMD-1821-238.pdf#page=4","Abrir facsímil")</f>
        <v>Abrir facsímil</v>
      </c>
      <c r="K9191" t="s">
        <v>23</v>
      </c>
    </row>
    <row r="9192" spans="1:11" ht="42" customHeight="1">
      <c r="A9192" t="s">
        <v>17795</v>
      </c>
      <c r="B9192" t="s">
        <v>17795</v>
      </c>
      <c r="C9192" t="s">
        <v>40</v>
      </c>
      <c r="D9192" t="s">
        <v>41</v>
      </c>
      <c r="E9192" s="6">
        <v>-28534</v>
      </c>
      <c r="F9192" t="s">
        <v>414</v>
      </c>
      <c r="G9192" t="s">
        <v>43</v>
      </c>
      <c r="H9192" t="s">
        <v>21</v>
      </c>
      <c r="I9192" t="s">
        <v>17796</v>
      </c>
      <c r="J9192" t="str">
        <f>HYPERLINK("https://www.boe.es/gazeta/dias/1821/11/15/pdfs/GMD-1821-326.pdf#page=1","Abrir facsímil")</f>
        <v>Abrir facsímil</v>
      </c>
      <c r="K9192" t="s">
        <v>23</v>
      </c>
    </row>
    <row r="9193" spans="1:11" ht="42" customHeight="1">
      <c r="A9193" t="s">
        <v>17797</v>
      </c>
      <c r="B9193" t="s">
        <v>17798</v>
      </c>
      <c r="C9193" t="s">
        <v>35</v>
      </c>
      <c r="D9193" t="s">
        <v>27</v>
      </c>
      <c r="E9193" s="6">
        <v>-28682</v>
      </c>
      <c r="F9193" t="s">
        <v>1064</v>
      </c>
      <c r="G9193" t="s">
        <v>162</v>
      </c>
      <c r="H9193" t="s">
        <v>21</v>
      </c>
      <c r="I9193" t="s">
        <v>17799</v>
      </c>
      <c r="J9193" t="str">
        <f>HYPERLINK("https://www.boe.es/gazeta/dias/1821/06/20/pdfs/GMD-1821-173.pdf#page=5","Abrir facsímil")</f>
        <v>Abrir facsímil</v>
      </c>
      <c r="K9193" t="s">
        <v>23</v>
      </c>
    </row>
    <row r="9194" spans="1:11" ht="42" customHeight="1">
      <c r="A9194" t="s">
        <v>17800</v>
      </c>
      <c r="B9194" t="s">
        <v>17800</v>
      </c>
      <c r="C9194" t="s">
        <v>35</v>
      </c>
      <c r="D9194" t="s">
        <v>27</v>
      </c>
      <c r="E9194" s="6">
        <v>-28515</v>
      </c>
      <c r="F9194" t="s">
        <v>260</v>
      </c>
      <c r="G9194" t="s">
        <v>20</v>
      </c>
      <c r="H9194" t="s">
        <v>21</v>
      </c>
      <c r="I9194" t="s">
        <v>17801</v>
      </c>
      <c r="J9194" t="str">
        <f>HYPERLINK("https://www.boe.es/gazeta/dias/1821/12/04/pdfs/GMD-1821-346.pdf#page=3","Abrir facsímil")</f>
        <v>Abrir facsímil</v>
      </c>
      <c r="K9194" t="s">
        <v>23</v>
      </c>
    </row>
    <row r="9195" spans="1:11" ht="42" customHeight="1">
      <c r="A9195" t="s">
        <v>17802</v>
      </c>
      <c r="B9195" t="s">
        <v>17803</v>
      </c>
      <c r="C9195" t="s">
        <v>35</v>
      </c>
      <c r="D9195" t="s">
        <v>27</v>
      </c>
      <c r="E9195" s="6">
        <v>-28511</v>
      </c>
      <c r="F9195" t="s">
        <v>340</v>
      </c>
      <c r="G9195" t="s">
        <v>52</v>
      </c>
      <c r="H9195" t="s">
        <v>21</v>
      </c>
      <c r="I9195" t="s">
        <v>17804</v>
      </c>
      <c r="J9195" t="str">
        <f>HYPERLINK("https://www.boe.es/gazeta/dias/1821/12/08/pdfs/GMD-1821-350.pdf#page=2","Abrir facsímil")</f>
        <v>Abrir facsímil</v>
      </c>
      <c r="K9195" t="s">
        <v>23</v>
      </c>
    </row>
    <row r="9196" spans="1:11" ht="42" customHeight="1">
      <c r="A9196" t="s">
        <v>17805</v>
      </c>
      <c r="B9196" t="s">
        <v>17806</v>
      </c>
      <c r="C9196" t="s">
        <v>17</v>
      </c>
      <c r="D9196" t="s">
        <v>18</v>
      </c>
      <c r="E9196" s="6">
        <v>-28563</v>
      </c>
      <c r="F9196" t="s">
        <v>118</v>
      </c>
      <c r="G9196" t="s">
        <v>20</v>
      </c>
      <c r="H9196" t="s">
        <v>21</v>
      </c>
      <c r="I9196" t="s">
        <v>17807</v>
      </c>
      <c r="J9196" t="str">
        <f>HYPERLINK("https://www.boe.es/gazeta/dias/1821/10/17/pdfs/GMD-1821-296.pdf#page=3","Abrir facsímil")</f>
        <v>Abrir facsímil</v>
      </c>
      <c r="K9196" t="s">
        <v>23</v>
      </c>
    </row>
    <row r="9197" spans="1:11" ht="42" customHeight="1">
      <c r="A9197" t="s">
        <v>17808</v>
      </c>
      <c r="B9197" t="s">
        <v>17809</v>
      </c>
      <c r="C9197" t="s">
        <v>17</v>
      </c>
      <c r="D9197" t="s">
        <v>18</v>
      </c>
      <c r="E9197" s="6">
        <v>-28647</v>
      </c>
      <c r="F9197" t="s">
        <v>1295</v>
      </c>
      <c r="G9197" t="s">
        <v>88</v>
      </c>
      <c r="H9197" t="s">
        <v>21</v>
      </c>
      <c r="I9197" t="s">
        <v>17810</v>
      </c>
      <c r="J9197" t="str">
        <f>HYPERLINK("https://www.boe.es/gazeta/dias/1821/07/25/pdfs/GMD-1821-210.pdf#page=4","Abrir facsímil")</f>
        <v>Abrir facsímil</v>
      </c>
      <c r="K9197" t="s">
        <v>23</v>
      </c>
    </row>
    <row r="9198" spans="1:11" ht="42" customHeight="1">
      <c r="A9198" t="s">
        <v>17811</v>
      </c>
      <c r="B9198" t="s">
        <v>17812</v>
      </c>
      <c r="C9198" t="s">
        <v>70</v>
      </c>
      <c r="D9198" t="s">
        <v>27</v>
      </c>
      <c r="E9198" s="6">
        <v>-28641</v>
      </c>
      <c r="F9198" t="s">
        <v>398</v>
      </c>
      <c r="G9198" t="s">
        <v>20</v>
      </c>
      <c r="H9198" t="s">
        <v>21</v>
      </c>
      <c r="I9198" t="s">
        <v>17813</v>
      </c>
      <c r="J9198" t="str">
        <f>HYPERLINK("https://www.boe.es/gazeta/dias/1821/07/31/pdfs/GMD-1821-216.pdf#page=3","Abrir facsímil")</f>
        <v>Abrir facsímil</v>
      </c>
      <c r="K9198" t="s">
        <v>23</v>
      </c>
    </row>
    <row r="9199" spans="1:11" ht="42" customHeight="1">
      <c r="A9199" t="s">
        <v>17814</v>
      </c>
      <c r="B9199" t="s">
        <v>17814</v>
      </c>
      <c r="C9199" t="s">
        <v>40</v>
      </c>
      <c r="D9199" t="s">
        <v>41</v>
      </c>
      <c r="E9199" s="6">
        <v>-28645</v>
      </c>
      <c r="F9199" t="s">
        <v>2579</v>
      </c>
      <c r="G9199" t="s">
        <v>88</v>
      </c>
      <c r="H9199" t="s">
        <v>21</v>
      </c>
      <c r="I9199" t="s">
        <v>17815</v>
      </c>
      <c r="J9199" t="str">
        <f>HYPERLINK("https://www.boe.es/gazeta/dias/1821/07/27/pdfs/GMD-1821-212.pdf#page=4","Abrir facsímil")</f>
        <v>Abrir facsímil</v>
      </c>
      <c r="K9199" t="s">
        <v>23</v>
      </c>
    </row>
    <row r="9200" spans="1:11" ht="42" customHeight="1">
      <c r="A9200" t="s">
        <v>17816</v>
      </c>
      <c r="B9200" t="s">
        <v>17817</v>
      </c>
      <c r="C9200" t="s">
        <v>17</v>
      </c>
      <c r="D9200" t="s">
        <v>18</v>
      </c>
      <c r="E9200" s="6">
        <v>-28713</v>
      </c>
      <c r="F9200" t="s">
        <v>1976</v>
      </c>
      <c r="G9200" t="s">
        <v>52</v>
      </c>
      <c r="H9200" t="s">
        <v>21</v>
      </c>
      <c r="I9200" t="s">
        <v>17818</v>
      </c>
      <c r="J9200" t="str">
        <f>HYPERLINK("https://www.boe.es/gazeta/dias/1821/05/20/pdfs/GMD-1821-142.pdf#page=2","Abrir facsímil")</f>
        <v>Abrir facsímil</v>
      </c>
      <c r="K9200" t="s">
        <v>23</v>
      </c>
    </row>
    <row r="9201" spans="1:11" ht="42" customHeight="1">
      <c r="A9201" t="s">
        <v>17819</v>
      </c>
      <c r="B9201" t="s">
        <v>17820</v>
      </c>
      <c r="C9201" t="s">
        <v>40</v>
      </c>
      <c r="D9201" t="s">
        <v>41</v>
      </c>
      <c r="E9201" s="6">
        <v>-28541</v>
      </c>
      <c r="F9201" t="s">
        <v>275</v>
      </c>
      <c r="G9201" t="s">
        <v>52</v>
      </c>
      <c r="H9201" t="s">
        <v>21</v>
      </c>
      <c r="I9201" t="s">
        <v>17821</v>
      </c>
      <c r="J9201" t="str">
        <f>HYPERLINK("https://www.boe.es/gazeta/dias/1821/11/08/pdfs/GMD-1821-319.pdf#page=2","Abrir facsímil")</f>
        <v>Abrir facsímil</v>
      </c>
      <c r="K9201" t="s">
        <v>23</v>
      </c>
    </row>
    <row r="9202" spans="1:11" ht="42" customHeight="1">
      <c r="A9202" t="s">
        <v>17822</v>
      </c>
      <c r="B9202" t="s">
        <v>17823</v>
      </c>
      <c r="C9202" t="s">
        <v>26</v>
      </c>
      <c r="D9202" t="s">
        <v>27</v>
      </c>
      <c r="E9202" s="6">
        <v>-28547</v>
      </c>
      <c r="F9202" t="s">
        <v>247</v>
      </c>
      <c r="G9202" t="s">
        <v>248</v>
      </c>
      <c r="H9202" t="s">
        <v>21</v>
      </c>
      <c r="I9202" t="s">
        <v>17824</v>
      </c>
      <c r="J9202" t="str">
        <f>HYPERLINK("https://www.boe.es/gazeta/dias/1821/11/02/pdfs/GMD-1821-312.pdf#page=2","Abrir facsímil")</f>
        <v>Abrir facsímil</v>
      </c>
      <c r="K9202" t="s">
        <v>23</v>
      </c>
    </row>
    <row r="9203" spans="1:11" ht="42" customHeight="1">
      <c r="A9203" t="s">
        <v>17825</v>
      </c>
      <c r="B9203" t="s">
        <v>17826</v>
      </c>
      <c r="C9203" t="s">
        <v>17</v>
      </c>
      <c r="D9203" t="s">
        <v>18</v>
      </c>
      <c r="E9203" s="6">
        <v>-28750</v>
      </c>
      <c r="F9203" t="s">
        <v>917</v>
      </c>
      <c r="G9203" t="s">
        <v>52</v>
      </c>
      <c r="H9203" t="s">
        <v>21</v>
      </c>
      <c r="I9203" t="s">
        <v>17827</v>
      </c>
      <c r="J9203" t="str">
        <f>HYPERLINK("https://www.boe.es/gazeta/dias/1821/04/13/pdfs/GMD-1821-105.pdf#page=2","Abrir facsímil")</f>
        <v>Abrir facsímil</v>
      </c>
      <c r="K9203" t="s">
        <v>23</v>
      </c>
    </row>
    <row r="9204" spans="1:11" ht="42" customHeight="1">
      <c r="A9204" t="s">
        <v>17828</v>
      </c>
      <c r="B9204" t="s">
        <v>17829</v>
      </c>
      <c r="C9204" t="s">
        <v>17</v>
      </c>
      <c r="D9204" t="s">
        <v>18</v>
      </c>
      <c r="E9204" s="6">
        <v>-28696</v>
      </c>
      <c r="F9204" t="s">
        <v>497</v>
      </c>
      <c r="G9204" t="s">
        <v>88</v>
      </c>
      <c r="H9204" t="s">
        <v>21</v>
      </c>
      <c r="I9204" t="s">
        <v>17830</v>
      </c>
      <c r="J9204" t="str">
        <f>HYPERLINK("https://www.boe.es/gazeta/dias/1821/06/06/pdfs/GMD-1821-159.pdf#page=4","Abrir facsímil")</f>
        <v>Abrir facsímil</v>
      </c>
      <c r="K9204" t="s">
        <v>23</v>
      </c>
    </row>
    <row r="9205" spans="1:11" ht="42" customHeight="1">
      <c r="A9205" t="s">
        <v>17831</v>
      </c>
      <c r="B9205" t="s">
        <v>17832</v>
      </c>
      <c r="C9205" t="s">
        <v>114</v>
      </c>
      <c r="D9205" t="s">
        <v>27</v>
      </c>
      <c r="E9205" s="6">
        <v>-28666</v>
      </c>
      <c r="F9205" t="s">
        <v>1263</v>
      </c>
      <c r="G9205" t="s">
        <v>88</v>
      </c>
      <c r="H9205" t="s">
        <v>21</v>
      </c>
      <c r="I9205" t="s">
        <v>17833</v>
      </c>
      <c r="J9205" t="str">
        <f>HYPERLINK("https://www.boe.es/gazeta/dias/1821/07/06/pdfs/GMD-1821-190.pdf#page=4","Abrir facsímil")</f>
        <v>Abrir facsímil</v>
      </c>
      <c r="K9205" t="s">
        <v>23</v>
      </c>
    </row>
    <row r="9206" spans="1:11" ht="42" customHeight="1">
      <c r="A9206" t="s">
        <v>17834</v>
      </c>
      <c r="B9206" t="s">
        <v>17835</v>
      </c>
      <c r="C9206" t="s">
        <v>35</v>
      </c>
      <c r="D9206" t="s">
        <v>27</v>
      </c>
      <c r="E9206" s="6">
        <v>-28727</v>
      </c>
      <c r="F9206" t="s">
        <v>200</v>
      </c>
      <c r="G9206" t="s">
        <v>43</v>
      </c>
      <c r="H9206" t="s">
        <v>21</v>
      </c>
      <c r="I9206" t="s">
        <v>17836</v>
      </c>
      <c r="J9206" t="str">
        <f>HYPERLINK("https://www.boe.es/gazeta/dias/1821/05/06/pdfs/GMD-1821-128.pdf#page=1","Abrir facsímil")</f>
        <v>Abrir facsímil</v>
      </c>
      <c r="K9206" t="s">
        <v>23</v>
      </c>
    </row>
    <row r="9207" spans="1:11" ht="42" customHeight="1">
      <c r="A9207" t="s">
        <v>17837</v>
      </c>
      <c r="B9207" t="s">
        <v>17837</v>
      </c>
      <c r="C9207" t="s">
        <v>40</v>
      </c>
      <c r="D9207" t="s">
        <v>41</v>
      </c>
      <c r="E9207" s="6">
        <v>-28512</v>
      </c>
      <c r="F9207" t="s">
        <v>66</v>
      </c>
      <c r="G9207" t="s">
        <v>52</v>
      </c>
      <c r="H9207" t="s">
        <v>21</v>
      </c>
      <c r="I9207" t="s">
        <v>17838</v>
      </c>
      <c r="J9207" t="str">
        <f>HYPERLINK("https://www.boe.es/gazeta/dias/1821/12/07/pdfs/GMD-1821-349.pdf#page=2","Abrir facsímil")</f>
        <v>Abrir facsímil</v>
      </c>
      <c r="K9207" t="s">
        <v>23</v>
      </c>
    </row>
    <row r="9208" spans="1:11" ht="42" customHeight="1">
      <c r="A9208" t="s">
        <v>17837</v>
      </c>
      <c r="B9208" t="s">
        <v>17837</v>
      </c>
      <c r="C9208" t="s">
        <v>35</v>
      </c>
      <c r="D9208" t="s">
        <v>27</v>
      </c>
      <c r="E9208" s="6">
        <v>-28502</v>
      </c>
      <c r="F9208" t="s">
        <v>570</v>
      </c>
      <c r="G9208" t="s">
        <v>52</v>
      </c>
      <c r="H9208" t="s">
        <v>21</v>
      </c>
      <c r="I9208" t="s">
        <v>17839</v>
      </c>
      <c r="J9208" t="str">
        <f>HYPERLINK("https://www.boe.es/gazeta/dias/1821/12/17/pdfs/GMD-1821-360.pdf#page=2","Abrir facsímil")</f>
        <v>Abrir facsímil</v>
      </c>
      <c r="K9208" t="s">
        <v>23</v>
      </c>
    </row>
    <row r="9209" spans="1:11" ht="42" customHeight="1">
      <c r="A9209" t="s">
        <v>17840</v>
      </c>
      <c r="B9209" t="s">
        <v>17841</v>
      </c>
      <c r="C9209" t="s">
        <v>35</v>
      </c>
      <c r="D9209" t="s">
        <v>27</v>
      </c>
      <c r="E9209" s="6">
        <v>-28712</v>
      </c>
      <c r="F9209" t="s">
        <v>695</v>
      </c>
      <c r="G9209" t="s">
        <v>52</v>
      </c>
      <c r="H9209" t="s">
        <v>21</v>
      </c>
      <c r="I9209" t="s">
        <v>17842</v>
      </c>
      <c r="J9209" t="str">
        <f>HYPERLINK("https://www.boe.es/gazeta/dias/1821/05/21/pdfs/GMD-1821-143.pdf#page=2","Abrir facsímil")</f>
        <v>Abrir facsímil</v>
      </c>
      <c r="K9209" t="s">
        <v>23</v>
      </c>
    </row>
    <row r="9210" spans="1:11" ht="42" customHeight="1">
      <c r="A9210" t="s">
        <v>17843</v>
      </c>
      <c r="B9210" t="s">
        <v>17844</v>
      </c>
      <c r="C9210" t="s">
        <v>174</v>
      </c>
      <c r="D9210" t="s">
        <v>27</v>
      </c>
      <c r="E9210" s="6">
        <v>-28818</v>
      </c>
      <c r="F9210" t="s">
        <v>2337</v>
      </c>
      <c r="G9210" t="s">
        <v>4055</v>
      </c>
      <c r="H9210" t="s">
        <v>21</v>
      </c>
      <c r="I9210" t="s">
        <v>17845</v>
      </c>
      <c r="J9210" t="str">
        <f>HYPERLINK("https://www.boe.es/gazeta/dias/1821/02/04/pdfs/GGB-1821-35.pdf#page=6","Abrir facsímil")</f>
        <v>Abrir facsímil</v>
      </c>
      <c r="K9210" t="s">
        <v>23</v>
      </c>
    </row>
    <row r="9211" spans="1:11" ht="42" customHeight="1">
      <c r="A9211" t="s">
        <v>17846</v>
      </c>
      <c r="B9211" t="s">
        <v>17847</v>
      </c>
      <c r="C9211" t="s">
        <v>17</v>
      </c>
      <c r="D9211" t="s">
        <v>18</v>
      </c>
      <c r="E9211" s="6">
        <v>-28553</v>
      </c>
      <c r="F9211" t="s">
        <v>182</v>
      </c>
      <c r="G9211" t="s">
        <v>29</v>
      </c>
      <c r="H9211" t="s">
        <v>21</v>
      </c>
      <c r="I9211" t="s">
        <v>17848</v>
      </c>
      <c r="J9211" t="str">
        <f>HYPERLINK("https://www.boe.es/gazeta/dias/1821/10/27/pdfs/GMD-1821-306.pdf#page=6","Abrir facsímil")</f>
        <v>Abrir facsímil</v>
      </c>
      <c r="K9211" t="s">
        <v>23</v>
      </c>
    </row>
    <row r="9212" spans="1:11" ht="42" customHeight="1">
      <c r="A9212" t="s">
        <v>17849</v>
      </c>
      <c r="B9212" t="s">
        <v>17850</v>
      </c>
      <c r="C9212" t="s">
        <v>40</v>
      </c>
      <c r="D9212" t="s">
        <v>41</v>
      </c>
      <c r="E9212" s="6">
        <v>-28637</v>
      </c>
      <c r="F9212" t="s">
        <v>3049</v>
      </c>
      <c r="G9212" t="s">
        <v>88</v>
      </c>
      <c r="H9212" t="s">
        <v>21</v>
      </c>
      <c r="I9212" t="s">
        <v>17851</v>
      </c>
      <c r="J9212" t="str">
        <f>HYPERLINK("https://www.boe.es/gazeta/dias/1821/08/04/pdfs/GMD-1821-220.pdf#page=4","Abrir facsímil")</f>
        <v>Abrir facsímil</v>
      </c>
      <c r="K9212" t="s">
        <v>23</v>
      </c>
    </row>
    <row r="9213" spans="1:11" ht="42" customHeight="1">
      <c r="A9213" t="s">
        <v>17852</v>
      </c>
      <c r="B9213" t="s">
        <v>17853</v>
      </c>
      <c r="C9213" t="s">
        <v>70</v>
      </c>
      <c r="D9213" t="s">
        <v>27</v>
      </c>
      <c r="E9213" s="6">
        <v>-28780</v>
      </c>
      <c r="F9213" t="s">
        <v>143</v>
      </c>
      <c r="G9213" t="s">
        <v>52</v>
      </c>
      <c r="H9213" t="s">
        <v>21</v>
      </c>
      <c r="I9213" t="s">
        <v>17854</v>
      </c>
      <c r="J9213" t="str">
        <f>HYPERLINK("https://www.boe.es/gazeta/dias/1821/03/14/pdfs/GMD-1821-73.pdf#page=2","Abrir facsímil")</f>
        <v>Abrir facsímil</v>
      </c>
      <c r="K9213" t="s">
        <v>23</v>
      </c>
    </row>
    <row r="9214" spans="1:11" ht="42" customHeight="1">
      <c r="A9214" t="s">
        <v>17855</v>
      </c>
      <c r="B9214" t="s">
        <v>17856</v>
      </c>
      <c r="C9214" t="s">
        <v>26</v>
      </c>
      <c r="D9214" t="s">
        <v>27</v>
      </c>
      <c r="E9214" s="6">
        <v>-28518</v>
      </c>
      <c r="F9214" t="s">
        <v>410</v>
      </c>
      <c r="G9214" t="s">
        <v>52</v>
      </c>
      <c r="H9214" t="s">
        <v>21</v>
      </c>
      <c r="I9214" t="s">
        <v>17857</v>
      </c>
      <c r="J9214" t="str">
        <f>HYPERLINK("https://www.boe.es/gazeta/dias/1821/12/01/pdfs/GMD-1821-343.pdf#page=2","Abrir facsímil")</f>
        <v>Abrir facsímil</v>
      </c>
      <c r="K9214" t="s">
        <v>23</v>
      </c>
    </row>
    <row r="9215" spans="1:11" ht="42" customHeight="1">
      <c r="A9215" t="s">
        <v>17858</v>
      </c>
      <c r="B9215" t="s">
        <v>17859</v>
      </c>
      <c r="C9215" t="s">
        <v>17</v>
      </c>
      <c r="D9215" t="s">
        <v>18</v>
      </c>
      <c r="E9215" s="6">
        <v>-28735</v>
      </c>
      <c r="F9215" t="s">
        <v>836</v>
      </c>
      <c r="G9215" t="s">
        <v>52</v>
      </c>
      <c r="H9215" t="s">
        <v>21</v>
      </c>
      <c r="I9215" t="s">
        <v>17860</v>
      </c>
      <c r="J9215" t="str">
        <f>HYPERLINK("https://www.boe.es/gazeta/dias/1821/04/28/pdfs/GMD-1821-120.pdf#page=2","Abrir facsímil")</f>
        <v>Abrir facsímil</v>
      </c>
      <c r="K9215" t="s">
        <v>23</v>
      </c>
    </row>
    <row r="9216" spans="1:11" ht="42" customHeight="1">
      <c r="A9216" t="s">
        <v>17861</v>
      </c>
      <c r="B9216" t="s">
        <v>17862</v>
      </c>
      <c r="C9216" t="s">
        <v>26</v>
      </c>
      <c r="D9216" t="s">
        <v>27</v>
      </c>
      <c r="E9216" s="6">
        <v>-28701</v>
      </c>
      <c r="F9216" t="s">
        <v>202</v>
      </c>
      <c r="G9216" t="s">
        <v>43</v>
      </c>
      <c r="H9216" t="s">
        <v>21</v>
      </c>
      <c r="I9216" t="s">
        <v>17863</v>
      </c>
      <c r="J9216" t="str">
        <f>HYPERLINK("https://www.boe.es/gazeta/dias/1821/06/01/pdfs/GMD-1821-154.pdf#page=1","Abrir facsímil")</f>
        <v>Abrir facsímil</v>
      </c>
      <c r="K9216" t="s">
        <v>23</v>
      </c>
    </row>
    <row r="9217" spans="1:11" ht="42" customHeight="1">
      <c r="A9217" t="s">
        <v>17861</v>
      </c>
      <c r="B9217" t="s">
        <v>17862</v>
      </c>
      <c r="C9217" t="s">
        <v>40</v>
      </c>
      <c r="D9217" t="s">
        <v>41</v>
      </c>
      <c r="E9217" s="6">
        <v>-28528</v>
      </c>
      <c r="F9217" t="s">
        <v>1872</v>
      </c>
      <c r="G9217" t="s">
        <v>52</v>
      </c>
      <c r="H9217" t="s">
        <v>21</v>
      </c>
      <c r="I9217" t="s">
        <v>17864</v>
      </c>
      <c r="J9217" t="str">
        <f>HYPERLINK("https://www.boe.es/gazeta/dias/1821/11/21/pdfs/GMD-1821-332.pdf#page=2","Abrir facsímil")</f>
        <v>Abrir facsímil</v>
      </c>
      <c r="K9217" t="s">
        <v>23</v>
      </c>
    </row>
    <row r="9218" spans="1:11" ht="42" customHeight="1">
      <c r="A9218" t="s">
        <v>17861</v>
      </c>
      <c r="B9218" t="s">
        <v>17862</v>
      </c>
      <c r="C9218" t="s">
        <v>40</v>
      </c>
      <c r="D9218" t="s">
        <v>41</v>
      </c>
      <c r="E9218" s="6">
        <v>-28518</v>
      </c>
      <c r="F9218" t="s">
        <v>410</v>
      </c>
      <c r="G9218" t="s">
        <v>29</v>
      </c>
      <c r="H9218" t="s">
        <v>21</v>
      </c>
      <c r="I9218" t="s">
        <v>17865</v>
      </c>
      <c r="J9218" t="str">
        <f>HYPERLINK("https://www.boe.es/gazeta/dias/1821/12/01/pdfs/GMD-1821-343.pdf#page=6","Abrir facsímil")</f>
        <v>Abrir facsímil</v>
      </c>
      <c r="K9218" t="s">
        <v>23</v>
      </c>
    </row>
    <row r="9219" spans="1:11" ht="42" customHeight="1">
      <c r="A9219" t="s">
        <v>17866</v>
      </c>
      <c r="B9219" t="s">
        <v>17867</v>
      </c>
      <c r="C9219" t="s">
        <v>26</v>
      </c>
      <c r="D9219" t="s">
        <v>27</v>
      </c>
      <c r="E9219" s="6">
        <v>-28818</v>
      </c>
      <c r="F9219" t="s">
        <v>2337</v>
      </c>
      <c r="G9219" t="s">
        <v>88</v>
      </c>
      <c r="H9219" t="s">
        <v>21</v>
      </c>
      <c r="I9219" t="s">
        <v>17868</v>
      </c>
      <c r="J9219" t="str">
        <f>HYPERLINK("https://www.boe.es/gazeta/dias/1821/02/04/pdfs/GGB-1821-35.pdf#page=4","Abrir facsímil")</f>
        <v>Abrir facsímil</v>
      </c>
      <c r="K9219" t="s">
        <v>23</v>
      </c>
    </row>
    <row r="9220" spans="1:11" ht="42" customHeight="1">
      <c r="A9220" t="s">
        <v>17869</v>
      </c>
      <c r="B9220" t="s">
        <v>17870</v>
      </c>
      <c r="C9220" t="s">
        <v>40</v>
      </c>
      <c r="D9220" t="s">
        <v>41</v>
      </c>
      <c r="E9220" s="6">
        <v>-28669</v>
      </c>
      <c r="F9220" t="s">
        <v>2816</v>
      </c>
      <c r="G9220" t="s">
        <v>88</v>
      </c>
      <c r="H9220" t="s">
        <v>21</v>
      </c>
      <c r="I9220" t="s">
        <v>17871</v>
      </c>
      <c r="J9220" t="str">
        <f>HYPERLINK("https://www.boe.es/gazeta/dias/1821/07/03/pdfs/GMD-1821-187.pdf#page=4","Abrir facsímil")</f>
        <v>Abrir facsímil</v>
      </c>
      <c r="K9220" t="s">
        <v>23</v>
      </c>
    </row>
    <row r="9221" spans="1:11" ht="42" customHeight="1">
      <c r="A9221" t="s">
        <v>17872</v>
      </c>
      <c r="B9221" t="s">
        <v>17873</v>
      </c>
      <c r="C9221" t="s">
        <v>26</v>
      </c>
      <c r="D9221" t="s">
        <v>27</v>
      </c>
      <c r="E9221" s="6">
        <v>-28833</v>
      </c>
      <c r="F9221" t="s">
        <v>1868</v>
      </c>
      <c r="G9221" t="s">
        <v>88</v>
      </c>
      <c r="H9221" t="s">
        <v>21</v>
      </c>
      <c r="I9221" t="s">
        <v>17874</v>
      </c>
      <c r="J9221" t="str">
        <f>HYPERLINK("https://www.boe.es/gazeta/dias/1821/01/20/pdfs/GGB-1821-20.pdf#page=4","Abrir facsímil")</f>
        <v>Abrir facsímil</v>
      </c>
      <c r="K9221" t="s">
        <v>23</v>
      </c>
    </row>
    <row r="9222" spans="1:11" ht="42" customHeight="1">
      <c r="A9222" t="s">
        <v>17875</v>
      </c>
      <c r="B9222" t="s">
        <v>17876</v>
      </c>
      <c r="C9222" t="s">
        <v>40</v>
      </c>
      <c r="D9222" t="s">
        <v>41</v>
      </c>
      <c r="E9222" s="6">
        <v>-28788</v>
      </c>
      <c r="F9222" t="s">
        <v>996</v>
      </c>
      <c r="G9222" t="s">
        <v>88</v>
      </c>
      <c r="H9222" t="s">
        <v>21</v>
      </c>
      <c r="I9222" t="s">
        <v>17877</v>
      </c>
      <c r="J9222" t="str">
        <f>HYPERLINK("https://www.boe.es/gazeta/dias/1821/03/06/pdfs/GGB-1821-65.pdf#page=4","Abrir facsímil")</f>
        <v>Abrir facsímil</v>
      </c>
      <c r="K9222" t="s">
        <v>23</v>
      </c>
    </row>
    <row r="9223" spans="1:11" ht="42" customHeight="1">
      <c r="A9223" t="s">
        <v>17872</v>
      </c>
      <c r="B9223" t="s">
        <v>17873</v>
      </c>
      <c r="C9223" t="s">
        <v>26</v>
      </c>
      <c r="D9223" t="s">
        <v>27</v>
      </c>
      <c r="E9223" s="6">
        <v>-28769</v>
      </c>
      <c r="F9223" t="s">
        <v>489</v>
      </c>
      <c r="G9223" t="s">
        <v>6991</v>
      </c>
      <c r="H9223" t="s">
        <v>21</v>
      </c>
      <c r="I9223" t="s">
        <v>17878</v>
      </c>
      <c r="J9223" t="str">
        <f>HYPERLINK("https://www.boe.es/gazeta/dias/1821/03/25/pdfs/GMD-1821-85.pdf#page=2","Abrir facsímil")</f>
        <v>Abrir facsímil</v>
      </c>
      <c r="K9223" t="s">
        <v>23</v>
      </c>
    </row>
    <row r="9224" spans="1:11" ht="42" customHeight="1">
      <c r="A9224" t="s">
        <v>17872</v>
      </c>
      <c r="B9224" t="s">
        <v>17873</v>
      </c>
      <c r="C9224" t="s">
        <v>26</v>
      </c>
      <c r="D9224" t="s">
        <v>27</v>
      </c>
      <c r="E9224" s="6">
        <v>-28737</v>
      </c>
      <c r="F9224" t="s">
        <v>732</v>
      </c>
      <c r="G9224" t="s">
        <v>43</v>
      </c>
      <c r="H9224" t="s">
        <v>21</v>
      </c>
      <c r="I9224" t="s">
        <v>17879</v>
      </c>
      <c r="J9224" t="str">
        <f>HYPERLINK("https://www.boe.es/gazeta/dias/1821/04/26/pdfs/GMD-1821-118.pdf#page=1","Abrir facsímil")</f>
        <v>Abrir facsímil</v>
      </c>
      <c r="K9224" t="s">
        <v>23</v>
      </c>
    </row>
    <row r="9225" spans="1:11" ht="42" customHeight="1">
      <c r="A9225" t="s">
        <v>17880</v>
      </c>
      <c r="B9225" t="s">
        <v>17881</v>
      </c>
      <c r="C9225" t="s">
        <v>17</v>
      </c>
      <c r="D9225" t="s">
        <v>18</v>
      </c>
      <c r="E9225" s="6">
        <v>-28764</v>
      </c>
      <c r="F9225" t="s">
        <v>924</v>
      </c>
      <c r="G9225" t="s">
        <v>20</v>
      </c>
      <c r="H9225" t="s">
        <v>21</v>
      </c>
      <c r="I9225" t="s">
        <v>17882</v>
      </c>
      <c r="J9225" t="str">
        <f>HYPERLINK("https://www.boe.es/gazeta/dias/1821/03/30/pdfs/GMD-1821-91.pdf#page=3","Abrir facsímil")</f>
        <v>Abrir facsímil</v>
      </c>
      <c r="K9225" t="s">
        <v>23</v>
      </c>
    </row>
    <row r="9226" spans="1:11" ht="42" customHeight="1">
      <c r="A9226" t="s">
        <v>17880</v>
      </c>
      <c r="B9226" t="s">
        <v>17881</v>
      </c>
      <c r="C9226" t="s">
        <v>17</v>
      </c>
      <c r="D9226" t="s">
        <v>18</v>
      </c>
      <c r="E9226" s="6">
        <v>-28755</v>
      </c>
      <c r="F9226" t="s">
        <v>906</v>
      </c>
      <c r="G9226" t="s">
        <v>52</v>
      </c>
      <c r="H9226" t="s">
        <v>21</v>
      </c>
      <c r="I9226" t="s">
        <v>17883</v>
      </c>
      <c r="J9226" t="str">
        <f>HYPERLINK("https://www.boe.es/gazeta/dias/1821/04/08/pdfs/GMD-1821-100.pdf#page=2","Abrir facsímil")</f>
        <v>Abrir facsímil</v>
      </c>
      <c r="K9226" t="s">
        <v>23</v>
      </c>
    </row>
    <row r="9227" spans="1:11" ht="42" customHeight="1">
      <c r="A9227" t="s">
        <v>17884</v>
      </c>
      <c r="B9227" t="s">
        <v>17885</v>
      </c>
      <c r="C9227" t="s">
        <v>40</v>
      </c>
      <c r="D9227" t="s">
        <v>41</v>
      </c>
      <c r="E9227" s="6">
        <v>-28703</v>
      </c>
      <c r="F9227" t="s">
        <v>231</v>
      </c>
      <c r="G9227" t="s">
        <v>52</v>
      </c>
      <c r="H9227" t="s">
        <v>21</v>
      </c>
      <c r="I9227" t="s">
        <v>17886</v>
      </c>
      <c r="J9227" t="str">
        <f>HYPERLINK("https://www.boe.es/gazeta/dias/1821/05/30/pdfs/GMD-1821-152.pdf#page=2","Abrir facsímil")</f>
        <v>Abrir facsímil</v>
      </c>
      <c r="K9227" t="s">
        <v>23</v>
      </c>
    </row>
    <row r="9228" spans="1:11" ht="42" customHeight="1">
      <c r="A9228" t="s">
        <v>17884</v>
      </c>
      <c r="B9228" t="s">
        <v>17885</v>
      </c>
      <c r="C9228" t="s">
        <v>40</v>
      </c>
      <c r="D9228" t="s">
        <v>41</v>
      </c>
      <c r="E9228" s="6">
        <v>-28648</v>
      </c>
      <c r="F9228" t="s">
        <v>1520</v>
      </c>
      <c r="G9228" t="s">
        <v>20</v>
      </c>
      <c r="H9228" t="s">
        <v>21</v>
      </c>
      <c r="I9228" t="s">
        <v>17887</v>
      </c>
      <c r="J9228" t="str">
        <f>HYPERLINK("https://www.boe.es/gazeta/dias/1821/07/24/pdfs/GMD-1821-209.pdf#page=3","Abrir facsímil")</f>
        <v>Abrir facsímil</v>
      </c>
      <c r="K9228" t="s">
        <v>23</v>
      </c>
    </row>
    <row r="9229" spans="1:11" ht="42" customHeight="1">
      <c r="A9229" t="s">
        <v>17888</v>
      </c>
      <c r="B9229" t="s">
        <v>17889</v>
      </c>
      <c r="C9229" t="s">
        <v>17</v>
      </c>
      <c r="D9229" t="s">
        <v>18</v>
      </c>
      <c r="E9229" s="6">
        <v>-28629</v>
      </c>
      <c r="F9229" t="s">
        <v>235</v>
      </c>
      <c r="G9229" t="s">
        <v>88</v>
      </c>
      <c r="H9229" t="s">
        <v>21</v>
      </c>
      <c r="I9229" t="s">
        <v>17890</v>
      </c>
      <c r="J9229" t="str">
        <f>HYPERLINK("https://www.boe.es/gazeta/dias/1821/08/12/pdfs/GMD-1821-229.pdf#page=4","Abrir facsímil")</f>
        <v>Abrir facsímil</v>
      </c>
      <c r="K9229" t="s">
        <v>23</v>
      </c>
    </row>
    <row r="9230" spans="1:11" ht="42" customHeight="1">
      <c r="A9230" t="s">
        <v>17891</v>
      </c>
      <c r="B9230" t="s">
        <v>17892</v>
      </c>
      <c r="C9230" t="s">
        <v>17</v>
      </c>
      <c r="D9230" t="s">
        <v>18</v>
      </c>
      <c r="E9230" s="6">
        <v>-28749</v>
      </c>
      <c r="F9230" t="s">
        <v>832</v>
      </c>
      <c r="G9230" t="s">
        <v>52</v>
      </c>
      <c r="H9230" t="s">
        <v>21</v>
      </c>
      <c r="I9230" t="s">
        <v>17893</v>
      </c>
      <c r="J9230" t="str">
        <f>HYPERLINK("https://www.boe.es/gazeta/dias/1821/04/14/pdfs/GMD-1821-106.pdf#page=2","Abrir facsímil")</f>
        <v>Abrir facsímil</v>
      </c>
      <c r="K9230" t="s">
        <v>23</v>
      </c>
    </row>
    <row r="9231" spans="1:11" ht="42" customHeight="1">
      <c r="A9231" t="s">
        <v>17894</v>
      </c>
      <c r="B9231" t="s">
        <v>17895</v>
      </c>
      <c r="C9231" t="s">
        <v>40</v>
      </c>
      <c r="D9231" t="s">
        <v>41</v>
      </c>
      <c r="E9231" s="6">
        <v>-28531</v>
      </c>
      <c r="F9231" t="s">
        <v>365</v>
      </c>
      <c r="G9231" t="s">
        <v>20</v>
      </c>
      <c r="H9231" t="s">
        <v>21</v>
      </c>
      <c r="I9231" t="s">
        <v>17896</v>
      </c>
      <c r="J9231" t="str">
        <f>HYPERLINK("https://www.boe.es/gazeta/dias/1821/11/18/pdfs/GMD-1821-329.pdf#page=3","Abrir facsímil")</f>
        <v>Abrir facsímil</v>
      </c>
      <c r="K9231" t="s">
        <v>23</v>
      </c>
    </row>
    <row r="9232" spans="1:11" ht="42" customHeight="1">
      <c r="A9232" t="s">
        <v>17897</v>
      </c>
      <c r="B9232" t="s">
        <v>17898</v>
      </c>
      <c r="C9232" t="s">
        <v>35</v>
      </c>
      <c r="D9232" t="s">
        <v>27</v>
      </c>
      <c r="E9232" s="6">
        <v>-28528</v>
      </c>
      <c r="F9232" t="s">
        <v>1872</v>
      </c>
      <c r="G9232" t="s">
        <v>52</v>
      </c>
      <c r="H9232" t="s">
        <v>21</v>
      </c>
      <c r="I9232" t="s">
        <v>17899</v>
      </c>
      <c r="J9232" t="str">
        <f>HYPERLINK("https://www.boe.es/gazeta/dias/1821/11/21/pdfs/GMD-1821-332.pdf#page=2","Abrir facsímil")</f>
        <v>Abrir facsímil</v>
      </c>
      <c r="K9232" t="s">
        <v>23</v>
      </c>
    </row>
    <row r="9233" spans="1:11" ht="42" customHeight="1">
      <c r="A9233" t="s">
        <v>17900</v>
      </c>
      <c r="B9233" t="s">
        <v>17901</v>
      </c>
      <c r="C9233" t="s">
        <v>40</v>
      </c>
      <c r="D9233" t="s">
        <v>41</v>
      </c>
      <c r="E9233" s="6">
        <v>-28650</v>
      </c>
      <c r="F9233" t="s">
        <v>3285</v>
      </c>
      <c r="G9233" t="s">
        <v>88</v>
      </c>
      <c r="H9233" t="s">
        <v>21</v>
      </c>
      <c r="I9233" t="s">
        <v>17902</v>
      </c>
      <c r="J9233" t="str">
        <f>HYPERLINK("https://www.boe.es/gazeta/dias/1821/07/22/pdfs/GMD-1821-207.pdf#page=4","Abrir facsímil")</f>
        <v>Abrir facsímil</v>
      </c>
      <c r="K9233" t="s">
        <v>23</v>
      </c>
    </row>
    <row r="9234" spans="1:11" ht="42" customHeight="1">
      <c r="A9234" t="s">
        <v>17903</v>
      </c>
      <c r="B9234" t="s">
        <v>17903</v>
      </c>
      <c r="C9234" t="s">
        <v>26</v>
      </c>
      <c r="D9234" t="s">
        <v>27</v>
      </c>
      <c r="E9234" s="6">
        <v>-28570</v>
      </c>
      <c r="F9234" t="s">
        <v>2300</v>
      </c>
      <c r="G9234" t="s">
        <v>88</v>
      </c>
      <c r="H9234" t="s">
        <v>21</v>
      </c>
      <c r="I9234" t="s">
        <v>17904</v>
      </c>
      <c r="J9234" t="str">
        <f>HYPERLINK("https://www.boe.es/gazeta/dias/1821/10/10/pdfs/GMD-1821-289.pdf#page=4","Abrir facsímil")</f>
        <v>Abrir facsímil</v>
      </c>
      <c r="K9234" t="s">
        <v>23</v>
      </c>
    </row>
    <row r="9235" spans="1:11" ht="42" customHeight="1">
      <c r="A9235" t="s">
        <v>17905</v>
      </c>
      <c r="B9235" t="s">
        <v>17905</v>
      </c>
      <c r="C9235" t="s">
        <v>40</v>
      </c>
      <c r="D9235" t="s">
        <v>41</v>
      </c>
      <c r="E9235" s="6">
        <v>-28719</v>
      </c>
      <c r="F9235" t="s">
        <v>647</v>
      </c>
      <c r="G9235" t="s">
        <v>52</v>
      </c>
      <c r="H9235" t="s">
        <v>21</v>
      </c>
      <c r="I9235" t="s">
        <v>17906</v>
      </c>
      <c r="J9235" t="str">
        <f>HYPERLINK("https://www.boe.es/gazeta/dias/1821/05/14/pdfs/GMD-1821-136.pdf#page=2","Abrir facsímil")</f>
        <v>Abrir facsímil</v>
      </c>
      <c r="K9235" t="s">
        <v>23</v>
      </c>
    </row>
    <row r="9236" spans="1:11" ht="42" customHeight="1">
      <c r="A9236" t="s">
        <v>17907</v>
      </c>
      <c r="B9236" t="s">
        <v>17907</v>
      </c>
      <c r="C9236" t="s">
        <v>40</v>
      </c>
      <c r="D9236" t="s">
        <v>41</v>
      </c>
      <c r="E9236" s="6">
        <v>-28602</v>
      </c>
      <c r="F9236" t="s">
        <v>1526</v>
      </c>
      <c r="G9236" t="s">
        <v>52</v>
      </c>
      <c r="H9236" t="s">
        <v>21</v>
      </c>
      <c r="I9236" t="s">
        <v>17908</v>
      </c>
      <c r="J9236" t="str">
        <f>HYPERLINK("https://www.boe.es/gazeta/dias/1821/09/08/pdfs/GMD-1821-256.pdf#page=2","Abrir facsímil")</f>
        <v>Abrir facsímil</v>
      </c>
      <c r="K9236" t="s">
        <v>23</v>
      </c>
    </row>
    <row r="9237" spans="1:11" ht="42" customHeight="1">
      <c r="A9237" t="s">
        <v>17909</v>
      </c>
      <c r="B9237" t="s">
        <v>17909</v>
      </c>
      <c r="C9237" t="s">
        <v>17</v>
      </c>
      <c r="D9237" t="s">
        <v>18</v>
      </c>
      <c r="E9237" s="6">
        <v>-28668</v>
      </c>
      <c r="F9237" t="s">
        <v>2130</v>
      </c>
      <c r="G9237" t="s">
        <v>88</v>
      </c>
      <c r="H9237" t="s">
        <v>21</v>
      </c>
      <c r="I9237" t="s">
        <v>17910</v>
      </c>
      <c r="J9237" t="str">
        <f>HYPERLINK("https://www.boe.es/gazeta/dias/1821/07/04/pdfs/GMD-1821-188.pdf#page=4","Abrir facsímil")</f>
        <v>Abrir facsímil</v>
      </c>
      <c r="K9237" t="s">
        <v>23</v>
      </c>
    </row>
    <row r="9238" spans="1:11" ht="42" customHeight="1">
      <c r="A9238" t="s">
        <v>17911</v>
      </c>
      <c r="B9238" t="s">
        <v>17912</v>
      </c>
      <c r="C9238" t="s">
        <v>17</v>
      </c>
      <c r="D9238" t="s">
        <v>18</v>
      </c>
      <c r="E9238" s="6">
        <v>-28662</v>
      </c>
      <c r="F9238" t="s">
        <v>3289</v>
      </c>
      <c r="G9238" t="s">
        <v>20</v>
      </c>
      <c r="H9238" t="s">
        <v>21</v>
      </c>
      <c r="I9238" t="s">
        <v>17913</v>
      </c>
      <c r="J9238" t="str">
        <f>HYPERLINK("https://www.boe.es/gazeta/dias/1821/07/10/pdfs/GMD-1821-195.pdf#page=3","Abrir facsímil")</f>
        <v>Abrir facsímil</v>
      </c>
      <c r="K9238" t="s">
        <v>23</v>
      </c>
    </row>
    <row r="9239" spans="1:11" ht="42" customHeight="1">
      <c r="A9239" t="s">
        <v>17914</v>
      </c>
      <c r="B9239" t="s">
        <v>17914</v>
      </c>
      <c r="C9239" t="s">
        <v>35</v>
      </c>
      <c r="D9239" t="s">
        <v>27</v>
      </c>
      <c r="E9239" s="6">
        <v>-28677</v>
      </c>
      <c r="F9239" t="s">
        <v>361</v>
      </c>
      <c r="G9239" t="s">
        <v>20</v>
      </c>
      <c r="H9239" t="s">
        <v>21</v>
      </c>
      <c r="I9239" t="s">
        <v>17915</v>
      </c>
      <c r="J9239" t="str">
        <f>HYPERLINK("https://www.boe.es/gazeta/dias/1821/06/25/pdfs/GMD-1821-178.pdf#page=3","Abrir facsímil")</f>
        <v>Abrir facsímil</v>
      </c>
      <c r="K9239" t="s">
        <v>23</v>
      </c>
    </row>
    <row r="9240" spans="1:11" ht="42" customHeight="1">
      <c r="A9240" t="s">
        <v>17916</v>
      </c>
      <c r="B9240" t="s">
        <v>17917</v>
      </c>
      <c r="C9240" t="s">
        <v>40</v>
      </c>
      <c r="D9240" t="s">
        <v>41</v>
      </c>
      <c r="E9240" s="6">
        <v>-28512</v>
      </c>
      <c r="F9240" t="s">
        <v>66</v>
      </c>
      <c r="G9240" t="s">
        <v>43</v>
      </c>
      <c r="H9240" t="s">
        <v>21</v>
      </c>
      <c r="I9240" t="s">
        <v>17918</v>
      </c>
      <c r="J9240" t="str">
        <f>HYPERLINK("https://www.boe.es/gazeta/dias/1821/12/07/pdfs/GMD-1821-349.pdf#page=1","Abrir facsímil")</f>
        <v>Abrir facsímil</v>
      </c>
      <c r="K9240" t="s">
        <v>23</v>
      </c>
    </row>
    <row r="9241" spans="1:11" ht="42" customHeight="1">
      <c r="A9241" t="s">
        <v>17919</v>
      </c>
      <c r="B9241" t="s">
        <v>17920</v>
      </c>
      <c r="C9241" t="s">
        <v>17</v>
      </c>
      <c r="D9241" t="s">
        <v>18</v>
      </c>
      <c r="E9241" s="6">
        <v>-28577</v>
      </c>
      <c r="F9241" t="s">
        <v>858</v>
      </c>
      <c r="G9241" t="s">
        <v>20</v>
      </c>
      <c r="H9241" t="s">
        <v>21</v>
      </c>
      <c r="I9241" t="s">
        <v>17921</v>
      </c>
      <c r="J9241" t="str">
        <f>HYPERLINK("https://www.boe.es/gazeta/dias/1821/10/03/pdfs/GMD-1821-282.pdf#page=3","Abrir facsímil")</f>
        <v>Abrir facsímil</v>
      </c>
      <c r="K9241" t="s">
        <v>23</v>
      </c>
    </row>
    <row r="9242" spans="1:11" ht="42" customHeight="1">
      <c r="A9242" t="s">
        <v>17922</v>
      </c>
      <c r="B9242" t="s">
        <v>17923</v>
      </c>
      <c r="C9242" t="s">
        <v>17</v>
      </c>
      <c r="D9242" t="s">
        <v>18</v>
      </c>
      <c r="E9242" s="6">
        <v>-28531</v>
      </c>
      <c r="F9242" t="s">
        <v>365</v>
      </c>
      <c r="G9242" t="s">
        <v>20</v>
      </c>
      <c r="H9242" t="s">
        <v>21</v>
      </c>
      <c r="I9242" t="s">
        <v>17924</v>
      </c>
      <c r="J9242" t="str">
        <f>HYPERLINK("https://www.boe.es/gazeta/dias/1821/11/18/pdfs/GMD-1821-329.pdf#page=3","Abrir facsímil")</f>
        <v>Abrir facsímil</v>
      </c>
      <c r="K9242" t="s">
        <v>23</v>
      </c>
    </row>
    <row r="9243" spans="1:11" ht="42" customHeight="1">
      <c r="A9243" t="s">
        <v>17922</v>
      </c>
      <c r="B9243" t="s">
        <v>17923</v>
      </c>
      <c r="C9243" t="s">
        <v>40</v>
      </c>
      <c r="D9243" t="s">
        <v>41</v>
      </c>
      <c r="E9243" s="6">
        <v>-28510</v>
      </c>
      <c r="F9243" t="s">
        <v>83</v>
      </c>
      <c r="G9243" t="s">
        <v>52</v>
      </c>
      <c r="H9243" t="s">
        <v>21</v>
      </c>
      <c r="I9243" t="s">
        <v>17925</v>
      </c>
      <c r="J9243" t="str">
        <f>HYPERLINK("https://www.boe.es/gazeta/dias/1821/12/09/pdfs/GMD-1821-351.pdf#page=2","Abrir facsímil")</f>
        <v>Abrir facsímil</v>
      </c>
      <c r="K9243" t="s">
        <v>23</v>
      </c>
    </row>
    <row r="9244" spans="1:11" ht="42" customHeight="1">
      <c r="A9244" t="s">
        <v>17926</v>
      </c>
      <c r="B9244" t="s">
        <v>17927</v>
      </c>
      <c r="C9244" t="s">
        <v>174</v>
      </c>
      <c r="D9244" t="s">
        <v>27</v>
      </c>
      <c r="E9244" s="6">
        <v>-28620</v>
      </c>
      <c r="F9244" t="s">
        <v>87</v>
      </c>
      <c r="G9244" t="s">
        <v>88</v>
      </c>
      <c r="H9244" t="s">
        <v>21</v>
      </c>
      <c r="I9244" t="s">
        <v>17928</v>
      </c>
      <c r="J9244" t="str">
        <f>HYPERLINK("https://www.boe.es/gazeta/dias/1821/08/21/pdfs/GMD-1821-238.pdf#page=4","Abrir facsímil")</f>
        <v>Abrir facsímil</v>
      </c>
      <c r="K9244" t="s">
        <v>23</v>
      </c>
    </row>
    <row r="9245" spans="1:11" ht="42" customHeight="1">
      <c r="A9245" t="s">
        <v>17929</v>
      </c>
      <c r="B9245" t="s">
        <v>17930</v>
      </c>
      <c r="C9245" t="s">
        <v>35</v>
      </c>
      <c r="D9245" t="s">
        <v>27</v>
      </c>
      <c r="E9245" s="6">
        <v>-28664</v>
      </c>
      <c r="F9245" t="s">
        <v>1365</v>
      </c>
      <c r="G9245" t="s">
        <v>88</v>
      </c>
      <c r="H9245" t="s">
        <v>21</v>
      </c>
      <c r="I9245" t="s">
        <v>17931</v>
      </c>
      <c r="J9245" t="str">
        <f>HYPERLINK("https://www.boe.es/gazeta/dias/1821/07/08/pdfs/GMD-1821-193.pdf#page=4","Abrir facsímil")</f>
        <v>Abrir facsímil</v>
      </c>
      <c r="K9245" t="s">
        <v>23</v>
      </c>
    </row>
    <row r="9246" spans="1:11" ht="42" customHeight="1">
      <c r="A9246" t="s">
        <v>17932</v>
      </c>
      <c r="B9246" t="s">
        <v>17933</v>
      </c>
      <c r="C9246" t="s">
        <v>70</v>
      </c>
      <c r="D9246" t="s">
        <v>27</v>
      </c>
      <c r="E9246" s="6">
        <v>-28776</v>
      </c>
      <c r="F9246" t="s">
        <v>312</v>
      </c>
      <c r="G9246" t="s">
        <v>29</v>
      </c>
      <c r="H9246" t="s">
        <v>21</v>
      </c>
      <c r="I9246" t="s">
        <v>17934</v>
      </c>
      <c r="J9246" t="str">
        <f>HYPERLINK("https://www.boe.es/gazeta/dias/1821/03/18/pdfs/GMD-1821-77.pdf#page=6","Abrir facsímil")</f>
        <v>Abrir facsímil</v>
      </c>
      <c r="K9246" t="s">
        <v>23</v>
      </c>
    </row>
    <row r="9247" spans="1:11" ht="42" customHeight="1">
      <c r="A9247" t="s">
        <v>17935</v>
      </c>
      <c r="B9247" t="s">
        <v>17936</v>
      </c>
      <c r="C9247" t="s">
        <v>70</v>
      </c>
      <c r="D9247" t="s">
        <v>27</v>
      </c>
      <c r="E9247" s="6">
        <v>-28699</v>
      </c>
      <c r="F9247" t="s">
        <v>280</v>
      </c>
      <c r="G9247" t="s">
        <v>20</v>
      </c>
      <c r="H9247" t="s">
        <v>21</v>
      </c>
      <c r="I9247" t="s">
        <v>17937</v>
      </c>
      <c r="J9247" t="str">
        <f>HYPERLINK("https://www.boe.es/gazeta/dias/1821/06/03/pdfs/GMD-1821-156.pdf#page=3","Abrir facsímil")</f>
        <v>Abrir facsímil</v>
      </c>
      <c r="K9247" t="s">
        <v>23</v>
      </c>
    </row>
    <row r="9248" spans="1:11" ht="42" customHeight="1">
      <c r="A9248" t="s">
        <v>17938</v>
      </c>
      <c r="B9248" t="s">
        <v>17939</v>
      </c>
      <c r="C9248" t="s">
        <v>17</v>
      </c>
      <c r="D9248" t="s">
        <v>18</v>
      </c>
      <c r="E9248" s="6">
        <v>-28520</v>
      </c>
      <c r="F9248" t="s">
        <v>878</v>
      </c>
      <c r="G9248" t="s">
        <v>88</v>
      </c>
      <c r="H9248" t="s">
        <v>21</v>
      </c>
      <c r="I9248" t="s">
        <v>17940</v>
      </c>
      <c r="J9248" t="str">
        <f>HYPERLINK("https://www.boe.es/gazeta/dias/1821/11/29/pdfs/GMD-1821-341.pdf#page=4","Abrir facsímil")</f>
        <v>Abrir facsímil</v>
      </c>
      <c r="K9248" t="s">
        <v>23</v>
      </c>
    </row>
    <row r="9249" spans="1:11" ht="42" customHeight="1">
      <c r="A9249" t="s">
        <v>17941</v>
      </c>
      <c r="B9249" t="s">
        <v>17941</v>
      </c>
      <c r="C9249" t="s">
        <v>17</v>
      </c>
      <c r="D9249" t="s">
        <v>18</v>
      </c>
      <c r="E9249" s="6">
        <v>-28714</v>
      </c>
      <c r="F9249" t="s">
        <v>522</v>
      </c>
      <c r="G9249" t="s">
        <v>43</v>
      </c>
      <c r="H9249" t="s">
        <v>21</v>
      </c>
      <c r="I9249" t="s">
        <v>17942</v>
      </c>
      <c r="J9249" t="str">
        <f>HYPERLINK("https://www.boe.es/gazeta/dias/1821/05/19/pdfs/GMD-1821-141.pdf#page=1","Abrir facsímil")</f>
        <v>Abrir facsímil</v>
      </c>
      <c r="K9249" t="s">
        <v>23</v>
      </c>
    </row>
    <row r="9250" spans="1:11" ht="42" customHeight="1">
      <c r="A9250" t="s">
        <v>17943</v>
      </c>
      <c r="B9250" t="s">
        <v>17944</v>
      </c>
      <c r="C9250" t="s">
        <v>174</v>
      </c>
      <c r="D9250" t="s">
        <v>27</v>
      </c>
      <c r="E9250" s="6">
        <v>-28499</v>
      </c>
      <c r="F9250" t="s">
        <v>954</v>
      </c>
      <c r="G9250" t="s">
        <v>88</v>
      </c>
      <c r="H9250" t="s">
        <v>21</v>
      </c>
      <c r="I9250" t="s">
        <v>17945</v>
      </c>
      <c r="J9250" t="str">
        <f>HYPERLINK("https://www.boe.es/gazeta/dias/1821/12/20/pdfs/GMD-1821-363.pdf#page=4","Abrir facsímil")</f>
        <v>Abrir facsímil</v>
      </c>
      <c r="K9250" t="s">
        <v>23</v>
      </c>
    </row>
    <row r="9251" spans="1:11" ht="42" customHeight="1">
      <c r="A9251" t="s">
        <v>17946</v>
      </c>
      <c r="B9251" t="s">
        <v>17947</v>
      </c>
      <c r="C9251" t="s">
        <v>26</v>
      </c>
      <c r="D9251" t="s">
        <v>27</v>
      </c>
      <c r="E9251" s="6">
        <v>-28776</v>
      </c>
      <c r="F9251" t="s">
        <v>312</v>
      </c>
      <c r="G9251" t="s">
        <v>29</v>
      </c>
      <c r="H9251" t="s">
        <v>21</v>
      </c>
      <c r="I9251" t="s">
        <v>17948</v>
      </c>
      <c r="J9251" t="str">
        <f>HYPERLINK("https://www.boe.es/gazeta/dias/1821/03/18/pdfs/GMD-1821-77.pdf#page=6","Abrir facsímil")</f>
        <v>Abrir facsímil</v>
      </c>
      <c r="K9251" t="s">
        <v>23</v>
      </c>
    </row>
    <row r="9252" spans="1:11" ht="42" customHeight="1">
      <c r="A9252" t="s">
        <v>17949</v>
      </c>
      <c r="B9252" t="s">
        <v>17950</v>
      </c>
      <c r="C9252" t="s">
        <v>114</v>
      </c>
      <c r="D9252" t="s">
        <v>27</v>
      </c>
      <c r="E9252" s="6">
        <v>-28573</v>
      </c>
      <c r="F9252" t="s">
        <v>19</v>
      </c>
      <c r="G9252" t="s">
        <v>88</v>
      </c>
      <c r="H9252" t="s">
        <v>21</v>
      </c>
      <c r="I9252" t="s">
        <v>17951</v>
      </c>
      <c r="J9252" t="str">
        <f>HYPERLINK("https://www.boe.es/gazeta/dias/1821/10/07/pdfs/GMD-1821-286.pdf#page=4","Abrir facsímil")</f>
        <v>Abrir facsímil</v>
      </c>
      <c r="K9252" t="s">
        <v>23</v>
      </c>
    </row>
    <row r="9253" spans="1:11" ht="42" customHeight="1">
      <c r="A9253" t="s">
        <v>17952</v>
      </c>
      <c r="B9253" t="s">
        <v>17952</v>
      </c>
      <c r="C9253" t="s">
        <v>40</v>
      </c>
      <c r="D9253" t="s">
        <v>41</v>
      </c>
      <c r="E9253" s="6">
        <v>-28816</v>
      </c>
      <c r="F9253" t="s">
        <v>794</v>
      </c>
      <c r="G9253" t="s">
        <v>43</v>
      </c>
      <c r="H9253" t="s">
        <v>21</v>
      </c>
      <c r="I9253" t="s">
        <v>17953</v>
      </c>
      <c r="J9253" t="str">
        <f>HYPERLINK("https://www.boe.es/gazeta/dias/1821/02/06/pdfs/GGB-1821-37.pdf#page=1","Abrir facsímil")</f>
        <v>Abrir facsímil</v>
      </c>
      <c r="K9253" t="s">
        <v>23</v>
      </c>
    </row>
    <row r="9254" spans="1:11" ht="42" customHeight="1">
      <c r="A9254" t="s">
        <v>17954</v>
      </c>
      <c r="B9254" t="s">
        <v>17955</v>
      </c>
      <c r="C9254" t="s">
        <v>40</v>
      </c>
      <c r="D9254" t="s">
        <v>41</v>
      </c>
      <c r="E9254" s="6">
        <v>-28541</v>
      </c>
      <c r="F9254" t="s">
        <v>275</v>
      </c>
      <c r="G9254" t="s">
        <v>52</v>
      </c>
      <c r="H9254" t="s">
        <v>21</v>
      </c>
      <c r="I9254" t="s">
        <v>17956</v>
      </c>
      <c r="J9254" t="str">
        <f>HYPERLINK("https://www.boe.es/gazeta/dias/1821/11/08/pdfs/GMD-1821-319.pdf#page=2","Abrir facsímil")</f>
        <v>Abrir facsímil</v>
      </c>
      <c r="K9254" t="s">
        <v>23</v>
      </c>
    </row>
    <row r="9255" spans="1:11" ht="42" customHeight="1">
      <c r="A9255" t="s">
        <v>17957</v>
      </c>
      <c r="B9255" t="s">
        <v>17958</v>
      </c>
      <c r="C9255" t="s">
        <v>40</v>
      </c>
      <c r="D9255" t="s">
        <v>41</v>
      </c>
      <c r="E9255" s="6">
        <v>-28541</v>
      </c>
      <c r="F9255" t="s">
        <v>275</v>
      </c>
      <c r="G9255" t="s">
        <v>52</v>
      </c>
      <c r="H9255" t="s">
        <v>21</v>
      </c>
      <c r="I9255" t="s">
        <v>17959</v>
      </c>
      <c r="J9255" t="str">
        <f>HYPERLINK("https://www.boe.es/gazeta/dias/1821/11/08/pdfs/GMD-1821-319.pdf#page=2","Abrir facsímil")</f>
        <v>Abrir facsímil</v>
      </c>
      <c r="K9255" t="s">
        <v>23</v>
      </c>
    </row>
    <row r="9256" spans="1:11" ht="42" customHeight="1">
      <c r="A9256" t="s">
        <v>17960</v>
      </c>
      <c r="B9256" t="s">
        <v>17961</v>
      </c>
      <c r="C9256" t="s">
        <v>17</v>
      </c>
      <c r="D9256" t="s">
        <v>18</v>
      </c>
      <c r="E9256" s="6">
        <v>-28684</v>
      </c>
      <c r="F9256" t="s">
        <v>208</v>
      </c>
      <c r="G9256" t="s">
        <v>52</v>
      </c>
      <c r="H9256" t="s">
        <v>21</v>
      </c>
      <c r="I9256" t="s">
        <v>17962</v>
      </c>
      <c r="J9256" t="str">
        <f>HYPERLINK("https://www.boe.es/gazeta/dias/1821/06/18/pdfs/GMD-1821-171.pdf#page=2","Abrir facsímil")</f>
        <v>Abrir facsímil</v>
      </c>
      <c r="K9256" t="s">
        <v>23</v>
      </c>
    </row>
    <row r="9257" spans="1:11" ht="42" customHeight="1">
      <c r="A9257" t="s">
        <v>17963</v>
      </c>
      <c r="B9257" t="s">
        <v>17964</v>
      </c>
      <c r="C9257" t="s">
        <v>35</v>
      </c>
      <c r="D9257" t="s">
        <v>27</v>
      </c>
      <c r="E9257" s="6">
        <v>-28773</v>
      </c>
      <c r="F9257" t="s">
        <v>1755</v>
      </c>
      <c r="G9257" t="s">
        <v>52</v>
      </c>
      <c r="H9257" t="s">
        <v>21</v>
      </c>
      <c r="I9257" t="s">
        <v>17965</v>
      </c>
      <c r="J9257" t="str">
        <f>HYPERLINK("https://www.boe.es/gazeta/dias/1821/03/21/pdfs/GMD-1821-80.pdf#page=2","Abrir facsímil")</f>
        <v>Abrir facsímil</v>
      </c>
      <c r="K9257" t="s">
        <v>23</v>
      </c>
    </row>
    <row r="9258" spans="1:11" ht="42" customHeight="1">
      <c r="A9258" t="s">
        <v>17966</v>
      </c>
      <c r="B9258" t="s">
        <v>17967</v>
      </c>
      <c r="C9258" t="s">
        <v>17</v>
      </c>
      <c r="D9258" t="s">
        <v>18</v>
      </c>
      <c r="E9258" s="6">
        <v>-28669</v>
      </c>
      <c r="F9258" t="s">
        <v>2816</v>
      </c>
      <c r="G9258" t="s">
        <v>20</v>
      </c>
      <c r="H9258" t="s">
        <v>21</v>
      </c>
      <c r="I9258" t="s">
        <v>17968</v>
      </c>
      <c r="J9258" t="str">
        <f>HYPERLINK("https://www.boe.es/gazeta/dias/1821/07/03/pdfs/GMD-1821-187.pdf#page=3","Abrir facsímil")</f>
        <v>Abrir facsímil</v>
      </c>
      <c r="K9258" t="s">
        <v>23</v>
      </c>
    </row>
    <row r="9259" spans="1:11" ht="42" customHeight="1">
      <c r="A9259" t="s">
        <v>17969</v>
      </c>
      <c r="B9259" t="s">
        <v>17969</v>
      </c>
      <c r="C9259" t="s">
        <v>35</v>
      </c>
      <c r="D9259" t="s">
        <v>27</v>
      </c>
      <c r="E9259" s="6">
        <v>-28770</v>
      </c>
      <c r="F9259" t="s">
        <v>1009</v>
      </c>
      <c r="G9259" t="s">
        <v>88</v>
      </c>
      <c r="H9259" t="s">
        <v>21</v>
      </c>
      <c r="I9259" t="s">
        <v>17970</v>
      </c>
      <c r="J9259" t="str">
        <f>HYPERLINK("https://www.boe.es/gazeta/dias/1821/03/24/pdfs/GMD-1821-84.pdf#page=4","Abrir facsímil")</f>
        <v>Abrir facsímil</v>
      </c>
      <c r="K9259" t="s">
        <v>23</v>
      </c>
    </row>
    <row r="9260" spans="1:11" ht="42" customHeight="1">
      <c r="A9260" t="s">
        <v>17969</v>
      </c>
      <c r="B9260" t="s">
        <v>17969</v>
      </c>
      <c r="C9260" t="s">
        <v>35</v>
      </c>
      <c r="D9260" t="s">
        <v>27</v>
      </c>
      <c r="E9260" s="6">
        <v>-28757</v>
      </c>
      <c r="F9260" t="s">
        <v>472</v>
      </c>
      <c r="G9260" t="s">
        <v>20</v>
      </c>
      <c r="H9260" t="s">
        <v>21</v>
      </c>
      <c r="I9260" t="s">
        <v>17971</v>
      </c>
      <c r="J9260" t="str">
        <f>HYPERLINK("https://www.boe.es/gazeta/dias/1821/04/06/pdfs/GMD-1821-98.pdf#page=3","Abrir facsímil")</f>
        <v>Abrir facsímil</v>
      </c>
      <c r="K9260" t="s">
        <v>23</v>
      </c>
    </row>
    <row r="9261" spans="1:11" ht="42" customHeight="1">
      <c r="A9261" t="s">
        <v>17969</v>
      </c>
      <c r="B9261" t="s">
        <v>17969</v>
      </c>
      <c r="C9261" t="s">
        <v>17</v>
      </c>
      <c r="D9261" t="s">
        <v>18</v>
      </c>
      <c r="E9261" s="6">
        <v>-28746</v>
      </c>
      <c r="F9261" t="s">
        <v>687</v>
      </c>
      <c r="G9261" t="s">
        <v>88</v>
      </c>
      <c r="H9261" t="s">
        <v>21</v>
      </c>
      <c r="I9261" t="s">
        <v>17972</v>
      </c>
      <c r="J9261" t="str">
        <f>HYPERLINK("https://www.boe.es/gazeta/dias/1821/04/17/pdfs/GMD-1821-109.pdf#page=4","Abrir facsímil")</f>
        <v>Abrir facsímil</v>
      </c>
      <c r="K9261" t="s">
        <v>23</v>
      </c>
    </row>
    <row r="9262" spans="1:11" ht="42" customHeight="1">
      <c r="A9262" t="s">
        <v>17969</v>
      </c>
      <c r="B9262" t="s">
        <v>17969</v>
      </c>
      <c r="C9262" t="s">
        <v>26</v>
      </c>
      <c r="D9262" t="s">
        <v>27</v>
      </c>
      <c r="E9262" s="6">
        <v>-28744</v>
      </c>
      <c r="F9262" t="s">
        <v>834</v>
      </c>
      <c r="G9262" t="s">
        <v>88</v>
      </c>
      <c r="H9262" t="s">
        <v>21</v>
      </c>
      <c r="I9262" t="s">
        <v>17973</v>
      </c>
      <c r="J9262" t="str">
        <f>HYPERLINK("https://www.boe.es/gazeta/dias/1821/04/19/pdfs/GMD-1821-111.pdf#page=4","Abrir facsímil")</f>
        <v>Abrir facsímil</v>
      </c>
      <c r="K9262" t="s">
        <v>23</v>
      </c>
    </row>
    <row r="9263" spans="1:11" ht="42" customHeight="1">
      <c r="A9263" t="s">
        <v>17969</v>
      </c>
      <c r="B9263" t="s">
        <v>17969</v>
      </c>
      <c r="C9263" t="s">
        <v>35</v>
      </c>
      <c r="D9263" t="s">
        <v>27</v>
      </c>
      <c r="E9263" s="6">
        <v>-28739</v>
      </c>
      <c r="F9263" t="s">
        <v>1024</v>
      </c>
      <c r="G9263" t="s">
        <v>1025</v>
      </c>
      <c r="H9263" t="s">
        <v>21</v>
      </c>
      <c r="I9263" t="s">
        <v>17974</v>
      </c>
      <c r="J9263" t="str">
        <f>HYPERLINK("https://www.boe.es/gazeta/dias/1821/04/24/pdfs/GMD-1821-116.pdf#page=3","Abrir facsímil")</f>
        <v>Abrir facsímil</v>
      </c>
      <c r="K9263" t="s">
        <v>23</v>
      </c>
    </row>
    <row r="9264" spans="1:11" ht="42" customHeight="1">
      <c r="A9264" t="s">
        <v>17969</v>
      </c>
      <c r="B9264" t="s">
        <v>17969</v>
      </c>
      <c r="C9264" t="s">
        <v>35</v>
      </c>
      <c r="D9264" t="s">
        <v>27</v>
      </c>
      <c r="E9264" s="6">
        <v>-28735</v>
      </c>
      <c r="F9264" t="s">
        <v>836</v>
      </c>
      <c r="G9264" t="s">
        <v>52</v>
      </c>
      <c r="H9264" t="s">
        <v>21</v>
      </c>
      <c r="I9264" t="s">
        <v>17975</v>
      </c>
      <c r="J9264" t="str">
        <f>HYPERLINK("https://www.boe.es/gazeta/dias/1821/04/28/pdfs/GMD-1821-120.pdf#page=2","Abrir facsímil")</f>
        <v>Abrir facsímil</v>
      </c>
      <c r="K9264" t="s">
        <v>23</v>
      </c>
    </row>
    <row r="9265" spans="1:11" ht="42" customHeight="1">
      <c r="A9265" t="s">
        <v>17969</v>
      </c>
      <c r="B9265" t="s">
        <v>17969</v>
      </c>
      <c r="C9265" t="s">
        <v>40</v>
      </c>
      <c r="D9265" t="s">
        <v>41</v>
      </c>
      <c r="E9265" s="6">
        <v>-28727</v>
      </c>
      <c r="F9265" t="s">
        <v>200</v>
      </c>
      <c r="G9265" t="s">
        <v>20</v>
      </c>
      <c r="H9265" t="s">
        <v>21</v>
      </c>
      <c r="I9265" t="s">
        <v>17976</v>
      </c>
      <c r="J9265" t="str">
        <f>HYPERLINK("https://www.boe.es/gazeta/dias/1821/05/06/pdfs/GMD-1821-128.pdf#page=3","Abrir facsímil")</f>
        <v>Abrir facsímil</v>
      </c>
      <c r="K9265" t="s">
        <v>23</v>
      </c>
    </row>
    <row r="9266" spans="1:11" ht="42" customHeight="1">
      <c r="A9266" t="s">
        <v>17969</v>
      </c>
      <c r="B9266" t="s">
        <v>17969</v>
      </c>
      <c r="C9266" t="s">
        <v>35</v>
      </c>
      <c r="D9266" t="s">
        <v>27</v>
      </c>
      <c r="E9266" s="6">
        <v>-28671</v>
      </c>
      <c r="F9266" t="s">
        <v>5059</v>
      </c>
      <c r="G9266" t="s">
        <v>52</v>
      </c>
      <c r="H9266" t="s">
        <v>21</v>
      </c>
      <c r="I9266" t="s">
        <v>17977</v>
      </c>
      <c r="J9266" t="str">
        <f>HYPERLINK("https://www.boe.es/gazeta/dias/1821/07/01/pdfs/GMD-1821-185.pdf#page=2","Abrir facsímil")</f>
        <v>Abrir facsímil</v>
      </c>
      <c r="K9266" t="s">
        <v>23</v>
      </c>
    </row>
    <row r="9267" spans="1:11" ht="42" customHeight="1">
      <c r="A9267" t="s">
        <v>17969</v>
      </c>
      <c r="B9267" t="s">
        <v>17969</v>
      </c>
      <c r="C9267" t="s">
        <v>26</v>
      </c>
      <c r="D9267" t="s">
        <v>27</v>
      </c>
      <c r="E9267" s="6">
        <v>-28578</v>
      </c>
      <c r="F9267" t="s">
        <v>899</v>
      </c>
      <c r="G9267" t="s">
        <v>20</v>
      </c>
      <c r="H9267" t="s">
        <v>21</v>
      </c>
      <c r="I9267" t="s">
        <v>17978</v>
      </c>
      <c r="J9267" t="str">
        <f>HYPERLINK("https://www.boe.es/gazeta/dias/1821/10/02/pdfs/GMD-1821-281.pdf#page=3","Abrir facsímil")</f>
        <v>Abrir facsímil</v>
      </c>
      <c r="K9267" t="s">
        <v>23</v>
      </c>
    </row>
    <row r="9268" spans="1:11" ht="42" customHeight="1">
      <c r="A9268" t="s">
        <v>17969</v>
      </c>
      <c r="B9268" t="s">
        <v>17969</v>
      </c>
      <c r="C9268" t="s">
        <v>26</v>
      </c>
      <c r="D9268" t="s">
        <v>27</v>
      </c>
      <c r="E9268" s="6">
        <v>-28569</v>
      </c>
      <c r="F9268" t="s">
        <v>512</v>
      </c>
      <c r="G9268" t="s">
        <v>29</v>
      </c>
      <c r="H9268" t="s">
        <v>21</v>
      </c>
      <c r="I9268" t="s">
        <v>17979</v>
      </c>
      <c r="J9268" t="str">
        <f>HYPERLINK("https://www.boe.es/gazeta/dias/1821/10/11/pdfs/GMD-1821-290.pdf#page=6","Abrir facsímil")</f>
        <v>Abrir facsímil</v>
      </c>
      <c r="K9268" t="s">
        <v>23</v>
      </c>
    </row>
    <row r="9269" spans="1:11" ht="42" customHeight="1">
      <c r="A9269" t="s">
        <v>17969</v>
      </c>
      <c r="B9269" t="s">
        <v>17969</v>
      </c>
      <c r="C9269" t="s">
        <v>35</v>
      </c>
      <c r="D9269" t="s">
        <v>27</v>
      </c>
      <c r="E9269" s="6">
        <v>-28568</v>
      </c>
      <c r="F9269" t="s">
        <v>539</v>
      </c>
      <c r="G9269" t="s">
        <v>29</v>
      </c>
      <c r="H9269" t="s">
        <v>21</v>
      </c>
      <c r="I9269" t="s">
        <v>17980</v>
      </c>
      <c r="J9269" t="str">
        <f>HYPERLINK("https://www.boe.es/gazeta/dias/1821/10/12/pdfs/GMD-1821-291.pdf#page=6","Abrir facsímil")</f>
        <v>Abrir facsímil</v>
      </c>
      <c r="K9269" t="s">
        <v>23</v>
      </c>
    </row>
    <row r="9270" spans="1:11" ht="42" customHeight="1">
      <c r="A9270" t="s">
        <v>17969</v>
      </c>
      <c r="B9270" t="s">
        <v>17969</v>
      </c>
      <c r="C9270" t="s">
        <v>26</v>
      </c>
      <c r="D9270" t="s">
        <v>27</v>
      </c>
      <c r="E9270" s="6">
        <v>-28549</v>
      </c>
      <c r="F9270" t="s">
        <v>930</v>
      </c>
      <c r="G9270" t="s">
        <v>20</v>
      </c>
      <c r="H9270" t="s">
        <v>21</v>
      </c>
      <c r="I9270" t="s">
        <v>17981</v>
      </c>
      <c r="J9270" t="str">
        <f>HYPERLINK("https://www.boe.es/gazeta/dias/1821/10/31/pdfs/GMD-1821-310.pdf#page=3","Abrir facsímil")</f>
        <v>Abrir facsímil</v>
      </c>
      <c r="K9270" t="s">
        <v>23</v>
      </c>
    </row>
    <row r="9271" spans="1:11" ht="42" customHeight="1">
      <c r="A9271" t="s">
        <v>17969</v>
      </c>
      <c r="B9271" t="s">
        <v>17969</v>
      </c>
      <c r="C9271" t="s">
        <v>26</v>
      </c>
      <c r="D9271" t="s">
        <v>27</v>
      </c>
      <c r="E9271" s="6">
        <v>-28522</v>
      </c>
      <c r="F9271" t="s">
        <v>1083</v>
      </c>
      <c r="G9271" t="s">
        <v>29</v>
      </c>
      <c r="H9271" t="s">
        <v>21</v>
      </c>
      <c r="I9271" t="s">
        <v>17982</v>
      </c>
      <c r="J9271" t="str">
        <f>HYPERLINK("https://www.boe.es/gazeta/dias/1821/11/27/pdfs/GMD-1821-339.pdf#page=6","Abrir facsímil")</f>
        <v>Abrir facsímil</v>
      </c>
      <c r="K9271" t="s">
        <v>23</v>
      </c>
    </row>
    <row r="9272" spans="1:11" ht="42" customHeight="1">
      <c r="A9272" t="s">
        <v>17969</v>
      </c>
      <c r="B9272" t="s">
        <v>17969</v>
      </c>
      <c r="C9272" t="s">
        <v>70</v>
      </c>
      <c r="D9272" t="s">
        <v>27</v>
      </c>
      <c r="E9272" s="6">
        <v>-28503</v>
      </c>
      <c r="F9272" t="s">
        <v>947</v>
      </c>
      <c r="G9272" t="s">
        <v>52</v>
      </c>
      <c r="H9272" t="s">
        <v>21</v>
      </c>
      <c r="I9272" t="s">
        <v>17983</v>
      </c>
      <c r="J9272" t="str">
        <f>HYPERLINK("https://www.boe.es/gazeta/dias/1821/12/16/pdfs/GMD-1821-359.pdf#page=2","Abrir facsímil")</f>
        <v>Abrir facsímil</v>
      </c>
      <c r="K9272" t="s">
        <v>23</v>
      </c>
    </row>
    <row r="9273" spans="1:11" ht="42" customHeight="1">
      <c r="A9273" t="s">
        <v>17969</v>
      </c>
      <c r="B9273" t="s">
        <v>17969</v>
      </c>
      <c r="C9273" t="s">
        <v>279</v>
      </c>
      <c r="D9273" t="s">
        <v>27</v>
      </c>
      <c r="E9273" s="6">
        <v>-28498</v>
      </c>
      <c r="F9273" t="s">
        <v>447</v>
      </c>
      <c r="G9273" t="s">
        <v>88</v>
      </c>
      <c r="H9273" t="s">
        <v>21</v>
      </c>
      <c r="I9273" t="s">
        <v>17984</v>
      </c>
      <c r="J9273" t="str">
        <f>HYPERLINK("https://www.boe.es/gazeta/dias/1821/12/21/pdfs/GMD-1821-364.pdf#page=4","Abrir facsímil")</f>
        <v>Abrir facsímil</v>
      </c>
      <c r="K9273" t="s">
        <v>23</v>
      </c>
    </row>
    <row r="9274" spans="1:11" ht="42" customHeight="1">
      <c r="A9274" t="s">
        <v>17969</v>
      </c>
      <c r="B9274" t="s">
        <v>17969</v>
      </c>
      <c r="C9274" t="s">
        <v>70</v>
      </c>
      <c r="D9274" t="s">
        <v>27</v>
      </c>
      <c r="E9274" s="6">
        <v>-28495</v>
      </c>
      <c r="F9274" t="s">
        <v>227</v>
      </c>
      <c r="G9274" t="s">
        <v>609</v>
      </c>
      <c r="H9274" t="s">
        <v>21</v>
      </c>
      <c r="I9274" t="s">
        <v>17985</v>
      </c>
      <c r="J9274" t="str">
        <f>HYPERLINK("https://www.boe.es/gazeta/dias/1821/12/24/pdfs/GMD-1821-367.pdf#page=7","Abrir facsímil")</f>
        <v>Abrir facsímil</v>
      </c>
      <c r="K9274" t="s">
        <v>23</v>
      </c>
    </row>
    <row r="9275" spans="1:11" ht="42" customHeight="1">
      <c r="A9275" t="s">
        <v>17986</v>
      </c>
      <c r="B9275" t="s">
        <v>17987</v>
      </c>
      <c r="C9275" t="s">
        <v>26</v>
      </c>
      <c r="D9275" t="s">
        <v>27</v>
      </c>
      <c r="E9275" s="6">
        <v>-28489</v>
      </c>
      <c r="F9275" t="s">
        <v>3894</v>
      </c>
      <c r="G9275" t="s">
        <v>88</v>
      </c>
      <c r="H9275" t="s">
        <v>21</v>
      </c>
      <c r="I9275" t="s">
        <v>17988</v>
      </c>
      <c r="J9275" t="str">
        <f>HYPERLINK("https://www.boe.es/gazeta/dias/1821/12/30/pdfs/GMD-1821-373.pdf#page=4","Abrir facsímil")</f>
        <v>Abrir facsímil</v>
      </c>
      <c r="K9275" t="s">
        <v>23</v>
      </c>
    </row>
    <row r="9276" spans="1:11" ht="42" customHeight="1">
      <c r="A9276" t="s">
        <v>17989</v>
      </c>
      <c r="B9276" t="s">
        <v>17990</v>
      </c>
      <c r="C9276" t="s">
        <v>26</v>
      </c>
      <c r="D9276" t="s">
        <v>27</v>
      </c>
      <c r="E9276" s="6">
        <v>-28676</v>
      </c>
      <c r="F9276" t="s">
        <v>534</v>
      </c>
      <c r="G9276" t="s">
        <v>29</v>
      </c>
      <c r="H9276" t="s">
        <v>21</v>
      </c>
      <c r="I9276" t="s">
        <v>17991</v>
      </c>
      <c r="J9276" t="str">
        <f>HYPERLINK("https://www.boe.es/gazeta/dias/1821/06/26/pdfs/GMD-1821-179.pdf#page=6","Abrir facsímil")</f>
        <v>Abrir facsímil</v>
      </c>
      <c r="K9276" t="s">
        <v>23</v>
      </c>
    </row>
    <row r="9277" spans="1:11" ht="42" customHeight="1">
      <c r="A9277" t="s">
        <v>17992</v>
      </c>
      <c r="B9277" t="s">
        <v>17993</v>
      </c>
      <c r="C9277" t="s">
        <v>40</v>
      </c>
      <c r="D9277" t="s">
        <v>41</v>
      </c>
      <c r="E9277" s="6">
        <v>-28718</v>
      </c>
      <c r="F9277" t="s">
        <v>583</v>
      </c>
      <c r="G9277" t="s">
        <v>52</v>
      </c>
      <c r="H9277" t="s">
        <v>21</v>
      </c>
      <c r="I9277" t="s">
        <v>17994</v>
      </c>
      <c r="J9277" t="str">
        <f>HYPERLINK("https://www.boe.es/gazeta/dias/1821/05/15/pdfs/GMD-1821-137.pdf#page=2","Abrir facsímil")</f>
        <v>Abrir facsímil</v>
      </c>
      <c r="K9277" t="s">
        <v>23</v>
      </c>
    </row>
    <row r="9278" spans="1:11" ht="42" customHeight="1">
      <c r="A9278" t="s">
        <v>17995</v>
      </c>
      <c r="B9278" t="s">
        <v>17996</v>
      </c>
      <c r="C9278" t="s">
        <v>35</v>
      </c>
      <c r="D9278" t="s">
        <v>27</v>
      </c>
      <c r="E9278" s="6">
        <v>-28762</v>
      </c>
      <c r="F9278" t="s">
        <v>608</v>
      </c>
      <c r="G9278" t="s">
        <v>162</v>
      </c>
      <c r="H9278" t="s">
        <v>21</v>
      </c>
      <c r="I9278" t="s">
        <v>17997</v>
      </c>
      <c r="J9278" t="str">
        <f>HYPERLINK("https://www.boe.es/gazeta/dias/1821/04/01/pdfs/GMD-1821-93.pdf#page=5","Abrir facsímil")</f>
        <v>Abrir facsímil</v>
      </c>
      <c r="K9278" t="s">
        <v>23</v>
      </c>
    </row>
    <row r="9279" spans="1:11" ht="42" customHeight="1">
      <c r="A9279" t="s">
        <v>17998</v>
      </c>
      <c r="B9279" t="s">
        <v>17999</v>
      </c>
      <c r="C9279" t="s">
        <v>17</v>
      </c>
      <c r="D9279" t="s">
        <v>18</v>
      </c>
      <c r="E9279" s="6">
        <v>-28614</v>
      </c>
      <c r="F9279" t="s">
        <v>4451</v>
      </c>
      <c r="G9279" t="s">
        <v>20</v>
      </c>
      <c r="H9279" t="s">
        <v>21</v>
      </c>
      <c r="I9279" t="s">
        <v>18000</v>
      </c>
      <c r="J9279" t="str">
        <f>HYPERLINK("https://www.boe.es/gazeta/dias/1821/08/27/pdfs/GMD-1821-244.pdf#page=3","Abrir facsímil")</f>
        <v>Abrir facsímil</v>
      </c>
      <c r="K9279" t="s">
        <v>23</v>
      </c>
    </row>
    <row r="9280" spans="1:11" ht="42" customHeight="1">
      <c r="A9280" t="s">
        <v>17998</v>
      </c>
      <c r="B9280" t="s">
        <v>17999</v>
      </c>
      <c r="C9280" t="s">
        <v>26</v>
      </c>
      <c r="D9280" t="s">
        <v>27</v>
      </c>
      <c r="E9280" s="6">
        <v>-28573</v>
      </c>
      <c r="F9280" t="s">
        <v>19</v>
      </c>
      <c r="G9280" t="s">
        <v>88</v>
      </c>
      <c r="H9280" t="s">
        <v>21</v>
      </c>
      <c r="I9280" t="s">
        <v>18001</v>
      </c>
      <c r="J9280" t="str">
        <f>HYPERLINK("https://www.boe.es/gazeta/dias/1821/10/07/pdfs/GMD-1821-286.pdf#page=4","Abrir facsímil")</f>
        <v>Abrir facsímil</v>
      </c>
      <c r="K9280" t="s">
        <v>23</v>
      </c>
    </row>
    <row r="9281" spans="1:11" ht="42" customHeight="1">
      <c r="A9281" t="s">
        <v>18002</v>
      </c>
      <c r="B9281" t="s">
        <v>18003</v>
      </c>
      <c r="C9281" t="s">
        <v>17</v>
      </c>
      <c r="D9281" t="s">
        <v>18</v>
      </c>
      <c r="E9281" s="6">
        <v>-28703</v>
      </c>
      <c r="F9281" t="s">
        <v>231</v>
      </c>
      <c r="G9281" t="s">
        <v>52</v>
      </c>
      <c r="H9281" t="s">
        <v>21</v>
      </c>
      <c r="I9281" t="s">
        <v>18004</v>
      </c>
      <c r="J9281" t="str">
        <f>HYPERLINK("https://www.boe.es/gazeta/dias/1821/05/30/pdfs/GMD-1821-152.pdf#page=2","Abrir facsímil")</f>
        <v>Abrir facsímil</v>
      </c>
      <c r="K9281" t="s">
        <v>23</v>
      </c>
    </row>
    <row r="9282" spans="1:11" ht="42" customHeight="1">
      <c r="A9282" t="s">
        <v>18005</v>
      </c>
      <c r="B9282" t="s">
        <v>18006</v>
      </c>
      <c r="C9282" t="s">
        <v>40</v>
      </c>
      <c r="D9282" t="s">
        <v>41</v>
      </c>
      <c r="E9282" s="6">
        <v>-28573</v>
      </c>
      <c r="F9282" t="s">
        <v>19</v>
      </c>
      <c r="G9282" t="s">
        <v>88</v>
      </c>
      <c r="H9282" t="s">
        <v>21</v>
      </c>
      <c r="I9282" t="s">
        <v>18007</v>
      </c>
      <c r="J9282" t="str">
        <f>HYPERLINK("https://www.boe.es/gazeta/dias/1821/10/07/pdfs/GMD-1821-286.pdf#page=4","Abrir facsímil")</f>
        <v>Abrir facsímil</v>
      </c>
      <c r="K9282" t="s">
        <v>23</v>
      </c>
    </row>
    <row r="9283" spans="1:11" ht="42" customHeight="1">
      <c r="A9283" t="s">
        <v>18008</v>
      </c>
      <c r="B9283" t="s">
        <v>18009</v>
      </c>
      <c r="C9283" t="s">
        <v>17</v>
      </c>
      <c r="D9283" t="s">
        <v>18</v>
      </c>
      <c r="E9283" s="6">
        <v>-28765</v>
      </c>
      <c r="F9283" t="s">
        <v>974</v>
      </c>
      <c r="G9283" t="s">
        <v>52</v>
      </c>
      <c r="H9283" t="s">
        <v>21</v>
      </c>
      <c r="I9283" t="s">
        <v>18010</v>
      </c>
      <c r="J9283" t="str">
        <f>HYPERLINK("https://www.boe.es/gazeta/dias/1821/03/29/pdfs/GMD-1821-90.pdf#page=2","Abrir facsímil")</f>
        <v>Abrir facsímil</v>
      </c>
      <c r="K9283" t="s">
        <v>23</v>
      </c>
    </row>
    <row r="9284" spans="1:11" ht="42" customHeight="1">
      <c r="A9284" t="s">
        <v>18011</v>
      </c>
      <c r="B9284" t="s">
        <v>18012</v>
      </c>
      <c r="C9284" t="s">
        <v>114</v>
      </c>
      <c r="D9284" t="s">
        <v>27</v>
      </c>
      <c r="E9284" s="6">
        <v>-28836</v>
      </c>
      <c r="F9284" t="s">
        <v>601</v>
      </c>
      <c r="G9284" t="s">
        <v>20</v>
      </c>
      <c r="H9284" t="s">
        <v>21</v>
      </c>
      <c r="I9284" t="s">
        <v>18013</v>
      </c>
      <c r="J9284" t="str">
        <f>HYPERLINK("https://www.boe.es/gazeta/dias/1821/01/17/pdfs/GGB-1821-17.pdf#page=3","Abrir facsímil")</f>
        <v>Abrir facsímil</v>
      </c>
      <c r="K9284" t="s">
        <v>23</v>
      </c>
    </row>
    <row r="9285" spans="1:11" ht="42" customHeight="1">
      <c r="A9285" t="s">
        <v>18014</v>
      </c>
      <c r="B9285" t="s">
        <v>18015</v>
      </c>
      <c r="C9285" t="s">
        <v>114</v>
      </c>
      <c r="D9285" t="s">
        <v>27</v>
      </c>
      <c r="E9285" s="6">
        <v>-28805</v>
      </c>
      <c r="F9285" t="s">
        <v>382</v>
      </c>
      <c r="G9285" t="s">
        <v>88</v>
      </c>
      <c r="H9285" t="s">
        <v>21</v>
      </c>
      <c r="I9285" t="s">
        <v>18016</v>
      </c>
      <c r="J9285" t="str">
        <f>HYPERLINK("https://www.boe.es/gazeta/dias/1821/02/17/pdfs/GGB-1821-48.pdf#page=4","Abrir facsímil")</f>
        <v>Abrir facsímil</v>
      </c>
      <c r="K9285" t="s">
        <v>23</v>
      </c>
    </row>
    <row r="9286" spans="1:11" ht="42" customHeight="1">
      <c r="A9286" t="s">
        <v>18017</v>
      </c>
      <c r="B9286" t="s">
        <v>18018</v>
      </c>
      <c r="C9286" t="s">
        <v>17</v>
      </c>
      <c r="D9286" t="s">
        <v>18</v>
      </c>
      <c r="E9286" s="6">
        <v>-28535</v>
      </c>
      <c r="F9286" t="s">
        <v>96</v>
      </c>
      <c r="G9286" t="s">
        <v>52</v>
      </c>
      <c r="H9286" t="s">
        <v>21</v>
      </c>
      <c r="I9286" t="s">
        <v>18019</v>
      </c>
      <c r="J9286" t="str">
        <f>HYPERLINK("https://www.boe.es/gazeta/dias/1821/11/14/pdfs/GMD-1821-325.pdf#page=2","Abrir facsímil")</f>
        <v>Abrir facsímil</v>
      </c>
      <c r="K9286" t="s">
        <v>23</v>
      </c>
    </row>
    <row r="9287" spans="1:11" ht="42" customHeight="1">
      <c r="A9287" t="s">
        <v>18020</v>
      </c>
      <c r="B9287" t="s">
        <v>18020</v>
      </c>
      <c r="C9287" t="s">
        <v>17</v>
      </c>
      <c r="D9287" t="s">
        <v>18</v>
      </c>
      <c r="E9287" s="6">
        <v>-28536</v>
      </c>
      <c r="F9287" t="s">
        <v>553</v>
      </c>
      <c r="G9287" t="s">
        <v>20</v>
      </c>
      <c r="H9287" t="s">
        <v>21</v>
      </c>
      <c r="I9287" t="s">
        <v>18021</v>
      </c>
      <c r="J9287" t="str">
        <f>HYPERLINK("https://www.boe.es/gazeta/dias/1821/11/13/pdfs/GMD-1821-324.pdf#page=3","Abrir facsímil")</f>
        <v>Abrir facsímil</v>
      </c>
      <c r="K9287" t="s">
        <v>23</v>
      </c>
    </row>
    <row r="9288" spans="1:11" ht="42" customHeight="1">
      <c r="A9288" t="s">
        <v>18022</v>
      </c>
      <c r="B9288" t="s">
        <v>18022</v>
      </c>
      <c r="C9288" t="s">
        <v>35</v>
      </c>
      <c r="D9288" t="s">
        <v>27</v>
      </c>
      <c r="E9288" s="6">
        <v>-28495</v>
      </c>
      <c r="F9288" t="s">
        <v>227</v>
      </c>
      <c r="G9288" t="s">
        <v>609</v>
      </c>
      <c r="H9288" t="s">
        <v>21</v>
      </c>
      <c r="I9288" t="s">
        <v>18023</v>
      </c>
      <c r="J9288" t="str">
        <f>HYPERLINK("https://www.boe.es/gazeta/dias/1821/12/24/pdfs/GMD-1821-367.pdf#page=7","Abrir facsímil")</f>
        <v>Abrir facsímil</v>
      </c>
      <c r="K9288" t="s">
        <v>23</v>
      </c>
    </row>
    <row r="9289" spans="1:11" ht="42" customHeight="1">
      <c r="A9289" t="s">
        <v>18024</v>
      </c>
      <c r="B9289" t="s">
        <v>18025</v>
      </c>
      <c r="C9289" t="s">
        <v>70</v>
      </c>
      <c r="D9289" t="s">
        <v>27</v>
      </c>
      <c r="E9289" s="6">
        <v>-28707</v>
      </c>
      <c r="F9289" t="s">
        <v>495</v>
      </c>
      <c r="G9289" t="s">
        <v>88</v>
      </c>
      <c r="H9289" t="s">
        <v>21</v>
      </c>
      <c r="I9289" t="s">
        <v>18026</v>
      </c>
      <c r="J9289" t="str">
        <f>HYPERLINK("https://www.boe.es/gazeta/dias/1821/05/26/pdfs/GMD-1821-148.pdf#page=4","Abrir facsímil")</f>
        <v>Abrir facsímil</v>
      </c>
      <c r="K9289" t="s">
        <v>23</v>
      </c>
    </row>
    <row r="9290" spans="1:11" ht="42" customHeight="1">
      <c r="A9290" t="s">
        <v>18027</v>
      </c>
      <c r="B9290" t="s">
        <v>18027</v>
      </c>
      <c r="C9290" t="s">
        <v>40</v>
      </c>
      <c r="D9290" t="s">
        <v>41</v>
      </c>
      <c r="E9290" s="6">
        <v>-28750</v>
      </c>
      <c r="F9290" t="s">
        <v>917</v>
      </c>
      <c r="G9290" t="s">
        <v>43</v>
      </c>
      <c r="H9290" t="s">
        <v>21</v>
      </c>
      <c r="I9290" t="s">
        <v>18028</v>
      </c>
      <c r="J9290" t="str">
        <f>HYPERLINK("https://www.boe.es/gazeta/dias/1821/04/13/pdfs/GMD-1821-105.pdf#page=1","Abrir facsímil")</f>
        <v>Abrir facsímil</v>
      </c>
      <c r="K9290" t="s">
        <v>23</v>
      </c>
    </row>
    <row r="9291" spans="1:11" ht="42" customHeight="1">
      <c r="A9291" t="s">
        <v>18029</v>
      </c>
      <c r="B9291" t="s">
        <v>18029</v>
      </c>
      <c r="C9291" t="s">
        <v>40</v>
      </c>
      <c r="D9291" t="s">
        <v>41</v>
      </c>
      <c r="E9291" s="6">
        <v>-28841</v>
      </c>
      <c r="F9291" t="s">
        <v>765</v>
      </c>
      <c r="G9291" t="s">
        <v>20</v>
      </c>
      <c r="H9291" t="s">
        <v>21</v>
      </c>
      <c r="I9291" t="s">
        <v>18030</v>
      </c>
      <c r="J9291" t="str">
        <f>HYPERLINK("https://www.boe.es/gazeta/dias/1821/01/12/pdfs/GGB-1821-12.pdf#page=3","Abrir facsímil")</f>
        <v>Abrir facsímil</v>
      </c>
      <c r="K9291" t="s">
        <v>23</v>
      </c>
    </row>
    <row r="9292" spans="1:11" ht="42" customHeight="1">
      <c r="A9292" t="s">
        <v>18029</v>
      </c>
      <c r="B9292" t="s">
        <v>18029</v>
      </c>
      <c r="C9292" t="s">
        <v>26</v>
      </c>
      <c r="D9292" t="s">
        <v>27</v>
      </c>
      <c r="E9292" s="6">
        <v>-28626</v>
      </c>
      <c r="F9292" t="s">
        <v>468</v>
      </c>
      <c r="G9292" t="s">
        <v>88</v>
      </c>
      <c r="H9292" t="s">
        <v>21</v>
      </c>
      <c r="I9292" t="s">
        <v>18031</v>
      </c>
      <c r="J9292" t="str">
        <f>HYPERLINK("https://www.boe.es/gazeta/dias/1821/08/15/pdfs/GMD-1821-232.pdf#page=4","Abrir facsímil")</f>
        <v>Abrir facsímil</v>
      </c>
      <c r="K9292" t="s">
        <v>23</v>
      </c>
    </row>
    <row r="9293" spans="1:11" ht="42" customHeight="1">
      <c r="A9293" t="s">
        <v>18029</v>
      </c>
      <c r="B9293" t="s">
        <v>18029</v>
      </c>
      <c r="C9293" t="s">
        <v>174</v>
      </c>
      <c r="D9293" t="s">
        <v>27</v>
      </c>
      <c r="E9293" s="6">
        <v>-28620</v>
      </c>
      <c r="F9293" t="s">
        <v>87</v>
      </c>
      <c r="G9293" t="s">
        <v>88</v>
      </c>
      <c r="H9293" t="s">
        <v>21</v>
      </c>
      <c r="I9293" t="s">
        <v>18032</v>
      </c>
      <c r="J9293" t="str">
        <f>HYPERLINK("https://www.boe.es/gazeta/dias/1821/08/21/pdfs/GMD-1821-238.pdf#page=4","Abrir facsímil")</f>
        <v>Abrir facsímil</v>
      </c>
      <c r="K9293" t="s">
        <v>23</v>
      </c>
    </row>
    <row r="9294" spans="1:11" ht="42" customHeight="1">
      <c r="A9294" t="s">
        <v>18033</v>
      </c>
      <c r="B9294" t="s">
        <v>18033</v>
      </c>
      <c r="C9294" t="s">
        <v>26</v>
      </c>
      <c r="D9294" t="s">
        <v>27</v>
      </c>
      <c r="E9294" s="6">
        <v>-28838</v>
      </c>
      <c r="F9294" t="s">
        <v>7260</v>
      </c>
      <c r="G9294" t="s">
        <v>88</v>
      </c>
      <c r="H9294" t="s">
        <v>21</v>
      </c>
      <c r="I9294" t="s">
        <v>18034</v>
      </c>
      <c r="J9294" t="str">
        <f>HYPERLINK("https://www.boe.es/gazeta/dias/1821/01/15/pdfs/GGB-1821-15.pdf#page=4","Abrir facsímil")</f>
        <v>Abrir facsímil</v>
      </c>
      <c r="K9294" t="s">
        <v>23</v>
      </c>
    </row>
    <row r="9295" spans="1:11" ht="42" customHeight="1">
      <c r="A9295" t="s">
        <v>18033</v>
      </c>
      <c r="B9295" t="s">
        <v>18033</v>
      </c>
      <c r="C9295" t="s">
        <v>26</v>
      </c>
      <c r="D9295" t="s">
        <v>27</v>
      </c>
      <c r="E9295" s="6">
        <v>-28827</v>
      </c>
      <c r="F9295" t="s">
        <v>1382</v>
      </c>
      <c r="G9295" t="s">
        <v>88</v>
      </c>
      <c r="H9295" t="s">
        <v>21</v>
      </c>
      <c r="I9295" t="s">
        <v>18035</v>
      </c>
      <c r="J9295" t="str">
        <f>HYPERLINK("https://www.boe.es/gazeta/dias/1821/01/26/pdfs/GGB-1821-26.pdf#page=4","Abrir facsímil")</f>
        <v>Abrir facsímil</v>
      </c>
      <c r="K9295" t="s">
        <v>23</v>
      </c>
    </row>
    <row r="9296" spans="1:11" ht="42" customHeight="1">
      <c r="A9296" t="s">
        <v>18036</v>
      </c>
      <c r="B9296" t="s">
        <v>18036</v>
      </c>
      <c r="C9296" t="s">
        <v>40</v>
      </c>
      <c r="D9296" t="s">
        <v>41</v>
      </c>
      <c r="E9296" s="6">
        <v>-28810</v>
      </c>
      <c r="F9296" t="s">
        <v>308</v>
      </c>
      <c r="G9296" t="s">
        <v>20</v>
      </c>
      <c r="H9296" t="s">
        <v>21</v>
      </c>
      <c r="I9296" t="s">
        <v>18037</v>
      </c>
      <c r="J9296" t="str">
        <f>HYPERLINK("https://www.boe.es/gazeta/dias/1821/02/12/pdfs/GGB-1821-43.pdf#page=3","Abrir facsímil")</f>
        <v>Abrir facsímil</v>
      </c>
      <c r="K9296" t="s">
        <v>23</v>
      </c>
    </row>
    <row r="9297" spans="1:11" ht="42" customHeight="1">
      <c r="A9297" t="s">
        <v>18036</v>
      </c>
      <c r="B9297" t="s">
        <v>18036</v>
      </c>
      <c r="C9297" t="s">
        <v>40</v>
      </c>
      <c r="D9297" t="s">
        <v>41</v>
      </c>
      <c r="E9297" s="6">
        <v>-28683</v>
      </c>
      <c r="F9297" t="s">
        <v>332</v>
      </c>
      <c r="G9297" t="s">
        <v>20</v>
      </c>
      <c r="H9297" t="s">
        <v>21</v>
      </c>
      <c r="I9297" t="s">
        <v>18038</v>
      </c>
      <c r="J9297" t="str">
        <f>HYPERLINK("https://www.boe.es/gazeta/dias/1821/06/19/pdfs/GMD-1821-172.pdf#page=3","Abrir facsímil")</f>
        <v>Abrir facsímil</v>
      </c>
      <c r="K9297" t="s">
        <v>23</v>
      </c>
    </row>
    <row r="9298" spans="1:11" ht="42" customHeight="1">
      <c r="A9298" t="s">
        <v>18039</v>
      </c>
      <c r="B9298" t="s">
        <v>18040</v>
      </c>
      <c r="C9298" t="s">
        <v>40</v>
      </c>
      <c r="D9298" t="s">
        <v>41</v>
      </c>
      <c r="E9298" s="6">
        <v>-28774</v>
      </c>
      <c r="F9298" t="s">
        <v>1221</v>
      </c>
      <c r="G9298" t="s">
        <v>20</v>
      </c>
      <c r="H9298" t="s">
        <v>21</v>
      </c>
      <c r="I9298" t="s">
        <v>18041</v>
      </c>
      <c r="J9298" t="str">
        <f>HYPERLINK("https://www.boe.es/gazeta/dias/1821/03/20/pdfs/GMD-1821-79.pdf#page=3","Abrir facsímil")</f>
        <v>Abrir facsímil</v>
      </c>
      <c r="K9298" t="s">
        <v>23</v>
      </c>
    </row>
    <row r="9299" spans="1:11" ht="42" customHeight="1">
      <c r="A9299" t="s">
        <v>18042</v>
      </c>
      <c r="B9299" t="s">
        <v>18043</v>
      </c>
      <c r="C9299" t="s">
        <v>40</v>
      </c>
      <c r="D9299" t="s">
        <v>41</v>
      </c>
      <c r="E9299" s="6">
        <v>-28758</v>
      </c>
      <c r="F9299" t="s">
        <v>4115</v>
      </c>
      <c r="G9299" t="s">
        <v>20</v>
      </c>
      <c r="H9299" t="s">
        <v>21</v>
      </c>
      <c r="I9299" t="s">
        <v>18044</v>
      </c>
      <c r="J9299" t="str">
        <f>HYPERLINK("https://www.boe.es/gazeta/dias/1821/04/05/pdfs/GMD-1821-97.pdf#page=3","Abrir facsímil")</f>
        <v>Abrir facsímil</v>
      </c>
      <c r="K9299" t="s">
        <v>23</v>
      </c>
    </row>
    <row r="9300" spans="1:11" ht="42" customHeight="1">
      <c r="A9300" t="s">
        <v>18042</v>
      </c>
      <c r="B9300" t="s">
        <v>18043</v>
      </c>
      <c r="C9300" t="s">
        <v>40</v>
      </c>
      <c r="D9300" t="s">
        <v>41</v>
      </c>
      <c r="E9300" s="6">
        <v>-28754</v>
      </c>
      <c r="F9300" t="s">
        <v>1942</v>
      </c>
      <c r="G9300" t="s">
        <v>43</v>
      </c>
      <c r="H9300" t="s">
        <v>21</v>
      </c>
      <c r="I9300" t="s">
        <v>18045</v>
      </c>
      <c r="J9300" t="str">
        <f>HYPERLINK("https://www.boe.es/gazeta/dias/1821/04/09/pdfs/GMD-1821-101.pdf#page=1","Abrir facsímil")</f>
        <v>Abrir facsímil</v>
      </c>
      <c r="K9300" t="s">
        <v>23</v>
      </c>
    </row>
    <row r="9301" spans="1:11" ht="42" customHeight="1">
      <c r="A9301" t="s">
        <v>18046</v>
      </c>
      <c r="B9301" t="s">
        <v>18046</v>
      </c>
      <c r="C9301" t="s">
        <v>40</v>
      </c>
      <c r="D9301" t="s">
        <v>41</v>
      </c>
      <c r="E9301" s="6">
        <v>-28654</v>
      </c>
      <c r="F9301" t="s">
        <v>674</v>
      </c>
      <c r="G9301" t="s">
        <v>52</v>
      </c>
      <c r="H9301" t="s">
        <v>21</v>
      </c>
      <c r="I9301" t="s">
        <v>18047</v>
      </c>
      <c r="J9301" t="str">
        <f>HYPERLINK("https://www.boe.es/gazeta/dias/1821/07/18/pdfs/GMD-1821-203.pdf#page=2","Abrir facsímil")</f>
        <v>Abrir facsímil</v>
      </c>
      <c r="K9301" t="s">
        <v>23</v>
      </c>
    </row>
    <row r="9302" spans="1:11" ht="42" customHeight="1">
      <c r="A9302" t="s">
        <v>18048</v>
      </c>
      <c r="B9302" t="s">
        <v>18048</v>
      </c>
      <c r="C9302" t="s">
        <v>40</v>
      </c>
      <c r="D9302" t="s">
        <v>41</v>
      </c>
      <c r="E9302" s="6">
        <v>-28594</v>
      </c>
      <c r="F9302" t="s">
        <v>2412</v>
      </c>
      <c r="G9302" t="s">
        <v>43</v>
      </c>
      <c r="H9302" t="s">
        <v>21</v>
      </c>
      <c r="I9302" t="s">
        <v>18049</v>
      </c>
      <c r="J9302" t="str">
        <f>HYPERLINK("https://www.boe.es/gazeta/dias/1821/09/16/pdfs/GMD-1821-264.pdf#page=1","Abrir facsímil")</f>
        <v>Abrir facsímil</v>
      </c>
      <c r="K9302" t="s">
        <v>23</v>
      </c>
    </row>
    <row r="9303" spans="1:11" ht="42" customHeight="1">
      <c r="A9303" t="s">
        <v>18050</v>
      </c>
      <c r="B9303" t="s">
        <v>18051</v>
      </c>
      <c r="C9303" t="s">
        <v>35</v>
      </c>
      <c r="D9303" t="s">
        <v>27</v>
      </c>
      <c r="E9303" s="6">
        <v>-28776</v>
      </c>
      <c r="F9303" t="s">
        <v>312</v>
      </c>
      <c r="G9303" t="s">
        <v>88</v>
      </c>
      <c r="H9303" t="s">
        <v>21</v>
      </c>
      <c r="I9303" t="s">
        <v>18052</v>
      </c>
      <c r="J9303" t="str">
        <f>HYPERLINK("https://www.boe.es/gazeta/dias/1821/03/18/pdfs/GMD-1821-77.pdf#page=4","Abrir facsímil")</f>
        <v>Abrir facsímil</v>
      </c>
      <c r="K9303" t="s">
        <v>23</v>
      </c>
    </row>
    <row r="9304" spans="1:11" ht="42" customHeight="1">
      <c r="A9304" t="s">
        <v>18053</v>
      </c>
      <c r="B9304" t="s">
        <v>18053</v>
      </c>
      <c r="C9304" t="s">
        <v>40</v>
      </c>
      <c r="D9304" t="s">
        <v>41</v>
      </c>
      <c r="E9304" s="6">
        <v>-28654</v>
      </c>
      <c r="F9304" t="s">
        <v>674</v>
      </c>
      <c r="G9304" t="s">
        <v>43</v>
      </c>
      <c r="H9304" t="s">
        <v>21</v>
      </c>
      <c r="I9304" t="s">
        <v>18054</v>
      </c>
      <c r="J9304" t="str">
        <f>HYPERLINK("https://www.boe.es/gazeta/dias/1821/07/18/pdfs/GMD-1821-203.pdf#page=1","Abrir facsímil")</f>
        <v>Abrir facsímil</v>
      </c>
      <c r="K9304" t="s">
        <v>23</v>
      </c>
    </row>
    <row r="9305" spans="1:11" ht="42" customHeight="1">
      <c r="A9305" t="s">
        <v>18055</v>
      </c>
      <c r="B9305" t="s">
        <v>18055</v>
      </c>
      <c r="C9305" t="s">
        <v>17</v>
      </c>
      <c r="D9305" t="s">
        <v>18</v>
      </c>
      <c r="E9305" s="6">
        <v>-28726</v>
      </c>
      <c r="F9305" t="s">
        <v>347</v>
      </c>
      <c r="G9305" t="s">
        <v>43</v>
      </c>
      <c r="H9305" t="s">
        <v>21</v>
      </c>
      <c r="I9305" t="s">
        <v>18056</v>
      </c>
      <c r="J9305" t="str">
        <f>HYPERLINK("https://www.boe.es/gazeta/dias/1821/05/07/pdfs/GMD-1821-129.pdf#page=1","Abrir facsímil")</f>
        <v>Abrir facsímil</v>
      </c>
      <c r="K9305" t="s">
        <v>23</v>
      </c>
    </row>
    <row r="9306" spans="1:11" ht="42" customHeight="1">
      <c r="A9306" t="s">
        <v>18057</v>
      </c>
      <c r="B9306" t="s">
        <v>18058</v>
      </c>
      <c r="C9306" t="s">
        <v>17</v>
      </c>
      <c r="D9306" t="s">
        <v>18</v>
      </c>
      <c r="E9306" s="6">
        <v>-28531</v>
      </c>
      <c r="F9306" t="s">
        <v>365</v>
      </c>
      <c r="G9306" t="s">
        <v>20</v>
      </c>
      <c r="H9306" t="s">
        <v>21</v>
      </c>
      <c r="I9306" t="s">
        <v>18059</v>
      </c>
      <c r="J9306" t="str">
        <f>HYPERLINK("https://www.boe.es/gazeta/dias/1821/11/18/pdfs/GMD-1821-329.pdf#page=3","Abrir facsímil")</f>
        <v>Abrir facsímil</v>
      </c>
      <c r="K9306" t="s">
        <v>23</v>
      </c>
    </row>
    <row r="9307" spans="1:11" ht="42" customHeight="1">
      <c r="A9307" t="s">
        <v>18060</v>
      </c>
      <c r="B9307" t="s">
        <v>18060</v>
      </c>
      <c r="C9307" t="s">
        <v>40</v>
      </c>
      <c r="D9307" t="s">
        <v>41</v>
      </c>
      <c r="E9307" s="6">
        <v>-28721</v>
      </c>
      <c r="F9307" t="s">
        <v>92</v>
      </c>
      <c r="G9307" t="s">
        <v>43</v>
      </c>
      <c r="H9307" t="s">
        <v>21</v>
      </c>
      <c r="I9307" t="s">
        <v>18061</v>
      </c>
      <c r="J9307" t="str">
        <f>HYPERLINK("https://www.boe.es/gazeta/dias/1821/05/12/pdfs/GMD-1821-134.pdf#page=1","Abrir facsímil")</f>
        <v>Abrir facsímil</v>
      </c>
      <c r="K9307" t="s">
        <v>23</v>
      </c>
    </row>
    <row r="9308" spans="1:11" ht="42" customHeight="1">
      <c r="A9308" t="s">
        <v>18062</v>
      </c>
      <c r="B9308" t="s">
        <v>18062</v>
      </c>
      <c r="C9308" t="s">
        <v>17</v>
      </c>
      <c r="D9308" t="s">
        <v>18</v>
      </c>
      <c r="E9308" s="6">
        <v>-28844</v>
      </c>
      <c r="F9308" t="s">
        <v>1743</v>
      </c>
      <c r="G9308" t="s">
        <v>52</v>
      </c>
      <c r="H9308" t="s">
        <v>21</v>
      </c>
      <c r="I9308" t="s">
        <v>18063</v>
      </c>
      <c r="J9308" t="str">
        <f>HYPERLINK("https://www.boe.es/gazeta/dias/1821/01/09/pdfs/GGB-1821-9.pdf#page=2","Abrir facsímil")</f>
        <v>Abrir facsímil</v>
      </c>
      <c r="K9308" t="s">
        <v>23</v>
      </c>
    </row>
    <row r="9309" spans="1:11" ht="42" customHeight="1">
      <c r="A9309" t="s">
        <v>18062</v>
      </c>
      <c r="B9309" t="s">
        <v>18062</v>
      </c>
      <c r="C9309" t="s">
        <v>40</v>
      </c>
      <c r="D9309" t="s">
        <v>41</v>
      </c>
      <c r="E9309" s="6">
        <v>-28684</v>
      </c>
      <c r="F9309" t="s">
        <v>208</v>
      </c>
      <c r="G9309" t="s">
        <v>43</v>
      </c>
      <c r="H9309" t="s">
        <v>21</v>
      </c>
      <c r="I9309" t="s">
        <v>18064</v>
      </c>
      <c r="J9309" t="str">
        <f>HYPERLINK("https://www.boe.es/gazeta/dias/1821/06/18/pdfs/GMD-1821-171.pdf#page=1","Abrir facsímil")</f>
        <v>Abrir facsímil</v>
      </c>
      <c r="K9309" t="s">
        <v>23</v>
      </c>
    </row>
    <row r="9310" spans="1:11" ht="42" customHeight="1">
      <c r="A9310" t="s">
        <v>18065</v>
      </c>
      <c r="B9310" t="s">
        <v>18066</v>
      </c>
      <c r="C9310" t="s">
        <v>17</v>
      </c>
      <c r="D9310" t="s">
        <v>18</v>
      </c>
      <c r="E9310" s="6">
        <v>-28827</v>
      </c>
      <c r="F9310" t="s">
        <v>1382</v>
      </c>
      <c r="G9310" t="s">
        <v>52</v>
      </c>
      <c r="H9310" t="s">
        <v>21</v>
      </c>
      <c r="I9310" t="s">
        <v>18067</v>
      </c>
      <c r="J9310" t="str">
        <f>HYPERLINK("https://www.boe.es/gazeta/dias/1821/01/26/pdfs/GGB-1821-26.pdf#page=2","Abrir facsímil")</f>
        <v>Abrir facsímil</v>
      </c>
      <c r="K9310" t="s">
        <v>23</v>
      </c>
    </row>
    <row r="9311" spans="1:11" ht="42" customHeight="1">
      <c r="A9311" t="s">
        <v>18068</v>
      </c>
      <c r="B9311" t="s">
        <v>18069</v>
      </c>
      <c r="C9311" t="s">
        <v>17</v>
      </c>
      <c r="D9311" t="s">
        <v>18</v>
      </c>
      <c r="E9311" s="6">
        <v>-28547</v>
      </c>
      <c r="F9311" t="s">
        <v>247</v>
      </c>
      <c r="G9311" t="s">
        <v>248</v>
      </c>
      <c r="H9311" t="s">
        <v>21</v>
      </c>
      <c r="I9311" t="s">
        <v>18070</v>
      </c>
      <c r="J9311" t="str">
        <f>HYPERLINK("https://www.boe.es/gazeta/dias/1821/11/02/pdfs/GMD-1821-312.pdf#page=2","Abrir facsímil")</f>
        <v>Abrir facsímil</v>
      </c>
      <c r="K9311" t="s">
        <v>23</v>
      </c>
    </row>
    <row r="9312" spans="1:11" ht="42" customHeight="1">
      <c r="A9312" t="s">
        <v>18071</v>
      </c>
      <c r="B9312" t="s">
        <v>18072</v>
      </c>
      <c r="C9312" t="s">
        <v>114</v>
      </c>
      <c r="D9312" t="s">
        <v>27</v>
      </c>
      <c r="E9312" s="6">
        <v>-28630</v>
      </c>
      <c r="F9312" t="s">
        <v>616</v>
      </c>
      <c r="G9312" t="s">
        <v>20</v>
      </c>
      <c r="H9312" t="s">
        <v>30</v>
      </c>
      <c r="I9312" t="s">
        <v>18073</v>
      </c>
      <c r="J9312" t="str">
        <f>HYPERLINK("https://www.boe.es/gazeta/dias/1821/08/11/pdfs/GMD-1821-228.pdf#page=3","Abrir facsímil")</f>
        <v>Abrir facsímil</v>
      </c>
      <c r="K9312" t="s">
        <v>32</v>
      </c>
    </row>
    <row r="9313" spans="1:11" ht="42" customHeight="1">
      <c r="A9313" t="s">
        <v>18074</v>
      </c>
      <c r="B9313" t="s">
        <v>18075</v>
      </c>
      <c r="C9313" t="s">
        <v>26</v>
      </c>
      <c r="D9313" t="s">
        <v>27</v>
      </c>
      <c r="E9313" s="6">
        <v>-28699</v>
      </c>
      <c r="F9313" t="s">
        <v>280</v>
      </c>
      <c r="G9313" t="s">
        <v>52</v>
      </c>
      <c r="H9313" t="s">
        <v>21</v>
      </c>
      <c r="I9313" t="s">
        <v>18076</v>
      </c>
      <c r="J9313" t="str">
        <f>HYPERLINK("https://www.boe.es/gazeta/dias/1821/06/03/pdfs/GMD-1821-156.pdf#page=2","Abrir facsímil")</f>
        <v>Abrir facsímil</v>
      </c>
      <c r="K9313" t="s">
        <v>23</v>
      </c>
    </row>
    <row r="9314" spans="1:11" ht="42" customHeight="1">
      <c r="A9314" t="s">
        <v>18077</v>
      </c>
      <c r="B9314" t="s">
        <v>18078</v>
      </c>
      <c r="C9314" t="s">
        <v>40</v>
      </c>
      <c r="D9314" t="s">
        <v>41</v>
      </c>
      <c r="E9314" s="6">
        <v>-28763</v>
      </c>
      <c r="F9314" t="s">
        <v>1145</v>
      </c>
      <c r="G9314" t="s">
        <v>52</v>
      </c>
      <c r="H9314" t="s">
        <v>21</v>
      </c>
      <c r="I9314" t="s">
        <v>18079</v>
      </c>
      <c r="J9314" t="str">
        <f>HYPERLINK("https://www.boe.es/gazeta/dias/1821/03/31/pdfs/GMD-1821-92.pdf#page=2","Abrir facsímil")</f>
        <v>Abrir facsímil</v>
      </c>
      <c r="K9314" t="s">
        <v>23</v>
      </c>
    </row>
    <row r="9315" spans="1:11" ht="42" customHeight="1">
      <c r="A9315" t="s">
        <v>18080</v>
      </c>
      <c r="B9315" t="s">
        <v>18081</v>
      </c>
      <c r="C9315" t="s">
        <v>17</v>
      </c>
      <c r="D9315" t="s">
        <v>18</v>
      </c>
      <c r="E9315" s="6">
        <v>-28715</v>
      </c>
      <c r="F9315" t="s">
        <v>1046</v>
      </c>
      <c r="G9315" t="s">
        <v>43</v>
      </c>
      <c r="H9315" t="s">
        <v>21</v>
      </c>
      <c r="I9315" t="s">
        <v>18082</v>
      </c>
      <c r="J9315" t="str">
        <f>HYPERLINK("https://www.boe.es/gazeta/dias/1821/05/18/pdfs/GMD-1821-140.pdf#page=1","Abrir facsímil")</f>
        <v>Abrir facsímil</v>
      </c>
      <c r="K9315" t="s">
        <v>23</v>
      </c>
    </row>
    <row r="9316" spans="1:11" ht="42" customHeight="1">
      <c r="A9316" t="s">
        <v>18083</v>
      </c>
      <c r="B9316" t="s">
        <v>18083</v>
      </c>
      <c r="C9316" t="s">
        <v>40</v>
      </c>
      <c r="D9316" t="s">
        <v>41</v>
      </c>
      <c r="E9316" s="6">
        <v>-28748</v>
      </c>
      <c r="F9316" t="s">
        <v>634</v>
      </c>
      <c r="G9316" t="s">
        <v>20</v>
      </c>
      <c r="H9316" t="s">
        <v>21</v>
      </c>
      <c r="I9316" t="s">
        <v>18084</v>
      </c>
      <c r="J9316" t="str">
        <f>HYPERLINK("https://www.boe.es/gazeta/dias/1821/04/15/pdfs/GMD-1821-107.pdf#page=3","Abrir facsímil")</f>
        <v>Abrir facsímil</v>
      </c>
      <c r="K9316" t="s">
        <v>23</v>
      </c>
    </row>
    <row r="9317" spans="1:11" ht="42" customHeight="1">
      <c r="A9317" t="s">
        <v>18083</v>
      </c>
      <c r="B9317" t="s">
        <v>18083</v>
      </c>
      <c r="C9317" t="s">
        <v>17</v>
      </c>
      <c r="D9317" t="s">
        <v>18</v>
      </c>
      <c r="E9317" s="6">
        <v>-28744</v>
      </c>
      <c r="F9317" t="s">
        <v>834</v>
      </c>
      <c r="G9317" t="s">
        <v>20</v>
      </c>
      <c r="H9317" t="s">
        <v>21</v>
      </c>
      <c r="I9317" t="s">
        <v>18085</v>
      </c>
      <c r="J9317" t="str">
        <f>HYPERLINK("https://www.boe.es/gazeta/dias/1821/04/19/pdfs/GMD-1821-111.pdf#page=3","Abrir facsímil")</f>
        <v>Abrir facsímil</v>
      </c>
      <c r="K9317" t="s">
        <v>23</v>
      </c>
    </row>
    <row r="9318" spans="1:11" ht="42" customHeight="1">
      <c r="A9318" t="s">
        <v>18083</v>
      </c>
      <c r="B9318" t="s">
        <v>18083</v>
      </c>
      <c r="C9318" t="s">
        <v>17</v>
      </c>
      <c r="D9318" t="s">
        <v>18</v>
      </c>
      <c r="E9318" s="6">
        <v>-28732</v>
      </c>
      <c r="F9318" t="s">
        <v>2628</v>
      </c>
      <c r="G9318" t="s">
        <v>52</v>
      </c>
      <c r="H9318" t="s">
        <v>21</v>
      </c>
      <c r="I9318" t="s">
        <v>18086</v>
      </c>
      <c r="J9318" t="str">
        <f>HYPERLINK("https://www.boe.es/gazeta/dias/1821/05/01/pdfs/GMD-1821-123.pdf#page=2","Abrir facsímil")</f>
        <v>Abrir facsímil</v>
      </c>
      <c r="K9318" t="s">
        <v>23</v>
      </c>
    </row>
    <row r="9319" spans="1:11" ht="42" customHeight="1">
      <c r="A9319" t="s">
        <v>18083</v>
      </c>
      <c r="B9319" t="s">
        <v>18083</v>
      </c>
      <c r="C9319" t="s">
        <v>26</v>
      </c>
      <c r="D9319" t="s">
        <v>27</v>
      </c>
      <c r="E9319" s="6">
        <v>-28707</v>
      </c>
      <c r="F9319" t="s">
        <v>495</v>
      </c>
      <c r="G9319" t="s">
        <v>20</v>
      </c>
      <c r="H9319" t="s">
        <v>21</v>
      </c>
      <c r="I9319" t="s">
        <v>18087</v>
      </c>
      <c r="J9319" t="str">
        <f>HYPERLINK("https://www.boe.es/gazeta/dias/1821/05/26/pdfs/GMD-1821-148.pdf#page=3","Abrir facsímil")</f>
        <v>Abrir facsímil</v>
      </c>
      <c r="K9319" t="s">
        <v>23</v>
      </c>
    </row>
    <row r="9320" spans="1:11" ht="42" customHeight="1">
      <c r="A9320" t="s">
        <v>18083</v>
      </c>
      <c r="B9320" t="s">
        <v>18083</v>
      </c>
      <c r="C9320" t="s">
        <v>114</v>
      </c>
      <c r="D9320" t="s">
        <v>27</v>
      </c>
      <c r="E9320" s="6">
        <v>-28702</v>
      </c>
      <c r="F9320" t="s">
        <v>1176</v>
      </c>
      <c r="G9320" t="s">
        <v>20</v>
      </c>
      <c r="H9320" t="s">
        <v>21</v>
      </c>
      <c r="I9320" t="s">
        <v>18088</v>
      </c>
      <c r="J9320" t="str">
        <f>HYPERLINK("https://www.boe.es/gazeta/dias/1821/05/31/pdfs/GMD-1821-153.pdf#page=3","Abrir facsímil")</f>
        <v>Abrir facsímil</v>
      </c>
      <c r="K9320" t="s">
        <v>23</v>
      </c>
    </row>
    <row r="9321" spans="1:11" ht="42" customHeight="1">
      <c r="A9321" t="s">
        <v>18083</v>
      </c>
      <c r="B9321" t="s">
        <v>18083</v>
      </c>
      <c r="C9321" t="s">
        <v>17</v>
      </c>
      <c r="D9321" t="s">
        <v>18</v>
      </c>
      <c r="E9321" s="6">
        <v>-28687</v>
      </c>
      <c r="F9321" t="s">
        <v>851</v>
      </c>
      <c r="G9321" t="s">
        <v>20</v>
      </c>
      <c r="H9321" t="s">
        <v>21</v>
      </c>
      <c r="I9321" t="s">
        <v>18089</v>
      </c>
      <c r="J9321" t="str">
        <f>HYPERLINK("https://www.boe.es/gazeta/dias/1821/06/15/pdfs/GMD-1821-168.pdf#page=3","Abrir facsímil")</f>
        <v>Abrir facsímil</v>
      </c>
      <c r="K9321" t="s">
        <v>23</v>
      </c>
    </row>
    <row r="9322" spans="1:11" ht="42" customHeight="1">
      <c r="A9322" t="s">
        <v>18083</v>
      </c>
      <c r="B9322" t="s">
        <v>18083</v>
      </c>
      <c r="C9322" t="s">
        <v>35</v>
      </c>
      <c r="D9322" t="s">
        <v>27</v>
      </c>
      <c r="E9322" s="6">
        <v>-28679</v>
      </c>
      <c r="F9322" t="s">
        <v>213</v>
      </c>
      <c r="G9322" t="s">
        <v>88</v>
      </c>
      <c r="H9322" t="s">
        <v>21</v>
      </c>
      <c r="I9322" t="s">
        <v>18090</v>
      </c>
      <c r="J9322" t="str">
        <f>HYPERLINK("https://www.boe.es/gazeta/dias/1821/06/23/pdfs/GMD-1821-176.pdf#page=4","Abrir facsímil")</f>
        <v>Abrir facsímil</v>
      </c>
      <c r="K9322" t="s">
        <v>23</v>
      </c>
    </row>
    <row r="9323" spans="1:11" ht="42" customHeight="1">
      <c r="A9323" t="s">
        <v>18083</v>
      </c>
      <c r="B9323" t="s">
        <v>18083</v>
      </c>
      <c r="C9323" t="s">
        <v>26</v>
      </c>
      <c r="D9323" t="s">
        <v>27</v>
      </c>
      <c r="E9323" s="6">
        <v>-28579</v>
      </c>
      <c r="F9323" t="s">
        <v>743</v>
      </c>
      <c r="G9323" t="s">
        <v>88</v>
      </c>
      <c r="H9323" t="s">
        <v>21</v>
      </c>
      <c r="I9323" t="s">
        <v>18091</v>
      </c>
      <c r="J9323" t="str">
        <f>HYPERLINK("https://www.boe.es/gazeta/dias/1821/10/01/pdfs/GMD-1821-280.pdf#page=4","Abrir facsímil")</f>
        <v>Abrir facsímil</v>
      </c>
      <c r="K9323" t="s">
        <v>23</v>
      </c>
    </row>
    <row r="9324" spans="1:11" ht="42" customHeight="1">
      <c r="A9324" t="s">
        <v>18083</v>
      </c>
      <c r="B9324" t="s">
        <v>18083</v>
      </c>
      <c r="C9324" t="s">
        <v>35</v>
      </c>
      <c r="D9324" t="s">
        <v>27</v>
      </c>
      <c r="E9324" s="6">
        <v>-28562</v>
      </c>
      <c r="F9324" t="s">
        <v>3093</v>
      </c>
      <c r="G9324" t="s">
        <v>88</v>
      </c>
      <c r="H9324" t="s">
        <v>21</v>
      </c>
      <c r="I9324" t="s">
        <v>18092</v>
      </c>
      <c r="J9324" t="str">
        <f>HYPERLINK("https://www.boe.es/gazeta/dias/1821/10/18/pdfs/GMD-1821-297.pdf#page=4","Abrir facsímil")</f>
        <v>Abrir facsímil</v>
      </c>
      <c r="K9324" t="s">
        <v>23</v>
      </c>
    </row>
    <row r="9325" spans="1:11" ht="42" customHeight="1">
      <c r="A9325" t="s">
        <v>18083</v>
      </c>
      <c r="B9325" t="s">
        <v>18083</v>
      </c>
      <c r="C9325" t="s">
        <v>40</v>
      </c>
      <c r="D9325" t="s">
        <v>41</v>
      </c>
      <c r="E9325" s="6">
        <v>-28557</v>
      </c>
      <c r="F9325" t="s">
        <v>316</v>
      </c>
      <c r="G9325" t="s">
        <v>162</v>
      </c>
      <c r="H9325" t="s">
        <v>21</v>
      </c>
      <c r="I9325" t="s">
        <v>18093</v>
      </c>
      <c r="J9325" t="str">
        <f>HYPERLINK("https://www.boe.es/gazeta/dias/1821/10/23/pdfs/GMD-1821-302.pdf#page=5","Abrir facsímil")</f>
        <v>Abrir facsímil</v>
      </c>
      <c r="K9325" t="s">
        <v>23</v>
      </c>
    </row>
    <row r="9326" spans="1:11" ht="42" customHeight="1">
      <c r="A9326" t="s">
        <v>18083</v>
      </c>
      <c r="B9326" t="s">
        <v>18083</v>
      </c>
      <c r="C9326" t="s">
        <v>26</v>
      </c>
      <c r="D9326" t="s">
        <v>27</v>
      </c>
      <c r="E9326" s="6">
        <v>-28550</v>
      </c>
      <c r="F9326" t="s">
        <v>546</v>
      </c>
      <c r="G9326" t="s">
        <v>88</v>
      </c>
      <c r="H9326" t="s">
        <v>21</v>
      </c>
      <c r="I9326" t="s">
        <v>18094</v>
      </c>
      <c r="J9326" t="str">
        <f>HYPERLINK("https://www.boe.es/gazeta/dias/1821/10/30/pdfs/GMD-1821-309.pdf#page=4","Abrir facsímil")</f>
        <v>Abrir facsímil</v>
      </c>
      <c r="K9326" t="s">
        <v>23</v>
      </c>
    </row>
    <row r="9327" spans="1:11" ht="42" customHeight="1">
      <c r="A9327" t="s">
        <v>18083</v>
      </c>
      <c r="B9327" t="s">
        <v>18083</v>
      </c>
      <c r="C9327" t="s">
        <v>17</v>
      </c>
      <c r="D9327" t="s">
        <v>18</v>
      </c>
      <c r="E9327" s="6">
        <v>-28545</v>
      </c>
      <c r="F9327" t="s">
        <v>284</v>
      </c>
      <c r="G9327" t="s">
        <v>20</v>
      </c>
      <c r="H9327" t="s">
        <v>21</v>
      </c>
      <c r="I9327" t="s">
        <v>18095</v>
      </c>
      <c r="J9327" t="str">
        <f>HYPERLINK("https://www.boe.es/gazeta/dias/1821/11/04/pdfs/GMD-1821-315.pdf#page=3","Abrir facsímil")</f>
        <v>Abrir facsímil</v>
      </c>
      <c r="K9327" t="s">
        <v>23</v>
      </c>
    </row>
    <row r="9328" spans="1:11" ht="42" customHeight="1">
      <c r="A9328" t="s">
        <v>18083</v>
      </c>
      <c r="B9328" t="s">
        <v>18083</v>
      </c>
      <c r="C9328" t="s">
        <v>17</v>
      </c>
      <c r="D9328" t="s">
        <v>18</v>
      </c>
      <c r="E9328" s="6">
        <v>-28545</v>
      </c>
      <c r="F9328" t="s">
        <v>284</v>
      </c>
      <c r="G9328" t="s">
        <v>88</v>
      </c>
      <c r="H9328" t="s">
        <v>21</v>
      </c>
      <c r="I9328" t="s">
        <v>18096</v>
      </c>
      <c r="J9328" t="str">
        <f>HYPERLINK("https://www.boe.es/gazeta/dias/1821/11/04/pdfs/GMD-1821-315.pdf#page=4","Abrir facsímil")</f>
        <v>Abrir facsímil</v>
      </c>
      <c r="K9328" t="s">
        <v>23</v>
      </c>
    </row>
    <row r="9329" spans="1:11" ht="42" customHeight="1">
      <c r="A9329" t="s">
        <v>18083</v>
      </c>
      <c r="B9329" t="s">
        <v>18083</v>
      </c>
      <c r="C9329" t="s">
        <v>40</v>
      </c>
      <c r="D9329" t="s">
        <v>41</v>
      </c>
      <c r="E9329" s="6">
        <v>-28545</v>
      </c>
      <c r="F9329" t="s">
        <v>284</v>
      </c>
      <c r="G9329" t="s">
        <v>162</v>
      </c>
      <c r="H9329" t="s">
        <v>21</v>
      </c>
      <c r="I9329" t="s">
        <v>18097</v>
      </c>
      <c r="J9329" t="str">
        <f>HYPERLINK("https://www.boe.es/gazeta/dias/1821/11/04/pdfs/GMD-1821-315.pdf#page=5","Abrir facsímil")</f>
        <v>Abrir facsímil</v>
      </c>
      <c r="K9329" t="s">
        <v>23</v>
      </c>
    </row>
    <row r="9330" spans="1:11" ht="42" customHeight="1">
      <c r="A9330" t="s">
        <v>18083</v>
      </c>
      <c r="B9330" t="s">
        <v>18083</v>
      </c>
      <c r="C9330" t="s">
        <v>35</v>
      </c>
      <c r="D9330" t="s">
        <v>27</v>
      </c>
      <c r="E9330" s="6">
        <v>-28544</v>
      </c>
      <c r="F9330" t="s">
        <v>139</v>
      </c>
      <c r="G9330" t="s">
        <v>52</v>
      </c>
      <c r="H9330" t="s">
        <v>21</v>
      </c>
      <c r="I9330" t="s">
        <v>18098</v>
      </c>
      <c r="J9330" t="str">
        <f>HYPERLINK("https://www.boe.es/gazeta/dias/1821/11/05/pdfs/GMD-1821-316.pdf#page=2","Abrir facsímil")</f>
        <v>Abrir facsímil</v>
      </c>
      <c r="K9330" t="s">
        <v>23</v>
      </c>
    </row>
    <row r="9331" spans="1:11" ht="42" customHeight="1">
      <c r="A9331" t="s">
        <v>18083</v>
      </c>
      <c r="B9331" t="s">
        <v>18083</v>
      </c>
      <c r="C9331" t="s">
        <v>35</v>
      </c>
      <c r="D9331" t="s">
        <v>27</v>
      </c>
      <c r="E9331" s="6">
        <v>-28544</v>
      </c>
      <c r="F9331" t="s">
        <v>139</v>
      </c>
      <c r="G9331" t="s">
        <v>20</v>
      </c>
      <c r="H9331" t="s">
        <v>21</v>
      </c>
      <c r="I9331" t="s">
        <v>18099</v>
      </c>
      <c r="J9331" t="str">
        <f>HYPERLINK("https://www.boe.es/gazeta/dias/1821/11/05/pdfs/GMD-1821-316.pdf#page=3","Abrir facsímil")</f>
        <v>Abrir facsímil</v>
      </c>
      <c r="K9331" t="s">
        <v>23</v>
      </c>
    </row>
    <row r="9332" spans="1:11" ht="42" customHeight="1">
      <c r="A9332" t="s">
        <v>18083</v>
      </c>
      <c r="B9332" t="s">
        <v>18083</v>
      </c>
      <c r="C9332" t="s">
        <v>26</v>
      </c>
      <c r="D9332" t="s">
        <v>27</v>
      </c>
      <c r="E9332" s="6">
        <v>-28543</v>
      </c>
      <c r="F9332" t="s">
        <v>136</v>
      </c>
      <c r="G9332" t="s">
        <v>29</v>
      </c>
      <c r="H9332" t="s">
        <v>21</v>
      </c>
      <c r="I9332" t="s">
        <v>18100</v>
      </c>
      <c r="J9332" t="str">
        <f>HYPERLINK("https://www.boe.es/gazeta/dias/1821/11/06/pdfs/GMD-1821-317.pdf#page=6","Abrir facsímil")</f>
        <v>Abrir facsímil</v>
      </c>
      <c r="K9332" t="s">
        <v>23</v>
      </c>
    </row>
    <row r="9333" spans="1:11" ht="42" customHeight="1">
      <c r="A9333" t="s">
        <v>18083</v>
      </c>
      <c r="B9333" t="s">
        <v>18083</v>
      </c>
      <c r="C9333" t="s">
        <v>35</v>
      </c>
      <c r="D9333" t="s">
        <v>27</v>
      </c>
      <c r="E9333" s="6">
        <v>-28543</v>
      </c>
      <c r="F9333" t="s">
        <v>136</v>
      </c>
      <c r="G9333" t="s">
        <v>609</v>
      </c>
      <c r="H9333" t="s">
        <v>21</v>
      </c>
      <c r="I9333" t="s">
        <v>18101</v>
      </c>
      <c r="J9333" t="str">
        <f>HYPERLINK("https://www.boe.es/gazeta/dias/1821/11/06/pdfs/GMD-1821-317.pdf#page=7","Abrir facsímil")</f>
        <v>Abrir facsímil</v>
      </c>
      <c r="K9333" t="s">
        <v>23</v>
      </c>
    </row>
    <row r="9334" spans="1:11" ht="42" customHeight="1">
      <c r="A9334" t="s">
        <v>18083</v>
      </c>
      <c r="B9334" t="s">
        <v>18083</v>
      </c>
      <c r="C9334" t="s">
        <v>70</v>
      </c>
      <c r="D9334" t="s">
        <v>27</v>
      </c>
      <c r="E9334" s="6">
        <v>-28542</v>
      </c>
      <c r="F9334" t="s">
        <v>221</v>
      </c>
      <c r="G9334" t="s">
        <v>88</v>
      </c>
      <c r="H9334" t="s">
        <v>21</v>
      </c>
      <c r="I9334" t="s">
        <v>18102</v>
      </c>
      <c r="J9334" t="str">
        <f>HYPERLINK("https://www.boe.es/gazeta/dias/1821/11/07/pdfs/GMD-1821-318.pdf#page=4","Abrir facsímil")</f>
        <v>Abrir facsímil</v>
      </c>
      <c r="K9334" t="s">
        <v>23</v>
      </c>
    </row>
    <row r="9335" spans="1:11" ht="42" customHeight="1">
      <c r="A9335" t="s">
        <v>18083</v>
      </c>
      <c r="B9335" t="s">
        <v>18083</v>
      </c>
      <c r="C9335" t="s">
        <v>35</v>
      </c>
      <c r="D9335" t="s">
        <v>27</v>
      </c>
      <c r="E9335" s="6">
        <v>-28542</v>
      </c>
      <c r="F9335" t="s">
        <v>221</v>
      </c>
      <c r="G9335" t="s">
        <v>162</v>
      </c>
      <c r="H9335" t="s">
        <v>21</v>
      </c>
      <c r="I9335" t="s">
        <v>18103</v>
      </c>
      <c r="J9335" t="str">
        <f>HYPERLINK("https://www.boe.es/gazeta/dias/1821/11/07/pdfs/GMD-1821-318.pdf#page=5","Abrir facsímil")</f>
        <v>Abrir facsímil</v>
      </c>
      <c r="K9335" t="s">
        <v>23</v>
      </c>
    </row>
    <row r="9336" spans="1:11" ht="42" customHeight="1">
      <c r="A9336" t="s">
        <v>18083</v>
      </c>
      <c r="B9336" t="s">
        <v>18083</v>
      </c>
      <c r="C9336" t="s">
        <v>40</v>
      </c>
      <c r="D9336" t="s">
        <v>41</v>
      </c>
      <c r="E9336" s="6">
        <v>-28542</v>
      </c>
      <c r="F9336" t="s">
        <v>221</v>
      </c>
      <c r="G9336" t="s">
        <v>29</v>
      </c>
      <c r="H9336" t="s">
        <v>21</v>
      </c>
      <c r="I9336" t="s">
        <v>18104</v>
      </c>
      <c r="J9336" t="str">
        <f>HYPERLINK("https://www.boe.es/gazeta/dias/1821/11/07/pdfs/GMD-1821-318.pdf#page=6","Abrir facsímil")</f>
        <v>Abrir facsímil</v>
      </c>
      <c r="K9336" t="s">
        <v>23</v>
      </c>
    </row>
    <row r="9337" spans="1:11" ht="42" customHeight="1">
      <c r="A9337" t="s">
        <v>18083</v>
      </c>
      <c r="B9337" t="s">
        <v>18083</v>
      </c>
      <c r="C9337" t="s">
        <v>26</v>
      </c>
      <c r="D9337" t="s">
        <v>27</v>
      </c>
      <c r="E9337" s="6">
        <v>-28541</v>
      </c>
      <c r="F9337" t="s">
        <v>275</v>
      </c>
      <c r="G9337" t="s">
        <v>52</v>
      </c>
      <c r="H9337" t="s">
        <v>21</v>
      </c>
      <c r="I9337" t="s">
        <v>18105</v>
      </c>
      <c r="J9337" t="str">
        <f>HYPERLINK("https://www.boe.es/gazeta/dias/1821/11/08/pdfs/GMD-1821-319.pdf#page=2","Abrir facsímil")</f>
        <v>Abrir facsímil</v>
      </c>
      <c r="K9337" t="s">
        <v>23</v>
      </c>
    </row>
    <row r="9338" spans="1:11" ht="42" customHeight="1">
      <c r="A9338" t="s">
        <v>18083</v>
      </c>
      <c r="B9338" t="s">
        <v>18083</v>
      </c>
      <c r="C9338" t="s">
        <v>174</v>
      </c>
      <c r="D9338" t="s">
        <v>27</v>
      </c>
      <c r="E9338" s="6">
        <v>-28541</v>
      </c>
      <c r="F9338" t="s">
        <v>275</v>
      </c>
      <c r="G9338" t="s">
        <v>88</v>
      </c>
      <c r="H9338" t="s">
        <v>21</v>
      </c>
      <c r="I9338" t="s">
        <v>18106</v>
      </c>
      <c r="J9338" t="str">
        <f>HYPERLINK("https://www.boe.es/gazeta/dias/1821/11/08/pdfs/GMD-1821-319.pdf#page=4","Abrir facsímil")</f>
        <v>Abrir facsímil</v>
      </c>
      <c r="K9338" t="s">
        <v>23</v>
      </c>
    </row>
    <row r="9339" spans="1:11" ht="42" customHeight="1">
      <c r="A9339" t="s">
        <v>18083</v>
      </c>
      <c r="B9339" t="s">
        <v>18083</v>
      </c>
      <c r="C9339" t="s">
        <v>40</v>
      </c>
      <c r="D9339" t="s">
        <v>41</v>
      </c>
      <c r="E9339" s="6">
        <v>-28541</v>
      </c>
      <c r="F9339" t="s">
        <v>275</v>
      </c>
      <c r="G9339" t="s">
        <v>29</v>
      </c>
      <c r="H9339" t="s">
        <v>21</v>
      </c>
      <c r="I9339" t="s">
        <v>18107</v>
      </c>
      <c r="J9339" t="str">
        <f>HYPERLINK("https://www.boe.es/gazeta/dias/1821/11/08/pdfs/GMD-1821-319.pdf#page=6","Abrir facsímil")</f>
        <v>Abrir facsímil</v>
      </c>
      <c r="K9339" t="s">
        <v>23</v>
      </c>
    </row>
    <row r="9340" spans="1:11" ht="42" customHeight="1">
      <c r="A9340" t="s">
        <v>18083</v>
      </c>
      <c r="B9340" t="s">
        <v>18083</v>
      </c>
      <c r="C9340" t="s">
        <v>26</v>
      </c>
      <c r="D9340" t="s">
        <v>27</v>
      </c>
      <c r="E9340" s="6">
        <v>-28539</v>
      </c>
      <c r="F9340" t="s">
        <v>153</v>
      </c>
      <c r="G9340" t="s">
        <v>162</v>
      </c>
      <c r="H9340" t="s">
        <v>21</v>
      </c>
      <c r="I9340" t="s">
        <v>18108</v>
      </c>
      <c r="J9340" t="str">
        <f>HYPERLINK("https://www.boe.es/gazeta/dias/1821/11/10/pdfs/GMD-1821-321.pdf#page=5","Abrir facsímil")</f>
        <v>Abrir facsímil</v>
      </c>
      <c r="K9340" t="s">
        <v>23</v>
      </c>
    </row>
    <row r="9341" spans="1:11" ht="42" customHeight="1">
      <c r="A9341" t="s">
        <v>18083</v>
      </c>
      <c r="B9341" t="s">
        <v>18083</v>
      </c>
      <c r="C9341" t="s">
        <v>40</v>
      </c>
      <c r="D9341" t="s">
        <v>41</v>
      </c>
      <c r="E9341" s="6">
        <v>-28538</v>
      </c>
      <c r="F9341" t="s">
        <v>395</v>
      </c>
      <c r="G9341" t="s">
        <v>20</v>
      </c>
      <c r="H9341" t="s">
        <v>21</v>
      </c>
      <c r="I9341" t="s">
        <v>18109</v>
      </c>
      <c r="J9341" t="str">
        <f>HYPERLINK("https://www.boe.es/gazeta/dias/1821/11/11/pdfs/GMD-1821-322.pdf#page=3","Abrir facsímil")</f>
        <v>Abrir facsímil</v>
      </c>
      <c r="K9341" t="s">
        <v>23</v>
      </c>
    </row>
    <row r="9342" spans="1:11" ht="42" customHeight="1">
      <c r="A9342" t="s">
        <v>18083</v>
      </c>
      <c r="B9342" t="s">
        <v>18083</v>
      </c>
      <c r="C9342" t="s">
        <v>40</v>
      </c>
      <c r="D9342" t="s">
        <v>41</v>
      </c>
      <c r="E9342" s="6">
        <v>-28528</v>
      </c>
      <c r="F9342" t="s">
        <v>1872</v>
      </c>
      <c r="G9342" t="s">
        <v>88</v>
      </c>
      <c r="H9342" t="s">
        <v>21</v>
      </c>
      <c r="I9342" t="s">
        <v>18110</v>
      </c>
      <c r="J9342" t="str">
        <f>HYPERLINK("https://www.boe.es/gazeta/dias/1821/11/21/pdfs/GMD-1821-332.pdf#page=4","Abrir facsímil")</f>
        <v>Abrir facsímil</v>
      </c>
      <c r="K9342" t="s">
        <v>23</v>
      </c>
    </row>
    <row r="9343" spans="1:11" ht="42" customHeight="1">
      <c r="A9343" t="s">
        <v>18083</v>
      </c>
      <c r="B9343" t="s">
        <v>18083</v>
      </c>
      <c r="C9343" t="s">
        <v>35</v>
      </c>
      <c r="D9343" t="s">
        <v>27</v>
      </c>
      <c r="E9343" s="6">
        <v>-28527</v>
      </c>
      <c r="F9343" t="s">
        <v>328</v>
      </c>
      <c r="G9343" t="s">
        <v>6605</v>
      </c>
      <c r="H9343" t="s">
        <v>21</v>
      </c>
      <c r="I9343" t="s">
        <v>18111</v>
      </c>
      <c r="J9343" t="str">
        <f>HYPERLINK("https://www.boe.es/gazeta/dias/1821/11/22/pdfs/GMD-1821-333.pdf#page=2","Abrir facsímil")</f>
        <v>Abrir facsímil</v>
      </c>
      <c r="K9343" t="s">
        <v>23</v>
      </c>
    </row>
    <row r="9344" spans="1:11" ht="42" customHeight="1">
      <c r="A9344" t="s">
        <v>18083</v>
      </c>
      <c r="B9344" t="s">
        <v>18083</v>
      </c>
      <c r="C9344" t="s">
        <v>17</v>
      </c>
      <c r="D9344" t="s">
        <v>18</v>
      </c>
      <c r="E9344" s="6">
        <v>-28523</v>
      </c>
      <c r="F9344" t="s">
        <v>257</v>
      </c>
      <c r="G9344" t="s">
        <v>52</v>
      </c>
      <c r="H9344" t="s">
        <v>21</v>
      </c>
      <c r="I9344" t="s">
        <v>18112</v>
      </c>
      <c r="J9344" t="str">
        <f>HYPERLINK("https://www.boe.es/gazeta/dias/1821/11/26/pdfs/GMD-1821-337.pdf#page=2","Abrir facsímil")</f>
        <v>Abrir facsímil</v>
      </c>
      <c r="K9344" t="s">
        <v>23</v>
      </c>
    </row>
    <row r="9345" spans="1:11" ht="42" customHeight="1">
      <c r="A9345" t="s">
        <v>18083</v>
      </c>
      <c r="B9345" t="s">
        <v>18083</v>
      </c>
      <c r="C9345" t="s">
        <v>26</v>
      </c>
      <c r="D9345" t="s">
        <v>27</v>
      </c>
      <c r="E9345" s="6">
        <v>-28518</v>
      </c>
      <c r="F9345" t="s">
        <v>410</v>
      </c>
      <c r="G9345" t="s">
        <v>88</v>
      </c>
      <c r="H9345" t="s">
        <v>21</v>
      </c>
      <c r="I9345" t="s">
        <v>18113</v>
      </c>
      <c r="J9345" t="str">
        <f>HYPERLINK("https://www.boe.es/gazeta/dias/1821/12/01/pdfs/GMD-1821-343.pdf#page=4","Abrir facsímil")</f>
        <v>Abrir facsímil</v>
      </c>
      <c r="K9345" t="s">
        <v>23</v>
      </c>
    </row>
    <row r="9346" spans="1:11" ht="42" customHeight="1">
      <c r="A9346" t="s">
        <v>18114</v>
      </c>
      <c r="B9346" t="s">
        <v>18114</v>
      </c>
      <c r="C9346" t="s">
        <v>26</v>
      </c>
      <c r="D9346" t="s">
        <v>27</v>
      </c>
      <c r="E9346" s="6">
        <v>-28510</v>
      </c>
      <c r="F9346" t="s">
        <v>83</v>
      </c>
      <c r="G9346" t="s">
        <v>20</v>
      </c>
      <c r="H9346" t="s">
        <v>21</v>
      </c>
      <c r="I9346" t="s">
        <v>18115</v>
      </c>
      <c r="J9346" t="str">
        <f>HYPERLINK("https://www.boe.es/gazeta/dias/1821/12/09/pdfs/GMD-1821-351.pdf#page=3","Abrir facsímil")</f>
        <v>Abrir facsímil</v>
      </c>
      <c r="K9346" t="s">
        <v>23</v>
      </c>
    </row>
    <row r="9347" spans="1:11" ht="42" customHeight="1">
      <c r="A9347" t="s">
        <v>18083</v>
      </c>
      <c r="B9347" t="s">
        <v>18083</v>
      </c>
      <c r="C9347" t="s">
        <v>114</v>
      </c>
      <c r="D9347" t="s">
        <v>27</v>
      </c>
      <c r="E9347" s="6">
        <v>-28492</v>
      </c>
      <c r="F9347" t="s">
        <v>1550</v>
      </c>
      <c r="G9347" t="s">
        <v>20</v>
      </c>
      <c r="H9347" t="s">
        <v>21</v>
      </c>
      <c r="I9347" t="s">
        <v>18116</v>
      </c>
      <c r="J9347" t="str">
        <f>HYPERLINK("https://www.boe.es/gazeta/dias/1821/12/27/pdfs/GMD-1821-370.pdf#page=3","Abrir facsímil")</f>
        <v>Abrir facsímil</v>
      </c>
      <c r="K9347" t="s">
        <v>23</v>
      </c>
    </row>
    <row r="9348" spans="1:11" ht="42" customHeight="1">
      <c r="A9348" t="s">
        <v>18117</v>
      </c>
      <c r="B9348" t="s">
        <v>18118</v>
      </c>
      <c r="C9348" t="s">
        <v>70</v>
      </c>
      <c r="D9348" t="s">
        <v>27</v>
      </c>
      <c r="E9348" s="6">
        <v>-28701</v>
      </c>
      <c r="F9348" t="s">
        <v>202</v>
      </c>
      <c r="G9348" t="s">
        <v>88</v>
      </c>
      <c r="H9348" t="s">
        <v>21</v>
      </c>
      <c r="I9348" t="s">
        <v>18119</v>
      </c>
      <c r="J9348" t="str">
        <f>HYPERLINK("https://www.boe.es/gazeta/dias/1821/06/01/pdfs/GMD-1821-154.pdf#page=4","Abrir facsímil")</f>
        <v>Abrir facsímil</v>
      </c>
      <c r="K9348" t="s">
        <v>23</v>
      </c>
    </row>
    <row r="9349" spans="1:11" ht="42" customHeight="1">
      <c r="A9349" t="s">
        <v>18120</v>
      </c>
      <c r="B9349" t="s">
        <v>18121</v>
      </c>
      <c r="C9349" t="s">
        <v>26</v>
      </c>
      <c r="D9349" t="s">
        <v>27</v>
      </c>
      <c r="E9349" s="6">
        <v>-28676</v>
      </c>
      <c r="F9349" t="s">
        <v>534</v>
      </c>
      <c r="G9349" t="s">
        <v>29</v>
      </c>
      <c r="H9349" t="s">
        <v>21</v>
      </c>
      <c r="I9349" t="s">
        <v>18122</v>
      </c>
      <c r="J9349" t="str">
        <f>HYPERLINK("https://www.boe.es/gazeta/dias/1821/06/26/pdfs/GMD-1821-179.pdf#page=6","Abrir facsímil")</f>
        <v>Abrir facsímil</v>
      </c>
      <c r="K9349" t="s">
        <v>23</v>
      </c>
    </row>
    <row r="9350" spans="1:11" ht="42" customHeight="1">
      <c r="A9350" t="s">
        <v>18123</v>
      </c>
      <c r="B9350" t="s">
        <v>18123</v>
      </c>
      <c r="C9350" t="s">
        <v>17</v>
      </c>
      <c r="D9350" t="s">
        <v>18</v>
      </c>
      <c r="E9350" s="6">
        <v>-28544</v>
      </c>
      <c r="F9350" t="s">
        <v>139</v>
      </c>
      <c r="G9350" t="s">
        <v>20</v>
      </c>
      <c r="H9350" t="s">
        <v>21</v>
      </c>
      <c r="I9350" t="s">
        <v>18124</v>
      </c>
      <c r="J9350" t="str">
        <f>HYPERLINK("https://www.boe.es/gazeta/dias/1821/11/05/pdfs/GMD-1821-316.pdf#page=3","Abrir facsímil")</f>
        <v>Abrir facsímil</v>
      </c>
      <c r="K9350" t="s">
        <v>23</v>
      </c>
    </row>
    <row r="9351" spans="1:11" ht="42" customHeight="1">
      <c r="A9351" t="s">
        <v>18125</v>
      </c>
      <c r="B9351" t="s">
        <v>18125</v>
      </c>
      <c r="C9351" t="s">
        <v>17</v>
      </c>
      <c r="D9351" t="s">
        <v>18</v>
      </c>
      <c r="E9351" s="6">
        <v>-28676</v>
      </c>
      <c r="F9351" t="s">
        <v>534</v>
      </c>
      <c r="G9351" t="s">
        <v>162</v>
      </c>
      <c r="H9351" t="s">
        <v>21</v>
      </c>
      <c r="I9351" t="s">
        <v>18126</v>
      </c>
      <c r="J9351" t="str">
        <f>HYPERLINK("https://www.boe.es/gazeta/dias/1821/06/26/pdfs/GMD-1821-179.pdf#page=5","Abrir facsímil")</f>
        <v>Abrir facsímil</v>
      </c>
      <c r="K9351" t="s">
        <v>23</v>
      </c>
    </row>
    <row r="9352" spans="1:11" ht="42" customHeight="1">
      <c r="A9352" t="s">
        <v>18127</v>
      </c>
      <c r="B9352" t="s">
        <v>18127</v>
      </c>
      <c r="C9352" t="s">
        <v>17</v>
      </c>
      <c r="D9352" t="s">
        <v>18</v>
      </c>
      <c r="E9352" s="6">
        <v>-28545</v>
      </c>
      <c r="F9352" t="s">
        <v>284</v>
      </c>
      <c r="G9352" t="s">
        <v>88</v>
      </c>
      <c r="H9352" t="s">
        <v>21</v>
      </c>
      <c r="I9352" t="s">
        <v>18128</v>
      </c>
      <c r="J9352" t="str">
        <f>HYPERLINK("https://www.boe.es/gazeta/dias/1821/11/04/pdfs/GMD-1821-315.pdf#page=4","Abrir facsímil")</f>
        <v>Abrir facsímil</v>
      </c>
      <c r="K9352" t="s">
        <v>23</v>
      </c>
    </row>
    <row r="9353" spans="1:11" ht="42" customHeight="1">
      <c r="A9353" t="s">
        <v>18129</v>
      </c>
      <c r="B9353" t="s">
        <v>18129</v>
      </c>
      <c r="C9353" t="s">
        <v>114</v>
      </c>
      <c r="D9353" t="s">
        <v>27</v>
      </c>
      <c r="E9353" s="6">
        <v>-28704</v>
      </c>
      <c r="F9353" t="s">
        <v>1050</v>
      </c>
      <c r="G9353" t="s">
        <v>88</v>
      </c>
      <c r="H9353" t="s">
        <v>21</v>
      </c>
      <c r="I9353" t="s">
        <v>18130</v>
      </c>
      <c r="J9353" t="str">
        <f>HYPERLINK("https://www.boe.es/gazeta/dias/1821/05/29/pdfs/GMD-1821-151.pdf#page=4","Abrir facsímil")</f>
        <v>Abrir facsímil</v>
      </c>
      <c r="K9353" t="s">
        <v>23</v>
      </c>
    </row>
    <row r="9354" spans="1:11" ht="42" customHeight="1">
      <c r="A9354" t="s">
        <v>18131</v>
      </c>
      <c r="B9354" t="s">
        <v>18132</v>
      </c>
      <c r="C9354" t="s">
        <v>26</v>
      </c>
      <c r="D9354" t="s">
        <v>27</v>
      </c>
      <c r="E9354" s="6">
        <v>-28562</v>
      </c>
      <c r="F9354" t="s">
        <v>3093</v>
      </c>
      <c r="G9354" t="s">
        <v>88</v>
      </c>
      <c r="H9354" t="s">
        <v>21</v>
      </c>
      <c r="I9354" t="s">
        <v>18133</v>
      </c>
      <c r="J9354" t="str">
        <f>HYPERLINK("https://www.boe.es/gazeta/dias/1821/10/18/pdfs/GMD-1821-297.pdf#page=4","Abrir facsímil")</f>
        <v>Abrir facsímil</v>
      </c>
      <c r="K9354" t="s">
        <v>23</v>
      </c>
    </row>
    <row r="9355" spans="1:11" ht="42" customHeight="1">
      <c r="A9355" t="s">
        <v>18134</v>
      </c>
      <c r="B9355" t="s">
        <v>18135</v>
      </c>
      <c r="C9355" t="s">
        <v>40</v>
      </c>
      <c r="D9355" t="s">
        <v>41</v>
      </c>
      <c r="E9355" s="6">
        <v>-28492</v>
      </c>
      <c r="F9355" t="s">
        <v>1550</v>
      </c>
      <c r="G9355" t="s">
        <v>88</v>
      </c>
      <c r="H9355" t="s">
        <v>21</v>
      </c>
      <c r="I9355" t="s">
        <v>18136</v>
      </c>
      <c r="J9355" t="str">
        <f>HYPERLINK("https://www.boe.es/gazeta/dias/1821/12/27/pdfs/GMD-1821-370.pdf#page=4","Abrir facsímil")</f>
        <v>Abrir facsímil</v>
      </c>
      <c r="K9355" t="s">
        <v>23</v>
      </c>
    </row>
    <row r="9356" spans="1:11" ht="42" customHeight="1">
      <c r="A9356" t="s">
        <v>18137</v>
      </c>
      <c r="B9356" t="s">
        <v>18138</v>
      </c>
      <c r="C9356" t="s">
        <v>35</v>
      </c>
      <c r="D9356" t="s">
        <v>27</v>
      </c>
      <c r="E9356" s="6">
        <v>-28760</v>
      </c>
      <c r="F9356" t="s">
        <v>170</v>
      </c>
      <c r="G9356" t="s">
        <v>52</v>
      </c>
      <c r="H9356" t="s">
        <v>21</v>
      </c>
      <c r="I9356" t="s">
        <v>18139</v>
      </c>
      <c r="J9356" t="str">
        <f>HYPERLINK("https://www.boe.es/gazeta/dias/1821/04/03/pdfs/GMD-1821-95.pdf#page=2","Abrir facsímil")</f>
        <v>Abrir facsímil</v>
      </c>
      <c r="K9356" t="s">
        <v>23</v>
      </c>
    </row>
    <row r="9357" spans="1:11" ht="42" customHeight="1">
      <c r="A9357" t="s">
        <v>18140</v>
      </c>
      <c r="B9357" t="s">
        <v>18141</v>
      </c>
      <c r="C9357" t="s">
        <v>279</v>
      </c>
      <c r="D9357" t="s">
        <v>27</v>
      </c>
      <c r="E9357" s="6">
        <v>-28809</v>
      </c>
      <c r="F9357" t="s">
        <v>1173</v>
      </c>
      <c r="G9357" t="s">
        <v>88</v>
      </c>
      <c r="H9357" t="s">
        <v>21</v>
      </c>
      <c r="I9357" t="s">
        <v>18142</v>
      </c>
      <c r="J9357" t="str">
        <f>HYPERLINK("https://www.boe.es/gazeta/dias/1821/02/13/pdfs/GGB-1821-44.pdf#page=4","Abrir facsímil")</f>
        <v>Abrir facsímil</v>
      </c>
      <c r="K9357" t="s">
        <v>23</v>
      </c>
    </row>
    <row r="9358" spans="1:11" ht="42" customHeight="1">
      <c r="A9358" t="s">
        <v>18143</v>
      </c>
      <c r="B9358" t="s">
        <v>18144</v>
      </c>
      <c r="C9358" t="s">
        <v>40</v>
      </c>
      <c r="D9358" t="s">
        <v>41</v>
      </c>
      <c r="E9358" s="6">
        <v>-28766</v>
      </c>
      <c r="F9358" t="s">
        <v>1481</v>
      </c>
      <c r="G9358" t="s">
        <v>52</v>
      </c>
      <c r="H9358" t="s">
        <v>21</v>
      </c>
      <c r="I9358" t="s">
        <v>18145</v>
      </c>
      <c r="J9358" t="str">
        <f>HYPERLINK("https://www.boe.es/gazeta/dias/1821/03/28/pdfs/GMD-1821-88.pdf#page=2","Abrir facsímil")</f>
        <v>Abrir facsímil</v>
      </c>
      <c r="K9358" t="s">
        <v>23</v>
      </c>
    </row>
    <row r="9359" spans="1:11" ht="42" customHeight="1">
      <c r="A9359" t="s">
        <v>18146</v>
      </c>
      <c r="B9359" t="s">
        <v>18147</v>
      </c>
      <c r="C9359" t="s">
        <v>26</v>
      </c>
      <c r="D9359" t="s">
        <v>27</v>
      </c>
      <c r="E9359" s="6">
        <v>-28539</v>
      </c>
      <c r="F9359" t="s">
        <v>153</v>
      </c>
      <c r="G9359" t="s">
        <v>52</v>
      </c>
      <c r="H9359" t="s">
        <v>21</v>
      </c>
      <c r="I9359" t="s">
        <v>18148</v>
      </c>
      <c r="J9359" t="str">
        <f>HYPERLINK("https://www.boe.es/gazeta/dias/1821/11/10/pdfs/GMD-1821-321.pdf#page=2","Abrir facsímil")</f>
        <v>Abrir facsímil</v>
      </c>
      <c r="K9359" t="s">
        <v>23</v>
      </c>
    </row>
    <row r="9360" spans="1:11" ht="42" customHeight="1">
      <c r="A9360" t="s">
        <v>18149</v>
      </c>
      <c r="B9360" t="s">
        <v>18150</v>
      </c>
      <c r="C9360" t="s">
        <v>40</v>
      </c>
      <c r="D9360" t="s">
        <v>41</v>
      </c>
      <c r="E9360" s="6">
        <v>-28563</v>
      </c>
      <c r="F9360" t="s">
        <v>118</v>
      </c>
      <c r="G9360" t="s">
        <v>20</v>
      </c>
      <c r="H9360" t="s">
        <v>21</v>
      </c>
      <c r="I9360" t="s">
        <v>18151</v>
      </c>
      <c r="J9360" t="str">
        <f>HYPERLINK("https://www.boe.es/gazeta/dias/1821/10/17/pdfs/GMD-1821-296.pdf#page=3","Abrir facsímil")</f>
        <v>Abrir facsímil</v>
      </c>
      <c r="K9360" t="s">
        <v>23</v>
      </c>
    </row>
    <row r="9361" spans="1:11" ht="42" customHeight="1">
      <c r="A9361" t="s">
        <v>18152</v>
      </c>
      <c r="B9361" t="s">
        <v>18153</v>
      </c>
      <c r="C9361" t="s">
        <v>174</v>
      </c>
      <c r="D9361" t="s">
        <v>27</v>
      </c>
      <c r="E9361" s="6">
        <v>-28632</v>
      </c>
      <c r="F9361" t="s">
        <v>6572</v>
      </c>
      <c r="G9361" t="s">
        <v>20</v>
      </c>
      <c r="H9361" t="s">
        <v>30</v>
      </c>
      <c r="I9361" t="s">
        <v>18154</v>
      </c>
      <c r="J9361" t="str">
        <f>HYPERLINK("https://www.boe.es/gazeta/dias/1821/08/09/pdfs/GMD-1821-225.pdf#page=3","Abrir facsímil")</f>
        <v>Abrir facsímil</v>
      </c>
      <c r="K9361" t="s">
        <v>32</v>
      </c>
    </row>
    <row r="9362" spans="1:11" ht="42" customHeight="1">
      <c r="A9362" t="s">
        <v>18155</v>
      </c>
      <c r="B9362" t="s">
        <v>18156</v>
      </c>
      <c r="C9362" t="s">
        <v>40</v>
      </c>
      <c r="D9362" t="s">
        <v>41</v>
      </c>
      <c r="E9362" s="6">
        <v>-28726</v>
      </c>
      <c r="F9362" t="s">
        <v>347</v>
      </c>
      <c r="G9362" t="s">
        <v>52</v>
      </c>
      <c r="H9362" t="s">
        <v>21</v>
      </c>
      <c r="I9362" t="s">
        <v>18157</v>
      </c>
      <c r="J9362" t="str">
        <f>HYPERLINK("https://www.boe.es/gazeta/dias/1821/05/07/pdfs/GMD-1821-129.pdf#page=2","Abrir facsímil")</f>
        <v>Abrir facsímil</v>
      </c>
      <c r="K9362" t="s">
        <v>23</v>
      </c>
    </row>
    <row r="9363" spans="1:11" ht="42" customHeight="1">
      <c r="A9363" t="s">
        <v>18158</v>
      </c>
      <c r="B9363" t="s">
        <v>18159</v>
      </c>
      <c r="C9363" t="s">
        <v>174</v>
      </c>
      <c r="D9363" t="s">
        <v>27</v>
      </c>
      <c r="E9363" s="6">
        <v>-28647</v>
      </c>
      <c r="F9363" t="s">
        <v>1295</v>
      </c>
      <c r="G9363" t="s">
        <v>88</v>
      </c>
      <c r="H9363" t="s">
        <v>30</v>
      </c>
      <c r="I9363" t="s">
        <v>18160</v>
      </c>
      <c r="J9363" t="str">
        <f>HYPERLINK("https://www.boe.es/gazeta/dias/1821/07/25/pdfs/GMD-1821-210.pdf#page=4","Abrir facsímil")</f>
        <v>Abrir facsímil</v>
      </c>
      <c r="K9363" t="s">
        <v>32</v>
      </c>
    </row>
    <row r="9364" spans="1:11" ht="42" customHeight="1">
      <c r="A9364" t="s">
        <v>18161</v>
      </c>
      <c r="B9364" t="s">
        <v>18162</v>
      </c>
      <c r="C9364" t="s">
        <v>35</v>
      </c>
      <c r="D9364" t="s">
        <v>27</v>
      </c>
      <c r="E9364" s="6">
        <v>-28738</v>
      </c>
      <c r="F9364" t="s">
        <v>359</v>
      </c>
      <c r="G9364" t="s">
        <v>20</v>
      </c>
      <c r="H9364" t="s">
        <v>21</v>
      </c>
      <c r="I9364" t="s">
        <v>18163</v>
      </c>
      <c r="J9364" t="str">
        <f>HYPERLINK("https://www.boe.es/gazeta/dias/1821/04/25/pdfs/GMD-1821-117.pdf#page=3","Abrir facsímil")</f>
        <v>Abrir facsímil</v>
      </c>
      <c r="K9364" t="s">
        <v>23</v>
      </c>
    </row>
    <row r="9365" spans="1:11" ht="42" customHeight="1">
      <c r="A9365" t="s">
        <v>18164</v>
      </c>
      <c r="B9365" t="s">
        <v>18164</v>
      </c>
      <c r="C9365" t="s">
        <v>40</v>
      </c>
      <c r="D9365" t="s">
        <v>41</v>
      </c>
      <c r="E9365" s="6">
        <v>-28851</v>
      </c>
      <c r="F9365" t="s">
        <v>3227</v>
      </c>
      <c r="G9365" t="s">
        <v>88</v>
      </c>
      <c r="H9365" t="s">
        <v>21</v>
      </c>
      <c r="I9365" t="s">
        <v>18165</v>
      </c>
      <c r="J9365" t="str">
        <f>HYPERLINK("https://www.boe.es/gazeta/dias/1821/01/02/pdfs/GGB-1821-2.pdf#page=4","Abrir facsímil")</f>
        <v>Abrir facsímil</v>
      </c>
      <c r="K9365" t="s">
        <v>23</v>
      </c>
    </row>
    <row r="9366" spans="1:11" ht="42" customHeight="1">
      <c r="A9366" t="s">
        <v>18166</v>
      </c>
      <c r="B9366" t="s">
        <v>18167</v>
      </c>
      <c r="C9366" t="s">
        <v>40</v>
      </c>
      <c r="D9366" t="s">
        <v>41</v>
      </c>
      <c r="E9366" s="6">
        <v>-28791</v>
      </c>
      <c r="F9366" t="s">
        <v>47</v>
      </c>
      <c r="G9366" t="s">
        <v>20</v>
      </c>
      <c r="H9366" t="s">
        <v>21</v>
      </c>
      <c r="I9366" t="s">
        <v>18168</v>
      </c>
      <c r="J9366" t="str">
        <f>HYPERLINK("https://www.boe.es/gazeta/dias/1821/03/03/pdfs/GGB-1821-62.pdf#page=3","Abrir facsímil")</f>
        <v>Abrir facsímil</v>
      </c>
      <c r="K9366" t="s">
        <v>23</v>
      </c>
    </row>
    <row r="9367" spans="1:11" ht="42" customHeight="1">
      <c r="A9367" t="s">
        <v>18169</v>
      </c>
      <c r="B9367" t="s">
        <v>18170</v>
      </c>
      <c r="C9367" t="s">
        <v>26</v>
      </c>
      <c r="D9367" t="s">
        <v>27</v>
      </c>
      <c r="E9367" s="6">
        <v>-28629</v>
      </c>
      <c r="F9367" t="s">
        <v>235</v>
      </c>
      <c r="G9367" t="s">
        <v>88</v>
      </c>
      <c r="H9367" t="s">
        <v>21</v>
      </c>
      <c r="I9367" t="s">
        <v>18171</v>
      </c>
      <c r="J9367" t="str">
        <f>HYPERLINK("https://www.boe.es/gazeta/dias/1821/08/12/pdfs/GMD-1821-229.pdf#page=4","Abrir facsímil")</f>
        <v>Abrir facsímil</v>
      </c>
      <c r="K9367" t="s">
        <v>23</v>
      </c>
    </row>
    <row r="9368" spans="1:11" ht="42" customHeight="1">
      <c r="A9368" t="s">
        <v>18172</v>
      </c>
      <c r="B9368" t="s">
        <v>18172</v>
      </c>
      <c r="C9368" t="s">
        <v>279</v>
      </c>
      <c r="D9368" t="s">
        <v>27</v>
      </c>
      <c r="E9368" s="6">
        <v>-28725</v>
      </c>
      <c r="F9368" t="s">
        <v>440</v>
      </c>
      <c r="G9368" t="s">
        <v>52</v>
      </c>
      <c r="H9368" t="s">
        <v>21</v>
      </c>
      <c r="I9368" t="s">
        <v>18173</v>
      </c>
      <c r="J9368" t="str">
        <f>HYPERLINK("https://www.boe.es/gazeta/dias/1821/05/08/pdfs/GMD-1821-130.pdf#page=2","Abrir facsímil")</f>
        <v>Abrir facsímil</v>
      </c>
      <c r="K9368" t="s">
        <v>23</v>
      </c>
    </row>
    <row r="9369" spans="1:11" ht="42" customHeight="1">
      <c r="A9369" t="s">
        <v>18174</v>
      </c>
      <c r="B9369" t="s">
        <v>18174</v>
      </c>
      <c r="C9369" t="s">
        <v>17</v>
      </c>
      <c r="D9369" t="s">
        <v>18</v>
      </c>
      <c r="E9369" s="6">
        <v>-28824</v>
      </c>
      <c r="F9369" t="s">
        <v>1227</v>
      </c>
      <c r="G9369" t="s">
        <v>43</v>
      </c>
      <c r="H9369" t="s">
        <v>21</v>
      </c>
      <c r="I9369" t="s">
        <v>18175</v>
      </c>
      <c r="J9369" t="str">
        <f>HYPERLINK("https://www.boe.es/gazeta/dias/1821/01/29/pdfs/GGB-1821-29.pdf#page=1","Abrir facsímil")</f>
        <v>Abrir facsímil</v>
      </c>
      <c r="K9369" t="s">
        <v>23</v>
      </c>
    </row>
    <row r="9370" spans="1:11" ht="42" customHeight="1">
      <c r="A9370" t="s">
        <v>18176</v>
      </c>
      <c r="B9370" t="s">
        <v>18176</v>
      </c>
      <c r="C9370" t="s">
        <v>40</v>
      </c>
      <c r="D9370" t="s">
        <v>41</v>
      </c>
      <c r="E9370" s="6">
        <v>-28821</v>
      </c>
      <c r="F9370" t="s">
        <v>371</v>
      </c>
      <c r="G9370" t="s">
        <v>43</v>
      </c>
      <c r="H9370" t="s">
        <v>21</v>
      </c>
      <c r="I9370" t="s">
        <v>18177</v>
      </c>
      <c r="J9370" t="str">
        <f>HYPERLINK("https://www.boe.es/gazeta/dias/1821/02/01/pdfs/GGB-1821-32.pdf#page=1","Abrir facsímil")</f>
        <v>Abrir facsímil</v>
      </c>
      <c r="K9370" t="s">
        <v>23</v>
      </c>
    </row>
    <row r="9371" spans="1:11" ht="42" customHeight="1">
      <c r="A9371" t="s">
        <v>18176</v>
      </c>
      <c r="B9371" t="s">
        <v>18176</v>
      </c>
      <c r="C9371" t="s">
        <v>35</v>
      </c>
      <c r="D9371" t="s">
        <v>27</v>
      </c>
      <c r="E9371" s="6">
        <v>-28821</v>
      </c>
      <c r="F9371" t="s">
        <v>371</v>
      </c>
      <c r="G9371" t="s">
        <v>52</v>
      </c>
      <c r="H9371" t="s">
        <v>21</v>
      </c>
      <c r="I9371" t="s">
        <v>18178</v>
      </c>
      <c r="J9371" t="str">
        <f>HYPERLINK("https://www.boe.es/gazeta/dias/1821/02/01/pdfs/GGB-1821-32.pdf#page=2","Abrir facsímil")</f>
        <v>Abrir facsímil</v>
      </c>
      <c r="K9371" t="s">
        <v>23</v>
      </c>
    </row>
    <row r="9372" spans="1:11" ht="42" customHeight="1">
      <c r="A9372" t="s">
        <v>18174</v>
      </c>
      <c r="B9372" t="s">
        <v>18174</v>
      </c>
      <c r="C9372" t="s">
        <v>17</v>
      </c>
      <c r="D9372" t="s">
        <v>18</v>
      </c>
      <c r="E9372" s="6">
        <v>-28813</v>
      </c>
      <c r="F9372" t="s">
        <v>268</v>
      </c>
      <c r="G9372" t="s">
        <v>20</v>
      </c>
      <c r="H9372" t="s">
        <v>21</v>
      </c>
      <c r="I9372" t="s">
        <v>18179</v>
      </c>
      <c r="J9372" t="str">
        <f>HYPERLINK("https://www.boe.es/gazeta/dias/1821/02/09/pdfs/GGB-1821-40.pdf#page=3","Abrir facsímil")</f>
        <v>Abrir facsímil</v>
      </c>
      <c r="K9372" t="s">
        <v>23</v>
      </c>
    </row>
    <row r="9373" spans="1:11" ht="42" customHeight="1">
      <c r="A9373" t="s">
        <v>18174</v>
      </c>
      <c r="B9373" t="s">
        <v>18174</v>
      </c>
      <c r="C9373" t="s">
        <v>17</v>
      </c>
      <c r="D9373" t="s">
        <v>18</v>
      </c>
      <c r="E9373" s="6">
        <v>-28804</v>
      </c>
      <c r="F9373" t="s">
        <v>1580</v>
      </c>
      <c r="G9373" t="s">
        <v>43</v>
      </c>
      <c r="H9373" t="s">
        <v>21</v>
      </c>
      <c r="I9373" t="s">
        <v>18180</v>
      </c>
      <c r="J9373" t="str">
        <f>HYPERLINK("https://www.boe.es/gazeta/dias/1821/02/18/pdfs/GGB-1821-49.pdf#page=1","Abrir facsímil")</f>
        <v>Abrir facsímil</v>
      </c>
      <c r="K9373" t="s">
        <v>23</v>
      </c>
    </row>
    <row r="9374" spans="1:11" ht="42" customHeight="1">
      <c r="A9374" t="s">
        <v>18174</v>
      </c>
      <c r="B9374" t="s">
        <v>18174</v>
      </c>
      <c r="C9374" t="s">
        <v>17</v>
      </c>
      <c r="D9374" t="s">
        <v>18</v>
      </c>
      <c r="E9374" s="6">
        <v>-28762</v>
      </c>
      <c r="F9374" t="s">
        <v>608</v>
      </c>
      <c r="G9374" t="s">
        <v>52</v>
      </c>
      <c r="H9374" t="s">
        <v>21</v>
      </c>
      <c r="I9374" t="s">
        <v>18181</v>
      </c>
      <c r="J9374" t="str">
        <f>HYPERLINK("https://www.boe.es/gazeta/dias/1821/04/01/pdfs/GMD-1821-93.pdf#page=2","Abrir facsímil")</f>
        <v>Abrir facsímil</v>
      </c>
      <c r="K9374" t="s">
        <v>23</v>
      </c>
    </row>
    <row r="9375" spans="1:11" ht="42" customHeight="1">
      <c r="A9375" t="s">
        <v>18174</v>
      </c>
      <c r="B9375" t="s">
        <v>18174</v>
      </c>
      <c r="C9375" t="s">
        <v>40</v>
      </c>
      <c r="D9375" t="s">
        <v>41</v>
      </c>
      <c r="E9375" s="6">
        <v>-28726</v>
      </c>
      <c r="F9375" t="s">
        <v>347</v>
      </c>
      <c r="G9375" t="s">
        <v>52</v>
      </c>
      <c r="H9375" t="s">
        <v>21</v>
      </c>
      <c r="I9375" t="s">
        <v>18182</v>
      </c>
      <c r="J9375" t="str">
        <f>HYPERLINK("https://www.boe.es/gazeta/dias/1821/05/07/pdfs/GMD-1821-129.pdf#page=2","Abrir facsímil")</f>
        <v>Abrir facsímil</v>
      </c>
      <c r="K9375" t="s">
        <v>23</v>
      </c>
    </row>
    <row r="9376" spans="1:11" ht="42" customHeight="1">
      <c r="A9376" t="s">
        <v>18176</v>
      </c>
      <c r="B9376" t="s">
        <v>18176</v>
      </c>
      <c r="C9376" t="s">
        <v>17</v>
      </c>
      <c r="D9376" t="s">
        <v>18</v>
      </c>
      <c r="E9376" s="6">
        <v>-28722</v>
      </c>
      <c r="F9376" t="s">
        <v>623</v>
      </c>
      <c r="G9376" t="s">
        <v>88</v>
      </c>
      <c r="H9376" t="s">
        <v>21</v>
      </c>
      <c r="I9376" t="s">
        <v>18183</v>
      </c>
      <c r="J9376" t="str">
        <f>HYPERLINK("https://www.boe.es/gazeta/dias/1821/05/11/pdfs/GMD-1821-133.pdf#page=4","Abrir facsímil")</f>
        <v>Abrir facsímil</v>
      </c>
      <c r="K9376" t="s">
        <v>23</v>
      </c>
    </row>
    <row r="9377" spans="1:11" ht="42" customHeight="1">
      <c r="A9377" t="s">
        <v>18184</v>
      </c>
      <c r="B9377" t="s">
        <v>18185</v>
      </c>
      <c r="C9377" t="s">
        <v>26</v>
      </c>
      <c r="D9377" t="s">
        <v>27</v>
      </c>
      <c r="E9377" s="6">
        <v>-28677</v>
      </c>
      <c r="F9377" t="s">
        <v>361</v>
      </c>
      <c r="G9377" t="s">
        <v>43</v>
      </c>
      <c r="H9377" t="s">
        <v>21</v>
      </c>
      <c r="I9377" t="s">
        <v>18186</v>
      </c>
      <c r="J9377" t="str">
        <f>HYPERLINK("https://www.boe.es/gazeta/dias/1821/06/25/pdfs/GMD-1821-178.pdf#page=1","Abrir facsímil")</f>
        <v>Abrir facsímil</v>
      </c>
      <c r="K9377" t="s">
        <v>23</v>
      </c>
    </row>
    <row r="9378" spans="1:11" ht="42" customHeight="1">
      <c r="A9378" t="s">
        <v>18187</v>
      </c>
      <c r="B9378" t="s">
        <v>18187</v>
      </c>
      <c r="C9378" t="s">
        <v>40</v>
      </c>
      <c r="D9378" t="s">
        <v>41</v>
      </c>
      <c r="E9378" s="6">
        <v>-28504</v>
      </c>
      <c r="F9378" t="s">
        <v>1098</v>
      </c>
      <c r="G9378" t="s">
        <v>52</v>
      </c>
      <c r="H9378" t="s">
        <v>21</v>
      </c>
      <c r="I9378" t="s">
        <v>18188</v>
      </c>
      <c r="J9378" t="str">
        <f>HYPERLINK("https://www.boe.es/gazeta/dias/1821/12/15/pdfs/GMD-1821-358.pdf#page=2","Abrir facsímil")</f>
        <v>Abrir facsímil</v>
      </c>
      <c r="K9378" t="s">
        <v>23</v>
      </c>
    </row>
    <row r="9379" spans="1:11" ht="42" customHeight="1">
      <c r="A9379" t="s">
        <v>18189</v>
      </c>
      <c r="B9379" t="s">
        <v>18189</v>
      </c>
      <c r="C9379" t="s">
        <v>40</v>
      </c>
      <c r="D9379" t="s">
        <v>41</v>
      </c>
      <c r="E9379" s="6">
        <v>-28725</v>
      </c>
      <c r="F9379" t="s">
        <v>440</v>
      </c>
      <c r="G9379" t="s">
        <v>52</v>
      </c>
      <c r="H9379" t="s">
        <v>21</v>
      </c>
      <c r="I9379" t="s">
        <v>18190</v>
      </c>
      <c r="J9379" t="str">
        <f>HYPERLINK("https://www.boe.es/gazeta/dias/1821/05/08/pdfs/GMD-1821-130.pdf#page=2","Abrir facsímil")</f>
        <v>Abrir facsímil</v>
      </c>
      <c r="K9379" t="s">
        <v>23</v>
      </c>
    </row>
    <row r="9380" spans="1:11" ht="42" customHeight="1">
      <c r="A9380" t="s">
        <v>18191</v>
      </c>
      <c r="B9380" t="s">
        <v>18191</v>
      </c>
      <c r="C9380" t="s">
        <v>17</v>
      </c>
      <c r="D9380" t="s">
        <v>18</v>
      </c>
      <c r="E9380" s="6">
        <v>-28837</v>
      </c>
      <c r="F9380" t="s">
        <v>1234</v>
      </c>
      <c r="G9380" t="s">
        <v>43</v>
      </c>
      <c r="H9380" t="s">
        <v>21</v>
      </c>
      <c r="I9380" t="s">
        <v>18192</v>
      </c>
      <c r="J9380" t="str">
        <f>HYPERLINK("https://www.boe.es/gazeta/dias/1821/01/16/pdfs/GGB-1821-16.pdf#page=1","Abrir facsímil")</f>
        <v>Abrir facsímil</v>
      </c>
      <c r="K9380" t="s">
        <v>23</v>
      </c>
    </row>
    <row r="9381" spans="1:11" ht="42" customHeight="1">
      <c r="A9381" t="s">
        <v>18191</v>
      </c>
      <c r="B9381" t="s">
        <v>18191</v>
      </c>
      <c r="C9381" t="s">
        <v>40</v>
      </c>
      <c r="D9381" t="s">
        <v>41</v>
      </c>
      <c r="E9381" s="6">
        <v>-28771</v>
      </c>
      <c r="F9381" t="s">
        <v>110</v>
      </c>
      <c r="G9381" t="s">
        <v>43</v>
      </c>
      <c r="H9381" t="s">
        <v>21</v>
      </c>
      <c r="I9381" t="s">
        <v>18193</v>
      </c>
      <c r="J9381" t="str">
        <f>HYPERLINK("https://www.boe.es/gazeta/dias/1821/03/23/pdfs/GMD-1821-83.pdf#page=1","Abrir facsímil")</f>
        <v>Abrir facsímil</v>
      </c>
      <c r="K9381" t="s">
        <v>23</v>
      </c>
    </row>
    <row r="9382" spans="1:11" ht="42" customHeight="1">
      <c r="A9382" t="s">
        <v>18194</v>
      </c>
      <c r="B9382" t="s">
        <v>18194</v>
      </c>
      <c r="C9382" t="s">
        <v>174</v>
      </c>
      <c r="D9382" t="s">
        <v>27</v>
      </c>
      <c r="E9382" s="6">
        <v>-28576</v>
      </c>
      <c r="F9382" t="s">
        <v>1924</v>
      </c>
      <c r="G9382" t="s">
        <v>43</v>
      </c>
      <c r="H9382" t="s">
        <v>21</v>
      </c>
      <c r="I9382" t="s">
        <v>18195</v>
      </c>
      <c r="J9382" t="str">
        <f>HYPERLINK("https://www.boe.es/gazeta/dias/1821/10/04/pdfs/GMD-1821-283.pdf#page=1","Abrir facsímil")</f>
        <v>Abrir facsímil</v>
      </c>
      <c r="K9382" t="s">
        <v>23</v>
      </c>
    </row>
    <row r="9383" spans="1:11" ht="42" customHeight="1">
      <c r="A9383" t="s">
        <v>18196</v>
      </c>
      <c r="B9383" t="s">
        <v>18197</v>
      </c>
      <c r="C9383" t="s">
        <v>40</v>
      </c>
      <c r="D9383" t="s">
        <v>41</v>
      </c>
      <c r="E9383" s="6">
        <v>-28507</v>
      </c>
      <c r="F9383" t="s">
        <v>1158</v>
      </c>
      <c r="G9383" t="s">
        <v>52</v>
      </c>
      <c r="H9383" t="s">
        <v>30</v>
      </c>
      <c r="I9383" t="s">
        <v>18198</v>
      </c>
      <c r="J9383" t="str">
        <f>HYPERLINK("https://www.boe.es/gazeta/dias/1821/12/12/pdfs/GMD-1821-354.pdf#page=2","Abrir facsímil")</f>
        <v>Abrir facsímil</v>
      </c>
      <c r="K9383" t="s">
        <v>32</v>
      </c>
    </row>
    <row r="9384" spans="1:11" ht="42" customHeight="1">
      <c r="A9384" t="s">
        <v>18199</v>
      </c>
      <c r="B9384" t="s">
        <v>18200</v>
      </c>
      <c r="C9384" t="s">
        <v>40</v>
      </c>
      <c r="D9384" t="s">
        <v>41</v>
      </c>
      <c r="E9384" s="6">
        <v>-28541</v>
      </c>
      <c r="F9384" t="s">
        <v>275</v>
      </c>
      <c r="G9384" t="s">
        <v>52</v>
      </c>
      <c r="H9384" t="s">
        <v>21</v>
      </c>
      <c r="I9384" t="s">
        <v>18201</v>
      </c>
      <c r="J9384" t="str">
        <f>HYPERLINK("https://www.boe.es/gazeta/dias/1821/11/08/pdfs/GMD-1821-319.pdf#page=2","Abrir facsímil")</f>
        <v>Abrir facsímil</v>
      </c>
      <c r="K9384" t="s">
        <v>23</v>
      </c>
    </row>
    <row r="9385" spans="1:11" ht="42" customHeight="1">
      <c r="A9385" t="s">
        <v>18202</v>
      </c>
      <c r="B9385" t="s">
        <v>18203</v>
      </c>
      <c r="C9385" t="s">
        <v>40</v>
      </c>
      <c r="D9385" t="s">
        <v>41</v>
      </c>
      <c r="E9385" s="6">
        <v>-28529</v>
      </c>
      <c r="F9385" t="s">
        <v>525</v>
      </c>
      <c r="G9385" t="s">
        <v>88</v>
      </c>
      <c r="H9385" t="s">
        <v>21</v>
      </c>
      <c r="I9385" t="s">
        <v>18204</v>
      </c>
      <c r="J9385" t="str">
        <f>HYPERLINK("https://www.boe.es/gazeta/dias/1821/11/20/pdfs/GMD-1821-331.pdf#page=4","Abrir facsímil")</f>
        <v>Abrir facsímil</v>
      </c>
      <c r="K9385" t="s">
        <v>23</v>
      </c>
    </row>
    <row r="9386" spans="1:11" ht="42" customHeight="1">
      <c r="A9386" t="s">
        <v>18205</v>
      </c>
      <c r="B9386" t="s">
        <v>18206</v>
      </c>
      <c r="C9386" t="s">
        <v>17</v>
      </c>
      <c r="D9386" t="s">
        <v>18</v>
      </c>
      <c r="E9386" s="6">
        <v>-28765</v>
      </c>
      <c r="F9386" t="s">
        <v>974</v>
      </c>
      <c r="G9386" t="s">
        <v>52</v>
      </c>
      <c r="H9386" t="s">
        <v>21</v>
      </c>
      <c r="I9386" t="s">
        <v>18207</v>
      </c>
      <c r="J9386" t="str">
        <f>HYPERLINK("https://www.boe.es/gazeta/dias/1821/03/29/pdfs/GMD-1821-90.pdf#page=2","Abrir facsímil")</f>
        <v>Abrir facsímil</v>
      </c>
      <c r="K9386" t="s">
        <v>23</v>
      </c>
    </row>
    <row r="9387" spans="1:11" ht="42" customHeight="1">
      <c r="A9387" t="s">
        <v>18208</v>
      </c>
      <c r="B9387" t="s">
        <v>18209</v>
      </c>
      <c r="C9387" t="s">
        <v>17</v>
      </c>
      <c r="D9387" t="s">
        <v>18</v>
      </c>
      <c r="E9387" s="6">
        <v>-28780</v>
      </c>
      <c r="F9387" t="s">
        <v>143</v>
      </c>
      <c r="G9387" t="s">
        <v>52</v>
      </c>
      <c r="H9387" t="s">
        <v>21</v>
      </c>
      <c r="I9387" t="s">
        <v>18210</v>
      </c>
      <c r="J9387" t="str">
        <f>HYPERLINK("https://www.boe.es/gazeta/dias/1821/03/14/pdfs/GMD-1821-73.pdf#page=2","Abrir facsímil")</f>
        <v>Abrir facsímil</v>
      </c>
      <c r="K9387" t="s">
        <v>23</v>
      </c>
    </row>
    <row r="9388" spans="1:11" ht="42" customHeight="1">
      <c r="A9388" t="s">
        <v>18208</v>
      </c>
      <c r="B9388" t="s">
        <v>18209</v>
      </c>
      <c r="C9388" t="s">
        <v>17</v>
      </c>
      <c r="D9388" t="s">
        <v>18</v>
      </c>
      <c r="E9388" s="6">
        <v>-28706</v>
      </c>
      <c r="F9388" t="s">
        <v>4791</v>
      </c>
      <c r="G9388" t="s">
        <v>52</v>
      </c>
      <c r="H9388" t="s">
        <v>21</v>
      </c>
      <c r="I9388" t="s">
        <v>18211</v>
      </c>
      <c r="J9388" t="str">
        <f>HYPERLINK("https://www.boe.es/gazeta/dias/1821/05/27/pdfs/GMD-1821-149.pdf#page=2","Abrir facsímil")</f>
        <v>Abrir facsímil</v>
      </c>
      <c r="K9388" t="s">
        <v>23</v>
      </c>
    </row>
    <row r="9389" spans="1:11" ht="42" customHeight="1">
      <c r="A9389" t="s">
        <v>18208</v>
      </c>
      <c r="B9389" t="s">
        <v>18209</v>
      </c>
      <c r="C9389" t="s">
        <v>40</v>
      </c>
      <c r="D9389" t="s">
        <v>41</v>
      </c>
      <c r="E9389" s="6">
        <v>-28508</v>
      </c>
      <c r="F9389" t="s">
        <v>42</v>
      </c>
      <c r="G9389" t="s">
        <v>52</v>
      </c>
      <c r="H9389" t="s">
        <v>21</v>
      </c>
      <c r="I9389" t="s">
        <v>18212</v>
      </c>
      <c r="J9389" t="str">
        <f>HYPERLINK("https://www.boe.es/gazeta/dias/1821/12/11/pdfs/GMD-1821-353.pdf#page=2","Abrir facsímil")</f>
        <v>Abrir facsímil</v>
      </c>
      <c r="K9389" t="s">
        <v>23</v>
      </c>
    </row>
    <row r="9390" spans="1:11" ht="42" customHeight="1">
      <c r="A9390" t="s">
        <v>18213</v>
      </c>
      <c r="B9390" t="s">
        <v>18214</v>
      </c>
      <c r="C9390" t="s">
        <v>40</v>
      </c>
      <c r="D9390" t="s">
        <v>41</v>
      </c>
      <c r="E9390" s="6">
        <v>-28725</v>
      </c>
      <c r="F9390" t="s">
        <v>440</v>
      </c>
      <c r="G9390" t="s">
        <v>88</v>
      </c>
      <c r="H9390" t="s">
        <v>21</v>
      </c>
      <c r="I9390" t="s">
        <v>18215</v>
      </c>
      <c r="J9390" t="str">
        <f>HYPERLINK("https://www.boe.es/gazeta/dias/1821/05/08/pdfs/GMD-1821-130.pdf#page=4","Abrir facsímil")</f>
        <v>Abrir facsímil</v>
      </c>
      <c r="K9390" t="s">
        <v>23</v>
      </c>
    </row>
    <row r="9391" spans="1:11" ht="42" customHeight="1">
      <c r="A9391" t="s">
        <v>18216</v>
      </c>
      <c r="B9391" t="s">
        <v>18217</v>
      </c>
      <c r="C9391" t="s">
        <v>40</v>
      </c>
      <c r="D9391" t="s">
        <v>41</v>
      </c>
      <c r="E9391" s="6">
        <v>-28665</v>
      </c>
      <c r="F9391" t="s">
        <v>789</v>
      </c>
      <c r="G9391" t="s">
        <v>790</v>
      </c>
      <c r="H9391" t="s">
        <v>21</v>
      </c>
      <c r="I9391" t="s">
        <v>18218</v>
      </c>
      <c r="J9391" t="str">
        <f>HYPERLINK("https://www.boe.es/gazeta/dias/1821/07/07/pdfs/GMD-1821-191.pdf#page=4","Abrir facsímil")</f>
        <v>Abrir facsímil</v>
      </c>
      <c r="K9391" t="s">
        <v>23</v>
      </c>
    </row>
    <row r="9392" spans="1:11" ht="42" customHeight="1">
      <c r="A9392" t="s">
        <v>18219</v>
      </c>
      <c r="B9392" t="s">
        <v>18220</v>
      </c>
      <c r="C9392" t="s">
        <v>114</v>
      </c>
      <c r="D9392" t="s">
        <v>27</v>
      </c>
      <c r="E9392" s="6">
        <v>-28492</v>
      </c>
      <c r="F9392" t="s">
        <v>1550</v>
      </c>
      <c r="G9392" t="s">
        <v>88</v>
      </c>
      <c r="H9392" t="s">
        <v>30</v>
      </c>
      <c r="I9392" t="s">
        <v>18221</v>
      </c>
      <c r="J9392" t="str">
        <f>HYPERLINK("https://www.boe.es/gazeta/dias/1821/12/27/pdfs/GMD-1821-370.pdf#page=4","Abrir facsímil")</f>
        <v>Abrir facsímil</v>
      </c>
      <c r="K9392" t="s">
        <v>32</v>
      </c>
    </row>
    <row r="9393" spans="1:11" ht="42" customHeight="1">
      <c r="A9393" t="s">
        <v>18222</v>
      </c>
      <c r="B9393" t="s">
        <v>18223</v>
      </c>
      <c r="C9393" t="s">
        <v>17</v>
      </c>
      <c r="D9393" t="s">
        <v>18</v>
      </c>
      <c r="E9393" s="6">
        <v>-28678</v>
      </c>
      <c r="F9393" t="s">
        <v>215</v>
      </c>
      <c r="G9393" t="s">
        <v>1445</v>
      </c>
      <c r="H9393" t="s">
        <v>21</v>
      </c>
      <c r="I9393" t="s">
        <v>18224</v>
      </c>
      <c r="J9393" t="str">
        <f>HYPERLINK("https://www.boe.es/gazeta/dias/1821/06/24/pdfs/GMD-1821-177.pdf#page=3","Abrir facsímil")</f>
        <v>Abrir facsímil</v>
      </c>
      <c r="K9393" t="s">
        <v>23</v>
      </c>
    </row>
    <row r="9394" spans="1:11" ht="42" customHeight="1">
      <c r="A9394" t="s">
        <v>18225</v>
      </c>
      <c r="B9394" t="s">
        <v>18226</v>
      </c>
      <c r="C9394" t="s">
        <v>70</v>
      </c>
      <c r="D9394" t="s">
        <v>27</v>
      </c>
      <c r="E9394" s="6">
        <v>-28509</v>
      </c>
      <c r="F9394" t="s">
        <v>388</v>
      </c>
      <c r="G9394" t="s">
        <v>333</v>
      </c>
      <c r="H9394" t="s">
        <v>21</v>
      </c>
      <c r="I9394" t="s">
        <v>18227</v>
      </c>
      <c r="J9394" t="str">
        <f>HYPERLINK("https://www.boe.es/gazeta/dias/1821/12/10/pdfs/GMD-1821-352.pdf#page=8","Abrir facsímil")</f>
        <v>Abrir facsímil</v>
      </c>
      <c r="K9394" t="s">
        <v>23</v>
      </c>
    </row>
    <row r="9395" spans="1:11" ht="42" customHeight="1">
      <c r="A9395" t="s">
        <v>18228</v>
      </c>
      <c r="B9395" t="s">
        <v>18229</v>
      </c>
      <c r="C9395" t="s">
        <v>26</v>
      </c>
      <c r="D9395" t="s">
        <v>27</v>
      </c>
      <c r="E9395" s="6">
        <v>-28659</v>
      </c>
      <c r="F9395" t="s">
        <v>2850</v>
      </c>
      <c r="G9395" t="s">
        <v>5087</v>
      </c>
      <c r="H9395" t="s">
        <v>21</v>
      </c>
      <c r="I9395" t="s">
        <v>18230</v>
      </c>
      <c r="J9395" t="str">
        <f>HYPERLINK("https://www.boe.es/gazeta/dias/1821/07/13/pdfs/GMD-1821-198.pdf#page=4","Abrir facsímil")</f>
        <v>Abrir facsímil</v>
      </c>
      <c r="K9395" t="s">
        <v>23</v>
      </c>
    </row>
    <row r="9396" spans="1:11" ht="42" customHeight="1">
      <c r="A9396" t="s">
        <v>18231</v>
      </c>
      <c r="B9396" t="s">
        <v>18232</v>
      </c>
      <c r="C9396" t="s">
        <v>35</v>
      </c>
      <c r="D9396" t="s">
        <v>27</v>
      </c>
      <c r="E9396" s="6">
        <v>-28706</v>
      </c>
      <c r="F9396" t="s">
        <v>4791</v>
      </c>
      <c r="G9396" t="s">
        <v>52</v>
      </c>
      <c r="H9396" t="s">
        <v>21</v>
      </c>
      <c r="I9396" t="s">
        <v>18233</v>
      </c>
      <c r="J9396" t="str">
        <f>HYPERLINK("https://www.boe.es/gazeta/dias/1821/05/27/pdfs/GMD-1821-149.pdf#page=2","Abrir facsímil")</f>
        <v>Abrir facsímil</v>
      </c>
      <c r="K9396" t="s">
        <v>23</v>
      </c>
    </row>
    <row r="9397" spans="1:11" ht="42" customHeight="1">
      <c r="A9397" t="s">
        <v>18234</v>
      </c>
      <c r="B9397" t="s">
        <v>18235</v>
      </c>
      <c r="C9397" t="s">
        <v>40</v>
      </c>
      <c r="D9397" t="s">
        <v>41</v>
      </c>
      <c r="E9397" s="6">
        <v>-28749</v>
      </c>
      <c r="F9397" t="s">
        <v>832</v>
      </c>
      <c r="G9397" t="s">
        <v>52</v>
      </c>
      <c r="H9397" t="s">
        <v>21</v>
      </c>
      <c r="I9397" t="s">
        <v>18236</v>
      </c>
      <c r="J9397" t="str">
        <f>HYPERLINK("https://www.boe.es/gazeta/dias/1821/04/14/pdfs/GMD-1821-106.pdf#page=2","Abrir facsímil")</f>
        <v>Abrir facsímil</v>
      </c>
      <c r="K9397" t="s">
        <v>23</v>
      </c>
    </row>
    <row r="9398" spans="1:11" ht="42" customHeight="1">
      <c r="A9398" t="s">
        <v>18237</v>
      </c>
      <c r="B9398" t="s">
        <v>18238</v>
      </c>
      <c r="C9398" t="s">
        <v>35</v>
      </c>
      <c r="D9398" t="s">
        <v>27</v>
      </c>
      <c r="E9398" s="6">
        <v>-28718</v>
      </c>
      <c r="F9398" t="s">
        <v>583</v>
      </c>
      <c r="G9398" t="s">
        <v>88</v>
      </c>
      <c r="H9398" t="s">
        <v>21</v>
      </c>
      <c r="I9398" t="s">
        <v>18239</v>
      </c>
      <c r="J9398" t="str">
        <f>HYPERLINK("https://www.boe.es/gazeta/dias/1821/05/15/pdfs/GMD-1821-137.pdf#page=4","Abrir facsímil")</f>
        <v>Abrir facsímil</v>
      </c>
      <c r="K9398" t="s">
        <v>23</v>
      </c>
    </row>
    <row r="9399" spans="1:11" ht="42" customHeight="1">
      <c r="A9399" t="s">
        <v>18240</v>
      </c>
      <c r="B9399" t="s">
        <v>18241</v>
      </c>
      <c r="C9399" t="s">
        <v>26</v>
      </c>
      <c r="D9399" t="s">
        <v>27</v>
      </c>
      <c r="E9399" s="6">
        <v>-28530</v>
      </c>
      <c r="F9399" t="s">
        <v>237</v>
      </c>
      <c r="G9399" t="s">
        <v>52</v>
      </c>
      <c r="H9399" t="s">
        <v>21</v>
      </c>
      <c r="I9399" t="s">
        <v>18242</v>
      </c>
      <c r="J9399" t="str">
        <f>HYPERLINK("https://www.boe.es/gazeta/dias/1821/11/19/pdfs/GMD-1821-330.pdf#page=2","Abrir facsímil")</f>
        <v>Abrir facsímil</v>
      </c>
      <c r="K9399" t="s">
        <v>23</v>
      </c>
    </row>
    <row r="9400" spans="1:11" ht="42" customHeight="1">
      <c r="A9400" t="s">
        <v>18243</v>
      </c>
      <c r="B9400" t="s">
        <v>18244</v>
      </c>
      <c r="C9400" t="s">
        <v>114</v>
      </c>
      <c r="D9400" t="s">
        <v>27</v>
      </c>
      <c r="E9400" s="6">
        <v>-28781</v>
      </c>
      <c r="F9400" t="s">
        <v>149</v>
      </c>
      <c r="G9400" t="s">
        <v>29</v>
      </c>
      <c r="H9400" t="s">
        <v>21</v>
      </c>
      <c r="I9400" t="s">
        <v>18245</v>
      </c>
      <c r="J9400" t="str">
        <f>HYPERLINK("https://www.boe.es/gazeta/dias/1821/03/13/pdfs/GMD-1821-72.pdf#page=6","Abrir facsímil")</f>
        <v>Abrir facsímil</v>
      </c>
      <c r="K9400" t="s">
        <v>23</v>
      </c>
    </row>
    <row r="9401" spans="1:11" ht="42" customHeight="1">
      <c r="A9401" t="s">
        <v>18246</v>
      </c>
      <c r="B9401" t="s">
        <v>18247</v>
      </c>
      <c r="C9401" t="s">
        <v>17</v>
      </c>
      <c r="D9401" t="s">
        <v>18</v>
      </c>
      <c r="E9401" s="6">
        <v>-28599</v>
      </c>
      <c r="F9401" t="s">
        <v>902</v>
      </c>
      <c r="G9401" t="s">
        <v>88</v>
      </c>
      <c r="H9401" t="s">
        <v>30</v>
      </c>
      <c r="I9401" t="s">
        <v>18248</v>
      </c>
      <c r="J9401" t="str">
        <f>HYPERLINK("https://www.boe.es/gazeta/dias/1821/09/11/pdfs/GMD-1821-259.pdf#page=4","Abrir facsímil")</f>
        <v>Abrir facsímil</v>
      </c>
      <c r="K9401" t="s">
        <v>32</v>
      </c>
    </row>
    <row r="9402" spans="1:11" ht="42" customHeight="1">
      <c r="A9402" t="s">
        <v>18249</v>
      </c>
      <c r="B9402" t="s">
        <v>18249</v>
      </c>
      <c r="C9402" t="s">
        <v>40</v>
      </c>
      <c r="D9402" t="s">
        <v>41</v>
      </c>
      <c r="E9402" s="6">
        <v>-28823</v>
      </c>
      <c r="F9402" t="s">
        <v>1890</v>
      </c>
      <c r="G9402" t="s">
        <v>43</v>
      </c>
      <c r="H9402" t="s">
        <v>21</v>
      </c>
      <c r="I9402" t="s">
        <v>18250</v>
      </c>
      <c r="J9402" t="str">
        <f>HYPERLINK("https://www.boe.es/gazeta/dias/1821/01/30/pdfs/GGB-1821-30.pdf#page=1","Abrir facsímil")</f>
        <v>Abrir facsímil</v>
      </c>
      <c r="K9402" t="s">
        <v>23</v>
      </c>
    </row>
    <row r="9403" spans="1:11" ht="42" customHeight="1">
      <c r="A9403" t="s">
        <v>18249</v>
      </c>
      <c r="B9403" t="s">
        <v>18249</v>
      </c>
      <c r="C9403" t="s">
        <v>17</v>
      </c>
      <c r="D9403" t="s">
        <v>18</v>
      </c>
      <c r="E9403" s="6">
        <v>-28821</v>
      </c>
      <c r="F9403" t="s">
        <v>371</v>
      </c>
      <c r="G9403" t="s">
        <v>52</v>
      </c>
      <c r="H9403" t="s">
        <v>21</v>
      </c>
      <c r="I9403" t="s">
        <v>18251</v>
      </c>
      <c r="J9403" t="str">
        <f>HYPERLINK("https://www.boe.es/gazeta/dias/1821/02/01/pdfs/GGB-1821-32.pdf#page=2","Abrir facsímil")</f>
        <v>Abrir facsímil</v>
      </c>
      <c r="K9403" t="s">
        <v>23</v>
      </c>
    </row>
    <row r="9404" spans="1:11" ht="42" customHeight="1">
      <c r="A9404" t="s">
        <v>18249</v>
      </c>
      <c r="B9404" t="s">
        <v>18249</v>
      </c>
      <c r="C9404" t="s">
        <v>26</v>
      </c>
      <c r="D9404" t="s">
        <v>27</v>
      </c>
      <c r="E9404" s="6">
        <v>-28821</v>
      </c>
      <c r="F9404" t="s">
        <v>371</v>
      </c>
      <c r="G9404" t="s">
        <v>20</v>
      </c>
      <c r="H9404" t="s">
        <v>21</v>
      </c>
      <c r="I9404" t="s">
        <v>18252</v>
      </c>
      <c r="J9404" t="str">
        <f>HYPERLINK("https://www.boe.es/gazeta/dias/1821/02/01/pdfs/GGB-1821-32.pdf#page=3","Abrir facsímil")</f>
        <v>Abrir facsímil</v>
      </c>
      <c r="K9404" t="s">
        <v>23</v>
      </c>
    </row>
    <row r="9405" spans="1:11" ht="42" customHeight="1">
      <c r="A9405" t="s">
        <v>18249</v>
      </c>
      <c r="B9405" t="s">
        <v>18249</v>
      </c>
      <c r="C9405" t="s">
        <v>17</v>
      </c>
      <c r="D9405" t="s">
        <v>18</v>
      </c>
      <c r="E9405" s="6">
        <v>-28673</v>
      </c>
      <c r="F9405" t="s">
        <v>1069</v>
      </c>
      <c r="G9405" t="s">
        <v>43</v>
      </c>
      <c r="H9405" t="s">
        <v>21</v>
      </c>
      <c r="I9405" t="s">
        <v>18253</v>
      </c>
      <c r="J9405" t="str">
        <f>HYPERLINK("https://www.boe.es/gazeta/dias/1821/06/29/pdfs/GMD-1821-182.pdf#page=1","Abrir facsímil")</f>
        <v>Abrir facsímil</v>
      </c>
      <c r="K9405" t="s">
        <v>23</v>
      </c>
    </row>
    <row r="9406" spans="1:11" ht="42" customHeight="1">
      <c r="A9406" t="s">
        <v>18254</v>
      </c>
      <c r="B9406" t="s">
        <v>18255</v>
      </c>
      <c r="C9406" t="s">
        <v>26</v>
      </c>
      <c r="D9406" t="s">
        <v>27</v>
      </c>
      <c r="E9406" s="6">
        <v>-28619</v>
      </c>
      <c r="F9406" t="s">
        <v>3364</v>
      </c>
      <c r="G9406" t="s">
        <v>43</v>
      </c>
      <c r="H9406" t="s">
        <v>21</v>
      </c>
      <c r="I9406" t="s">
        <v>18256</v>
      </c>
      <c r="J9406" t="str">
        <f>HYPERLINK("https://www.boe.es/gazeta/dias/1821/08/22/pdfs/GMD-1821-239.pdf#page=1","Abrir facsímil")</f>
        <v>Abrir facsímil</v>
      </c>
      <c r="K9406" t="s">
        <v>23</v>
      </c>
    </row>
    <row r="9407" spans="1:11" ht="42" customHeight="1">
      <c r="A9407" t="s">
        <v>18257</v>
      </c>
      <c r="B9407" t="s">
        <v>18257</v>
      </c>
      <c r="C9407" t="s">
        <v>40</v>
      </c>
      <c r="D9407" t="s">
        <v>41</v>
      </c>
      <c r="E9407" s="6">
        <v>-28795</v>
      </c>
      <c r="F9407" t="s">
        <v>2287</v>
      </c>
      <c r="G9407" t="s">
        <v>20</v>
      </c>
      <c r="H9407" t="s">
        <v>21</v>
      </c>
      <c r="I9407" t="s">
        <v>18258</v>
      </c>
      <c r="J9407" t="str">
        <f>HYPERLINK("https://www.boe.es/gazeta/dias/1821/02/27/pdfs/GGB-1821-58.pdf#page=3","Abrir facsímil")</f>
        <v>Abrir facsímil</v>
      </c>
      <c r="K9407" t="s">
        <v>23</v>
      </c>
    </row>
    <row r="9408" spans="1:11" ht="42" customHeight="1">
      <c r="A9408" t="s">
        <v>18257</v>
      </c>
      <c r="B9408" t="s">
        <v>18257</v>
      </c>
      <c r="C9408" t="s">
        <v>17</v>
      </c>
      <c r="D9408" t="s">
        <v>18</v>
      </c>
      <c r="E9408" s="6">
        <v>-28793</v>
      </c>
      <c r="F9408" t="s">
        <v>157</v>
      </c>
      <c r="G9408" t="s">
        <v>52</v>
      </c>
      <c r="H9408" t="s">
        <v>21</v>
      </c>
      <c r="I9408" t="s">
        <v>18259</v>
      </c>
      <c r="J9408" t="str">
        <f>HYPERLINK("https://www.boe.es/gazeta/dias/1821/03/01/pdfs/GGB-1821-60.pdf#page=2","Abrir facsímil")</f>
        <v>Abrir facsímil</v>
      </c>
      <c r="K9408" t="s">
        <v>23</v>
      </c>
    </row>
    <row r="9409" spans="1:11" ht="42" customHeight="1">
      <c r="A9409" t="s">
        <v>18260</v>
      </c>
      <c r="B9409" t="s">
        <v>18261</v>
      </c>
      <c r="C9409" t="s">
        <v>26</v>
      </c>
      <c r="D9409" t="s">
        <v>27</v>
      </c>
      <c r="E9409" s="6">
        <v>-28712</v>
      </c>
      <c r="F9409" t="s">
        <v>695</v>
      </c>
      <c r="G9409" t="s">
        <v>43</v>
      </c>
      <c r="H9409" t="s">
        <v>21</v>
      </c>
      <c r="I9409" t="s">
        <v>18262</v>
      </c>
      <c r="J9409" t="str">
        <f>HYPERLINK("https://www.boe.es/gazeta/dias/1821/05/21/pdfs/GMD-1821-143.pdf#page=1","Abrir facsímil")</f>
        <v>Abrir facsímil</v>
      </c>
      <c r="K9409" t="s">
        <v>23</v>
      </c>
    </row>
    <row r="9410" spans="1:11" ht="42" customHeight="1">
      <c r="A9410" t="s">
        <v>18263</v>
      </c>
      <c r="B9410" t="s">
        <v>18263</v>
      </c>
      <c r="C9410" t="s">
        <v>40</v>
      </c>
      <c r="D9410" t="s">
        <v>41</v>
      </c>
      <c r="E9410" s="6">
        <v>-28756</v>
      </c>
      <c r="F9410" t="s">
        <v>3145</v>
      </c>
      <c r="G9410" t="s">
        <v>43</v>
      </c>
      <c r="H9410" t="s">
        <v>21</v>
      </c>
      <c r="I9410" t="s">
        <v>18264</v>
      </c>
      <c r="J9410" t="str">
        <f>HYPERLINK("https://www.boe.es/gazeta/dias/1821/04/07/pdfs/GMD-1821-99.pdf#page=1","Abrir facsímil")</f>
        <v>Abrir facsímil</v>
      </c>
      <c r="K9410" t="s">
        <v>23</v>
      </c>
    </row>
    <row r="9411" spans="1:11" ht="42" customHeight="1">
      <c r="A9411" t="s">
        <v>18265</v>
      </c>
      <c r="B9411" t="s">
        <v>18265</v>
      </c>
      <c r="C9411" t="s">
        <v>40</v>
      </c>
      <c r="D9411" t="s">
        <v>41</v>
      </c>
      <c r="E9411" s="6">
        <v>-28813</v>
      </c>
      <c r="F9411" t="s">
        <v>268</v>
      </c>
      <c r="G9411" t="s">
        <v>20</v>
      </c>
      <c r="H9411" t="s">
        <v>21</v>
      </c>
      <c r="I9411" t="s">
        <v>18266</v>
      </c>
      <c r="J9411" t="str">
        <f>HYPERLINK("https://www.boe.es/gazeta/dias/1821/02/09/pdfs/GGB-1821-40.pdf#page=3","Abrir facsímil")</f>
        <v>Abrir facsímil</v>
      </c>
      <c r="K9411" t="s">
        <v>23</v>
      </c>
    </row>
    <row r="9412" spans="1:11" ht="42" customHeight="1">
      <c r="A9412" t="s">
        <v>18267</v>
      </c>
      <c r="B9412" t="s">
        <v>18267</v>
      </c>
      <c r="C9412" t="s">
        <v>17</v>
      </c>
      <c r="D9412" t="s">
        <v>18</v>
      </c>
      <c r="E9412" s="6">
        <v>-28765</v>
      </c>
      <c r="F9412" t="s">
        <v>974</v>
      </c>
      <c r="G9412" t="s">
        <v>1483</v>
      </c>
      <c r="H9412" t="s">
        <v>21</v>
      </c>
      <c r="I9412" t="s">
        <v>18268</v>
      </c>
      <c r="J9412" t="str">
        <f>HYPERLINK("https://www.boe.es/gazeta/dias/1821/03/29/pdfs/GMD-1821-90.pdf#page=4","Abrir facsímil")</f>
        <v>Abrir facsímil</v>
      </c>
      <c r="K9412" t="s">
        <v>23</v>
      </c>
    </row>
    <row r="9413" spans="1:11" ht="42" customHeight="1">
      <c r="A9413" t="s">
        <v>18269</v>
      </c>
      <c r="B9413" t="s">
        <v>18269</v>
      </c>
      <c r="C9413" t="s">
        <v>35</v>
      </c>
      <c r="D9413" t="s">
        <v>27</v>
      </c>
      <c r="E9413" s="6">
        <v>-28681</v>
      </c>
      <c r="F9413" t="s">
        <v>210</v>
      </c>
      <c r="G9413" t="s">
        <v>20</v>
      </c>
      <c r="H9413" t="s">
        <v>21</v>
      </c>
      <c r="I9413" t="s">
        <v>18270</v>
      </c>
      <c r="J9413" t="str">
        <f>HYPERLINK("https://www.boe.es/gazeta/dias/1821/06/21/pdfs/GMD-1821-174.pdf#page=3","Abrir facsímil")</f>
        <v>Abrir facsímil</v>
      </c>
      <c r="K9413" t="s">
        <v>23</v>
      </c>
    </row>
    <row r="9414" spans="1:11" ht="42" customHeight="1">
      <c r="A9414" t="s">
        <v>18271</v>
      </c>
      <c r="B9414" t="s">
        <v>18271</v>
      </c>
      <c r="C9414" t="s">
        <v>174</v>
      </c>
      <c r="D9414" t="s">
        <v>27</v>
      </c>
      <c r="E9414" s="6">
        <v>-28585</v>
      </c>
      <c r="F9414" t="s">
        <v>627</v>
      </c>
      <c r="G9414" t="s">
        <v>20</v>
      </c>
      <c r="H9414" t="s">
        <v>21</v>
      </c>
      <c r="I9414" t="s">
        <v>18272</v>
      </c>
      <c r="J9414" t="str">
        <f>HYPERLINK("https://www.boe.es/gazeta/dias/1821/09/25/pdfs/GMD-1821-273.pdf#page=3","Abrir facsímil")</f>
        <v>Abrir facsímil</v>
      </c>
      <c r="K9414" t="s">
        <v>23</v>
      </c>
    </row>
    <row r="9415" spans="1:11" ht="42" customHeight="1">
      <c r="A9415" t="s">
        <v>18273</v>
      </c>
      <c r="B9415" t="s">
        <v>18274</v>
      </c>
      <c r="C9415" t="s">
        <v>17</v>
      </c>
      <c r="D9415" t="s">
        <v>18</v>
      </c>
      <c r="E9415" s="6">
        <v>-28728</v>
      </c>
      <c r="F9415" t="s">
        <v>1038</v>
      </c>
      <c r="G9415" t="s">
        <v>52</v>
      </c>
      <c r="H9415" t="s">
        <v>30</v>
      </c>
      <c r="I9415" t="s">
        <v>18275</v>
      </c>
      <c r="J9415" t="str">
        <f>HYPERLINK("https://www.boe.es/gazeta/dias/1821/05/05/pdfs/GMD-1821-127.pdf#page=2","Abrir facsímil")</f>
        <v>Abrir facsímil</v>
      </c>
      <c r="K9415" t="s">
        <v>32</v>
      </c>
    </row>
    <row r="9416" spans="1:11" ht="42" customHeight="1">
      <c r="A9416" t="s">
        <v>18276</v>
      </c>
      <c r="B9416" t="s">
        <v>18277</v>
      </c>
      <c r="C9416" t="s">
        <v>40</v>
      </c>
      <c r="D9416" t="s">
        <v>41</v>
      </c>
      <c r="E9416" s="6">
        <v>-28507</v>
      </c>
      <c r="F9416" t="s">
        <v>1158</v>
      </c>
      <c r="G9416" t="s">
        <v>20</v>
      </c>
      <c r="H9416" t="s">
        <v>30</v>
      </c>
      <c r="I9416" t="s">
        <v>18278</v>
      </c>
      <c r="J9416" t="str">
        <f>HYPERLINK("https://www.boe.es/gazeta/dias/1821/12/12/pdfs/GMD-1821-354.pdf#page=3","Abrir facsímil")</f>
        <v>Abrir facsímil</v>
      </c>
      <c r="K9416" t="s">
        <v>32</v>
      </c>
    </row>
    <row r="9417" spans="1:11" ht="42" customHeight="1">
      <c r="A9417" t="s">
        <v>18279</v>
      </c>
      <c r="B9417" t="s">
        <v>18280</v>
      </c>
      <c r="C9417" t="s">
        <v>17</v>
      </c>
      <c r="D9417" t="s">
        <v>18</v>
      </c>
      <c r="E9417" s="6">
        <v>-28812</v>
      </c>
      <c r="F9417" t="s">
        <v>2610</v>
      </c>
      <c r="G9417" t="s">
        <v>88</v>
      </c>
      <c r="H9417" t="s">
        <v>30</v>
      </c>
      <c r="I9417" t="s">
        <v>18281</v>
      </c>
      <c r="J9417" t="str">
        <f>HYPERLINK("https://www.boe.es/gazeta/dias/1821/02/10/pdfs/GGB-1821-41.pdf#page=4","Abrir facsímil")</f>
        <v>Abrir facsímil</v>
      </c>
      <c r="K9417" t="s">
        <v>32</v>
      </c>
    </row>
    <row r="9418" spans="1:11" ht="42" customHeight="1">
      <c r="A9418" t="s">
        <v>18282</v>
      </c>
      <c r="B9418" t="s">
        <v>18283</v>
      </c>
      <c r="C9418" t="s">
        <v>17</v>
      </c>
      <c r="D9418" t="s">
        <v>18</v>
      </c>
      <c r="E9418" s="6">
        <v>-28665</v>
      </c>
      <c r="F9418" t="s">
        <v>789</v>
      </c>
      <c r="G9418" t="s">
        <v>20</v>
      </c>
      <c r="H9418" t="s">
        <v>30</v>
      </c>
      <c r="I9418" t="s">
        <v>18284</v>
      </c>
      <c r="J9418" t="str">
        <f>HYPERLINK("https://www.boe.es/gazeta/dias/1821/07/07/pdfs/GMD-1821-191.pdf#page=3","Abrir facsímil")</f>
        <v>Abrir facsímil</v>
      </c>
      <c r="K9418" t="s">
        <v>32</v>
      </c>
    </row>
    <row r="9419" spans="1:11" ht="42" customHeight="1">
      <c r="A9419" t="s">
        <v>18285</v>
      </c>
      <c r="B9419" t="s">
        <v>18285</v>
      </c>
      <c r="C9419" t="s">
        <v>40</v>
      </c>
      <c r="D9419" t="s">
        <v>41</v>
      </c>
      <c r="E9419" s="6">
        <v>-28526</v>
      </c>
      <c r="F9419" t="s">
        <v>223</v>
      </c>
      <c r="G9419" t="s">
        <v>29</v>
      </c>
      <c r="H9419" t="s">
        <v>21</v>
      </c>
      <c r="I9419" t="s">
        <v>18286</v>
      </c>
      <c r="J9419" t="str">
        <f>HYPERLINK("https://www.boe.es/gazeta/dias/1821/11/23/pdfs/GMD-1821-334.pdf#page=6","Abrir facsímil")</f>
        <v>Abrir facsímil</v>
      </c>
      <c r="K9419" t="s">
        <v>23</v>
      </c>
    </row>
    <row r="9420" spans="1:11" ht="42" customHeight="1">
      <c r="A9420" t="s">
        <v>18287</v>
      </c>
      <c r="B9420" t="s">
        <v>18288</v>
      </c>
      <c r="C9420" t="s">
        <v>40</v>
      </c>
      <c r="D9420" t="s">
        <v>41</v>
      </c>
      <c r="E9420" s="6">
        <v>-28783</v>
      </c>
      <c r="F9420" t="s">
        <v>198</v>
      </c>
      <c r="G9420" t="s">
        <v>20</v>
      </c>
      <c r="H9420" t="s">
        <v>21</v>
      </c>
      <c r="I9420" t="s">
        <v>18289</v>
      </c>
      <c r="J9420" t="str">
        <f>HYPERLINK("https://www.boe.es/gazeta/dias/1821/03/11/pdfs/GGB-1821-70.pdf#page=3","Abrir facsímil")</f>
        <v>Abrir facsímil</v>
      </c>
      <c r="K9420" t="s">
        <v>23</v>
      </c>
    </row>
    <row r="9421" spans="1:11" ht="42" customHeight="1">
      <c r="A9421" t="s">
        <v>18290</v>
      </c>
      <c r="B9421" t="s">
        <v>18291</v>
      </c>
      <c r="C9421" t="s">
        <v>40</v>
      </c>
      <c r="D9421" t="s">
        <v>41</v>
      </c>
      <c r="E9421" s="6">
        <v>-28572</v>
      </c>
      <c r="F9421" t="s">
        <v>1072</v>
      </c>
      <c r="G9421" t="s">
        <v>52</v>
      </c>
      <c r="H9421" t="s">
        <v>21</v>
      </c>
      <c r="I9421" t="s">
        <v>18292</v>
      </c>
      <c r="J9421" t="str">
        <f>HYPERLINK("https://www.boe.es/gazeta/dias/1821/10/08/pdfs/GMD-1821-287.pdf#page=2","Abrir facsímil")</f>
        <v>Abrir facsímil</v>
      </c>
      <c r="K9421" t="s">
        <v>23</v>
      </c>
    </row>
    <row r="9422" spans="1:11" ht="42" customHeight="1">
      <c r="A9422" t="s">
        <v>18293</v>
      </c>
      <c r="B9422" t="s">
        <v>18293</v>
      </c>
      <c r="C9422" t="s">
        <v>26</v>
      </c>
      <c r="D9422" t="s">
        <v>27</v>
      </c>
      <c r="E9422" s="6">
        <v>-28681</v>
      </c>
      <c r="F9422" t="s">
        <v>210</v>
      </c>
      <c r="G9422" t="s">
        <v>20</v>
      </c>
      <c r="H9422" t="s">
        <v>21</v>
      </c>
      <c r="I9422" t="s">
        <v>18294</v>
      </c>
      <c r="J9422" t="str">
        <f>HYPERLINK("https://www.boe.es/gazeta/dias/1821/06/21/pdfs/GMD-1821-174.pdf#page=3","Abrir facsímil")</f>
        <v>Abrir facsímil</v>
      </c>
      <c r="K9422" t="s">
        <v>23</v>
      </c>
    </row>
    <row r="9423" spans="1:11" ht="42" customHeight="1">
      <c r="A9423" t="s">
        <v>18295</v>
      </c>
      <c r="B9423" t="s">
        <v>18295</v>
      </c>
      <c r="C9423" t="s">
        <v>35</v>
      </c>
      <c r="D9423" t="s">
        <v>27</v>
      </c>
      <c r="E9423" s="6">
        <v>-28681</v>
      </c>
      <c r="F9423" t="s">
        <v>210</v>
      </c>
      <c r="G9423" t="s">
        <v>20</v>
      </c>
      <c r="H9423" t="s">
        <v>21</v>
      </c>
      <c r="I9423" t="s">
        <v>18296</v>
      </c>
      <c r="J9423" t="str">
        <f>HYPERLINK("https://www.boe.es/gazeta/dias/1821/06/21/pdfs/GMD-1821-174.pdf#page=3","Abrir facsímil")</f>
        <v>Abrir facsímil</v>
      </c>
      <c r="K9423" t="s">
        <v>23</v>
      </c>
    </row>
    <row r="9424" spans="1:11" ht="42" customHeight="1">
      <c r="A9424" t="s">
        <v>18297</v>
      </c>
      <c r="B9424" t="s">
        <v>18298</v>
      </c>
      <c r="C9424" t="s">
        <v>174</v>
      </c>
      <c r="D9424" t="s">
        <v>27</v>
      </c>
      <c r="E9424" s="6">
        <v>-28834</v>
      </c>
      <c r="F9424" t="s">
        <v>369</v>
      </c>
      <c r="G9424" t="s">
        <v>88</v>
      </c>
      <c r="H9424" t="s">
        <v>21</v>
      </c>
      <c r="I9424" t="s">
        <v>18299</v>
      </c>
      <c r="J9424" t="str">
        <f>HYPERLINK("https://www.boe.es/gazeta/dias/1821/01/19/pdfs/GGB-1821-19.pdf#page=4","Abrir facsímil")</f>
        <v>Abrir facsímil</v>
      </c>
      <c r="K9424" t="s">
        <v>23</v>
      </c>
    </row>
    <row r="9425" spans="1:11" ht="42" customHeight="1">
      <c r="A9425" t="s">
        <v>18300</v>
      </c>
      <c r="B9425" t="s">
        <v>18301</v>
      </c>
      <c r="C9425" t="s">
        <v>17</v>
      </c>
      <c r="D9425" t="s">
        <v>18</v>
      </c>
      <c r="E9425" s="6">
        <v>-28565</v>
      </c>
      <c r="F9425" t="s">
        <v>326</v>
      </c>
      <c r="G9425" t="s">
        <v>162</v>
      </c>
      <c r="H9425" t="s">
        <v>21</v>
      </c>
      <c r="I9425" t="s">
        <v>18302</v>
      </c>
      <c r="J9425" t="str">
        <f>HYPERLINK("https://www.boe.es/gazeta/dias/1821/10/15/pdfs/GMD-1821-294.pdf#page=5","Abrir facsímil")</f>
        <v>Abrir facsímil</v>
      </c>
      <c r="K9425" t="s">
        <v>23</v>
      </c>
    </row>
    <row r="9426" spans="1:11" ht="42" customHeight="1">
      <c r="A9426" t="s">
        <v>18303</v>
      </c>
      <c r="B9426" t="s">
        <v>18304</v>
      </c>
      <c r="C9426" t="s">
        <v>40</v>
      </c>
      <c r="D9426" t="s">
        <v>41</v>
      </c>
      <c r="E9426" s="6">
        <v>-28766</v>
      </c>
      <c r="F9426" t="s">
        <v>1481</v>
      </c>
      <c r="G9426" t="s">
        <v>52</v>
      </c>
      <c r="H9426" t="s">
        <v>21</v>
      </c>
      <c r="I9426" t="s">
        <v>18305</v>
      </c>
      <c r="J9426" t="str">
        <f>HYPERLINK("https://www.boe.es/gazeta/dias/1821/03/28/pdfs/GMD-1821-88.pdf#page=2","Abrir facsímil")</f>
        <v>Abrir facsímil</v>
      </c>
      <c r="K9426" t="s">
        <v>23</v>
      </c>
    </row>
    <row r="9427" spans="1:11" ht="42" customHeight="1">
      <c r="A9427" t="s">
        <v>18306</v>
      </c>
      <c r="B9427" t="s">
        <v>18307</v>
      </c>
      <c r="C9427" t="s">
        <v>40</v>
      </c>
      <c r="D9427" t="s">
        <v>41</v>
      </c>
      <c r="E9427" s="6">
        <v>-28720</v>
      </c>
      <c r="F9427" t="s">
        <v>492</v>
      </c>
      <c r="G9427" t="s">
        <v>43</v>
      </c>
      <c r="H9427" t="s">
        <v>21</v>
      </c>
      <c r="I9427" t="s">
        <v>18308</v>
      </c>
      <c r="J9427" t="str">
        <f>HYPERLINK("https://www.boe.es/gazeta/dias/1821/05/13/pdfs/GMD-1821-135.pdf#page=1","Abrir facsímil")</f>
        <v>Abrir facsímil</v>
      </c>
      <c r="K9427" t="s">
        <v>23</v>
      </c>
    </row>
    <row r="9428" spans="1:11" ht="42" customHeight="1">
      <c r="A9428" t="s">
        <v>18309</v>
      </c>
      <c r="B9428" t="s">
        <v>18309</v>
      </c>
      <c r="C9428" t="s">
        <v>40</v>
      </c>
      <c r="D9428" t="s">
        <v>41</v>
      </c>
      <c r="E9428" s="6">
        <v>-28742</v>
      </c>
      <c r="F9428" t="s">
        <v>324</v>
      </c>
      <c r="G9428" t="s">
        <v>43</v>
      </c>
      <c r="H9428" t="s">
        <v>21</v>
      </c>
      <c r="I9428" t="s">
        <v>18310</v>
      </c>
      <c r="J9428" t="str">
        <f>HYPERLINK("https://www.boe.es/gazeta/dias/1821/04/21/pdfs/GMD-1821-113.pdf#page=1","Abrir facsímil")</f>
        <v>Abrir facsímil</v>
      </c>
      <c r="K9428" t="s">
        <v>23</v>
      </c>
    </row>
    <row r="9429" spans="1:11" ht="42" customHeight="1">
      <c r="A9429" t="s">
        <v>18309</v>
      </c>
      <c r="B9429" t="s">
        <v>18309</v>
      </c>
      <c r="C9429" t="s">
        <v>26</v>
      </c>
      <c r="D9429" t="s">
        <v>27</v>
      </c>
      <c r="E9429" s="6">
        <v>-28707</v>
      </c>
      <c r="F9429" t="s">
        <v>495</v>
      </c>
      <c r="G9429" t="s">
        <v>18311</v>
      </c>
      <c r="H9429" t="s">
        <v>21</v>
      </c>
      <c r="I9429" t="s">
        <v>18312</v>
      </c>
      <c r="J9429" t="str">
        <f>HYPERLINK("https://www.boe.es/gazeta/dias/1821/05/26/pdfs/GMD-1821-148.pdf#page=1","Abrir facsímil")</f>
        <v>Abrir facsímil</v>
      </c>
      <c r="K9429" t="s">
        <v>23</v>
      </c>
    </row>
    <row r="9430" spans="1:11" ht="42" customHeight="1">
      <c r="A9430" t="s">
        <v>18309</v>
      </c>
      <c r="B9430" t="s">
        <v>18309</v>
      </c>
      <c r="C9430" t="s">
        <v>35</v>
      </c>
      <c r="D9430" t="s">
        <v>27</v>
      </c>
      <c r="E9430" s="6">
        <v>-28679</v>
      </c>
      <c r="F9430" t="s">
        <v>213</v>
      </c>
      <c r="G9430" t="s">
        <v>43</v>
      </c>
      <c r="H9430" t="s">
        <v>21</v>
      </c>
      <c r="I9430" t="s">
        <v>18313</v>
      </c>
      <c r="J9430" t="str">
        <f>HYPERLINK("https://www.boe.es/gazeta/dias/1821/06/23/pdfs/GMD-1821-176.pdf#page=1","Abrir facsímil")</f>
        <v>Abrir facsímil</v>
      </c>
      <c r="K9430" t="s">
        <v>23</v>
      </c>
    </row>
    <row r="9431" spans="1:11" ht="42" customHeight="1">
      <c r="A9431" t="s">
        <v>18309</v>
      </c>
      <c r="B9431" t="s">
        <v>18309</v>
      </c>
      <c r="C9431" t="s">
        <v>26</v>
      </c>
      <c r="D9431" t="s">
        <v>27</v>
      </c>
      <c r="E9431" s="6">
        <v>-28588</v>
      </c>
      <c r="F9431" t="s">
        <v>2774</v>
      </c>
      <c r="G9431" t="s">
        <v>43</v>
      </c>
      <c r="H9431" t="s">
        <v>21</v>
      </c>
      <c r="I9431" t="s">
        <v>18314</v>
      </c>
      <c r="J9431" t="str">
        <f>HYPERLINK("https://www.boe.es/gazeta/dias/1821/09/22/pdfs/GMD-1821-270.pdf#page=1","Abrir facsímil")</f>
        <v>Abrir facsímil</v>
      </c>
      <c r="K9431" t="s">
        <v>23</v>
      </c>
    </row>
    <row r="9432" spans="1:11" ht="42" customHeight="1">
      <c r="A9432" t="s">
        <v>18309</v>
      </c>
      <c r="B9432" t="s">
        <v>18309</v>
      </c>
      <c r="C9432" t="s">
        <v>26</v>
      </c>
      <c r="D9432" t="s">
        <v>27</v>
      </c>
      <c r="E9432" s="6">
        <v>-28525</v>
      </c>
      <c r="F9432" t="s">
        <v>186</v>
      </c>
      <c r="G9432" t="s">
        <v>43</v>
      </c>
      <c r="H9432" t="s">
        <v>21</v>
      </c>
      <c r="I9432" t="s">
        <v>18315</v>
      </c>
      <c r="J9432" t="str">
        <f>HYPERLINK("https://www.boe.es/gazeta/dias/1821/11/24/pdfs/GMD-1821-335.pdf#page=1","Abrir facsímil")</f>
        <v>Abrir facsímil</v>
      </c>
      <c r="K9432" t="s">
        <v>23</v>
      </c>
    </row>
    <row r="9433" spans="1:11" ht="42" customHeight="1">
      <c r="A9433" t="s">
        <v>18309</v>
      </c>
      <c r="B9433" t="s">
        <v>18309</v>
      </c>
      <c r="C9433" t="s">
        <v>26</v>
      </c>
      <c r="D9433" t="s">
        <v>27</v>
      </c>
      <c r="E9433" s="6">
        <v>-28511</v>
      </c>
      <c r="F9433" t="s">
        <v>340</v>
      </c>
      <c r="G9433" t="s">
        <v>43</v>
      </c>
      <c r="H9433" t="s">
        <v>21</v>
      </c>
      <c r="I9433" t="s">
        <v>18316</v>
      </c>
      <c r="J9433" t="str">
        <f>HYPERLINK("https://www.boe.es/gazeta/dias/1821/12/08/pdfs/GMD-1821-350.pdf#page=1","Abrir facsímil")</f>
        <v>Abrir facsímil</v>
      </c>
      <c r="K9433" t="s">
        <v>23</v>
      </c>
    </row>
    <row r="9434" spans="1:11" ht="42" customHeight="1">
      <c r="A9434" t="s">
        <v>18309</v>
      </c>
      <c r="B9434" t="s">
        <v>18309</v>
      </c>
      <c r="C9434" t="s">
        <v>26</v>
      </c>
      <c r="D9434" t="s">
        <v>27</v>
      </c>
      <c r="E9434" s="6">
        <v>-28490</v>
      </c>
      <c r="F9434" t="s">
        <v>801</v>
      </c>
      <c r="G9434" t="s">
        <v>43</v>
      </c>
      <c r="H9434" t="s">
        <v>21</v>
      </c>
      <c r="I9434" t="s">
        <v>18317</v>
      </c>
      <c r="J9434" t="str">
        <f>HYPERLINK("https://www.boe.es/gazeta/dias/1821/12/29/pdfs/GMD-1821-372.pdf#page=1","Abrir facsímil")</f>
        <v>Abrir facsímil</v>
      </c>
      <c r="K9434" t="s">
        <v>23</v>
      </c>
    </row>
    <row r="9435" spans="1:11" ht="42" customHeight="1">
      <c r="A9435" t="s">
        <v>18318</v>
      </c>
      <c r="B9435" t="s">
        <v>18319</v>
      </c>
      <c r="C9435" t="s">
        <v>17</v>
      </c>
      <c r="D9435" t="s">
        <v>18</v>
      </c>
      <c r="E9435" s="6">
        <v>-28606</v>
      </c>
      <c r="F9435" t="s">
        <v>1799</v>
      </c>
      <c r="G9435" t="s">
        <v>88</v>
      </c>
      <c r="H9435" t="s">
        <v>21</v>
      </c>
      <c r="I9435" t="s">
        <v>18320</v>
      </c>
      <c r="J9435" t="str">
        <f>HYPERLINK("https://www.boe.es/gazeta/dias/1821/09/04/pdfs/GMD-1821-252.pdf#page=4","Abrir facsímil")</f>
        <v>Abrir facsímil</v>
      </c>
      <c r="K9435" t="s">
        <v>23</v>
      </c>
    </row>
    <row r="9436" spans="1:11" ht="42" customHeight="1">
      <c r="A9436" t="s">
        <v>18321</v>
      </c>
      <c r="B9436" t="s">
        <v>18322</v>
      </c>
      <c r="C9436" t="s">
        <v>26</v>
      </c>
      <c r="D9436" t="s">
        <v>27</v>
      </c>
      <c r="E9436" s="6">
        <v>-28751</v>
      </c>
      <c r="F9436" t="s">
        <v>356</v>
      </c>
      <c r="G9436" t="s">
        <v>88</v>
      </c>
      <c r="H9436" t="s">
        <v>21</v>
      </c>
      <c r="I9436" t="s">
        <v>18323</v>
      </c>
      <c r="J9436" t="str">
        <f>HYPERLINK("https://www.boe.es/gazeta/dias/1821/04/12/pdfs/GMD-1821-104.pdf#page=4","Abrir facsímil")</f>
        <v>Abrir facsímil</v>
      </c>
      <c r="K9436" t="s">
        <v>23</v>
      </c>
    </row>
    <row r="9437" spans="1:11" ht="42" customHeight="1">
      <c r="A9437" t="s">
        <v>18324</v>
      </c>
      <c r="B9437" t="s">
        <v>18325</v>
      </c>
      <c r="C9437" t="s">
        <v>40</v>
      </c>
      <c r="D9437" t="s">
        <v>41</v>
      </c>
      <c r="E9437" s="6">
        <v>-28680</v>
      </c>
      <c r="F9437" t="s">
        <v>531</v>
      </c>
      <c r="G9437" t="s">
        <v>52</v>
      </c>
      <c r="H9437" t="s">
        <v>21</v>
      </c>
      <c r="I9437" t="s">
        <v>18326</v>
      </c>
      <c r="J9437" t="str">
        <f>HYPERLINK("https://www.boe.es/gazeta/dias/1821/06/22/pdfs/GMD-1821-175.pdf#page=2","Abrir facsímil")</f>
        <v>Abrir facsímil</v>
      </c>
      <c r="K9437" t="s">
        <v>23</v>
      </c>
    </row>
    <row r="9438" spans="1:11" ht="42" customHeight="1">
      <c r="A9438" t="s">
        <v>18327</v>
      </c>
      <c r="B9438" t="s">
        <v>18328</v>
      </c>
      <c r="C9438" t="s">
        <v>70</v>
      </c>
      <c r="D9438" t="s">
        <v>27</v>
      </c>
      <c r="E9438" s="6">
        <v>-28655</v>
      </c>
      <c r="F9438" t="s">
        <v>2530</v>
      </c>
      <c r="G9438" t="s">
        <v>88</v>
      </c>
      <c r="H9438" t="s">
        <v>21</v>
      </c>
      <c r="I9438" t="s">
        <v>18329</v>
      </c>
      <c r="J9438" t="str">
        <f>HYPERLINK("https://www.boe.es/gazeta/dias/1821/07/17/pdfs/GMD-1821-202.pdf#page=4","Abrir facsímil")</f>
        <v>Abrir facsímil</v>
      </c>
      <c r="K9438" t="s">
        <v>23</v>
      </c>
    </row>
    <row r="9439" spans="1:11" ht="42" customHeight="1">
      <c r="A9439" t="s">
        <v>18330</v>
      </c>
      <c r="B9439" t="s">
        <v>18331</v>
      </c>
      <c r="C9439" t="s">
        <v>17</v>
      </c>
      <c r="D9439" t="s">
        <v>18</v>
      </c>
      <c r="E9439" s="6">
        <v>-28685</v>
      </c>
      <c r="F9439" t="s">
        <v>303</v>
      </c>
      <c r="G9439" t="s">
        <v>52</v>
      </c>
      <c r="H9439" t="s">
        <v>21</v>
      </c>
      <c r="I9439" t="s">
        <v>18332</v>
      </c>
      <c r="J9439" t="str">
        <f>HYPERLINK("https://www.boe.es/gazeta/dias/1821/06/17/pdfs/GMD-1821-170.pdf#page=2","Abrir facsímil")</f>
        <v>Abrir facsímil</v>
      </c>
      <c r="K9439" t="s">
        <v>23</v>
      </c>
    </row>
    <row r="9440" spans="1:11" ht="42" customHeight="1">
      <c r="A9440" t="s">
        <v>18333</v>
      </c>
      <c r="B9440" t="s">
        <v>18333</v>
      </c>
      <c r="C9440" t="s">
        <v>40</v>
      </c>
      <c r="D9440" t="s">
        <v>41</v>
      </c>
      <c r="E9440" s="6">
        <v>-28745</v>
      </c>
      <c r="F9440" t="s">
        <v>1020</v>
      </c>
      <c r="G9440" t="s">
        <v>43</v>
      </c>
      <c r="H9440" t="s">
        <v>21</v>
      </c>
      <c r="I9440" t="s">
        <v>18334</v>
      </c>
      <c r="J9440" t="str">
        <f>HYPERLINK("https://www.boe.es/gazeta/dias/1821/04/18/pdfs/GMD-1821-110.pdf#page=1","Abrir facsímil")</f>
        <v>Abrir facsímil</v>
      </c>
      <c r="K9440" t="s">
        <v>23</v>
      </c>
    </row>
    <row r="9441" spans="1:11" ht="42" customHeight="1">
      <c r="A9441" t="s">
        <v>18333</v>
      </c>
      <c r="B9441" t="s">
        <v>18333</v>
      </c>
      <c r="C9441" t="s">
        <v>40</v>
      </c>
      <c r="D9441" t="s">
        <v>41</v>
      </c>
      <c r="E9441" s="6">
        <v>-28688</v>
      </c>
      <c r="F9441" t="s">
        <v>1504</v>
      </c>
      <c r="G9441" t="s">
        <v>43</v>
      </c>
      <c r="H9441" t="s">
        <v>21</v>
      </c>
      <c r="I9441" t="s">
        <v>18335</v>
      </c>
      <c r="J9441" t="str">
        <f>HYPERLINK("https://www.boe.es/gazeta/dias/1821/06/14/pdfs/GMD-1821-167.pdf#page=1","Abrir facsímil")</f>
        <v>Abrir facsímil</v>
      </c>
      <c r="K9441" t="s">
        <v>23</v>
      </c>
    </row>
    <row r="9442" spans="1:11" ht="42" customHeight="1">
      <c r="A9442" t="s">
        <v>18333</v>
      </c>
      <c r="B9442" t="s">
        <v>18333</v>
      </c>
      <c r="C9442" t="s">
        <v>40</v>
      </c>
      <c r="D9442" t="s">
        <v>41</v>
      </c>
      <c r="E9442" s="6">
        <v>-28673</v>
      </c>
      <c r="F9442" t="s">
        <v>1069</v>
      </c>
      <c r="G9442" t="s">
        <v>88</v>
      </c>
      <c r="H9442" t="s">
        <v>21</v>
      </c>
      <c r="I9442" t="s">
        <v>18336</v>
      </c>
      <c r="J9442" t="str">
        <f>HYPERLINK("https://www.boe.es/gazeta/dias/1821/06/29/pdfs/GMD-1821-182.pdf#page=4","Abrir facsímil")</f>
        <v>Abrir facsímil</v>
      </c>
      <c r="K9442" t="s">
        <v>23</v>
      </c>
    </row>
    <row r="9443" spans="1:11" ht="42" customHeight="1">
      <c r="A9443" t="s">
        <v>18337</v>
      </c>
      <c r="B9443" t="s">
        <v>18338</v>
      </c>
      <c r="C9443" t="s">
        <v>40</v>
      </c>
      <c r="D9443" t="s">
        <v>41</v>
      </c>
      <c r="E9443" s="6">
        <v>-28793</v>
      </c>
      <c r="F9443" t="s">
        <v>157</v>
      </c>
      <c r="G9443" t="s">
        <v>162</v>
      </c>
      <c r="H9443" t="s">
        <v>21</v>
      </c>
      <c r="I9443" t="s">
        <v>18339</v>
      </c>
      <c r="J9443" t="str">
        <f>HYPERLINK("https://www.boe.es/gazeta/dias/1821/03/01/pdfs/GGB-1821-60.pdf#page=5","Abrir facsímil")</f>
        <v>Abrir facsímil</v>
      </c>
      <c r="K9443" t="s">
        <v>23</v>
      </c>
    </row>
    <row r="9444" spans="1:11" ht="42" customHeight="1">
      <c r="A9444" t="s">
        <v>18340</v>
      </c>
      <c r="B9444" t="s">
        <v>18340</v>
      </c>
      <c r="C9444" t="s">
        <v>40</v>
      </c>
      <c r="D9444" t="s">
        <v>41</v>
      </c>
      <c r="E9444" s="6">
        <v>-28599</v>
      </c>
      <c r="F9444" t="s">
        <v>902</v>
      </c>
      <c r="G9444" t="s">
        <v>43</v>
      </c>
      <c r="H9444" t="s">
        <v>21</v>
      </c>
      <c r="I9444" t="s">
        <v>18341</v>
      </c>
      <c r="J9444" t="str">
        <f>HYPERLINK("https://www.boe.es/gazeta/dias/1821/09/11/pdfs/GMD-1821-259.pdf#page=1","Abrir facsímil")</f>
        <v>Abrir facsímil</v>
      </c>
      <c r="K9444" t="s">
        <v>23</v>
      </c>
    </row>
    <row r="9445" spans="1:11" ht="42" customHeight="1">
      <c r="A9445" t="s">
        <v>18342</v>
      </c>
      <c r="B9445" t="s">
        <v>18342</v>
      </c>
      <c r="C9445" t="s">
        <v>40</v>
      </c>
      <c r="D9445" t="s">
        <v>41</v>
      </c>
      <c r="E9445" s="6">
        <v>-28679</v>
      </c>
      <c r="F9445" t="s">
        <v>213</v>
      </c>
      <c r="G9445" t="s">
        <v>52</v>
      </c>
      <c r="H9445" t="s">
        <v>21</v>
      </c>
      <c r="I9445" t="s">
        <v>18343</v>
      </c>
      <c r="J9445" t="str">
        <f>HYPERLINK("https://www.boe.es/gazeta/dias/1821/06/23/pdfs/GMD-1821-176.pdf#page=2","Abrir facsímil")</f>
        <v>Abrir facsímil</v>
      </c>
      <c r="K9445" t="s">
        <v>23</v>
      </c>
    </row>
    <row r="9446" spans="1:11" ht="42" customHeight="1">
      <c r="A9446" t="s">
        <v>18342</v>
      </c>
      <c r="B9446" t="s">
        <v>18342</v>
      </c>
      <c r="C9446" t="s">
        <v>17</v>
      </c>
      <c r="D9446" t="s">
        <v>18</v>
      </c>
      <c r="E9446" s="6">
        <v>-28597</v>
      </c>
      <c r="F9446" t="s">
        <v>811</v>
      </c>
      <c r="G9446" t="s">
        <v>20</v>
      </c>
      <c r="H9446" t="s">
        <v>21</v>
      </c>
      <c r="I9446" t="s">
        <v>18344</v>
      </c>
      <c r="J9446" t="str">
        <f>HYPERLINK("https://www.boe.es/gazeta/dias/1821/09/13/pdfs/GMD-1821-261.pdf#page=3","Abrir facsímil")</f>
        <v>Abrir facsímil</v>
      </c>
      <c r="K9446" t="s">
        <v>23</v>
      </c>
    </row>
    <row r="9447" spans="1:11" ht="42" customHeight="1">
      <c r="A9447" t="s">
        <v>18345</v>
      </c>
      <c r="B9447" t="s">
        <v>18346</v>
      </c>
      <c r="C9447" t="s">
        <v>40</v>
      </c>
      <c r="D9447" t="s">
        <v>41</v>
      </c>
      <c r="E9447" s="6">
        <v>-28680</v>
      </c>
      <c r="F9447" t="s">
        <v>531</v>
      </c>
      <c r="G9447" t="s">
        <v>52</v>
      </c>
      <c r="H9447" t="s">
        <v>21</v>
      </c>
      <c r="I9447" t="s">
        <v>18347</v>
      </c>
      <c r="J9447" t="str">
        <f>HYPERLINK("https://www.boe.es/gazeta/dias/1821/06/22/pdfs/GMD-1821-175.pdf#page=2","Abrir facsímil")</f>
        <v>Abrir facsímil</v>
      </c>
      <c r="K9447" t="s">
        <v>23</v>
      </c>
    </row>
    <row r="9448" spans="1:11" ht="42" customHeight="1">
      <c r="A9448" t="s">
        <v>18348</v>
      </c>
      <c r="B9448" t="s">
        <v>18349</v>
      </c>
      <c r="C9448" t="s">
        <v>35</v>
      </c>
      <c r="D9448" t="s">
        <v>27</v>
      </c>
      <c r="E9448" s="6">
        <v>-28574</v>
      </c>
      <c r="F9448" t="s">
        <v>779</v>
      </c>
      <c r="G9448" t="s">
        <v>333</v>
      </c>
      <c r="H9448" t="s">
        <v>21</v>
      </c>
      <c r="I9448" t="s">
        <v>18350</v>
      </c>
      <c r="J9448" t="str">
        <f>HYPERLINK("https://www.boe.es/gazeta/dias/1821/10/06/pdfs/GMD-1821-285.pdf#page=8","Abrir facsímil")</f>
        <v>Abrir facsímil</v>
      </c>
      <c r="K9448" t="s">
        <v>23</v>
      </c>
    </row>
    <row r="9449" spans="1:11" ht="42" customHeight="1">
      <c r="A9449" t="s">
        <v>18351</v>
      </c>
      <c r="B9449" t="s">
        <v>18351</v>
      </c>
      <c r="C9449" t="s">
        <v>26</v>
      </c>
      <c r="D9449" t="s">
        <v>27</v>
      </c>
      <c r="E9449" s="6">
        <v>-28503</v>
      </c>
      <c r="F9449" t="s">
        <v>947</v>
      </c>
      <c r="G9449" t="s">
        <v>88</v>
      </c>
      <c r="H9449" t="s">
        <v>21</v>
      </c>
      <c r="I9449" t="s">
        <v>18352</v>
      </c>
      <c r="J9449" t="str">
        <f>HYPERLINK("https://www.boe.es/gazeta/dias/1821/12/16/pdfs/GMD-1821-359.pdf#page=4","Abrir facsímil")</f>
        <v>Abrir facsímil</v>
      </c>
      <c r="K9449" t="s">
        <v>23</v>
      </c>
    </row>
    <row r="9450" spans="1:11" ht="42" customHeight="1">
      <c r="A9450" t="s">
        <v>18353</v>
      </c>
      <c r="B9450" t="s">
        <v>18354</v>
      </c>
      <c r="C9450" t="s">
        <v>40</v>
      </c>
      <c r="D9450" t="s">
        <v>41</v>
      </c>
      <c r="E9450" s="6">
        <v>-28776</v>
      </c>
      <c r="F9450" t="s">
        <v>312</v>
      </c>
      <c r="G9450" t="s">
        <v>162</v>
      </c>
      <c r="H9450" t="s">
        <v>21</v>
      </c>
      <c r="I9450" t="s">
        <v>18355</v>
      </c>
      <c r="J9450" t="str">
        <f>HYPERLINK("https://www.boe.es/gazeta/dias/1821/03/18/pdfs/GMD-1821-77.pdf#page=5","Abrir facsímil")</f>
        <v>Abrir facsímil</v>
      </c>
      <c r="K9450" t="s">
        <v>23</v>
      </c>
    </row>
    <row r="9451" spans="1:11" ht="42" customHeight="1">
      <c r="A9451" t="s">
        <v>18356</v>
      </c>
      <c r="B9451" t="s">
        <v>18357</v>
      </c>
      <c r="C9451" t="s">
        <v>26</v>
      </c>
      <c r="D9451" t="s">
        <v>27</v>
      </c>
      <c r="E9451" s="6">
        <v>-28531</v>
      </c>
      <c r="F9451" t="s">
        <v>365</v>
      </c>
      <c r="G9451" t="s">
        <v>20</v>
      </c>
      <c r="H9451" t="s">
        <v>30</v>
      </c>
      <c r="I9451" t="s">
        <v>18358</v>
      </c>
      <c r="J9451" t="str">
        <f>HYPERLINK("https://www.boe.es/gazeta/dias/1821/11/18/pdfs/GMD-1821-329.pdf#page=3","Abrir facsímil")</f>
        <v>Abrir facsímil</v>
      </c>
      <c r="K9451" t="s">
        <v>32</v>
      </c>
    </row>
    <row r="9452" spans="1:11" ht="42" customHeight="1">
      <c r="A9452" t="s">
        <v>18359</v>
      </c>
      <c r="B9452" t="s">
        <v>18360</v>
      </c>
      <c r="C9452" t="s">
        <v>17</v>
      </c>
      <c r="D9452" t="s">
        <v>18</v>
      </c>
      <c r="E9452" s="6">
        <v>-28743</v>
      </c>
      <c r="F9452" t="s">
        <v>51</v>
      </c>
      <c r="G9452" t="s">
        <v>52</v>
      </c>
      <c r="H9452" t="s">
        <v>21</v>
      </c>
      <c r="I9452" t="s">
        <v>18361</v>
      </c>
      <c r="J9452" t="str">
        <f>HYPERLINK("https://www.boe.es/gazeta/dias/1821/04/20/pdfs/GMD-1821-112.pdf#page=2","Abrir facsímil")</f>
        <v>Abrir facsímil</v>
      </c>
      <c r="K9452" t="s">
        <v>23</v>
      </c>
    </row>
    <row r="9453" spans="1:11" ht="42" customHeight="1">
      <c r="A9453" t="s">
        <v>18362</v>
      </c>
      <c r="B9453" t="s">
        <v>18363</v>
      </c>
      <c r="C9453" t="s">
        <v>40</v>
      </c>
      <c r="D9453" t="s">
        <v>41</v>
      </c>
      <c r="E9453" s="6">
        <v>-28716</v>
      </c>
      <c r="F9453" t="s">
        <v>842</v>
      </c>
      <c r="G9453" t="s">
        <v>52</v>
      </c>
      <c r="H9453" t="s">
        <v>21</v>
      </c>
      <c r="I9453" t="s">
        <v>18364</v>
      </c>
      <c r="J9453" t="str">
        <f>HYPERLINK("https://www.boe.es/gazeta/dias/1821/05/17/pdfs/GMD-1821-139.pdf#page=2","Abrir facsímil")</f>
        <v>Abrir facsímil</v>
      </c>
      <c r="K9453" t="s">
        <v>23</v>
      </c>
    </row>
    <row r="9454" spans="1:11" ht="42" customHeight="1">
      <c r="A9454" t="s">
        <v>18365</v>
      </c>
      <c r="B9454" t="s">
        <v>18365</v>
      </c>
      <c r="C9454" t="s">
        <v>26</v>
      </c>
      <c r="D9454" t="s">
        <v>27</v>
      </c>
      <c r="E9454" s="6">
        <v>-28510</v>
      </c>
      <c r="F9454" t="s">
        <v>83</v>
      </c>
      <c r="G9454" t="s">
        <v>20</v>
      </c>
      <c r="H9454" t="s">
        <v>21</v>
      </c>
      <c r="I9454" t="s">
        <v>18366</v>
      </c>
      <c r="J9454" t="str">
        <f>HYPERLINK("https://www.boe.es/gazeta/dias/1821/12/09/pdfs/GMD-1821-351.pdf#page=3","Abrir facsímil")</f>
        <v>Abrir facsímil</v>
      </c>
      <c r="K9454" t="s">
        <v>23</v>
      </c>
    </row>
    <row r="9455" spans="1:11" ht="42" customHeight="1">
      <c r="A9455" t="s">
        <v>18367</v>
      </c>
      <c r="B9455" t="s">
        <v>18368</v>
      </c>
      <c r="C9455" t="s">
        <v>17</v>
      </c>
      <c r="D9455" t="s">
        <v>18</v>
      </c>
      <c r="E9455" s="6">
        <v>-28547</v>
      </c>
      <c r="F9455" t="s">
        <v>247</v>
      </c>
      <c r="G9455" t="s">
        <v>248</v>
      </c>
      <c r="H9455" t="s">
        <v>21</v>
      </c>
      <c r="I9455" t="s">
        <v>18369</v>
      </c>
      <c r="J9455" t="str">
        <f>HYPERLINK("https://www.boe.es/gazeta/dias/1821/11/02/pdfs/GMD-1821-312.pdf#page=2","Abrir facsímil")</f>
        <v>Abrir facsímil</v>
      </c>
      <c r="K9455" t="s">
        <v>23</v>
      </c>
    </row>
    <row r="9456" spans="1:11" ht="42" customHeight="1">
      <c r="A9456" t="s">
        <v>18370</v>
      </c>
      <c r="B9456" t="s">
        <v>18371</v>
      </c>
      <c r="C9456" t="s">
        <v>26</v>
      </c>
      <c r="D9456" t="s">
        <v>27</v>
      </c>
      <c r="E9456" s="6">
        <v>-28809</v>
      </c>
      <c r="F9456" t="s">
        <v>1173</v>
      </c>
      <c r="G9456" t="s">
        <v>88</v>
      </c>
      <c r="H9456" t="s">
        <v>21</v>
      </c>
      <c r="I9456" t="s">
        <v>18372</v>
      </c>
      <c r="J9456" t="str">
        <f>HYPERLINK("https://www.boe.es/gazeta/dias/1821/02/13/pdfs/GGB-1821-44.pdf#page=4","Abrir facsímil")</f>
        <v>Abrir facsímil</v>
      </c>
      <c r="K9456" t="s">
        <v>23</v>
      </c>
    </row>
    <row r="9457" spans="1:11" ht="42" customHeight="1">
      <c r="A9457" t="s">
        <v>18373</v>
      </c>
      <c r="B9457" t="s">
        <v>18374</v>
      </c>
      <c r="C9457" t="s">
        <v>40</v>
      </c>
      <c r="D9457" t="s">
        <v>41</v>
      </c>
      <c r="E9457" s="6">
        <v>-28599</v>
      </c>
      <c r="F9457" t="s">
        <v>902</v>
      </c>
      <c r="G9457" t="s">
        <v>88</v>
      </c>
      <c r="H9457" t="s">
        <v>21</v>
      </c>
      <c r="I9457" t="s">
        <v>18375</v>
      </c>
      <c r="J9457" t="str">
        <f>HYPERLINK("https://www.boe.es/gazeta/dias/1821/09/11/pdfs/GMD-1821-259.pdf#page=4","Abrir facsímil")</f>
        <v>Abrir facsímil</v>
      </c>
      <c r="K9457" t="s">
        <v>23</v>
      </c>
    </row>
    <row r="9458" spans="1:11" ht="42" customHeight="1">
      <c r="A9458" t="s">
        <v>18376</v>
      </c>
      <c r="B9458" t="s">
        <v>18377</v>
      </c>
      <c r="C9458" t="s">
        <v>17</v>
      </c>
      <c r="D9458" t="s">
        <v>18</v>
      </c>
      <c r="E9458" s="6">
        <v>-28716</v>
      </c>
      <c r="F9458" t="s">
        <v>842</v>
      </c>
      <c r="G9458" t="s">
        <v>20</v>
      </c>
      <c r="H9458" t="s">
        <v>21</v>
      </c>
      <c r="I9458" t="s">
        <v>18378</v>
      </c>
      <c r="J9458" t="str">
        <f>HYPERLINK("https://www.boe.es/gazeta/dias/1821/05/17/pdfs/GMD-1821-139.pdf#page=3","Abrir facsímil")</f>
        <v>Abrir facsímil</v>
      </c>
      <c r="K9458" t="s">
        <v>23</v>
      </c>
    </row>
    <row r="9459" spans="1:11" ht="42" customHeight="1">
      <c r="A9459" t="s">
        <v>18379</v>
      </c>
      <c r="B9459" t="s">
        <v>18380</v>
      </c>
      <c r="C9459" t="s">
        <v>17</v>
      </c>
      <c r="D9459" t="s">
        <v>18</v>
      </c>
      <c r="E9459" s="6">
        <v>-28531</v>
      </c>
      <c r="F9459" t="s">
        <v>365</v>
      </c>
      <c r="G9459" t="s">
        <v>20</v>
      </c>
      <c r="H9459" t="s">
        <v>21</v>
      </c>
      <c r="I9459" t="s">
        <v>18381</v>
      </c>
      <c r="J9459" t="str">
        <f>HYPERLINK("https://www.boe.es/gazeta/dias/1821/11/18/pdfs/GMD-1821-329.pdf#page=3","Abrir facsímil")</f>
        <v>Abrir facsímil</v>
      </c>
      <c r="K9459" t="s">
        <v>23</v>
      </c>
    </row>
    <row r="9460" spans="1:11" ht="42" customHeight="1">
      <c r="A9460" t="s">
        <v>18382</v>
      </c>
      <c r="B9460" t="s">
        <v>18383</v>
      </c>
      <c r="C9460" t="s">
        <v>174</v>
      </c>
      <c r="D9460" t="s">
        <v>27</v>
      </c>
      <c r="E9460" s="6">
        <v>-28538</v>
      </c>
      <c r="F9460" t="s">
        <v>395</v>
      </c>
      <c r="G9460" t="s">
        <v>29</v>
      </c>
      <c r="H9460" t="s">
        <v>21</v>
      </c>
      <c r="I9460" t="s">
        <v>18384</v>
      </c>
      <c r="J9460" t="str">
        <f>HYPERLINK("https://www.boe.es/gazeta/dias/1821/11/11/pdfs/GMD-1821-322.pdf#page=6","Abrir facsímil")</f>
        <v>Abrir facsímil</v>
      </c>
      <c r="K9460" t="s">
        <v>23</v>
      </c>
    </row>
    <row r="9461" spans="1:11" ht="42" customHeight="1">
      <c r="A9461" t="s">
        <v>18385</v>
      </c>
      <c r="B9461" t="s">
        <v>18386</v>
      </c>
      <c r="C9461" t="s">
        <v>174</v>
      </c>
      <c r="D9461" t="s">
        <v>27</v>
      </c>
      <c r="E9461" s="6">
        <v>-28814</v>
      </c>
      <c r="F9461" t="s">
        <v>2090</v>
      </c>
      <c r="G9461" t="s">
        <v>88</v>
      </c>
      <c r="H9461" t="s">
        <v>21</v>
      </c>
      <c r="I9461" t="s">
        <v>18387</v>
      </c>
      <c r="J9461" t="str">
        <f>HYPERLINK("https://www.boe.es/gazeta/dias/1821/02/08/pdfs/GGB-1821-39.pdf#page=4","Abrir facsímil")</f>
        <v>Abrir facsímil</v>
      </c>
      <c r="K9461" t="s">
        <v>23</v>
      </c>
    </row>
    <row r="9462" spans="1:11" ht="42" customHeight="1">
      <c r="A9462" t="s">
        <v>18388</v>
      </c>
      <c r="B9462" t="s">
        <v>18389</v>
      </c>
      <c r="C9462" t="s">
        <v>174</v>
      </c>
      <c r="D9462" t="s">
        <v>27</v>
      </c>
      <c r="E9462" s="6">
        <v>-28511</v>
      </c>
      <c r="F9462" t="s">
        <v>340</v>
      </c>
      <c r="G9462" t="s">
        <v>3761</v>
      </c>
      <c r="H9462" t="s">
        <v>21</v>
      </c>
      <c r="I9462" t="s">
        <v>18390</v>
      </c>
      <c r="J9462" t="str">
        <f>HYPERLINK("https://www.boe.es/gazeta/dias/1821/12/08/pdfs/GMD-1821-350.pdf#page=4","Abrir facsímil")</f>
        <v>Abrir facsímil</v>
      </c>
      <c r="K9462" t="s">
        <v>23</v>
      </c>
    </row>
    <row r="9463" spans="1:11" ht="42" customHeight="1">
      <c r="A9463" t="s">
        <v>18391</v>
      </c>
      <c r="B9463" t="s">
        <v>18392</v>
      </c>
      <c r="C9463" t="s">
        <v>35</v>
      </c>
      <c r="D9463" t="s">
        <v>27</v>
      </c>
      <c r="E9463" s="6">
        <v>-28714</v>
      </c>
      <c r="F9463" t="s">
        <v>522</v>
      </c>
      <c r="G9463" t="s">
        <v>20</v>
      </c>
      <c r="H9463" t="s">
        <v>21</v>
      </c>
      <c r="I9463" t="s">
        <v>18393</v>
      </c>
      <c r="J9463" t="str">
        <f>HYPERLINK("https://www.boe.es/gazeta/dias/1821/05/19/pdfs/GMD-1821-141.pdf#page=3","Abrir facsímil")</f>
        <v>Abrir facsímil</v>
      </c>
      <c r="K9463" t="s">
        <v>23</v>
      </c>
    </row>
    <row r="9464" spans="1:11" ht="42" customHeight="1">
      <c r="A9464" t="s">
        <v>18391</v>
      </c>
      <c r="B9464" t="s">
        <v>18392</v>
      </c>
      <c r="C9464" t="s">
        <v>40</v>
      </c>
      <c r="D9464" t="s">
        <v>41</v>
      </c>
      <c r="E9464" s="6">
        <v>-28545</v>
      </c>
      <c r="F9464" t="s">
        <v>284</v>
      </c>
      <c r="G9464" t="s">
        <v>20</v>
      </c>
      <c r="H9464" t="s">
        <v>21</v>
      </c>
      <c r="I9464" t="s">
        <v>18394</v>
      </c>
      <c r="J9464" t="str">
        <f>HYPERLINK("https://www.boe.es/gazeta/dias/1821/11/04/pdfs/GMD-1821-315.pdf#page=3","Abrir facsímil")</f>
        <v>Abrir facsímil</v>
      </c>
      <c r="K9464" t="s">
        <v>23</v>
      </c>
    </row>
    <row r="9465" spans="1:11" ht="42" customHeight="1">
      <c r="A9465" t="s">
        <v>18395</v>
      </c>
      <c r="B9465" t="s">
        <v>18396</v>
      </c>
      <c r="C9465" t="s">
        <v>40</v>
      </c>
      <c r="D9465" t="s">
        <v>41</v>
      </c>
      <c r="E9465" s="6">
        <v>-28702</v>
      </c>
      <c r="F9465" t="s">
        <v>1176</v>
      </c>
      <c r="G9465" t="s">
        <v>20</v>
      </c>
      <c r="H9465" t="s">
        <v>21</v>
      </c>
      <c r="I9465" t="s">
        <v>18397</v>
      </c>
      <c r="J9465" t="str">
        <f>HYPERLINK("https://www.boe.es/gazeta/dias/1821/05/31/pdfs/GMD-1821-153.pdf#page=3","Abrir facsímil")</f>
        <v>Abrir facsímil</v>
      </c>
      <c r="K9465" t="s">
        <v>23</v>
      </c>
    </row>
    <row r="9466" spans="1:11" ht="42" customHeight="1">
      <c r="A9466" t="s">
        <v>18398</v>
      </c>
      <c r="B9466" t="s">
        <v>18399</v>
      </c>
      <c r="C9466" t="s">
        <v>26</v>
      </c>
      <c r="D9466" t="s">
        <v>27</v>
      </c>
      <c r="E9466" s="6">
        <v>-28547</v>
      </c>
      <c r="F9466" t="s">
        <v>247</v>
      </c>
      <c r="G9466" t="s">
        <v>248</v>
      </c>
      <c r="H9466" t="s">
        <v>21</v>
      </c>
      <c r="I9466" t="s">
        <v>18400</v>
      </c>
      <c r="J9466" t="str">
        <f>HYPERLINK("https://www.boe.es/gazeta/dias/1821/11/02/pdfs/GMD-1821-312.pdf#page=2","Abrir facsímil")</f>
        <v>Abrir facsímil</v>
      </c>
      <c r="K9466" t="s">
        <v>23</v>
      </c>
    </row>
    <row r="9467" spans="1:11" ht="42" customHeight="1">
      <c r="A9467" t="s">
        <v>18401</v>
      </c>
      <c r="B9467" t="s">
        <v>18402</v>
      </c>
      <c r="C9467" t="s">
        <v>114</v>
      </c>
      <c r="D9467" t="s">
        <v>27</v>
      </c>
      <c r="E9467" s="6">
        <v>-28758</v>
      </c>
      <c r="F9467" t="s">
        <v>4115</v>
      </c>
      <c r="G9467" t="s">
        <v>7429</v>
      </c>
      <c r="H9467" t="s">
        <v>21</v>
      </c>
      <c r="I9467" t="s">
        <v>18403</v>
      </c>
      <c r="J9467" t="str">
        <f>HYPERLINK("https://www.boe.es/gazeta/dias/1821/04/05/pdfs/GMD-1821-97.pdf#page=4","Abrir facsímil")</f>
        <v>Abrir facsímil</v>
      </c>
      <c r="K9467" t="s">
        <v>23</v>
      </c>
    </row>
    <row r="9468" spans="1:11" ht="42" customHeight="1">
      <c r="A9468" t="s">
        <v>18404</v>
      </c>
      <c r="B9468" t="s">
        <v>18405</v>
      </c>
      <c r="C9468" t="s">
        <v>26</v>
      </c>
      <c r="D9468" t="s">
        <v>27</v>
      </c>
      <c r="E9468" s="6">
        <v>-28620</v>
      </c>
      <c r="F9468" t="s">
        <v>87</v>
      </c>
      <c r="G9468" t="s">
        <v>88</v>
      </c>
      <c r="H9468" t="s">
        <v>21</v>
      </c>
      <c r="I9468" t="s">
        <v>18406</v>
      </c>
      <c r="J9468" t="str">
        <f>HYPERLINK("https://www.boe.es/gazeta/dias/1821/08/21/pdfs/GMD-1821-238.pdf#page=4","Abrir facsímil")</f>
        <v>Abrir facsímil</v>
      </c>
      <c r="K9468" t="s">
        <v>23</v>
      </c>
    </row>
    <row r="9469" spans="1:11" ht="42" customHeight="1">
      <c r="A9469" t="s">
        <v>18407</v>
      </c>
      <c r="B9469" t="s">
        <v>18408</v>
      </c>
      <c r="C9469" t="s">
        <v>40</v>
      </c>
      <c r="D9469" t="s">
        <v>41</v>
      </c>
      <c r="E9469" s="6">
        <v>-28510</v>
      </c>
      <c r="F9469" t="s">
        <v>83</v>
      </c>
      <c r="G9469" t="s">
        <v>52</v>
      </c>
      <c r="H9469" t="s">
        <v>21</v>
      </c>
      <c r="I9469" t="s">
        <v>18409</v>
      </c>
      <c r="J9469" t="str">
        <f>HYPERLINK("https://www.boe.es/gazeta/dias/1821/12/09/pdfs/GMD-1821-351.pdf#page=2","Abrir facsímil")</f>
        <v>Abrir facsímil</v>
      </c>
      <c r="K9469" t="s">
        <v>23</v>
      </c>
    </row>
    <row r="9470" spans="1:11" ht="42" customHeight="1">
      <c r="A9470" t="s">
        <v>18410</v>
      </c>
      <c r="B9470" t="s">
        <v>18411</v>
      </c>
      <c r="C9470" t="s">
        <v>40</v>
      </c>
      <c r="D9470" t="s">
        <v>405</v>
      </c>
      <c r="E9470" s="6">
        <v>-28546</v>
      </c>
      <c r="F9470" t="s">
        <v>6425</v>
      </c>
      <c r="G9470" t="s">
        <v>43</v>
      </c>
      <c r="H9470" t="s">
        <v>21</v>
      </c>
      <c r="I9470" t="s">
        <v>18412</v>
      </c>
      <c r="J9470" t="str">
        <f>HYPERLINK("https://www.boe.es/gazeta/dias/1821/11/03/pdfs/GMD-1821-314E.pdf#page=1","Abrir facsímil")</f>
        <v>Abrir facsímil</v>
      </c>
      <c r="K9470" t="s">
        <v>23</v>
      </c>
    </row>
    <row r="9471" spans="1:11" ht="42" customHeight="1">
      <c r="A9471" t="s">
        <v>18413</v>
      </c>
      <c r="B9471" t="s">
        <v>18414</v>
      </c>
      <c r="C9471" t="s">
        <v>17</v>
      </c>
      <c r="D9471" t="s">
        <v>18</v>
      </c>
      <c r="E9471" s="6">
        <v>-28762</v>
      </c>
      <c r="F9471" t="s">
        <v>608</v>
      </c>
      <c r="G9471" t="s">
        <v>333</v>
      </c>
      <c r="H9471" t="s">
        <v>21</v>
      </c>
      <c r="I9471" t="s">
        <v>18415</v>
      </c>
      <c r="J9471" t="str">
        <f>HYPERLINK("https://www.boe.es/gazeta/dias/1821/04/01/pdfs/GMD-1821-93.pdf#page=8","Abrir facsímil")</f>
        <v>Abrir facsímil</v>
      </c>
      <c r="K9471" t="s">
        <v>23</v>
      </c>
    </row>
    <row r="9472" spans="1:11" ht="42" customHeight="1">
      <c r="A9472" t="s">
        <v>18416</v>
      </c>
      <c r="B9472" t="s">
        <v>18417</v>
      </c>
      <c r="C9472" t="s">
        <v>174</v>
      </c>
      <c r="D9472" t="s">
        <v>27</v>
      </c>
      <c r="E9472" s="6">
        <v>-28552</v>
      </c>
      <c r="F9472" t="s">
        <v>28</v>
      </c>
      <c r="G9472" t="s">
        <v>29</v>
      </c>
      <c r="H9472" t="s">
        <v>21</v>
      </c>
      <c r="I9472" t="s">
        <v>18418</v>
      </c>
      <c r="J9472" t="str">
        <f>HYPERLINK("https://www.boe.es/gazeta/dias/1821/10/28/pdfs/GMD-1821-307.pdf#page=6","Abrir facsímil")</f>
        <v>Abrir facsímil</v>
      </c>
      <c r="K9472" t="s">
        <v>23</v>
      </c>
    </row>
    <row r="9473" spans="1:11" ht="42" customHeight="1">
      <c r="A9473" t="s">
        <v>18419</v>
      </c>
      <c r="B9473" t="s">
        <v>18420</v>
      </c>
      <c r="C9473" t="s">
        <v>17</v>
      </c>
      <c r="D9473" t="s">
        <v>18</v>
      </c>
      <c r="E9473" s="6">
        <v>-28551</v>
      </c>
      <c r="F9473" t="s">
        <v>542</v>
      </c>
      <c r="G9473" t="s">
        <v>88</v>
      </c>
      <c r="H9473" t="s">
        <v>21</v>
      </c>
      <c r="I9473" t="s">
        <v>18421</v>
      </c>
      <c r="J9473" t="str">
        <f>HYPERLINK("https://www.boe.es/gazeta/dias/1821/10/29/pdfs/GMD-1821-308.pdf#page=4","Abrir facsímil")</f>
        <v>Abrir facsímil</v>
      </c>
      <c r="K9473" t="s">
        <v>23</v>
      </c>
    </row>
    <row r="9474" spans="1:11" ht="42" customHeight="1">
      <c r="A9474" t="s">
        <v>18422</v>
      </c>
      <c r="B9474" t="s">
        <v>18423</v>
      </c>
      <c r="C9474" t="s">
        <v>40</v>
      </c>
      <c r="D9474" t="s">
        <v>41</v>
      </c>
      <c r="E9474" s="6">
        <v>-28715</v>
      </c>
      <c r="F9474" t="s">
        <v>1046</v>
      </c>
      <c r="G9474" t="s">
        <v>43</v>
      </c>
      <c r="H9474" t="s">
        <v>21</v>
      </c>
      <c r="I9474" t="s">
        <v>18424</v>
      </c>
      <c r="J9474" t="str">
        <f>HYPERLINK("https://www.boe.es/gazeta/dias/1821/05/18/pdfs/GMD-1821-140.pdf#page=1","Abrir facsímil")</f>
        <v>Abrir facsímil</v>
      </c>
      <c r="K9474" t="s">
        <v>23</v>
      </c>
    </row>
    <row r="9475" spans="1:11" ht="42" customHeight="1">
      <c r="A9475" t="s">
        <v>18425</v>
      </c>
      <c r="B9475" t="s">
        <v>18426</v>
      </c>
      <c r="C9475" t="s">
        <v>174</v>
      </c>
      <c r="D9475" t="s">
        <v>27</v>
      </c>
      <c r="E9475" s="6">
        <v>-28847</v>
      </c>
      <c r="F9475" t="s">
        <v>288</v>
      </c>
      <c r="G9475" t="s">
        <v>289</v>
      </c>
      <c r="H9475" t="s">
        <v>21</v>
      </c>
      <c r="I9475" t="s">
        <v>18427</v>
      </c>
      <c r="J9475" t="str">
        <f>HYPERLINK("https://www.boe.es/gazeta/dias/1821/01/06/pdfs/GGB-1821-6.pdf#page=4","Abrir facsímil")</f>
        <v>Abrir facsímil</v>
      </c>
      <c r="K9475" t="s">
        <v>23</v>
      </c>
    </row>
    <row r="9476" spans="1:11" ht="42" customHeight="1">
      <c r="A9476" t="s">
        <v>18425</v>
      </c>
      <c r="B9476" t="s">
        <v>18426</v>
      </c>
      <c r="C9476" t="s">
        <v>26</v>
      </c>
      <c r="D9476" t="s">
        <v>27</v>
      </c>
      <c r="E9476" s="6">
        <v>-28654</v>
      </c>
      <c r="F9476" t="s">
        <v>674</v>
      </c>
      <c r="G9476" t="s">
        <v>88</v>
      </c>
      <c r="H9476" t="s">
        <v>21</v>
      </c>
      <c r="I9476" t="s">
        <v>18428</v>
      </c>
      <c r="J9476" t="str">
        <f>HYPERLINK("https://www.boe.es/gazeta/dias/1821/07/18/pdfs/GMD-1821-203.pdf#page=4","Abrir facsímil")</f>
        <v>Abrir facsímil</v>
      </c>
      <c r="K9476" t="s">
        <v>23</v>
      </c>
    </row>
    <row r="9477" spans="1:11" ht="42" customHeight="1">
      <c r="A9477" t="s">
        <v>18429</v>
      </c>
      <c r="B9477" t="s">
        <v>18430</v>
      </c>
      <c r="C9477" t="s">
        <v>17</v>
      </c>
      <c r="D9477" t="s">
        <v>18</v>
      </c>
      <c r="E9477" s="6">
        <v>-28809</v>
      </c>
      <c r="F9477" t="s">
        <v>1173</v>
      </c>
      <c r="G9477" t="s">
        <v>88</v>
      </c>
      <c r="H9477" t="s">
        <v>21</v>
      </c>
      <c r="I9477" t="s">
        <v>18431</v>
      </c>
      <c r="J9477" t="str">
        <f>HYPERLINK("https://www.boe.es/gazeta/dias/1821/02/13/pdfs/GGB-1821-44.pdf#page=4","Abrir facsímil")</f>
        <v>Abrir facsímil</v>
      </c>
      <c r="K9477" t="s">
        <v>23</v>
      </c>
    </row>
    <row r="9478" spans="1:11" ht="42" customHeight="1">
      <c r="A9478" t="s">
        <v>18432</v>
      </c>
      <c r="B9478" t="s">
        <v>18433</v>
      </c>
      <c r="C9478" t="s">
        <v>40</v>
      </c>
      <c r="D9478" t="s">
        <v>41</v>
      </c>
      <c r="E9478" s="6">
        <v>-28704</v>
      </c>
      <c r="F9478" t="s">
        <v>1050</v>
      </c>
      <c r="G9478" t="s">
        <v>52</v>
      </c>
      <c r="H9478" t="s">
        <v>21</v>
      </c>
      <c r="I9478" t="s">
        <v>18434</v>
      </c>
      <c r="J9478" t="str">
        <f>HYPERLINK("https://www.boe.es/gazeta/dias/1821/05/29/pdfs/GMD-1821-151.pdf#page=2","Abrir facsímil")</f>
        <v>Abrir facsímil</v>
      </c>
      <c r="K9478" t="s">
        <v>23</v>
      </c>
    </row>
    <row r="9479" spans="1:11" ht="42" customHeight="1">
      <c r="A9479" t="s">
        <v>18435</v>
      </c>
      <c r="B9479" t="s">
        <v>18436</v>
      </c>
      <c r="C9479" t="s">
        <v>40</v>
      </c>
      <c r="D9479" t="s">
        <v>41</v>
      </c>
      <c r="E9479" s="6">
        <v>-28729</v>
      </c>
      <c r="F9479" t="s">
        <v>838</v>
      </c>
      <c r="G9479" t="s">
        <v>52</v>
      </c>
      <c r="H9479" t="s">
        <v>21</v>
      </c>
      <c r="I9479" t="s">
        <v>18437</v>
      </c>
      <c r="J9479" t="str">
        <f>HYPERLINK("https://www.boe.es/gazeta/dias/1821/05/04/pdfs/GMD-1821-126.pdf#page=2","Abrir facsímil")</f>
        <v>Abrir facsímil</v>
      </c>
      <c r="K9479" t="s">
        <v>23</v>
      </c>
    </row>
    <row r="9480" spans="1:11" ht="42" customHeight="1">
      <c r="A9480" t="s">
        <v>18438</v>
      </c>
      <c r="B9480" t="s">
        <v>18439</v>
      </c>
      <c r="C9480" t="s">
        <v>114</v>
      </c>
      <c r="D9480" t="s">
        <v>27</v>
      </c>
      <c r="E9480" s="6">
        <v>-28565</v>
      </c>
      <c r="F9480" t="s">
        <v>326</v>
      </c>
      <c r="G9480" t="s">
        <v>29</v>
      </c>
      <c r="H9480" t="s">
        <v>21</v>
      </c>
      <c r="I9480" t="s">
        <v>18440</v>
      </c>
      <c r="J9480" t="str">
        <f>HYPERLINK("https://www.boe.es/gazeta/dias/1821/10/15/pdfs/GMD-1821-294.pdf#page=6","Abrir facsímil")</f>
        <v>Abrir facsímil</v>
      </c>
      <c r="K9480" t="s">
        <v>23</v>
      </c>
    </row>
    <row r="9481" spans="1:11" ht="42" customHeight="1">
      <c r="A9481" t="s">
        <v>18438</v>
      </c>
      <c r="B9481" t="s">
        <v>18439</v>
      </c>
      <c r="C9481" t="s">
        <v>40</v>
      </c>
      <c r="D9481" t="s">
        <v>41</v>
      </c>
      <c r="E9481" s="6">
        <v>-28549</v>
      </c>
      <c r="F9481" t="s">
        <v>930</v>
      </c>
      <c r="G9481" t="s">
        <v>29</v>
      </c>
      <c r="H9481" t="s">
        <v>21</v>
      </c>
      <c r="I9481" t="s">
        <v>18441</v>
      </c>
      <c r="J9481" t="str">
        <f>HYPERLINK("https://www.boe.es/gazeta/dias/1821/10/31/pdfs/GMD-1821-310.pdf#page=6","Abrir facsímil")</f>
        <v>Abrir facsímil</v>
      </c>
      <c r="K9481" t="s">
        <v>23</v>
      </c>
    </row>
    <row r="9482" spans="1:11" ht="42" customHeight="1">
      <c r="A9482" t="s">
        <v>18442</v>
      </c>
      <c r="B9482" t="s">
        <v>18443</v>
      </c>
      <c r="C9482" t="s">
        <v>40</v>
      </c>
      <c r="D9482" t="s">
        <v>41</v>
      </c>
      <c r="E9482" s="6">
        <v>-28499</v>
      </c>
      <c r="F9482" t="s">
        <v>954</v>
      </c>
      <c r="G9482" t="s">
        <v>88</v>
      </c>
      <c r="H9482" t="s">
        <v>21</v>
      </c>
      <c r="I9482" t="s">
        <v>18444</v>
      </c>
      <c r="J9482" t="str">
        <f>HYPERLINK("https://www.boe.es/gazeta/dias/1821/12/20/pdfs/GMD-1821-363.pdf#page=4","Abrir facsímil")</f>
        <v>Abrir facsímil</v>
      </c>
      <c r="K9482" t="s">
        <v>23</v>
      </c>
    </row>
    <row r="9483" spans="1:11" ht="42" customHeight="1">
      <c r="A9483" t="s">
        <v>18445</v>
      </c>
      <c r="B9483" t="s">
        <v>18446</v>
      </c>
      <c r="C9483" t="s">
        <v>114</v>
      </c>
      <c r="D9483" t="s">
        <v>27</v>
      </c>
      <c r="E9483" s="6">
        <v>-28836</v>
      </c>
      <c r="F9483" t="s">
        <v>601</v>
      </c>
      <c r="G9483" t="s">
        <v>20</v>
      </c>
      <c r="H9483" t="s">
        <v>21</v>
      </c>
      <c r="I9483" t="s">
        <v>18447</v>
      </c>
      <c r="J9483" t="str">
        <f>HYPERLINK("https://www.boe.es/gazeta/dias/1821/01/17/pdfs/GGB-1821-17.pdf#page=3","Abrir facsímil")</f>
        <v>Abrir facsímil</v>
      </c>
      <c r="K9483" t="s">
        <v>23</v>
      </c>
    </row>
    <row r="9484" spans="1:11" ht="42" customHeight="1">
      <c r="A9484" t="s">
        <v>18448</v>
      </c>
      <c r="B9484" t="s">
        <v>18448</v>
      </c>
      <c r="C9484" t="s">
        <v>40</v>
      </c>
      <c r="D9484" t="s">
        <v>41</v>
      </c>
      <c r="E9484" s="6">
        <v>-28828</v>
      </c>
      <c r="F9484" t="s">
        <v>1864</v>
      </c>
      <c r="G9484" t="s">
        <v>52</v>
      </c>
      <c r="H9484" t="s">
        <v>21</v>
      </c>
      <c r="I9484" t="s">
        <v>18449</v>
      </c>
      <c r="J9484" t="str">
        <f>HYPERLINK("https://www.boe.es/gazeta/dias/1821/01/25/pdfs/GGB-1821-25.pdf#page=2","Abrir facsímil")</f>
        <v>Abrir facsímil</v>
      </c>
      <c r="K9484" t="s">
        <v>23</v>
      </c>
    </row>
    <row r="9485" spans="1:11" ht="42" customHeight="1">
      <c r="A9485" t="s">
        <v>18450</v>
      </c>
      <c r="B9485" t="s">
        <v>18451</v>
      </c>
      <c r="C9485" t="s">
        <v>40</v>
      </c>
      <c r="D9485" t="s">
        <v>41</v>
      </c>
      <c r="E9485" s="6">
        <v>-28690</v>
      </c>
      <c r="F9485" t="s">
        <v>846</v>
      </c>
      <c r="G9485" t="s">
        <v>847</v>
      </c>
      <c r="H9485" t="s">
        <v>21</v>
      </c>
      <c r="I9485" t="s">
        <v>18452</v>
      </c>
      <c r="J9485" t="str">
        <f>HYPERLINK("https://www.boe.es/gazeta/dias/1821/06/12/pdfs/GMD-1821-165.pdf#page=2","Abrir facsímil")</f>
        <v>Abrir facsímil</v>
      </c>
      <c r="K9485" t="s">
        <v>23</v>
      </c>
    </row>
    <row r="9486" spans="1:11" ht="42" customHeight="1">
      <c r="A9486" t="s">
        <v>18453</v>
      </c>
      <c r="B9486" t="s">
        <v>18453</v>
      </c>
      <c r="C9486" t="s">
        <v>40</v>
      </c>
      <c r="D9486" t="s">
        <v>41</v>
      </c>
      <c r="E9486" s="6">
        <v>-28744</v>
      </c>
      <c r="F9486" t="s">
        <v>834</v>
      </c>
      <c r="G9486" t="s">
        <v>43</v>
      </c>
      <c r="H9486" t="s">
        <v>21</v>
      </c>
      <c r="I9486" t="s">
        <v>18454</v>
      </c>
      <c r="J9486" t="str">
        <f>HYPERLINK("https://www.boe.es/gazeta/dias/1821/04/19/pdfs/GMD-1821-111.pdf#page=1","Abrir facsímil")</f>
        <v>Abrir facsímil</v>
      </c>
      <c r="K9486" t="s">
        <v>23</v>
      </c>
    </row>
    <row r="9487" spans="1:11" ht="42" customHeight="1">
      <c r="A9487" t="s">
        <v>18455</v>
      </c>
      <c r="B9487" t="s">
        <v>18456</v>
      </c>
      <c r="C9487" t="s">
        <v>17</v>
      </c>
      <c r="D9487" t="s">
        <v>18</v>
      </c>
      <c r="E9487" s="6">
        <v>-28565</v>
      </c>
      <c r="F9487" t="s">
        <v>326</v>
      </c>
      <c r="G9487" t="s">
        <v>162</v>
      </c>
      <c r="H9487" t="s">
        <v>21</v>
      </c>
      <c r="I9487" t="s">
        <v>18457</v>
      </c>
      <c r="J9487" t="str">
        <f>HYPERLINK("https://www.boe.es/gazeta/dias/1821/10/15/pdfs/GMD-1821-294.pdf#page=5","Abrir facsímil")</f>
        <v>Abrir facsímil</v>
      </c>
      <c r="K9487" t="s">
        <v>23</v>
      </c>
    </row>
    <row r="9488" spans="1:11" ht="42" customHeight="1">
      <c r="A9488" t="s">
        <v>18458</v>
      </c>
      <c r="B9488" t="s">
        <v>18459</v>
      </c>
      <c r="C9488" t="s">
        <v>279</v>
      </c>
      <c r="D9488" t="s">
        <v>27</v>
      </c>
      <c r="E9488" s="6">
        <v>-28770</v>
      </c>
      <c r="F9488" t="s">
        <v>1009</v>
      </c>
      <c r="G9488" t="s">
        <v>29</v>
      </c>
      <c r="H9488" t="s">
        <v>21</v>
      </c>
      <c r="I9488" t="s">
        <v>18460</v>
      </c>
      <c r="J9488" t="str">
        <f>HYPERLINK("https://www.boe.es/gazeta/dias/1821/03/24/pdfs/GMD-1821-84.pdf#page=6","Abrir facsímil")</f>
        <v>Abrir facsímil</v>
      </c>
      <c r="K9488" t="s">
        <v>23</v>
      </c>
    </row>
    <row r="9489" spans="1:11" ht="42" customHeight="1">
      <c r="A9489" t="s">
        <v>18461</v>
      </c>
      <c r="B9489" t="s">
        <v>18461</v>
      </c>
      <c r="C9489" t="s">
        <v>17</v>
      </c>
      <c r="D9489" t="s">
        <v>18</v>
      </c>
      <c r="E9489" s="6">
        <v>-28569</v>
      </c>
      <c r="F9489" t="s">
        <v>512</v>
      </c>
      <c r="G9489" t="s">
        <v>29</v>
      </c>
      <c r="H9489" t="s">
        <v>21</v>
      </c>
      <c r="I9489" t="s">
        <v>18462</v>
      </c>
      <c r="J9489" t="str">
        <f>HYPERLINK("https://www.boe.es/gazeta/dias/1821/10/11/pdfs/GMD-1821-290.pdf#page=6","Abrir facsímil")</f>
        <v>Abrir facsímil</v>
      </c>
      <c r="K9489" t="s">
        <v>23</v>
      </c>
    </row>
    <row r="9490" spans="1:11" ht="42" customHeight="1">
      <c r="A9490" t="s">
        <v>18463</v>
      </c>
      <c r="B9490" t="s">
        <v>18464</v>
      </c>
      <c r="C9490" t="s">
        <v>17</v>
      </c>
      <c r="D9490" t="s">
        <v>18</v>
      </c>
      <c r="E9490" s="6">
        <v>-28708</v>
      </c>
      <c r="F9490" t="s">
        <v>528</v>
      </c>
      <c r="G9490" t="s">
        <v>1716</v>
      </c>
      <c r="H9490" t="s">
        <v>21</v>
      </c>
      <c r="I9490" t="s">
        <v>18465</v>
      </c>
      <c r="J9490" t="str">
        <f>HYPERLINK("https://www.boe.es/gazeta/dias/1821/05/25/pdfs/GMD-1821-147.pdf#page=2","Abrir facsímil")</f>
        <v>Abrir facsímil</v>
      </c>
      <c r="K9490" t="s">
        <v>23</v>
      </c>
    </row>
    <row r="9491" spans="1:11" ht="42" customHeight="1">
      <c r="A9491" t="s">
        <v>18466</v>
      </c>
      <c r="B9491" t="s">
        <v>18467</v>
      </c>
      <c r="C9491" t="s">
        <v>174</v>
      </c>
      <c r="D9491" t="s">
        <v>27</v>
      </c>
      <c r="E9491" s="6">
        <v>-28806</v>
      </c>
      <c r="F9491" t="s">
        <v>1201</v>
      </c>
      <c r="G9491" t="s">
        <v>88</v>
      </c>
      <c r="H9491" t="s">
        <v>21</v>
      </c>
      <c r="I9491" t="s">
        <v>18468</v>
      </c>
      <c r="J9491" t="str">
        <f>HYPERLINK("https://www.boe.es/gazeta/dias/1821/02/16/pdfs/GGB-1821-47.pdf#page=4","Abrir facsímil")</f>
        <v>Abrir facsímil</v>
      </c>
      <c r="K9491" t="s">
        <v>23</v>
      </c>
    </row>
    <row r="9492" spans="1:11" ht="42" customHeight="1">
      <c r="A9492" t="s">
        <v>18469</v>
      </c>
      <c r="B9492" t="s">
        <v>18470</v>
      </c>
      <c r="C9492" t="s">
        <v>17</v>
      </c>
      <c r="D9492" t="s">
        <v>18</v>
      </c>
      <c r="E9492" s="6">
        <v>-28755</v>
      </c>
      <c r="F9492" t="s">
        <v>906</v>
      </c>
      <c r="G9492" t="s">
        <v>52</v>
      </c>
      <c r="H9492" t="s">
        <v>21</v>
      </c>
      <c r="I9492" t="s">
        <v>18471</v>
      </c>
      <c r="J9492" t="str">
        <f>HYPERLINK("https://www.boe.es/gazeta/dias/1821/04/08/pdfs/GMD-1821-100.pdf#page=2","Abrir facsímil")</f>
        <v>Abrir facsímil</v>
      </c>
      <c r="K9492" t="s">
        <v>23</v>
      </c>
    </row>
    <row r="9493" spans="1:11" ht="42" customHeight="1">
      <c r="A9493" t="s">
        <v>18472</v>
      </c>
      <c r="B9493" t="s">
        <v>18473</v>
      </c>
      <c r="C9493" t="s">
        <v>114</v>
      </c>
      <c r="D9493" t="s">
        <v>27</v>
      </c>
      <c r="E9493" s="6">
        <v>-28543</v>
      </c>
      <c r="F9493" t="s">
        <v>136</v>
      </c>
      <c r="G9493" t="s">
        <v>609</v>
      </c>
      <c r="H9493" t="s">
        <v>21</v>
      </c>
      <c r="I9493" t="s">
        <v>18474</v>
      </c>
      <c r="J9493" t="str">
        <f>HYPERLINK("https://www.boe.es/gazeta/dias/1821/11/06/pdfs/GMD-1821-317.pdf#page=7","Abrir facsímil")</f>
        <v>Abrir facsímil</v>
      </c>
      <c r="K9493" t="s">
        <v>23</v>
      </c>
    </row>
    <row r="9494" spans="1:11" ht="42" customHeight="1">
      <c r="A9494" t="s">
        <v>18475</v>
      </c>
      <c r="B9494" t="s">
        <v>18475</v>
      </c>
      <c r="C9494" t="s">
        <v>40</v>
      </c>
      <c r="D9494" t="s">
        <v>41</v>
      </c>
      <c r="E9494" s="6">
        <v>-28782</v>
      </c>
      <c r="F9494" t="s">
        <v>508</v>
      </c>
      <c r="G9494" t="s">
        <v>88</v>
      </c>
      <c r="H9494" t="s">
        <v>21</v>
      </c>
      <c r="I9494" t="s">
        <v>18476</v>
      </c>
      <c r="J9494" t="str">
        <f>HYPERLINK("https://www.boe.es/gazeta/dias/1821/03/12/pdfs/GMD-1821-71.pdf#page=4","Abrir facsímil")</f>
        <v>Abrir facsímil</v>
      </c>
      <c r="K9494" t="s">
        <v>23</v>
      </c>
    </row>
    <row r="9495" spans="1:11" ht="42" customHeight="1">
      <c r="A9495" t="s">
        <v>18475</v>
      </c>
      <c r="B9495" t="s">
        <v>18475</v>
      </c>
      <c r="C9495" t="s">
        <v>26</v>
      </c>
      <c r="D9495" t="s">
        <v>27</v>
      </c>
      <c r="E9495" s="6">
        <v>-28775</v>
      </c>
      <c r="F9495" t="s">
        <v>132</v>
      </c>
      <c r="G9495" t="s">
        <v>52</v>
      </c>
      <c r="H9495" t="s">
        <v>21</v>
      </c>
      <c r="I9495" t="s">
        <v>18477</v>
      </c>
      <c r="J9495" t="str">
        <f>HYPERLINK("https://www.boe.es/gazeta/dias/1821/03/19/pdfs/GMD-1821-78.pdf#page=2","Abrir facsímil")</f>
        <v>Abrir facsímil</v>
      </c>
      <c r="K9495" t="s">
        <v>23</v>
      </c>
    </row>
    <row r="9496" spans="1:11" ht="42" customHeight="1">
      <c r="A9496" t="s">
        <v>18475</v>
      </c>
      <c r="B9496" t="s">
        <v>18475</v>
      </c>
      <c r="C9496" t="s">
        <v>17</v>
      </c>
      <c r="D9496" t="s">
        <v>18</v>
      </c>
      <c r="E9496" s="6">
        <v>-28773</v>
      </c>
      <c r="F9496" t="s">
        <v>1755</v>
      </c>
      <c r="G9496" t="s">
        <v>20</v>
      </c>
      <c r="H9496" t="s">
        <v>21</v>
      </c>
      <c r="I9496" t="s">
        <v>18478</v>
      </c>
      <c r="J9496" t="str">
        <f>HYPERLINK("https://www.boe.es/gazeta/dias/1821/03/21/pdfs/GMD-1821-80.pdf#page=3","Abrir facsímil")</f>
        <v>Abrir facsímil</v>
      </c>
      <c r="K9496" t="s">
        <v>23</v>
      </c>
    </row>
    <row r="9497" spans="1:11" ht="42" customHeight="1">
      <c r="A9497" t="s">
        <v>18475</v>
      </c>
      <c r="B9497" t="s">
        <v>18475</v>
      </c>
      <c r="C9497" t="s">
        <v>40</v>
      </c>
      <c r="D9497" t="s">
        <v>41</v>
      </c>
      <c r="E9497" s="6">
        <v>-28615</v>
      </c>
      <c r="F9497" t="s">
        <v>427</v>
      </c>
      <c r="G9497" t="s">
        <v>20</v>
      </c>
      <c r="H9497" t="s">
        <v>21</v>
      </c>
      <c r="I9497" t="s">
        <v>18479</v>
      </c>
      <c r="J9497" t="str">
        <f>HYPERLINK("https://www.boe.es/gazeta/dias/1821/08/26/pdfs/GMD-1821-243.pdf#page=3","Abrir facsímil")</f>
        <v>Abrir facsímil</v>
      </c>
      <c r="K9497" t="s">
        <v>23</v>
      </c>
    </row>
    <row r="9498" spans="1:11" ht="42" customHeight="1">
      <c r="A9498" t="s">
        <v>18475</v>
      </c>
      <c r="B9498" t="s">
        <v>18475</v>
      </c>
      <c r="C9498" t="s">
        <v>26</v>
      </c>
      <c r="D9498" t="s">
        <v>27</v>
      </c>
      <c r="E9498" s="6">
        <v>-28569</v>
      </c>
      <c r="F9498" t="s">
        <v>512</v>
      </c>
      <c r="G9498" t="s">
        <v>29</v>
      </c>
      <c r="H9498" t="s">
        <v>21</v>
      </c>
      <c r="I9498" t="s">
        <v>18480</v>
      </c>
      <c r="J9498" t="str">
        <f>HYPERLINK("https://www.boe.es/gazeta/dias/1821/10/11/pdfs/GMD-1821-290.pdf#page=6","Abrir facsímil")</f>
        <v>Abrir facsímil</v>
      </c>
      <c r="K9498" t="s">
        <v>23</v>
      </c>
    </row>
    <row r="9499" spans="1:11" ht="42" customHeight="1">
      <c r="A9499" t="s">
        <v>18475</v>
      </c>
      <c r="B9499" t="s">
        <v>18475</v>
      </c>
      <c r="C9499" t="s">
        <v>70</v>
      </c>
      <c r="D9499" t="s">
        <v>27</v>
      </c>
      <c r="E9499" s="6">
        <v>-28531</v>
      </c>
      <c r="F9499" t="s">
        <v>365</v>
      </c>
      <c r="G9499" t="s">
        <v>88</v>
      </c>
      <c r="H9499" t="s">
        <v>21</v>
      </c>
      <c r="I9499" t="s">
        <v>18481</v>
      </c>
      <c r="J9499" t="str">
        <f>HYPERLINK("https://www.boe.es/gazeta/dias/1821/11/18/pdfs/GMD-1821-329.pdf#page=4","Abrir facsímil")</f>
        <v>Abrir facsímil</v>
      </c>
      <c r="K9499" t="s">
        <v>23</v>
      </c>
    </row>
    <row r="9500" spans="1:11" ht="42" customHeight="1">
      <c r="A9500" t="s">
        <v>18475</v>
      </c>
      <c r="B9500" t="s">
        <v>18475</v>
      </c>
      <c r="C9500" t="s">
        <v>40</v>
      </c>
      <c r="D9500" t="s">
        <v>41</v>
      </c>
      <c r="E9500" s="6">
        <v>-28528</v>
      </c>
      <c r="F9500" t="s">
        <v>1872</v>
      </c>
      <c r="G9500" t="s">
        <v>88</v>
      </c>
      <c r="H9500" t="s">
        <v>21</v>
      </c>
      <c r="I9500" t="s">
        <v>18482</v>
      </c>
      <c r="J9500" t="str">
        <f>HYPERLINK("https://www.boe.es/gazeta/dias/1821/11/21/pdfs/GMD-1821-332.pdf#page=4","Abrir facsímil")</f>
        <v>Abrir facsímil</v>
      </c>
      <c r="K9500" t="s">
        <v>23</v>
      </c>
    </row>
    <row r="9501" spans="1:11" ht="42" customHeight="1">
      <c r="A9501" t="s">
        <v>18483</v>
      </c>
      <c r="B9501" t="s">
        <v>18484</v>
      </c>
      <c r="C9501" t="s">
        <v>17</v>
      </c>
      <c r="D9501" t="s">
        <v>18</v>
      </c>
      <c r="E9501" s="6">
        <v>-28542</v>
      </c>
      <c r="F9501" t="s">
        <v>221</v>
      </c>
      <c r="G9501" t="s">
        <v>29</v>
      </c>
      <c r="H9501" t="s">
        <v>21</v>
      </c>
      <c r="I9501" t="s">
        <v>18485</v>
      </c>
      <c r="J9501" t="str">
        <f>HYPERLINK("https://www.boe.es/gazeta/dias/1821/11/07/pdfs/GMD-1821-318.pdf#page=6","Abrir facsímil")</f>
        <v>Abrir facsímil</v>
      </c>
      <c r="K9501" t="s">
        <v>23</v>
      </c>
    </row>
    <row r="9502" spans="1:11" ht="42" customHeight="1">
      <c r="A9502" t="s">
        <v>18486</v>
      </c>
      <c r="B9502" t="s">
        <v>18487</v>
      </c>
      <c r="C9502" t="s">
        <v>40</v>
      </c>
      <c r="D9502" t="s">
        <v>41</v>
      </c>
      <c r="E9502" s="6">
        <v>-28590</v>
      </c>
      <c r="F9502" t="s">
        <v>2787</v>
      </c>
      <c r="G9502" t="s">
        <v>20</v>
      </c>
      <c r="H9502" t="s">
        <v>21</v>
      </c>
      <c r="I9502" t="s">
        <v>18488</v>
      </c>
      <c r="J9502" t="str">
        <f>HYPERLINK("https://www.boe.es/gazeta/dias/1821/09/20/pdfs/GMD-1821-268.pdf#page=3","Abrir facsímil")</f>
        <v>Abrir facsímil</v>
      </c>
      <c r="K9502" t="s">
        <v>23</v>
      </c>
    </row>
    <row r="9503" spans="1:11" ht="42" customHeight="1">
      <c r="A9503" t="s">
        <v>18486</v>
      </c>
      <c r="B9503" t="s">
        <v>18487</v>
      </c>
      <c r="C9503" t="s">
        <v>17</v>
      </c>
      <c r="D9503" t="s">
        <v>18</v>
      </c>
      <c r="E9503" s="6">
        <v>-28536</v>
      </c>
      <c r="F9503" t="s">
        <v>553</v>
      </c>
      <c r="G9503" t="s">
        <v>29</v>
      </c>
      <c r="H9503" t="s">
        <v>21</v>
      </c>
      <c r="I9503" t="s">
        <v>18489</v>
      </c>
      <c r="J9503" t="str">
        <f>HYPERLINK("https://www.boe.es/gazeta/dias/1821/11/13/pdfs/GMD-1821-324.pdf#page=6","Abrir facsímil")</f>
        <v>Abrir facsímil</v>
      </c>
      <c r="K9503" t="s">
        <v>23</v>
      </c>
    </row>
    <row r="9504" spans="1:11" ht="42" customHeight="1">
      <c r="A9504" t="s">
        <v>18486</v>
      </c>
      <c r="B9504" t="s">
        <v>18487</v>
      </c>
      <c r="C9504" t="s">
        <v>26</v>
      </c>
      <c r="D9504" t="s">
        <v>27</v>
      </c>
      <c r="E9504" s="6">
        <v>-28530</v>
      </c>
      <c r="F9504" t="s">
        <v>237</v>
      </c>
      <c r="G9504" t="s">
        <v>88</v>
      </c>
      <c r="H9504" t="s">
        <v>21</v>
      </c>
      <c r="I9504" t="s">
        <v>18490</v>
      </c>
      <c r="J9504" t="str">
        <f>HYPERLINK("https://www.boe.es/gazeta/dias/1821/11/19/pdfs/GMD-1821-330.pdf#page=4","Abrir facsímil")</f>
        <v>Abrir facsímil</v>
      </c>
      <c r="K9504" t="s">
        <v>23</v>
      </c>
    </row>
    <row r="9505" spans="1:11" ht="42" customHeight="1">
      <c r="A9505" t="s">
        <v>18486</v>
      </c>
      <c r="B9505" t="s">
        <v>18487</v>
      </c>
      <c r="C9505" t="s">
        <v>17</v>
      </c>
      <c r="D9505" t="s">
        <v>18</v>
      </c>
      <c r="E9505" s="6">
        <v>-28517</v>
      </c>
      <c r="F9505" t="s">
        <v>563</v>
      </c>
      <c r="G9505" t="s">
        <v>88</v>
      </c>
      <c r="H9505" t="s">
        <v>21</v>
      </c>
      <c r="I9505" t="s">
        <v>18491</v>
      </c>
      <c r="J9505" t="str">
        <f>HYPERLINK("https://www.boe.es/gazeta/dias/1821/12/02/pdfs/GMD-1821-344.pdf#page=4","Abrir facsímil")</f>
        <v>Abrir facsímil</v>
      </c>
      <c r="K9505" t="s">
        <v>23</v>
      </c>
    </row>
    <row r="9506" spans="1:11" ht="42" customHeight="1">
      <c r="A9506" t="s">
        <v>18492</v>
      </c>
      <c r="B9506" t="s">
        <v>18493</v>
      </c>
      <c r="C9506" t="s">
        <v>40</v>
      </c>
      <c r="D9506" t="s">
        <v>41</v>
      </c>
      <c r="E9506" s="6">
        <v>-28667</v>
      </c>
      <c r="F9506" t="s">
        <v>107</v>
      </c>
      <c r="G9506" t="s">
        <v>20</v>
      </c>
      <c r="H9506" t="s">
        <v>21</v>
      </c>
      <c r="I9506" t="s">
        <v>18494</v>
      </c>
      <c r="J9506" t="str">
        <f>HYPERLINK("https://www.boe.es/gazeta/dias/1821/07/05/pdfs/GMD-1821-189.pdf#page=3","Abrir facsímil")</f>
        <v>Abrir facsímil</v>
      </c>
      <c r="K9506" t="s">
        <v>23</v>
      </c>
    </row>
    <row r="9507" spans="1:11" ht="42" customHeight="1">
      <c r="A9507" t="s">
        <v>18492</v>
      </c>
      <c r="B9507" t="s">
        <v>18493</v>
      </c>
      <c r="C9507" t="s">
        <v>17</v>
      </c>
      <c r="D9507" t="s">
        <v>18</v>
      </c>
      <c r="E9507" s="6">
        <v>-28598</v>
      </c>
      <c r="F9507" t="s">
        <v>1206</v>
      </c>
      <c r="G9507" t="s">
        <v>20</v>
      </c>
      <c r="H9507" t="s">
        <v>21</v>
      </c>
      <c r="I9507" t="s">
        <v>18495</v>
      </c>
      <c r="J9507" t="str">
        <f>HYPERLINK("https://www.boe.es/gazeta/dias/1821/09/12/pdfs/GMD-1821-260.pdf#page=3","Abrir facsímil")</f>
        <v>Abrir facsímil</v>
      </c>
      <c r="K9507" t="s">
        <v>23</v>
      </c>
    </row>
    <row r="9508" spans="1:11" ht="42" customHeight="1">
      <c r="A9508" t="s">
        <v>18496</v>
      </c>
      <c r="B9508" t="s">
        <v>18497</v>
      </c>
      <c r="C9508" t="s">
        <v>17</v>
      </c>
      <c r="D9508" t="s">
        <v>18</v>
      </c>
      <c r="E9508" s="6">
        <v>-28544</v>
      </c>
      <c r="F9508" t="s">
        <v>139</v>
      </c>
      <c r="G9508" t="s">
        <v>52</v>
      </c>
      <c r="H9508" t="s">
        <v>21</v>
      </c>
      <c r="I9508" t="s">
        <v>18498</v>
      </c>
      <c r="J9508" t="str">
        <f>HYPERLINK("https://www.boe.es/gazeta/dias/1821/11/05/pdfs/GMD-1821-316.pdf#page=2","Abrir facsímil")</f>
        <v>Abrir facsímil</v>
      </c>
      <c r="K9508" t="s">
        <v>23</v>
      </c>
    </row>
    <row r="9509" spans="1:11" ht="42" customHeight="1">
      <c r="A9509" t="s">
        <v>18499</v>
      </c>
      <c r="B9509" t="s">
        <v>18500</v>
      </c>
      <c r="C9509" t="s">
        <v>40</v>
      </c>
      <c r="D9509" t="s">
        <v>41</v>
      </c>
      <c r="E9509" s="6">
        <v>-28672</v>
      </c>
      <c r="F9509" t="s">
        <v>964</v>
      </c>
      <c r="G9509" t="s">
        <v>52</v>
      </c>
      <c r="H9509" t="s">
        <v>21</v>
      </c>
      <c r="I9509" t="s">
        <v>18501</v>
      </c>
      <c r="J9509" t="str">
        <f>HYPERLINK("https://www.boe.es/gazeta/dias/1821/06/30/pdfs/GMD-1821-183.pdf#page=2","Abrir facsímil")</f>
        <v>Abrir facsímil</v>
      </c>
      <c r="K9509" t="s">
        <v>23</v>
      </c>
    </row>
    <row r="9510" spans="1:11" ht="42" customHeight="1">
      <c r="A9510" t="s">
        <v>18502</v>
      </c>
      <c r="B9510" t="s">
        <v>18503</v>
      </c>
      <c r="C9510" t="s">
        <v>17</v>
      </c>
      <c r="D9510" t="s">
        <v>18</v>
      </c>
      <c r="E9510" s="6">
        <v>-28789</v>
      </c>
      <c r="F9510" t="s">
        <v>36</v>
      </c>
      <c r="G9510" t="s">
        <v>20</v>
      </c>
      <c r="H9510" t="s">
        <v>21</v>
      </c>
      <c r="I9510" t="s">
        <v>18504</v>
      </c>
      <c r="J9510" t="str">
        <f>HYPERLINK("https://www.boe.es/gazeta/dias/1821/03/05/pdfs/GGB-1821-64.pdf#page=3","Abrir facsímil")</f>
        <v>Abrir facsímil</v>
      </c>
      <c r="K9510" t="s">
        <v>23</v>
      </c>
    </row>
    <row r="9511" spans="1:11" ht="42" customHeight="1">
      <c r="A9511" t="s">
        <v>18502</v>
      </c>
      <c r="B9511" t="s">
        <v>18503</v>
      </c>
      <c r="C9511" t="s">
        <v>35</v>
      </c>
      <c r="D9511" t="s">
        <v>27</v>
      </c>
      <c r="E9511" s="6">
        <v>-28785</v>
      </c>
      <c r="F9511" t="s">
        <v>1935</v>
      </c>
      <c r="G9511" t="s">
        <v>20</v>
      </c>
      <c r="H9511" t="s">
        <v>21</v>
      </c>
      <c r="I9511" t="s">
        <v>18505</v>
      </c>
      <c r="J9511" t="str">
        <f>HYPERLINK("https://www.boe.es/gazeta/dias/1821/03/09/pdfs/GGB-1821-68.pdf#page=3","Abrir facsímil")</f>
        <v>Abrir facsímil</v>
      </c>
      <c r="K9511" t="s">
        <v>23</v>
      </c>
    </row>
    <row r="9512" spans="1:11" ht="42" customHeight="1">
      <c r="A9512" t="s">
        <v>18502</v>
      </c>
      <c r="B9512" t="s">
        <v>18503</v>
      </c>
      <c r="C9512" t="s">
        <v>26</v>
      </c>
      <c r="D9512" t="s">
        <v>27</v>
      </c>
      <c r="E9512" s="6">
        <v>-28784</v>
      </c>
      <c r="F9512" t="s">
        <v>451</v>
      </c>
      <c r="G9512" t="s">
        <v>20</v>
      </c>
      <c r="H9512" t="s">
        <v>21</v>
      </c>
      <c r="I9512" t="s">
        <v>18506</v>
      </c>
      <c r="J9512" t="str">
        <f>HYPERLINK("https://www.boe.es/gazeta/dias/1821/03/10/pdfs/GGB-1821-69.pdf#page=3","Abrir facsímil")</f>
        <v>Abrir facsímil</v>
      </c>
      <c r="K9512" t="s">
        <v>23</v>
      </c>
    </row>
    <row r="9513" spans="1:11" ht="42" customHeight="1">
      <c r="A9513" t="s">
        <v>18502</v>
      </c>
      <c r="B9513" t="s">
        <v>18503</v>
      </c>
      <c r="C9513" t="s">
        <v>17</v>
      </c>
      <c r="D9513" t="s">
        <v>18</v>
      </c>
      <c r="E9513" s="6">
        <v>-28783</v>
      </c>
      <c r="F9513" t="s">
        <v>198</v>
      </c>
      <c r="G9513" t="s">
        <v>20</v>
      </c>
      <c r="H9513" t="s">
        <v>21</v>
      </c>
      <c r="I9513" t="s">
        <v>18507</v>
      </c>
      <c r="J9513" t="str">
        <f>HYPERLINK("https://www.boe.es/gazeta/dias/1821/03/11/pdfs/GGB-1821-70.pdf#page=3","Abrir facsímil")</f>
        <v>Abrir facsímil</v>
      </c>
      <c r="K9513" t="s">
        <v>23</v>
      </c>
    </row>
    <row r="9514" spans="1:11" ht="42" customHeight="1">
      <c r="A9514" t="s">
        <v>18502</v>
      </c>
      <c r="B9514" t="s">
        <v>18503</v>
      </c>
      <c r="C9514" t="s">
        <v>17</v>
      </c>
      <c r="D9514" t="s">
        <v>18</v>
      </c>
      <c r="E9514" s="6">
        <v>-28781</v>
      </c>
      <c r="F9514" t="s">
        <v>149</v>
      </c>
      <c r="G9514" t="s">
        <v>88</v>
      </c>
      <c r="H9514" t="s">
        <v>21</v>
      </c>
      <c r="I9514" t="s">
        <v>18508</v>
      </c>
      <c r="J9514" t="str">
        <f>HYPERLINK("https://www.boe.es/gazeta/dias/1821/03/13/pdfs/GMD-1821-72.pdf#page=4","Abrir facsímil")</f>
        <v>Abrir facsímil</v>
      </c>
      <c r="K9514" t="s">
        <v>23</v>
      </c>
    </row>
    <row r="9515" spans="1:11" ht="42" customHeight="1">
      <c r="A9515" t="s">
        <v>18502</v>
      </c>
      <c r="B9515" t="s">
        <v>18503</v>
      </c>
      <c r="C9515" t="s">
        <v>40</v>
      </c>
      <c r="D9515" t="s">
        <v>41</v>
      </c>
      <c r="E9515" s="6">
        <v>-28779</v>
      </c>
      <c r="F9515" t="s">
        <v>1002</v>
      </c>
      <c r="G9515" t="s">
        <v>52</v>
      </c>
      <c r="H9515" t="s">
        <v>21</v>
      </c>
      <c r="I9515" t="s">
        <v>18509</v>
      </c>
      <c r="J9515" t="str">
        <f>HYPERLINK("https://www.boe.es/gazeta/dias/1821/03/15/pdfs/GMD-1821-74.pdf#page=2","Abrir facsímil")</f>
        <v>Abrir facsímil</v>
      </c>
      <c r="K9515" t="s">
        <v>23</v>
      </c>
    </row>
    <row r="9516" spans="1:11" ht="42" customHeight="1">
      <c r="A9516" t="s">
        <v>18502</v>
      </c>
      <c r="B9516" t="s">
        <v>18503</v>
      </c>
      <c r="C9516" t="s">
        <v>114</v>
      </c>
      <c r="D9516" t="s">
        <v>27</v>
      </c>
      <c r="E9516" s="6">
        <v>-28778</v>
      </c>
      <c r="F9516" t="s">
        <v>1301</v>
      </c>
      <c r="G9516" t="s">
        <v>29</v>
      </c>
      <c r="H9516" t="s">
        <v>21</v>
      </c>
      <c r="I9516" t="s">
        <v>18510</v>
      </c>
      <c r="J9516" t="str">
        <f>HYPERLINK("https://www.boe.es/gazeta/dias/1821/03/16/pdfs/GMD-1821-75.pdf#page=6","Abrir facsímil")</f>
        <v>Abrir facsímil</v>
      </c>
      <c r="K9516" t="s">
        <v>23</v>
      </c>
    </row>
    <row r="9517" spans="1:11" ht="42" customHeight="1">
      <c r="A9517" t="s">
        <v>18502</v>
      </c>
      <c r="B9517" t="s">
        <v>18503</v>
      </c>
      <c r="C9517" t="s">
        <v>70</v>
      </c>
      <c r="D9517" t="s">
        <v>27</v>
      </c>
      <c r="E9517" s="6">
        <v>-28776</v>
      </c>
      <c r="F9517" t="s">
        <v>312</v>
      </c>
      <c r="G9517" t="s">
        <v>162</v>
      </c>
      <c r="H9517" t="s">
        <v>21</v>
      </c>
      <c r="I9517" t="s">
        <v>18511</v>
      </c>
      <c r="J9517" t="str">
        <f>HYPERLINK("https://www.boe.es/gazeta/dias/1821/03/18/pdfs/GMD-1821-77.pdf#page=5","Abrir facsímil")</f>
        <v>Abrir facsímil</v>
      </c>
      <c r="K9517" t="s">
        <v>23</v>
      </c>
    </row>
    <row r="9518" spans="1:11" ht="42" customHeight="1">
      <c r="A9518" t="s">
        <v>18502</v>
      </c>
      <c r="B9518" t="s">
        <v>18503</v>
      </c>
      <c r="C9518" t="s">
        <v>114</v>
      </c>
      <c r="D9518" t="s">
        <v>27</v>
      </c>
      <c r="E9518" s="6">
        <v>-28771</v>
      </c>
      <c r="F9518" t="s">
        <v>110</v>
      </c>
      <c r="G9518" t="s">
        <v>162</v>
      </c>
      <c r="H9518" t="s">
        <v>21</v>
      </c>
      <c r="I9518" t="s">
        <v>18512</v>
      </c>
      <c r="J9518" t="str">
        <f>HYPERLINK("https://www.boe.es/gazeta/dias/1821/03/23/pdfs/GMD-1821-83.pdf#page=5","Abrir facsímil")</f>
        <v>Abrir facsímil</v>
      </c>
      <c r="K9518" t="s">
        <v>23</v>
      </c>
    </row>
    <row r="9519" spans="1:11" ht="42" customHeight="1">
      <c r="A9519" t="s">
        <v>18502</v>
      </c>
      <c r="B9519" t="s">
        <v>18503</v>
      </c>
      <c r="C9519" t="s">
        <v>40</v>
      </c>
      <c r="D9519" t="s">
        <v>41</v>
      </c>
      <c r="E9519" s="6">
        <v>-28759</v>
      </c>
      <c r="F9519" t="s">
        <v>71</v>
      </c>
      <c r="G9519" t="s">
        <v>52</v>
      </c>
      <c r="H9519" t="s">
        <v>21</v>
      </c>
      <c r="I9519" t="s">
        <v>18513</v>
      </c>
      <c r="J9519" t="str">
        <f>HYPERLINK("https://www.boe.es/gazeta/dias/1821/04/04/pdfs/GMD-1821-96.pdf#page=2","Abrir facsímil")</f>
        <v>Abrir facsímil</v>
      </c>
      <c r="K9519" t="s">
        <v>23</v>
      </c>
    </row>
    <row r="9520" spans="1:11" ht="42" customHeight="1">
      <c r="A9520" t="s">
        <v>18502</v>
      </c>
      <c r="B9520" t="s">
        <v>18503</v>
      </c>
      <c r="C9520" t="s">
        <v>26</v>
      </c>
      <c r="D9520" t="s">
        <v>27</v>
      </c>
      <c r="E9520" s="6">
        <v>-28746</v>
      </c>
      <c r="F9520" t="s">
        <v>687</v>
      </c>
      <c r="G9520" t="s">
        <v>88</v>
      </c>
      <c r="H9520" t="s">
        <v>21</v>
      </c>
      <c r="I9520" t="s">
        <v>18514</v>
      </c>
      <c r="J9520" t="str">
        <f>HYPERLINK("https://www.boe.es/gazeta/dias/1821/04/17/pdfs/GMD-1821-109.pdf#page=4","Abrir facsímil")</f>
        <v>Abrir facsímil</v>
      </c>
      <c r="K9520" t="s">
        <v>23</v>
      </c>
    </row>
    <row r="9521" spans="1:11" ht="42" customHeight="1">
      <c r="A9521" t="s">
        <v>18502</v>
      </c>
      <c r="B9521" t="s">
        <v>18503</v>
      </c>
      <c r="C9521" t="s">
        <v>40</v>
      </c>
      <c r="D9521" t="s">
        <v>41</v>
      </c>
      <c r="E9521" s="6">
        <v>-28746</v>
      </c>
      <c r="F9521" t="s">
        <v>687</v>
      </c>
      <c r="G9521" t="s">
        <v>29</v>
      </c>
      <c r="H9521" t="s">
        <v>21</v>
      </c>
      <c r="I9521" t="s">
        <v>18515</v>
      </c>
      <c r="J9521" t="str">
        <f>HYPERLINK("https://www.boe.es/gazeta/dias/1821/04/17/pdfs/GMD-1821-109.pdf#page=6","Abrir facsímil")</f>
        <v>Abrir facsímil</v>
      </c>
      <c r="K9521" t="s">
        <v>23</v>
      </c>
    </row>
    <row r="9522" spans="1:11" ht="42" customHeight="1">
      <c r="A9522" t="s">
        <v>18502</v>
      </c>
      <c r="B9522" t="s">
        <v>18503</v>
      </c>
      <c r="C9522" t="s">
        <v>40</v>
      </c>
      <c r="D9522" t="s">
        <v>41</v>
      </c>
      <c r="E9522" s="6">
        <v>-28745</v>
      </c>
      <c r="F9522" t="s">
        <v>1020</v>
      </c>
      <c r="G9522" t="s">
        <v>52</v>
      </c>
      <c r="H9522" t="s">
        <v>21</v>
      </c>
      <c r="I9522" t="s">
        <v>18516</v>
      </c>
      <c r="J9522" t="str">
        <f>HYPERLINK("https://www.boe.es/gazeta/dias/1821/04/18/pdfs/GMD-1821-110.pdf#page=2","Abrir facsímil")</f>
        <v>Abrir facsímil</v>
      </c>
      <c r="K9522" t="s">
        <v>23</v>
      </c>
    </row>
    <row r="9523" spans="1:11" ht="42" customHeight="1">
      <c r="A9523" t="s">
        <v>18502</v>
      </c>
      <c r="B9523" t="s">
        <v>18503</v>
      </c>
      <c r="C9523" t="s">
        <v>35</v>
      </c>
      <c r="D9523" t="s">
        <v>27</v>
      </c>
      <c r="E9523" s="6">
        <v>-28745</v>
      </c>
      <c r="F9523" t="s">
        <v>1020</v>
      </c>
      <c r="G9523" t="s">
        <v>20</v>
      </c>
      <c r="H9523" t="s">
        <v>21</v>
      </c>
      <c r="I9523" t="s">
        <v>18517</v>
      </c>
      <c r="J9523" t="str">
        <f>HYPERLINK("https://www.boe.es/gazeta/dias/1821/04/18/pdfs/GMD-1821-110.pdf#page=3","Abrir facsímil")</f>
        <v>Abrir facsímil</v>
      </c>
      <c r="K9523" t="s">
        <v>23</v>
      </c>
    </row>
    <row r="9524" spans="1:11" ht="42" customHeight="1">
      <c r="A9524" t="s">
        <v>18502</v>
      </c>
      <c r="B9524" t="s">
        <v>18503</v>
      </c>
      <c r="C9524" t="s">
        <v>40</v>
      </c>
      <c r="D9524" t="s">
        <v>41</v>
      </c>
      <c r="E9524" s="6">
        <v>-28722</v>
      </c>
      <c r="F9524" t="s">
        <v>623</v>
      </c>
      <c r="G9524" t="s">
        <v>52</v>
      </c>
      <c r="H9524" t="s">
        <v>21</v>
      </c>
      <c r="I9524" t="s">
        <v>18518</v>
      </c>
      <c r="J9524" t="str">
        <f>HYPERLINK("https://www.boe.es/gazeta/dias/1821/05/11/pdfs/GMD-1821-133.pdf#page=2","Abrir facsímil")</f>
        <v>Abrir facsímil</v>
      </c>
      <c r="K9524" t="s">
        <v>23</v>
      </c>
    </row>
    <row r="9525" spans="1:11" ht="42" customHeight="1">
      <c r="A9525" t="s">
        <v>18502</v>
      </c>
      <c r="B9525" t="s">
        <v>18503</v>
      </c>
      <c r="C9525" t="s">
        <v>17</v>
      </c>
      <c r="D9525" t="s">
        <v>18</v>
      </c>
      <c r="E9525" s="6">
        <v>-28721</v>
      </c>
      <c r="F9525" t="s">
        <v>92</v>
      </c>
      <c r="G9525" t="s">
        <v>52</v>
      </c>
      <c r="H9525" t="s">
        <v>21</v>
      </c>
      <c r="I9525" t="s">
        <v>18519</v>
      </c>
      <c r="J9525" t="str">
        <f>HYPERLINK("https://www.boe.es/gazeta/dias/1821/05/12/pdfs/GMD-1821-134.pdf#page=2","Abrir facsímil")</f>
        <v>Abrir facsímil</v>
      </c>
      <c r="K9525" t="s">
        <v>23</v>
      </c>
    </row>
    <row r="9526" spans="1:11" ht="42" customHeight="1">
      <c r="A9526" t="s">
        <v>18502</v>
      </c>
      <c r="B9526" t="s">
        <v>18503</v>
      </c>
      <c r="C9526" t="s">
        <v>26</v>
      </c>
      <c r="D9526" t="s">
        <v>27</v>
      </c>
      <c r="E9526" s="6">
        <v>-28720</v>
      </c>
      <c r="F9526" t="s">
        <v>492</v>
      </c>
      <c r="G9526" t="s">
        <v>88</v>
      </c>
      <c r="H9526" t="s">
        <v>21</v>
      </c>
      <c r="I9526" t="s">
        <v>18520</v>
      </c>
      <c r="J9526" t="str">
        <f>HYPERLINK("https://www.boe.es/gazeta/dias/1821/05/13/pdfs/GMD-1821-135.pdf#page=4","Abrir facsímil")</f>
        <v>Abrir facsímil</v>
      </c>
      <c r="K9526" t="s">
        <v>23</v>
      </c>
    </row>
    <row r="9527" spans="1:11" ht="42" customHeight="1">
      <c r="A9527" t="s">
        <v>18502</v>
      </c>
      <c r="B9527" t="s">
        <v>18503</v>
      </c>
      <c r="C9527" t="s">
        <v>40</v>
      </c>
      <c r="D9527" t="s">
        <v>41</v>
      </c>
      <c r="E9527" s="6">
        <v>-28719</v>
      </c>
      <c r="F9527" t="s">
        <v>647</v>
      </c>
      <c r="G9527" t="s">
        <v>20</v>
      </c>
      <c r="H9527" t="s">
        <v>21</v>
      </c>
      <c r="I9527" t="s">
        <v>18521</v>
      </c>
      <c r="J9527" t="str">
        <f>HYPERLINK("https://www.boe.es/gazeta/dias/1821/05/14/pdfs/GMD-1821-136.pdf#page=3","Abrir facsímil")</f>
        <v>Abrir facsímil</v>
      </c>
      <c r="K9527" t="s">
        <v>23</v>
      </c>
    </row>
    <row r="9528" spans="1:11" ht="42" customHeight="1">
      <c r="A9528" t="s">
        <v>18502</v>
      </c>
      <c r="B9528" t="s">
        <v>18503</v>
      </c>
      <c r="C9528" t="s">
        <v>35</v>
      </c>
      <c r="D9528" t="s">
        <v>27</v>
      </c>
      <c r="E9528" s="6">
        <v>-28716</v>
      </c>
      <c r="F9528" t="s">
        <v>842</v>
      </c>
      <c r="G9528" t="s">
        <v>52</v>
      </c>
      <c r="H9528" t="s">
        <v>21</v>
      </c>
      <c r="I9528" t="s">
        <v>18522</v>
      </c>
      <c r="J9528" t="str">
        <f>HYPERLINK("https://www.boe.es/gazeta/dias/1821/05/17/pdfs/GMD-1821-139.pdf#page=2","Abrir facsímil")</f>
        <v>Abrir facsímil</v>
      </c>
      <c r="K9528" t="s">
        <v>23</v>
      </c>
    </row>
    <row r="9529" spans="1:11" ht="42" customHeight="1">
      <c r="A9529" t="s">
        <v>18502</v>
      </c>
      <c r="B9529" t="s">
        <v>18503</v>
      </c>
      <c r="C9529" t="s">
        <v>35</v>
      </c>
      <c r="D9529" t="s">
        <v>27</v>
      </c>
      <c r="E9529" s="6">
        <v>-28706</v>
      </c>
      <c r="F9529" t="s">
        <v>4791</v>
      </c>
      <c r="G9529" t="s">
        <v>88</v>
      </c>
      <c r="H9529" t="s">
        <v>21</v>
      </c>
      <c r="I9529" t="s">
        <v>18523</v>
      </c>
      <c r="J9529" t="str">
        <f>HYPERLINK("https://www.boe.es/gazeta/dias/1821/05/27/pdfs/GMD-1821-149.pdf#page=4","Abrir facsímil")</f>
        <v>Abrir facsímil</v>
      </c>
      <c r="K9529" t="s">
        <v>23</v>
      </c>
    </row>
    <row r="9530" spans="1:11" ht="42" customHeight="1">
      <c r="A9530" t="s">
        <v>18502</v>
      </c>
      <c r="B9530" t="s">
        <v>18503</v>
      </c>
      <c r="C9530" t="s">
        <v>114</v>
      </c>
      <c r="D9530" t="s">
        <v>27</v>
      </c>
      <c r="E9530" s="6">
        <v>-28703</v>
      </c>
      <c r="F9530" t="s">
        <v>231</v>
      </c>
      <c r="G9530" t="s">
        <v>20</v>
      </c>
      <c r="H9530" t="s">
        <v>21</v>
      </c>
      <c r="I9530" t="s">
        <v>18524</v>
      </c>
      <c r="J9530" t="str">
        <f>HYPERLINK("https://www.boe.es/gazeta/dias/1821/05/30/pdfs/GMD-1821-152.pdf#page=3","Abrir facsímil")</f>
        <v>Abrir facsímil</v>
      </c>
      <c r="K9530" t="s">
        <v>23</v>
      </c>
    </row>
    <row r="9531" spans="1:11" ht="42" customHeight="1">
      <c r="A9531" t="s">
        <v>18502</v>
      </c>
      <c r="B9531" t="s">
        <v>18503</v>
      </c>
      <c r="C9531" t="s">
        <v>40</v>
      </c>
      <c r="D9531" t="s">
        <v>41</v>
      </c>
      <c r="E9531" s="6">
        <v>-28690</v>
      </c>
      <c r="F9531" t="s">
        <v>846</v>
      </c>
      <c r="G9531" t="s">
        <v>847</v>
      </c>
      <c r="H9531" t="s">
        <v>21</v>
      </c>
      <c r="I9531" t="s">
        <v>18525</v>
      </c>
      <c r="J9531" t="str">
        <f>HYPERLINK("https://www.boe.es/gazeta/dias/1821/06/12/pdfs/GMD-1821-165.pdf#page=2","Abrir facsímil")</f>
        <v>Abrir facsímil</v>
      </c>
      <c r="K9531" t="s">
        <v>23</v>
      </c>
    </row>
    <row r="9532" spans="1:11" ht="42" customHeight="1">
      <c r="A9532" t="s">
        <v>18502</v>
      </c>
      <c r="B9532" t="s">
        <v>18503</v>
      </c>
      <c r="C9532" t="s">
        <v>174</v>
      </c>
      <c r="D9532" t="s">
        <v>27</v>
      </c>
      <c r="E9532" s="6">
        <v>-28689</v>
      </c>
      <c r="F9532" t="s">
        <v>194</v>
      </c>
      <c r="G9532" t="s">
        <v>162</v>
      </c>
      <c r="H9532" t="s">
        <v>21</v>
      </c>
      <c r="I9532" t="s">
        <v>18526</v>
      </c>
      <c r="J9532" t="str">
        <f>HYPERLINK("https://www.boe.es/gazeta/dias/1821/06/13/pdfs/GMD-1821-166.pdf#page=5","Abrir facsímil")</f>
        <v>Abrir facsímil</v>
      </c>
      <c r="K9532" t="s">
        <v>23</v>
      </c>
    </row>
    <row r="9533" spans="1:11" ht="42" customHeight="1">
      <c r="A9533" t="s">
        <v>18502</v>
      </c>
      <c r="B9533" t="s">
        <v>18503</v>
      </c>
      <c r="C9533" t="s">
        <v>40</v>
      </c>
      <c r="D9533" t="s">
        <v>41</v>
      </c>
      <c r="E9533" s="6">
        <v>-28684</v>
      </c>
      <c r="F9533" t="s">
        <v>208</v>
      </c>
      <c r="G9533" t="s">
        <v>20</v>
      </c>
      <c r="H9533" t="s">
        <v>21</v>
      </c>
      <c r="I9533" t="s">
        <v>18527</v>
      </c>
      <c r="J9533" t="str">
        <f>HYPERLINK("https://www.boe.es/gazeta/dias/1821/06/18/pdfs/GMD-1821-171.pdf#page=3","Abrir facsímil")</f>
        <v>Abrir facsímil</v>
      </c>
      <c r="K9533" t="s">
        <v>23</v>
      </c>
    </row>
    <row r="9534" spans="1:11" ht="42" customHeight="1">
      <c r="A9534" t="s">
        <v>18502</v>
      </c>
      <c r="B9534" t="s">
        <v>18503</v>
      </c>
      <c r="C9534" t="s">
        <v>26</v>
      </c>
      <c r="D9534" t="s">
        <v>27</v>
      </c>
      <c r="E9534" s="6">
        <v>-28683</v>
      </c>
      <c r="F9534" t="s">
        <v>332</v>
      </c>
      <c r="G9534" t="s">
        <v>88</v>
      </c>
      <c r="H9534" t="s">
        <v>21</v>
      </c>
      <c r="I9534" t="s">
        <v>18528</v>
      </c>
      <c r="J9534" t="str">
        <f>HYPERLINK("https://www.boe.es/gazeta/dias/1821/06/19/pdfs/GMD-1821-172.pdf#page=4","Abrir facsímil")</f>
        <v>Abrir facsímil</v>
      </c>
      <c r="K9534" t="s">
        <v>23</v>
      </c>
    </row>
    <row r="9535" spans="1:11" ht="42" customHeight="1">
      <c r="A9535" t="s">
        <v>18502</v>
      </c>
      <c r="B9535" t="s">
        <v>18503</v>
      </c>
      <c r="C9535" t="s">
        <v>40</v>
      </c>
      <c r="D9535" t="s">
        <v>41</v>
      </c>
      <c r="E9535" s="6">
        <v>-28676</v>
      </c>
      <c r="F9535" t="s">
        <v>534</v>
      </c>
      <c r="G9535" t="s">
        <v>52</v>
      </c>
      <c r="H9535" t="s">
        <v>21</v>
      </c>
      <c r="I9535" t="s">
        <v>18529</v>
      </c>
      <c r="J9535" t="str">
        <f>HYPERLINK("https://www.boe.es/gazeta/dias/1821/06/26/pdfs/GMD-1821-179.pdf#page=2","Abrir facsímil")</f>
        <v>Abrir facsímil</v>
      </c>
      <c r="K9535" t="s">
        <v>23</v>
      </c>
    </row>
    <row r="9536" spans="1:11" ht="42" customHeight="1">
      <c r="A9536" t="s">
        <v>18502</v>
      </c>
      <c r="B9536" t="s">
        <v>18503</v>
      </c>
      <c r="C9536" t="s">
        <v>35</v>
      </c>
      <c r="D9536" t="s">
        <v>27</v>
      </c>
      <c r="E9536" s="6">
        <v>-28674</v>
      </c>
      <c r="F9536" t="s">
        <v>536</v>
      </c>
      <c r="G9536" t="s">
        <v>20</v>
      </c>
      <c r="H9536" t="s">
        <v>21</v>
      </c>
      <c r="I9536" t="s">
        <v>18530</v>
      </c>
      <c r="J9536" t="str">
        <f>HYPERLINK("https://www.boe.es/gazeta/dias/1821/06/28/pdfs/GMD-1821-181.pdf#page=3","Abrir facsímil")</f>
        <v>Abrir facsímil</v>
      </c>
      <c r="K9536" t="s">
        <v>23</v>
      </c>
    </row>
    <row r="9537" spans="1:11" ht="42" customHeight="1">
      <c r="A9537" t="s">
        <v>18502</v>
      </c>
      <c r="B9537" t="s">
        <v>18503</v>
      </c>
      <c r="C9537" t="s">
        <v>26</v>
      </c>
      <c r="D9537" t="s">
        <v>27</v>
      </c>
      <c r="E9537" s="6">
        <v>-28674</v>
      </c>
      <c r="F9537" t="s">
        <v>536</v>
      </c>
      <c r="G9537" t="s">
        <v>162</v>
      </c>
      <c r="H9537" t="s">
        <v>21</v>
      </c>
      <c r="I9537" t="s">
        <v>18531</v>
      </c>
      <c r="J9537" t="str">
        <f>HYPERLINK("https://www.boe.es/gazeta/dias/1821/06/28/pdfs/GMD-1821-181.pdf#page=5","Abrir facsímil")</f>
        <v>Abrir facsímil</v>
      </c>
      <c r="K9537" t="s">
        <v>23</v>
      </c>
    </row>
    <row r="9538" spans="1:11" ht="42" customHeight="1">
      <c r="A9538" t="s">
        <v>18502</v>
      </c>
      <c r="B9538" t="s">
        <v>18503</v>
      </c>
      <c r="C9538" t="s">
        <v>35</v>
      </c>
      <c r="D9538" t="s">
        <v>27</v>
      </c>
      <c r="E9538" s="6">
        <v>-28575</v>
      </c>
      <c r="F9538" t="s">
        <v>2453</v>
      </c>
      <c r="G9538" t="s">
        <v>52</v>
      </c>
      <c r="H9538" t="s">
        <v>21</v>
      </c>
      <c r="I9538" t="s">
        <v>18532</v>
      </c>
      <c r="J9538" t="str">
        <f>HYPERLINK("https://www.boe.es/gazeta/dias/1821/10/05/pdfs/GMD-1821-284.pdf#page=2","Abrir facsímil")</f>
        <v>Abrir facsímil</v>
      </c>
      <c r="K9538" t="s">
        <v>23</v>
      </c>
    </row>
    <row r="9539" spans="1:11" ht="42" customHeight="1">
      <c r="A9539" t="s">
        <v>18502</v>
      </c>
      <c r="B9539" t="s">
        <v>18503</v>
      </c>
      <c r="C9539" t="s">
        <v>26</v>
      </c>
      <c r="D9539" t="s">
        <v>27</v>
      </c>
      <c r="E9539" s="6">
        <v>-28568</v>
      </c>
      <c r="F9539" t="s">
        <v>539</v>
      </c>
      <c r="G9539" t="s">
        <v>29</v>
      </c>
      <c r="H9539" t="s">
        <v>21</v>
      </c>
      <c r="I9539" t="s">
        <v>18533</v>
      </c>
      <c r="J9539" t="str">
        <f>HYPERLINK("https://www.boe.es/gazeta/dias/1821/10/12/pdfs/GMD-1821-291.pdf#page=6","Abrir facsímil")</f>
        <v>Abrir facsímil</v>
      </c>
      <c r="K9539" t="s">
        <v>23</v>
      </c>
    </row>
    <row r="9540" spans="1:11" ht="42" customHeight="1">
      <c r="A9540" t="s">
        <v>18502</v>
      </c>
      <c r="B9540" t="s">
        <v>18503</v>
      </c>
      <c r="C9540" t="s">
        <v>40</v>
      </c>
      <c r="D9540" t="s">
        <v>41</v>
      </c>
      <c r="E9540" s="6">
        <v>-28567</v>
      </c>
      <c r="F9540" t="s">
        <v>217</v>
      </c>
      <c r="G9540" t="s">
        <v>88</v>
      </c>
      <c r="H9540" t="s">
        <v>21</v>
      </c>
      <c r="I9540" t="s">
        <v>18534</v>
      </c>
      <c r="J9540" t="str">
        <f>HYPERLINK("https://www.boe.es/gazeta/dias/1821/10/13/pdfs/GMD-1821-292.pdf#page=4","Abrir facsímil")</f>
        <v>Abrir facsímil</v>
      </c>
      <c r="K9540" t="s">
        <v>23</v>
      </c>
    </row>
    <row r="9541" spans="1:11" ht="42" customHeight="1">
      <c r="A9541" t="s">
        <v>18502</v>
      </c>
      <c r="B9541" t="s">
        <v>18503</v>
      </c>
      <c r="C9541" t="s">
        <v>17</v>
      </c>
      <c r="D9541" t="s">
        <v>18</v>
      </c>
      <c r="E9541" s="6">
        <v>-28559</v>
      </c>
      <c r="F9541" t="s">
        <v>1078</v>
      </c>
      <c r="G9541" t="s">
        <v>88</v>
      </c>
      <c r="H9541" t="s">
        <v>21</v>
      </c>
      <c r="I9541" t="s">
        <v>18535</v>
      </c>
      <c r="J9541" t="str">
        <f>HYPERLINK("https://www.boe.es/gazeta/dias/1821/10/21/pdfs/GMD-1821-300.pdf#page=4","Abrir facsímil")</f>
        <v>Abrir facsímil</v>
      </c>
      <c r="K9541" t="s">
        <v>23</v>
      </c>
    </row>
    <row r="9542" spans="1:11" ht="42" customHeight="1">
      <c r="A9542" t="s">
        <v>18502</v>
      </c>
      <c r="B9542" t="s">
        <v>18503</v>
      </c>
      <c r="C9542" t="s">
        <v>35</v>
      </c>
      <c r="D9542" t="s">
        <v>27</v>
      </c>
      <c r="E9542" s="6">
        <v>-28557</v>
      </c>
      <c r="F9542" t="s">
        <v>316</v>
      </c>
      <c r="G9542" t="s">
        <v>162</v>
      </c>
      <c r="H9542" t="s">
        <v>21</v>
      </c>
      <c r="I9542" t="s">
        <v>18536</v>
      </c>
      <c r="J9542" t="str">
        <f>HYPERLINK("https://www.boe.es/gazeta/dias/1821/10/23/pdfs/GMD-1821-302.pdf#page=5","Abrir facsímil")</f>
        <v>Abrir facsímil</v>
      </c>
      <c r="K9542" t="s">
        <v>23</v>
      </c>
    </row>
    <row r="9543" spans="1:11" ht="42" customHeight="1">
      <c r="A9543" t="s">
        <v>18502</v>
      </c>
      <c r="B9543" t="s">
        <v>18503</v>
      </c>
      <c r="C9543" t="s">
        <v>26</v>
      </c>
      <c r="D9543" t="s">
        <v>27</v>
      </c>
      <c r="E9543" s="6">
        <v>-28555</v>
      </c>
      <c r="F9543" t="s">
        <v>219</v>
      </c>
      <c r="G9543" t="s">
        <v>88</v>
      </c>
      <c r="H9543" t="s">
        <v>21</v>
      </c>
      <c r="I9543" t="s">
        <v>18537</v>
      </c>
      <c r="J9543" t="str">
        <f>HYPERLINK("https://www.boe.es/gazeta/dias/1821/10/25/pdfs/GMD-1821-304.pdf#page=4","Abrir facsímil")</f>
        <v>Abrir facsímil</v>
      </c>
      <c r="K9543" t="s">
        <v>23</v>
      </c>
    </row>
    <row r="9544" spans="1:11" ht="42" customHeight="1">
      <c r="A9544" t="s">
        <v>18502</v>
      </c>
      <c r="B9544" t="s">
        <v>18503</v>
      </c>
      <c r="C9544" t="s">
        <v>40</v>
      </c>
      <c r="D9544" t="s">
        <v>41</v>
      </c>
      <c r="E9544" s="6">
        <v>-28555</v>
      </c>
      <c r="F9544" t="s">
        <v>219</v>
      </c>
      <c r="G9544" t="s">
        <v>162</v>
      </c>
      <c r="H9544" t="s">
        <v>21</v>
      </c>
      <c r="I9544" t="s">
        <v>18538</v>
      </c>
      <c r="J9544" t="str">
        <f>HYPERLINK("https://www.boe.es/gazeta/dias/1821/10/25/pdfs/GMD-1821-304.pdf#page=5","Abrir facsímil")</f>
        <v>Abrir facsímil</v>
      </c>
      <c r="K9544" t="s">
        <v>23</v>
      </c>
    </row>
    <row r="9545" spans="1:11" ht="42" customHeight="1">
      <c r="A9545" t="s">
        <v>18502</v>
      </c>
      <c r="B9545" t="s">
        <v>18503</v>
      </c>
      <c r="C9545" t="s">
        <v>40</v>
      </c>
      <c r="D9545" t="s">
        <v>41</v>
      </c>
      <c r="E9545" s="6">
        <v>-28554</v>
      </c>
      <c r="F9545" t="s">
        <v>433</v>
      </c>
      <c r="G9545" t="s">
        <v>18539</v>
      </c>
      <c r="H9545" t="s">
        <v>21</v>
      </c>
      <c r="I9545" t="s">
        <v>18540</v>
      </c>
      <c r="J9545" t="str">
        <f>HYPERLINK("https://www.boe.es/gazeta/dias/1821/10/26/pdfs/GMD-1821-305.pdf#page=5","Abrir facsímil")</f>
        <v>Abrir facsímil</v>
      </c>
      <c r="K9545" t="s">
        <v>23</v>
      </c>
    </row>
    <row r="9546" spans="1:11" ht="42" customHeight="1">
      <c r="A9546" t="s">
        <v>18502</v>
      </c>
      <c r="B9546" t="s">
        <v>18503</v>
      </c>
      <c r="C9546" t="s">
        <v>26</v>
      </c>
      <c r="D9546" t="s">
        <v>27</v>
      </c>
      <c r="E9546" s="6">
        <v>-28554</v>
      </c>
      <c r="F9546" t="s">
        <v>433</v>
      </c>
      <c r="G9546" t="s">
        <v>20</v>
      </c>
      <c r="H9546" t="s">
        <v>21</v>
      </c>
      <c r="I9546" t="s">
        <v>18541</v>
      </c>
      <c r="J9546" t="str">
        <f>HYPERLINK("https://www.boe.es/gazeta/dias/1821/10/26/pdfs/GMD-1821-305.pdf#page=3","Abrir facsímil")</f>
        <v>Abrir facsímil</v>
      </c>
      <c r="K9546" t="s">
        <v>23</v>
      </c>
    </row>
    <row r="9547" spans="1:11" ht="42" customHeight="1">
      <c r="A9547" t="s">
        <v>18502</v>
      </c>
      <c r="B9547" t="s">
        <v>18503</v>
      </c>
      <c r="C9547" t="s">
        <v>35</v>
      </c>
      <c r="D9547" t="s">
        <v>27</v>
      </c>
      <c r="E9547" s="6">
        <v>-28554</v>
      </c>
      <c r="F9547" t="s">
        <v>433</v>
      </c>
      <c r="G9547" t="s">
        <v>88</v>
      </c>
      <c r="H9547" t="s">
        <v>21</v>
      </c>
      <c r="I9547" t="s">
        <v>18542</v>
      </c>
      <c r="J9547" t="str">
        <f>HYPERLINK("https://www.boe.es/gazeta/dias/1821/10/26/pdfs/GMD-1821-305.pdf#page=4","Abrir facsímil")</f>
        <v>Abrir facsímil</v>
      </c>
      <c r="K9547" t="s">
        <v>23</v>
      </c>
    </row>
    <row r="9548" spans="1:11" ht="42" customHeight="1">
      <c r="A9548" t="s">
        <v>18502</v>
      </c>
      <c r="B9548" t="s">
        <v>18503</v>
      </c>
      <c r="C9548" t="s">
        <v>26</v>
      </c>
      <c r="D9548" t="s">
        <v>27</v>
      </c>
      <c r="E9548" s="6">
        <v>-28553</v>
      </c>
      <c r="F9548" t="s">
        <v>182</v>
      </c>
      <c r="G9548" t="s">
        <v>162</v>
      </c>
      <c r="H9548" t="s">
        <v>21</v>
      </c>
      <c r="I9548" t="s">
        <v>18543</v>
      </c>
      <c r="J9548" t="str">
        <f>HYPERLINK("https://www.boe.es/gazeta/dias/1821/10/27/pdfs/GMD-1821-306.pdf#page=5","Abrir facsímil")</f>
        <v>Abrir facsímil</v>
      </c>
      <c r="K9548" t="s">
        <v>23</v>
      </c>
    </row>
    <row r="9549" spans="1:11" ht="42" customHeight="1">
      <c r="A9549" t="s">
        <v>18502</v>
      </c>
      <c r="B9549" t="s">
        <v>18503</v>
      </c>
      <c r="C9549" t="s">
        <v>17</v>
      </c>
      <c r="D9549" t="s">
        <v>18</v>
      </c>
      <c r="E9549" s="6">
        <v>-28549</v>
      </c>
      <c r="F9549" t="s">
        <v>930</v>
      </c>
      <c r="G9549" t="s">
        <v>20</v>
      </c>
      <c r="H9549" t="s">
        <v>21</v>
      </c>
      <c r="I9549" t="s">
        <v>18544</v>
      </c>
      <c r="J9549" t="str">
        <f>HYPERLINK("https://www.boe.es/gazeta/dias/1821/10/31/pdfs/GMD-1821-310.pdf#page=3","Abrir facsímil")</f>
        <v>Abrir facsímil</v>
      </c>
      <c r="K9549" t="s">
        <v>23</v>
      </c>
    </row>
    <row r="9550" spans="1:11" ht="42" customHeight="1">
      <c r="A9550" t="s">
        <v>18502</v>
      </c>
      <c r="B9550" t="s">
        <v>18503</v>
      </c>
      <c r="C9550" t="s">
        <v>35</v>
      </c>
      <c r="D9550" t="s">
        <v>27</v>
      </c>
      <c r="E9550" s="6">
        <v>-28548</v>
      </c>
      <c r="F9550" t="s">
        <v>782</v>
      </c>
      <c r="G9550" t="s">
        <v>162</v>
      </c>
      <c r="H9550" t="s">
        <v>21</v>
      </c>
      <c r="I9550" t="s">
        <v>18545</v>
      </c>
      <c r="J9550" t="str">
        <f>HYPERLINK("https://www.boe.es/gazeta/dias/1821/11/01/pdfs/GMD-1821-311.pdf#page=5","Abrir facsímil")</f>
        <v>Abrir facsímil</v>
      </c>
      <c r="K9550" t="s">
        <v>23</v>
      </c>
    </row>
    <row r="9551" spans="1:11" ht="42" customHeight="1">
      <c r="A9551" t="s">
        <v>18502</v>
      </c>
      <c r="B9551" t="s">
        <v>18503</v>
      </c>
      <c r="C9551" t="s">
        <v>35</v>
      </c>
      <c r="D9551" t="s">
        <v>27</v>
      </c>
      <c r="E9551" s="6">
        <v>-28547</v>
      </c>
      <c r="F9551" t="s">
        <v>247</v>
      </c>
      <c r="G9551" t="s">
        <v>20</v>
      </c>
      <c r="H9551" t="s">
        <v>21</v>
      </c>
      <c r="I9551" t="s">
        <v>18546</v>
      </c>
      <c r="J9551" t="str">
        <f>HYPERLINK("https://www.boe.es/gazeta/dias/1821/11/02/pdfs/GMD-1821-312.pdf#page=3","Abrir facsímil")</f>
        <v>Abrir facsímil</v>
      </c>
      <c r="K9551" t="s">
        <v>23</v>
      </c>
    </row>
    <row r="9552" spans="1:11" ht="42" customHeight="1">
      <c r="A9552" t="s">
        <v>18502</v>
      </c>
      <c r="B9552" t="s">
        <v>18503</v>
      </c>
      <c r="C9552" t="s">
        <v>40</v>
      </c>
      <c r="D9552" t="s">
        <v>41</v>
      </c>
      <c r="E9552" s="6">
        <v>-28547</v>
      </c>
      <c r="F9552" t="s">
        <v>247</v>
      </c>
      <c r="G9552" t="s">
        <v>88</v>
      </c>
      <c r="H9552" t="s">
        <v>21</v>
      </c>
      <c r="I9552" t="s">
        <v>18547</v>
      </c>
      <c r="J9552" t="str">
        <f>HYPERLINK("https://www.boe.es/gazeta/dias/1821/11/02/pdfs/GMD-1821-312.pdf#page=4","Abrir facsímil")</f>
        <v>Abrir facsímil</v>
      </c>
      <c r="K9552" t="s">
        <v>23</v>
      </c>
    </row>
    <row r="9553" spans="1:11" ht="42" customHeight="1">
      <c r="A9553" t="s">
        <v>18502</v>
      </c>
      <c r="B9553" t="s">
        <v>18503</v>
      </c>
      <c r="C9553" t="s">
        <v>40</v>
      </c>
      <c r="D9553" t="s">
        <v>41</v>
      </c>
      <c r="E9553" s="6">
        <v>-28547</v>
      </c>
      <c r="F9553" t="s">
        <v>247</v>
      </c>
      <c r="G9553" t="s">
        <v>162</v>
      </c>
      <c r="H9553" t="s">
        <v>21</v>
      </c>
      <c r="I9553" t="s">
        <v>18548</v>
      </c>
      <c r="J9553" t="str">
        <f>HYPERLINK("https://www.boe.es/gazeta/dias/1821/11/02/pdfs/GMD-1821-312.pdf#page=5","Abrir facsímil")</f>
        <v>Abrir facsímil</v>
      </c>
      <c r="K9553" t="s">
        <v>23</v>
      </c>
    </row>
    <row r="9554" spans="1:11" ht="42" customHeight="1">
      <c r="A9554" t="s">
        <v>18502</v>
      </c>
      <c r="B9554" t="s">
        <v>18503</v>
      </c>
      <c r="C9554" t="s">
        <v>35</v>
      </c>
      <c r="D9554" t="s">
        <v>27</v>
      </c>
      <c r="E9554" s="6">
        <v>-28544</v>
      </c>
      <c r="F9554" t="s">
        <v>139</v>
      </c>
      <c r="G9554" t="s">
        <v>52</v>
      </c>
      <c r="H9554" t="s">
        <v>21</v>
      </c>
      <c r="I9554" t="s">
        <v>18549</v>
      </c>
      <c r="J9554" t="str">
        <f>HYPERLINK("https://www.boe.es/gazeta/dias/1821/11/05/pdfs/GMD-1821-316.pdf#page=2","Abrir facsímil")</f>
        <v>Abrir facsímil</v>
      </c>
      <c r="K9554" t="s">
        <v>23</v>
      </c>
    </row>
    <row r="9555" spans="1:11" ht="42" customHeight="1">
      <c r="A9555" t="s">
        <v>18502</v>
      </c>
      <c r="B9555" t="s">
        <v>18503</v>
      </c>
      <c r="C9555" t="s">
        <v>26</v>
      </c>
      <c r="D9555" t="s">
        <v>27</v>
      </c>
      <c r="E9555" s="6">
        <v>-28543</v>
      </c>
      <c r="F9555" t="s">
        <v>136</v>
      </c>
      <c r="G9555" t="s">
        <v>29</v>
      </c>
      <c r="H9555" t="s">
        <v>21</v>
      </c>
      <c r="I9555" t="s">
        <v>18550</v>
      </c>
      <c r="J9555" t="str">
        <f>HYPERLINK("https://www.boe.es/gazeta/dias/1821/11/06/pdfs/GMD-1821-317.pdf#page=6","Abrir facsímil")</f>
        <v>Abrir facsímil</v>
      </c>
      <c r="K9555" t="s">
        <v>23</v>
      </c>
    </row>
    <row r="9556" spans="1:11" ht="42" customHeight="1">
      <c r="A9556" t="s">
        <v>18502</v>
      </c>
      <c r="B9556" t="s">
        <v>18503</v>
      </c>
      <c r="C9556" t="s">
        <v>40</v>
      </c>
      <c r="D9556" t="s">
        <v>41</v>
      </c>
      <c r="E9556" s="6">
        <v>-28542</v>
      </c>
      <c r="F9556" t="s">
        <v>221</v>
      </c>
      <c r="G9556" t="s">
        <v>88</v>
      </c>
      <c r="H9556" t="s">
        <v>21</v>
      </c>
      <c r="I9556" t="s">
        <v>18551</v>
      </c>
      <c r="J9556" t="str">
        <f>HYPERLINK("https://www.boe.es/gazeta/dias/1821/11/07/pdfs/GMD-1821-318.pdf#page=4","Abrir facsímil")</f>
        <v>Abrir facsímil</v>
      </c>
      <c r="K9556" t="s">
        <v>23</v>
      </c>
    </row>
    <row r="9557" spans="1:11" ht="42" customHeight="1">
      <c r="A9557" t="s">
        <v>18502</v>
      </c>
      <c r="B9557" t="s">
        <v>18503</v>
      </c>
      <c r="C9557" t="s">
        <v>35</v>
      </c>
      <c r="D9557" t="s">
        <v>27</v>
      </c>
      <c r="E9557" s="6">
        <v>-28542</v>
      </c>
      <c r="F9557" t="s">
        <v>221</v>
      </c>
      <c r="G9557" t="s">
        <v>162</v>
      </c>
      <c r="H9557" t="s">
        <v>21</v>
      </c>
      <c r="I9557" t="s">
        <v>18552</v>
      </c>
      <c r="J9557" t="str">
        <f>HYPERLINK("https://www.boe.es/gazeta/dias/1821/11/07/pdfs/GMD-1821-318.pdf#page=5","Abrir facsímil")</f>
        <v>Abrir facsímil</v>
      </c>
      <c r="K9557" t="s">
        <v>23</v>
      </c>
    </row>
    <row r="9558" spans="1:11" ht="42" customHeight="1">
      <c r="A9558" t="s">
        <v>18502</v>
      </c>
      <c r="B9558" t="s">
        <v>18503</v>
      </c>
      <c r="C9558" t="s">
        <v>26</v>
      </c>
      <c r="D9558" t="s">
        <v>27</v>
      </c>
      <c r="E9558" s="6">
        <v>-28542</v>
      </c>
      <c r="F9558" t="s">
        <v>221</v>
      </c>
      <c r="G9558" t="s">
        <v>29</v>
      </c>
      <c r="H9558" t="s">
        <v>21</v>
      </c>
      <c r="I9558" t="s">
        <v>18553</v>
      </c>
      <c r="J9558" t="str">
        <f>HYPERLINK("https://www.boe.es/gazeta/dias/1821/11/07/pdfs/GMD-1821-318.pdf#page=6","Abrir facsímil")</f>
        <v>Abrir facsímil</v>
      </c>
      <c r="K9558" t="s">
        <v>23</v>
      </c>
    </row>
    <row r="9559" spans="1:11" ht="42" customHeight="1">
      <c r="A9559" t="s">
        <v>18502</v>
      </c>
      <c r="B9559" t="s">
        <v>18503</v>
      </c>
      <c r="C9559" t="s">
        <v>114</v>
      </c>
      <c r="D9559" t="s">
        <v>27</v>
      </c>
      <c r="E9559" s="6">
        <v>-28541</v>
      </c>
      <c r="F9559" t="s">
        <v>275</v>
      </c>
      <c r="G9559" t="s">
        <v>88</v>
      </c>
      <c r="H9559" t="s">
        <v>21</v>
      </c>
      <c r="I9559" t="s">
        <v>18554</v>
      </c>
      <c r="J9559" t="str">
        <f>HYPERLINK("https://www.boe.es/gazeta/dias/1821/11/08/pdfs/GMD-1821-319.pdf#page=4","Abrir facsímil")</f>
        <v>Abrir facsímil</v>
      </c>
      <c r="K9559" t="s">
        <v>23</v>
      </c>
    </row>
    <row r="9560" spans="1:11" ht="42" customHeight="1">
      <c r="A9560" t="s">
        <v>18502</v>
      </c>
      <c r="B9560" t="s">
        <v>18503</v>
      </c>
      <c r="C9560" t="s">
        <v>70</v>
      </c>
      <c r="D9560" t="s">
        <v>27</v>
      </c>
      <c r="E9560" s="6">
        <v>-28541</v>
      </c>
      <c r="F9560" t="s">
        <v>275</v>
      </c>
      <c r="G9560" t="s">
        <v>29</v>
      </c>
      <c r="H9560" t="s">
        <v>21</v>
      </c>
      <c r="I9560" t="s">
        <v>18555</v>
      </c>
      <c r="J9560" t="str">
        <f>HYPERLINK("https://www.boe.es/gazeta/dias/1821/11/08/pdfs/GMD-1821-319.pdf#page=6","Abrir facsímil")</f>
        <v>Abrir facsímil</v>
      </c>
      <c r="K9560" t="s">
        <v>23</v>
      </c>
    </row>
    <row r="9561" spans="1:11" ht="42" customHeight="1">
      <c r="A9561" t="s">
        <v>18502</v>
      </c>
      <c r="B9561" t="s">
        <v>18503</v>
      </c>
      <c r="C9561" t="s">
        <v>35</v>
      </c>
      <c r="D9561" t="s">
        <v>27</v>
      </c>
      <c r="E9561" s="6">
        <v>-28540</v>
      </c>
      <c r="F9561" t="s">
        <v>2672</v>
      </c>
      <c r="G9561" t="s">
        <v>20</v>
      </c>
      <c r="H9561" t="s">
        <v>21</v>
      </c>
      <c r="I9561" t="s">
        <v>18556</v>
      </c>
      <c r="J9561" t="str">
        <f>HYPERLINK("https://www.boe.es/gazeta/dias/1821/11/09/pdfs/GMD-1821-320.pdf#page=3","Abrir facsímil")</f>
        <v>Abrir facsímil</v>
      </c>
      <c r="K9561" t="s">
        <v>23</v>
      </c>
    </row>
    <row r="9562" spans="1:11" ht="42" customHeight="1">
      <c r="A9562" t="s">
        <v>18502</v>
      </c>
      <c r="B9562" t="s">
        <v>18503</v>
      </c>
      <c r="C9562" t="s">
        <v>40</v>
      </c>
      <c r="D9562" t="s">
        <v>41</v>
      </c>
      <c r="E9562" s="6">
        <v>-28538</v>
      </c>
      <c r="F9562" t="s">
        <v>395</v>
      </c>
      <c r="G9562" t="s">
        <v>20</v>
      </c>
      <c r="H9562" t="s">
        <v>21</v>
      </c>
      <c r="I9562" t="s">
        <v>18557</v>
      </c>
      <c r="J9562" t="str">
        <f>HYPERLINK("https://www.boe.es/gazeta/dias/1821/11/11/pdfs/GMD-1821-322.pdf#page=3","Abrir facsímil")</f>
        <v>Abrir facsímil</v>
      </c>
      <c r="K9562" t="s">
        <v>23</v>
      </c>
    </row>
    <row r="9563" spans="1:11" ht="42" customHeight="1">
      <c r="A9563" t="s">
        <v>18502</v>
      </c>
      <c r="B9563" t="s">
        <v>18503</v>
      </c>
      <c r="C9563" t="s">
        <v>26</v>
      </c>
      <c r="D9563" t="s">
        <v>27</v>
      </c>
      <c r="E9563" s="6">
        <v>-28533</v>
      </c>
      <c r="F9563" t="s">
        <v>559</v>
      </c>
      <c r="G9563" t="s">
        <v>88</v>
      </c>
      <c r="H9563" t="s">
        <v>21</v>
      </c>
      <c r="I9563" t="s">
        <v>18558</v>
      </c>
      <c r="J9563" t="str">
        <f>HYPERLINK("https://www.boe.es/gazeta/dias/1821/11/16/pdfs/GMD-1821-327.pdf#page=4","Abrir facsímil")</f>
        <v>Abrir facsímil</v>
      </c>
      <c r="K9563" t="s">
        <v>23</v>
      </c>
    </row>
    <row r="9564" spans="1:11" ht="42" customHeight="1">
      <c r="A9564" t="s">
        <v>18502</v>
      </c>
      <c r="B9564" t="s">
        <v>18503</v>
      </c>
      <c r="C9564" t="s">
        <v>35</v>
      </c>
      <c r="D9564" t="s">
        <v>27</v>
      </c>
      <c r="E9564" s="6">
        <v>-28531</v>
      </c>
      <c r="F9564" t="s">
        <v>365</v>
      </c>
      <c r="G9564" t="s">
        <v>88</v>
      </c>
      <c r="H9564" t="s">
        <v>21</v>
      </c>
      <c r="I9564" t="s">
        <v>18559</v>
      </c>
      <c r="J9564" t="str">
        <f>HYPERLINK("https://www.boe.es/gazeta/dias/1821/11/18/pdfs/GMD-1821-329.pdf#page=4","Abrir facsímil")</f>
        <v>Abrir facsímil</v>
      </c>
      <c r="K9564" t="s">
        <v>23</v>
      </c>
    </row>
    <row r="9565" spans="1:11" ht="42" customHeight="1">
      <c r="A9565" t="s">
        <v>18502</v>
      </c>
      <c r="B9565" t="s">
        <v>18503</v>
      </c>
      <c r="C9565" t="s">
        <v>26</v>
      </c>
      <c r="D9565" t="s">
        <v>27</v>
      </c>
      <c r="E9565" s="6">
        <v>-28529</v>
      </c>
      <c r="F9565" t="s">
        <v>525</v>
      </c>
      <c r="G9565" t="s">
        <v>88</v>
      </c>
      <c r="H9565" t="s">
        <v>21</v>
      </c>
      <c r="I9565" t="s">
        <v>18560</v>
      </c>
      <c r="J9565" t="str">
        <f>HYPERLINK("https://www.boe.es/gazeta/dias/1821/11/20/pdfs/GMD-1821-331.pdf#page=4","Abrir facsímil")</f>
        <v>Abrir facsímil</v>
      </c>
      <c r="K9565" t="s">
        <v>23</v>
      </c>
    </row>
    <row r="9566" spans="1:11" ht="42" customHeight="1">
      <c r="A9566" t="s">
        <v>18502</v>
      </c>
      <c r="B9566" t="s">
        <v>18503</v>
      </c>
      <c r="C9566" t="s">
        <v>40</v>
      </c>
      <c r="D9566" t="s">
        <v>41</v>
      </c>
      <c r="E9566" s="6">
        <v>-28528</v>
      </c>
      <c r="F9566" t="s">
        <v>1872</v>
      </c>
      <c r="G9566" t="s">
        <v>2209</v>
      </c>
      <c r="H9566" t="s">
        <v>21</v>
      </c>
      <c r="I9566" t="s">
        <v>18561</v>
      </c>
      <c r="J9566" t="str">
        <f>HYPERLINK("https://www.boe.es/gazeta/dias/1821/11/21/pdfs/GMD-1821-332.pdf#page=3","Abrir facsímil")</f>
        <v>Abrir facsímil</v>
      </c>
      <c r="K9566" t="s">
        <v>23</v>
      </c>
    </row>
    <row r="9567" spans="1:11" ht="42" customHeight="1">
      <c r="A9567" t="s">
        <v>18502</v>
      </c>
      <c r="B9567" t="s">
        <v>18503</v>
      </c>
      <c r="C9567" t="s">
        <v>114</v>
      </c>
      <c r="D9567" t="s">
        <v>27</v>
      </c>
      <c r="E9567" s="6">
        <v>-28528</v>
      </c>
      <c r="F9567" t="s">
        <v>1872</v>
      </c>
      <c r="G9567" t="s">
        <v>88</v>
      </c>
      <c r="H9567" t="s">
        <v>21</v>
      </c>
      <c r="I9567" t="s">
        <v>18562</v>
      </c>
      <c r="J9567" t="str">
        <f>HYPERLINK("https://www.boe.es/gazeta/dias/1821/11/21/pdfs/GMD-1821-332.pdf#page=4","Abrir facsímil")</f>
        <v>Abrir facsímil</v>
      </c>
      <c r="K9567" t="s">
        <v>23</v>
      </c>
    </row>
    <row r="9568" spans="1:11" ht="42" customHeight="1">
      <c r="A9568" t="s">
        <v>18502</v>
      </c>
      <c r="B9568" t="s">
        <v>18503</v>
      </c>
      <c r="C9568" t="s">
        <v>17</v>
      </c>
      <c r="D9568" t="s">
        <v>18</v>
      </c>
      <c r="E9568" s="6">
        <v>-28527</v>
      </c>
      <c r="F9568" t="s">
        <v>328</v>
      </c>
      <c r="G9568" t="s">
        <v>6605</v>
      </c>
      <c r="H9568" t="s">
        <v>21</v>
      </c>
      <c r="I9568" t="s">
        <v>18563</v>
      </c>
      <c r="J9568" t="str">
        <f>HYPERLINK("https://www.boe.es/gazeta/dias/1821/11/22/pdfs/GMD-1821-333.pdf#page=2","Abrir facsímil")</f>
        <v>Abrir facsímil</v>
      </c>
      <c r="K9568" t="s">
        <v>23</v>
      </c>
    </row>
    <row r="9569" spans="1:11" ht="42" customHeight="1">
      <c r="A9569" t="s">
        <v>18502</v>
      </c>
      <c r="B9569" t="s">
        <v>18503</v>
      </c>
      <c r="C9569" t="s">
        <v>40</v>
      </c>
      <c r="D9569" t="s">
        <v>41</v>
      </c>
      <c r="E9569" s="6">
        <v>-28527</v>
      </c>
      <c r="F9569" t="s">
        <v>328</v>
      </c>
      <c r="G9569" t="s">
        <v>20</v>
      </c>
      <c r="H9569" t="s">
        <v>21</v>
      </c>
      <c r="I9569" t="s">
        <v>18564</v>
      </c>
      <c r="J9569" t="str">
        <f>HYPERLINK("https://www.boe.es/gazeta/dias/1821/11/22/pdfs/GMD-1821-333.pdf#page=3","Abrir facsímil")</f>
        <v>Abrir facsímil</v>
      </c>
      <c r="K9569" t="s">
        <v>23</v>
      </c>
    </row>
    <row r="9570" spans="1:11" ht="42" customHeight="1">
      <c r="A9570" t="s">
        <v>18502</v>
      </c>
      <c r="B9570" t="s">
        <v>18503</v>
      </c>
      <c r="C9570" t="s">
        <v>114</v>
      </c>
      <c r="D9570" t="s">
        <v>27</v>
      </c>
      <c r="E9570" s="6">
        <v>-28526</v>
      </c>
      <c r="F9570" t="s">
        <v>223</v>
      </c>
      <c r="G9570" t="s">
        <v>10611</v>
      </c>
      <c r="H9570" t="s">
        <v>21</v>
      </c>
      <c r="I9570" t="s">
        <v>18565</v>
      </c>
      <c r="J9570" t="str">
        <f>HYPERLINK("https://www.boe.es/gazeta/dias/1821/11/23/pdfs/GMD-1821-334.pdf#page=5","Abrir facsímil")</f>
        <v>Abrir facsímil</v>
      </c>
      <c r="K9570" t="s">
        <v>23</v>
      </c>
    </row>
    <row r="9571" spans="1:11" ht="42" customHeight="1">
      <c r="A9571" t="s">
        <v>18502</v>
      </c>
      <c r="B9571" t="s">
        <v>18503</v>
      </c>
      <c r="C9571" t="s">
        <v>17</v>
      </c>
      <c r="D9571" t="s">
        <v>18</v>
      </c>
      <c r="E9571" s="6">
        <v>-28524</v>
      </c>
      <c r="F9571" t="s">
        <v>874</v>
      </c>
      <c r="G9571" t="s">
        <v>875</v>
      </c>
      <c r="H9571" t="s">
        <v>21</v>
      </c>
      <c r="I9571" t="s">
        <v>18566</v>
      </c>
      <c r="J9571" t="str">
        <f>HYPERLINK("https://www.boe.es/gazeta/dias/1821/11/25/pdfs/GMD-1821-336.pdf#page=3","Abrir facsímil")</f>
        <v>Abrir facsímil</v>
      </c>
      <c r="K9571" t="s">
        <v>23</v>
      </c>
    </row>
    <row r="9572" spans="1:11" ht="42" customHeight="1">
      <c r="A9572" t="s">
        <v>18502</v>
      </c>
      <c r="B9572" t="s">
        <v>18503</v>
      </c>
      <c r="C9572" t="s">
        <v>17</v>
      </c>
      <c r="D9572" t="s">
        <v>18</v>
      </c>
      <c r="E9572" s="6">
        <v>-28523</v>
      </c>
      <c r="F9572" t="s">
        <v>257</v>
      </c>
      <c r="G9572" t="s">
        <v>52</v>
      </c>
      <c r="H9572" t="s">
        <v>21</v>
      </c>
      <c r="I9572" t="s">
        <v>18567</v>
      </c>
      <c r="J9572" t="str">
        <f>HYPERLINK("https://www.boe.es/gazeta/dias/1821/11/26/pdfs/GMD-1821-337.pdf#page=2","Abrir facsímil")</f>
        <v>Abrir facsímil</v>
      </c>
      <c r="K9572" t="s">
        <v>23</v>
      </c>
    </row>
    <row r="9573" spans="1:11" ht="42" customHeight="1">
      <c r="A9573" t="s">
        <v>18502</v>
      </c>
      <c r="B9573" t="s">
        <v>18503</v>
      </c>
      <c r="C9573" t="s">
        <v>26</v>
      </c>
      <c r="D9573" t="s">
        <v>27</v>
      </c>
      <c r="E9573" s="6">
        <v>-28518</v>
      </c>
      <c r="F9573" t="s">
        <v>410</v>
      </c>
      <c r="G9573" t="s">
        <v>88</v>
      </c>
      <c r="H9573" t="s">
        <v>21</v>
      </c>
      <c r="I9573" t="s">
        <v>18568</v>
      </c>
      <c r="J9573" t="str">
        <f>HYPERLINK("https://www.boe.es/gazeta/dias/1821/12/01/pdfs/GMD-1821-343.pdf#page=4","Abrir facsímil")</f>
        <v>Abrir facsímil</v>
      </c>
      <c r="K9573" t="s">
        <v>23</v>
      </c>
    </row>
    <row r="9574" spans="1:11" ht="42" customHeight="1">
      <c r="A9574" t="s">
        <v>18502</v>
      </c>
      <c r="B9574" t="s">
        <v>18503</v>
      </c>
      <c r="C9574" t="s">
        <v>35</v>
      </c>
      <c r="D9574" t="s">
        <v>27</v>
      </c>
      <c r="E9574" s="6">
        <v>-28517</v>
      </c>
      <c r="F9574" t="s">
        <v>563</v>
      </c>
      <c r="G9574" t="s">
        <v>20</v>
      </c>
      <c r="H9574" t="s">
        <v>21</v>
      </c>
      <c r="I9574" t="s">
        <v>18569</v>
      </c>
      <c r="J9574" t="str">
        <f>HYPERLINK("https://www.boe.es/gazeta/dias/1821/12/02/pdfs/GMD-1821-344.pdf#page=3","Abrir facsímil")</f>
        <v>Abrir facsímil</v>
      </c>
      <c r="K9574" t="s">
        <v>23</v>
      </c>
    </row>
    <row r="9575" spans="1:11" ht="42" customHeight="1">
      <c r="A9575" t="s">
        <v>18502</v>
      </c>
      <c r="B9575" t="s">
        <v>18503</v>
      </c>
      <c r="C9575" t="s">
        <v>26</v>
      </c>
      <c r="D9575" t="s">
        <v>27</v>
      </c>
      <c r="E9575" s="6">
        <v>-28515</v>
      </c>
      <c r="F9575" t="s">
        <v>260</v>
      </c>
      <c r="G9575" t="s">
        <v>20</v>
      </c>
      <c r="H9575" t="s">
        <v>21</v>
      </c>
      <c r="I9575" t="s">
        <v>18570</v>
      </c>
      <c r="J9575" t="str">
        <f>HYPERLINK("https://www.boe.es/gazeta/dias/1821/12/04/pdfs/GMD-1821-346.pdf#page=3","Abrir facsímil")</f>
        <v>Abrir facsímil</v>
      </c>
      <c r="K9575" t="s">
        <v>23</v>
      </c>
    </row>
    <row r="9576" spans="1:11" ht="42" customHeight="1">
      <c r="A9576" t="s">
        <v>18502</v>
      </c>
      <c r="B9576" t="s">
        <v>18503</v>
      </c>
      <c r="C9576" t="s">
        <v>35</v>
      </c>
      <c r="D9576" t="s">
        <v>27</v>
      </c>
      <c r="E9576" s="6">
        <v>-28511</v>
      </c>
      <c r="F9576" t="s">
        <v>340</v>
      </c>
      <c r="G9576" t="s">
        <v>20</v>
      </c>
      <c r="H9576" t="s">
        <v>21</v>
      </c>
      <c r="I9576" t="s">
        <v>18571</v>
      </c>
      <c r="J9576" t="str">
        <f>HYPERLINK("https://www.boe.es/gazeta/dias/1821/12/08/pdfs/GMD-1821-350.pdf#page=3","Abrir facsímil")</f>
        <v>Abrir facsímil</v>
      </c>
      <c r="K9576" t="s">
        <v>23</v>
      </c>
    </row>
    <row r="9577" spans="1:11" ht="42" customHeight="1">
      <c r="A9577" t="s">
        <v>18502</v>
      </c>
      <c r="B9577" t="s">
        <v>18503</v>
      </c>
      <c r="C9577" t="s">
        <v>17</v>
      </c>
      <c r="D9577" t="s">
        <v>18</v>
      </c>
      <c r="E9577" s="6">
        <v>-28502</v>
      </c>
      <c r="F9577" t="s">
        <v>570</v>
      </c>
      <c r="G9577" t="s">
        <v>52</v>
      </c>
      <c r="H9577" t="s">
        <v>21</v>
      </c>
      <c r="I9577" t="s">
        <v>18572</v>
      </c>
      <c r="J9577" t="str">
        <f>HYPERLINK("https://www.boe.es/gazeta/dias/1821/12/17/pdfs/GMD-1821-360.pdf#page=2","Abrir facsímil")</f>
        <v>Abrir facsímil</v>
      </c>
      <c r="K9577" t="s">
        <v>23</v>
      </c>
    </row>
    <row r="9578" spans="1:11" ht="42" customHeight="1">
      <c r="A9578" t="s">
        <v>18502</v>
      </c>
      <c r="B9578" t="s">
        <v>18503</v>
      </c>
      <c r="C9578" t="s">
        <v>40</v>
      </c>
      <c r="D9578" t="s">
        <v>41</v>
      </c>
      <c r="E9578" s="6">
        <v>-28498</v>
      </c>
      <c r="F9578" t="s">
        <v>447</v>
      </c>
      <c r="G9578" t="s">
        <v>20</v>
      </c>
      <c r="H9578" t="s">
        <v>21</v>
      </c>
      <c r="I9578" t="s">
        <v>18573</v>
      </c>
      <c r="J9578" t="str">
        <f>HYPERLINK("https://www.boe.es/gazeta/dias/1821/12/21/pdfs/GMD-1821-364.pdf#page=3","Abrir facsímil")</f>
        <v>Abrir facsímil</v>
      </c>
      <c r="K9578" t="s">
        <v>23</v>
      </c>
    </row>
    <row r="9579" spans="1:11" ht="42" customHeight="1">
      <c r="A9579" t="s">
        <v>18502</v>
      </c>
      <c r="B9579" t="s">
        <v>18503</v>
      </c>
      <c r="C9579" t="s">
        <v>17</v>
      </c>
      <c r="D9579" t="s">
        <v>18</v>
      </c>
      <c r="E9579" s="6">
        <v>-28492</v>
      </c>
      <c r="F9579" t="s">
        <v>1550</v>
      </c>
      <c r="G9579" t="s">
        <v>88</v>
      </c>
      <c r="H9579" t="s">
        <v>21</v>
      </c>
      <c r="I9579" t="s">
        <v>18574</v>
      </c>
      <c r="J9579" t="str">
        <f>HYPERLINK("https://www.boe.es/gazeta/dias/1821/12/27/pdfs/GMD-1821-370.pdf#page=4","Abrir facsímil")</f>
        <v>Abrir facsímil</v>
      </c>
      <c r="K9579" t="s">
        <v>23</v>
      </c>
    </row>
    <row r="9580" spans="1:11" ht="42" customHeight="1">
      <c r="A9580" t="s">
        <v>18502</v>
      </c>
      <c r="B9580" t="s">
        <v>18503</v>
      </c>
      <c r="C9580" t="s">
        <v>35</v>
      </c>
      <c r="D9580" t="s">
        <v>27</v>
      </c>
      <c r="E9580" s="6">
        <v>-28491</v>
      </c>
      <c r="F9580" t="s">
        <v>573</v>
      </c>
      <c r="G9580" t="s">
        <v>3891</v>
      </c>
      <c r="H9580" t="s">
        <v>21</v>
      </c>
      <c r="I9580" t="s">
        <v>18575</v>
      </c>
      <c r="J9580" t="str">
        <f>HYPERLINK("https://www.boe.es/gazeta/dias/1821/12/28/pdfs/GMD-1821-371.pdf#page=2","Abrir facsímil")</f>
        <v>Abrir facsímil</v>
      </c>
      <c r="K9580" t="s">
        <v>23</v>
      </c>
    </row>
    <row r="9581" spans="1:11" ht="42" customHeight="1">
      <c r="A9581" t="s">
        <v>18502</v>
      </c>
      <c r="B9581" t="s">
        <v>18503</v>
      </c>
      <c r="C9581" t="s">
        <v>26</v>
      </c>
      <c r="D9581" t="s">
        <v>27</v>
      </c>
      <c r="E9581" s="6">
        <v>-28490</v>
      </c>
      <c r="F9581" t="s">
        <v>801</v>
      </c>
      <c r="G9581" t="s">
        <v>802</v>
      </c>
      <c r="H9581" t="s">
        <v>21</v>
      </c>
      <c r="I9581" t="s">
        <v>18576</v>
      </c>
      <c r="J9581" t="str">
        <f>HYPERLINK("https://www.boe.es/gazeta/dias/1821/12/29/pdfs/GMD-1821-372.pdf#page=3","Abrir facsímil")</f>
        <v>Abrir facsímil</v>
      </c>
      <c r="K9581" t="s">
        <v>23</v>
      </c>
    </row>
    <row r="9582" spans="1:11" ht="42" customHeight="1">
      <c r="A9582" t="s">
        <v>18577</v>
      </c>
      <c r="B9582" t="s">
        <v>18578</v>
      </c>
      <c r="C9582" t="s">
        <v>35</v>
      </c>
      <c r="D9582" t="s">
        <v>27</v>
      </c>
      <c r="E9582" s="6">
        <v>-28515</v>
      </c>
      <c r="F9582" t="s">
        <v>260</v>
      </c>
      <c r="G9582" t="s">
        <v>88</v>
      </c>
      <c r="H9582" t="s">
        <v>21</v>
      </c>
      <c r="I9582" t="s">
        <v>18579</v>
      </c>
      <c r="J9582" t="str">
        <f>HYPERLINK("https://www.boe.es/gazeta/dias/1821/12/04/pdfs/GMD-1821-346.pdf#page=4","Abrir facsímil")</f>
        <v>Abrir facsímil</v>
      </c>
      <c r="K9582" t="s">
        <v>23</v>
      </c>
    </row>
    <row r="9583" spans="1:11" ht="42" customHeight="1">
      <c r="A9583" t="s">
        <v>18580</v>
      </c>
      <c r="B9583" t="s">
        <v>18581</v>
      </c>
      <c r="C9583" t="s">
        <v>26</v>
      </c>
      <c r="D9583" t="s">
        <v>27</v>
      </c>
      <c r="E9583" s="6">
        <v>-28511</v>
      </c>
      <c r="F9583" t="s">
        <v>340</v>
      </c>
      <c r="G9583" t="s">
        <v>20</v>
      </c>
      <c r="H9583" t="s">
        <v>21</v>
      </c>
      <c r="I9583" t="s">
        <v>18582</v>
      </c>
      <c r="J9583" t="str">
        <f>HYPERLINK("https://www.boe.es/gazeta/dias/1821/12/08/pdfs/GMD-1821-350.pdf#page=3","Abrir facsímil")</f>
        <v>Abrir facsímil</v>
      </c>
      <c r="K9583" t="s">
        <v>23</v>
      </c>
    </row>
    <row r="9584" spans="1:11" ht="42" customHeight="1">
      <c r="A9584" t="s">
        <v>18583</v>
      </c>
      <c r="B9584" t="s">
        <v>18584</v>
      </c>
      <c r="C9584" t="s">
        <v>114</v>
      </c>
      <c r="D9584" t="s">
        <v>27</v>
      </c>
      <c r="E9584" s="6">
        <v>-28686</v>
      </c>
      <c r="F9584" t="s">
        <v>115</v>
      </c>
      <c r="G9584" t="s">
        <v>52</v>
      </c>
      <c r="H9584" t="s">
        <v>21</v>
      </c>
      <c r="I9584" t="s">
        <v>18585</v>
      </c>
      <c r="J9584" t="str">
        <f>HYPERLINK("https://www.boe.es/gazeta/dias/1821/06/16/pdfs/GMD-1821-169.pdf#page=2","Abrir facsímil")</f>
        <v>Abrir facsímil</v>
      </c>
      <c r="K9584" t="s">
        <v>23</v>
      </c>
    </row>
    <row r="9585" spans="1:11" ht="42" customHeight="1">
      <c r="A9585" t="s">
        <v>18586</v>
      </c>
      <c r="B9585" t="s">
        <v>18587</v>
      </c>
      <c r="C9585" t="s">
        <v>17</v>
      </c>
      <c r="D9585" t="s">
        <v>18</v>
      </c>
      <c r="E9585" s="6">
        <v>-28499</v>
      </c>
      <c r="F9585" t="s">
        <v>954</v>
      </c>
      <c r="G9585" t="s">
        <v>88</v>
      </c>
      <c r="H9585" t="s">
        <v>21</v>
      </c>
      <c r="I9585" t="s">
        <v>18588</v>
      </c>
      <c r="J9585" t="str">
        <f>HYPERLINK("https://www.boe.es/gazeta/dias/1821/12/20/pdfs/GMD-1821-363.pdf#page=4","Abrir facsímil")</f>
        <v>Abrir facsímil</v>
      </c>
      <c r="K9585" t="s">
        <v>23</v>
      </c>
    </row>
    <row r="9586" spans="1:11" ht="42" customHeight="1">
      <c r="A9586" t="s">
        <v>18589</v>
      </c>
      <c r="B9586" t="s">
        <v>18590</v>
      </c>
      <c r="C9586" t="s">
        <v>35</v>
      </c>
      <c r="D9586" t="s">
        <v>27</v>
      </c>
      <c r="E9586" s="6">
        <v>-28512</v>
      </c>
      <c r="F9586" t="s">
        <v>66</v>
      </c>
      <c r="G9586" t="s">
        <v>43</v>
      </c>
      <c r="H9586" t="s">
        <v>21</v>
      </c>
      <c r="I9586" t="s">
        <v>18591</v>
      </c>
      <c r="J9586" t="str">
        <f>HYPERLINK("https://www.boe.es/gazeta/dias/1821/12/07/pdfs/GMD-1821-349.pdf#page=1","Abrir facsímil")</f>
        <v>Abrir facsímil</v>
      </c>
      <c r="K9586" t="s">
        <v>23</v>
      </c>
    </row>
    <row r="9587" spans="1:11" ht="42" customHeight="1">
      <c r="A9587" t="s">
        <v>18592</v>
      </c>
      <c r="B9587" t="s">
        <v>18593</v>
      </c>
      <c r="C9587" t="s">
        <v>26</v>
      </c>
      <c r="D9587" t="s">
        <v>27</v>
      </c>
      <c r="E9587" s="6">
        <v>-28688</v>
      </c>
      <c r="F9587" t="s">
        <v>1504</v>
      </c>
      <c r="G9587" t="s">
        <v>52</v>
      </c>
      <c r="H9587" t="s">
        <v>21</v>
      </c>
      <c r="I9587" t="s">
        <v>18594</v>
      </c>
      <c r="J9587" t="str">
        <f>HYPERLINK("https://www.boe.es/gazeta/dias/1821/06/14/pdfs/GMD-1821-167.pdf#page=2","Abrir facsímil")</f>
        <v>Abrir facsímil</v>
      </c>
      <c r="K9587" t="s">
        <v>23</v>
      </c>
    </row>
    <row r="9588" spans="1:11" ht="42" customHeight="1">
      <c r="A9588" t="s">
        <v>18595</v>
      </c>
      <c r="B9588" t="s">
        <v>18595</v>
      </c>
      <c r="C9588" t="s">
        <v>26</v>
      </c>
      <c r="D9588" t="s">
        <v>27</v>
      </c>
      <c r="E9588" s="6">
        <v>-28661</v>
      </c>
      <c r="F9588" t="s">
        <v>2298</v>
      </c>
      <c r="G9588" t="s">
        <v>29</v>
      </c>
      <c r="H9588" t="s">
        <v>21</v>
      </c>
      <c r="I9588" t="s">
        <v>18596</v>
      </c>
      <c r="J9588" t="str">
        <f>HYPERLINK("https://www.boe.es/gazeta/dias/1821/07/11/pdfs/GMD-1821-196.pdf#page=6","Abrir facsímil")</f>
        <v>Abrir facsímil</v>
      </c>
      <c r="K9588" t="s">
        <v>23</v>
      </c>
    </row>
    <row r="9589" spans="1:11" ht="42" customHeight="1">
      <c r="A9589" t="s">
        <v>18597</v>
      </c>
      <c r="B9589" t="s">
        <v>18597</v>
      </c>
      <c r="C9589" t="s">
        <v>17</v>
      </c>
      <c r="D9589" t="s">
        <v>18</v>
      </c>
      <c r="E9589" s="6">
        <v>-28663</v>
      </c>
      <c r="F9589" t="s">
        <v>3032</v>
      </c>
      <c r="G9589" t="s">
        <v>20</v>
      </c>
      <c r="H9589" t="s">
        <v>21</v>
      </c>
      <c r="I9589" t="s">
        <v>18598</v>
      </c>
      <c r="J9589" t="str">
        <f>HYPERLINK("https://www.boe.es/gazeta/dias/1821/07/09/pdfs/GMD-1821-194.pdf#page=3","Abrir facsímil")</f>
        <v>Abrir facsímil</v>
      </c>
      <c r="K9589" t="s">
        <v>23</v>
      </c>
    </row>
    <row r="9590" spans="1:11" ht="42" customHeight="1">
      <c r="A9590" t="s">
        <v>18599</v>
      </c>
      <c r="B9590" t="s">
        <v>18599</v>
      </c>
      <c r="C9590" t="s">
        <v>40</v>
      </c>
      <c r="D9590" t="s">
        <v>41</v>
      </c>
      <c r="E9590" s="6">
        <v>-28736</v>
      </c>
      <c r="F9590" t="s">
        <v>464</v>
      </c>
      <c r="G9590" t="s">
        <v>52</v>
      </c>
      <c r="H9590" t="s">
        <v>21</v>
      </c>
      <c r="I9590" t="s">
        <v>18600</v>
      </c>
      <c r="J9590" t="str">
        <f>HYPERLINK("https://www.boe.es/gazeta/dias/1821/04/27/pdfs/GMD-1821-119.pdf#page=2","Abrir facsímil")</f>
        <v>Abrir facsímil</v>
      </c>
      <c r="K9590" t="s">
        <v>23</v>
      </c>
    </row>
    <row r="9591" spans="1:11" ht="42" customHeight="1">
      <c r="A9591" t="s">
        <v>18601</v>
      </c>
      <c r="B9591" t="s">
        <v>18601</v>
      </c>
      <c r="C9591" t="s">
        <v>40</v>
      </c>
      <c r="D9591" t="s">
        <v>41</v>
      </c>
      <c r="E9591" s="6">
        <v>-28676</v>
      </c>
      <c r="F9591" t="s">
        <v>534</v>
      </c>
      <c r="G9591" t="s">
        <v>52</v>
      </c>
      <c r="H9591" t="s">
        <v>21</v>
      </c>
      <c r="I9591" t="s">
        <v>18602</v>
      </c>
      <c r="J9591" t="str">
        <f>HYPERLINK("https://www.boe.es/gazeta/dias/1821/06/26/pdfs/GMD-1821-179.pdf#page=2","Abrir facsímil")</f>
        <v>Abrir facsímil</v>
      </c>
      <c r="K9591" t="s">
        <v>23</v>
      </c>
    </row>
    <row r="9592" spans="1:11" ht="42" customHeight="1">
      <c r="A9592" t="s">
        <v>18601</v>
      </c>
      <c r="B9592" t="s">
        <v>18601</v>
      </c>
      <c r="C9592" t="s">
        <v>35</v>
      </c>
      <c r="D9592" t="s">
        <v>27</v>
      </c>
      <c r="E9592" s="6">
        <v>-28567</v>
      </c>
      <c r="F9592" t="s">
        <v>217</v>
      </c>
      <c r="G9592" t="s">
        <v>88</v>
      </c>
      <c r="H9592" t="s">
        <v>21</v>
      </c>
      <c r="I9592" t="s">
        <v>18603</v>
      </c>
      <c r="J9592" t="str">
        <f>HYPERLINK("https://www.boe.es/gazeta/dias/1821/10/13/pdfs/GMD-1821-292.pdf#page=4","Abrir facsímil")</f>
        <v>Abrir facsímil</v>
      </c>
      <c r="K9592" t="s">
        <v>23</v>
      </c>
    </row>
    <row r="9593" spans="1:11" ht="42" customHeight="1">
      <c r="A9593" t="s">
        <v>18599</v>
      </c>
      <c r="B9593" t="s">
        <v>18599</v>
      </c>
      <c r="C9593" t="s">
        <v>26</v>
      </c>
      <c r="D9593" t="s">
        <v>27</v>
      </c>
      <c r="E9593" s="6">
        <v>-28494</v>
      </c>
      <c r="F9593" t="s">
        <v>1665</v>
      </c>
      <c r="G9593" t="s">
        <v>1666</v>
      </c>
      <c r="H9593" t="s">
        <v>21</v>
      </c>
      <c r="I9593" t="s">
        <v>18604</v>
      </c>
      <c r="J9593" t="str">
        <f>HYPERLINK("https://www.boe.es/gazeta/dias/1821/12/25/pdfs/GMD-1821-368.pdf#page=3","Abrir facsímil")</f>
        <v>Abrir facsímil</v>
      </c>
      <c r="K9593" t="s">
        <v>23</v>
      </c>
    </row>
    <row r="9594" spans="1:11" ht="42" customHeight="1">
      <c r="A9594" t="s">
        <v>18605</v>
      </c>
      <c r="B9594" t="s">
        <v>18606</v>
      </c>
      <c r="C9594" t="s">
        <v>174</v>
      </c>
      <c r="D9594" t="s">
        <v>27</v>
      </c>
      <c r="E9594" s="6">
        <v>-28725</v>
      </c>
      <c r="F9594" t="s">
        <v>440</v>
      </c>
      <c r="G9594" t="s">
        <v>88</v>
      </c>
      <c r="H9594" t="s">
        <v>21</v>
      </c>
      <c r="I9594" t="s">
        <v>18607</v>
      </c>
      <c r="J9594" t="str">
        <f>HYPERLINK("https://www.boe.es/gazeta/dias/1821/05/08/pdfs/GMD-1821-130.pdf#page=4","Abrir facsímil")</f>
        <v>Abrir facsímil</v>
      </c>
      <c r="K9594" t="s">
        <v>23</v>
      </c>
    </row>
    <row r="9595" spans="1:11" ht="42" customHeight="1">
      <c r="A9595" t="s">
        <v>18608</v>
      </c>
      <c r="B9595" t="s">
        <v>18609</v>
      </c>
      <c r="C9595" t="s">
        <v>174</v>
      </c>
      <c r="D9595" t="s">
        <v>27</v>
      </c>
      <c r="E9595" s="6">
        <v>-28762</v>
      </c>
      <c r="F9595" t="s">
        <v>608</v>
      </c>
      <c r="G9595" t="s">
        <v>333</v>
      </c>
      <c r="H9595" t="s">
        <v>21</v>
      </c>
      <c r="I9595" t="s">
        <v>18610</v>
      </c>
      <c r="J9595" t="str">
        <f>HYPERLINK("https://www.boe.es/gazeta/dias/1821/04/01/pdfs/GMD-1821-93.pdf#page=8","Abrir facsímil")</f>
        <v>Abrir facsímil</v>
      </c>
      <c r="K9595" t="s">
        <v>23</v>
      </c>
    </row>
    <row r="9596" spans="1:11" ht="42" customHeight="1">
      <c r="A9596" t="s">
        <v>18611</v>
      </c>
      <c r="B9596" t="s">
        <v>18612</v>
      </c>
      <c r="C9596" t="s">
        <v>17</v>
      </c>
      <c r="D9596" t="s">
        <v>18</v>
      </c>
      <c r="E9596" s="6">
        <v>-28696</v>
      </c>
      <c r="F9596" t="s">
        <v>497</v>
      </c>
      <c r="G9596" t="s">
        <v>88</v>
      </c>
      <c r="H9596" t="s">
        <v>21</v>
      </c>
      <c r="I9596" t="s">
        <v>18613</v>
      </c>
      <c r="J9596" t="str">
        <f>HYPERLINK("https://www.boe.es/gazeta/dias/1821/06/06/pdfs/GMD-1821-159.pdf#page=4","Abrir facsímil")</f>
        <v>Abrir facsímil</v>
      </c>
      <c r="K9596" t="s">
        <v>23</v>
      </c>
    </row>
    <row r="9597" spans="1:11" ht="42" customHeight="1">
      <c r="A9597" t="s">
        <v>18614</v>
      </c>
      <c r="B9597" t="s">
        <v>18615</v>
      </c>
      <c r="C9597" t="s">
        <v>174</v>
      </c>
      <c r="D9597" t="s">
        <v>27</v>
      </c>
      <c r="E9597" s="6">
        <v>-28674</v>
      </c>
      <c r="F9597" t="s">
        <v>536</v>
      </c>
      <c r="G9597" t="s">
        <v>29</v>
      </c>
      <c r="H9597" t="s">
        <v>21</v>
      </c>
      <c r="I9597" t="s">
        <v>18616</v>
      </c>
      <c r="J9597" t="str">
        <f>HYPERLINK("https://www.boe.es/gazeta/dias/1821/06/28/pdfs/GMD-1821-181.pdf#page=6","Abrir facsímil")</f>
        <v>Abrir facsímil</v>
      </c>
      <c r="K9597" t="s">
        <v>23</v>
      </c>
    </row>
    <row r="9598" spans="1:11" ht="42" customHeight="1">
      <c r="A9598" t="s">
        <v>18617</v>
      </c>
      <c r="B9598" t="s">
        <v>18618</v>
      </c>
      <c r="C9598" t="s">
        <v>26</v>
      </c>
      <c r="D9598" t="s">
        <v>27</v>
      </c>
      <c r="E9598" s="6">
        <v>-28793</v>
      </c>
      <c r="F9598" t="s">
        <v>157</v>
      </c>
      <c r="G9598" t="s">
        <v>88</v>
      </c>
      <c r="H9598" t="s">
        <v>30</v>
      </c>
      <c r="I9598" t="s">
        <v>18619</v>
      </c>
      <c r="J9598" t="str">
        <f>HYPERLINK("https://www.boe.es/gazeta/dias/1821/03/01/pdfs/GGB-1821-60.pdf#page=4","Abrir facsímil")</f>
        <v>Abrir facsímil</v>
      </c>
      <c r="K9598" t="s">
        <v>32</v>
      </c>
    </row>
    <row r="9599" spans="1:11" ht="42" customHeight="1">
      <c r="A9599" t="s">
        <v>18620</v>
      </c>
      <c r="B9599" t="s">
        <v>18620</v>
      </c>
      <c r="C9599" t="s">
        <v>35</v>
      </c>
      <c r="D9599" t="s">
        <v>27</v>
      </c>
      <c r="E9599" s="6">
        <v>-28787</v>
      </c>
      <c r="F9599" t="s">
        <v>486</v>
      </c>
      <c r="G9599" t="s">
        <v>52</v>
      </c>
      <c r="H9599" t="s">
        <v>21</v>
      </c>
      <c r="I9599" t="s">
        <v>18621</v>
      </c>
      <c r="J9599" t="str">
        <f>HYPERLINK("https://www.boe.es/gazeta/dias/1821/03/07/pdfs/GGB-1821-66.pdf#page=2","Abrir facsímil")</f>
        <v>Abrir facsímil</v>
      </c>
      <c r="K9599" t="s">
        <v>23</v>
      </c>
    </row>
    <row r="9600" spans="1:11" ht="42" customHeight="1">
      <c r="A9600" t="s">
        <v>18622</v>
      </c>
      <c r="B9600" t="s">
        <v>18623</v>
      </c>
      <c r="C9600" t="s">
        <v>40</v>
      </c>
      <c r="D9600" t="s">
        <v>41</v>
      </c>
      <c r="E9600" s="6">
        <v>-28606</v>
      </c>
      <c r="F9600" t="s">
        <v>1799</v>
      </c>
      <c r="G9600" t="s">
        <v>88</v>
      </c>
      <c r="H9600" t="s">
        <v>21</v>
      </c>
      <c r="I9600" t="s">
        <v>18624</v>
      </c>
      <c r="J9600" t="str">
        <f>HYPERLINK("https://www.boe.es/gazeta/dias/1821/09/04/pdfs/GMD-1821-252.pdf#page=4","Abrir facsímil")</f>
        <v>Abrir facsímil</v>
      </c>
      <c r="K9600" t="s">
        <v>23</v>
      </c>
    </row>
    <row r="9601" spans="1:11" ht="42" customHeight="1">
      <c r="A9601" t="s">
        <v>18625</v>
      </c>
      <c r="B9601" t="s">
        <v>18625</v>
      </c>
      <c r="C9601" t="s">
        <v>35</v>
      </c>
      <c r="D9601" t="s">
        <v>27</v>
      </c>
      <c r="E9601" s="6">
        <v>-28526</v>
      </c>
      <c r="F9601" t="s">
        <v>223</v>
      </c>
      <c r="G9601" t="s">
        <v>88</v>
      </c>
      <c r="H9601" t="s">
        <v>21</v>
      </c>
      <c r="I9601" t="s">
        <v>18626</v>
      </c>
      <c r="J9601" t="str">
        <f>HYPERLINK("https://www.boe.es/gazeta/dias/1821/11/23/pdfs/GMD-1821-334.pdf#page=4","Abrir facsímil")</f>
        <v>Abrir facsímil</v>
      </c>
      <c r="K9601" t="s">
        <v>23</v>
      </c>
    </row>
    <row r="9602" spans="1:11" ht="42" customHeight="1">
      <c r="A9602" t="s">
        <v>18627</v>
      </c>
      <c r="B9602" t="s">
        <v>18627</v>
      </c>
      <c r="C9602" t="s">
        <v>40</v>
      </c>
      <c r="D9602" t="s">
        <v>41</v>
      </c>
      <c r="E9602" s="6">
        <v>-28789</v>
      </c>
      <c r="F9602" t="s">
        <v>36</v>
      </c>
      <c r="G9602" t="s">
        <v>20</v>
      </c>
      <c r="H9602" t="s">
        <v>21</v>
      </c>
      <c r="I9602" t="s">
        <v>18628</v>
      </c>
      <c r="J9602" t="str">
        <f>HYPERLINK("https://www.boe.es/gazeta/dias/1821/03/05/pdfs/GGB-1821-64.pdf#page=3","Abrir facsímil")</f>
        <v>Abrir facsímil</v>
      </c>
      <c r="K9602" t="s">
        <v>23</v>
      </c>
    </row>
    <row r="9603" spans="1:11" ht="42" customHeight="1">
      <c r="A9603" t="s">
        <v>18627</v>
      </c>
      <c r="B9603" t="s">
        <v>18627</v>
      </c>
      <c r="C9603" t="s">
        <v>17</v>
      </c>
      <c r="D9603" t="s">
        <v>18</v>
      </c>
      <c r="E9603" s="6">
        <v>-28781</v>
      </c>
      <c r="F9603" t="s">
        <v>149</v>
      </c>
      <c r="G9603" t="s">
        <v>88</v>
      </c>
      <c r="H9603" t="s">
        <v>21</v>
      </c>
      <c r="I9603" t="s">
        <v>18629</v>
      </c>
      <c r="J9603" t="str">
        <f>HYPERLINK("https://www.boe.es/gazeta/dias/1821/03/13/pdfs/GMD-1821-72.pdf#page=4","Abrir facsímil")</f>
        <v>Abrir facsímil</v>
      </c>
      <c r="K9603" t="s">
        <v>23</v>
      </c>
    </row>
    <row r="9604" spans="1:11" ht="42" customHeight="1">
      <c r="A9604" t="s">
        <v>18627</v>
      </c>
      <c r="B9604" t="s">
        <v>18627</v>
      </c>
      <c r="C9604" t="s">
        <v>40</v>
      </c>
      <c r="D9604" t="s">
        <v>41</v>
      </c>
      <c r="E9604" s="6">
        <v>-28740</v>
      </c>
      <c r="F9604" t="s">
        <v>2800</v>
      </c>
      <c r="G9604" t="s">
        <v>52</v>
      </c>
      <c r="H9604" t="s">
        <v>21</v>
      </c>
      <c r="I9604" t="s">
        <v>18630</v>
      </c>
      <c r="J9604" t="str">
        <f>HYPERLINK("https://www.boe.es/gazeta/dias/1821/04/23/pdfs/GMD-1821-115.pdf#page=2","Abrir facsímil")</f>
        <v>Abrir facsímil</v>
      </c>
      <c r="K9604" t="s">
        <v>23</v>
      </c>
    </row>
    <row r="9605" spans="1:11" ht="42" customHeight="1">
      <c r="A9605" t="s">
        <v>18627</v>
      </c>
      <c r="B9605" t="s">
        <v>18627</v>
      </c>
      <c r="C9605" t="s">
        <v>26</v>
      </c>
      <c r="D9605" t="s">
        <v>27</v>
      </c>
      <c r="E9605" s="6">
        <v>-28538</v>
      </c>
      <c r="F9605" t="s">
        <v>395</v>
      </c>
      <c r="G9605" t="s">
        <v>20</v>
      </c>
      <c r="H9605" t="s">
        <v>21</v>
      </c>
      <c r="I9605" t="s">
        <v>18631</v>
      </c>
      <c r="J9605" t="str">
        <f>HYPERLINK("https://www.boe.es/gazeta/dias/1821/11/11/pdfs/GMD-1821-322.pdf#page=3","Abrir facsímil")</f>
        <v>Abrir facsímil</v>
      </c>
      <c r="K9605" t="s">
        <v>23</v>
      </c>
    </row>
    <row r="9606" spans="1:11" ht="42" customHeight="1">
      <c r="A9606" t="s">
        <v>18632</v>
      </c>
      <c r="B9606" t="s">
        <v>18633</v>
      </c>
      <c r="C9606" t="s">
        <v>40</v>
      </c>
      <c r="D9606" t="s">
        <v>41</v>
      </c>
      <c r="E9606" s="6">
        <v>-28704</v>
      </c>
      <c r="F9606" t="s">
        <v>1050</v>
      </c>
      <c r="G9606" t="s">
        <v>52</v>
      </c>
      <c r="H9606" t="s">
        <v>21</v>
      </c>
      <c r="I9606" t="s">
        <v>18634</v>
      </c>
      <c r="J9606" t="str">
        <f>HYPERLINK("https://www.boe.es/gazeta/dias/1821/05/29/pdfs/GMD-1821-151.pdf#page=2","Abrir facsímil")</f>
        <v>Abrir facsímil</v>
      </c>
      <c r="K9606" t="s">
        <v>23</v>
      </c>
    </row>
    <row r="9607" spans="1:11" ht="42" customHeight="1">
      <c r="A9607" t="s">
        <v>18635</v>
      </c>
      <c r="B9607" t="s">
        <v>18636</v>
      </c>
      <c r="C9607" t="s">
        <v>40</v>
      </c>
      <c r="D9607" t="s">
        <v>41</v>
      </c>
      <c r="E9607" s="6">
        <v>-28708</v>
      </c>
      <c r="F9607" t="s">
        <v>528</v>
      </c>
      <c r="G9607" t="s">
        <v>1716</v>
      </c>
      <c r="H9607" t="s">
        <v>21</v>
      </c>
      <c r="I9607" t="s">
        <v>18637</v>
      </c>
      <c r="J9607" t="str">
        <f>HYPERLINK("https://www.boe.es/gazeta/dias/1821/05/25/pdfs/GMD-1821-147.pdf#page=2","Abrir facsímil")</f>
        <v>Abrir facsímil</v>
      </c>
      <c r="K9607" t="s">
        <v>23</v>
      </c>
    </row>
    <row r="9608" spans="1:11" ht="42" customHeight="1">
      <c r="A9608" t="s">
        <v>18638</v>
      </c>
      <c r="B9608" t="s">
        <v>18639</v>
      </c>
      <c r="C9608" t="s">
        <v>17</v>
      </c>
      <c r="D9608" t="s">
        <v>18</v>
      </c>
      <c r="E9608" s="6">
        <v>-28685</v>
      </c>
      <c r="F9608" t="s">
        <v>303</v>
      </c>
      <c r="G9608" t="s">
        <v>52</v>
      </c>
      <c r="H9608" t="s">
        <v>21</v>
      </c>
      <c r="I9608" t="s">
        <v>18640</v>
      </c>
      <c r="J9608" t="str">
        <f>HYPERLINK("https://www.boe.es/gazeta/dias/1821/06/17/pdfs/GMD-1821-170.pdf#page=2","Abrir facsímil")</f>
        <v>Abrir facsímil</v>
      </c>
      <c r="K9608" t="s">
        <v>23</v>
      </c>
    </row>
    <row r="9609" spans="1:11" ht="42" customHeight="1">
      <c r="A9609" t="s">
        <v>18641</v>
      </c>
      <c r="B9609" t="s">
        <v>18642</v>
      </c>
      <c r="C9609" t="s">
        <v>17</v>
      </c>
      <c r="D9609" t="s">
        <v>18</v>
      </c>
      <c r="E9609" s="6">
        <v>-28811</v>
      </c>
      <c r="F9609" t="s">
        <v>5734</v>
      </c>
      <c r="G9609" t="s">
        <v>88</v>
      </c>
      <c r="H9609" t="s">
        <v>21</v>
      </c>
      <c r="I9609" t="s">
        <v>18643</v>
      </c>
      <c r="J9609" t="str">
        <f>HYPERLINK("https://www.boe.es/gazeta/dias/1821/02/11/pdfs/GGB-1821-42.pdf#page=4","Abrir facsímil")</f>
        <v>Abrir facsímil</v>
      </c>
      <c r="K9609" t="s">
        <v>23</v>
      </c>
    </row>
    <row r="9610" spans="1:11" ht="42" customHeight="1">
      <c r="A9610" t="s">
        <v>18641</v>
      </c>
      <c r="B9610" t="s">
        <v>18642</v>
      </c>
      <c r="C9610" t="s">
        <v>35</v>
      </c>
      <c r="D9610" t="s">
        <v>27</v>
      </c>
      <c r="E9610" s="6">
        <v>-28779</v>
      </c>
      <c r="F9610" t="s">
        <v>1002</v>
      </c>
      <c r="G9610" t="s">
        <v>88</v>
      </c>
      <c r="H9610" t="s">
        <v>21</v>
      </c>
      <c r="I9610" t="s">
        <v>18644</v>
      </c>
      <c r="J9610" t="str">
        <f>HYPERLINK("https://www.boe.es/gazeta/dias/1821/03/15/pdfs/GMD-1821-74.pdf#page=4","Abrir facsímil")</f>
        <v>Abrir facsímil</v>
      </c>
      <c r="K9610" t="s">
        <v>23</v>
      </c>
    </row>
    <row r="9611" spans="1:11" ht="42" customHeight="1">
      <c r="A9611" t="s">
        <v>18645</v>
      </c>
      <c r="B9611" t="s">
        <v>18646</v>
      </c>
      <c r="C9611" t="s">
        <v>35</v>
      </c>
      <c r="D9611" t="s">
        <v>27</v>
      </c>
      <c r="E9611" s="6">
        <v>-28825</v>
      </c>
      <c r="F9611" t="s">
        <v>1199</v>
      </c>
      <c r="G9611" t="s">
        <v>88</v>
      </c>
      <c r="H9611" t="s">
        <v>21</v>
      </c>
      <c r="I9611" t="s">
        <v>18647</v>
      </c>
      <c r="J9611" t="str">
        <f>HYPERLINK("https://www.boe.es/gazeta/dias/1821/01/28/pdfs/GGB-1821-28.pdf#page=4","Abrir facsímil")</f>
        <v>Abrir facsímil</v>
      </c>
      <c r="K9611" t="s">
        <v>23</v>
      </c>
    </row>
    <row r="9612" spans="1:11" ht="42" customHeight="1">
      <c r="A9612" t="s">
        <v>18645</v>
      </c>
      <c r="B9612" t="s">
        <v>18646</v>
      </c>
      <c r="C9612" t="s">
        <v>26</v>
      </c>
      <c r="D9612" t="s">
        <v>27</v>
      </c>
      <c r="E9612" s="6">
        <v>-28547</v>
      </c>
      <c r="F9612" t="s">
        <v>247</v>
      </c>
      <c r="G9612" t="s">
        <v>248</v>
      </c>
      <c r="H9612" t="s">
        <v>21</v>
      </c>
      <c r="I9612" t="s">
        <v>18648</v>
      </c>
      <c r="J9612" t="str">
        <f>HYPERLINK("https://www.boe.es/gazeta/dias/1821/11/02/pdfs/GMD-1821-312.pdf#page=2","Abrir facsímil")</f>
        <v>Abrir facsímil</v>
      </c>
      <c r="K9612" t="s">
        <v>23</v>
      </c>
    </row>
    <row r="9613" spans="1:11" ht="42" customHeight="1">
      <c r="A9613" t="s">
        <v>18649</v>
      </c>
      <c r="B9613" t="s">
        <v>18650</v>
      </c>
      <c r="C9613" t="s">
        <v>17</v>
      </c>
      <c r="D9613" t="s">
        <v>18</v>
      </c>
      <c r="E9613" s="6">
        <v>-28738</v>
      </c>
      <c r="F9613" t="s">
        <v>359</v>
      </c>
      <c r="G9613" t="s">
        <v>20</v>
      </c>
      <c r="H9613" t="s">
        <v>21</v>
      </c>
      <c r="I9613" t="s">
        <v>18651</v>
      </c>
      <c r="J9613" t="str">
        <f>HYPERLINK("https://www.boe.es/gazeta/dias/1821/04/25/pdfs/GMD-1821-117.pdf#page=3","Abrir facsímil")</f>
        <v>Abrir facsímil</v>
      </c>
      <c r="K9613" t="s">
        <v>23</v>
      </c>
    </row>
    <row r="9614" spans="1:11" ht="42" customHeight="1">
      <c r="A9614" t="s">
        <v>18652</v>
      </c>
      <c r="B9614" t="s">
        <v>18653</v>
      </c>
      <c r="C9614" t="s">
        <v>17</v>
      </c>
      <c r="D9614" t="s">
        <v>18</v>
      </c>
      <c r="E9614" s="6">
        <v>-28611</v>
      </c>
      <c r="F9614" t="s">
        <v>5777</v>
      </c>
      <c r="G9614" t="s">
        <v>88</v>
      </c>
      <c r="H9614" t="s">
        <v>21</v>
      </c>
      <c r="I9614" t="s">
        <v>18654</v>
      </c>
      <c r="J9614" t="str">
        <f>HYPERLINK("https://www.boe.es/gazeta/dias/1821/08/30/pdfs/GMD-1821-247.pdf#page=4","Abrir facsímil")</f>
        <v>Abrir facsímil</v>
      </c>
      <c r="K9614" t="s">
        <v>23</v>
      </c>
    </row>
    <row r="9615" spans="1:11" ht="42" customHeight="1">
      <c r="A9615" t="s">
        <v>18655</v>
      </c>
      <c r="B9615" t="s">
        <v>18656</v>
      </c>
      <c r="C9615" t="s">
        <v>17</v>
      </c>
      <c r="D9615" t="s">
        <v>18</v>
      </c>
      <c r="E9615" s="6">
        <v>-28685</v>
      </c>
      <c r="F9615" t="s">
        <v>303</v>
      </c>
      <c r="G9615" t="s">
        <v>52</v>
      </c>
      <c r="H9615" t="s">
        <v>21</v>
      </c>
      <c r="I9615" t="s">
        <v>18657</v>
      </c>
      <c r="J9615" t="str">
        <f>HYPERLINK("https://www.boe.es/gazeta/dias/1821/06/17/pdfs/GMD-1821-170.pdf#page=2","Abrir facsímil")</f>
        <v>Abrir facsímil</v>
      </c>
      <c r="K9615" t="s">
        <v>23</v>
      </c>
    </row>
    <row r="9616" spans="1:11" ht="42" customHeight="1">
      <c r="A9616" t="s">
        <v>18655</v>
      </c>
      <c r="B9616" t="s">
        <v>18656</v>
      </c>
      <c r="C9616" t="s">
        <v>40</v>
      </c>
      <c r="D9616" t="s">
        <v>41</v>
      </c>
      <c r="E9616" s="6">
        <v>-28547</v>
      </c>
      <c r="F9616" t="s">
        <v>247</v>
      </c>
      <c r="G9616" t="s">
        <v>248</v>
      </c>
      <c r="H9616" t="s">
        <v>21</v>
      </c>
      <c r="I9616" t="s">
        <v>18658</v>
      </c>
      <c r="J9616" t="str">
        <f>HYPERLINK("https://www.boe.es/gazeta/dias/1821/11/02/pdfs/GMD-1821-312.pdf#page=2","Abrir facsímil")</f>
        <v>Abrir facsímil</v>
      </c>
      <c r="K9616" t="s">
        <v>23</v>
      </c>
    </row>
    <row r="9617" spans="1:11" ht="42" customHeight="1">
      <c r="A9617" t="s">
        <v>18659</v>
      </c>
      <c r="B9617" t="s">
        <v>18660</v>
      </c>
      <c r="C9617" t="s">
        <v>26</v>
      </c>
      <c r="D9617" t="s">
        <v>27</v>
      </c>
      <c r="E9617" s="6">
        <v>-28547</v>
      </c>
      <c r="F9617" t="s">
        <v>247</v>
      </c>
      <c r="G9617" t="s">
        <v>248</v>
      </c>
      <c r="H9617" t="s">
        <v>21</v>
      </c>
      <c r="I9617" t="s">
        <v>18661</v>
      </c>
      <c r="J9617" t="str">
        <f>HYPERLINK("https://www.boe.es/gazeta/dias/1821/11/02/pdfs/GMD-1821-312.pdf#page=2","Abrir facsímil")</f>
        <v>Abrir facsímil</v>
      </c>
      <c r="K9617" t="s">
        <v>23</v>
      </c>
    </row>
    <row r="9618" spans="1:11" ht="42" customHeight="1">
      <c r="A9618" t="s">
        <v>18659</v>
      </c>
      <c r="B9618" t="s">
        <v>18660</v>
      </c>
      <c r="C9618" t="s">
        <v>40</v>
      </c>
      <c r="D9618" t="s">
        <v>41</v>
      </c>
      <c r="E9618" s="6">
        <v>-28508</v>
      </c>
      <c r="F9618" t="s">
        <v>42</v>
      </c>
      <c r="G9618" t="s">
        <v>43</v>
      </c>
      <c r="H9618" t="s">
        <v>21</v>
      </c>
      <c r="I9618" t="s">
        <v>18662</v>
      </c>
      <c r="J9618" t="str">
        <f>HYPERLINK("https://www.boe.es/gazeta/dias/1821/12/11/pdfs/GMD-1821-353.pdf#page=1","Abrir facsímil")</f>
        <v>Abrir facsímil</v>
      </c>
      <c r="K9618" t="s">
        <v>23</v>
      </c>
    </row>
    <row r="9619" spans="1:11" ht="42" customHeight="1">
      <c r="A9619" t="s">
        <v>18663</v>
      </c>
      <c r="B9619" t="s">
        <v>18664</v>
      </c>
      <c r="C9619" t="s">
        <v>174</v>
      </c>
      <c r="D9619" t="s">
        <v>27</v>
      </c>
      <c r="E9619" s="6">
        <v>-28761</v>
      </c>
      <c r="F9619" t="s">
        <v>771</v>
      </c>
      <c r="G9619" t="s">
        <v>52</v>
      </c>
      <c r="H9619" t="s">
        <v>21</v>
      </c>
      <c r="I9619" t="s">
        <v>18665</v>
      </c>
      <c r="J9619" t="str">
        <f>HYPERLINK("https://www.boe.es/gazeta/dias/1821/04/02/pdfs/GMD-1821-94.pdf#page=2","Abrir facsímil")</f>
        <v>Abrir facsímil</v>
      </c>
      <c r="K9619" t="s">
        <v>23</v>
      </c>
    </row>
    <row r="9620" spans="1:11" ht="42" customHeight="1">
      <c r="A9620" t="s">
        <v>18663</v>
      </c>
      <c r="B9620" t="s">
        <v>18664</v>
      </c>
      <c r="C9620" t="s">
        <v>17</v>
      </c>
      <c r="D9620" t="s">
        <v>18</v>
      </c>
      <c r="E9620" s="6">
        <v>-28738</v>
      </c>
      <c r="F9620" t="s">
        <v>359</v>
      </c>
      <c r="G9620" t="s">
        <v>20</v>
      </c>
      <c r="H9620" t="s">
        <v>21</v>
      </c>
      <c r="I9620" t="s">
        <v>18666</v>
      </c>
      <c r="J9620" t="str">
        <f>HYPERLINK("https://www.boe.es/gazeta/dias/1821/04/25/pdfs/GMD-1821-117.pdf#page=3","Abrir facsímil")</f>
        <v>Abrir facsímil</v>
      </c>
      <c r="K9620" t="s">
        <v>23</v>
      </c>
    </row>
    <row r="9621" spans="1:11" ht="42" customHeight="1">
      <c r="A9621" t="s">
        <v>18667</v>
      </c>
      <c r="B9621" t="s">
        <v>18668</v>
      </c>
      <c r="C9621" t="s">
        <v>17</v>
      </c>
      <c r="D9621" t="s">
        <v>18</v>
      </c>
      <c r="E9621" s="6">
        <v>-28518</v>
      </c>
      <c r="F9621" t="s">
        <v>410</v>
      </c>
      <c r="G9621" t="s">
        <v>52</v>
      </c>
      <c r="H9621" t="s">
        <v>21</v>
      </c>
      <c r="I9621" t="s">
        <v>18669</v>
      </c>
      <c r="J9621" t="str">
        <f>HYPERLINK("https://www.boe.es/gazeta/dias/1821/12/01/pdfs/GMD-1821-343.pdf#page=2","Abrir facsímil")</f>
        <v>Abrir facsímil</v>
      </c>
      <c r="K9621" t="s">
        <v>23</v>
      </c>
    </row>
    <row r="9622" spans="1:11" ht="42" customHeight="1">
      <c r="A9622" t="s">
        <v>18670</v>
      </c>
      <c r="B9622" t="s">
        <v>18671</v>
      </c>
      <c r="C9622" t="s">
        <v>279</v>
      </c>
      <c r="D9622" t="s">
        <v>27</v>
      </c>
      <c r="E9622" s="6">
        <v>-28758</v>
      </c>
      <c r="F9622" t="s">
        <v>4115</v>
      </c>
      <c r="G9622" t="s">
        <v>52</v>
      </c>
      <c r="H9622" t="s">
        <v>21</v>
      </c>
      <c r="I9622" t="s">
        <v>18672</v>
      </c>
      <c r="J9622" t="str">
        <f>HYPERLINK("https://www.boe.es/gazeta/dias/1821/04/05/pdfs/GMD-1821-97.pdf#page=2","Abrir facsímil")</f>
        <v>Abrir facsímil</v>
      </c>
      <c r="K9622" t="s">
        <v>23</v>
      </c>
    </row>
    <row r="9623" spans="1:11" ht="42" customHeight="1">
      <c r="A9623" t="s">
        <v>18673</v>
      </c>
      <c r="B9623" t="s">
        <v>18674</v>
      </c>
      <c r="C9623" t="s">
        <v>17</v>
      </c>
      <c r="D9623" t="s">
        <v>18</v>
      </c>
      <c r="E9623" s="6">
        <v>-28703</v>
      </c>
      <c r="F9623" t="s">
        <v>231</v>
      </c>
      <c r="G9623" t="s">
        <v>52</v>
      </c>
      <c r="H9623" t="s">
        <v>30</v>
      </c>
      <c r="I9623" t="s">
        <v>18675</v>
      </c>
      <c r="J9623" t="str">
        <f>HYPERLINK("https://www.boe.es/gazeta/dias/1821/05/30/pdfs/GMD-1821-152.pdf#page=2","Abrir facsímil")</f>
        <v>Abrir facsímil</v>
      </c>
      <c r="K9623" t="s">
        <v>32</v>
      </c>
    </row>
    <row r="9624" spans="1:11" ht="42" customHeight="1">
      <c r="A9624" t="s">
        <v>18676</v>
      </c>
      <c r="B9624" t="s">
        <v>18677</v>
      </c>
      <c r="C9624" t="s">
        <v>40</v>
      </c>
      <c r="D9624" t="s">
        <v>41</v>
      </c>
      <c r="E9624" s="6">
        <v>-28677</v>
      </c>
      <c r="F9624" t="s">
        <v>361</v>
      </c>
      <c r="G9624" t="s">
        <v>20</v>
      </c>
      <c r="H9624" t="s">
        <v>21</v>
      </c>
      <c r="I9624" t="s">
        <v>18678</v>
      </c>
      <c r="J9624" t="str">
        <f>HYPERLINK("https://www.boe.es/gazeta/dias/1821/06/25/pdfs/GMD-1821-178.pdf#page=3","Abrir facsímil")</f>
        <v>Abrir facsímil</v>
      </c>
      <c r="K9624" t="s">
        <v>23</v>
      </c>
    </row>
    <row r="9625" spans="1:11" ht="42" customHeight="1">
      <c r="A9625" t="s">
        <v>18679</v>
      </c>
      <c r="B9625" t="s">
        <v>18680</v>
      </c>
      <c r="C9625" t="s">
        <v>174</v>
      </c>
      <c r="D9625" t="s">
        <v>27</v>
      </c>
      <c r="E9625" s="6">
        <v>-28791</v>
      </c>
      <c r="F9625" t="s">
        <v>47</v>
      </c>
      <c r="G9625" t="s">
        <v>88</v>
      </c>
      <c r="H9625" t="s">
        <v>21</v>
      </c>
      <c r="I9625" t="s">
        <v>18681</v>
      </c>
      <c r="J9625" t="str">
        <f>HYPERLINK("https://www.boe.es/gazeta/dias/1821/03/03/pdfs/GGB-1821-62.pdf#page=4","Abrir facsímil")</f>
        <v>Abrir facsímil</v>
      </c>
      <c r="K9625" t="s">
        <v>23</v>
      </c>
    </row>
    <row r="9626" spans="1:11" ht="42" customHeight="1">
      <c r="A9626" t="s">
        <v>18682</v>
      </c>
      <c r="B9626" t="s">
        <v>18683</v>
      </c>
      <c r="C9626" t="s">
        <v>40</v>
      </c>
      <c r="D9626" t="s">
        <v>41</v>
      </c>
      <c r="E9626" s="6">
        <v>-28541</v>
      </c>
      <c r="F9626" t="s">
        <v>275</v>
      </c>
      <c r="G9626" t="s">
        <v>52</v>
      </c>
      <c r="H9626" t="s">
        <v>21</v>
      </c>
      <c r="I9626" t="s">
        <v>18684</v>
      </c>
      <c r="J9626" t="str">
        <f>HYPERLINK("https://www.boe.es/gazeta/dias/1821/11/08/pdfs/GMD-1821-319.pdf#page=2","Abrir facsímil")</f>
        <v>Abrir facsímil</v>
      </c>
      <c r="K9626" t="s">
        <v>23</v>
      </c>
    </row>
    <row r="9627" spans="1:11" ht="42" customHeight="1">
      <c r="A9627" t="s">
        <v>18685</v>
      </c>
      <c r="B9627" t="s">
        <v>18685</v>
      </c>
      <c r="C9627" t="s">
        <v>17</v>
      </c>
      <c r="D9627" t="s">
        <v>18</v>
      </c>
      <c r="E9627" s="6">
        <v>-28801</v>
      </c>
      <c r="F9627" t="s">
        <v>378</v>
      </c>
      <c r="G9627" t="s">
        <v>20</v>
      </c>
      <c r="H9627" t="s">
        <v>21</v>
      </c>
      <c r="I9627" t="s">
        <v>18686</v>
      </c>
      <c r="J9627" t="str">
        <f>HYPERLINK("https://www.boe.es/gazeta/dias/1821/02/21/pdfs/GGB-1821-52.pdf#page=3","Abrir facsímil")</f>
        <v>Abrir facsímil</v>
      </c>
      <c r="K9627" t="s">
        <v>23</v>
      </c>
    </row>
    <row r="9628" spans="1:11" ht="42" customHeight="1">
      <c r="A9628" t="s">
        <v>18685</v>
      </c>
      <c r="B9628" t="s">
        <v>18685</v>
      </c>
      <c r="C9628" t="s">
        <v>17</v>
      </c>
      <c r="D9628" t="s">
        <v>18</v>
      </c>
      <c r="E9628" s="6">
        <v>-28798</v>
      </c>
      <c r="F9628" t="s">
        <v>60</v>
      </c>
      <c r="G9628" t="s">
        <v>20</v>
      </c>
      <c r="H9628" t="s">
        <v>21</v>
      </c>
      <c r="I9628" t="s">
        <v>18687</v>
      </c>
      <c r="J9628" t="str">
        <f>HYPERLINK("https://www.boe.es/gazeta/dias/1821/02/24/pdfs/GGB-1821-55.pdf#page=3","Abrir facsímil")</f>
        <v>Abrir facsímil</v>
      </c>
      <c r="K9628" t="s">
        <v>23</v>
      </c>
    </row>
    <row r="9629" spans="1:11" ht="42" customHeight="1">
      <c r="A9629" t="s">
        <v>18685</v>
      </c>
      <c r="B9629" t="s">
        <v>18685</v>
      </c>
      <c r="C9629" t="s">
        <v>26</v>
      </c>
      <c r="D9629" t="s">
        <v>27</v>
      </c>
      <c r="E9629" s="6">
        <v>-28777</v>
      </c>
      <c r="F9629" t="s">
        <v>1004</v>
      </c>
      <c r="G9629" t="s">
        <v>1005</v>
      </c>
      <c r="H9629" t="s">
        <v>21</v>
      </c>
      <c r="I9629" t="s">
        <v>18688</v>
      </c>
      <c r="J9629" t="str">
        <f>HYPERLINK("https://www.boe.es/gazeta/dias/1821/03/17/pdfs/GMD-1821-76.pdf#page=2","Abrir facsímil")</f>
        <v>Abrir facsímil</v>
      </c>
      <c r="K9629" t="s">
        <v>23</v>
      </c>
    </row>
    <row r="9630" spans="1:11" ht="42" customHeight="1">
      <c r="A9630" t="s">
        <v>18685</v>
      </c>
      <c r="B9630" t="s">
        <v>18685</v>
      </c>
      <c r="C9630" t="s">
        <v>17</v>
      </c>
      <c r="D9630" t="s">
        <v>18</v>
      </c>
      <c r="E9630" s="6">
        <v>-28773</v>
      </c>
      <c r="F9630" t="s">
        <v>1755</v>
      </c>
      <c r="G9630" t="s">
        <v>20</v>
      </c>
      <c r="H9630" t="s">
        <v>21</v>
      </c>
      <c r="I9630" t="s">
        <v>18689</v>
      </c>
      <c r="J9630" t="str">
        <f>HYPERLINK("https://www.boe.es/gazeta/dias/1821/03/21/pdfs/GMD-1821-80.pdf#page=3","Abrir facsímil")</f>
        <v>Abrir facsímil</v>
      </c>
      <c r="K9630" t="s">
        <v>23</v>
      </c>
    </row>
    <row r="9631" spans="1:11" ht="42" customHeight="1">
      <c r="A9631" t="s">
        <v>18685</v>
      </c>
      <c r="B9631" t="s">
        <v>18685</v>
      </c>
      <c r="C9631" t="s">
        <v>40</v>
      </c>
      <c r="D9631" t="s">
        <v>41</v>
      </c>
      <c r="E9631" s="6">
        <v>-28772</v>
      </c>
      <c r="F9631" t="s">
        <v>62</v>
      </c>
      <c r="G9631" t="s">
        <v>88</v>
      </c>
      <c r="H9631" t="s">
        <v>21</v>
      </c>
      <c r="I9631" t="s">
        <v>18690</v>
      </c>
      <c r="J9631" t="str">
        <f>HYPERLINK("https://www.boe.es/gazeta/dias/1821/03/22/pdfs/GMD-1821-81.pdf#page=4","Abrir facsímil")</f>
        <v>Abrir facsímil</v>
      </c>
      <c r="K9631" t="s">
        <v>23</v>
      </c>
    </row>
    <row r="9632" spans="1:11" ht="42" customHeight="1">
      <c r="A9632" t="s">
        <v>18685</v>
      </c>
      <c r="B9632" t="s">
        <v>18685</v>
      </c>
      <c r="C9632" t="s">
        <v>26</v>
      </c>
      <c r="D9632" t="s">
        <v>27</v>
      </c>
      <c r="E9632" s="6">
        <v>-28771</v>
      </c>
      <c r="F9632" t="s">
        <v>110</v>
      </c>
      <c r="G9632" t="s">
        <v>88</v>
      </c>
      <c r="H9632" t="s">
        <v>21</v>
      </c>
      <c r="I9632" t="s">
        <v>18691</v>
      </c>
      <c r="J9632" t="str">
        <f>HYPERLINK("https://www.boe.es/gazeta/dias/1821/03/23/pdfs/GMD-1821-83.pdf#page=4","Abrir facsímil")</f>
        <v>Abrir facsímil</v>
      </c>
      <c r="K9632" t="s">
        <v>23</v>
      </c>
    </row>
    <row r="9633" spans="1:11" ht="42" customHeight="1">
      <c r="A9633" t="s">
        <v>18685</v>
      </c>
      <c r="B9633" t="s">
        <v>18685</v>
      </c>
      <c r="C9633" t="s">
        <v>17</v>
      </c>
      <c r="D9633" t="s">
        <v>18</v>
      </c>
      <c r="E9633" s="6">
        <v>-28770</v>
      </c>
      <c r="F9633" t="s">
        <v>1009</v>
      </c>
      <c r="G9633" t="s">
        <v>88</v>
      </c>
      <c r="H9633" t="s">
        <v>21</v>
      </c>
      <c r="I9633" t="s">
        <v>18692</v>
      </c>
      <c r="J9633" t="str">
        <f>HYPERLINK("https://www.boe.es/gazeta/dias/1821/03/24/pdfs/GMD-1821-84.pdf#page=4","Abrir facsímil")</f>
        <v>Abrir facsímil</v>
      </c>
      <c r="K9633" t="s">
        <v>23</v>
      </c>
    </row>
    <row r="9634" spans="1:11" ht="42" customHeight="1">
      <c r="A9634" t="s">
        <v>18685</v>
      </c>
      <c r="B9634" t="s">
        <v>18685</v>
      </c>
      <c r="C9634" t="s">
        <v>35</v>
      </c>
      <c r="D9634" t="s">
        <v>27</v>
      </c>
      <c r="E9634" s="6">
        <v>-28769</v>
      </c>
      <c r="F9634" t="s">
        <v>489</v>
      </c>
      <c r="G9634" t="s">
        <v>490</v>
      </c>
      <c r="H9634" t="s">
        <v>21</v>
      </c>
      <c r="I9634" t="s">
        <v>18693</v>
      </c>
      <c r="J9634" t="str">
        <f>HYPERLINK("https://www.boe.es/gazeta/dias/1821/03/25/pdfs/GMD-1821-85.pdf#page=3","Abrir facsímil")</f>
        <v>Abrir facsímil</v>
      </c>
      <c r="K9634" t="s">
        <v>23</v>
      </c>
    </row>
    <row r="9635" spans="1:11" ht="42" customHeight="1">
      <c r="A9635" t="s">
        <v>18685</v>
      </c>
      <c r="B9635" t="s">
        <v>18685</v>
      </c>
      <c r="C9635" t="s">
        <v>26</v>
      </c>
      <c r="D9635" t="s">
        <v>27</v>
      </c>
      <c r="E9635" s="6">
        <v>-28765</v>
      </c>
      <c r="F9635" t="s">
        <v>974</v>
      </c>
      <c r="G9635" t="s">
        <v>20</v>
      </c>
      <c r="H9635" t="s">
        <v>21</v>
      </c>
      <c r="I9635" t="s">
        <v>18694</v>
      </c>
      <c r="J9635" t="str">
        <f>HYPERLINK("https://www.boe.es/gazeta/dias/1821/03/29/pdfs/GMD-1821-90.pdf#page=3","Abrir facsímil")</f>
        <v>Abrir facsímil</v>
      </c>
      <c r="K9635" t="s">
        <v>23</v>
      </c>
    </row>
    <row r="9636" spans="1:11" ht="42" customHeight="1">
      <c r="A9636" t="s">
        <v>18685</v>
      </c>
      <c r="B9636" t="s">
        <v>18685</v>
      </c>
      <c r="C9636" t="s">
        <v>70</v>
      </c>
      <c r="D9636" t="s">
        <v>27</v>
      </c>
      <c r="E9636" s="6">
        <v>-28759</v>
      </c>
      <c r="F9636" t="s">
        <v>71</v>
      </c>
      <c r="G9636" t="s">
        <v>52</v>
      </c>
      <c r="H9636" t="s">
        <v>21</v>
      </c>
      <c r="I9636" t="s">
        <v>18695</v>
      </c>
      <c r="J9636" t="str">
        <f>HYPERLINK("https://www.boe.es/gazeta/dias/1821/04/04/pdfs/GMD-1821-96.pdf#page=2","Abrir facsímil")</f>
        <v>Abrir facsímil</v>
      </c>
      <c r="K9636" t="s">
        <v>23</v>
      </c>
    </row>
    <row r="9637" spans="1:11" ht="42" customHeight="1">
      <c r="A9637" t="s">
        <v>18685</v>
      </c>
      <c r="B9637" t="s">
        <v>18685</v>
      </c>
      <c r="C9637" t="s">
        <v>35</v>
      </c>
      <c r="D9637" t="s">
        <v>27</v>
      </c>
      <c r="E9637" s="6">
        <v>-28757</v>
      </c>
      <c r="F9637" t="s">
        <v>472</v>
      </c>
      <c r="G9637" t="s">
        <v>20</v>
      </c>
      <c r="H9637" t="s">
        <v>21</v>
      </c>
      <c r="I9637" t="s">
        <v>18696</v>
      </c>
      <c r="J9637" t="str">
        <f>HYPERLINK("https://www.boe.es/gazeta/dias/1821/04/06/pdfs/GMD-1821-98.pdf#page=3","Abrir facsímil")</f>
        <v>Abrir facsímil</v>
      </c>
      <c r="K9637" t="s">
        <v>23</v>
      </c>
    </row>
    <row r="9638" spans="1:11" ht="42" customHeight="1">
      <c r="A9638" t="s">
        <v>18685</v>
      </c>
      <c r="B9638" t="s">
        <v>18685</v>
      </c>
      <c r="C9638" t="s">
        <v>26</v>
      </c>
      <c r="D9638" t="s">
        <v>27</v>
      </c>
      <c r="E9638" s="6">
        <v>-28755</v>
      </c>
      <c r="F9638" t="s">
        <v>906</v>
      </c>
      <c r="G9638" t="s">
        <v>20</v>
      </c>
      <c r="H9638" t="s">
        <v>21</v>
      </c>
      <c r="I9638" t="s">
        <v>18697</v>
      </c>
      <c r="J9638" t="str">
        <f>HYPERLINK("https://www.boe.es/gazeta/dias/1821/04/08/pdfs/GMD-1821-100.pdf#page=3","Abrir facsímil")</f>
        <v>Abrir facsímil</v>
      </c>
      <c r="K9638" t="s">
        <v>23</v>
      </c>
    </row>
    <row r="9639" spans="1:11" ht="42" customHeight="1">
      <c r="A9639" t="s">
        <v>18685</v>
      </c>
      <c r="B9639" t="s">
        <v>18685</v>
      </c>
      <c r="C9639" t="s">
        <v>17</v>
      </c>
      <c r="D9639" t="s">
        <v>18</v>
      </c>
      <c r="E9639" s="6">
        <v>-28754</v>
      </c>
      <c r="F9639" t="s">
        <v>1942</v>
      </c>
      <c r="G9639" t="s">
        <v>88</v>
      </c>
      <c r="H9639" t="s">
        <v>21</v>
      </c>
      <c r="I9639" t="s">
        <v>18698</v>
      </c>
      <c r="J9639" t="str">
        <f>HYPERLINK("https://www.boe.es/gazeta/dias/1821/04/09/pdfs/GMD-1821-101.pdf#page=4","Abrir facsímil")</f>
        <v>Abrir facsímil</v>
      </c>
      <c r="K9639" t="s">
        <v>23</v>
      </c>
    </row>
    <row r="9640" spans="1:11" ht="42" customHeight="1">
      <c r="A9640" t="s">
        <v>18685</v>
      </c>
      <c r="B9640" t="s">
        <v>18685</v>
      </c>
      <c r="C9640" t="s">
        <v>40</v>
      </c>
      <c r="D9640" t="s">
        <v>41</v>
      </c>
      <c r="E9640" s="6">
        <v>-28750</v>
      </c>
      <c r="F9640" t="s">
        <v>917</v>
      </c>
      <c r="G9640" t="s">
        <v>52</v>
      </c>
      <c r="H9640" t="s">
        <v>21</v>
      </c>
      <c r="I9640" t="s">
        <v>18699</v>
      </c>
      <c r="J9640" t="str">
        <f>HYPERLINK("https://www.boe.es/gazeta/dias/1821/04/13/pdfs/GMD-1821-105.pdf#page=2","Abrir facsímil")</f>
        <v>Abrir facsímil</v>
      </c>
      <c r="K9640" t="s">
        <v>23</v>
      </c>
    </row>
    <row r="9641" spans="1:11" ht="42" customHeight="1">
      <c r="A9641" t="s">
        <v>18685</v>
      </c>
      <c r="B9641" t="s">
        <v>18685</v>
      </c>
      <c r="C9641" t="s">
        <v>35</v>
      </c>
      <c r="D9641" t="s">
        <v>27</v>
      </c>
      <c r="E9641" s="6">
        <v>-28750</v>
      </c>
      <c r="F9641" t="s">
        <v>917</v>
      </c>
      <c r="G9641" t="s">
        <v>20</v>
      </c>
      <c r="H9641" t="s">
        <v>21</v>
      </c>
      <c r="I9641" t="s">
        <v>18700</v>
      </c>
      <c r="J9641" t="str">
        <f>HYPERLINK("https://www.boe.es/gazeta/dias/1821/04/13/pdfs/GMD-1821-105.pdf#page=3","Abrir facsímil")</f>
        <v>Abrir facsímil</v>
      </c>
      <c r="K9641" t="s">
        <v>23</v>
      </c>
    </row>
    <row r="9642" spans="1:11" ht="42" customHeight="1">
      <c r="A9642" t="s">
        <v>18685</v>
      </c>
      <c r="B9642" t="s">
        <v>18685</v>
      </c>
      <c r="C9642" t="s">
        <v>70</v>
      </c>
      <c r="D9642" t="s">
        <v>27</v>
      </c>
      <c r="E9642" s="6">
        <v>-28749</v>
      </c>
      <c r="F9642" t="s">
        <v>832</v>
      </c>
      <c r="G9642" t="s">
        <v>52</v>
      </c>
      <c r="H9642" t="s">
        <v>21</v>
      </c>
      <c r="I9642" t="s">
        <v>18701</v>
      </c>
      <c r="J9642" t="str">
        <f>HYPERLINK("https://www.boe.es/gazeta/dias/1821/04/14/pdfs/GMD-1821-106.pdf#page=2","Abrir facsímil")</f>
        <v>Abrir facsímil</v>
      </c>
      <c r="K9642" t="s">
        <v>23</v>
      </c>
    </row>
    <row r="9643" spans="1:11" ht="42" customHeight="1">
      <c r="A9643" t="s">
        <v>18685</v>
      </c>
      <c r="B9643" t="s">
        <v>18685</v>
      </c>
      <c r="C9643" t="s">
        <v>17</v>
      </c>
      <c r="D9643" t="s">
        <v>18</v>
      </c>
      <c r="E9643" s="6">
        <v>-28749</v>
      </c>
      <c r="F9643" t="s">
        <v>832</v>
      </c>
      <c r="G9643" t="s">
        <v>88</v>
      </c>
      <c r="H9643" t="s">
        <v>21</v>
      </c>
      <c r="I9643" t="s">
        <v>18702</v>
      </c>
      <c r="J9643" t="str">
        <f>HYPERLINK("https://www.boe.es/gazeta/dias/1821/04/14/pdfs/GMD-1821-106.pdf#page=4","Abrir facsímil")</f>
        <v>Abrir facsímil</v>
      </c>
      <c r="K9643" t="s">
        <v>23</v>
      </c>
    </row>
    <row r="9644" spans="1:11" ht="42" customHeight="1">
      <c r="A9644" t="s">
        <v>18685</v>
      </c>
      <c r="B9644" t="s">
        <v>18685</v>
      </c>
      <c r="C9644" t="s">
        <v>40</v>
      </c>
      <c r="D9644" t="s">
        <v>41</v>
      </c>
      <c r="E9644" s="6">
        <v>-28748</v>
      </c>
      <c r="F9644" t="s">
        <v>634</v>
      </c>
      <c r="G9644" t="s">
        <v>52</v>
      </c>
      <c r="H9644" t="s">
        <v>21</v>
      </c>
      <c r="I9644" t="s">
        <v>18703</v>
      </c>
      <c r="J9644" t="str">
        <f>HYPERLINK("https://www.boe.es/gazeta/dias/1821/04/15/pdfs/GMD-1821-107.pdf#page=2","Abrir facsímil")</f>
        <v>Abrir facsímil</v>
      </c>
      <c r="K9644" t="s">
        <v>23</v>
      </c>
    </row>
    <row r="9645" spans="1:11" ht="42" customHeight="1">
      <c r="A9645" t="s">
        <v>18685</v>
      </c>
      <c r="B9645" t="s">
        <v>18685</v>
      </c>
      <c r="C9645" t="s">
        <v>40</v>
      </c>
      <c r="D9645" t="s">
        <v>41</v>
      </c>
      <c r="E9645" s="6">
        <v>-28748</v>
      </c>
      <c r="F9645" t="s">
        <v>634</v>
      </c>
      <c r="G9645" t="s">
        <v>20</v>
      </c>
      <c r="H9645" t="s">
        <v>21</v>
      </c>
      <c r="I9645" t="s">
        <v>18704</v>
      </c>
      <c r="J9645" t="str">
        <f>HYPERLINK("https://www.boe.es/gazeta/dias/1821/04/15/pdfs/GMD-1821-107.pdf#page=3","Abrir facsímil")</f>
        <v>Abrir facsímil</v>
      </c>
      <c r="K9645" t="s">
        <v>23</v>
      </c>
    </row>
    <row r="9646" spans="1:11" ht="42" customHeight="1">
      <c r="A9646" t="s">
        <v>18685</v>
      </c>
      <c r="B9646" t="s">
        <v>18685</v>
      </c>
      <c r="C9646" t="s">
        <v>40</v>
      </c>
      <c r="D9646" t="s">
        <v>41</v>
      </c>
      <c r="E9646" s="6">
        <v>-28748</v>
      </c>
      <c r="F9646" t="s">
        <v>634</v>
      </c>
      <c r="G9646" t="s">
        <v>88</v>
      </c>
      <c r="H9646" t="s">
        <v>21</v>
      </c>
      <c r="I9646" t="s">
        <v>18705</v>
      </c>
      <c r="J9646" t="str">
        <f>HYPERLINK("https://www.boe.es/gazeta/dias/1821/04/15/pdfs/GMD-1821-107.pdf#page=4","Abrir facsímil")</f>
        <v>Abrir facsímil</v>
      </c>
      <c r="K9646" t="s">
        <v>23</v>
      </c>
    </row>
    <row r="9647" spans="1:11" ht="42" customHeight="1">
      <c r="A9647" t="s">
        <v>18685</v>
      </c>
      <c r="B9647" t="s">
        <v>18685</v>
      </c>
      <c r="C9647" t="s">
        <v>40</v>
      </c>
      <c r="D9647" t="s">
        <v>41</v>
      </c>
      <c r="E9647" s="6">
        <v>-28747</v>
      </c>
      <c r="F9647" t="s">
        <v>1016</v>
      </c>
      <c r="G9647" t="s">
        <v>20</v>
      </c>
      <c r="H9647" t="s">
        <v>21</v>
      </c>
      <c r="I9647" t="s">
        <v>18706</v>
      </c>
      <c r="J9647" t="str">
        <f>HYPERLINK("https://www.boe.es/gazeta/dias/1821/04/16/pdfs/GMD-1821-108.pdf#page=3","Abrir facsímil")</f>
        <v>Abrir facsímil</v>
      </c>
      <c r="K9647" t="s">
        <v>23</v>
      </c>
    </row>
    <row r="9648" spans="1:11" ht="42" customHeight="1">
      <c r="A9648" t="s">
        <v>18685</v>
      </c>
      <c r="B9648" t="s">
        <v>18685</v>
      </c>
      <c r="C9648" t="s">
        <v>40</v>
      </c>
      <c r="D9648" t="s">
        <v>41</v>
      </c>
      <c r="E9648" s="6">
        <v>-28746</v>
      </c>
      <c r="F9648" t="s">
        <v>687</v>
      </c>
      <c r="G9648" t="s">
        <v>29</v>
      </c>
      <c r="H9648" t="s">
        <v>21</v>
      </c>
      <c r="I9648" t="s">
        <v>18707</v>
      </c>
      <c r="J9648" t="str">
        <f>HYPERLINK("https://www.boe.es/gazeta/dias/1821/04/17/pdfs/GMD-1821-109.pdf#page=6","Abrir facsímil")</f>
        <v>Abrir facsímil</v>
      </c>
      <c r="K9648" t="s">
        <v>23</v>
      </c>
    </row>
    <row r="9649" spans="1:11" ht="42" customHeight="1">
      <c r="A9649" t="s">
        <v>18685</v>
      </c>
      <c r="B9649" t="s">
        <v>18685</v>
      </c>
      <c r="C9649" t="s">
        <v>40</v>
      </c>
      <c r="D9649" t="s">
        <v>41</v>
      </c>
      <c r="E9649" s="6">
        <v>-28745</v>
      </c>
      <c r="F9649" t="s">
        <v>1020</v>
      </c>
      <c r="G9649" t="s">
        <v>20</v>
      </c>
      <c r="H9649" t="s">
        <v>21</v>
      </c>
      <c r="I9649" t="s">
        <v>18708</v>
      </c>
      <c r="J9649" t="str">
        <f>HYPERLINK("https://www.boe.es/gazeta/dias/1821/04/18/pdfs/GMD-1821-110.pdf#page=3","Abrir facsímil")</f>
        <v>Abrir facsímil</v>
      </c>
      <c r="K9649" t="s">
        <v>23</v>
      </c>
    </row>
    <row r="9650" spans="1:11" ht="42" customHeight="1">
      <c r="A9650" t="s">
        <v>18685</v>
      </c>
      <c r="B9650" t="s">
        <v>18685</v>
      </c>
      <c r="C9650" t="s">
        <v>35</v>
      </c>
      <c r="D9650" t="s">
        <v>27</v>
      </c>
      <c r="E9650" s="6">
        <v>-28744</v>
      </c>
      <c r="F9650" t="s">
        <v>834</v>
      </c>
      <c r="G9650" t="s">
        <v>20</v>
      </c>
      <c r="H9650" t="s">
        <v>21</v>
      </c>
      <c r="I9650" t="s">
        <v>18709</v>
      </c>
      <c r="J9650" t="str">
        <f>HYPERLINK("https://www.boe.es/gazeta/dias/1821/04/19/pdfs/GMD-1821-111.pdf#page=3","Abrir facsímil")</f>
        <v>Abrir facsímil</v>
      </c>
      <c r="K9650" t="s">
        <v>23</v>
      </c>
    </row>
    <row r="9651" spans="1:11" ht="42" customHeight="1">
      <c r="A9651" t="s">
        <v>18685</v>
      </c>
      <c r="B9651" t="s">
        <v>18685</v>
      </c>
      <c r="C9651" t="s">
        <v>40</v>
      </c>
      <c r="D9651" t="s">
        <v>41</v>
      </c>
      <c r="E9651" s="6">
        <v>-28744</v>
      </c>
      <c r="F9651" t="s">
        <v>834</v>
      </c>
      <c r="G9651" t="s">
        <v>88</v>
      </c>
      <c r="H9651" t="s">
        <v>21</v>
      </c>
      <c r="I9651" t="s">
        <v>18710</v>
      </c>
      <c r="J9651" t="str">
        <f>HYPERLINK("https://www.boe.es/gazeta/dias/1821/04/19/pdfs/GMD-1821-111.pdf#page=4","Abrir facsímil")</f>
        <v>Abrir facsímil</v>
      </c>
      <c r="K9651" t="s">
        <v>23</v>
      </c>
    </row>
    <row r="9652" spans="1:11" ht="42" customHeight="1">
      <c r="A9652" t="s">
        <v>18685</v>
      </c>
      <c r="B9652" t="s">
        <v>18685</v>
      </c>
      <c r="C9652" t="s">
        <v>40</v>
      </c>
      <c r="D9652" t="s">
        <v>41</v>
      </c>
      <c r="E9652" s="6">
        <v>-28740</v>
      </c>
      <c r="F9652" t="s">
        <v>2800</v>
      </c>
      <c r="G9652" t="s">
        <v>52</v>
      </c>
      <c r="H9652" t="s">
        <v>21</v>
      </c>
      <c r="I9652" t="s">
        <v>18711</v>
      </c>
      <c r="J9652" t="str">
        <f>HYPERLINK("https://www.boe.es/gazeta/dias/1821/04/23/pdfs/GMD-1821-115.pdf#page=2","Abrir facsímil")</f>
        <v>Abrir facsímil</v>
      </c>
      <c r="K9652" t="s">
        <v>23</v>
      </c>
    </row>
    <row r="9653" spans="1:11" ht="42" customHeight="1">
      <c r="A9653" t="s">
        <v>18685</v>
      </c>
      <c r="B9653" t="s">
        <v>18685</v>
      </c>
      <c r="C9653" t="s">
        <v>35</v>
      </c>
      <c r="D9653" t="s">
        <v>27</v>
      </c>
      <c r="E9653" s="6">
        <v>-28740</v>
      </c>
      <c r="F9653" t="s">
        <v>2800</v>
      </c>
      <c r="G9653" t="s">
        <v>20</v>
      </c>
      <c r="H9653" t="s">
        <v>21</v>
      </c>
      <c r="I9653" t="s">
        <v>18712</v>
      </c>
      <c r="J9653" t="str">
        <f>HYPERLINK("https://www.boe.es/gazeta/dias/1821/04/23/pdfs/GMD-1821-115.pdf#page=3","Abrir facsímil")</f>
        <v>Abrir facsímil</v>
      </c>
      <c r="K9653" t="s">
        <v>23</v>
      </c>
    </row>
    <row r="9654" spans="1:11" ht="42" customHeight="1">
      <c r="A9654" t="s">
        <v>18685</v>
      </c>
      <c r="B9654" t="s">
        <v>18685</v>
      </c>
      <c r="C9654" t="s">
        <v>114</v>
      </c>
      <c r="D9654" t="s">
        <v>27</v>
      </c>
      <c r="E9654" s="6">
        <v>-28737</v>
      </c>
      <c r="F9654" t="s">
        <v>732</v>
      </c>
      <c r="G9654" t="s">
        <v>52</v>
      </c>
      <c r="H9654" t="s">
        <v>21</v>
      </c>
      <c r="I9654" t="s">
        <v>18713</v>
      </c>
      <c r="J9654" t="str">
        <f>HYPERLINK("https://www.boe.es/gazeta/dias/1821/04/26/pdfs/GMD-1821-118.pdf#page=2","Abrir facsímil")</f>
        <v>Abrir facsímil</v>
      </c>
      <c r="K9654" t="s">
        <v>23</v>
      </c>
    </row>
    <row r="9655" spans="1:11" ht="42" customHeight="1">
      <c r="A9655" t="s">
        <v>18685</v>
      </c>
      <c r="B9655" t="s">
        <v>18685</v>
      </c>
      <c r="C9655" t="s">
        <v>17</v>
      </c>
      <c r="D9655" t="s">
        <v>18</v>
      </c>
      <c r="E9655" s="6">
        <v>-28736</v>
      </c>
      <c r="F9655" t="s">
        <v>464</v>
      </c>
      <c r="G9655" t="s">
        <v>52</v>
      </c>
      <c r="H9655" t="s">
        <v>21</v>
      </c>
      <c r="I9655" t="s">
        <v>18714</v>
      </c>
      <c r="J9655" t="str">
        <f>HYPERLINK("https://www.boe.es/gazeta/dias/1821/04/27/pdfs/GMD-1821-119.pdf#page=2","Abrir facsímil")</f>
        <v>Abrir facsímil</v>
      </c>
      <c r="K9655" t="s">
        <v>23</v>
      </c>
    </row>
    <row r="9656" spans="1:11" ht="42" customHeight="1">
      <c r="A9656" t="s">
        <v>18685</v>
      </c>
      <c r="B9656" t="s">
        <v>18685</v>
      </c>
      <c r="C9656" t="s">
        <v>26</v>
      </c>
      <c r="D9656" t="s">
        <v>27</v>
      </c>
      <c r="E9656" s="6">
        <v>-28734</v>
      </c>
      <c r="F9656" t="s">
        <v>1553</v>
      </c>
      <c r="G9656" t="s">
        <v>88</v>
      </c>
      <c r="H9656" t="s">
        <v>21</v>
      </c>
      <c r="I9656" t="s">
        <v>18715</v>
      </c>
      <c r="J9656" t="str">
        <f>HYPERLINK("https://www.boe.es/gazeta/dias/1821/04/29/pdfs/GMD-1821-121.pdf#page=4","Abrir facsímil")</f>
        <v>Abrir facsímil</v>
      </c>
      <c r="K9656" t="s">
        <v>23</v>
      </c>
    </row>
    <row r="9657" spans="1:11" ht="42" customHeight="1">
      <c r="A9657" t="s">
        <v>18685</v>
      </c>
      <c r="B9657" t="s">
        <v>18685</v>
      </c>
      <c r="C9657" t="s">
        <v>17</v>
      </c>
      <c r="D9657" t="s">
        <v>18</v>
      </c>
      <c r="E9657" s="6">
        <v>-28733</v>
      </c>
      <c r="F9657" t="s">
        <v>1033</v>
      </c>
      <c r="G9657" t="s">
        <v>52</v>
      </c>
      <c r="H9657" t="s">
        <v>21</v>
      </c>
      <c r="I9657" t="s">
        <v>18716</v>
      </c>
      <c r="J9657" t="str">
        <f>HYPERLINK("https://www.boe.es/gazeta/dias/1821/04/30/pdfs/GMD-1821-122.pdf#page=2","Abrir facsímil")</f>
        <v>Abrir facsímil</v>
      </c>
      <c r="K9657" t="s">
        <v>23</v>
      </c>
    </row>
    <row r="9658" spans="1:11" ht="42" customHeight="1">
      <c r="A9658" t="s">
        <v>18685</v>
      </c>
      <c r="B9658" t="s">
        <v>18685</v>
      </c>
      <c r="C9658" t="s">
        <v>40</v>
      </c>
      <c r="D9658" t="s">
        <v>41</v>
      </c>
      <c r="E9658" s="6">
        <v>-28729</v>
      </c>
      <c r="F9658" t="s">
        <v>838</v>
      </c>
      <c r="G9658" t="s">
        <v>88</v>
      </c>
      <c r="H9658" t="s">
        <v>21</v>
      </c>
      <c r="I9658" t="s">
        <v>18717</v>
      </c>
      <c r="J9658" t="str">
        <f>HYPERLINK("https://www.boe.es/gazeta/dias/1821/05/04/pdfs/GMD-1821-126.pdf#page=4","Abrir facsímil")</f>
        <v>Abrir facsímil</v>
      </c>
      <c r="K9658" t="s">
        <v>23</v>
      </c>
    </row>
    <row r="9659" spans="1:11" ht="42" customHeight="1">
      <c r="A9659" t="s">
        <v>18685</v>
      </c>
      <c r="B9659" t="s">
        <v>18685</v>
      </c>
      <c r="C9659" t="s">
        <v>17</v>
      </c>
      <c r="D9659" t="s">
        <v>18</v>
      </c>
      <c r="E9659" s="6">
        <v>-28725</v>
      </c>
      <c r="F9659" t="s">
        <v>440</v>
      </c>
      <c r="G9659" t="s">
        <v>20</v>
      </c>
      <c r="H9659" t="s">
        <v>21</v>
      </c>
      <c r="I9659" t="s">
        <v>18718</v>
      </c>
      <c r="J9659" t="str">
        <f>HYPERLINK("https://www.boe.es/gazeta/dias/1821/05/08/pdfs/GMD-1821-130.pdf#page=3","Abrir facsímil")</f>
        <v>Abrir facsímil</v>
      </c>
      <c r="K9659" t="s">
        <v>23</v>
      </c>
    </row>
    <row r="9660" spans="1:11" ht="42" customHeight="1">
      <c r="A9660" t="s">
        <v>18685</v>
      </c>
      <c r="B9660" t="s">
        <v>18685</v>
      </c>
      <c r="C9660" t="s">
        <v>40</v>
      </c>
      <c r="D9660" t="s">
        <v>41</v>
      </c>
      <c r="E9660" s="6">
        <v>-28723</v>
      </c>
      <c r="F9660" t="s">
        <v>840</v>
      </c>
      <c r="G9660" t="s">
        <v>52</v>
      </c>
      <c r="H9660" t="s">
        <v>21</v>
      </c>
      <c r="I9660" t="s">
        <v>18719</v>
      </c>
      <c r="J9660" t="str">
        <f>HYPERLINK("https://www.boe.es/gazeta/dias/1821/05/10/pdfs/GMD-1821-132.pdf#page=2","Abrir facsímil")</f>
        <v>Abrir facsímil</v>
      </c>
      <c r="K9660" t="s">
        <v>23</v>
      </c>
    </row>
    <row r="9661" spans="1:11" ht="42" customHeight="1">
      <c r="A9661" t="s">
        <v>18685</v>
      </c>
      <c r="B9661" t="s">
        <v>18685</v>
      </c>
      <c r="C9661" t="s">
        <v>35</v>
      </c>
      <c r="D9661" t="s">
        <v>27</v>
      </c>
      <c r="E9661" s="6">
        <v>-28721</v>
      </c>
      <c r="F9661" t="s">
        <v>92</v>
      </c>
      <c r="G9661" t="s">
        <v>52</v>
      </c>
      <c r="H9661" t="s">
        <v>21</v>
      </c>
      <c r="I9661" t="s">
        <v>18720</v>
      </c>
      <c r="J9661" t="str">
        <f>HYPERLINK("https://www.boe.es/gazeta/dias/1821/05/12/pdfs/GMD-1821-134.pdf#page=2","Abrir facsímil")</f>
        <v>Abrir facsímil</v>
      </c>
      <c r="K9661" t="s">
        <v>23</v>
      </c>
    </row>
    <row r="9662" spans="1:11" ht="42" customHeight="1">
      <c r="A9662" t="s">
        <v>18685</v>
      </c>
      <c r="B9662" t="s">
        <v>18685</v>
      </c>
      <c r="C9662" t="s">
        <v>40</v>
      </c>
      <c r="D9662" t="s">
        <v>41</v>
      </c>
      <c r="E9662" s="6">
        <v>-28720</v>
      </c>
      <c r="F9662" t="s">
        <v>492</v>
      </c>
      <c r="G9662" t="s">
        <v>52</v>
      </c>
      <c r="H9662" t="s">
        <v>21</v>
      </c>
      <c r="I9662" t="s">
        <v>18721</v>
      </c>
      <c r="J9662" t="str">
        <f>HYPERLINK("https://www.boe.es/gazeta/dias/1821/05/13/pdfs/GMD-1821-135.pdf#page=2","Abrir facsímil")</f>
        <v>Abrir facsímil</v>
      </c>
      <c r="K9662" t="s">
        <v>23</v>
      </c>
    </row>
    <row r="9663" spans="1:11" ht="42" customHeight="1">
      <c r="A9663" t="s">
        <v>18685</v>
      </c>
      <c r="B9663" t="s">
        <v>18685</v>
      </c>
      <c r="C9663" t="s">
        <v>26</v>
      </c>
      <c r="D9663" t="s">
        <v>27</v>
      </c>
      <c r="E9663" s="6">
        <v>-28720</v>
      </c>
      <c r="F9663" t="s">
        <v>492</v>
      </c>
      <c r="G9663" t="s">
        <v>20</v>
      </c>
      <c r="H9663" t="s">
        <v>21</v>
      </c>
      <c r="I9663" t="s">
        <v>18722</v>
      </c>
      <c r="J9663" t="str">
        <f>HYPERLINK("https://www.boe.es/gazeta/dias/1821/05/13/pdfs/GMD-1821-135.pdf#page=3","Abrir facsímil")</f>
        <v>Abrir facsímil</v>
      </c>
      <c r="K9663" t="s">
        <v>23</v>
      </c>
    </row>
    <row r="9664" spans="1:11" ht="42" customHeight="1">
      <c r="A9664" t="s">
        <v>18685</v>
      </c>
      <c r="B9664" t="s">
        <v>18685</v>
      </c>
      <c r="C9664" t="s">
        <v>40</v>
      </c>
      <c r="D9664" t="s">
        <v>41</v>
      </c>
      <c r="E9664" s="6">
        <v>-28718</v>
      </c>
      <c r="F9664" t="s">
        <v>583</v>
      </c>
      <c r="G9664" t="s">
        <v>20</v>
      </c>
      <c r="H9664" t="s">
        <v>21</v>
      </c>
      <c r="I9664" t="s">
        <v>18723</v>
      </c>
      <c r="J9664" t="str">
        <f>HYPERLINK("https://www.boe.es/gazeta/dias/1821/05/15/pdfs/GMD-1821-137.pdf#page=3","Abrir facsímil")</f>
        <v>Abrir facsímil</v>
      </c>
      <c r="K9664" t="s">
        <v>23</v>
      </c>
    </row>
    <row r="9665" spans="1:11" ht="42" customHeight="1">
      <c r="A9665" t="s">
        <v>18685</v>
      </c>
      <c r="B9665" t="s">
        <v>18685</v>
      </c>
      <c r="C9665" t="s">
        <v>35</v>
      </c>
      <c r="D9665" t="s">
        <v>27</v>
      </c>
      <c r="E9665" s="6">
        <v>-28717</v>
      </c>
      <c r="F9665" t="s">
        <v>1044</v>
      </c>
      <c r="G9665" t="s">
        <v>20</v>
      </c>
      <c r="H9665" t="s">
        <v>21</v>
      </c>
      <c r="I9665" t="s">
        <v>18724</v>
      </c>
      <c r="J9665" t="str">
        <f>HYPERLINK("https://www.boe.es/gazeta/dias/1821/05/16/pdfs/GMD-1821-138.pdf#page=3","Abrir facsímil")</f>
        <v>Abrir facsímil</v>
      </c>
      <c r="K9665" t="s">
        <v>23</v>
      </c>
    </row>
    <row r="9666" spans="1:11" ht="42" customHeight="1">
      <c r="A9666" t="s">
        <v>18685</v>
      </c>
      <c r="B9666" t="s">
        <v>18685</v>
      </c>
      <c r="C9666" t="s">
        <v>35</v>
      </c>
      <c r="D9666" t="s">
        <v>27</v>
      </c>
      <c r="E9666" s="6">
        <v>-28711</v>
      </c>
      <c r="F9666" t="s">
        <v>1048</v>
      </c>
      <c r="G9666" t="s">
        <v>52</v>
      </c>
      <c r="H9666" t="s">
        <v>21</v>
      </c>
      <c r="I9666" t="s">
        <v>18725</v>
      </c>
      <c r="J9666" t="str">
        <f>HYPERLINK("https://www.boe.es/gazeta/dias/1821/05/22/pdfs/GMD-1821-144.pdf#page=2","Abrir facsímil")</f>
        <v>Abrir facsímil</v>
      </c>
      <c r="K9666" t="s">
        <v>23</v>
      </c>
    </row>
    <row r="9667" spans="1:11" ht="42" customHeight="1">
      <c r="A9667" t="s">
        <v>18685</v>
      </c>
      <c r="B9667" t="s">
        <v>18685</v>
      </c>
      <c r="C9667" t="s">
        <v>17</v>
      </c>
      <c r="D9667" t="s">
        <v>18</v>
      </c>
      <c r="E9667" s="6">
        <v>-28711</v>
      </c>
      <c r="F9667" t="s">
        <v>1048</v>
      </c>
      <c r="G9667" t="s">
        <v>20</v>
      </c>
      <c r="H9667" t="s">
        <v>21</v>
      </c>
      <c r="I9667" t="s">
        <v>18726</v>
      </c>
      <c r="J9667" t="str">
        <f>HYPERLINK("https://www.boe.es/gazeta/dias/1821/05/22/pdfs/GMD-1821-144.pdf#page=3","Abrir facsímil")</f>
        <v>Abrir facsímil</v>
      </c>
      <c r="K9667" t="s">
        <v>23</v>
      </c>
    </row>
    <row r="9668" spans="1:11" ht="42" customHeight="1">
      <c r="A9668" t="s">
        <v>18685</v>
      </c>
      <c r="B9668" t="s">
        <v>18685</v>
      </c>
      <c r="C9668" t="s">
        <v>35</v>
      </c>
      <c r="D9668" t="s">
        <v>27</v>
      </c>
      <c r="E9668" s="6">
        <v>-28710</v>
      </c>
      <c r="F9668" t="s">
        <v>375</v>
      </c>
      <c r="G9668" t="s">
        <v>52</v>
      </c>
      <c r="H9668" t="s">
        <v>21</v>
      </c>
      <c r="I9668" t="s">
        <v>18727</v>
      </c>
      <c r="J9668" t="str">
        <f>HYPERLINK("https://www.boe.es/gazeta/dias/1821/05/23/pdfs/GMD-1821-145.pdf#page=2","Abrir facsímil")</f>
        <v>Abrir facsímil</v>
      </c>
      <c r="K9668" t="s">
        <v>23</v>
      </c>
    </row>
    <row r="9669" spans="1:11" ht="42" customHeight="1">
      <c r="A9669" t="s">
        <v>18685</v>
      </c>
      <c r="B9669" t="s">
        <v>18685</v>
      </c>
      <c r="C9669" t="s">
        <v>26</v>
      </c>
      <c r="D9669" t="s">
        <v>27</v>
      </c>
      <c r="E9669" s="6">
        <v>-28708</v>
      </c>
      <c r="F9669" t="s">
        <v>528</v>
      </c>
      <c r="G9669" t="s">
        <v>20</v>
      </c>
      <c r="H9669" t="s">
        <v>21</v>
      </c>
      <c r="I9669" t="s">
        <v>18728</v>
      </c>
      <c r="J9669" t="str">
        <f>HYPERLINK("https://www.boe.es/gazeta/dias/1821/05/25/pdfs/GMD-1821-147.pdf#page=3","Abrir facsímil")</f>
        <v>Abrir facsímil</v>
      </c>
      <c r="K9669" t="s">
        <v>23</v>
      </c>
    </row>
    <row r="9670" spans="1:11" ht="42" customHeight="1">
      <c r="A9670" t="s">
        <v>18685</v>
      </c>
      <c r="B9670" t="s">
        <v>18685</v>
      </c>
      <c r="C9670" t="s">
        <v>35</v>
      </c>
      <c r="D9670" t="s">
        <v>27</v>
      </c>
      <c r="E9670" s="6">
        <v>-28707</v>
      </c>
      <c r="F9670" t="s">
        <v>495</v>
      </c>
      <c r="G9670" t="s">
        <v>20</v>
      </c>
      <c r="H9670" t="s">
        <v>21</v>
      </c>
      <c r="I9670" t="s">
        <v>18729</v>
      </c>
      <c r="J9670" t="str">
        <f>HYPERLINK("https://www.boe.es/gazeta/dias/1821/05/26/pdfs/GMD-1821-148.pdf#page=3","Abrir facsímil")</f>
        <v>Abrir facsímil</v>
      </c>
      <c r="K9670" t="s">
        <v>23</v>
      </c>
    </row>
    <row r="9671" spans="1:11" ht="42" customHeight="1">
      <c r="A9671" t="s">
        <v>18685</v>
      </c>
      <c r="B9671" t="s">
        <v>18685</v>
      </c>
      <c r="C9671" t="s">
        <v>35</v>
      </c>
      <c r="D9671" t="s">
        <v>27</v>
      </c>
      <c r="E9671" s="6">
        <v>-28706</v>
      </c>
      <c r="F9671" t="s">
        <v>4791</v>
      </c>
      <c r="G9671" t="s">
        <v>52</v>
      </c>
      <c r="H9671" t="s">
        <v>21</v>
      </c>
      <c r="I9671" t="s">
        <v>18730</v>
      </c>
      <c r="J9671" t="str">
        <f>HYPERLINK("https://www.boe.es/gazeta/dias/1821/05/27/pdfs/GMD-1821-149.pdf#page=2","Abrir facsímil")</f>
        <v>Abrir facsímil</v>
      </c>
      <c r="K9671" t="s">
        <v>23</v>
      </c>
    </row>
    <row r="9672" spans="1:11" ht="42" customHeight="1">
      <c r="A9672" t="s">
        <v>18685</v>
      </c>
      <c r="B9672" t="s">
        <v>18685</v>
      </c>
      <c r="C9672" t="s">
        <v>35</v>
      </c>
      <c r="D9672" t="s">
        <v>27</v>
      </c>
      <c r="E9672" s="6">
        <v>-28705</v>
      </c>
      <c r="F9672" t="s">
        <v>1844</v>
      </c>
      <c r="G9672" t="s">
        <v>52</v>
      </c>
      <c r="H9672" t="s">
        <v>21</v>
      </c>
      <c r="I9672" t="s">
        <v>18731</v>
      </c>
      <c r="J9672" t="str">
        <f>HYPERLINK("https://www.boe.es/gazeta/dias/1821/05/28/pdfs/GMD-1821-150.pdf#page=2","Abrir facsímil")</f>
        <v>Abrir facsímil</v>
      </c>
      <c r="K9672" t="s">
        <v>23</v>
      </c>
    </row>
    <row r="9673" spans="1:11" ht="42" customHeight="1">
      <c r="A9673" t="s">
        <v>18685</v>
      </c>
      <c r="B9673" t="s">
        <v>18685</v>
      </c>
      <c r="C9673" t="s">
        <v>17</v>
      </c>
      <c r="D9673" t="s">
        <v>18</v>
      </c>
      <c r="E9673" s="6">
        <v>-28704</v>
      </c>
      <c r="F9673" t="s">
        <v>1050</v>
      </c>
      <c r="G9673" t="s">
        <v>52</v>
      </c>
      <c r="H9673" t="s">
        <v>21</v>
      </c>
      <c r="I9673" t="s">
        <v>18732</v>
      </c>
      <c r="J9673" t="str">
        <f>HYPERLINK("https://www.boe.es/gazeta/dias/1821/05/29/pdfs/GMD-1821-151.pdf#page=2","Abrir facsímil")</f>
        <v>Abrir facsímil</v>
      </c>
      <c r="K9673" t="s">
        <v>23</v>
      </c>
    </row>
    <row r="9674" spans="1:11" ht="42" customHeight="1">
      <c r="A9674" t="s">
        <v>18685</v>
      </c>
      <c r="B9674" t="s">
        <v>18685</v>
      </c>
      <c r="C9674" t="s">
        <v>35</v>
      </c>
      <c r="D9674" t="s">
        <v>27</v>
      </c>
      <c r="E9674" s="6">
        <v>-28703</v>
      </c>
      <c r="F9674" t="s">
        <v>231</v>
      </c>
      <c r="G9674" t="s">
        <v>52</v>
      </c>
      <c r="H9674" t="s">
        <v>21</v>
      </c>
      <c r="I9674" t="s">
        <v>18733</v>
      </c>
      <c r="J9674" t="str">
        <f>HYPERLINK("https://www.boe.es/gazeta/dias/1821/05/30/pdfs/GMD-1821-152.pdf#page=2","Abrir facsímil")</f>
        <v>Abrir facsímil</v>
      </c>
      <c r="K9674" t="s">
        <v>23</v>
      </c>
    </row>
    <row r="9675" spans="1:11" ht="42" customHeight="1">
      <c r="A9675" t="s">
        <v>18685</v>
      </c>
      <c r="B9675" t="s">
        <v>18685</v>
      </c>
      <c r="C9675" t="s">
        <v>17</v>
      </c>
      <c r="D9675" t="s">
        <v>18</v>
      </c>
      <c r="E9675" s="6">
        <v>-28703</v>
      </c>
      <c r="F9675" t="s">
        <v>231</v>
      </c>
      <c r="G9675" t="s">
        <v>88</v>
      </c>
      <c r="H9675" t="s">
        <v>21</v>
      </c>
      <c r="I9675" t="s">
        <v>18734</v>
      </c>
      <c r="J9675" t="str">
        <f>HYPERLINK("https://www.boe.es/gazeta/dias/1821/05/30/pdfs/GMD-1821-152.pdf#page=4","Abrir facsímil")</f>
        <v>Abrir facsímil</v>
      </c>
      <c r="K9675" t="s">
        <v>23</v>
      </c>
    </row>
    <row r="9676" spans="1:11" ht="42" customHeight="1">
      <c r="A9676" t="s">
        <v>18685</v>
      </c>
      <c r="B9676" t="s">
        <v>18685</v>
      </c>
      <c r="C9676" t="s">
        <v>17</v>
      </c>
      <c r="D9676" t="s">
        <v>18</v>
      </c>
      <c r="E9676" s="6">
        <v>-28702</v>
      </c>
      <c r="F9676" t="s">
        <v>1176</v>
      </c>
      <c r="G9676" t="s">
        <v>1177</v>
      </c>
      <c r="H9676" t="s">
        <v>21</v>
      </c>
      <c r="I9676" t="s">
        <v>18735</v>
      </c>
      <c r="J9676" t="str">
        <f>HYPERLINK("https://www.boe.es/gazeta/dias/1821/05/31/pdfs/GMD-1821-153.pdf#page=2","Abrir facsímil")</f>
        <v>Abrir facsímil</v>
      </c>
      <c r="K9676" t="s">
        <v>23</v>
      </c>
    </row>
    <row r="9677" spans="1:11" ht="42" customHeight="1">
      <c r="A9677" t="s">
        <v>18685</v>
      </c>
      <c r="B9677" t="s">
        <v>18685</v>
      </c>
      <c r="C9677" t="s">
        <v>494</v>
      </c>
      <c r="D9677" t="s">
        <v>18</v>
      </c>
      <c r="E9677" s="6">
        <v>-28701</v>
      </c>
      <c r="F9677" t="s">
        <v>202</v>
      </c>
      <c r="G9677" t="s">
        <v>20</v>
      </c>
      <c r="H9677" t="s">
        <v>21</v>
      </c>
      <c r="I9677" t="s">
        <v>18736</v>
      </c>
      <c r="J9677" t="str">
        <f>HYPERLINK("https://www.boe.es/gazeta/dias/1821/06/01/pdfs/GMD-1821-154.pdf#page=3","Abrir facsímil")</f>
        <v>Abrir facsímil</v>
      </c>
      <c r="K9677" t="s">
        <v>23</v>
      </c>
    </row>
    <row r="9678" spans="1:11" ht="42" customHeight="1">
      <c r="A9678" t="s">
        <v>18685</v>
      </c>
      <c r="B9678" t="s">
        <v>18685</v>
      </c>
      <c r="C9678" t="s">
        <v>40</v>
      </c>
      <c r="D9678" t="s">
        <v>41</v>
      </c>
      <c r="E9678" s="6">
        <v>-28700</v>
      </c>
      <c r="F9678" t="s">
        <v>701</v>
      </c>
      <c r="G9678" t="s">
        <v>52</v>
      </c>
      <c r="H9678" t="s">
        <v>21</v>
      </c>
      <c r="I9678" t="s">
        <v>18737</v>
      </c>
      <c r="J9678" t="str">
        <f>HYPERLINK("https://www.boe.es/gazeta/dias/1821/06/02/pdfs/GMD-1821-155.pdf#page=2","Abrir facsímil")</f>
        <v>Abrir facsímil</v>
      </c>
      <c r="K9678" t="s">
        <v>23</v>
      </c>
    </row>
    <row r="9679" spans="1:11" ht="42" customHeight="1">
      <c r="A9679" t="s">
        <v>18685</v>
      </c>
      <c r="B9679" t="s">
        <v>18685</v>
      </c>
      <c r="C9679" t="s">
        <v>40</v>
      </c>
      <c r="D9679" t="s">
        <v>41</v>
      </c>
      <c r="E9679" s="6">
        <v>-28700</v>
      </c>
      <c r="F9679" t="s">
        <v>701</v>
      </c>
      <c r="G9679" t="s">
        <v>20</v>
      </c>
      <c r="H9679" t="s">
        <v>21</v>
      </c>
      <c r="I9679" t="s">
        <v>18738</v>
      </c>
      <c r="J9679" t="str">
        <f>HYPERLINK("https://www.boe.es/gazeta/dias/1821/06/02/pdfs/GMD-1821-155.pdf#page=3","Abrir facsímil")</f>
        <v>Abrir facsímil</v>
      </c>
      <c r="K9679" t="s">
        <v>23</v>
      </c>
    </row>
    <row r="9680" spans="1:11" ht="42" customHeight="1">
      <c r="A9680" t="s">
        <v>18685</v>
      </c>
      <c r="B9680" t="s">
        <v>18685</v>
      </c>
      <c r="C9680" t="s">
        <v>26</v>
      </c>
      <c r="D9680" t="s">
        <v>27</v>
      </c>
      <c r="E9680" s="6">
        <v>-28698</v>
      </c>
      <c r="F9680" t="s">
        <v>2067</v>
      </c>
      <c r="G9680" t="s">
        <v>88</v>
      </c>
      <c r="H9680" t="s">
        <v>21</v>
      </c>
      <c r="I9680" t="s">
        <v>18739</v>
      </c>
      <c r="J9680" t="str">
        <f>HYPERLINK("https://www.boe.es/gazeta/dias/1821/06/04/pdfs/GMD-1821-157.pdf#page=4","Abrir facsímil")</f>
        <v>Abrir facsímil</v>
      </c>
      <c r="K9680" t="s">
        <v>23</v>
      </c>
    </row>
    <row r="9681" spans="1:11" ht="42" customHeight="1">
      <c r="A9681" t="s">
        <v>18685</v>
      </c>
      <c r="B9681" t="s">
        <v>18685</v>
      </c>
      <c r="C9681" t="s">
        <v>35</v>
      </c>
      <c r="D9681" t="s">
        <v>27</v>
      </c>
      <c r="E9681" s="6">
        <v>-28697</v>
      </c>
      <c r="F9681" t="s">
        <v>166</v>
      </c>
      <c r="G9681" t="s">
        <v>20</v>
      </c>
      <c r="H9681" t="s">
        <v>21</v>
      </c>
      <c r="I9681" t="s">
        <v>18740</v>
      </c>
      <c r="J9681" t="str">
        <f>HYPERLINK("https://www.boe.es/gazeta/dias/1821/06/05/pdfs/GMD-1821-158.pdf#page=3","Abrir facsímil")</f>
        <v>Abrir facsímil</v>
      </c>
      <c r="K9681" t="s">
        <v>23</v>
      </c>
    </row>
    <row r="9682" spans="1:11" ht="42" customHeight="1">
      <c r="A9682" t="s">
        <v>18685</v>
      </c>
      <c r="B9682" t="s">
        <v>18685</v>
      </c>
      <c r="C9682" t="s">
        <v>70</v>
      </c>
      <c r="D9682" t="s">
        <v>27</v>
      </c>
      <c r="E9682" s="6">
        <v>-28696</v>
      </c>
      <c r="F9682" t="s">
        <v>497</v>
      </c>
      <c r="G9682" t="s">
        <v>52</v>
      </c>
      <c r="H9682" t="s">
        <v>21</v>
      </c>
      <c r="I9682" t="s">
        <v>18741</v>
      </c>
      <c r="J9682" t="str">
        <f>HYPERLINK("https://www.boe.es/gazeta/dias/1821/06/06/pdfs/GMD-1821-159.pdf#page=2","Abrir facsímil")</f>
        <v>Abrir facsímil</v>
      </c>
      <c r="K9682" t="s">
        <v>23</v>
      </c>
    </row>
    <row r="9683" spans="1:11" ht="42" customHeight="1">
      <c r="A9683" t="s">
        <v>18685</v>
      </c>
      <c r="B9683" t="s">
        <v>18685</v>
      </c>
      <c r="C9683" t="s">
        <v>40</v>
      </c>
      <c r="D9683" t="s">
        <v>41</v>
      </c>
      <c r="E9683" s="6">
        <v>-28691</v>
      </c>
      <c r="F9683" t="s">
        <v>716</v>
      </c>
      <c r="G9683" t="s">
        <v>20</v>
      </c>
      <c r="H9683" t="s">
        <v>21</v>
      </c>
      <c r="I9683" t="s">
        <v>18742</v>
      </c>
      <c r="J9683" t="str">
        <f>HYPERLINK("https://www.boe.es/gazeta/dias/1821/06/11/pdfs/GMD-1821-164.pdf#page=3","Abrir facsímil")</f>
        <v>Abrir facsímil</v>
      </c>
      <c r="K9683" t="s">
        <v>23</v>
      </c>
    </row>
    <row r="9684" spans="1:11" ht="42" customHeight="1">
      <c r="A9684" t="s">
        <v>18685</v>
      </c>
      <c r="B9684" t="s">
        <v>18685</v>
      </c>
      <c r="C9684" t="s">
        <v>35</v>
      </c>
      <c r="D9684" t="s">
        <v>27</v>
      </c>
      <c r="E9684" s="6">
        <v>-28690</v>
      </c>
      <c r="F9684" t="s">
        <v>846</v>
      </c>
      <c r="G9684" t="s">
        <v>847</v>
      </c>
      <c r="H9684" t="s">
        <v>21</v>
      </c>
      <c r="I9684" t="s">
        <v>18743</v>
      </c>
      <c r="J9684" t="str">
        <f>HYPERLINK("https://www.boe.es/gazeta/dias/1821/06/12/pdfs/GMD-1821-165.pdf#page=2","Abrir facsímil")</f>
        <v>Abrir facsímil</v>
      </c>
      <c r="K9684" t="s">
        <v>23</v>
      </c>
    </row>
    <row r="9685" spans="1:11" ht="42" customHeight="1">
      <c r="A9685" t="s">
        <v>18685</v>
      </c>
      <c r="B9685" t="s">
        <v>18685</v>
      </c>
      <c r="C9685" t="s">
        <v>26</v>
      </c>
      <c r="D9685" t="s">
        <v>27</v>
      </c>
      <c r="E9685" s="6">
        <v>-28689</v>
      </c>
      <c r="F9685" t="s">
        <v>194</v>
      </c>
      <c r="G9685" t="s">
        <v>20</v>
      </c>
      <c r="H9685" t="s">
        <v>21</v>
      </c>
      <c r="I9685" t="s">
        <v>18744</v>
      </c>
      <c r="J9685" t="str">
        <f>HYPERLINK("https://www.boe.es/gazeta/dias/1821/06/13/pdfs/GMD-1821-166.pdf#page=3","Abrir facsímil")</f>
        <v>Abrir facsímil</v>
      </c>
      <c r="K9685" t="s">
        <v>23</v>
      </c>
    </row>
    <row r="9686" spans="1:11" ht="42" customHeight="1">
      <c r="A9686" t="s">
        <v>18685</v>
      </c>
      <c r="B9686" t="s">
        <v>18685</v>
      </c>
      <c r="C9686" t="s">
        <v>174</v>
      </c>
      <c r="D9686" t="s">
        <v>27</v>
      </c>
      <c r="E9686" s="6">
        <v>-28687</v>
      </c>
      <c r="F9686" t="s">
        <v>851</v>
      </c>
      <c r="G9686" t="s">
        <v>88</v>
      </c>
      <c r="H9686" t="s">
        <v>21</v>
      </c>
      <c r="I9686" t="s">
        <v>18745</v>
      </c>
      <c r="J9686" t="str">
        <f>HYPERLINK("https://www.boe.es/gazeta/dias/1821/06/15/pdfs/GMD-1821-168.pdf#page=4","Abrir facsímil")</f>
        <v>Abrir facsímil</v>
      </c>
      <c r="K9686" t="s">
        <v>23</v>
      </c>
    </row>
    <row r="9687" spans="1:11" ht="42" customHeight="1">
      <c r="A9687" t="s">
        <v>18685</v>
      </c>
      <c r="B9687" t="s">
        <v>18685</v>
      </c>
      <c r="C9687" t="s">
        <v>114</v>
      </c>
      <c r="D9687" t="s">
        <v>27</v>
      </c>
      <c r="E9687" s="6">
        <v>-28686</v>
      </c>
      <c r="F9687" t="s">
        <v>115</v>
      </c>
      <c r="G9687" t="s">
        <v>20</v>
      </c>
      <c r="H9687" t="s">
        <v>21</v>
      </c>
      <c r="I9687" t="s">
        <v>18746</v>
      </c>
      <c r="J9687" t="str">
        <f>HYPERLINK("https://www.boe.es/gazeta/dias/1821/06/16/pdfs/GMD-1821-169.pdf#page=3","Abrir facsímil")</f>
        <v>Abrir facsímil</v>
      </c>
      <c r="K9687" t="s">
        <v>23</v>
      </c>
    </row>
    <row r="9688" spans="1:11" ht="42" customHeight="1">
      <c r="A9688" t="s">
        <v>18685</v>
      </c>
      <c r="B9688" t="s">
        <v>18685</v>
      </c>
      <c r="C9688" t="s">
        <v>35</v>
      </c>
      <c r="D9688" t="s">
        <v>27</v>
      </c>
      <c r="E9688" s="6">
        <v>-28685</v>
      </c>
      <c r="F9688" t="s">
        <v>303</v>
      </c>
      <c r="G9688" t="s">
        <v>162</v>
      </c>
      <c r="H9688" t="s">
        <v>21</v>
      </c>
      <c r="I9688" t="s">
        <v>18747</v>
      </c>
      <c r="J9688" t="str">
        <f>HYPERLINK("https://www.boe.es/gazeta/dias/1821/06/17/pdfs/GMD-1821-170.pdf#page=5","Abrir facsímil")</f>
        <v>Abrir facsímil</v>
      </c>
      <c r="K9688" t="s">
        <v>23</v>
      </c>
    </row>
    <row r="9689" spans="1:11" ht="42" customHeight="1">
      <c r="A9689" t="s">
        <v>18685</v>
      </c>
      <c r="B9689" t="s">
        <v>18685</v>
      </c>
      <c r="C9689" t="s">
        <v>17</v>
      </c>
      <c r="D9689" t="s">
        <v>18</v>
      </c>
      <c r="E9689" s="6">
        <v>-28684</v>
      </c>
      <c r="F9689" t="s">
        <v>208</v>
      </c>
      <c r="G9689" t="s">
        <v>88</v>
      </c>
      <c r="H9689" t="s">
        <v>21</v>
      </c>
      <c r="I9689" t="s">
        <v>18748</v>
      </c>
      <c r="J9689" t="str">
        <f>HYPERLINK("https://www.boe.es/gazeta/dias/1821/06/18/pdfs/GMD-1821-171.pdf#page=4","Abrir facsímil")</f>
        <v>Abrir facsímil</v>
      </c>
      <c r="K9689" t="s">
        <v>23</v>
      </c>
    </row>
    <row r="9690" spans="1:11" ht="42" customHeight="1">
      <c r="A9690" t="s">
        <v>18685</v>
      </c>
      <c r="B9690" t="s">
        <v>18685</v>
      </c>
      <c r="C9690" t="s">
        <v>35</v>
      </c>
      <c r="D9690" t="s">
        <v>27</v>
      </c>
      <c r="E9690" s="6">
        <v>-28683</v>
      </c>
      <c r="F9690" t="s">
        <v>332</v>
      </c>
      <c r="G9690" t="s">
        <v>88</v>
      </c>
      <c r="H9690" t="s">
        <v>21</v>
      </c>
      <c r="I9690" t="s">
        <v>18749</v>
      </c>
      <c r="J9690" t="str">
        <f>HYPERLINK("https://www.boe.es/gazeta/dias/1821/06/19/pdfs/GMD-1821-172.pdf#page=4","Abrir facsímil")</f>
        <v>Abrir facsímil</v>
      </c>
      <c r="K9690" t="s">
        <v>23</v>
      </c>
    </row>
    <row r="9691" spans="1:11" ht="42" customHeight="1">
      <c r="A9691" t="s">
        <v>18685</v>
      </c>
      <c r="B9691" t="s">
        <v>18685</v>
      </c>
      <c r="C9691" t="s">
        <v>40</v>
      </c>
      <c r="D9691" t="s">
        <v>41</v>
      </c>
      <c r="E9691" s="6">
        <v>-28678</v>
      </c>
      <c r="F9691" t="s">
        <v>215</v>
      </c>
      <c r="G9691" t="s">
        <v>88</v>
      </c>
      <c r="H9691" t="s">
        <v>21</v>
      </c>
      <c r="I9691" t="s">
        <v>18750</v>
      </c>
      <c r="J9691" t="str">
        <f>HYPERLINK("https://www.boe.es/gazeta/dias/1821/06/24/pdfs/GMD-1821-177.pdf#page=4","Abrir facsímil")</f>
        <v>Abrir facsímil</v>
      </c>
      <c r="K9691" t="s">
        <v>23</v>
      </c>
    </row>
    <row r="9692" spans="1:11" ht="42" customHeight="1">
      <c r="A9692" t="s">
        <v>18685</v>
      </c>
      <c r="B9692" t="s">
        <v>18685</v>
      </c>
      <c r="C9692" t="s">
        <v>26</v>
      </c>
      <c r="D9692" t="s">
        <v>27</v>
      </c>
      <c r="E9692" s="6">
        <v>-28676</v>
      </c>
      <c r="F9692" t="s">
        <v>534</v>
      </c>
      <c r="G9692" t="s">
        <v>162</v>
      </c>
      <c r="H9692" t="s">
        <v>21</v>
      </c>
      <c r="I9692" t="s">
        <v>18751</v>
      </c>
      <c r="J9692" t="str">
        <f>HYPERLINK("https://www.boe.es/gazeta/dias/1821/06/26/pdfs/GMD-1821-179.pdf#page=5","Abrir facsímil")</f>
        <v>Abrir facsímil</v>
      </c>
      <c r="K9692" t="s">
        <v>23</v>
      </c>
    </row>
    <row r="9693" spans="1:11" ht="42" customHeight="1">
      <c r="A9693" t="s">
        <v>18685</v>
      </c>
      <c r="B9693" t="s">
        <v>18685</v>
      </c>
      <c r="C9693" t="s">
        <v>40</v>
      </c>
      <c r="D9693" t="s">
        <v>41</v>
      </c>
      <c r="E9693" s="6">
        <v>-28675</v>
      </c>
      <c r="F9693" t="s">
        <v>943</v>
      </c>
      <c r="G9693" t="s">
        <v>20</v>
      </c>
      <c r="H9693" t="s">
        <v>21</v>
      </c>
      <c r="I9693" t="s">
        <v>18752</v>
      </c>
      <c r="J9693" t="str">
        <f>HYPERLINK("https://www.boe.es/gazeta/dias/1821/06/27/pdfs/GMD-1821-180.pdf#page=3","Abrir facsímil")</f>
        <v>Abrir facsímil</v>
      </c>
      <c r="K9693" t="s">
        <v>23</v>
      </c>
    </row>
    <row r="9694" spans="1:11" ht="42" customHeight="1">
      <c r="A9694" t="s">
        <v>18685</v>
      </c>
      <c r="B9694" t="s">
        <v>18685</v>
      </c>
      <c r="C9694" t="s">
        <v>17</v>
      </c>
      <c r="D9694" t="s">
        <v>18</v>
      </c>
      <c r="E9694" s="6">
        <v>-28675</v>
      </c>
      <c r="F9694" t="s">
        <v>943</v>
      </c>
      <c r="G9694" t="s">
        <v>29</v>
      </c>
      <c r="H9694" t="s">
        <v>21</v>
      </c>
      <c r="I9694" t="s">
        <v>18753</v>
      </c>
      <c r="J9694" t="str">
        <f>HYPERLINK("https://www.boe.es/gazeta/dias/1821/06/27/pdfs/GMD-1821-180.pdf#page=6","Abrir facsímil")</f>
        <v>Abrir facsímil</v>
      </c>
      <c r="K9694" t="s">
        <v>23</v>
      </c>
    </row>
    <row r="9695" spans="1:11" ht="42" customHeight="1">
      <c r="A9695" t="s">
        <v>18685</v>
      </c>
      <c r="B9695" t="s">
        <v>18685</v>
      </c>
      <c r="C9695" t="s">
        <v>17</v>
      </c>
      <c r="D9695" t="s">
        <v>18</v>
      </c>
      <c r="E9695" s="6">
        <v>-28674</v>
      </c>
      <c r="F9695" t="s">
        <v>536</v>
      </c>
      <c r="G9695" t="s">
        <v>88</v>
      </c>
      <c r="H9695" t="s">
        <v>21</v>
      </c>
      <c r="I9695" t="s">
        <v>18754</v>
      </c>
      <c r="J9695" t="str">
        <f>HYPERLINK("https://www.boe.es/gazeta/dias/1821/06/28/pdfs/GMD-1821-181.pdf#page=4","Abrir facsímil")</f>
        <v>Abrir facsímil</v>
      </c>
      <c r="K9695" t="s">
        <v>23</v>
      </c>
    </row>
    <row r="9696" spans="1:11" ht="42" customHeight="1">
      <c r="A9696" t="s">
        <v>18685</v>
      </c>
      <c r="B9696" t="s">
        <v>18685</v>
      </c>
      <c r="C9696" t="s">
        <v>114</v>
      </c>
      <c r="D9696" t="s">
        <v>27</v>
      </c>
      <c r="E9696" s="6">
        <v>-28674</v>
      </c>
      <c r="F9696" t="s">
        <v>536</v>
      </c>
      <c r="G9696" t="s">
        <v>162</v>
      </c>
      <c r="H9696" t="s">
        <v>21</v>
      </c>
      <c r="I9696" t="s">
        <v>18755</v>
      </c>
      <c r="J9696" t="str">
        <f>HYPERLINK("https://www.boe.es/gazeta/dias/1821/06/28/pdfs/GMD-1821-181.pdf#page=5","Abrir facsímil")</f>
        <v>Abrir facsímil</v>
      </c>
      <c r="K9696" t="s">
        <v>23</v>
      </c>
    </row>
    <row r="9697" spans="1:11" ht="42" customHeight="1">
      <c r="A9697" t="s">
        <v>18685</v>
      </c>
      <c r="B9697" t="s">
        <v>18685</v>
      </c>
      <c r="C9697" t="s">
        <v>40</v>
      </c>
      <c r="D9697" t="s">
        <v>41</v>
      </c>
      <c r="E9697" s="6">
        <v>-28672</v>
      </c>
      <c r="F9697" t="s">
        <v>964</v>
      </c>
      <c r="G9697" t="s">
        <v>20</v>
      </c>
      <c r="H9697" t="s">
        <v>21</v>
      </c>
      <c r="I9697" t="s">
        <v>18756</v>
      </c>
      <c r="J9697" t="str">
        <f>HYPERLINK("https://www.boe.es/gazeta/dias/1821/06/30/pdfs/GMD-1821-183.pdf#page=3","Abrir facsímil")</f>
        <v>Abrir facsímil</v>
      </c>
      <c r="K9697" t="s">
        <v>23</v>
      </c>
    </row>
    <row r="9698" spans="1:11" ht="42" customHeight="1">
      <c r="A9698" t="s">
        <v>18685</v>
      </c>
      <c r="B9698" t="s">
        <v>18685</v>
      </c>
      <c r="C9698" t="s">
        <v>174</v>
      </c>
      <c r="D9698" t="s">
        <v>27</v>
      </c>
      <c r="E9698" s="6">
        <v>-28672</v>
      </c>
      <c r="F9698" t="s">
        <v>964</v>
      </c>
      <c r="G9698" t="s">
        <v>88</v>
      </c>
      <c r="H9698" t="s">
        <v>21</v>
      </c>
      <c r="I9698" t="s">
        <v>18757</v>
      </c>
      <c r="J9698" t="str">
        <f>HYPERLINK("https://www.boe.es/gazeta/dias/1821/06/30/pdfs/GMD-1821-183.pdf#page=4","Abrir facsímil")</f>
        <v>Abrir facsímil</v>
      </c>
      <c r="K9698" t="s">
        <v>23</v>
      </c>
    </row>
    <row r="9699" spans="1:11" ht="42" customHeight="1">
      <c r="A9699" t="s">
        <v>18685</v>
      </c>
      <c r="B9699" t="s">
        <v>18685</v>
      </c>
      <c r="C9699" t="s">
        <v>26</v>
      </c>
      <c r="D9699" t="s">
        <v>27</v>
      </c>
      <c r="E9699" s="6">
        <v>-28671</v>
      </c>
      <c r="F9699" t="s">
        <v>5059</v>
      </c>
      <c r="G9699" t="s">
        <v>20</v>
      </c>
      <c r="H9699" t="s">
        <v>21</v>
      </c>
      <c r="I9699" t="s">
        <v>18758</v>
      </c>
      <c r="J9699" t="str">
        <f>HYPERLINK("https://www.boe.es/gazeta/dias/1821/07/01/pdfs/GMD-1821-185.pdf#page=3","Abrir facsímil")</f>
        <v>Abrir facsímil</v>
      </c>
      <c r="K9699" t="s">
        <v>23</v>
      </c>
    </row>
    <row r="9700" spans="1:11" ht="42" customHeight="1">
      <c r="A9700" t="s">
        <v>18685</v>
      </c>
      <c r="B9700" t="s">
        <v>18685</v>
      </c>
      <c r="C9700" t="s">
        <v>17</v>
      </c>
      <c r="D9700" t="s">
        <v>18</v>
      </c>
      <c r="E9700" s="6">
        <v>-28587</v>
      </c>
      <c r="F9700" t="s">
        <v>392</v>
      </c>
      <c r="G9700" t="s">
        <v>88</v>
      </c>
      <c r="H9700" t="s">
        <v>21</v>
      </c>
      <c r="I9700" t="s">
        <v>18759</v>
      </c>
      <c r="J9700" t="str">
        <f>HYPERLINK("https://www.boe.es/gazeta/dias/1821/09/23/pdfs/GMD-1821-271.pdf#page=4","Abrir facsímil")</f>
        <v>Abrir facsímil</v>
      </c>
      <c r="K9700" t="s">
        <v>23</v>
      </c>
    </row>
    <row r="9701" spans="1:11" ht="42" customHeight="1">
      <c r="A9701" t="s">
        <v>18685</v>
      </c>
      <c r="B9701" t="s">
        <v>18685</v>
      </c>
      <c r="C9701" t="s">
        <v>35</v>
      </c>
      <c r="D9701" t="s">
        <v>27</v>
      </c>
      <c r="E9701" s="6">
        <v>-28586</v>
      </c>
      <c r="F9701" t="s">
        <v>587</v>
      </c>
      <c r="G9701" t="s">
        <v>88</v>
      </c>
      <c r="H9701" t="s">
        <v>21</v>
      </c>
      <c r="I9701" t="s">
        <v>18760</v>
      </c>
      <c r="J9701" t="str">
        <f>HYPERLINK("https://www.boe.es/gazeta/dias/1821/09/24/pdfs/GMD-1821-272.pdf#page=4","Abrir facsímil")</f>
        <v>Abrir facsímil</v>
      </c>
      <c r="K9701" t="s">
        <v>23</v>
      </c>
    </row>
    <row r="9702" spans="1:11" ht="42" customHeight="1">
      <c r="A9702" t="s">
        <v>18685</v>
      </c>
      <c r="B9702" t="s">
        <v>18685</v>
      </c>
      <c r="C9702" t="s">
        <v>35</v>
      </c>
      <c r="D9702" t="s">
        <v>27</v>
      </c>
      <c r="E9702" s="6">
        <v>-28578</v>
      </c>
      <c r="F9702" t="s">
        <v>899</v>
      </c>
      <c r="G9702" t="s">
        <v>88</v>
      </c>
      <c r="H9702" t="s">
        <v>21</v>
      </c>
      <c r="I9702" t="s">
        <v>18761</v>
      </c>
      <c r="J9702" t="str">
        <f>HYPERLINK("https://www.boe.es/gazeta/dias/1821/10/02/pdfs/GMD-1821-281.pdf#page=4","Abrir facsímil")</f>
        <v>Abrir facsímil</v>
      </c>
      <c r="K9702" t="s">
        <v>23</v>
      </c>
    </row>
    <row r="9703" spans="1:11" ht="42" customHeight="1">
      <c r="A9703" t="s">
        <v>18685</v>
      </c>
      <c r="B9703" t="s">
        <v>18685</v>
      </c>
      <c r="C9703" t="s">
        <v>114</v>
      </c>
      <c r="D9703" t="s">
        <v>27</v>
      </c>
      <c r="E9703" s="6">
        <v>-28574</v>
      </c>
      <c r="F9703" t="s">
        <v>779</v>
      </c>
      <c r="G9703" t="s">
        <v>609</v>
      </c>
      <c r="H9703" t="s">
        <v>21</v>
      </c>
      <c r="I9703" t="s">
        <v>18762</v>
      </c>
      <c r="J9703" t="str">
        <f>HYPERLINK("https://www.boe.es/gazeta/dias/1821/10/06/pdfs/GMD-1821-285.pdf#page=7","Abrir facsímil")</f>
        <v>Abrir facsímil</v>
      </c>
      <c r="K9703" t="s">
        <v>23</v>
      </c>
    </row>
    <row r="9704" spans="1:11" ht="42" customHeight="1">
      <c r="A9704" t="s">
        <v>18685</v>
      </c>
      <c r="B9704" t="s">
        <v>18685</v>
      </c>
      <c r="C9704" t="s">
        <v>114</v>
      </c>
      <c r="D9704" t="s">
        <v>27</v>
      </c>
      <c r="E9704" s="6">
        <v>-28573</v>
      </c>
      <c r="F9704" t="s">
        <v>19</v>
      </c>
      <c r="G9704" t="s">
        <v>52</v>
      </c>
      <c r="H9704" t="s">
        <v>21</v>
      </c>
      <c r="I9704" t="s">
        <v>18763</v>
      </c>
      <c r="J9704" t="str">
        <f>HYPERLINK("https://www.boe.es/gazeta/dias/1821/10/07/pdfs/GMD-1821-286.pdf#page=2","Abrir facsímil")</f>
        <v>Abrir facsímil</v>
      </c>
      <c r="K9704" t="s">
        <v>23</v>
      </c>
    </row>
    <row r="9705" spans="1:11" ht="42" customHeight="1">
      <c r="A9705" t="s">
        <v>18685</v>
      </c>
      <c r="B9705" t="s">
        <v>18685</v>
      </c>
      <c r="C9705" t="s">
        <v>17</v>
      </c>
      <c r="D9705" t="s">
        <v>18</v>
      </c>
      <c r="E9705" s="6">
        <v>-28571</v>
      </c>
      <c r="F9705" t="s">
        <v>482</v>
      </c>
      <c r="G9705" t="s">
        <v>29</v>
      </c>
      <c r="H9705" t="s">
        <v>21</v>
      </c>
      <c r="I9705" t="s">
        <v>18764</v>
      </c>
      <c r="J9705" t="str">
        <f>HYPERLINK("https://www.boe.es/gazeta/dias/1821/10/09/pdfs/GMD-1821-288.pdf#page=6","Abrir facsímil")</f>
        <v>Abrir facsímil</v>
      </c>
      <c r="K9705" t="s">
        <v>23</v>
      </c>
    </row>
    <row r="9706" spans="1:11" ht="42" customHeight="1">
      <c r="A9706" t="s">
        <v>18685</v>
      </c>
      <c r="B9706" t="s">
        <v>18685</v>
      </c>
      <c r="C9706" t="s">
        <v>17</v>
      </c>
      <c r="D9706" t="s">
        <v>18</v>
      </c>
      <c r="E9706" s="6">
        <v>-28569</v>
      </c>
      <c r="F9706" t="s">
        <v>512</v>
      </c>
      <c r="G9706" t="s">
        <v>52</v>
      </c>
      <c r="H9706" t="s">
        <v>21</v>
      </c>
      <c r="I9706" t="s">
        <v>18765</v>
      </c>
      <c r="J9706" t="str">
        <f>HYPERLINK("https://www.boe.es/gazeta/dias/1821/10/11/pdfs/GMD-1821-290.pdf#page=2","Abrir facsímil")</f>
        <v>Abrir facsímil</v>
      </c>
      <c r="K9706" t="s">
        <v>23</v>
      </c>
    </row>
    <row r="9707" spans="1:11" ht="42" customHeight="1">
      <c r="A9707" t="s">
        <v>18685</v>
      </c>
      <c r="B9707" t="s">
        <v>18685</v>
      </c>
      <c r="C9707" t="s">
        <v>40</v>
      </c>
      <c r="D9707" t="s">
        <v>41</v>
      </c>
      <c r="E9707" s="6">
        <v>-28567</v>
      </c>
      <c r="F9707" t="s">
        <v>217</v>
      </c>
      <c r="G9707" t="s">
        <v>52</v>
      </c>
      <c r="H9707" t="s">
        <v>21</v>
      </c>
      <c r="I9707" t="s">
        <v>18766</v>
      </c>
      <c r="J9707" t="str">
        <f>HYPERLINK("https://www.boe.es/gazeta/dias/1821/10/13/pdfs/GMD-1821-292.pdf#page=2","Abrir facsímil")</f>
        <v>Abrir facsímil</v>
      </c>
      <c r="K9707" t="s">
        <v>23</v>
      </c>
    </row>
    <row r="9708" spans="1:11" ht="42" customHeight="1">
      <c r="A9708" t="s">
        <v>18685</v>
      </c>
      <c r="B9708" t="s">
        <v>18685</v>
      </c>
      <c r="C9708" t="s">
        <v>26</v>
      </c>
      <c r="D9708" t="s">
        <v>27</v>
      </c>
      <c r="E9708" s="6">
        <v>-28567</v>
      </c>
      <c r="F9708" t="s">
        <v>217</v>
      </c>
      <c r="G9708" t="s">
        <v>88</v>
      </c>
      <c r="H9708" t="s">
        <v>21</v>
      </c>
      <c r="I9708" t="s">
        <v>18767</v>
      </c>
      <c r="J9708" t="str">
        <f>HYPERLINK("https://www.boe.es/gazeta/dias/1821/10/13/pdfs/GMD-1821-292.pdf#page=4","Abrir facsímil")</f>
        <v>Abrir facsímil</v>
      </c>
      <c r="K9708" t="s">
        <v>23</v>
      </c>
    </row>
    <row r="9709" spans="1:11" ht="42" customHeight="1">
      <c r="A9709" t="s">
        <v>18685</v>
      </c>
      <c r="B9709" t="s">
        <v>18685</v>
      </c>
      <c r="C9709" t="s">
        <v>17</v>
      </c>
      <c r="D9709" t="s">
        <v>18</v>
      </c>
      <c r="E9709" s="6">
        <v>-28558</v>
      </c>
      <c r="F9709" t="s">
        <v>758</v>
      </c>
      <c r="G9709" t="s">
        <v>88</v>
      </c>
      <c r="H9709" t="s">
        <v>21</v>
      </c>
      <c r="I9709" t="s">
        <v>18768</v>
      </c>
      <c r="J9709" t="str">
        <f>HYPERLINK("https://www.boe.es/gazeta/dias/1821/10/22/pdfs/GMD-1821-301.pdf#page=4","Abrir facsímil")</f>
        <v>Abrir facsímil</v>
      </c>
      <c r="K9709" t="s">
        <v>23</v>
      </c>
    </row>
    <row r="9710" spans="1:11" ht="42" customHeight="1">
      <c r="A9710" t="s">
        <v>18685</v>
      </c>
      <c r="B9710" t="s">
        <v>18685</v>
      </c>
      <c r="C9710" t="s">
        <v>35</v>
      </c>
      <c r="D9710" t="s">
        <v>27</v>
      </c>
      <c r="E9710" s="6">
        <v>-28557</v>
      </c>
      <c r="F9710" t="s">
        <v>316</v>
      </c>
      <c r="G9710" t="s">
        <v>88</v>
      </c>
      <c r="H9710" t="s">
        <v>21</v>
      </c>
      <c r="I9710" t="s">
        <v>18769</v>
      </c>
      <c r="J9710" t="str">
        <f>HYPERLINK("https://www.boe.es/gazeta/dias/1821/10/23/pdfs/GMD-1821-302.pdf#page=4","Abrir facsímil")</f>
        <v>Abrir facsímil</v>
      </c>
      <c r="K9710" t="s">
        <v>23</v>
      </c>
    </row>
    <row r="9711" spans="1:11" ht="42" customHeight="1">
      <c r="A9711" t="s">
        <v>18685</v>
      </c>
      <c r="B9711" t="s">
        <v>18685</v>
      </c>
      <c r="C9711" t="s">
        <v>70</v>
      </c>
      <c r="D9711" t="s">
        <v>27</v>
      </c>
      <c r="E9711" s="6">
        <v>-28557</v>
      </c>
      <c r="F9711" t="s">
        <v>316</v>
      </c>
      <c r="G9711" t="s">
        <v>162</v>
      </c>
      <c r="H9711" t="s">
        <v>21</v>
      </c>
      <c r="I9711" t="s">
        <v>18770</v>
      </c>
      <c r="J9711" t="str">
        <f>HYPERLINK("https://www.boe.es/gazeta/dias/1821/10/23/pdfs/GMD-1821-302.pdf#page=5","Abrir facsímil")</f>
        <v>Abrir facsímil</v>
      </c>
      <c r="K9711" t="s">
        <v>23</v>
      </c>
    </row>
    <row r="9712" spans="1:11" ht="42" customHeight="1">
      <c r="A9712" t="s">
        <v>18685</v>
      </c>
      <c r="B9712" t="s">
        <v>18685</v>
      </c>
      <c r="C9712" t="s">
        <v>40</v>
      </c>
      <c r="D9712" t="s">
        <v>41</v>
      </c>
      <c r="E9712" s="6">
        <v>-28557</v>
      </c>
      <c r="F9712" t="s">
        <v>316</v>
      </c>
      <c r="G9712" t="s">
        <v>29</v>
      </c>
      <c r="H9712" t="s">
        <v>21</v>
      </c>
      <c r="I9712" t="s">
        <v>18771</v>
      </c>
      <c r="J9712" t="str">
        <f>HYPERLINK("https://www.boe.es/gazeta/dias/1821/10/23/pdfs/GMD-1821-302.pdf#page=6","Abrir facsímil")</f>
        <v>Abrir facsímil</v>
      </c>
      <c r="K9712" t="s">
        <v>23</v>
      </c>
    </row>
    <row r="9713" spans="1:11" ht="42" customHeight="1">
      <c r="A9713" t="s">
        <v>18685</v>
      </c>
      <c r="B9713" t="s">
        <v>18685</v>
      </c>
      <c r="C9713" t="s">
        <v>26</v>
      </c>
      <c r="D9713" t="s">
        <v>27</v>
      </c>
      <c r="E9713" s="6">
        <v>-28556</v>
      </c>
      <c r="F9713" t="s">
        <v>264</v>
      </c>
      <c r="G9713" t="s">
        <v>88</v>
      </c>
      <c r="H9713" t="s">
        <v>21</v>
      </c>
      <c r="I9713" t="s">
        <v>18772</v>
      </c>
      <c r="J9713" t="str">
        <f>HYPERLINK("https://www.boe.es/gazeta/dias/1821/10/24/pdfs/GMD-1821-303.pdf#page=4","Abrir facsímil")</f>
        <v>Abrir facsímil</v>
      </c>
      <c r="K9713" t="s">
        <v>23</v>
      </c>
    </row>
    <row r="9714" spans="1:11" ht="42" customHeight="1">
      <c r="A9714" t="s">
        <v>18685</v>
      </c>
      <c r="B9714" t="s">
        <v>18685</v>
      </c>
      <c r="C9714" t="s">
        <v>70</v>
      </c>
      <c r="D9714" t="s">
        <v>27</v>
      </c>
      <c r="E9714" s="6">
        <v>-28555</v>
      </c>
      <c r="F9714" t="s">
        <v>219</v>
      </c>
      <c r="G9714" t="s">
        <v>20</v>
      </c>
      <c r="H9714" t="s">
        <v>21</v>
      </c>
      <c r="I9714" t="s">
        <v>18773</v>
      </c>
      <c r="J9714" t="str">
        <f>HYPERLINK("https://www.boe.es/gazeta/dias/1821/10/25/pdfs/GMD-1821-304.pdf#page=3","Abrir facsímil")</f>
        <v>Abrir facsímil</v>
      </c>
      <c r="K9714" t="s">
        <v>23</v>
      </c>
    </row>
    <row r="9715" spans="1:11" ht="42" customHeight="1">
      <c r="A9715" t="s">
        <v>18685</v>
      </c>
      <c r="B9715" t="s">
        <v>18685</v>
      </c>
      <c r="C9715" t="s">
        <v>40</v>
      </c>
      <c r="D9715" t="s">
        <v>41</v>
      </c>
      <c r="E9715" s="6">
        <v>-28555</v>
      </c>
      <c r="F9715" t="s">
        <v>219</v>
      </c>
      <c r="G9715" t="s">
        <v>88</v>
      </c>
      <c r="H9715" t="s">
        <v>21</v>
      </c>
      <c r="I9715" t="s">
        <v>18774</v>
      </c>
      <c r="J9715" t="str">
        <f>HYPERLINK("https://www.boe.es/gazeta/dias/1821/10/25/pdfs/GMD-1821-304.pdf#page=4","Abrir facsímil")</f>
        <v>Abrir facsímil</v>
      </c>
      <c r="K9715" t="s">
        <v>23</v>
      </c>
    </row>
    <row r="9716" spans="1:11" ht="42" customHeight="1">
      <c r="A9716" t="s">
        <v>18685</v>
      </c>
      <c r="B9716" t="s">
        <v>18685</v>
      </c>
      <c r="C9716" t="s">
        <v>26</v>
      </c>
      <c r="D9716" t="s">
        <v>27</v>
      </c>
      <c r="E9716" s="6">
        <v>-28555</v>
      </c>
      <c r="F9716" t="s">
        <v>219</v>
      </c>
      <c r="G9716" t="s">
        <v>162</v>
      </c>
      <c r="H9716" t="s">
        <v>21</v>
      </c>
      <c r="I9716" t="s">
        <v>18775</v>
      </c>
      <c r="J9716" t="str">
        <f>HYPERLINK("https://www.boe.es/gazeta/dias/1821/10/25/pdfs/GMD-1821-304.pdf#page=5","Abrir facsímil")</f>
        <v>Abrir facsímil</v>
      </c>
      <c r="K9716" t="s">
        <v>23</v>
      </c>
    </row>
    <row r="9717" spans="1:11" ht="42" customHeight="1">
      <c r="A9717" t="s">
        <v>18685</v>
      </c>
      <c r="B9717" t="s">
        <v>18685</v>
      </c>
      <c r="C9717" t="s">
        <v>26</v>
      </c>
      <c r="D9717" t="s">
        <v>27</v>
      </c>
      <c r="E9717" s="6">
        <v>-28554</v>
      </c>
      <c r="F9717" t="s">
        <v>433</v>
      </c>
      <c r="G9717" t="s">
        <v>18539</v>
      </c>
      <c r="H9717" t="s">
        <v>21</v>
      </c>
      <c r="I9717" t="s">
        <v>18776</v>
      </c>
      <c r="J9717" t="str">
        <f>HYPERLINK("https://www.boe.es/gazeta/dias/1821/10/26/pdfs/GMD-1821-305.pdf#page=5","Abrir facsímil")</f>
        <v>Abrir facsímil</v>
      </c>
      <c r="K9717" t="s">
        <v>23</v>
      </c>
    </row>
    <row r="9718" spans="1:11" ht="42" customHeight="1">
      <c r="A9718" t="s">
        <v>18685</v>
      </c>
      <c r="B9718" t="s">
        <v>18685</v>
      </c>
      <c r="C9718" t="s">
        <v>114</v>
      </c>
      <c r="D9718" t="s">
        <v>27</v>
      </c>
      <c r="E9718" s="6">
        <v>-28554</v>
      </c>
      <c r="F9718" t="s">
        <v>433</v>
      </c>
      <c r="G9718" t="s">
        <v>20</v>
      </c>
      <c r="H9718" t="s">
        <v>21</v>
      </c>
      <c r="I9718" t="s">
        <v>18777</v>
      </c>
      <c r="J9718" t="str">
        <f>HYPERLINK("https://www.boe.es/gazeta/dias/1821/10/26/pdfs/GMD-1821-305.pdf#page=3","Abrir facsímil")</f>
        <v>Abrir facsímil</v>
      </c>
      <c r="K9718" t="s">
        <v>23</v>
      </c>
    </row>
    <row r="9719" spans="1:11" ht="42" customHeight="1">
      <c r="A9719" t="s">
        <v>18685</v>
      </c>
      <c r="B9719" t="s">
        <v>18685</v>
      </c>
      <c r="C9719" t="s">
        <v>40</v>
      </c>
      <c r="D9719" t="s">
        <v>41</v>
      </c>
      <c r="E9719" s="6">
        <v>-28554</v>
      </c>
      <c r="F9719" t="s">
        <v>433</v>
      </c>
      <c r="G9719" t="s">
        <v>88</v>
      </c>
      <c r="H9719" t="s">
        <v>21</v>
      </c>
      <c r="I9719" t="s">
        <v>18778</v>
      </c>
      <c r="J9719" t="str">
        <f>HYPERLINK("https://www.boe.es/gazeta/dias/1821/10/26/pdfs/GMD-1821-305.pdf#page=4","Abrir facsímil")</f>
        <v>Abrir facsímil</v>
      </c>
      <c r="K9719" t="s">
        <v>23</v>
      </c>
    </row>
    <row r="9720" spans="1:11" ht="42" customHeight="1">
      <c r="A9720" t="s">
        <v>18685</v>
      </c>
      <c r="B9720" t="s">
        <v>18685</v>
      </c>
      <c r="C9720" t="s">
        <v>17</v>
      </c>
      <c r="D9720" t="s">
        <v>18</v>
      </c>
      <c r="E9720" s="6">
        <v>-28554</v>
      </c>
      <c r="F9720" t="s">
        <v>433</v>
      </c>
      <c r="G9720" t="s">
        <v>29</v>
      </c>
      <c r="H9720" t="s">
        <v>21</v>
      </c>
      <c r="I9720" t="s">
        <v>18779</v>
      </c>
      <c r="J9720" t="str">
        <f>HYPERLINK("https://www.boe.es/gazeta/dias/1821/10/26/pdfs/GMD-1821-305.pdf#page=6","Abrir facsímil")</f>
        <v>Abrir facsímil</v>
      </c>
      <c r="K9720" t="s">
        <v>23</v>
      </c>
    </row>
    <row r="9721" spans="1:11" ht="42" customHeight="1">
      <c r="A9721" t="s">
        <v>18685</v>
      </c>
      <c r="B9721" t="s">
        <v>18685</v>
      </c>
      <c r="C9721" t="s">
        <v>26</v>
      </c>
      <c r="D9721" t="s">
        <v>27</v>
      </c>
      <c r="E9721" s="6">
        <v>-28553</v>
      </c>
      <c r="F9721" t="s">
        <v>182</v>
      </c>
      <c r="G9721" t="s">
        <v>88</v>
      </c>
      <c r="H9721" t="s">
        <v>21</v>
      </c>
      <c r="I9721" t="s">
        <v>18780</v>
      </c>
      <c r="J9721" t="str">
        <f>HYPERLINK("https://www.boe.es/gazeta/dias/1821/10/27/pdfs/GMD-1821-306.pdf#page=4","Abrir facsímil")</f>
        <v>Abrir facsímil</v>
      </c>
      <c r="K9721" t="s">
        <v>23</v>
      </c>
    </row>
    <row r="9722" spans="1:11" ht="42" customHeight="1">
      <c r="A9722" t="s">
        <v>18685</v>
      </c>
      <c r="B9722" t="s">
        <v>18685</v>
      </c>
      <c r="C9722" t="s">
        <v>174</v>
      </c>
      <c r="D9722" t="s">
        <v>27</v>
      </c>
      <c r="E9722" s="6">
        <v>-28553</v>
      </c>
      <c r="F9722" t="s">
        <v>182</v>
      </c>
      <c r="G9722" t="s">
        <v>162</v>
      </c>
      <c r="H9722" t="s">
        <v>21</v>
      </c>
      <c r="I9722" t="s">
        <v>18781</v>
      </c>
      <c r="J9722" t="str">
        <f>HYPERLINK("https://www.boe.es/gazeta/dias/1821/10/27/pdfs/GMD-1821-306.pdf#page=5","Abrir facsímil")</f>
        <v>Abrir facsímil</v>
      </c>
      <c r="K9722" t="s">
        <v>23</v>
      </c>
    </row>
    <row r="9723" spans="1:11" ht="42" customHeight="1">
      <c r="A9723" t="s">
        <v>18685</v>
      </c>
      <c r="B9723" t="s">
        <v>18685</v>
      </c>
      <c r="C9723" t="s">
        <v>17</v>
      </c>
      <c r="D9723" t="s">
        <v>18</v>
      </c>
      <c r="E9723" s="6">
        <v>-28549</v>
      </c>
      <c r="F9723" t="s">
        <v>930</v>
      </c>
      <c r="G9723" t="s">
        <v>162</v>
      </c>
      <c r="H9723" t="s">
        <v>21</v>
      </c>
      <c r="I9723" t="s">
        <v>18782</v>
      </c>
      <c r="J9723" t="str">
        <f>HYPERLINK("https://www.boe.es/gazeta/dias/1821/10/31/pdfs/GMD-1821-310.pdf#page=5","Abrir facsímil")</f>
        <v>Abrir facsímil</v>
      </c>
      <c r="K9723" t="s">
        <v>23</v>
      </c>
    </row>
    <row r="9724" spans="1:11" ht="42" customHeight="1">
      <c r="A9724" t="s">
        <v>18685</v>
      </c>
      <c r="B9724" t="s">
        <v>18685</v>
      </c>
      <c r="C9724" t="s">
        <v>114</v>
      </c>
      <c r="D9724" t="s">
        <v>27</v>
      </c>
      <c r="E9724" s="6">
        <v>-28548</v>
      </c>
      <c r="F9724" t="s">
        <v>782</v>
      </c>
      <c r="G9724" t="s">
        <v>162</v>
      </c>
      <c r="H9724" t="s">
        <v>21</v>
      </c>
      <c r="I9724" t="s">
        <v>18783</v>
      </c>
      <c r="J9724" t="str">
        <f>HYPERLINK("https://www.boe.es/gazeta/dias/1821/11/01/pdfs/GMD-1821-311.pdf#page=5","Abrir facsímil")</f>
        <v>Abrir facsímil</v>
      </c>
      <c r="K9724" t="s">
        <v>23</v>
      </c>
    </row>
    <row r="9725" spans="1:11" ht="42" customHeight="1">
      <c r="A9725" t="s">
        <v>18685</v>
      </c>
      <c r="B9725" t="s">
        <v>18685</v>
      </c>
      <c r="C9725" t="s">
        <v>40</v>
      </c>
      <c r="D9725" t="s">
        <v>41</v>
      </c>
      <c r="E9725" s="6">
        <v>-28547</v>
      </c>
      <c r="F9725" t="s">
        <v>247</v>
      </c>
      <c r="G9725" t="s">
        <v>88</v>
      </c>
      <c r="H9725" t="s">
        <v>21</v>
      </c>
      <c r="I9725" t="s">
        <v>18784</v>
      </c>
      <c r="J9725" t="str">
        <f>HYPERLINK("https://www.boe.es/gazeta/dias/1821/11/02/pdfs/GMD-1821-312.pdf#page=4","Abrir facsímil")</f>
        <v>Abrir facsímil</v>
      </c>
      <c r="K9725" t="s">
        <v>23</v>
      </c>
    </row>
    <row r="9726" spans="1:11" ht="42" customHeight="1">
      <c r="A9726" t="s">
        <v>18685</v>
      </c>
      <c r="B9726" t="s">
        <v>18685</v>
      </c>
      <c r="C9726" t="s">
        <v>26</v>
      </c>
      <c r="D9726" t="s">
        <v>27</v>
      </c>
      <c r="E9726" s="6">
        <v>-28547</v>
      </c>
      <c r="F9726" t="s">
        <v>247</v>
      </c>
      <c r="G9726" t="s">
        <v>162</v>
      </c>
      <c r="H9726" t="s">
        <v>21</v>
      </c>
      <c r="I9726" t="s">
        <v>18785</v>
      </c>
      <c r="J9726" t="str">
        <f>HYPERLINK("https://www.boe.es/gazeta/dias/1821/11/02/pdfs/GMD-1821-312.pdf#page=5","Abrir facsímil")</f>
        <v>Abrir facsímil</v>
      </c>
      <c r="K9726" t="s">
        <v>23</v>
      </c>
    </row>
    <row r="9727" spans="1:11" ht="42" customHeight="1">
      <c r="A9727" t="s">
        <v>18685</v>
      </c>
      <c r="B9727" t="s">
        <v>18685</v>
      </c>
      <c r="C9727" t="s">
        <v>40</v>
      </c>
      <c r="D9727" t="s">
        <v>41</v>
      </c>
      <c r="E9727" s="6">
        <v>-28545</v>
      </c>
      <c r="F9727" t="s">
        <v>284</v>
      </c>
      <c r="G9727" t="s">
        <v>20</v>
      </c>
      <c r="H9727" t="s">
        <v>21</v>
      </c>
      <c r="I9727" t="s">
        <v>18786</v>
      </c>
      <c r="J9727" t="str">
        <f>HYPERLINK("https://www.boe.es/gazeta/dias/1821/11/04/pdfs/GMD-1821-315.pdf#page=3","Abrir facsímil")</f>
        <v>Abrir facsímil</v>
      </c>
      <c r="K9727" t="s">
        <v>23</v>
      </c>
    </row>
    <row r="9728" spans="1:11" ht="42" customHeight="1">
      <c r="A9728" t="s">
        <v>18685</v>
      </c>
      <c r="B9728" t="s">
        <v>18685</v>
      </c>
      <c r="C9728" t="s">
        <v>17</v>
      </c>
      <c r="D9728" t="s">
        <v>18</v>
      </c>
      <c r="E9728" s="6">
        <v>-28545</v>
      </c>
      <c r="F9728" t="s">
        <v>284</v>
      </c>
      <c r="G9728" t="s">
        <v>88</v>
      </c>
      <c r="H9728" t="s">
        <v>21</v>
      </c>
      <c r="I9728" t="s">
        <v>18787</v>
      </c>
      <c r="J9728" t="str">
        <f>HYPERLINK("https://www.boe.es/gazeta/dias/1821/11/04/pdfs/GMD-1821-315.pdf#page=4","Abrir facsímil")</f>
        <v>Abrir facsímil</v>
      </c>
      <c r="K9728" t="s">
        <v>23</v>
      </c>
    </row>
    <row r="9729" spans="1:11" ht="42" customHeight="1">
      <c r="A9729" t="s">
        <v>18685</v>
      </c>
      <c r="B9729" t="s">
        <v>18685</v>
      </c>
      <c r="C9729" t="s">
        <v>17</v>
      </c>
      <c r="D9729" t="s">
        <v>18</v>
      </c>
      <c r="E9729" s="6">
        <v>-28545</v>
      </c>
      <c r="F9729" t="s">
        <v>284</v>
      </c>
      <c r="G9729" t="s">
        <v>162</v>
      </c>
      <c r="H9729" t="s">
        <v>21</v>
      </c>
      <c r="I9729" t="s">
        <v>18788</v>
      </c>
      <c r="J9729" t="str">
        <f>HYPERLINK("https://www.boe.es/gazeta/dias/1821/11/04/pdfs/GMD-1821-315.pdf#page=5","Abrir facsímil")</f>
        <v>Abrir facsímil</v>
      </c>
      <c r="K9729" t="s">
        <v>23</v>
      </c>
    </row>
    <row r="9730" spans="1:11" ht="42" customHeight="1">
      <c r="A9730" t="s">
        <v>18685</v>
      </c>
      <c r="B9730" t="s">
        <v>18685</v>
      </c>
      <c r="C9730" t="s">
        <v>40</v>
      </c>
      <c r="D9730" t="s">
        <v>41</v>
      </c>
      <c r="E9730" s="6">
        <v>-28544</v>
      </c>
      <c r="F9730" t="s">
        <v>139</v>
      </c>
      <c r="G9730" t="s">
        <v>52</v>
      </c>
      <c r="H9730" t="s">
        <v>21</v>
      </c>
      <c r="I9730" t="s">
        <v>18789</v>
      </c>
      <c r="J9730" t="str">
        <f>HYPERLINK("https://www.boe.es/gazeta/dias/1821/11/05/pdfs/GMD-1821-316.pdf#page=2","Abrir facsímil")</f>
        <v>Abrir facsímil</v>
      </c>
      <c r="K9730" t="s">
        <v>23</v>
      </c>
    </row>
    <row r="9731" spans="1:11" ht="42" customHeight="1">
      <c r="A9731" t="s">
        <v>18685</v>
      </c>
      <c r="B9731" t="s">
        <v>18685</v>
      </c>
      <c r="C9731" t="s">
        <v>26</v>
      </c>
      <c r="D9731" t="s">
        <v>27</v>
      </c>
      <c r="E9731" s="6">
        <v>-28544</v>
      </c>
      <c r="F9731" t="s">
        <v>139</v>
      </c>
      <c r="G9731" t="s">
        <v>20</v>
      </c>
      <c r="H9731" t="s">
        <v>21</v>
      </c>
      <c r="I9731" t="s">
        <v>18790</v>
      </c>
      <c r="J9731" t="str">
        <f>HYPERLINK("https://www.boe.es/gazeta/dias/1821/11/05/pdfs/GMD-1821-316.pdf#page=3","Abrir facsímil")</f>
        <v>Abrir facsímil</v>
      </c>
      <c r="K9731" t="s">
        <v>23</v>
      </c>
    </row>
    <row r="9732" spans="1:11" ht="42" customHeight="1">
      <c r="A9732" t="s">
        <v>18685</v>
      </c>
      <c r="B9732" t="s">
        <v>18685</v>
      </c>
      <c r="C9732" t="s">
        <v>17</v>
      </c>
      <c r="D9732" t="s">
        <v>18</v>
      </c>
      <c r="E9732" s="6">
        <v>-28543</v>
      </c>
      <c r="F9732" t="s">
        <v>136</v>
      </c>
      <c r="G9732" t="s">
        <v>88</v>
      </c>
      <c r="H9732" t="s">
        <v>21</v>
      </c>
      <c r="I9732" t="s">
        <v>18791</v>
      </c>
      <c r="J9732" t="str">
        <f>HYPERLINK("https://www.boe.es/gazeta/dias/1821/11/06/pdfs/GMD-1821-317.pdf#page=4","Abrir facsímil")</f>
        <v>Abrir facsímil</v>
      </c>
      <c r="K9732" t="s">
        <v>23</v>
      </c>
    </row>
    <row r="9733" spans="1:11" ht="42" customHeight="1">
      <c r="A9733" t="s">
        <v>18685</v>
      </c>
      <c r="B9733" t="s">
        <v>18685</v>
      </c>
      <c r="C9733" t="s">
        <v>70</v>
      </c>
      <c r="D9733" t="s">
        <v>27</v>
      </c>
      <c r="E9733" s="6">
        <v>-28543</v>
      </c>
      <c r="F9733" t="s">
        <v>136</v>
      </c>
      <c r="G9733" t="s">
        <v>29</v>
      </c>
      <c r="H9733" t="s">
        <v>21</v>
      </c>
      <c r="I9733" t="s">
        <v>18792</v>
      </c>
      <c r="J9733" t="str">
        <f>HYPERLINK("https://www.boe.es/gazeta/dias/1821/11/06/pdfs/GMD-1821-317.pdf#page=6","Abrir facsímil")</f>
        <v>Abrir facsímil</v>
      </c>
      <c r="K9733" t="s">
        <v>23</v>
      </c>
    </row>
    <row r="9734" spans="1:11" ht="42" customHeight="1">
      <c r="A9734" t="s">
        <v>18685</v>
      </c>
      <c r="B9734" t="s">
        <v>18685</v>
      </c>
      <c r="C9734" t="s">
        <v>35</v>
      </c>
      <c r="D9734" t="s">
        <v>27</v>
      </c>
      <c r="E9734" s="6">
        <v>-28543</v>
      </c>
      <c r="F9734" t="s">
        <v>136</v>
      </c>
      <c r="G9734" t="s">
        <v>609</v>
      </c>
      <c r="H9734" t="s">
        <v>21</v>
      </c>
      <c r="I9734" t="s">
        <v>18793</v>
      </c>
      <c r="J9734" t="str">
        <f>HYPERLINK("https://www.boe.es/gazeta/dias/1821/11/06/pdfs/GMD-1821-317.pdf#page=7","Abrir facsímil")</f>
        <v>Abrir facsímil</v>
      </c>
      <c r="K9734" t="s">
        <v>23</v>
      </c>
    </row>
    <row r="9735" spans="1:11" ht="42" customHeight="1">
      <c r="A9735" t="s">
        <v>18685</v>
      </c>
      <c r="B9735" t="s">
        <v>18685</v>
      </c>
      <c r="C9735" t="s">
        <v>17</v>
      </c>
      <c r="D9735" t="s">
        <v>18</v>
      </c>
      <c r="E9735" s="6">
        <v>-28542</v>
      </c>
      <c r="F9735" t="s">
        <v>221</v>
      </c>
      <c r="G9735" t="s">
        <v>88</v>
      </c>
      <c r="H9735" t="s">
        <v>21</v>
      </c>
      <c r="I9735" t="s">
        <v>18794</v>
      </c>
      <c r="J9735" t="str">
        <f>HYPERLINK("https://www.boe.es/gazeta/dias/1821/11/07/pdfs/GMD-1821-318.pdf#page=4","Abrir facsímil")</f>
        <v>Abrir facsímil</v>
      </c>
      <c r="K9735" t="s">
        <v>23</v>
      </c>
    </row>
    <row r="9736" spans="1:11" ht="42" customHeight="1">
      <c r="A9736" t="s">
        <v>18685</v>
      </c>
      <c r="B9736" t="s">
        <v>18685</v>
      </c>
      <c r="C9736" t="s">
        <v>40</v>
      </c>
      <c r="D9736" t="s">
        <v>41</v>
      </c>
      <c r="E9736" s="6">
        <v>-28542</v>
      </c>
      <c r="F9736" t="s">
        <v>221</v>
      </c>
      <c r="G9736" t="s">
        <v>29</v>
      </c>
      <c r="H9736" t="s">
        <v>21</v>
      </c>
      <c r="I9736" t="s">
        <v>18795</v>
      </c>
      <c r="J9736" t="str">
        <f>HYPERLINK("https://www.boe.es/gazeta/dias/1821/11/07/pdfs/GMD-1821-318.pdf#page=6","Abrir facsímil")</f>
        <v>Abrir facsímil</v>
      </c>
      <c r="K9736" t="s">
        <v>23</v>
      </c>
    </row>
    <row r="9737" spans="1:11" ht="42" customHeight="1">
      <c r="A9737" t="s">
        <v>18685</v>
      </c>
      <c r="B9737" t="s">
        <v>18685</v>
      </c>
      <c r="C9737" t="s">
        <v>70</v>
      </c>
      <c r="D9737" t="s">
        <v>27</v>
      </c>
      <c r="E9737" s="6">
        <v>-28541</v>
      </c>
      <c r="F9737" t="s">
        <v>275</v>
      </c>
      <c r="G9737" t="s">
        <v>18796</v>
      </c>
      <c r="H9737" t="s">
        <v>21</v>
      </c>
      <c r="I9737" t="s">
        <v>18797</v>
      </c>
      <c r="J9737" t="str">
        <f>HYPERLINK("https://www.boe.es/gazeta/dias/1821/11/08/pdfs/GMD-1821-319.pdf#page=5","Abrir facsímil")</f>
        <v>Abrir facsímil</v>
      </c>
      <c r="K9737" t="s">
        <v>23</v>
      </c>
    </row>
    <row r="9738" spans="1:11" ht="42" customHeight="1">
      <c r="A9738" t="s">
        <v>18685</v>
      </c>
      <c r="B9738" t="s">
        <v>18685</v>
      </c>
      <c r="C9738" t="s">
        <v>17</v>
      </c>
      <c r="D9738" t="s">
        <v>18</v>
      </c>
      <c r="E9738" s="6">
        <v>-28541</v>
      </c>
      <c r="F9738" t="s">
        <v>275</v>
      </c>
      <c r="G9738" t="s">
        <v>29</v>
      </c>
      <c r="H9738" t="s">
        <v>21</v>
      </c>
      <c r="I9738" t="s">
        <v>18798</v>
      </c>
      <c r="J9738" t="str">
        <f>HYPERLINK("https://www.boe.es/gazeta/dias/1821/11/08/pdfs/GMD-1821-319.pdf#page=6","Abrir facsímil")</f>
        <v>Abrir facsímil</v>
      </c>
      <c r="K9738" t="s">
        <v>23</v>
      </c>
    </row>
    <row r="9739" spans="1:11" ht="42" customHeight="1">
      <c r="A9739" t="s">
        <v>18685</v>
      </c>
      <c r="B9739" t="s">
        <v>18685</v>
      </c>
      <c r="C9739" t="s">
        <v>26</v>
      </c>
      <c r="D9739" t="s">
        <v>27</v>
      </c>
      <c r="E9739" s="6">
        <v>-28540</v>
      </c>
      <c r="F9739" t="s">
        <v>2672</v>
      </c>
      <c r="G9739" t="s">
        <v>20</v>
      </c>
      <c r="H9739" t="s">
        <v>21</v>
      </c>
      <c r="I9739" t="s">
        <v>18799</v>
      </c>
      <c r="J9739" t="str">
        <f>HYPERLINK("https://www.boe.es/gazeta/dias/1821/11/09/pdfs/GMD-1821-320.pdf#page=3","Abrir facsímil")</f>
        <v>Abrir facsímil</v>
      </c>
      <c r="K9739" t="s">
        <v>23</v>
      </c>
    </row>
    <row r="9740" spans="1:11" ht="42" customHeight="1">
      <c r="A9740" t="s">
        <v>18685</v>
      </c>
      <c r="B9740" t="s">
        <v>18685</v>
      </c>
      <c r="C9740" t="s">
        <v>114</v>
      </c>
      <c r="D9740" t="s">
        <v>27</v>
      </c>
      <c r="E9740" s="6">
        <v>-28539</v>
      </c>
      <c r="F9740" t="s">
        <v>153</v>
      </c>
      <c r="G9740" t="s">
        <v>162</v>
      </c>
      <c r="H9740" t="s">
        <v>21</v>
      </c>
      <c r="I9740" t="s">
        <v>18800</v>
      </c>
      <c r="J9740" t="str">
        <f>HYPERLINK("https://www.boe.es/gazeta/dias/1821/11/10/pdfs/GMD-1821-321.pdf#page=5","Abrir facsímil")</f>
        <v>Abrir facsímil</v>
      </c>
      <c r="K9740" t="s">
        <v>23</v>
      </c>
    </row>
    <row r="9741" spans="1:11" ht="42" customHeight="1">
      <c r="A9741" t="s">
        <v>18685</v>
      </c>
      <c r="B9741" t="s">
        <v>18685</v>
      </c>
      <c r="C9741" t="s">
        <v>17</v>
      </c>
      <c r="D9741" t="s">
        <v>18</v>
      </c>
      <c r="E9741" s="6">
        <v>-28539</v>
      </c>
      <c r="F9741" t="s">
        <v>153</v>
      </c>
      <c r="G9741" t="s">
        <v>29</v>
      </c>
      <c r="H9741" t="s">
        <v>21</v>
      </c>
      <c r="I9741" t="s">
        <v>18801</v>
      </c>
      <c r="J9741" t="str">
        <f>HYPERLINK("https://www.boe.es/gazeta/dias/1821/11/10/pdfs/GMD-1821-321.pdf#page=6","Abrir facsímil")</f>
        <v>Abrir facsímil</v>
      </c>
      <c r="K9741" t="s">
        <v>23</v>
      </c>
    </row>
    <row r="9742" spans="1:11" ht="42" customHeight="1">
      <c r="A9742" t="s">
        <v>18685</v>
      </c>
      <c r="B9742" t="s">
        <v>18685</v>
      </c>
      <c r="C9742" t="s">
        <v>35</v>
      </c>
      <c r="D9742" t="s">
        <v>27</v>
      </c>
      <c r="E9742" s="6">
        <v>-28538</v>
      </c>
      <c r="F9742" t="s">
        <v>395</v>
      </c>
      <c r="G9742" t="s">
        <v>20</v>
      </c>
      <c r="H9742" t="s">
        <v>21</v>
      </c>
      <c r="I9742" t="s">
        <v>18802</v>
      </c>
      <c r="J9742" t="str">
        <f>HYPERLINK("https://www.boe.es/gazeta/dias/1821/11/11/pdfs/GMD-1821-322.pdf#page=3","Abrir facsímil")</f>
        <v>Abrir facsímil</v>
      </c>
      <c r="K9742" t="s">
        <v>23</v>
      </c>
    </row>
    <row r="9743" spans="1:11" ht="42" customHeight="1">
      <c r="A9743" t="s">
        <v>18685</v>
      </c>
      <c r="B9743" t="s">
        <v>18685</v>
      </c>
      <c r="C9743" t="s">
        <v>17</v>
      </c>
      <c r="D9743" t="s">
        <v>18</v>
      </c>
      <c r="E9743" s="6">
        <v>-28536</v>
      </c>
      <c r="F9743" t="s">
        <v>553</v>
      </c>
      <c r="G9743" t="s">
        <v>162</v>
      </c>
      <c r="H9743" t="s">
        <v>21</v>
      </c>
      <c r="I9743" t="s">
        <v>18803</v>
      </c>
      <c r="J9743" t="str">
        <f>HYPERLINK("https://www.boe.es/gazeta/dias/1821/11/13/pdfs/GMD-1821-324.pdf#page=5","Abrir facsímil")</f>
        <v>Abrir facsímil</v>
      </c>
      <c r="K9743" t="s">
        <v>23</v>
      </c>
    </row>
    <row r="9744" spans="1:11" ht="42" customHeight="1">
      <c r="A9744" t="s">
        <v>18685</v>
      </c>
      <c r="B9744" t="s">
        <v>18685</v>
      </c>
      <c r="C9744" t="s">
        <v>35</v>
      </c>
      <c r="D9744" t="s">
        <v>27</v>
      </c>
      <c r="E9744" s="6">
        <v>-28535</v>
      </c>
      <c r="F9744" t="s">
        <v>96</v>
      </c>
      <c r="G9744" t="s">
        <v>88</v>
      </c>
      <c r="H9744" t="s">
        <v>21</v>
      </c>
      <c r="I9744" t="s">
        <v>18804</v>
      </c>
      <c r="J9744" t="str">
        <f>HYPERLINK("https://www.boe.es/gazeta/dias/1821/11/14/pdfs/GMD-1821-325.pdf#page=4","Abrir facsímil")</f>
        <v>Abrir facsímil</v>
      </c>
      <c r="K9744" t="s">
        <v>23</v>
      </c>
    </row>
    <row r="9745" spans="1:11" ht="42" customHeight="1">
      <c r="A9745" t="s">
        <v>18685</v>
      </c>
      <c r="B9745" t="s">
        <v>18685</v>
      </c>
      <c r="C9745" t="s">
        <v>174</v>
      </c>
      <c r="D9745" t="s">
        <v>27</v>
      </c>
      <c r="E9745" s="6">
        <v>-28534</v>
      </c>
      <c r="F9745" t="s">
        <v>414</v>
      </c>
      <c r="G9745" t="s">
        <v>20</v>
      </c>
      <c r="H9745" t="s">
        <v>21</v>
      </c>
      <c r="I9745" t="s">
        <v>18805</v>
      </c>
      <c r="J9745" t="str">
        <f>HYPERLINK("https://www.boe.es/gazeta/dias/1821/11/15/pdfs/GMD-1821-326.pdf#page=3","Abrir facsímil")</f>
        <v>Abrir facsímil</v>
      </c>
      <c r="K9745" t="s">
        <v>23</v>
      </c>
    </row>
    <row r="9746" spans="1:11" ht="42" customHeight="1">
      <c r="A9746" t="s">
        <v>18685</v>
      </c>
      <c r="B9746" t="s">
        <v>18685</v>
      </c>
      <c r="C9746" t="s">
        <v>114</v>
      </c>
      <c r="D9746" t="s">
        <v>27</v>
      </c>
      <c r="E9746" s="6">
        <v>-28534</v>
      </c>
      <c r="F9746" t="s">
        <v>414</v>
      </c>
      <c r="G9746" t="s">
        <v>88</v>
      </c>
      <c r="H9746" t="s">
        <v>21</v>
      </c>
      <c r="I9746" t="s">
        <v>18806</v>
      </c>
      <c r="J9746" t="str">
        <f>HYPERLINK("https://www.boe.es/gazeta/dias/1821/11/15/pdfs/GMD-1821-326.pdf#page=4","Abrir facsímil")</f>
        <v>Abrir facsímil</v>
      </c>
      <c r="K9746" t="s">
        <v>23</v>
      </c>
    </row>
    <row r="9747" spans="1:11" ht="42" customHeight="1">
      <c r="A9747" t="s">
        <v>18685</v>
      </c>
      <c r="B9747" t="s">
        <v>18685</v>
      </c>
      <c r="C9747" t="s">
        <v>17</v>
      </c>
      <c r="D9747" t="s">
        <v>18</v>
      </c>
      <c r="E9747" s="6">
        <v>-28533</v>
      </c>
      <c r="F9747" t="s">
        <v>559</v>
      </c>
      <c r="G9747" t="s">
        <v>20</v>
      </c>
      <c r="H9747" t="s">
        <v>21</v>
      </c>
      <c r="I9747" t="s">
        <v>18807</v>
      </c>
      <c r="J9747" t="str">
        <f>HYPERLINK("https://www.boe.es/gazeta/dias/1821/11/16/pdfs/GMD-1821-327.pdf#page=3","Abrir facsímil")</f>
        <v>Abrir facsímil</v>
      </c>
      <c r="K9747" t="s">
        <v>23</v>
      </c>
    </row>
    <row r="9748" spans="1:11" ht="42" customHeight="1">
      <c r="A9748" t="s">
        <v>18685</v>
      </c>
      <c r="B9748" t="s">
        <v>18685</v>
      </c>
      <c r="C9748" t="s">
        <v>40</v>
      </c>
      <c r="D9748" t="s">
        <v>41</v>
      </c>
      <c r="E9748" s="6">
        <v>-28533</v>
      </c>
      <c r="F9748" t="s">
        <v>559</v>
      </c>
      <c r="G9748" t="s">
        <v>88</v>
      </c>
      <c r="H9748" t="s">
        <v>21</v>
      </c>
      <c r="I9748" t="s">
        <v>18808</v>
      </c>
      <c r="J9748" t="str">
        <f>HYPERLINK("https://www.boe.es/gazeta/dias/1821/11/16/pdfs/GMD-1821-327.pdf#page=4","Abrir facsímil")</f>
        <v>Abrir facsímil</v>
      </c>
      <c r="K9748" t="s">
        <v>23</v>
      </c>
    </row>
    <row r="9749" spans="1:11" ht="42" customHeight="1">
      <c r="A9749" t="s">
        <v>18685</v>
      </c>
      <c r="B9749" t="s">
        <v>18685</v>
      </c>
      <c r="C9749" t="s">
        <v>40</v>
      </c>
      <c r="D9749" t="s">
        <v>41</v>
      </c>
      <c r="E9749" s="6">
        <v>-28530</v>
      </c>
      <c r="F9749" t="s">
        <v>237</v>
      </c>
      <c r="G9749" t="s">
        <v>88</v>
      </c>
      <c r="H9749" t="s">
        <v>21</v>
      </c>
      <c r="I9749" t="s">
        <v>18809</v>
      </c>
      <c r="J9749" t="str">
        <f>HYPERLINK("https://www.boe.es/gazeta/dias/1821/11/19/pdfs/GMD-1821-330.pdf#page=4","Abrir facsímil")</f>
        <v>Abrir facsímil</v>
      </c>
      <c r="K9749" t="s">
        <v>23</v>
      </c>
    </row>
    <row r="9750" spans="1:11" ht="42" customHeight="1">
      <c r="A9750" t="s">
        <v>18685</v>
      </c>
      <c r="B9750" t="s">
        <v>18685</v>
      </c>
      <c r="C9750" t="s">
        <v>40</v>
      </c>
      <c r="D9750" t="s">
        <v>41</v>
      </c>
      <c r="E9750" s="6">
        <v>-28529</v>
      </c>
      <c r="F9750" t="s">
        <v>525</v>
      </c>
      <c r="G9750" t="s">
        <v>20</v>
      </c>
      <c r="H9750" t="s">
        <v>21</v>
      </c>
      <c r="I9750" t="s">
        <v>18810</v>
      </c>
      <c r="J9750" t="str">
        <f>HYPERLINK("https://www.boe.es/gazeta/dias/1821/11/20/pdfs/GMD-1821-331.pdf#page=3","Abrir facsímil")</f>
        <v>Abrir facsímil</v>
      </c>
      <c r="K9750" t="s">
        <v>23</v>
      </c>
    </row>
    <row r="9751" spans="1:11" ht="42" customHeight="1">
      <c r="A9751" t="s">
        <v>18685</v>
      </c>
      <c r="B9751" t="s">
        <v>18685</v>
      </c>
      <c r="C9751" t="s">
        <v>40</v>
      </c>
      <c r="D9751" t="s">
        <v>41</v>
      </c>
      <c r="E9751" s="6">
        <v>-28529</v>
      </c>
      <c r="F9751" t="s">
        <v>525</v>
      </c>
      <c r="G9751" t="s">
        <v>88</v>
      </c>
      <c r="H9751" t="s">
        <v>21</v>
      </c>
      <c r="I9751" t="s">
        <v>18811</v>
      </c>
      <c r="J9751" t="str">
        <f>HYPERLINK("https://www.boe.es/gazeta/dias/1821/11/20/pdfs/GMD-1821-331.pdf#page=4","Abrir facsímil")</f>
        <v>Abrir facsímil</v>
      </c>
      <c r="K9751" t="s">
        <v>23</v>
      </c>
    </row>
    <row r="9752" spans="1:11" ht="42" customHeight="1">
      <c r="A9752" t="s">
        <v>18685</v>
      </c>
      <c r="B9752" t="s">
        <v>18685</v>
      </c>
      <c r="C9752" t="s">
        <v>17</v>
      </c>
      <c r="D9752" t="s">
        <v>18</v>
      </c>
      <c r="E9752" s="6">
        <v>-28528</v>
      </c>
      <c r="F9752" t="s">
        <v>1872</v>
      </c>
      <c r="G9752" t="s">
        <v>2209</v>
      </c>
      <c r="H9752" t="s">
        <v>21</v>
      </c>
      <c r="I9752" t="s">
        <v>18812</v>
      </c>
      <c r="J9752" t="str">
        <f>HYPERLINK("https://www.boe.es/gazeta/dias/1821/11/21/pdfs/GMD-1821-332.pdf#page=3","Abrir facsímil")</f>
        <v>Abrir facsímil</v>
      </c>
      <c r="K9752" t="s">
        <v>23</v>
      </c>
    </row>
    <row r="9753" spans="1:11" ht="42" customHeight="1">
      <c r="A9753" t="s">
        <v>18685</v>
      </c>
      <c r="B9753" t="s">
        <v>18685</v>
      </c>
      <c r="C9753" t="s">
        <v>26</v>
      </c>
      <c r="D9753" t="s">
        <v>27</v>
      </c>
      <c r="E9753" s="6">
        <v>-28528</v>
      </c>
      <c r="F9753" t="s">
        <v>1872</v>
      </c>
      <c r="G9753" t="s">
        <v>88</v>
      </c>
      <c r="H9753" t="s">
        <v>21</v>
      </c>
      <c r="I9753" t="s">
        <v>18813</v>
      </c>
      <c r="J9753" t="str">
        <f>HYPERLINK("https://www.boe.es/gazeta/dias/1821/11/21/pdfs/GMD-1821-332.pdf#page=4","Abrir facsímil")</f>
        <v>Abrir facsímil</v>
      </c>
      <c r="K9753" t="s">
        <v>23</v>
      </c>
    </row>
    <row r="9754" spans="1:11" ht="42" customHeight="1">
      <c r="A9754" t="s">
        <v>18685</v>
      </c>
      <c r="B9754" t="s">
        <v>18685</v>
      </c>
      <c r="C9754" t="s">
        <v>40</v>
      </c>
      <c r="D9754" t="s">
        <v>41</v>
      </c>
      <c r="E9754" s="6">
        <v>-28527</v>
      </c>
      <c r="F9754" t="s">
        <v>328</v>
      </c>
      <c r="G9754" t="s">
        <v>6605</v>
      </c>
      <c r="H9754" t="s">
        <v>21</v>
      </c>
      <c r="I9754" t="s">
        <v>18814</v>
      </c>
      <c r="J9754" t="str">
        <f>HYPERLINK("https://www.boe.es/gazeta/dias/1821/11/22/pdfs/GMD-1821-333.pdf#page=2","Abrir facsímil")</f>
        <v>Abrir facsímil</v>
      </c>
      <c r="K9754" t="s">
        <v>23</v>
      </c>
    </row>
    <row r="9755" spans="1:11" ht="42" customHeight="1">
      <c r="A9755" t="s">
        <v>18685</v>
      </c>
      <c r="B9755" t="s">
        <v>18685</v>
      </c>
      <c r="C9755" t="s">
        <v>40</v>
      </c>
      <c r="D9755" t="s">
        <v>41</v>
      </c>
      <c r="E9755" s="6">
        <v>-28527</v>
      </c>
      <c r="F9755" t="s">
        <v>328</v>
      </c>
      <c r="G9755" t="s">
        <v>20</v>
      </c>
      <c r="H9755" t="s">
        <v>21</v>
      </c>
      <c r="I9755" t="s">
        <v>18815</v>
      </c>
      <c r="J9755" t="str">
        <f>HYPERLINK("https://www.boe.es/gazeta/dias/1821/11/22/pdfs/GMD-1821-333.pdf#page=3","Abrir facsímil")</f>
        <v>Abrir facsímil</v>
      </c>
      <c r="K9755" t="s">
        <v>23</v>
      </c>
    </row>
    <row r="9756" spans="1:11" ht="42" customHeight="1">
      <c r="A9756" t="s">
        <v>18685</v>
      </c>
      <c r="B9756" t="s">
        <v>18685</v>
      </c>
      <c r="C9756" t="s">
        <v>17</v>
      </c>
      <c r="D9756" t="s">
        <v>18</v>
      </c>
      <c r="E9756" s="6">
        <v>-28527</v>
      </c>
      <c r="F9756" t="s">
        <v>328</v>
      </c>
      <c r="G9756" t="s">
        <v>88</v>
      </c>
      <c r="H9756" t="s">
        <v>21</v>
      </c>
      <c r="I9756" t="s">
        <v>18816</v>
      </c>
      <c r="J9756" t="str">
        <f>HYPERLINK("https://www.boe.es/gazeta/dias/1821/11/22/pdfs/GMD-1821-333.pdf#page=4","Abrir facsímil")</f>
        <v>Abrir facsímil</v>
      </c>
      <c r="K9756" t="s">
        <v>23</v>
      </c>
    </row>
    <row r="9757" spans="1:11" ht="42" customHeight="1">
      <c r="A9757" t="s">
        <v>18685</v>
      </c>
      <c r="B9757" t="s">
        <v>18685</v>
      </c>
      <c r="C9757" t="s">
        <v>35</v>
      </c>
      <c r="D9757" t="s">
        <v>27</v>
      </c>
      <c r="E9757" s="6">
        <v>-28526</v>
      </c>
      <c r="F9757" t="s">
        <v>223</v>
      </c>
      <c r="G9757" t="s">
        <v>10611</v>
      </c>
      <c r="H9757" t="s">
        <v>21</v>
      </c>
      <c r="I9757" t="s">
        <v>18817</v>
      </c>
      <c r="J9757" t="str">
        <f>HYPERLINK("https://www.boe.es/gazeta/dias/1821/11/23/pdfs/GMD-1821-334.pdf#page=5","Abrir facsímil")</f>
        <v>Abrir facsímil</v>
      </c>
      <c r="K9757" t="s">
        <v>23</v>
      </c>
    </row>
    <row r="9758" spans="1:11" ht="42" customHeight="1">
      <c r="A9758" t="s">
        <v>18685</v>
      </c>
      <c r="B9758" t="s">
        <v>18685</v>
      </c>
      <c r="C9758" t="s">
        <v>17</v>
      </c>
      <c r="D9758" t="s">
        <v>18</v>
      </c>
      <c r="E9758" s="6">
        <v>-28522</v>
      </c>
      <c r="F9758" t="s">
        <v>1083</v>
      </c>
      <c r="G9758" t="s">
        <v>162</v>
      </c>
      <c r="H9758" t="s">
        <v>21</v>
      </c>
      <c r="I9758" t="s">
        <v>18818</v>
      </c>
      <c r="J9758" t="str">
        <f>HYPERLINK("https://www.boe.es/gazeta/dias/1821/11/27/pdfs/GMD-1821-339.pdf#page=5","Abrir facsímil")</f>
        <v>Abrir facsímil</v>
      </c>
      <c r="K9758" t="s">
        <v>23</v>
      </c>
    </row>
    <row r="9759" spans="1:11" ht="42" customHeight="1">
      <c r="A9759" t="s">
        <v>18685</v>
      </c>
      <c r="B9759" t="s">
        <v>18685</v>
      </c>
      <c r="C9759" t="s">
        <v>17</v>
      </c>
      <c r="D9759" t="s">
        <v>18</v>
      </c>
      <c r="E9759" s="6">
        <v>-28522</v>
      </c>
      <c r="F9759" t="s">
        <v>1083</v>
      </c>
      <c r="G9759" t="s">
        <v>29</v>
      </c>
      <c r="H9759" t="s">
        <v>21</v>
      </c>
      <c r="I9759" t="s">
        <v>18819</v>
      </c>
      <c r="J9759" t="str">
        <f>HYPERLINK("https://www.boe.es/gazeta/dias/1821/11/27/pdfs/GMD-1821-339.pdf#page=6","Abrir facsímil")</f>
        <v>Abrir facsímil</v>
      </c>
      <c r="K9759" t="s">
        <v>23</v>
      </c>
    </row>
    <row r="9760" spans="1:11" ht="42" customHeight="1">
      <c r="A9760" t="s">
        <v>18685</v>
      </c>
      <c r="B9760" t="s">
        <v>18685</v>
      </c>
      <c r="C9760" t="s">
        <v>26</v>
      </c>
      <c r="D9760" t="s">
        <v>27</v>
      </c>
      <c r="E9760" s="6">
        <v>-28520</v>
      </c>
      <c r="F9760" t="s">
        <v>878</v>
      </c>
      <c r="G9760" t="s">
        <v>43</v>
      </c>
      <c r="H9760" t="s">
        <v>21</v>
      </c>
      <c r="I9760" t="s">
        <v>18820</v>
      </c>
      <c r="J9760" t="str">
        <f>HYPERLINK("https://www.boe.es/gazeta/dias/1821/11/29/pdfs/GMD-1821-341.pdf#page=1","Abrir facsímil")</f>
        <v>Abrir facsímil</v>
      </c>
      <c r="K9760" t="s">
        <v>23</v>
      </c>
    </row>
    <row r="9761" spans="1:11" ht="42" customHeight="1">
      <c r="A9761" t="s">
        <v>18685</v>
      </c>
      <c r="B9761" t="s">
        <v>18685</v>
      </c>
      <c r="C9761" t="s">
        <v>26</v>
      </c>
      <c r="D9761" t="s">
        <v>27</v>
      </c>
      <c r="E9761" s="6">
        <v>-28518</v>
      </c>
      <c r="F9761" t="s">
        <v>410</v>
      </c>
      <c r="G9761" t="s">
        <v>20</v>
      </c>
      <c r="H9761" t="s">
        <v>21</v>
      </c>
      <c r="I9761" t="s">
        <v>18821</v>
      </c>
      <c r="J9761" t="str">
        <f>HYPERLINK("https://www.boe.es/gazeta/dias/1821/12/01/pdfs/GMD-1821-343.pdf#page=3","Abrir facsímil")</f>
        <v>Abrir facsímil</v>
      </c>
      <c r="K9761" t="s">
        <v>23</v>
      </c>
    </row>
    <row r="9762" spans="1:11" ht="42" customHeight="1">
      <c r="A9762" t="s">
        <v>18685</v>
      </c>
      <c r="B9762" t="s">
        <v>18685</v>
      </c>
      <c r="C9762" t="s">
        <v>26</v>
      </c>
      <c r="D9762" t="s">
        <v>27</v>
      </c>
      <c r="E9762" s="6">
        <v>-28517</v>
      </c>
      <c r="F9762" t="s">
        <v>563</v>
      </c>
      <c r="G9762" t="s">
        <v>52</v>
      </c>
      <c r="H9762" t="s">
        <v>21</v>
      </c>
      <c r="I9762" t="s">
        <v>18822</v>
      </c>
      <c r="J9762" t="str">
        <f>HYPERLINK("https://www.boe.es/gazeta/dias/1821/12/02/pdfs/GMD-1821-344.pdf#page=2","Abrir facsímil")</f>
        <v>Abrir facsímil</v>
      </c>
      <c r="K9762" t="s">
        <v>23</v>
      </c>
    </row>
    <row r="9763" spans="1:11" ht="42" customHeight="1">
      <c r="A9763" t="s">
        <v>18685</v>
      </c>
      <c r="B9763" t="s">
        <v>18685</v>
      </c>
      <c r="C9763" t="s">
        <v>26</v>
      </c>
      <c r="D9763" t="s">
        <v>27</v>
      </c>
      <c r="E9763" s="6">
        <v>-28516</v>
      </c>
      <c r="F9763" t="s">
        <v>514</v>
      </c>
      <c r="G9763" t="s">
        <v>88</v>
      </c>
      <c r="H9763" t="s">
        <v>21</v>
      </c>
      <c r="I9763" t="s">
        <v>18823</v>
      </c>
      <c r="J9763" t="str">
        <f>HYPERLINK("https://www.boe.es/gazeta/dias/1821/12/03/pdfs/GMD-1821-345.pdf#page=4","Abrir facsímil")</f>
        <v>Abrir facsímil</v>
      </c>
      <c r="K9763" t="s">
        <v>23</v>
      </c>
    </row>
    <row r="9764" spans="1:11" ht="42" customHeight="1">
      <c r="A9764" t="s">
        <v>18685</v>
      </c>
      <c r="B9764" t="s">
        <v>18685</v>
      </c>
      <c r="C9764" t="s">
        <v>26</v>
      </c>
      <c r="D9764" t="s">
        <v>27</v>
      </c>
      <c r="E9764" s="6">
        <v>-28511</v>
      </c>
      <c r="F9764" t="s">
        <v>340</v>
      </c>
      <c r="G9764" t="s">
        <v>20</v>
      </c>
      <c r="H9764" t="s">
        <v>21</v>
      </c>
      <c r="I9764" t="s">
        <v>18824</v>
      </c>
      <c r="J9764" t="str">
        <f>HYPERLINK("https://www.boe.es/gazeta/dias/1821/12/08/pdfs/GMD-1821-350.pdf#page=3","Abrir facsímil")</f>
        <v>Abrir facsímil</v>
      </c>
      <c r="K9764" t="s">
        <v>23</v>
      </c>
    </row>
    <row r="9765" spans="1:11" ht="42" customHeight="1">
      <c r="A9765" t="s">
        <v>18685</v>
      </c>
      <c r="B9765" t="s">
        <v>18685</v>
      </c>
      <c r="C9765" t="s">
        <v>70</v>
      </c>
      <c r="D9765" t="s">
        <v>27</v>
      </c>
      <c r="E9765" s="6">
        <v>-28509</v>
      </c>
      <c r="F9765" t="s">
        <v>388</v>
      </c>
      <c r="G9765" t="s">
        <v>162</v>
      </c>
      <c r="H9765" t="s">
        <v>21</v>
      </c>
      <c r="I9765" t="s">
        <v>18825</v>
      </c>
      <c r="J9765" t="str">
        <f>HYPERLINK("https://www.boe.es/gazeta/dias/1821/12/10/pdfs/GMD-1821-352.pdf#page=5","Abrir facsímil")</f>
        <v>Abrir facsímil</v>
      </c>
      <c r="K9765" t="s">
        <v>23</v>
      </c>
    </row>
    <row r="9766" spans="1:11" ht="42" customHeight="1">
      <c r="A9766" t="s">
        <v>18685</v>
      </c>
      <c r="B9766" t="s">
        <v>18685</v>
      </c>
      <c r="C9766" t="s">
        <v>40</v>
      </c>
      <c r="D9766" t="s">
        <v>41</v>
      </c>
      <c r="E9766" s="6">
        <v>-28509</v>
      </c>
      <c r="F9766" t="s">
        <v>388</v>
      </c>
      <c r="G9766" t="s">
        <v>333</v>
      </c>
      <c r="H9766" t="s">
        <v>21</v>
      </c>
      <c r="I9766" t="s">
        <v>18826</v>
      </c>
      <c r="J9766" t="str">
        <f>HYPERLINK("https://www.boe.es/gazeta/dias/1821/12/10/pdfs/GMD-1821-352.pdf#page=8","Abrir facsímil")</f>
        <v>Abrir facsímil</v>
      </c>
      <c r="K9766" t="s">
        <v>23</v>
      </c>
    </row>
    <row r="9767" spans="1:11" ht="42" customHeight="1">
      <c r="A9767" t="s">
        <v>18685</v>
      </c>
      <c r="B9767" t="s">
        <v>18685</v>
      </c>
      <c r="C9767" t="s">
        <v>26</v>
      </c>
      <c r="D9767" t="s">
        <v>27</v>
      </c>
      <c r="E9767" s="6">
        <v>-28504</v>
      </c>
      <c r="F9767" t="s">
        <v>1098</v>
      </c>
      <c r="G9767" t="s">
        <v>609</v>
      </c>
      <c r="H9767" t="s">
        <v>21</v>
      </c>
      <c r="I9767" t="s">
        <v>18827</v>
      </c>
      <c r="J9767" t="str">
        <f>HYPERLINK("https://www.boe.es/gazeta/dias/1821/12/15/pdfs/GMD-1821-358.pdf#page=7","Abrir facsímil")</f>
        <v>Abrir facsímil</v>
      </c>
      <c r="K9767" t="s">
        <v>23</v>
      </c>
    </row>
    <row r="9768" spans="1:11" ht="42" customHeight="1">
      <c r="A9768" t="s">
        <v>18685</v>
      </c>
      <c r="B9768" t="s">
        <v>18685</v>
      </c>
      <c r="C9768" t="s">
        <v>35</v>
      </c>
      <c r="D9768" t="s">
        <v>27</v>
      </c>
      <c r="E9768" s="6">
        <v>-28503</v>
      </c>
      <c r="F9768" t="s">
        <v>947</v>
      </c>
      <c r="G9768" t="s">
        <v>88</v>
      </c>
      <c r="H9768" t="s">
        <v>21</v>
      </c>
      <c r="I9768" t="s">
        <v>18828</v>
      </c>
      <c r="J9768" t="str">
        <f>HYPERLINK("https://www.boe.es/gazeta/dias/1821/12/16/pdfs/GMD-1821-359.pdf#page=4","Abrir facsímil")</f>
        <v>Abrir facsímil</v>
      </c>
      <c r="K9768" t="s">
        <v>23</v>
      </c>
    </row>
    <row r="9769" spans="1:11" ht="42" customHeight="1">
      <c r="A9769" t="s">
        <v>18685</v>
      </c>
      <c r="B9769" t="s">
        <v>18685</v>
      </c>
      <c r="C9769" t="s">
        <v>35</v>
      </c>
      <c r="D9769" t="s">
        <v>27</v>
      </c>
      <c r="E9769" s="6">
        <v>-28502</v>
      </c>
      <c r="F9769" t="s">
        <v>570</v>
      </c>
      <c r="G9769" t="s">
        <v>52</v>
      </c>
      <c r="H9769" t="s">
        <v>21</v>
      </c>
      <c r="I9769" t="s">
        <v>18829</v>
      </c>
      <c r="J9769" t="str">
        <f>HYPERLINK("https://www.boe.es/gazeta/dias/1821/12/17/pdfs/GMD-1821-360.pdf#page=2","Abrir facsímil")</f>
        <v>Abrir facsímil</v>
      </c>
      <c r="K9769" t="s">
        <v>23</v>
      </c>
    </row>
    <row r="9770" spans="1:11" ht="42" customHeight="1">
      <c r="A9770" t="s">
        <v>18685</v>
      </c>
      <c r="B9770" t="s">
        <v>18685</v>
      </c>
      <c r="C9770" t="s">
        <v>17</v>
      </c>
      <c r="D9770" t="s">
        <v>18</v>
      </c>
      <c r="E9770" s="6">
        <v>-28495</v>
      </c>
      <c r="F9770" t="s">
        <v>227</v>
      </c>
      <c r="G9770" t="s">
        <v>88</v>
      </c>
      <c r="H9770" t="s">
        <v>21</v>
      </c>
      <c r="I9770" t="s">
        <v>18830</v>
      </c>
      <c r="J9770" t="str">
        <f>HYPERLINK("https://www.boe.es/gazeta/dias/1821/12/24/pdfs/GMD-1821-367.pdf#page=4","Abrir facsímil")</f>
        <v>Abrir facsímil</v>
      </c>
      <c r="K9770" t="s">
        <v>23</v>
      </c>
    </row>
    <row r="9771" spans="1:11" ht="42" customHeight="1">
      <c r="A9771" t="s">
        <v>18685</v>
      </c>
      <c r="B9771" t="s">
        <v>18685</v>
      </c>
      <c r="C9771" t="s">
        <v>17</v>
      </c>
      <c r="D9771" t="s">
        <v>18</v>
      </c>
      <c r="E9771" s="6">
        <v>-28495</v>
      </c>
      <c r="F9771" t="s">
        <v>227</v>
      </c>
      <c r="G9771" t="s">
        <v>333</v>
      </c>
      <c r="H9771" t="s">
        <v>21</v>
      </c>
      <c r="I9771" t="s">
        <v>18831</v>
      </c>
      <c r="J9771" t="str">
        <f>HYPERLINK("https://www.boe.es/gazeta/dias/1821/12/24/pdfs/GMD-1821-367.pdf#page=8","Abrir facsímil")</f>
        <v>Abrir facsímil</v>
      </c>
      <c r="K9771" t="s">
        <v>23</v>
      </c>
    </row>
    <row r="9772" spans="1:11" ht="42" customHeight="1">
      <c r="A9772" t="s">
        <v>18685</v>
      </c>
      <c r="B9772" t="s">
        <v>18685</v>
      </c>
      <c r="C9772" t="s">
        <v>17</v>
      </c>
      <c r="D9772" t="s">
        <v>18</v>
      </c>
      <c r="E9772" s="6">
        <v>-28492</v>
      </c>
      <c r="F9772" t="s">
        <v>1550</v>
      </c>
      <c r="G9772" t="s">
        <v>20</v>
      </c>
      <c r="H9772" t="s">
        <v>21</v>
      </c>
      <c r="I9772" t="s">
        <v>18832</v>
      </c>
      <c r="J9772" t="str">
        <f>HYPERLINK("https://www.boe.es/gazeta/dias/1821/12/27/pdfs/GMD-1821-370.pdf#page=3","Abrir facsímil")</f>
        <v>Abrir facsímil</v>
      </c>
      <c r="K9772" t="s">
        <v>23</v>
      </c>
    </row>
    <row r="9773" spans="1:11" ht="42" customHeight="1">
      <c r="A9773" t="s">
        <v>18685</v>
      </c>
      <c r="B9773" t="s">
        <v>18685</v>
      </c>
      <c r="C9773" t="s">
        <v>26</v>
      </c>
      <c r="D9773" t="s">
        <v>27</v>
      </c>
      <c r="E9773" s="6">
        <v>-28491</v>
      </c>
      <c r="F9773" t="s">
        <v>573</v>
      </c>
      <c r="G9773" t="s">
        <v>3891</v>
      </c>
      <c r="H9773" t="s">
        <v>21</v>
      </c>
      <c r="I9773" t="s">
        <v>18833</v>
      </c>
      <c r="J9773" t="str">
        <f>HYPERLINK("https://www.boe.es/gazeta/dias/1821/12/28/pdfs/GMD-1821-371.pdf#page=2","Abrir facsímil")</f>
        <v>Abrir facsímil</v>
      </c>
      <c r="K9773" t="s">
        <v>23</v>
      </c>
    </row>
    <row r="9774" spans="1:11" ht="42" customHeight="1">
      <c r="A9774" t="s">
        <v>18685</v>
      </c>
      <c r="B9774" t="s">
        <v>18685</v>
      </c>
      <c r="C9774" t="s">
        <v>17</v>
      </c>
      <c r="D9774" t="s">
        <v>18</v>
      </c>
      <c r="E9774" s="6">
        <v>-28491</v>
      </c>
      <c r="F9774" t="s">
        <v>573</v>
      </c>
      <c r="G9774" t="s">
        <v>88</v>
      </c>
      <c r="H9774" t="s">
        <v>21</v>
      </c>
      <c r="I9774" t="s">
        <v>18834</v>
      </c>
      <c r="J9774" t="str">
        <f>HYPERLINK("https://www.boe.es/gazeta/dias/1821/12/28/pdfs/GMD-1821-371.pdf#page=4","Abrir facsímil")</f>
        <v>Abrir facsímil</v>
      </c>
      <c r="K9774" t="s">
        <v>23</v>
      </c>
    </row>
    <row r="9775" spans="1:11" ht="42" customHeight="1">
      <c r="A9775" t="s">
        <v>18685</v>
      </c>
      <c r="B9775" t="s">
        <v>18685</v>
      </c>
      <c r="C9775" t="s">
        <v>40</v>
      </c>
      <c r="D9775" t="s">
        <v>41</v>
      </c>
      <c r="E9775" s="6">
        <v>-28490</v>
      </c>
      <c r="F9775" t="s">
        <v>801</v>
      </c>
      <c r="G9775" t="s">
        <v>802</v>
      </c>
      <c r="H9775" t="s">
        <v>21</v>
      </c>
      <c r="I9775" t="s">
        <v>18835</v>
      </c>
      <c r="J9775" t="str">
        <f>HYPERLINK("https://www.boe.es/gazeta/dias/1821/12/29/pdfs/GMD-1821-372.pdf#page=3","Abrir facsímil")</f>
        <v>Abrir facsímil</v>
      </c>
      <c r="K9775" t="s">
        <v>23</v>
      </c>
    </row>
    <row r="9776" spans="1:11" ht="42" customHeight="1">
      <c r="A9776" t="s">
        <v>18836</v>
      </c>
      <c r="B9776" t="s">
        <v>18836</v>
      </c>
      <c r="C9776" t="s">
        <v>40</v>
      </c>
      <c r="D9776" t="s">
        <v>41</v>
      </c>
      <c r="E9776" s="6">
        <v>-28763</v>
      </c>
      <c r="F9776" t="s">
        <v>1145</v>
      </c>
      <c r="G9776" t="s">
        <v>20</v>
      </c>
      <c r="H9776" t="s">
        <v>21</v>
      </c>
      <c r="I9776" t="s">
        <v>18837</v>
      </c>
      <c r="J9776" t="str">
        <f>HYPERLINK("https://www.boe.es/gazeta/dias/1821/03/31/pdfs/GMD-1821-92.pdf#page=3","Abrir facsímil")</f>
        <v>Abrir facsímil</v>
      </c>
      <c r="K9776" t="s">
        <v>23</v>
      </c>
    </row>
    <row r="9777" spans="1:11" ht="42" customHeight="1">
      <c r="A9777" t="s">
        <v>18838</v>
      </c>
      <c r="B9777" t="s">
        <v>18839</v>
      </c>
      <c r="C9777" t="s">
        <v>17</v>
      </c>
      <c r="D9777" t="s">
        <v>18</v>
      </c>
      <c r="E9777" s="6">
        <v>-28782</v>
      </c>
      <c r="F9777" t="s">
        <v>508</v>
      </c>
      <c r="G9777" t="s">
        <v>20</v>
      </c>
      <c r="H9777" t="s">
        <v>30</v>
      </c>
      <c r="I9777" t="s">
        <v>18840</v>
      </c>
      <c r="J9777" t="str">
        <f>HYPERLINK("https://www.boe.es/gazeta/dias/1821/03/12/pdfs/GMD-1821-71.pdf#page=3","Abrir facsímil")</f>
        <v>Abrir facsímil</v>
      </c>
      <c r="K9777" t="s">
        <v>32</v>
      </c>
    </row>
    <row r="9778" spans="1:11" ht="42" customHeight="1">
      <c r="A9778" t="s">
        <v>18841</v>
      </c>
      <c r="B9778" t="s">
        <v>18842</v>
      </c>
      <c r="C9778" t="s">
        <v>174</v>
      </c>
      <c r="D9778" t="s">
        <v>27</v>
      </c>
      <c r="E9778" s="6">
        <v>-28810</v>
      </c>
      <c r="F9778" t="s">
        <v>308</v>
      </c>
      <c r="G9778" t="s">
        <v>88</v>
      </c>
      <c r="H9778" t="s">
        <v>21</v>
      </c>
      <c r="I9778" t="s">
        <v>18843</v>
      </c>
      <c r="J9778" t="str">
        <f>HYPERLINK("https://www.boe.es/gazeta/dias/1821/02/12/pdfs/GGB-1821-43.pdf#page=4","Abrir facsímil")</f>
        <v>Abrir facsímil</v>
      </c>
      <c r="K9778" t="s">
        <v>23</v>
      </c>
    </row>
    <row r="9779" spans="1:11" ht="42" customHeight="1">
      <c r="A9779" t="s">
        <v>18844</v>
      </c>
      <c r="B9779" t="s">
        <v>18845</v>
      </c>
      <c r="C9779" t="s">
        <v>17</v>
      </c>
      <c r="D9779" t="s">
        <v>18</v>
      </c>
      <c r="E9779" s="6">
        <v>-28778</v>
      </c>
      <c r="F9779" t="s">
        <v>1301</v>
      </c>
      <c r="G9779" t="s">
        <v>20</v>
      </c>
      <c r="H9779" t="s">
        <v>21</v>
      </c>
      <c r="I9779" t="s">
        <v>18846</v>
      </c>
      <c r="J9779" t="str">
        <f>HYPERLINK("https://www.boe.es/gazeta/dias/1821/03/16/pdfs/GMD-1821-75.pdf#page=3","Abrir facsímil")</f>
        <v>Abrir facsímil</v>
      </c>
      <c r="K9779" t="s">
        <v>23</v>
      </c>
    </row>
    <row r="9780" spans="1:11" ht="42" customHeight="1">
      <c r="A9780" t="s">
        <v>18847</v>
      </c>
      <c r="B9780" t="s">
        <v>18848</v>
      </c>
      <c r="C9780" t="s">
        <v>70</v>
      </c>
      <c r="D9780" t="s">
        <v>27</v>
      </c>
      <c r="E9780" s="6">
        <v>-28560</v>
      </c>
      <c r="F9780" t="s">
        <v>363</v>
      </c>
      <c r="G9780" t="s">
        <v>162</v>
      </c>
      <c r="H9780" t="s">
        <v>21</v>
      </c>
      <c r="I9780" t="s">
        <v>18849</v>
      </c>
      <c r="J9780" t="str">
        <f>HYPERLINK("https://www.boe.es/gazeta/dias/1821/10/20/pdfs/GMD-1821-299.pdf#page=5","Abrir facsímil")</f>
        <v>Abrir facsímil</v>
      </c>
      <c r="K9780" t="s">
        <v>23</v>
      </c>
    </row>
    <row r="9781" spans="1:11" ht="42" customHeight="1">
      <c r="A9781" t="s">
        <v>18850</v>
      </c>
      <c r="B9781" t="s">
        <v>18851</v>
      </c>
      <c r="C9781" t="s">
        <v>40</v>
      </c>
      <c r="D9781" t="s">
        <v>41</v>
      </c>
      <c r="E9781" s="6">
        <v>-28492</v>
      </c>
      <c r="F9781" t="s">
        <v>1550</v>
      </c>
      <c r="G9781" t="s">
        <v>88</v>
      </c>
      <c r="H9781" t="s">
        <v>21</v>
      </c>
      <c r="I9781" t="s">
        <v>18852</v>
      </c>
      <c r="J9781" t="str">
        <f>HYPERLINK("https://www.boe.es/gazeta/dias/1821/12/27/pdfs/GMD-1821-370.pdf#page=4","Abrir facsímil")</f>
        <v>Abrir facsímil</v>
      </c>
      <c r="K9781" t="s">
        <v>23</v>
      </c>
    </row>
    <row r="9782" spans="1:11" ht="42" customHeight="1">
      <c r="A9782" t="s">
        <v>18853</v>
      </c>
      <c r="B9782" t="s">
        <v>18853</v>
      </c>
      <c r="C9782" t="s">
        <v>17</v>
      </c>
      <c r="D9782" t="s">
        <v>18</v>
      </c>
      <c r="E9782" s="6">
        <v>-28536</v>
      </c>
      <c r="F9782" t="s">
        <v>553</v>
      </c>
      <c r="G9782" t="s">
        <v>162</v>
      </c>
      <c r="H9782" t="s">
        <v>21</v>
      </c>
      <c r="I9782" t="s">
        <v>18854</v>
      </c>
      <c r="J9782" t="str">
        <f>HYPERLINK("https://www.boe.es/gazeta/dias/1821/11/13/pdfs/GMD-1821-324.pdf#page=5","Abrir facsímil")</f>
        <v>Abrir facsímil</v>
      </c>
      <c r="K9782" t="s">
        <v>23</v>
      </c>
    </row>
    <row r="9783" spans="1:11" ht="42" customHeight="1">
      <c r="A9783" t="s">
        <v>18855</v>
      </c>
      <c r="B9783" t="s">
        <v>18855</v>
      </c>
      <c r="C9783" t="s">
        <v>35</v>
      </c>
      <c r="D9783" t="s">
        <v>27</v>
      </c>
      <c r="E9783" s="6">
        <v>-28701</v>
      </c>
      <c r="F9783" t="s">
        <v>202</v>
      </c>
      <c r="G9783" t="s">
        <v>52</v>
      </c>
      <c r="H9783" t="s">
        <v>21</v>
      </c>
      <c r="I9783" t="s">
        <v>18856</v>
      </c>
      <c r="J9783" t="str">
        <f>HYPERLINK("https://www.boe.es/gazeta/dias/1821/06/01/pdfs/GMD-1821-154.pdf#page=2","Abrir facsímil")</f>
        <v>Abrir facsímil</v>
      </c>
      <c r="K9783" t="s">
        <v>23</v>
      </c>
    </row>
    <row r="9784" spans="1:11" ht="42" customHeight="1">
      <c r="A9784" t="s">
        <v>18855</v>
      </c>
      <c r="B9784" t="s">
        <v>18855</v>
      </c>
      <c r="C9784" t="s">
        <v>114</v>
      </c>
      <c r="D9784" t="s">
        <v>27</v>
      </c>
      <c r="E9784" s="6">
        <v>-28674</v>
      </c>
      <c r="F9784" t="s">
        <v>536</v>
      </c>
      <c r="G9784" t="s">
        <v>537</v>
      </c>
      <c r="H9784" t="s">
        <v>21</v>
      </c>
      <c r="I9784" t="s">
        <v>18857</v>
      </c>
      <c r="J9784" t="str">
        <f>HYPERLINK("https://www.boe.es/gazeta/dias/1821/06/28/pdfs/GMD-1821-181.pdf#page=2","Abrir facsímil")</f>
        <v>Abrir facsímil</v>
      </c>
      <c r="K9784" t="s">
        <v>23</v>
      </c>
    </row>
    <row r="9785" spans="1:11" ht="42" customHeight="1">
      <c r="A9785" t="s">
        <v>18858</v>
      </c>
      <c r="B9785" t="s">
        <v>18858</v>
      </c>
      <c r="C9785" t="s">
        <v>17</v>
      </c>
      <c r="D9785" t="s">
        <v>18</v>
      </c>
      <c r="E9785" s="6">
        <v>-28540</v>
      </c>
      <c r="F9785" t="s">
        <v>2672</v>
      </c>
      <c r="G9785" t="s">
        <v>88</v>
      </c>
      <c r="H9785" t="s">
        <v>21</v>
      </c>
      <c r="I9785" t="s">
        <v>18859</v>
      </c>
      <c r="J9785" t="str">
        <f>HYPERLINK("https://www.boe.es/gazeta/dias/1821/11/09/pdfs/GMD-1821-320.pdf#page=4","Abrir facsímil")</f>
        <v>Abrir facsímil</v>
      </c>
      <c r="K9785" t="s">
        <v>23</v>
      </c>
    </row>
    <row r="9786" spans="1:11" ht="42" customHeight="1">
      <c r="A9786" t="s">
        <v>18858</v>
      </c>
      <c r="B9786" t="s">
        <v>18858</v>
      </c>
      <c r="C9786" t="s">
        <v>114</v>
      </c>
      <c r="D9786" t="s">
        <v>27</v>
      </c>
      <c r="E9786" s="6">
        <v>-28538</v>
      </c>
      <c r="F9786" t="s">
        <v>395</v>
      </c>
      <c r="G9786" t="s">
        <v>20</v>
      </c>
      <c r="H9786" t="s">
        <v>21</v>
      </c>
      <c r="I9786" t="s">
        <v>18860</v>
      </c>
      <c r="J9786" t="str">
        <f>HYPERLINK("https://www.boe.es/gazeta/dias/1821/11/11/pdfs/GMD-1821-322.pdf#page=3","Abrir facsímil")</f>
        <v>Abrir facsímil</v>
      </c>
      <c r="K9786" t="s">
        <v>23</v>
      </c>
    </row>
    <row r="9787" spans="1:11" ht="42" customHeight="1">
      <c r="A9787" t="s">
        <v>18858</v>
      </c>
      <c r="B9787" t="s">
        <v>18858</v>
      </c>
      <c r="C9787" t="s">
        <v>26</v>
      </c>
      <c r="D9787" t="s">
        <v>27</v>
      </c>
      <c r="E9787" s="6">
        <v>-28522</v>
      </c>
      <c r="F9787" t="s">
        <v>1083</v>
      </c>
      <c r="G9787" t="s">
        <v>29</v>
      </c>
      <c r="H9787" t="s">
        <v>21</v>
      </c>
      <c r="I9787" t="s">
        <v>18861</v>
      </c>
      <c r="J9787" t="str">
        <f>HYPERLINK("https://www.boe.es/gazeta/dias/1821/11/27/pdfs/GMD-1821-339.pdf#page=6","Abrir facsímil")</f>
        <v>Abrir facsímil</v>
      </c>
      <c r="K9787" t="s">
        <v>23</v>
      </c>
    </row>
    <row r="9788" spans="1:11" ht="42" customHeight="1">
      <c r="A9788" t="s">
        <v>18862</v>
      </c>
      <c r="B9788" t="s">
        <v>18863</v>
      </c>
      <c r="C9788" t="s">
        <v>17</v>
      </c>
      <c r="D9788" t="s">
        <v>18</v>
      </c>
      <c r="E9788" s="6">
        <v>-28537</v>
      </c>
      <c r="F9788" t="s">
        <v>56</v>
      </c>
      <c r="G9788" t="s">
        <v>29</v>
      </c>
      <c r="H9788" t="s">
        <v>21</v>
      </c>
      <c r="I9788" t="s">
        <v>18864</v>
      </c>
      <c r="J9788" t="str">
        <f>HYPERLINK("https://www.boe.es/gazeta/dias/1821/11/12/pdfs/GMD-1821-323.pdf#page=6","Abrir facsímil")</f>
        <v>Abrir facsímil</v>
      </c>
      <c r="K9788" t="s">
        <v>23</v>
      </c>
    </row>
    <row r="9789" spans="1:11" ht="42" customHeight="1">
      <c r="A9789" t="s">
        <v>18865</v>
      </c>
      <c r="B9789" t="s">
        <v>18866</v>
      </c>
      <c r="C9789" t="s">
        <v>17</v>
      </c>
      <c r="D9789" t="s">
        <v>18</v>
      </c>
      <c r="E9789" s="6">
        <v>-28496</v>
      </c>
      <c r="F9789" t="s">
        <v>785</v>
      </c>
      <c r="G9789" t="s">
        <v>29</v>
      </c>
      <c r="H9789" t="s">
        <v>21</v>
      </c>
      <c r="I9789" t="s">
        <v>18867</v>
      </c>
      <c r="J9789" t="str">
        <f>HYPERLINK("https://www.boe.es/gazeta/dias/1821/12/23/pdfs/GMD-1821-366.pdf#page=6","Abrir facsímil")</f>
        <v>Abrir facsímil</v>
      </c>
      <c r="K9789" t="s">
        <v>23</v>
      </c>
    </row>
    <row r="9790" spans="1:11" ht="42" customHeight="1">
      <c r="A9790" t="s">
        <v>18868</v>
      </c>
      <c r="B9790" t="s">
        <v>18869</v>
      </c>
      <c r="C9790" t="s">
        <v>70</v>
      </c>
      <c r="D9790" t="s">
        <v>27</v>
      </c>
      <c r="E9790" s="6">
        <v>-28739</v>
      </c>
      <c r="F9790" t="s">
        <v>1024</v>
      </c>
      <c r="G9790" t="s">
        <v>52</v>
      </c>
      <c r="H9790" t="s">
        <v>21</v>
      </c>
      <c r="I9790" t="s">
        <v>18870</v>
      </c>
      <c r="J9790" t="str">
        <f>HYPERLINK("https://www.boe.es/gazeta/dias/1821/04/24/pdfs/GMD-1821-116.pdf#page=2","Abrir facsímil")</f>
        <v>Abrir facsímil</v>
      </c>
      <c r="K9790" t="s">
        <v>23</v>
      </c>
    </row>
    <row r="9791" spans="1:11" ht="42" customHeight="1">
      <c r="A9791" t="s">
        <v>18871</v>
      </c>
      <c r="B9791" t="s">
        <v>18871</v>
      </c>
      <c r="C9791" t="s">
        <v>40</v>
      </c>
      <c r="D9791" t="s">
        <v>41</v>
      </c>
      <c r="E9791" s="6">
        <v>-28566</v>
      </c>
      <c r="F9791" t="s">
        <v>1529</v>
      </c>
      <c r="G9791" t="s">
        <v>43</v>
      </c>
      <c r="H9791" t="s">
        <v>21</v>
      </c>
      <c r="I9791" t="s">
        <v>18872</v>
      </c>
      <c r="J9791" t="str">
        <f>HYPERLINK("https://www.boe.es/gazeta/dias/1821/10/14/pdfs/GMD-1821-293.pdf#page=1","Abrir facsímil")</f>
        <v>Abrir facsímil</v>
      </c>
      <c r="K9791" t="s">
        <v>23</v>
      </c>
    </row>
    <row r="9792" spans="1:11" ht="42" customHeight="1">
      <c r="A9792" t="s">
        <v>18873</v>
      </c>
      <c r="B9792" t="s">
        <v>18874</v>
      </c>
      <c r="C9792" t="s">
        <v>40</v>
      </c>
      <c r="D9792" t="s">
        <v>41</v>
      </c>
      <c r="E9792" s="6">
        <v>-28761</v>
      </c>
      <c r="F9792" t="s">
        <v>771</v>
      </c>
      <c r="G9792" t="s">
        <v>52</v>
      </c>
      <c r="H9792" t="s">
        <v>21</v>
      </c>
      <c r="I9792" t="s">
        <v>18875</v>
      </c>
      <c r="J9792" t="str">
        <f>HYPERLINK("https://www.boe.es/gazeta/dias/1821/04/02/pdfs/GMD-1821-94.pdf#page=2","Abrir facsímil")</f>
        <v>Abrir facsímil</v>
      </c>
      <c r="K9792" t="s">
        <v>23</v>
      </c>
    </row>
    <row r="9793" spans="1:11" ht="42" customHeight="1">
      <c r="A9793" t="s">
        <v>18876</v>
      </c>
      <c r="B9793" t="s">
        <v>18877</v>
      </c>
      <c r="C9793" t="s">
        <v>40</v>
      </c>
      <c r="D9793" t="s">
        <v>41</v>
      </c>
      <c r="E9793" s="6">
        <v>-28619</v>
      </c>
      <c r="F9793" t="s">
        <v>3364</v>
      </c>
      <c r="G9793" t="s">
        <v>52</v>
      </c>
      <c r="H9793" t="s">
        <v>21</v>
      </c>
      <c r="I9793" t="s">
        <v>18878</v>
      </c>
      <c r="J9793" t="str">
        <f>HYPERLINK("https://www.boe.es/gazeta/dias/1821/08/22/pdfs/GMD-1821-239.pdf#page=2","Abrir facsímil")</f>
        <v>Abrir facsímil</v>
      </c>
      <c r="K9793" t="s">
        <v>23</v>
      </c>
    </row>
    <row r="9794" spans="1:11" ht="42" customHeight="1">
      <c r="A9794" t="s">
        <v>18879</v>
      </c>
      <c r="B9794" t="s">
        <v>18879</v>
      </c>
      <c r="C9794" t="s">
        <v>26</v>
      </c>
      <c r="D9794" t="s">
        <v>27</v>
      </c>
      <c r="E9794" s="6">
        <v>-28527</v>
      </c>
      <c r="F9794" t="s">
        <v>328</v>
      </c>
      <c r="G9794" t="s">
        <v>88</v>
      </c>
      <c r="H9794" t="s">
        <v>21</v>
      </c>
      <c r="I9794" t="s">
        <v>18880</v>
      </c>
      <c r="J9794" t="str">
        <f>HYPERLINK("https://www.boe.es/gazeta/dias/1821/11/22/pdfs/GMD-1821-333.pdf#page=4","Abrir facsímil")</f>
        <v>Abrir facsímil</v>
      </c>
      <c r="K9794" t="s">
        <v>23</v>
      </c>
    </row>
    <row r="9795" spans="1:11" ht="42" customHeight="1">
      <c r="A9795" t="s">
        <v>18881</v>
      </c>
      <c r="B9795" t="s">
        <v>18882</v>
      </c>
      <c r="C9795" t="s">
        <v>26</v>
      </c>
      <c r="D9795" t="s">
        <v>27</v>
      </c>
      <c r="E9795" s="6">
        <v>-28620</v>
      </c>
      <c r="F9795" t="s">
        <v>87</v>
      </c>
      <c r="G9795" t="s">
        <v>88</v>
      </c>
      <c r="H9795" t="s">
        <v>21</v>
      </c>
      <c r="I9795" t="s">
        <v>18883</v>
      </c>
      <c r="J9795" t="str">
        <f>HYPERLINK("https://www.boe.es/gazeta/dias/1821/08/21/pdfs/GMD-1821-238.pdf#page=4","Abrir facsímil")</f>
        <v>Abrir facsímil</v>
      </c>
      <c r="K9795" t="s">
        <v>23</v>
      </c>
    </row>
    <row r="9796" spans="1:11" ht="42" customHeight="1">
      <c r="A9796" t="s">
        <v>18884</v>
      </c>
      <c r="B9796" t="s">
        <v>18884</v>
      </c>
      <c r="C9796" t="s">
        <v>17</v>
      </c>
      <c r="D9796" t="s">
        <v>18</v>
      </c>
      <c r="E9796" s="6">
        <v>-28731</v>
      </c>
      <c r="F9796" t="s">
        <v>577</v>
      </c>
      <c r="G9796" t="s">
        <v>88</v>
      </c>
      <c r="H9796" t="s">
        <v>21</v>
      </c>
      <c r="I9796" t="s">
        <v>18885</v>
      </c>
      <c r="J9796" t="str">
        <f>HYPERLINK("https://www.boe.es/gazeta/dias/1821/05/02/pdfs/GMD-1821-124.pdf#page=4","Abrir facsímil")</f>
        <v>Abrir facsímil</v>
      </c>
      <c r="K9796" t="s">
        <v>23</v>
      </c>
    </row>
    <row r="9797" spans="1:11" ht="42" customHeight="1">
      <c r="A9797" t="s">
        <v>18886</v>
      </c>
      <c r="B9797" t="s">
        <v>18887</v>
      </c>
      <c r="C9797" t="s">
        <v>26</v>
      </c>
      <c r="D9797" t="s">
        <v>27</v>
      </c>
      <c r="E9797" s="6">
        <v>-28654</v>
      </c>
      <c r="F9797" t="s">
        <v>674</v>
      </c>
      <c r="G9797" t="s">
        <v>88</v>
      </c>
      <c r="H9797" t="s">
        <v>21</v>
      </c>
      <c r="I9797" t="s">
        <v>18888</v>
      </c>
      <c r="J9797" t="str">
        <f>HYPERLINK("https://www.boe.es/gazeta/dias/1821/07/18/pdfs/GMD-1821-203.pdf#page=4","Abrir facsímil")</f>
        <v>Abrir facsímil</v>
      </c>
      <c r="K9797" t="s">
        <v>23</v>
      </c>
    </row>
    <row r="9798" spans="1:11" ht="42" customHeight="1">
      <c r="A9798" t="s">
        <v>18889</v>
      </c>
      <c r="B9798" t="s">
        <v>18889</v>
      </c>
      <c r="C9798" t="s">
        <v>40</v>
      </c>
      <c r="D9798" t="s">
        <v>41</v>
      </c>
      <c r="E9798" s="6">
        <v>-28847</v>
      </c>
      <c r="F9798" t="s">
        <v>288</v>
      </c>
      <c r="G9798" t="s">
        <v>289</v>
      </c>
      <c r="H9798" t="s">
        <v>21</v>
      </c>
      <c r="I9798" t="s">
        <v>18890</v>
      </c>
      <c r="J9798" t="str">
        <f>HYPERLINK("https://www.boe.es/gazeta/dias/1821/01/06/pdfs/GGB-1821-6.pdf#page=4","Abrir facsímil")</f>
        <v>Abrir facsímil</v>
      </c>
      <c r="K9798" t="s">
        <v>23</v>
      </c>
    </row>
    <row r="9799" spans="1:11" ht="42" customHeight="1">
      <c r="A9799" t="s">
        <v>18889</v>
      </c>
      <c r="B9799" t="s">
        <v>18889</v>
      </c>
      <c r="C9799" t="s">
        <v>17</v>
      </c>
      <c r="D9799" t="s">
        <v>18</v>
      </c>
      <c r="E9799" s="6">
        <v>-28787</v>
      </c>
      <c r="F9799" t="s">
        <v>486</v>
      </c>
      <c r="G9799" t="s">
        <v>52</v>
      </c>
      <c r="H9799" t="s">
        <v>21</v>
      </c>
      <c r="I9799" t="s">
        <v>18891</v>
      </c>
      <c r="J9799" t="str">
        <f>HYPERLINK("https://www.boe.es/gazeta/dias/1821/03/07/pdfs/GGB-1821-66.pdf#page=2","Abrir facsímil")</f>
        <v>Abrir facsímil</v>
      </c>
      <c r="K9799" t="s">
        <v>23</v>
      </c>
    </row>
    <row r="9800" spans="1:11" ht="42" customHeight="1">
      <c r="A9800" t="s">
        <v>18889</v>
      </c>
      <c r="B9800" t="s">
        <v>18889</v>
      </c>
      <c r="C9800" t="s">
        <v>40</v>
      </c>
      <c r="D9800" t="s">
        <v>41</v>
      </c>
      <c r="E9800" s="6">
        <v>-28737</v>
      </c>
      <c r="F9800" t="s">
        <v>732</v>
      </c>
      <c r="G9800" t="s">
        <v>20</v>
      </c>
      <c r="H9800" t="s">
        <v>21</v>
      </c>
      <c r="I9800" t="s">
        <v>18892</v>
      </c>
      <c r="J9800" t="str">
        <f>HYPERLINK("https://www.boe.es/gazeta/dias/1821/04/26/pdfs/GMD-1821-118.pdf#page=3","Abrir facsímil")</f>
        <v>Abrir facsímil</v>
      </c>
      <c r="K9800" t="s">
        <v>23</v>
      </c>
    </row>
    <row r="9801" spans="1:11" ht="42" customHeight="1">
      <c r="A9801" t="s">
        <v>18889</v>
      </c>
      <c r="B9801" t="s">
        <v>18889</v>
      </c>
      <c r="C9801" t="s">
        <v>70</v>
      </c>
      <c r="D9801" t="s">
        <v>27</v>
      </c>
      <c r="E9801" s="6">
        <v>-28727</v>
      </c>
      <c r="F9801" t="s">
        <v>200</v>
      </c>
      <c r="G9801" t="s">
        <v>43</v>
      </c>
      <c r="H9801" t="s">
        <v>21</v>
      </c>
      <c r="I9801" t="s">
        <v>18893</v>
      </c>
      <c r="J9801" t="str">
        <f>HYPERLINK("https://www.boe.es/gazeta/dias/1821/05/06/pdfs/GMD-1821-128.pdf#page=1","Abrir facsímil")</f>
        <v>Abrir facsímil</v>
      </c>
      <c r="K9801" t="s">
        <v>23</v>
      </c>
    </row>
    <row r="9802" spans="1:11" ht="42" customHeight="1">
      <c r="A9802" t="s">
        <v>18889</v>
      </c>
      <c r="B9802" t="s">
        <v>18889</v>
      </c>
      <c r="C9802" t="s">
        <v>174</v>
      </c>
      <c r="D9802" t="s">
        <v>27</v>
      </c>
      <c r="E9802" s="6">
        <v>-28504</v>
      </c>
      <c r="F9802" t="s">
        <v>1098</v>
      </c>
      <c r="G9802" t="s">
        <v>333</v>
      </c>
      <c r="H9802" t="s">
        <v>21</v>
      </c>
      <c r="I9802" t="s">
        <v>18894</v>
      </c>
      <c r="J9802" t="str">
        <f>HYPERLINK("https://www.boe.es/gazeta/dias/1821/12/15/pdfs/GMD-1821-358.pdf#page=8","Abrir facsímil")</f>
        <v>Abrir facsímil</v>
      </c>
      <c r="K9802" t="s">
        <v>23</v>
      </c>
    </row>
    <row r="9803" spans="1:11" ht="42" customHeight="1">
      <c r="A9803" t="s">
        <v>18895</v>
      </c>
      <c r="B9803" t="s">
        <v>18896</v>
      </c>
      <c r="C9803" t="s">
        <v>40</v>
      </c>
      <c r="D9803" t="s">
        <v>41</v>
      </c>
      <c r="E9803" s="6">
        <v>-28725</v>
      </c>
      <c r="F9803" t="s">
        <v>440</v>
      </c>
      <c r="G9803" t="s">
        <v>88</v>
      </c>
      <c r="H9803" t="s">
        <v>21</v>
      </c>
      <c r="I9803" t="s">
        <v>18897</v>
      </c>
      <c r="J9803" t="str">
        <f>HYPERLINK("https://www.boe.es/gazeta/dias/1821/05/08/pdfs/GMD-1821-130.pdf#page=4","Abrir facsímil")</f>
        <v>Abrir facsímil</v>
      </c>
      <c r="K9803" t="s">
        <v>23</v>
      </c>
    </row>
    <row r="9804" spans="1:11" ht="42" customHeight="1">
      <c r="A9804" t="s">
        <v>18898</v>
      </c>
      <c r="B9804" t="s">
        <v>18899</v>
      </c>
      <c r="C9804" t="s">
        <v>17</v>
      </c>
      <c r="D9804" t="s">
        <v>18</v>
      </c>
      <c r="E9804" s="6">
        <v>-28545</v>
      </c>
      <c r="F9804" t="s">
        <v>284</v>
      </c>
      <c r="G9804" t="s">
        <v>29</v>
      </c>
      <c r="H9804" t="s">
        <v>21</v>
      </c>
      <c r="I9804" t="s">
        <v>18900</v>
      </c>
      <c r="J9804" t="str">
        <f>HYPERLINK("https://www.boe.es/gazeta/dias/1821/11/04/pdfs/GMD-1821-315.pdf#page=6","Abrir facsímil")</f>
        <v>Abrir facsímil</v>
      </c>
      <c r="K9804" t="s">
        <v>23</v>
      </c>
    </row>
    <row r="9805" spans="1:11" ht="42" customHeight="1">
      <c r="A9805" t="s">
        <v>18901</v>
      </c>
      <c r="B9805" t="s">
        <v>18902</v>
      </c>
      <c r="C9805" t="s">
        <v>17</v>
      </c>
      <c r="D9805" t="s">
        <v>18</v>
      </c>
      <c r="E9805" s="6">
        <v>-28647</v>
      </c>
      <c r="F9805" t="s">
        <v>1295</v>
      </c>
      <c r="G9805" t="s">
        <v>88</v>
      </c>
      <c r="H9805" t="s">
        <v>21</v>
      </c>
      <c r="I9805" t="s">
        <v>18903</v>
      </c>
      <c r="J9805" t="str">
        <f>HYPERLINK("https://www.boe.es/gazeta/dias/1821/07/25/pdfs/GMD-1821-210.pdf#page=4","Abrir facsímil")</f>
        <v>Abrir facsímil</v>
      </c>
      <c r="K9805" t="s">
        <v>23</v>
      </c>
    </row>
    <row r="9806" spans="1:11" ht="42" customHeight="1">
      <c r="A9806" t="s">
        <v>18904</v>
      </c>
      <c r="B9806" t="s">
        <v>18905</v>
      </c>
      <c r="C9806" t="s">
        <v>17</v>
      </c>
      <c r="D9806" t="s">
        <v>18</v>
      </c>
      <c r="E9806" s="6">
        <v>-28703</v>
      </c>
      <c r="F9806" t="s">
        <v>231</v>
      </c>
      <c r="G9806" t="s">
        <v>52</v>
      </c>
      <c r="H9806" t="s">
        <v>21</v>
      </c>
      <c r="I9806" t="s">
        <v>18906</v>
      </c>
      <c r="J9806" t="str">
        <f>HYPERLINK("https://www.boe.es/gazeta/dias/1821/05/30/pdfs/GMD-1821-152.pdf#page=2","Abrir facsímil")</f>
        <v>Abrir facsímil</v>
      </c>
      <c r="K9806" t="s">
        <v>23</v>
      </c>
    </row>
    <row r="9807" spans="1:11" ht="42" customHeight="1">
      <c r="A9807" t="s">
        <v>18907</v>
      </c>
      <c r="B9807" t="s">
        <v>18908</v>
      </c>
      <c r="C9807" t="s">
        <v>35</v>
      </c>
      <c r="D9807" t="s">
        <v>27</v>
      </c>
      <c r="E9807" s="6">
        <v>-28693</v>
      </c>
      <c r="F9807" t="s">
        <v>74</v>
      </c>
      <c r="G9807" t="s">
        <v>1846</v>
      </c>
      <c r="H9807" t="s">
        <v>21</v>
      </c>
      <c r="I9807" t="s">
        <v>18909</v>
      </c>
      <c r="J9807" t="str">
        <f>HYPERLINK("https://www.boe.es/gazeta/dias/1821/06/09/pdfs/GMD-1821-162.pdf#page=6","Abrir facsímil")</f>
        <v>Abrir facsímil</v>
      </c>
      <c r="K9807" t="s">
        <v>23</v>
      </c>
    </row>
    <row r="9808" spans="1:11" ht="42" customHeight="1">
      <c r="A9808" t="s">
        <v>18910</v>
      </c>
      <c r="B9808" t="s">
        <v>18911</v>
      </c>
      <c r="C9808" t="s">
        <v>26</v>
      </c>
      <c r="D9808" t="s">
        <v>27</v>
      </c>
      <c r="E9808" s="6">
        <v>-28689</v>
      </c>
      <c r="F9808" t="s">
        <v>194</v>
      </c>
      <c r="G9808" t="s">
        <v>205</v>
      </c>
      <c r="H9808" t="s">
        <v>21</v>
      </c>
      <c r="I9808" t="s">
        <v>18912</v>
      </c>
      <c r="J9808" t="str">
        <f>HYPERLINK("https://www.boe.es/gazeta/dias/1821/06/13/pdfs/GMD-1821-166.pdf#page=6","Abrir facsímil")</f>
        <v>Abrir facsímil</v>
      </c>
      <c r="K9808" t="s">
        <v>23</v>
      </c>
    </row>
    <row r="9809" spans="1:11" ht="42" customHeight="1">
      <c r="A9809" t="s">
        <v>18907</v>
      </c>
      <c r="B9809" t="s">
        <v>18908</v>
      </c>
      <c r="C9809" t="s">
        <v>17</v>
      </c>
      <c r="D9809" t="s">
        <v>18</v>
      </c>
      <c r="E9809" s="6">
        <v>-28679</v>
      </c>
      <c r="F9809" t="s">
        <v>213</v>
      </c>
      <c r="G9809" t="s">
        <v>29</v>
      </c>
      <c r="H9809" t="s">
        <v>21</v>
      </c>
      <c r="I9809" t="s">
        <v>18913</v>
      </c>
      <c r="J9809" t="str">
        <f>HYPERLINK("https://www.boe.es/gazeta/dias/1821/06/23/pdfs/GMD-1821-176.pdf#page=6","Abrir facsímil")</f>
        <v>Abrir facsímil</v>
      </c>
      <c r="K9809" t="s">
        <v>23</v>
      </c>
    </row>
    <row r="9810" spans="1:11" ht="42" customHeight="1">
      <c r="A9810" t="s">
        <v>18914</v>
      </c>
      <c r="B9810" t="s">
        <v>18914</v>
      </c>
      <c r="C9810" t="s">
        <v>26</v>
      </c>
      <c r="D9810" t="s">
        <v>27</v>
      </c>
      <c r="E9810" s="6">
        <v>-28663</v>
      </c>
      <c r="F9810" t="s">
        <v>3032</v>
      </c>
      <c r="G9810" t="s">
        <v>88</v>
      </c>
      <c r="H9810" t="s">
        <v>21</v>
      </c>
      <c r="I9810" t="s">
        <v>18915</v>
      </c>
      <c r="J9810" t="str">
        <f>HYPERLINK("https://www.boe.es/gazeta/dias/1821/07/09/pdfs/GMD-1821-194.pdf#page=4","Abrir facsímil")</f>
        <v>Abrir facsímil</v>
      </c>
      <c r="K9810" t="s">
        <v>23</v>
      </c>
    </row>
    <row r="9811" spans="1:11" ht="42" customHeight="1">
      <c r="A9811" t="s">
        <v>18916</v>
      </c>
      <c r="B9811" t="s">
        <v>18917</v>
      </c>
      <c r="C9811" t="s">
        <v>26</v>
      </c>
      <c r="D9811" t="s">
        <v>27</v>
      </c>
      <c r="E9811" s="6">
        <v>-28776</v>
      </c>
      <c r="F9811" t="s">
        <v>312</v>
      </c>
      <c r="G9811" t="s">
        <v>162</v>
      </c>
      <c r="H9811" t="s">
        <v>21</v>
      </c>
      <c r="I9811" t="s">
        <v>18918</v>
      </c>
      <c r="J9811" t="str">
        <f>HYPERLINK("https://www.boe.es/gazeta/dias/1821/03/18/pdfs/GMD-1821-77.pdf#page=5","Abrir facsímil")</f>
        <v>Abrir facsímil</v>
      </c>
      <c r="K9811" t="s">
        <v>23</v>
      </c>
    </row>
    <row r="9812" spans="1:11" ht="42" customHeight="1">
      <c r="A9812" t="s">
        <v>18919</v>
      </c>
      <c r="B9812" t="s">
        <v>18920</v>
      </c>
      <c r="C9812" t="s">
        <v>40</v>
      </c>
      <c r="D9812" t="s">
        <v>41</v>
      </c>
      <c r="E9812" s="6">
        <v>-28584</v>
      </c>
      <c r="F9812" t="s">
        <v>4544</v>
      </c>
      <c r="G9812" t="s">
        <v>20</v>
      </c>
      <c r="H9812" t="s">
        <v>21</v>
      </c>
      <c r="I9812" t="s">
        <v>18921</v>
      </c>
      <c r="J9812" t="str">
        <f>HYPERLINK("https://www.boe.es/gazeta/dias/1821/09/26/pdfs/GMD-1821-274.pdf#page=3","Abrir facsímil")</f>
        <v>Abrir facsímil</v>
      </c>
      <c r="K9812" t="s">
        <v>23</v>
      </c>
    </row>
    <row r="9813" spans="1:11" ht="42" customHeight="1">
      <c r="A9813" t="s">
        <v>18922</v>
      </c>
      <c r="B9813" t="s">
        <v>18923</v>
      </c>
      <c r="C9813" t="s">
        <v>17</v>
      </c>
      <c r="D9813" t="s">
        <v>18</v>
      </c>
      <c r="E9813" s="6">
        <v>-28671</v>
      </c>
      <c r="F9813" t="s">
        <v>5059</v>
      </c>
      <c r="G9813" t="s">
        <v>52</v>
      </c>
      <c r="H9813" t="s">
        <v>21</v>
      </c>
      <c r="I9813" t="s">
        <v>18924</v>
      </c>
      <c r="J9813" t="str">
        <f>HYPERLINK("https://www.boe.es/gazeta/dias/1821/07/01/pdfs/GMD-1821-185.pdf#page=2","Abrir facsímil")</f>
        <v>Abrir facsímil</v>
      </c>
      <c r="K9813" t="s">
        <v>23</v>
      </c>
    </row>
    <row r="9814" spans="1:11" ht="42" customHeight="1">
      <c r="A9814" t="s">
        <v>18925</v>
      </c>
      <c r="B9814" t="s">
        <v>18926</v>
      </c>
      <c r="C9814" t="s">
        <v>114</v>
      </c>
      <c r="D9814" t="s">
        <v>27</v>
      </c>
      <c r="E9814" s="6">
        <v>-28676</v>
      </c>
      <c r="F9814" t="s">
        <v>534</v>
      </c>
      <c r="G9814" t="s">
        <v>29</v>
      </c>
      <c r="H9814" t="s">
        <v>21</v>
      </c>
      <c r="I9814" t="s">
        <v>18927</v>
      </c>
      <c r="J9814" t="str">
        <f>HYPERLINK("https://www.boe.es/gazeta/dias/1821/06/26/pdfs/GMD-1821-179.pdf#page=6","Abrir facsímil")</f>
        <v>Abrir facsímil</v>
      </c>
      <c r="K9814" t="s">
        <v>23</v>
      </c>
    </row>
    <row r="9815" spans="1:11" ht="42" customHeight="1">
      <c r="A9815" t="s">
        <v>18928</v>
      </c>
      <c r="B9815" t="s">
        <v>18929</v>
      </c>
      <c r="C9815" t="s">
        <v>17</v>
      </c>
      <c r="D9815" t="s">
        <v>18</v>
      </c>
      <c r="E9815" s="6">
        <v>-28682</v>
      </c>
      <c r="F9815" t="s">
        <v>1064</v>
      </c>
      <c r="G9815" t="s">
        <v>29</v>
      </c>
      <c r="H9815" t="s">
        <v>21</v>
      </c>
      <c r="I9815" t="s">
        <v>18930</v>
      </c>
      <c r="J9815" t="str">
        <f>HYPERLINK("https://www.boe.es/gazeta/dias/1821/06/20/pdfs/GMD-1821-173.pdf#page=6","Abrir facsímil")</f>
        <v>Abrir facsímil</v>
      </c>
      <c r="K9815" t="s">
        <v>23</v>
      </c>
    </row>
    <row r="9816" spans="1:11" ht="42" customHeight="1">
      <c r="A9816" t="s">
        <v>18928</v>
      </c>
      <c r="B9816" t="s">
        <v>18929</v>
      </c>
      <c r="C9816" t="s">
        <v>35</v>
      </c>
      <c r="D9816" t="s">
        <v>27</v>
      </c>
      <c r="E9816" s="6">
        <v>-28659</v>
      </c>
      <c r="F9816" t="s">
        <v>2850</v>
      </c>
      <c r="G9816" t="s">
        <v>5087</v>
      </c>
      <c r="H9816" t="s">
        <v>21</v>
      </c>
      <c r="I9816" t="s">
        <v>18931</v>
      </c>
      <c r="J9816" t="str">
        <f>HYPERLINK("https://www.boe.es/gazeta/dias/1821/07/13/pdfs/GMD-1821-198.pdf#page=4","Abrir facsímil")</f>
        <v>Abrir facsímil</v>
      </c>
      <c r="K9816" t="s">
        <v>23</v>
      </c>
    </row>
    <row r="9817" spans="1:11" ht="42" customHeight="1">
      <c r="A9817" t="s">
        <v>18928</v>
      </c>
      <c r="B9817" t="s">
        <v>18929</v>
      </c>
      <c r="C9817" t="s">
        <v>17</v>
      </c>
      <c r="D9817" t="s">
        <v>18</v>
      </c>
      <c r="E9817" s="6">
        <v>-28646</v>
      </c>
      <c r="F9817" t="s">
        <v>1457</v>
      </c>
      <c r="G9817" t="s">
        <v>79</v>
      </c>
      <c r="H9817" t="s">
        <v>21</v>
      </c>
      <c r="I9817" t="s">
        <v>18932</v>
      </c>
      <c r="J9817" t="str">
        <f>HYPERLINK("https://www.boe.es/gazeta/dias/1821/07/26/pdfs/GMD-1821-211.pdf#page=4","Abrir facsímil")</f>
        <v>Abrir facsímil</v>
      </c>
      <c r="K9817" t="s">
        <v>23</v>
      </c>
    </row>
    <row r="9818" spans="1:11" ht="42" customHeight="1">
      <c r="A9818" t="s">
        <v>18928</v>
      </c>
      <c r="B9818" t="s">
        <v>18929</v>
      </c>
      <c r="C9818" t="s">
        <v>17</v>
      </c>
      <c r="D9818" t="s">
        <v>18</v>
      </c>
      <c r="E9818" s="6">
        <v>-28615</v>
      </c>
      <c r="F9818" t="s">
        <v>427</v>
      </c>
      <c r="G9818" t="s">
        <v>88</v>
      </c>
      <c r="H9818" t="s">
        <v>21</v>
      </c>
      <c r="I9818" t="s">
        <v>18933</v>
      </c>
      <c r="J9818" t="str">
        <f>HYPERLINK("https://www.boe.es/gazeta/dias/1821/08/26/pdfs/GMD-1821-243.pdf#page=4","Abrir facsímil")</f>
        <v>Abrir facsímil</v>
      </c>
      <c r="K9818" t="s">
        <v>23</v>
      </c>
    </row>
    <row r="9819" spans="1:11" ht="42" customHeight="1">
      <c r="A9819" t="s">
        <v>18928</v>
      </c>
      <c r="B9819" t="s">
        <v>18929</v>
      </c>
      <c r="C9819" t="s">
        <v>40</v>
      </c>
      <c r="D9819" t="s">
        <v>41</v>
      </c>
      <c r="E9819" s="6">
        <v>-28565</v>
      </c>
      <c r="F9819" t="s">
        <v>326</v>
      </c>
      <c r="G9819" t="s">
        <v>29</v>
      </c>
      <c r="H9819" t="s">
        <v>21</v>
      </c>
      <c r="I9819" t="s">
        <v>18934</v>
      </c>
      <c r="J9819" t="str">
        <f>HYPERLINK("https://www.boe.es/gazeta/dias/1821/10/15/pdfs/GMD-1821-294.pdf#page=6","Abrir facsímil")</f>
        <v>Abrir facsímil</v>
      </c>
      <c r="K9819" t="s">
        <v>23</v>
      </c>
    </row>
    <row r="9820" spans="1:11" ht="42" customHeight="1">
      <c r="A9820" t="s">
        <v>18928</v>
      </c>
      <c r="B9820" t="s">
        <v>18929</v>
      </c>
      <c r="C9820" t="s">
        <v>40</v>
      </c>
      <c r="D9820" t="s">
        <v>41</v>
      </c>
      <c r="E9820" s="6">
        <v>-28559</v>
      </c>
      <c r="F9820" t="s">
        <v>1078</v>
      </c>
      <c r="G9820" t="s">
        <v>29</v>
      </c>
      <c r="H9820" t="s">
        <v>21</v>
      </c>
      <c r="I9820" t="s">
        <v>18935</v>
      </c>
      <c r="J9820" t="str">
        <f>HYPERLINK("https://www.boe.es/gazeta/dias/1821/10/21/pdfs/GMD-1821-300.pdf#page=6","Abrir facsímil")</f>
        <v>Abrir facsímil</v>
      </c>
      <c r="K9820" t="s">
        <v>23</v>
      </c>
    </row>
    <row r="9821" spans="1:11" ht="42" customHeight="1">
      <c r="A9821" t="s">
        <v>18936</v>
      </c>
      <c r="B9821" t="s">
        <v>18937</v>
      </c>
      <c r="C9821" t="s">
        <v>40</v>
      </c>
      <c r="D9821" t="s">
        <v>41</v>
      </c>
      <c r="E9821" s="6">
        <v>-28637</v>
      </c>
      <c r="F9821" t="s">
        <v>3049</v>
      </c>
      <c r="G9821" t="s">
        <v>88</v>
      </c>
      <c r="H9821" t="s">
        <v>21</v>
      </c>
      <c r="I9821" t="s">
        <v>18938</v>
      </c>
      <c r="J9821" t="str">
        <f>HYPERLINK("https://www.boe.es/gazeta/dias/1821/08/04/pdfs/GMD-1821-220.pdf#page=4","Abrir facsímil")</f>
        <v>Abrir facsímil</v>
      </c>
      <c r="K9821" t="s">
        <v>23</v>
      </c>
    </row>
    <row r="9822" spans="1:11" ht="42" customHeight="1">
      <c r="A9822" t="s">
        <v>18939</v>
      </c>
      <c r="B9822" t="s">
        <v>18940</v>
      </c>
      <c r="C9822" t="s">
        <v>40</v>
      </c>
      <c r="D9822" t="s">
        <v>41</v>
      </c>
      <c r="E9822" s="6">
        <v>-28636</v>
      </c>
      <c r="F9822" t="s">
        <v>122</v>
      </c>
      <c r="G9822" t="s">
        <v>20</v>
      </c>
      <c r="H9822" t="s">
        <v>21</v>
      </c>
      <c r="I9822" t="s">
        <v>18941</v>
      </c>
      <c r="J9822" t="str">
        <f>HYPERLINK("https://www.boe.es/gazeta/dias/1821/08/05/pdfs/GMD-1821-221.pdf#page=3","Abrir facsímil")</f>
        <v>Abrir facsímil</v>
      </c>
      <c r="K9822" t="s">
        <v>23</v>
      </c>
    </row>
    <row r="9823" spans="1:11" ht="42" customHeight="1">
      <c r="A9823" t="s">
        <v>18942</v>
      </c>
      <c r="B9823" t="s">
        <v>18943</v>
      </c>
      <c r="C9823" t="s">
        <v>40</v>
      </c>
      <c r="D9823" t="s">
        <v>41</v>
      </c>
      <c r="E9823" s="6">
        <v>-28531</v>
      </c>
      <c r="F9823" t="s">
        <v>365</v>
      </c>
      <c r="G9823" t="s">
        <v>20</v>
      </c>
      <c r="H9823" t="s">
        <v>21</v>
      </c>
      <c r="I9823" t="s">
        <v>18944</v>
      </c>
      <c r="J9823" t="str">
        <f>HYPERLINK("https://www.boe.es/gazeta/dias/1821/11/18/pdfs/GMD-1821-329.pdf#page=3","Abrir facsímil")</f>
        <v>Abrir facsímil</v>
      </c>
      <c r="K9823" t="s">
        <v>23</v>
      </c>
    </row>
    <row r="9824" spans="1:11" ht="42" customHeight="1">
      <c r="A9824" t="s">
        <v>18945</v>
      </c>
      <c r="B9824" t="s">
        <v>18946</v>
      </c>
      <c r="C9824" t="s">
        <v>26</v>
      </c>
      <c r="D9824" t="s">
        <v>27</v>
      </c>
      <c r="E9824" s="6">
        <v>-28539</v>
      </c>
      <c r="F9824" t="s">
        <v>153</v>
      </c>
      <c r="G9824" t="s">
        <v>52</v>
      </c>
      <c r="H9824" t="s">
        <v>21</v>
      </c>
      <c r="I9824" t="s">
        <v>18947</v>
      </c>
      <c r="J9824" t="str">
        <f>HYPERLINK("https://www.boe.es/gazeta/dias/1821/11/10/pdfs/GMD-1821-321.pdf#page=2","Abrir facsímil")</f>
        <v>Abrir facsímil</v>
      </c>
      <c r="K9824" t="s">
        <v>23</v>
      </c>
    </row>
    <row r="9825" spans="1:11" ht="42" customHeight="1">
      <c r="A9825" t="s">
        <v>18948</v>
      </c>
      <c r="B9825" t="s">
        <v>18948</v>
      </c>
      <c r="C9825" t="s">
        <v>26</v>
      </c>
      <c r="D9825" t="s">
        <v>27</v>
      </c>
      <c r="E9825" s="6">
        <v>-28840</v>
      </c>
      <c r="F9825" t="s">
        <v>161</v>
      </c>
      <c r="G9825" t="s">
        <v>20</v>
      </c>
      <c r="H9825" t="s">
        <v>21</v>
      </c>
      <c r="I9825" t="s">
        <v>18949</v>
      </c>
      <c r="J9825" t="str">
        <f>HYPERLINK("https://www.boe.es/gazeta/dias/1821/01/13/pdfs/GGB-1821-13.pdf#page=3","Abrir facsímil")</f>
        <v>Abrir facsímil</v>
      </c>
      <c r="K9825" t="s">
        <v>23</v>
      </c>
    </row>
    <row r="9826" spans="1:11" ht="42" customHeight="1">
      <c r="A9826" t="s">
        <v>18950</v>
      </c>
      <c r="B9826" t="s">
        <v>18950</v>
      </c>
      <c r="C9826" t="s">
        <v>40</v>
      </c>
      <c r="D9826" t="s">
        <v>41</v>
      </c>
      <c r="E9826" s="6">
        <v>-28709</v>
      </c>
      <c r="F9826" t="s">
        <v>1434</v>
      </c>
      <c r="G9826" t="s">
        <v>43</v>
      </c>
      <c r="H9826" t="s">
        <v>21</v>
      </c>
      <c r="I9826" t="s">
        <v>18951</v>
      </c>
      <c r="J9826" t="str">
        <f>HYPERLINK("https://www.boe.es/gazeta/dias/1821/05/24/pdfs/GMD-1821-146.pdf#page=1","Abrir facsímil")</f>
        <v>Abrir facsímil</v>
      </c>
      <c r="K9826" t="s">
        <v>23</v>
      </c>
    </row>
    <row r="9827" spans="1:11" ht="42" customHeight="1">
      <c r="A9827" t="s">
        <v>18952</v>
      </c>
      <c r="B9827" t="s">
        <v>18952</v>
      </c>
      <c r="C9827" t="s">
        <v>174</v>
      </c>
      <c r="D9827" t="s">
        <v>27</v>
      </c>
      <c r="E9827" s="6">
        <v>-28655</v>
      </c>
      <c r="F9827" t="s">
        <v>2530</v>
      </c>
      <c r="G9827" t="s">
        <v>52</v>
      </c>
      <c r="H9827" t="s">
        <v>21</v>
      </c>
      <c r="I9827" t="s">
        <v>18953</v>
      </c>
      <c r="J9827" t="str">
        <f>HYPERLINK("https://www.boe.es/gazeta/dias/1821/07/17/pdfs/GMD-1821-202.pdf#page=2","Abrir facsímil")</f>
        <v>Abrir facsímil</v>
      </c>
      <c r="K9827" t="s">
        <v>23</v>
      </c>
    </row>
    <row r="9828" spans="1:11" ht="42" customHeight="1">
      <c r="A9828" t="s">
        <v>18954</v>
      </c>
      <c r="B9828" t="s">
        <v>18955</v>
      </c>
      <c r="C9828" t="s">
        <v>26</v>
      </c>
      <c r="D9828" t="s">
        <v>27</v>
      </c>
      <c r="E9828" s="6">
        <v>-28654</v>
      </c>
      <c r="F9828" t="s">
        <v>674</v>
      </c>
      <c r="G9828" t="s">
        <v>88</v>
      </c>
      <c r="H9828" t="s">
        <v>21</v>
      </c>
      <c r="I9828" t="s">
        <v>18956</v>
      </c>
      <c r="J9828" t="str">
        <f>HYPERLINK("https://www.boe.es/gazeta/dias/1821/07/18/pdfs/GMD-1821-203.pdf#page=4","Abrir facsímil")</f>
        <v>Abrir facsímil</v>
      </c>
      <c r="K9828" t="s">
        <v>23</v>
      </c>
    </row>
    <row r="9829" spans="1:11" ht="42" customHeight="1">
      <c r="A9829" t="s">
        <v>18957</v>
      </c>
      <c r="B9829" t="s">
        <v>18958</v>
      </c>
      <c r="C9829" t="s">
        <v>40</v>
      </c>
      <c r="D9829" t="s">
        <v>41</v>
      </c>
      <c r="E9829" s="6">
        <v>-28531</v>
      </c>
      <c r="F9829" t="s">
        <v>365</v>
      </c>
      <c r="G9829" t="s">
        <v>20</v>
      </c>
      <c r="H9829" t="s">
        <v>21</v>
      </c>
      <c r="I9829" t="s">
        <v>18959</v>
      </c>
      <c r="J9829" t="str">
        <f>HYPERLINK("https://www.boe.es/gazeta/dias/1821/11/18/pdfs/GMD-1821-329.pdf#page=3","Abrir facsímil")</f>
        <v>Abrir facsímil</v>
      </c>
      <c r="K9829" t="s">
        <v>23</v>
      </c>
    </row>
    <row r="9830" spans="1:11" ht="42" customHeight="1">
      <c r="A9830" t="s">
        <v>18960</v>
      </c>
      <c r="B9830" t="s">
        <v>18961</v>
      </c>
      <c r="C9830" t="s">
        <v>17</v>
      </c>
      <c r="D9830" t="s">
        <v>18</v>
      </c>
      <c r="E9830" s="6">
        <v>-28547</v>
      </c>
      <c r="F9830" t="s">
        <v>247</v>
      </c>
      <c r="G9830" t="s">
        <v>248</v>
      </c>
      <c r="H9830" t="s">
        <v>21</v>
      </c>
      <c r="I9830" t="s">
        <v>18962</v>
      </c>
      <c r="J9830" t="str">
        <f>HYPERLINK("https://www.boe.es/gazeta/dias/1821/11/02/pdfs/GMD-1821-312.pdf#page=2","Abrir facsímil")</f>
        <v>Abrir facsímil</v>
      </c>
      <c r="K9830" t="s">
        <v>23</v>
      </c>
    </row>
    <row r="9831" spans="1:11" ht="42" customHeight="1">
      <c r="A9831" t="s">
        <v>18963</v>
      </c>
      <c r="B9831" t="s">
        <v>18964</v>
      </c>
      <c r="C9831" t="s">
        <v>40</v>
      </c>
      <c r="D9831" t="s">
        <v>41</v>
      </c>
      <c r="E9831" s="6">
        <v>-28712</v>
      </c>
      <c r="F9831" t="s">
        <v>695</v>
      </c>
      <c r="G9831" t="s">
        <v>88</v>
      </c>
      <c r="H9831" t="s">
        <v>21</v>
      </c>
      <c r="I9831" t="s">
        <v>18965</v>
      </c>
      <c r="J9831" t="str">
        <f>HYPERLINK("https://www.boe.es/gazeta/dias/1821/05/21/pdfs/GMD-1821-143.pdf#page=4","Abrir facsímil")</f>
        <v>Abrir facsímil</v>
      </c>
      <c r="K9831" t="s">
        <v>23</v>
      </c>
    </row>
    <row r="9832" spans="1:11" ht="42" customHeight="1">
      <c r="A9832" t="s">
        <v>18966</v>
      </c>
      <c r="B9832" t="s">
        <v>18967</v>
      </c>
      <c r="C9832" t="s">
        <v>40</v>
      </c>
      <c r="D9832" t="s">
        <v>41</v>
      </c>
      <c r="E9832" s="6">
        <v>-28538</v>
      </c>
      <c r="F9832" t="s">
        <v>395</v>
      </c>
      <c r="G9832" t="s">
        <v>52</v>
      </c>
      <c r="H9832" t="s">
        <v>21</v>
      </c>
      <c r="I9832" t="s">
        <v>18968</v>
      </c>
      <c r="J9832" t="str">
        <f>HYPERLINK("https://www.boe.es/gazeta/dias/1821/11/11/pdfs/GMD-1821-322.pdf#page=2","Abrir facsímil")</f>
        <v>Abrir facsímil</v>
      </c>
      <c r="K9832" t="s">
        <v>23</v>
      </c>
    </row>
    <row r="9833" spans="1:11" ht="42" customHeight="1">
      <c r="A9833" t="s">
        <v>18969</v>
      </c>
      <c r="B9833" t="s">
        <v>18969</v>
      </c>
      <c r="C9833" t="s">
        <v>17</v>
      </c>
      <c r="D9833" t="s">
        <v>18</v>
      </c>
      <c r="E9833" s="6">
        <v>-28763</v>
      </c>
      <c r="F9833" t="s">
        <v>1145</v>
      </c>
      <c r="G9833" t="s">
        <v>20</v>
      </c>
      <c r="H9833" t="s">
        <v>21</v>
      </c>
      <c r="I9833" t="s">
        <v>18970</v>
      </c>
      <c r="J9833" t="str">
        <f>HYPERLINK("https://www.boe.es/gazeta/dias/1821/03/31/pdfs/GMD-1821-92.pdf#page=3","Abrir facsímil")</f>
        <v>Abrir facsímil</v>
      </c>
      <c r="K9833" t="s">
        <v>23</v>
      </c>
    </row>
    <row r="9834" spans="1:11" ht="42" customHeight="1">
      <c r="A9834" t="s">
        <v>18971</v>
      </c>
      <c r="B9834" t="s">
        <v>18971</v>
      </c>
      <c r="C9834" t="s">
        <v>114</v>
      </c>
      <c r="D9834" t="s">
        <v>27</v>
      </c>
      <c r="E9834" s="6">
        <v>-28574</v>
      </c>
      <c r="F9834" t="s">
        <v>779</v>
      </c>
      <c r="G9834" t="s">
        <v>333</v>
      </c>
      <c r="H9834" t="s">
        <v>21</v>
      </c>
      <c r="I9834" t="s">
        <v>18972</v>
      </c>
      <c r="J9834" t="str">
        <f>HYPERLINK("https://www.boe.es/gazeta/dias/1821/10/06/pdfs/GMD-1821-285.pdf#page=8","Abrir facsímil")</f>
        <v>Abrir facsímil</v>
      </c>
      <c r="K9834" t="s">
        <v>23</v>
      </c>
    </row>
    <row r="9835" spans="1:11" ht="42" customHeight="1">
      <c r="A9835" t="s">
        <v>18973</v>
      </c>
      <c r="B9835" t="s">
        <v>18973</v>
      </c>
      <c r="C9835" t="s">
        <v>40</v>
      </c>
      <c r="D9835" t="s">
        <v>41</v>
      </c>
      <c r="E9835" s="6">
        <v>-28724</v>
      </c>
      <c r="F9835" t="s">
        <v>1305</v>
      </c>
      <c r="G9835" t="s">
        <v>52</v>
      </c>
      <c r="H9835" t="s">
        <v>21</v>
      </c>
      <c r="I9835" t="s">
        <v>18974</v>
      </c>
      <c r="J9835" t="str">
        <f>HYPERLINK("https://www.boe.es/gazeta/dias/1821/05/09/pdfs/GMD-1821-131.pdf#page=2","Abrir facsímil")</f>
        <v>Abrir facsímil</v>
      </c>
      <c r="K9835" t="s">
        <v>23</v>
      </c>
    </row>
    <row r="9836" spans="1:11" ht="42" customHeight="1">
      <c r="A9836" t="s">
        <v>18973</v>
      </c>
      <c r="B9836" t="s">
        <v>18973</v>
      </c>
      <c r="C9836" t="s">
        <v>40</v>
      </c>
      <c r="D9836" t="s">
        <v>41</v>
      </c>
      <c r="E9836" s="6">
        <v>-28719</v>
      </c>
      <c r="F9836" t="s">
        <v>647</v>
      </c>
      <c r="G9836" t="s">
        <v>52</v>
      </c>
      <c r="H9836" t="s">
        <v>21</v>
      </c>
      <c r="I9836" t="s">
        <v>18975</v>
      </c>
      <c r="J9836" t="str">
        <f>HYPERLINK("https://www.boe.es/gazeta/dias/1821/05/14/pdfs/GMD-1821-136.pdf#page=2","Abrir facsímil")</f>
        <v>Abrir facsímil</v>
      </c>
      <c r="K9836" t="s">
        <v>23</v>
      </c>
    </row>
    <row r="9837" spans="1:11" ht="42" customHeight="1">
      <c r="A9837" t="s">
        <v>18973</v>
      </c>
      <c r="B9837" t="s">
        <v>18973</v>
      </c>
      <c r="C9837" t="s">
        <v>17</v>
      </c>
      <c r="D9837" t="s">
        <v>18</v>
      </c>
      <c r="E9837" s="6">
        <v>-28718</v>
      </c>
      <c r="F9837" t="s">
        <v>583</v>
      </c>
      <c r="G9837" t="s">
        <v>43</v>
      </c>
      <c r="H9837" t="s">
        <v>21</v>
      </c>
      <c r="I9837" t="s">
        <v>18976</v>
      </c>
      <c r="J9837" t="str">
        <f>HYPERLINK("https://www.boe.es/gazeta/dias/1821/05/15/pdfs/GMD-1821-137.pdf#page=1","Abrir facsímil")</f>
        <v>Abrir facsímil</v>
      </c>
      <c r="K9837" t="s">
        <v>23</v>
      </c>
    </row>
    <row r="9838" spans="1:11" ht="42" customHeight="1">
      <c r="A9838" t="s">
        <v>18973</v>
      </c>
      <c r="B9838" t="s">
        <v>18973</v>
      </c>
      <c r="C9838" t="s">
        <v>114</v>
      </c>
      <c r="D9838" t="s">
        <v>27</v>
      </c>
      <c r="E9838" s="6">
        <v>-28697</v>
      </c>
      <c r="F9838" t="s">
        <v>166</v>
      </c>
      <c r="G9838" t="s">
        <v>43</v>
      </c>
      <c r="H9838" t="s">
        <v>21</v>
      </c>
      <c r="I9838" t="s">
        <v>18977</v>
      </c>
      <c r="J9838" t="str">
        <f>HYPERLINK("https://www.boe.es/gazeta/dias/1821/06/05/pdfs/GMD-1821-158.pdf#page=1","Abrir facsímil")</f>
        <v>Abrir facsímil</v>
      </c>
      <c r="K9838" t="s">
        <v>23</v>
      </c>
    </row>
    <row r="9839" spans="1:11" ht="42" customHeight="1">
      <c r="A9839" t="s">
        <v>18973</v>
      </c>
      <c r="B9839" t="s">
        <v>18973</v>
      </c>
      <c r="C9839" t="s">
        <v>40</v>
      </c>
      <c r="D9839" t="s">
        <v>41</v>
      </c>
      <c r="E9839" s="6">
        <v>-28664</v>
      </c>
      <c r="F9839" t="s">
        <v>1365</v>
      </c>
      <c r="G9839" t="s">
        <v>20</v>
      </c>
      <c r="H9839" t="s">
        <v>21</v>
      </c>
      <c r="I9839" t="s">
        <v>18978</v>
      </c>
      <c r="J9839" t="str">
        <f>HYPERLINK("https://www.boe.es/gazeta/dias/1821/07/08/pdfs/GMD-1821-193.pdf#page=3","Abrir facsímil")</f>
        <v>Abrir facsímil</v>
      </c>
      <c r="K9839" t="s">
        <v>23</v>
      </c>
    </row>
    <row r="9840" spans="1:11" ht="42" customHeight="1">
      <c r="A9840" t="s">
        <v>18973</v>
      </c>
      <c r="B9840" t="s">
        <v>18973</v>
      </c>
      <c r="C9840" t="s">
        <v>17</v>
      </c>
      <c r="D9840" t="s">
        <v>18</v>
      </c>
      <c r="E9840" s="6">
        <v>-28663</v>
      </c>
      <c r="F9840" t="s">
        <v>3032</v>
      </c>
      <c r="G9840" t="s">
        <v>20</v>
      </c>
      <c r="H9840" t="s">
        <v>21</v>
      </c>
      <c r="I9840" t="s">
        <v>18979</v>
      </c>
      <c r="J9840" t="str">
        <f>HYPERLINK("https://www.boe.es/gazeta/dias/1821/07/09/pdfs/GMD-1821-194.pdf#page=3","Abrir facsímil")</f>
        <v>Abrir facsímil</v>
      </c>
      <c r="K9840" t="s">
        <v>23</v>
      </c>
    </row>
    <row r="9841" spans="1:11" ht="42" customHeight="1">
      <c r="A9841" t="s">
        <v>18973</v>
      </c>
      <c r="B9841" t="s">
        <v>18973</v>
      </c>
      <c r="C9841" t="s">
        <v>26</v>
      </c>
      <c r="D9841" t="s">
        <v>27</v>
      </c>
      <c r="E9841" s="6">
        <v>-28662</v>
      </c>
      <c r="F9841" t="s">
        <v>3289</v>
      </c>
      <c r="G9841" t="s">
        <v>52</v>
      </c>
      <c r="H9841" t="s">
        <v>21</v>
      </c>
      <c r="I9841" t="s">
        <v>18980</v>
      </c>
      <c r="J9841" t="str">
        <f>HYPERLINK("https://www.boe.es/gazeta/dias/1821/07/10/pdfs/GMD-1821-195.pdf#page=2","Abrir facsímil")</f>
        <v>Abrir facsímil</v>
      </c>
      <c r="K9841" t="s">
        <v>23</v>
      </c>
    </row>
    <row r="9842" spans="1:11" ht="42" customHeight="1">
      <c r="A9842" t="s">
        <v>18973</v>
      </c>
      <c r="B9842" t="s">
        <v>18973</v>
      </c>
      <c r="C9842" t="s">
        <v>40</v>
      </c>
      <c r="D9842" t="s">
        <v>41</v>
      </c>
      <c r="E9842" s="6">
        <v>-28661</v>
      </c>
      <c r="F9842" t="s">
        <v>2298</v>
      </c>
      <c r="G9842" t="s">
        <v>162</v>
      </c>
      <c r="H9842" t="s">
        <v>21</v>
      </c>
      <c r="I9842" t="s">
        <v>18981</v>
      </c>
      <c r="J9842" t="str">
        <f>HYPERLINK("https://www.boe.es/gazeta/dias/1821/07/11/pdfs/GMD-1821-196.pdf#page=5","Abrir facsímil")</f>
        <v>Abrir facsímil</v>
      </c>
      <c r="K9842" t="s">
        <v>23</v>
      </c>
    </row>
    <row r="9843" spans="1:11" ht="42" customHeight="1">
      <c r="A9843" t="s">
        <v>18973</v>
      </c>
      <c r="B9843" t="s">
        <v>18973</v>
      </c>
      <c r="C9843" t="s">
        <v>40</v>
      </c>
      <c r="D9843" t="s">
        <v>41</v>
      </c>
      <c r="E9843" s="6">
        <v>-28659</v>
      </c>
      <c r="F9843" t="s">
        <v>2850</v>
      </c>
      <c r="G9843" t="s">
        <v>52</v>
      </c>
      <c r="H9843" t="s">
        <v>21</v>
      </c>
      <c r="I9843" t="s">
        <v>18982</v>
      </c>
      <c r="J9843" t="str">
        <f>HYPERLINK("https://www.boe.es/gazeta/dias/1821/07/13/pdfs/GMD-1821-198.pdf#page=2","Abrir facsímil")</f>
        <v>Abrir facsímil</v>
      </c>
      <c r="K9843" t="s">
        <v>23</v>
      </c>
    </row>
    <row r="9844" spans="1:11" ht="42" customHeight="1">
      <c r="A9844" t="s">
        <v>18973</v>
      </c>
      <c r="B9844" t="s">
        <v>18973</v>
      </c>
      <c r="C9844" t="s">
        <v>70</v>
      </c>
      <c r="D9844" t="s">
        <v>27</v>
      </c>
      <c r="E9844" s="6">
        <v>-28657</v>
      </c>
      <c r="F9844" t="s">
        <v>5977</v>
      </c>
      <c r="G9844" t="s">
        <v>20</v>
      </c>
      <c r="H9844" t="s">
        <v>21</v>
      </c>
      <c r="I9844" t="s">
        <v>18983</v>
      </c>
      <c r="J9844" t="str">
        <f>HYPERLINK("https://www.boe.es/gazeta/dias/1821/07/15/pdfs/GMD-1821-200.pdf#page=3","Abrir facsímil")</f>
        <v>Abrir facsímil</v>
      </c>
      <c r="K9844" t="s">
        <v>23</v>
      </c>
    </row>
    <row r="9845" spans="1:11" ht="42" customHeight="1">
      <c r="A9845" t="s">
        <v>18973</v>
      </c>
      <c r="B9845" t="s">
        <v>18973</v>
      </c>
      <c r="C9845" t="s">
        <v>17</v>
      </c>
      <c r="D9845" t="s">
        <v>18</v>
      </c>
      <c r="E9845" s="6">
        <v>-28637</v>
      </c>
      <c r="F9845" t="s">
        <v>3049</v>
      </c>
      <c r="G9845" t="s">
        <v>52</v>
      </c>
      <c r="H9845" t="s">
        <v>21</v>
      </c>
      <c r="I9845" t="s">
        <v>18984</v>
      </c>
      <c r="J9845" t="str">
        <f>HYPERLINK("https://www.boe.es/gazeta/dias/1821/08/04/pdfs/GMD-1821-220.pdf#page=2","Abrir facsímil")</f>
        <v>Abrir facsímil</v>
      </c>
      <c r="K9845" t="s">
        <v>23</v>
      </c>
    </row>
    <row r="9846" spans="1:11" ht="42" customHeight="1">
      <c r="A9846" t="s">
        <v>18973</v>
      </c>
      <c r="B9846" t="s">
        <v>18973</v>
      </c>
      <c r="C9846" t="s">
        <v>40</v>
      </c>
      <c r="D9846" t="s">
        <v>41</v>
      </c>
      <c r="E9846" s="6">
        <v>-28637</v>
      </c>
      <c r="F9846" t="s">
        <v>3049</v>
      </c>
      <c r="G9846" t="s">
        <v>20</v>
      </c>
      <c r="H9846" t="s">
        <v>21</v>
      </c>
      <c r="I9846" t="s">
        <v>18985</v>
      </c>
      <c r="J9846" t="str">
        <f>HYPERLINK("https://www.boe.es/gazeta/dias/1821/08/04/pdfs/GMD-1821-220.pdf#page=3","Abrir facsímil")</f>
        <v>Abrir facsímil</v>
      </c>
      <c r="K9846" t="s">
        <v>23</v>
      </c>
    </row>
    <row r="9847" spans="1:11" ht="42" customHeight="1">
      <c r="A9847" t="s">
        <v>18973</v>
      </c>
      <c r="B9847" t="s">
        <v>18973</v>
      </c>
      <c r="C9847" t="s">
        <v>40</v>
      </c>
      <c r="D9847" t="s">
        <v>41</v>
      </c>
      <c r="E9847" s="6">
        <v>-28628</v>
      </c>
      <c r="F9847" t="s">
        <v>4257</v>
      </c>
      <c r="G9847" t="s">
        <v>20</v>
      </c>
      <c r="H9847" t="s">
        <v>21</v>
      </c>
      <c r="I9847" t="s">
        <v>18986</v>
      </c>
      <c r="J9847" t="str">
        <f>HYPERLINK("https://www.boe.es/gazeta/dias/1821/08/13/pdfs/GMD-1821-230.pdf#page=3","Abrir facsímil")</f>
        <v>Abrir facsímil</v>
      </c>
      <c r="K9847" t="s">
        <v>23</v>
      </c>
    </row>
    <row r="9848" spans="1:11" ht="42" customHeight="1">
      <c r="A9848" t="s">
        <v>18973</v>
      </c>
      <c r="B9848" t="s">
        <v>18973</v>
      </c>
      <c r="C9848" t="s">
        <v>26</v>
      </c>
      <c r="D9848" t="s">
        <v>27</v>
      </c>
      <c r="E9848" s="6">
        <v>-28614</v>
      </c>
      <c r="F9848" t="s">
        <v>4451</v>
      </c>
      <c r="G9848" t="s">
        <v>20</v>
      </c>
      <c r="H9848" t="s">
        <v>21</v>
      </c>
      <c r="I9848" t="s">
        <v>18987</v>
      </c>
      <c r="J9848" t="str">
        <f>HYPERLINK("https://www.boe.es/gazeta/dias/1821/08/27/pdfs/GMD-1821-244.pdf#page=3","Abrir facsímil")</f>
        <v>Abrir facsímil</v>
      </c>
      <c r="K9848" t="s">
        <v>23</v>
      </c>
    </row>
    <row r="9849" spans="1:11" ht="42" customHeight="1">
      <c r="A9849" t="s">
        <v>18973</v>
      </c>
      <c r="B9849" t="s">
        <v>18973</v>
      </c>
      <c r="C9849" t="s">
        <v>17</v>
      </c>
      <c r="D9849" t="s">
        <v>18</v>
      </c>
      <c r="E9849" s="6">
        <v>-28596</v>
      </c>
      <c r="F9849" t="s">
        <v>1275</v>
      </c>
      <c r="G9849" t="s">
        <v>52</v>
      </c>
      <c r="H9849" t="s">
        <v>21</v>
      </c>
      <c r="I9849" t="s">
        <v>18988</v>
      </c>
      <c r="J9849" t="str">
        <f>HYPERLINK("https://www.boe.es/gazeta/dias/1821/09/14/pdfs/GMD-1821-262.pdf#page=2","Abrir facsímil")</f>
        <v>Abrir facsímil</v>
      </c>
      <c r="K9849" t="s">
        <v>23</v>
      </c>
    </row>
    <row r="9850" spans="1:11" ht="42" customHeight="1">
      <c r="A9850" t="s">
        <v>18973</v>
      </c>
      <c r="B9850" t="s">
        <v>18973</v>
      </c>
      <c r="C9850" t="s">
        <v>26</v>
      </c>
      <c r="D9850" t="s">
        <v>27</v>
      </c>
      <c r="E9850" s="6">
        <v>-28583</v>
      </c>
      <c r="F9850" t="s">
        <v>2668</v>
      </c>
      <c r="G9850" t="s">
        <v>20</v>
      </c>
      <c r="H9850" t="s">
        <v>21</v>
      </c>
      <c r="I9850" t="s">
        <v>18989</v>
      </c>
      <c r="J9850" t="str">
        <f>HYPERLINK("https://www.boe.es/gazeta/dias/1821/09/27/pdfs/GMD-1821-275.pdf#page=3","Abrir facsímil")</f>
        <v>Abrir facsímil</v>
      </c>
      <c r="K9850" t="s">
        <v>23</v>
      </c>
    </row>
    <row r="9851" spans="1:11" ht="42" customHeight="1">
      <c r="A9851" t="s">
        <v>18973</v>
      </c>
      <c r="B9851" t="s">
        <v>18973</v>
      </c>
      <c r="C9851" t="s">
        <v>17</v>
      </c>
      <c r="D9851" t="s">
        <v>18</v>
      </c>
      <c r="E9851" s="6">
        <v>-28577</v>
      </c>
      <c r="F9851" t="s">
        <v>858</v>
      </c>
      <c r="G9851" t="s">
        <v>52</v>
      </c>
      <c r="H9851" t="s">
        <v>21</v>
      </c>
      <c r="I9851" t="s">
        <v>18990</v>
      </c>
      <c r="J9851" t="str">
        <f>HYPERLINK("https://www.boe.es/gazeta/dias/1821/10/03/pdfs/GMD-1821-282.pdf#page=2","Abrir facsímil")</f>
        <v>Abrir facsímil</v>
      </c>
      <c r="K9851" t="s">
        <v>23</v>
      </c>
    </row>
    <row r="9852" spans="1:11" ht="42" customHeight="1">
      <c r="A9852" t="s">
        <v>18973</v>
      </c>
      <c r="B9852" t="s">
        <v>18973</v>
      </c>
      <c r="C9852" t="s">
        <v>174</v>
      </c>
      <c r="D9852" t="s">
        <v>27</v>
      </c>
      <c r="E9852" s="6">
        <v>-28532</v>
      </c>
      <c r="F9852" t="s">
        <v>1415</v>
      </c>
      <c r="G9852" t="s">
        <v>52</v>
      </c>
      <c r="H9852" t="s">
        <v>21</v>
      </c>
      <c r="I9852" t="s">
        <v>18991</v>
      </c>
      <c r="J9852" t="str">
        <f>HYPERLINK("https://www.boe.es/gazeta/dias/1821/11/17/pdfs/GMD-1821-328.pdf#page=2","Abrir facsímil")</f>
        <v>Abrir facsímil</v>
      </c>
      <c r="K9852" t="s">
        <v>23</v>
      </c>
    </row>
    <row r="9853" spans="1:11" ht="42" customHeight="1">
      <c r="A9853" t="s">
        <v>18973</v>
      </c>
      <c r="B9853" t="s">
        <v>18973</v>
      </c>
      <c r="C9853" t="s">
        <v>35</v>
      </c>
      <c r="D9853" t="s">
        <v>27</v>
      </c>
      <c r="E9853" s="6">
        <v>-28528</v>
      </c>
      <c r="F9853" t="s">
        <v>1872</v>
      </c>
      <c r="G9853" t="s">
        <v>52</v>
      </c>
      <c r="H9853" t="s">
        <v>21</v>
      </c>
      <c r="I9853" t="s">
        <v>18992</v>
      </c>
      <c r="J9853" t="str">
        <f>HYPERLINK("https://www.boe.es/gazeta/dias/1821/11/21/pdfs/GMD-1821-332.pdf#page=2","Abrir facsímil")</f>
        <v>Abrir facsímil</v>
      </c>
      <c r="K9853" t="s">
        <v>23</v>
      </c>
    </row>
    <row r="9854" spans="1:11" ht="42" customHeight="1">
      <c r="A9854" t="s">
        <v>18973</v>
      </c>
      <c r="B9854" t="s">
        <v>18973</v>
      </c>
      <c r="C9854" t="s">
        <v>17</v>
      </c>
      <c r="D9854" t="s">
        <v>18</v>
      </c>
      <c r="E9854" s="6">
        <v>-28493</v>
      </c>
      <c r="F9854" t="s">
        <v>3010</v>
      </c>
      <c r="G9854" t="s">
        <v>52</v>
      </c>
      <c r="H9854" t="s">
        <v>21</v>
      </c>
      <c r="I9854" t="s">
        <v>18993</v>
      </c>
      <c r="J9854" t="str">
        <f>HYPERLINK("https://www.boe.es/gazeta/dias/1821/12/26/pdfs/GMD-1821-369.pdf#page=2","Abrir facsímil")</f>
        <v>Abrir facsímil</v>
      </c>
      <c r="K9854" t="s">
        <v>23</v>
      </c>
    </row>
    <row r="9855" spans="1:11" ht="42" customHeight="1">
      <c r="A9855" t="s">
        <v>18994</v>
      </c>
      <c r="B9855" t="s">
        <v>18994</v>
      </c>
      <c r="C9855" t="s">
        <v>17</v>
      </c>
      <c r="D9855" t="s">
        <v>18</v>
      </c>
      <c r="E9855" s="6">
        <v>-28583</v>
      </c>
      <c r="F9855" t="s">
        <v>2668</v>
      </c>
      <c r="G9855" t="s">
        <v>20</v>
      </c>
      <c r="H9855" t="s">
        <v>21</v>
      </c>
      <c r="I9855" t="s">
        <v>18995</v>
      </c>
      <c r="J9855" t="str">
        <f>HYPERLINK("https://www.boe.es/gazeta/dias/1821/09/27/pdfs/GMD-1821-275.pdf#page=3","Abrir facsímil")</f>
        <v>Abrir facsímil</v>
      </c>
      <c r="K9855" t="s">
        <v>23</v>
      </c>
    </row>
    <row r="9856" spans="1:11" ht="42" customHeight="1">
      <c r="A9856" t="s">
        <v>18996</v>
      </c>
      <c r="B9856" t="s">
        <v>18997</v>
      </c>
      <c r="C9856" t="s">
        <v>17</v>
      </c>
      <c r="D9856" t="s">
        <v>18</v>
      </c>
      <c r="E9856" s="6">
        <v>-28607</v>
      </c>
      <c r="F9856" t="s">
        <v>740</v>
      </c>
      <c r="G9856" t="s">
        <v>88</v>
      </c>
      <c r="H9856" t="s">
        <v>21</v>
      </c>
      <c r="I9856" t="s">
        <v>18998</v>
      </c>
      <c r="J9856" t="str">
        <f>HYPERLINK("https://www.boe.es/gazeta/dias/1821/09/03/pdfs/GMD-1821-251.pdf#page=4","Abrir facsímil")</f>
        <v>Abrir facsímil</v>
      </c>
      <c r="K9856" t="s">
        <v>23</v>
      </c>
    </row>
    <row r="9857" spans="1:11" ht="42" customHeight="1">
      <c r="A9857" t="s">
        <v>18999</v>
      </c>
      <c r="B9857" t="s">
        <v>18999</v>
      </c>
      <c r="C9857" t="s">
        <v>26</v>
      </c>
      <c r="D9857" t="s">
        <v>27</v>
      </c>
      <c r="E9857" s="6">
        <v>-28738</v>
      </c>
      <c r="F9857" t="s">
        <v>359</v>
      </c>
      <c r="G9857" t="s">
        <v>52</v>
      </c>
      <c r="H9857" t="s">
        <v>21</v>
      </c>
      <c r="I9857" t="s">
        <v>19000</v>
      </c>
      <c r="J9857" t="str">
        <f>HYPERLINK("https://www.boe.es/gazeta/dias/1821/04/25/pdfs/GMD-1821-117.pdf#page=2","Abrir facsímil")</f>
        <v>Abrir facsímil</v>
      </c>
      <c r="K9857" t="s">
        <v>23</v>
      </c>
    </row>
    <row r="9858" spans="1:11" ht="42" customHeight="1">
      <c r="A9858" t="s">
        <v>18999</v>
      </c>
      <c r="B9858" t="s">
        <v>18999</v>
      </c>
      <c r="C9858" t="s">
        <v>35</v>
      </c>
      <c r="D9858" t="s">
        <v>27</v>
      </c>
      <c r="E9858" s="6">
        <v>-28647</v>
      </c>
      <c r="F9858" t="s">
        <v>1295</v>
      </c>
      <c r="G9858" t="s">
        <v>4339</v>
      </c>
      <c r="H9858" t="s">
        <v>21</v>
      </c>
      <c r="I9858" t="s">
        <v>19001</v>
      </c>
      <c r="J9858" t="str">
        <f>HYPERLINK("https://www.boe.es/gazeta/dias/1821/07/25/pdfs/GMD-1821-210.pdf#page=2","Abrir facsímil")</f>
        <v>Abrir facsímil</v>
      </c>
      <c r="K9858" t="s">
        <v>23</v>
      </c>
    </row>
    <row r="9859" spans="1:11" ht="42" customHeight="1">
      <c r="A9859" t="s">
        <v>18999</v>
      </c>
      <c r="B9859" t="s">
        <v>18999</v>
      </c>
      <c r="C9859" t="s">
        <v>174</v>
      </c>
      <c r="D9859" t="s">
        <v>27</v>
      </c>
      <c r="E9859" s="6">
        <v>-28642</v>
      </c>
      <c r="F9859" t="s">
        <v>734</v>
      </c>
      <c r="G9859" t="s">
        <v>3536</v>
      </c>
      <c r="H9859" t="s">
        <v>21</v>
      </c>
      <c r="I9859" t="s">
        <v>19002</v>
      </c>
      <c r="J9859" t="str">
        <f>HYPERLINK("https://www.boe.es/gazeta/dias/1821/07/30/pdfs/GMD-1821-215.pdf#page=3","Abrir facsímil")</f>
        <v>Abrir facsímil</v>
      </c>
      <c r="K9859" t="s">
        <v>23</v>
      </c>
    </row>
    <row r="9860" spans="1:11" ht="42" customHeight="1">
      <c r="A9860" t="s">
        <v>18999</v>
      </c>
      <c r="B9860" t="s">
        <v>18999</v>
      </c>
      <c r="C9860" t="s">
        <v>40</v>
      </c>
      <c r="D9860" t="s">
        <v>41</v>
      </c>
      <c r="E9860" s="6">
        <v>-28642</v>
      </c>
      <c r="F9860" t="s">
        <v>734</v>
      </c>
      <c r="G9860" t="s">
        <v>52</v>
      </c>
      <c r="H9860" t="s">
        <v>21</v>
      </c>
      <c r="I9860" t="s">
        <v>19003</v>
      </c>
      <c r="J9860" t="str">
        <f>HYPERLINK("https://www.boe.es/gazeta/dias/1821/07/30/pdfs/GMD-1821-215.pdf#page=2","Abrir facsímil")</f>
        <v>Abrir facsímil</v>
      </c>
      <c r="K9860" t="s">
        <v>23</v>
      </c>
    </row>
    <row r="9861" spans="1:11" ht="42" customHeight="1">
      <c r="A9861" t="s">
        <v>19004</v>
      </c>
      <c r="B9861" t="s">
        <v>19004</v>
      </c>
      <c r="C9861" t="s">
        <v>70</v>
      </c>
      <c r="D9861" t="s">
        <v>27</v>
      </c>
      <c r="E9861" s="6">
        <v>-28598</v>
      </c>
      <c r="F9861" t="s">
        <v>1206</v>
      </c>
      <c r="G9861" t="s">
        <v>52</v>
      </c>
      <c r="H9861" t="s">
        <v>21</v>
      </c>
      <c r="I9861" t="s">
        <v>19005</v>
      </c>
      <c r="J9861" t="str">
        <f>HYPERLINK("https://www.boe.es/gazeta/dias/1821/09/12/pdfs/GMD-1821-260.pdf#page=2","Abrir facsímil")</f>
        <v>Abrir facsímil</v>
      </c>
      <c r="K9861" t="s">
        <v>23</v>
      </c>
    </row>
    <row r="9862" spans="1:11" ht="42" customHeight="1">
      <c r="A9862" t="s">
        <v>19006</v>
      </c>
      <c r="B9862" t="s">
        <v>19007</v>
      </c>
      <c r="C9862" t="s">
        <v>17</v>
      </c>
      <c r="D9862" t="s">
        <v>18</v>
      </c>
      <c r="E9862" s="6">
        <v>-28543</v>
      </c>
      <c r="F9862" t="s">
        <v>136</v>
      </c>
      <c r="G9862" t="s">
        <v>88</v>
      </c>
      <c r="H9862" t="s">
        <v>21</v>
      </c>
      <c r="I9862" t="s">
        <v>19008</v>
      </c>
      <c r="J9862" t="str">
        <f>HYPERLINK("https://www.boe.es/gazeta/dias/1821/11/06/pdfs/GMD-1821-317.pdf#page=4","Abrir facsímil")</f>
        <v>Abrir facsímil</v>
      </c>
      <c r="K9862" t="s">
        <v>23</v>
      </c>
    </row>
    <row r="9863" spans="1:11" ht="42" customHeight="1">
      <c r="A9863" t="s">
        <v>19009</v>
      </c>
      <c r="B9863" t="s">
        <v>19010</v>
      </c>
      <c r="C9863" t="s">
        <v>17</v>
      </c>
      <c r="D9863" t="s">
        <v>18</v>
      </c>
      <c r="E9863" s="6">
        <v>-28626</v>
      </c>
      <c r="F9863" t="s">
        <v>468</v>
      </c>
      <c r="G9863" t="s">
        <v>88</v>
      </c>
      <c r="H9863" t="s">
        <v>30</v>
      </c>
      <c r="I9863" t="s">
        <v>19011</v>
      </c>
      <c r="J9863" t="str">
        <f>HYPERLINK("https://www.boe.es/gazeta/dias/1821/08/15/pdfs/GMD-1821-232.pdf#page=4","Abrir facsímil")</f>
        <v>Abrir facsímil</v>
      </c>
      <c r="K9863" t="s">
        <v>32</v>
      </c>
    </row>
    <row r="9864" spans="1:11" ht="42" customHeight="1">
      <c r="A9864" t="s">
        <v>19012</v>
      </c>
      <c r="B9864" t="s">
        <v>19013</v>
      </c>
      <c r="C9864" t="s">
        <v>17</v>
      </c>
      <c r="D9864" t="s">
        <v>18</v>
      </c>
      <c r="E9864" s="6">
        <v>-28497</v>
      </c>
      <c r="F9864" t="s">
        <v>225</v>
      </c>
      <c r="G9864" t="s">
        <v>504</v>
      </c>
      <c r="H9864" t="s">
        <v>21</v>
      </c>
      <c r="I9864" t="s">
        <v>19014</v>
      </c>
      <c r="J9864" t="str">
        <f>HYPERLINK("https://www.boe.es/gazeta/dias/1821/12/22/pdfs/GMD-1821-365.pdf#page=6","Abrir facsímil")</f>
        <v>Abrir facsímil</v>
      </c>
      <c r="K9864" t="s">
        <v>23</v>
      </c>
    </row>
    <row r="9865" spans="1:11" ht="42" customHeight="1">
      <c r="A9865" t="s">
        <v>19015</v>
      </c>
      <c r="B9865" t="s">
        <v>19015</v>
      </c>
      <c r="C9865" t="s">
        <v>26</v>
      </c>
      <c r="D9865" t="s">
        <v>27</v>
      </c>
      <c r="E9865" s="6">
        <v>-28814</v>
      </c>
      <c r="F9865" t="s">
        <v>2090</v>
      </c>
      <c r="G9865" t="s">
        <v>3053</v>
      </c>
      <c r="H9865" t="s">
        <v>21</v>
      </c>
      <c r="I9865" t="s">
        <v>19016</v>
      </c>
      <c r="J9865" t="str">
        <f>HYPERLINK("https://www.boe.es/gazeta/dias/1821/02/08/pdfs/GGB-1821-39.pdf#page=3","Abrir facsímil")</f>
        <v>Abrir facsímil</v>
      </c>
      <c r="K9865" t="s">
        <v>23</v>
      </c>
    </row>
    <row r="9866" spans="1:11" ht="42" customHeight="1">
      <c r="A9866" t="s">
        <v>19017</v>
      </c>
      <c r="B9866" t="s">
        <v>19018</v>
      </c>
      <c r="C9866" t="s">
        <v>26</v>
      </c>
      <c r="D9866" t="s">
        <v>27</v>
      </c>
      <c r="E9866" s="6">
        <v>-28641</v>
      </c>
      <c r="F9866" t="s">
        <v>398</v>
      </c>
      <c r="G9866" t="s">
        <v>20</v>
      </c>
      <c r="H9866" t="s">
        <v>21</v>
      </c>
      <c r="I9866" t="s">
        <v>19019</v>
      </c>
      <c r="J9866" t="str">
        <f>HYPERLINK("https://www.boe.es/gazeta/dias/1821/07/31/pdfs/GMD-1821-216.pdf#page=3","Abrir facsímil")</f>
        <v>Abrir facsímil</v>
      </c>
      <c r="K9866" t="s">
        <v>23</v>
      </c>
    </row>
    <row r="9867" spans="1:11" ht="42" customHeight="1">
      <c r="A9867" t="s">
        <v>19020</v>
      </c>
      <c r="B9867" t="s">
        <v>19021</v>
      </c>
      <c r="C9867" t="s">
        <v>26</v>
      </c>
      <c r="D9867" t="s">
        <v>27</v>
      </c>
      <c r="E9867" s="6">
        <v>-28676</v>
      </c>
      <c r="F9867" t="s">
        <v>534</v>
      </c>
      <c r="G9867" t="s">
        <v>29</v>
      </c>
      <c r="H9867" t="s">
        <v>30</v>
      </c>
      <c r="I9867" t="s">
        <v>19022</v>
      </c>
      <c r="J9867" t="str">
        <f>HYPERLINK("https://www.boe.es/gazeta/dias/1821/06/26/pdfs/GMD-1821-179.pdf#page=6","Abrir facsímil")</f>
        <v>Abrir facsímil</v>
      </c>
      <c r="K9867" t="s">
        <v>32</v>
      </c>
    </row>
    <row r="9868" spans="1:11" ht="42" customHeight="1">
      <c r="A9868" t="s">
        <v>19023</v>
      </c>
      <c r="B9868" t="s">
        <v>19024</v>
      </c>
      <c r="C9868" t="s">
        <v>174</v>
      </c>
      <c r="D9868" t="s">
        <v>27</v>
      </c>
      <c r="E9868" s="6">
        <v>-28535</v>
      </c>
      <c r="F9868" t="s">
        <v>96</v>
      </c>
      <c r="G9868" t="s">
        <v>52</v>
      </c>
      <c r="H9868" t="s">
        <v>21</v>
      </c>
      <c r="I9868" t="s">
        <v>19025</v>
      </c>
      <c r="J9868" t="str">
        <f>HYPERLINK("https://www.boe.es/gazeta/dias/1821/11/14/pdfs/GMD-1821-325.pdf#page=2","Abrir facsímil")</f>
        <v>Abrir facsímil</v>
      </c>
      <c r="K9868" t="s">
        <v>23</v>
      </c>
    </row>
    <row r="9869" spans="1:11" ht="42" customHeight="1">
      <c r="A9869" t="s">
        <v>19026</v>
      </c>
      <c r="B9869" t="s">
        <v>19027</v>
      </c>
      <c r="C9869" t="s">
        <v>40</v>
      </c>
      <c r="D9869" t="s">
        <v>41</v>
      </c>
      <c r="E9869" s="6">
        <v>-28830</v>
      </c>
      <c r="F9869" t="s">
        <v>3230</v>
      </c>
      <c r="G9869" t="s">
        <v>43</v>
      </c>
      <c r="H9869" t="s">
        <v>21</v>
      </c>
      <c r="I9869" t="s">
        <v>19028</v>
      </c>
      <c r="J9869" t="str">
        <f>HYPERLINK("https://www.boe.es/gazeta/dias/1821/01/23/pdfs/GGB-1821-23.pdf#page=1","Abrir facsímil")</f>
        <v>Abrir facsímil</v>
      </c>
      <c r="K9869" t="s">
        <v>23</v>
      </c>
    </row>
    <row r="9870" spans="1:11" ht="42" customHeight="1">
      <c r="A9870" t="s">
        <v>19029</v>
      </c>
      <c r="B9870" t="s">
        <v>19029</v>
      </c>
      <c r="C9870" t="s">
        <v>17</v>
      </c>
      <c r="D9870" t="s">
        <v>18</v>
      </c>
      <c r="E9870" s="6">
        <v>-28770</v>
      </c>
      <c r="F9870" t="s">
        <v>1009</v>
      </c>
      <c r="G9870" t="s">
        <v>43</v>
      </c>
      <c r="H9870" t="s">
        <v>21</v>
      </c>
      <c r="I9870" t="s">
        <v>19030</v>
      </c>
      <c r="J9870" t="str">
        <f>HYPERLINK("https://www.boe.es/gazeta/dias/1821/03/24/pdfs/GMD-1821-84.pdf#page=1","Abrir facsímil")</f>
        <v>Abrir facsímil</v>
      </c>
      <c r="K9870" t="s">
        <v>23</v>
      </c>
    </row>
    <row r="9871" spans="1:11" ht="42" customHeight="1">
      <c r="A9871" t="s">
        <v>19031</v>
      </c>
      <c r="B9871" t="s">
        <v>19032</v>
      </c>
      <c r="C9871" t="s">
        <v>279</v>
      </c>
      <c r="D9871" t="s">
        <v>27</v>
      </c>
      <c r="E9871" s="6">
        <v>-28758</v>
      </c>
      <c r="F9871" t="s">
        <v>4115</v>
      </c>
      <c r="G9871" t="s">
        <v>7429</v>
      </c>
      <c r="H9871" t="s">
        <v>21</v>
      </c>
      <c r="I9871" t="s">
        <v>19033</v>
      </c>
      <c r="J9871" t="str">
        <f>HYPERLINK("https://www.boe.es/gazeta/dias/1821/04/05/pdfs/GMD-1821-97.pdf#page=4","Abrir facsímil")</f>
        <v>Abrir facsímil</v>
      </c>
      <c r="K9871" t="s">
        <v>23</v>
      </c>
    </row>
    <row r="9872" spans="1:11" ht="42" customHeight="1">
      <c r="A9872" t="s">
        <v>19034</v>
      </c>
      <c r="B9872" t="s">
        <v>19034</v>
      </c>
      <c r="C9872" t="s">
        <v>40</v>
      </c>
      <c r="D9872" t="s">
        <v>41</v>
      </c>
      <c r="E9872" s="6">
        <v>-28765</v>
      </c>
      <c r="F9872" t="s">
        <v>974</v>
      </c>
      <c r="G9872" t="s">
        <v>1483</v>
      </c>
      <c r="H9872" t="s">
        <v>21</v>
      </c>
      <c r="I9872" t="s">
        <v>19035</v>
      </c>
      <c r="J9872" t="str">
        <f>HYPERLINK("https://www.boe.es/gazeta/dias/1821/03/29/pdfs/GMD-1821-90.pdf#page=4","Abrir facsímil")</f>
        <v>Abrir facsímil</v>
      </c>
      <c r="K9872" t="s">
        <v>23</v>
      </c>
    </row>
    <row r="9873" spans="1:11" ht="42" customHeight="1">
      <c r="A9873" t="s">
        <v>19036</v>
      </c>
      <c r="B9873" t="s">
        <v>19037</v>
      </c>
      <c r="C9873" t="s">
        <v>17</v>
      </c>
      <c r="D9873" t="s">
        <v>18</v>
      </c>
      <c r="E9873" s="6">
        <v>-28578</v>
      </c>
      <c r="F9873" t="s">
        <v>899</v>
      </c>
      <c r="G9873" t="s">
        <v>52</v>
      </c>
      <c r="H9873" t="s">
        <v>21</v>
      </c>
      <c r="I9873" t="s">
        <v>19038</v>
      </c>
      <c r="J9873" t="str">
        <f>HYPERLINK("https://www.boe.es/gazeta/dias/1821/10/02/pdfs/GMD-1821-281.pdf#page=2","Abrir facsímil")</f>
        <v>Abrir facsímil</v>
      </c>
      <c r="K9873" t="s">
        <v>23</v>
      </c>
    </row>
    <row r="9874" spans="1:11" ht="42" customHeight="1">
      <c r="A9874" t="s">
        <v>19039</v>
      </c>
      <c r="B9874" t="s">
        <v>19040</v>
      </c>
      <c r="C9874" t="s">
        <v>40</v>
      </c>
      <c r="D9874" t="s">
        <v>41</v>
      </c>
      <c r="E9874" s="6">
        <v>-28682</v>
      </c>
      <c r="F9874" t="s">
        <v>1064</v>
      </c>
      <c r="G9874" t="s">
        <v>29</v>
      </c>
      <c r="H9874" t="s">
        <v>21</v>
      </c>
      <c r="I9874" t="s">
        <v>19041</v>
      </c>
      <c r="J9874" t="str">
        <f>HYPERLINK("https://www.boe.es/gazeta/dias/1821/06/20/pdfs/GMD-1821-173.pdf#page=6","Abrir facsímil")</f>
        <v>Abrir facsímil</v>
      </c>
      <c r="K9874" t="s">
        <v>23</v>
      </c>
    </row>
    <row r="9875" spans="1:11" ht="42" customHeight="1">
      <c r="A9875" t="s">
        <v>19042</v>
      </c>
      <c r="B9875" t="s">
        <v>19042</v>
      </c>
      <c r="C9875" t="s">
        <v>26</v>
      </c>
      <c r="D9875" t="s">
        <v>27</v>
      </c>
      <c r="E9875" s="6">
        <v>-28586</v>
      </c>
      <c r="F9875" t="s">
        <v>587</v>
      </c>
      <c r="G9875" t="s">
        <v>588</v>
      </c>
      <c r="H9875" t="s">
        <v>21</v>
      </c>
      <c r="I9875" t="s">
        <v>19043</v>
      </c>
      <c r="J9875" t="str">
        <f>HYPERLINK("https://www.boe.es/gazeta/dias/1821/09/24/pdfs/GMD-1821-272.pdf#page=3","Abrir facsímil")</f>
        <v>Abrir facsímil</v>
      </c>
      <c r="K9875" t="s">
        <v>23</v>
      </c>
    </row>
    <row r="9876" spans="1:11" ht="42" customHeight="1">
      <c r="A9876" t="s">
        <v>19044</v>
      </c>
      <c r="B9876" t="s">
        <v>19044</v>
      </c>
      <c r="C9876" t="s">
        <v>70</v>
      </c>
      <c r="D9876" t="s">
        <v>27</v>
      </c>
      <c r="E9876" s="6">
        <v>-28772</v>
      </c>
      <c r="F9876" t="s">
        <v>62</v>
      </c>
      <c r="G9876" t="s">
        <v>43</v>
      </c>
      <c r="H9876" t="s">
        <v>21</v>
      </c>
      <c r="I9876" t="s">
        <v>19045</v>
      </c>
      <c r="J9876" t="str">
        <f>HYPERLINK("https://www.boe.es/gazeta/dias/1821/03/22/pdfs/GMD-1821-81.pdf#page=1","Abrir facsímil")</f>
        <v>Abrir facsímil</v>
      </c>
      <c r="K9876" t="s">
        <v>23</v>
      </c>
    </row>
    <row r="9877" spans="1:11" ht="42" customHeight="1">
      <c r="A9877" t="s">
        <v>19046</v>
      </c>
      <c r="B9877" t="s">
        <v>19047</v>
      </c>
      <c r="C9877" t="s">
        <v>17</v>
      </c>
      <c r="D9877" t="s">
        <v>18</v>
      </c>
      <c r="E9877" s="6">
        <v>-28753</v>
      </c>
      <c r="F9877" t="s">
        <v>720</v>
      </c>
      <c r="G9877" t="s">
        <v>776</v>
      </c>
      <c r="H9877" t="s">
        <v>21</v>
      </c>
      <c r="I9877" t="s">
        <v>19048</v>
      </c>
      <c r="J9877" t="str">
        <f>HYPERLINK("https://www.boe.es/gazeta/dias/1821/04/10/pdfs/GMD-1821-102.pdf#page=2","Abrir facsímil")</f>
        <v>Abrir facsímil</v>
      </c>
      <c r="K9877" t="s">
        <v>23</v>
      </c>
    </row>
    <row r="9878" spans="1:11" ht="42" customHeight="1">
      <c r="A9878" t="s">
        <v>19049</v>
      </c>
      <c r="B9878" t="s">
        <v>19049</v>
      </c>
      <c r="C9878" t="s">
        <v>35</v>
      </c>
      <c r="D9878" t="s">
        <v>27</v>
      </c>
      <c r="E9878" s="6">
        <v>-28640</v>
      </c>
      <c r="F9878" t="s">
        <v>1590</v>
      </c>
      <c r="G9878" t="s">
        <v>52</v>
      </c>
      <c r="H9878" t="s">
        <v>21</v>
      </c>
      <c r="I9878" t="s">
        <v>19050</v>
      </c>
      <c r="J9878" t="str">
        <f>HYPERLINK("https://www.boe.es/gazeta/dias/1821/08/01/pdfs/GMD-1821-217.pdf#page=2","Abrir facsímil")</f>
        <v>Abrir facsímil</v>
      </c>
      <c r="K9878" t="s">
        <v>23</v>
      </c>
    </row>
    <row r="9879" spans="1:11" ht="42" customHeight="1">
      <c r="A9879" t="s">
        <v>19051</v>
      </c>
      <c r="B9879" t="s">
        <v>19051</v>
      </c>
      <c r="C9879" t="s">
        <v>17</v>
      </c>
      <c r="D9879" t="s">
        <v>18</v>
      </c>
      <c r="E9879" s="6">
        <v>-28766</v>
      </c>
      <c r="F9879" t="s">
        <v>1481</v>
      </c>
      <c r="G9879" t="s">
        <v>52</v>
      </c>
      <c r="H9879" t="s">
        <v>21</v>
      </c>
      <c r="I9879" t="s">
        <v>19052</v>
      </c>
      <c r="J9879" t="str">
        <f>HYPERLINK("https://www.boe.es/gazeta/dias/1821/03/28/pdfs/GMD-1821-88.pdf#page=2","Abrir facsímil")</f>
        <v>Abrir facsímil</v>
      </c>
      <c r="K9879" t="s">
        <v>23</v>
      </c>
    </row>
    <row r="9880" spans="1:11" ht="42" customHeight="1">
      <c r="A9880" t="s">
        <v>19051</v>
      </c>
      <c r="B9880" t="s">
        <v>19051</v>
      </c>
      <c r="C9880" t="s">
        <v>17</v>
      </c>
      <c r="D9880" t="s">
        <v>18</v>
      </c>
      <c r="E9880" s="6">
        <v>-28759</v>
      </c>
      <c r="F9880" t="s">
        <v>71</v>
      </c>
      <c r="G9880" t="s">
        <v>88</v>
      </c>
      <c r="H9880" t="s">
        <v>21</v>
      </c>
      <c r="I9880" t="s">
        <v>19053</v>
      </c>
      <c r="J9880" t="str">
        <f>HYPERLINK("https://www.boe.es/gazeta/dias/1821/04/04/pdfs/GMD-1821-96.pdf#page=4","Abrir facsímil")</f>
        <v>Abrir facsímil</v>
      </c>
      <c r="K9880" t="s">
        <v>23</v>
      </c>
    </row>
    <row r="9881" spans="1:11" ht="42" customHeight="1">
      <c r="A9881" t="s">
        <v>19054</v>
      </c>
      <c r="B9881" t="s">
        <v>19055</v>
      </c>
      <c r="C9881" t="s">
        <v>26</v>
      </c>
      <c r="D9881" t="s">
        <v>27</v>
      </c>
      <c r="E9881" s="6">
        <v>-28637</v>
      </c>
      <c r="F9881" t="s">
        <v>3049</v>
      </c>
      <c r="G9881" t="s">
        <v>52</v>
      </c>
      <c r="H9881" t="s">
        <v>21</v>
      </c>
      <c r="I9881" t="s">
        <v>19056</v>
      </c>
      <c r="J9881" t="str">
        <f>HYPERLINK("https://www.boe.es/gazeta/dias/1821/08/04/pdfs/GMD-1821-220.pdf#page=2","Abrir facsímil")</f>
        <v>Abrir facsímil</v>
      </c>
      <c r="K9881" t="s">
        <v>23</v>
      </c>
    </row>
    <row r="9882" spans="1:11" ht="42" customHeight="1">
      <c r="A9882" t="s">
        <v>19057</v>
      </c>
      <c r="B9882" t="s">
        <v>19057</v>
      </c>
      <c r="C9882" t="s">
        <v>40</v>
      </c>
      <c r="D9882" t="s">
        <v>41</v>
      </c>
      <c r="E9882" s="6">
        <v>-28669</v>
      </c>
      <c r="F9882" t="s">
        <v>2816</v>
      </c>
      <c r="G9882" t="s">
        <v>52</v>
      </c>
      <c r="H9882" t="s">
        <v>21</v>
      </c>
      <c r="I9882" t="s">
        <v>19058</v>
      </c>
      <c r="J9882" t="str">
        <f>HYPERLINK("https://www.boe.es/gazeta/dias/1821/07/03/pdfs/GMD-1821-187.pdf#page=2","Abrir facsímil")</f>
        <v>Abrir facsímil</v>
      </c>
      <c r="K9882" t="s">
        <v>23</v>
      </c>
    </row>
    <row r="9883" spans="1:11" ht="42" customHeight="1">
      <c r="A9883" t="s">
        <v>19059</v>
      </c>
      <c r="B9883" t="s">
        <v>19059</v>
      </c>
      <c r="C9883" t="s">
        <v>40</v>
      </c>
      <c r="D9883" t="s">
        <v>41</v>
      </c>
      <c r="E9883" s="6">
        <v>-28760</v>
      </c>
      <c r="F9883" t="s">
        <v>170</v>
      </c>
      <c r="G9883" t="s">
        <v>20</v>
      </c>
      <c r="H9883" t="s">
        <v>21</v>
      </c>
      <c r="I9883" t="s">
        <v>19060</v>
      </c>
      <c r="J9883" t="str">
        <f>HYPERLINK("https://www.boe.es/gazeta/dias/1821/04/03/pdfs/GMD-1821-95.pdf#page=3","Abrir facsímil")</f>
        <v>Abrir facsímil</v>
      </c>
      <c r="K9883" t="s">
        <v>23</v>
      </c>
    </row>
    <row r="9884" spans="1:11" ht="42" customHeight="1">
      <c r="A9884" t="s">
        <v>19061</v>
      </c>
      <c r="B9884" t="s">
        <v>19061</v>
      </c>
      <c r="C9884" t="s">
        <v>40</v>
      </c>
      <c r="D9884" t="s">
        <v>41</v>
      </c>
      <c r="E9884" s="6">
        <v>-28759</v>
      </c>
      <c r="F9884" t="s">
        <v>71</v>
      </c>
      <c r="G9884" t="s">
        <v>20</v>
      </c>
      <c r="H9884" t="s">
        <v>21</v>
      </c>
      <c r="I9884" t="s">
        <v>19062</v>
      </c>
      <c r="J9884" t="str">
        <f>HYPERLINK("https://www.boe.es/gazeta/dias/1821/04/04/pdfs/GMD-1821-96.pdf#page=3","Abrir facsímil")</f>
        <v>Abrir facsímil</v>
      </c>
      <c r="K9884" t="s">
        <v>23</v>
      </c>
    </row>
    <row r="9885" spans="1:11" ht="42" customHeight="1">
      <c r="A9885" t="s">
        <v>19061</v>
      </c>
      <c r="B9885" t="s">
        <v>19061</v>
      </c>
      <c r="C9885" t="s">
        <v>40</v>
      </c>
      <c r="D9885" t="s">
        <v>41</v>
      </c>
      <c r="E9885" s="6">
        <v>-28592</v>
      </c>
      <c r="F9885" t="s">
        <v>518</v>
      </c>
      <c r="G9885" t="s">
        <v>43</v>
      </c>
      <c r="H9885" t="s">
        <v>21</v>
      </c>
      <c r="I9885" t="s">
        <v>19063</v>
      </c>
      <c r="J9885" t="str">
        <f>HYPERLINK("https://www.boe.es/gazeta/dias/1821/09/18/pdfs/GMD-1821-266.pdf#page=1","Abrir facsímil")</f>
        <v>Abrir facsímil</v>
      </c>
      <c r="K9885" t="s">
        <v>23</v>
      </c>
    </row>
    <row r="9886" spans="1:11" ht="42" customHeight="1">
      <c r="A9886" t="s">
        <v>19064</v>
      </c>
      <c r="B9886" t="s">
        <v>19064</v>
      </c>
      <c r="C9886" t="s">
        <v>35</v>
      </c>
      <c r="D9886" t="s">
        <v>27</v>
      </c>
      <c r="E9886" s="6">
        <v>-28713</v>
      </c>
      <c r="F9886" t="s">
        <v>1976</v>
      </c>
      <c r="G9886" t="s">
        <v>43</v>
      </c>
      <c r="H9886" t="s">
        <v>21</v>
      </c>
      <c r="I9886" t="s">
        <v>19065</v>
      </c>
      <c r="J9886" t="str">
        <f>HYPERLINK("https://www.boe.es/gazeta/dias/1821/05/20/pdfs/GMD-1821-142.pdf#page=1","Abrir facsímil")</f>
        <v>Abrir facsímil</v>
      </c>
      <c r="K9886" t="s">
        <v>23</v>
      </c>
    </row>
    <row r="9887" spans="1:11" ht="42" customHeight="1">
      <c r="A9887" t="s">
        <v>19066</v>
      </c>
      <c r="B9887" t="s">
        <v>19066</v>
      </c>
      <c r="C9887" t="s">
        <v>40</v>
      </c>
      <c r="D9887" t="s">
        <v>41</v>
      </c>
      <c r="E9887" s="6">
        <v>-28543</v>
      </c>
      <c r="F9887" t="s">
        <v>136</v>
      </c>
      <c r="G9887" t="s">
        <v>20</v>
      </c>
      <c r="H9887" t="s">
        <v>21</v>
      </c>
      <c r="I9887" t="s">
        <v>19067</v>
      </c>
      <c r="J9887" t="str">
        <f>HYPERLINK("https://www.boe.es/gazeta/dias/1821/11/06/pdfs/GMD-1821-317.pdf#page=3","Abrir facsímil")</f>
        <v>Abrir facsímil</v>
      </c>
      <c r="K9887" t="s">
        <v>23</v>
      </c>
    </row>
    <row r="9888" spans="1:11" ht="42" customHeight="1">
      <c r="A9888" t="s">
        <v>19068</v>
      </c>
      <c r="B9888" t="s">
        <v>19068</v>
      </c>
      <c r="C9888" t="s">
        <v>40</v>
      </c>
      <c r="D9888" t="s">
        <v>41</v>
      </c>
      <c r="E9888" s="6">
        <v>-28847</v>
      </c>
      <c r="F9888" t="s">
        <v>288</v>
      </c>
      <c r="G9888" t="s">
        <v>43</v>
      </c>
      <c r="H9888" t="s">
        <v>21</v>
      </c>
      <c r="I9888" t="s">
        <v>19069</v>
      </c>
      <c r="J9888" t="str">
        <f>HYPERLINK("https://www.boe.es/gazeta/dias/1821/01/06/pdfs/GGB-1821-6.pdf#page=1","Abrir facsímil")</f>
        <v>Abrir facsímil</v>
      </c>
      <c r="K9888" t="s">
        <v>23</v>
      </c>
    </row>
    <row r="9889" spans="1:11" ht="42" customHeight="1">
      <c r="A9889" t="s">
        <v>19070</v>
      </c>
      <c r="B9889" t="s">
        <v>19070</v>
      </c>
      <c r="C9889" t="s">
        <v>40</v>
      </c>
      <c r="D9889" t="s">
        <v>41</v>
      </c>
      <c r="E9889" s="6">
        <v>-28841</v>
      </c>
      <c r="F9889" t="s">
        <v>765</v>
      </c>
      <c r="G9889" t="s">
        <v>43</v>
      </c>
      <c r="H9889" t="s">
        <v>21</v>
      </c>
      <c r="I9889" t="s">
        <v>19071</v>
      </c>
      <c r="J9889" t="str">
        <f>HYPERLINK("https://www.boe.es/gazeta/dias/1821/01/12/pdfs/GGB-1821-12.pdf#page=1","Abrir facsímil")</f>
        <v>Abrir facsímil</v>
      </c>
      <c r="K9889" t="s">
        <v>23</v>
      </c>
    </row>
    <row r="9890" spans="1:11" ht="42" customHeight="1">
      <c r="A9890" t="s">
        <v>19072</v>
      </c>
      <c r="B9890" t="s">
        <v>19073</v>
      </c>
      <c r="C9890" t="s">
        <v>17</v>
      </c>
      <c r="D9890" t="s">
        <v>18</v>
      </c>
      <c r="E9890" s="6">
        <v>-28750</v>
      </c>
      <c r="F9890" t="s">
        <v>917</v>
      </c>
      <c r="G9890" t="s">
        <v>88</v>
      </c>
      <c r="H9890" t="s">
        <v>21</v>
      </c>
      <c r="I9890" t="s">
        <v>19074</v>
      </c>
      <c r="J9890" t="str">
        <f>HYPERLINK("https://www.boe.es/gazeta/dias/1821/04/13/pdfs/GMD-1821-105.pdf#page=4","Abrir facsímil")</f>
        <v>Abrir facsímil</v>
      </c>
      <c r="K9890" t="s">
        <v>23</v>
      </c>
    </row>
    <row r="9891" spans="1:11" ht="42" customHeight="1">
      <c r="A9891" t="s">
        <v>19075</v>
      </c>
      <c r="B9891" t="s">
        <v>19075</v>
      </c>
      <c r="C9891" t="s">
        <v>35</v>
      </c>
      <c r="D9891" t="s">
        <v>27</v>
      </c>
      <c r="E9891" s="6">
        <v>-28562</v>
      </c>
      <c r="F9891" t="s">
        <v>3093</v>
      </c>
      <c r="G9891" t="s">
        <v>43</v>
      </c>
      <c r="H9891" t="s">
        <v>21</v>
      </c>
      <c r="I9891" t="s">
        <v>19076</v>
      </c>
      <c r="J9891" t="str">
        <f>HYPERLINK("https://www.boe.es/gazeta/dias/1821/10/18/pdfs/GMD-1821-297.pdf#page=1","Abrir facsímil")</f>
        <v>Abrir facsímil</v>
      </c>
      <c r="K9891" t="s">
        <v>23</v>
      </c>
    </row>
    <row r="9892" spans="1:11" ht="42" customHeight="1">
      <c r="A9892" t="s">
        <v>19077</v>
      </c>
      <c r="B9892" t="s">
        <v>19077</v>
      </c>
      <c r="C9892" t="s">
        <v>17</v>
      </c>
      <c r="D9892" t="s">
        <v>18</v>
      </c>
      <c r="E9892" s="6">
        <v>-28600</v>
      </c>
      <c r="F9892" t="s">
        <v>99</v>
      </c>
      <c r="G9892" t="s">
        <v>43</v>
      </c>
      <c r="H9892" t="s">
        <v>21</v>
      </c>
      <c r="I9892" t="s">
        <v>19078</v>
      </c>
      <c r="J9892" t="str">
        <f>HYPERLINK("https://www.boe.es/gazeta/dias/1821/09/10/pdfs/GMD-1821-258.pdf#page=1","Abrir facsímil")</f>
        <v>Abrir facsímil</v>
      </c>
      <c r="K9892" t="s">
        <v>23</v>
      </c>
    </row>
    <row r="9893" spans="1:11" ht="42" customHeight="1">
      <c r="A9893" t="s">
        <v>19079</v>
      </c>
      <c r="B9893" t="s">
        <v>19079</v>
      </c>
      <c r="C9893" t="s">
        <v>174</v>
      </c>
      <c r="D9893" t="s">
        <v>27</v>
      </c>
      <c r="E9893" s="6">
        <v>-28514</v>
      </c>
      <c r="F9893" t="s">
        <v>103</v>
      </c>
      <c r="G9893" t="s">
        <v>20</v>
      </c>
      <c r="H9893" t="s">
        <v>21</v>
      </c>
      <c r="I9893" t="s">
        <v>19080</v>
      </c>
      <c r="J9893" t="str">
        <f>HYPERLINK("https://www.boe.es/gazeta/dias/1821/12/05/pdfs/GMD-1821-347.pdf#page=3","Abrir facsímil")</f>
        <v>Abrir facsímil</v>
      </c>
      <c r="K9893" t="s">
        <v>23</v>
      </c>
    </row>
    <row r="9894" spans="1:11" ht="42" customHeight="1">
      <c r="A9894" t="s">
        <v>19081</v>
      </c>
      <c r="B9894" t="s">
        <v>19081</v>
      </c>
      <c r="C9894" t="s">
        <v>17</v>
      </c>
      <c r="D9894" t="s">
        <v>18</v>
      </c>
      <c r="E9894" s="6">
        <v>-28535</v>
      </c>
      <c r="F9894" t="s">
        <v>96</v>
      </c>
      <c r="G9894" t="s">
        <v>52</v>
      </c>
      <c r="H9894" t="s">
        <v>21</v>
      </c>
      <c r="I9894" t="s">
        <v>19082</v>
      </c>
      <c r="J9894" t="str">
        <f>HYPERLINK("https://www.boe.es/gazeta/dias/1821/11/14/pdfs/GMD-1821-325.pdf#page=2","Abrir facsímil")</f>
        <v>Abrir facsímil</v>
      </c>
      <c r="K9894" t="s">
        <v>23</v>
      </c>
    </row>
    <row r="9895" spans="1:11" ht="42" customHeight="1">
      <c r="A9895" t="s">
        <v>19083</v>
      </c>
      <c r="B9895" t="s">
        <v>19084</v>
      </c>
      <c r="C9895" t="s">
        <v>114</v>
      </c>
      <c r="D9895" t="s">
        <v>27</v>
      </c>
      <c r="E9895" s="6">
        <v>-28806</v>
      </c>
      <c r="F9895" t="s">
        <v>1201</v>
      </c>
      <c r="G9895" t="s">
        <v>52</v>
      </c>
      <c r="H9895" t="s">
        <v>21</v>
      </c>
      <c r="I9895" t="s">
        <v>19085</v>
      </c>
      <c r="J9895" t="str">
        <f>HYPERLINK("https://www.boe.es/gazeta/dias/1821/02/16/pdfs/GGB-1821-47.pdf#page=2","Abrir facsímil")</f>
        <v>Abrir facsímil</v>
      </c>
      <c r="K9895" t="s">
        <v>23</v>
      </c>
    </row>
    <row r="9896" spans="1:11" ht="42" customHeight="1">
      <c r="A9896" t="s">
        <v>19086</v>
      </c>
      <c r="B9896" t="s">
        <v>19087</v>
      </c>
      <c r="C9896" t="s">
        <v>40</v>
      </c>
      <c r="D9896" t="s">
        <v>41</v>
      </c>
      <c r="E9896" s="6">
        <v>-28710</v>
      </c>
      <c r="F9896" t="s">
        <v>375</v>
      </c>
      <c r="G9896" t="s">
        <v>43</v>
      </c>
      <c r="H9896" t="s">
        <v>21</v>
      </c>
      <c r="I9896" t="s">
        <v>19088</v>
      </c>
      <c r="J9896" t="str">
        <f>HYPERLINK("https://www.boe.es/gazeta/dias/1821/05/23/pdfs/GMD-1821-145.pdf#page=1","Abrir facsímil")</f>
        <v>Abrir facsímil</v>
      </c>
      <c r="K9896" t="s">
        <v>23</v>
      </c>
    </row>
    <row r="9897" spans="1:11" ht="42" customHeight="1">
      <c r="A9897" t="s">
        <v>19089</v>
      </c>
      <c r="B9897" t="s">
        <v>19090</v>
      </c>
      <c r="C9897" t="s">
        <v>17</v>
      </c>
      <c r="D9897" t="s">
        <v>18</v>
      </c>
      <c r="E9897" s="6">
        <v>-28762</v>
      </c>
      <c r="F9897" t="s">
        <v>608</v>
      </c>
      <c r="G9897" t="s">
        <v>88</v>
      </c>
      <c r="H9897" t="s">
        <v>21</v>
      </c>
      <c r="I9897" t="s">
        <v>19091</v>
      </c>
      <c r="J9897" t="str">
        <f>HYPERLINK("https://www.boe.es/gazeta/dias/1821/04/01/pdfs/GMD-1821-93.pdf#page=4","Abrir facsímil")</f>
        <v>Abrir facsímil</v>
      </c>
      <c r="K9897" t="s">
        <v>23</v>
      </c>
    </row>
    <row r="9898" spans="1:11" ht="42" customHeight="1">
      <c r="A9898" t="s">
        <v>19092</v>
      </c>
      <c r="B9898" t="s">
        <v>19093</v>
      </c>
      <c r="C9898" t="s">
        <v>17</v>
      </c>
      <c r="D9898" t="s">
        <v>18</v>
      </c>
      <c r="E9898" s="6">
        <v>-28781</v>
      </c>
      <c r="F9898" t="s">
        <v>149</v>
      </c>
      <c r="G9898" t="s">
        <v>88</v>
      </c>
      <c r="H9898" t="s">
        <v>21</v>
      </c>
      <c r="I9898" t="s">
        <v>19094</v>
      </c>
      <c r="J9898" t="str">
        <f>HYPERLINK("https://www.boe.es/gazeta/dias/1821/03/13/pdfs/GMD-1821-72.pdf#page=4","Abrir facsímil")</f>
        <v>Abrir facsímil</v>
      </c>
      <c r="K9898" t="s">
        <v>23</v>
      </c>
    </row>
    <row r="9899" spans="1:11" ht="42" customHeight="1">
      <c r="A9899" t="s">
        <v>19095</v>
      </c>
      <c r="B9899" t="s">
        <v>19096</v>
      </c>
      <c r="C9899" t="s">
        <v>70</v>
      </c>
      <c r="D9899" t="s">
        <v>27</v>
      </c>
      <c r="E9899" s="6">
        <v>-28777</v>
      </c>
      <c r="F9899" t="s">
        <v>1004</v>
      </c>
      <c r="G9899" t="s">
        <v>1005</v>
      </c>
      <c r="H9899" t="s">
        <v>21</v>
      </c>
      <c r="I9899" t="s">
        <v>19097</v>
      </c>
      <c r="J9899" t="str">
        <f>HYPERLINK("https://www.boe.es/gazeta/dias/1821/03/17/pdfs/GMD-1821-76.pdf#page=2","Abrir facsímil")</f>
        <v>Abrir facsímil</v>
      </c>
      <c r="K9899" t="s">
        <v>23</v>
      </c>
    </row>
    <row r="9900" spans="1:11" ht="42" customHeight="1">
      <c r="A9900" t="s">
        <v>19098</v>
      </c>
      <c r="B9900" t="s">
        <v>19099</v>
      </c>
      <c r="C9900" t="s">
        <v>40</v>
      </c>
      <c r="D9900" t="s">
        <v>41</v>
      </c>
      <c r="E9900" s="6">
        <v>-28708</v>
      </c>
      <c r="F9900" t="s">
        <v>528</v>
      </c>
      <c r="G9900" t="s">
        <v>1716</v>
      </c>
      <c r="H9900" t="s">
        <v>21</v>
      </c>
      <c r="I9900" t="s">
        <v>19100</v>
      </c>
      <c r="J9900" t="str">
        <f>HYPERLINK("https://www.boe.es/gazeta/dias/1821/05/25/pdfs/GMD-1821-147.pdf#page=2","Abrir facsímil")</f>
        <v>Abrir facsímil</v>
      </c>
      <c r="K9900" t="s">
        <v>23</v>
      </c>
    </row>
    <row r="9901" spans="1:11" ht="42" customHeight="1">
      <c r="A9901" t="s">
        <v>19101</v>
      </c>
      <c r="B9901" t="s">
        <v>19102</v>
      </c>
      <c r="C9901" t="s">
        <v>40</v>
      </c>
      <c r="D9901" t="s">
        <v>41</v>
      </c>
      <c r="E9901" s="6">
        <v>-28565</v>
      </c>
      <c r="F9901" t="s">
        <v>326</v>
      </c>
      <c r="G9901" t="s">
        <v>162</v>
      </c>
      <c r="H9901" t="s">
        <v>21</v>
      </c>
      <c r="I9901" t="s">
        <v>19103</v>
      </c>
      <c r="J9901" t="str">
        <f>HYPERLINK("https://www.boe.es/gazeta/dias/1821/10/15/pdfs/GMD-1821-294.pdf#page=5","Abrir facsímil")</f>
        <v>Abrir facsímil</v>
      </c>
      <c r="K9901" t="s">
        <v>23</v>
      </c>
    </row>
    <row r="9902" spans="1:11" ht="42" customHeight="1">
      <c r="A9902" t="s">
        <v>19104</v>
      </c>
      <c r="B9902" t="s">
        <v>19105</v>
      </c>
      <c r="C9902" t="s">
        <v>17</v>
      </c>
      <c r="D9902" t="s">
        <v>18</v>
      </c>
      <c r="E9902" s="6">
        <v>-28549</v>
      </c>
      <c r="F9902" t="s">
        <v>930</v>
      </c>
      <c r="G9902" t="s">
        <v>162</v>
      </c>
      <c r="H9902" t="s">
        <v>21</v>
      </c>
      <c r="I9902" t="s">
        <v>19106</v>
      </c>
      <c r="J9902" t="str">
        <f>HYPERLINK("https://www.boe.es/gazeta/dias/1821/10/31/pdfs/GMD-1821-310.pdf#page=5","Abrir facsímil")</f>
        <v>Abrir facsímil</v>
      </c>
      <c r="K9902" t="s">
        <v>23</v>
      </c>
    </row>
    <row r="9903" spans="1:11" ht="42" customHeight="1">
      <c r="A9903" t="s">
        <v>19107</v>
      </c>
      <c r="B9903" t="s">
        <v>19108</v>
      </c>
      <c r="C9903" t="s">
        <v>279</v>
      </c>
      <c r="D9903" t="s">
        <v>27</v>
      </c>
      <c r="E9903" s="6">
        <v>-28836</v>
      </c>
      <c r="F9903" t="s">
        <v>601</v>
      </c>
      <c r="G9903" t="s">
        <v>20</v>
      </c>
      <c r="H9903" t="s">
        <v>21</v>
      </c>
      <c r="I9903" t="s">
        <v>19109</v>
      </c>
      <c r="J9903" t="str">
        <f>HYPERLINK("https://www.boe.es/gazeta/dias/1821/01/17/pdfs/GGB-1821-17.pdf#page=3","Abrir facsímil")</f>
        <v>Abrir facsímil</v>
      </c>
      <c r="K9903" t="s">
        <v>23</v>
      </c>
    </row>
    <row r="9904" spans="1:11" ht="42" customHeight="1">
      <c r="A9904" t="s">
        <v>19110</v>
      </c>
      <c r="B9904" t="s">
        <v>19111</v>
      </c>
      <c r="C9904" t="s">
        <v>26</v>
      </c>
      <c r="D9904" t="s">
        <v>27</v>
      </c>
      <c r="E9904" s="6">
        <v>-28719</v>
      </c>
      <c r="F9904" t="s">
        <v>647</v>
      </c>
      <c r="G9904" t="s">
        <v>20</v>
      </c>
      <c r="H9904" t="s">
        <v>30</v>
      </c>
      <c r="I9904" t="s">
        <v>19112</v>
      </c>
      <c r="J9904" t="str">
        <f>HYPERLINK("https://www.boe.es/gazeta/dias/1821/05/14/pdfs/GMD-1821-136.pdf#page=3","Abrir facsímil")</f>
        <v>Abrir facsímil</v>
      </c>
      <c r="K9904" t="s">
        <v>32</v>
      </c>
    </row>
    <row r="9905" spans="1:11" ht="42" customHeight="1">
      <c r="A9905" t="s">
        <v>19113</v>
      </c>
      <c r="B9905" t="s">
        <v>19114</v>
      </c>
      <c r="C9905" t="s">
        <v>17</v>
      </c>
      <c r="D9905" t="s">
        <v>18</v>
      </c>
      <c r="E9905" s="6">
        <v>-28733</v>
      </c>
      <c r="F9905" t="s">
        <v>1033</v>
      </c>
      <c r="G9905" t="s">
        <v>20</v>
      </c>
      <c r="H9905" t="s">
        <v>21</v>
      </c>
      <c r="I9905" t="s">
        <v>19115</v>
      </c>
      <c r="J9905" t="str">
        <f>HYPERLINK("https://www.boe.es/gazeta/dias/1821/04/30/pdfs/GMD-1821-122.pdf#page=3","Abrir facsímil")</f>
        <v>Abrir facsímil</v>
      </c>
      <c r="K9905" t="s">
        <v>23</v>
      </c>
    </row>
    <row r="9906" spans="1:11" ht="42" customHeight="1">
      <c r="A9906" t="s">
        <v>19116</v>
      </c>
      <c r="B9906" t="s">
        <v>19117</v>
      </c>
      <c r="C9906" t="s">
        <v>17</v>
      </c>
      <c r="D9906" t="s">
        <v>18</v>
      </c>
      <c r="E9906" s="6">
        <v>-28749</v>
      </c>
      <c r="F9906" t="s">
        <v>832</v>
      </c>
      <c r="G9906" t="s">
        <v>20</v>
      </c>
      <c r="H9906" t="s">
        <v>21</v>
      </c>
      <c r="I9906" t="s">
        <v>19118</v>
      </c>
      <c r="J9906" t="str">
        <f>HYPERLINK("https://www.boe.es/gazeta/dias/1821/04/14/pdfs/GMD-1821-106.pdf#page=3","Abrir facsímil")</f>
        <v>Abrir facsímil</v>
      </c>
      <c r="K9906" t="s">
        <v>23</v>
      </c>
    </row>
    <row r="9907" spans="1:11" ht="42" customHeight="1">
      <c r="A9907" t="s">
        <v>19119</v>
      </c>
      <c r="B9907" t="s">
        <v>19120</v>
      </c>
      <c r="C9907" t="s">
        <v>17</v>
      </c>
      <c r="D9907" t="s">
        <v>18</v>
      </c>
      <c r="E9907" s="6">
        <v>-28619</v>
      </c>
      <c r="F9907" t="s">
        <v>3364</v>
      </c>
      <c r="G9907" t="s">
        <v>52</v>
      </c>
      <c r="H9907" t="s">
        <v>21</v>
      </c>
      <c r="I9907" t="s">
        <v>19121</v>
      </c>
      <c r="J9907" t="str">
        <f>HYPERLINK("https://www.boe.es/gazeta/dias/1821/08/22/pdfs/GMD-1821-239.pdf#page=2","Abrir facsímil")</f>
        <v>Abrir facsímil</v>
      </c>
      <c r="K9907" t="s">
        <v>23</v>
      </c>
    </row>
    <row r="9908" spans="1:11" ht="42" customHeight="1">
      <c r="A9908" t="s">
        <v>19122</v>
      </c>
      <c r="B9908" t="s">
        <v>19123</v>
      </c>
      <c r="C9908" t="s">
        <v>40</v>
      </c>
      <c r="D9908" t="s">
        <v>41</v>
      </c>
      <c r="E9908" s="6">
        <v>-28512</v>
      </c>
      <c r="F9908" t="s">
        <v>66</v>
      </c>
      <c r="G9908" t="s">
        <v>52</v>
      </c>
      <c r="H9908" t="s">
        <v>21</v>
      </c>
      <c r="I9908" t="s">
        <v>19124</v>
      </c>
      <c r="J9908" t="str">
        <f>HYPERLINK("https://www.boe.es/gazeta/dias/1821/12/07/pdfs/GMD-1821-349.pdf#page=2","Abrir facsímil")</f>
        <v>Abrir facsímil</v>
      </c>
      <c r="K9908" t="s">
        <v>23</v>
      </c>
    </row>
    <row r="9909" spans="1:11" ht="42" customHeight="1">
      <c r="A9909" t="s">
        <v>19125</v>
      </c>
      <c r="B9909" t="s">
        <v>19126</v>
      </c>
      <c r="C9909" t="s">
        <v>26</v>
      </c>
      <c r="D9909" t="s">
        <v>27</v>
      </c>
      <c r="E9909" s="6">
        <v>-28725</v>
      </c>
      <c r="F9909" t="s">
        <v>440</v>
      </c>
      <c r="G9909" t="s">
        <v>88</v>
      </c>
      <c r="H9909" t="s">
        <v>21</v>
      </c>
      <c r="I9909" t="s">
        <v>19127</v>
      </c>
      <c r="J9909" t="str">
        <f>HYPERLINK("https://www.boe.es/gazeta/dias/1821/05/08/pdfs/GMD-1821-130.pdf#page=4","Abrir facsímil")</f>
        <v>Abrir facsímil</v>
      </c>
      <c r="K9909" t="s">
        <v>23</v>
      </c>
    </row>
    <row r="9910" spans="1:11" ht="42" customHeight="1">
      <c r="A9910" t="s">
        <v>19128</v>
      </c>
      <c r="B9910" t="s">
        <v>19128</v>
      </c>
      <c r="C9910" t="s">
        <v>26</v>
      </c>
      <c r="D9910" t="s">
        <v>27</v>
      </c>
      <c r="E9910" s="6">
        <v>-28742</v>
      </c>
      <c r="F9910" t="s">
        <v>324</v>
      </c>
      <c r="G9910" t="s">
        <v>52</v>
      </c>
      <c r="H9910" t="s">
        <v>21</v>
      </c>
      <c r="I9910" t="s">
        <v>19129</v>
      </c>
      <c r="J9910" t="str">
        <f>HYPERLINK("https://www.boe.es/gazeta/dias/1821/04/21/pdfs/GMD-1821-113.pdf#page=2","Abrir facsímil")</f>
        <v>Abrir facsímil</v>
      </c>
      <c r="K9910" t="s">
        <v>23</v>
      </c>
    </row>
    <row r="9911" spans="1:11" ht="42" customHeight="1">
      <c r="A9911" t="s">
        <v>19130</v>
      </c>
      <c r="B9911" t="s">
        <v>19130</v>
      </c>
      <c r="C9911" t="s">
        <v>35</v>
      </c>
      <c r="D9911" t="s">
        <v>27</v>
      </c>
      <c r="E9911" s="6">
        <v>-28618</v>
      </c>
      <c r="F9911" t="s">
        <v>4041</v>
      </c>
      <c r="G9911" t="s">
        <v>52</v>
      </c>
      <c r="H9911" t="s">
        <v>21</v>
      </c>
      <c r="I9911" t="s">
        <v>19131</v>
      </c>
      <c r="J9911" t="str">
        <f>HYPERLINK("https://www.boe.es/gazeta/dias/1821/08/23/pdfs/GMD-1821-240.pdf#page=2","Abrir facsímil")</f>
        <v>Abrir facsímil</v>
      </c>
      <c r="K9911" t="s">
        <v>23</v>
      </c>
    </row>
    <row r="9912" spans="1:11" ht="42" customHeight="1">
      <c r="A9912" t="s">
        <v>19130</v>
      </c>
      <c r="B9912" t="s">
        <v>19130</v>
      </c>
      <c r="C9912" t="s">
        <v>26</v>
      </c>
      <c r="D9912" t="s">
        <v>27</v>
      </c>
      <c r="E9912" s="6">
        <v>-28613</v>
      </c>
      <c r="F9912" t="s">
        <v>178</v>
      </c>
      <c r="G9912" t="s">
        <v>52</v>
      </c>
      <c r="H9912" t="s">
        <v>21</v>
      </c>
      <c r="I9912" t="s">
        <v>19132</v>
      </c>
      <c r="J9912" t="str">
        <f>HYPERLINK("https://www.boe.es/gazeta/dias/1821/08/28/pdfs/GMD-1821-245.pdf#page=2","Abrir facsímil")</f>
        <v>Abrir facsímil</v>
      </c>
      <c r="K9912" t="s">
        <v>23</v>
      </c>
    </row>
    <row r="9913" spans="1:11" ht="42" customHeight="1">
      <c r="A9913" t="s">
        <v>19133</v>
      </c>
      <c r="B9913" t="s">
        <v>19134</v>
      </c>
      <c r="C9913" t="s">
        <v>26</v>
      </c>
      <c r="D9913" t="s">
        <v>27</v>
      </c>
      <c r="E9913" s="6">
        <v>-28659</v>
      </c>
      <c r="F9913" t="s">
        <v>2850</v>
      </c>
      <c r="G9913" t="s">
        <v>20</v>
      </c>
      <c r="H9913" t="s">
        <v>21</v>
      </c>
      <c r="I9913" t="s">
        <v>19135</v>
      </c>
      <c r="J9913" t="str">
        <f>HYPERLINK("https://www.boe.es/gazeta/dias/1821/07/13/pdfs/GMD-1821-198.pdf#page=3","Abrir facsímil")</f>
        <v>Abrir facsímil</v>
      </c>
      <c r="K9913" t="s">
        <v>23</v>
      </c>
    </row>
    <row r="9914" spans="1:11" ht="42" customHeight="1">
      <c r="A9914" t="s">
        <v>19136</v>
      </c>
      <c r="B9914" t="s">
        <v>19137</v>
      </c>
      <c r="C9914" t="s">
        <v>40</v>
      </c>
      <c r="D9914" t="s">
        <v>41</v>
      </c>
      <c r="E9914" s="6">
        <v>-28589</v>
      </c>
      <c r="F9914" t="s">
        <v>3130</v>
      </c>
      <c r="G9914" t="s">
        <v>20</v>
      </c>
      <c r="H9914" t="s">
        <v>21</v>
      </c>
      <c r="I9914" t="s">
        <v>19138</v>
      </c>
      <c r="J9914" t="str">
        <f>HYPERLINK("https://www.boe.es/gazeta/dias/1821/09/21/pdfs/GMD-1821-269.pdf#page=3","Abrir facsímil")</f>
        <v>Abrir facsímil</v>
      </c>
      <c r="K9914" t="s">
        <v>23</v>
      </c>
    </row>
    <row r="9915" spans="1:11" ht="42" customHeight="1">
      <c r="A9915" t="s">
        <v>19139</v>
      </c>
      <c r="B9915" t="s">
        <v>19139</v>
      </c>
      <c r="C9915" t="s">
        <v>40</v>
      </c>
      <c r="D9915" t="s">
        <v>41</v>
      </c>
      <c r="E9915" s="6">
        <v>-28754</v>
      </c>
      <c r="F9915" t="s">
        <v>1942</v>
      </c>
      <c r="G9915" t="s">
        <v>43</v>
      </c>
      <c r="H9915" t="s">
        <v>21</v>
      </c>
      <c r="I9915" t="s">
        <v>19140</v>
      </c>
      <c r="J9915" t="str">
        <f>HYPERLINK("https://www.boe.es/gazeta/dias/1821/04/09/pdfs/GMD-1821-101.pdf#page=1","Abrir facsímil")</f>
        <v>Abrir facsímil</v>
      </c>
      <c r="K9915" t="s">
        <v>23</v>
      </c>
    </row>
    <row r="9916" spans="1:11" ht="42" customHeight="1">
      <c r="A9916" t="s">
        <v>19141</v>
      </c>
      <c r="B9916" t="s">
        <v>19141</v>
      </c>
      <c r="C9916" t="s">
        <v>40</v>
      </c>
      <c r="D9916" t="s">
        <v>41</v>
      </c>
      <c r="E9916" s="6">
        <v>-28845</v>
      </c>
      <c r="F9916" t="s">
        <v>5185</v>
      </c>
      <c r="G9916" t="s">
        <v>19142</v>
      </c>
      <c r="H9916" t="s">
        <v>21</v>
      </c>
      <c r="I9916" t="s">
        <v>19143</v>
      </c>
      <c r="J9916" t="str">
        <f>HYPERLINK("https://www.boe.es/gazeta/dias/1821/01/08/pdfs/GGB-1821-8.pdf#page=2","Abrir facsímil")</f>
        <v>Abrir facsímil</v>
      </c>
      <c r="K9916" t="s">
        <v>23</v>
      </c>
    </row>
    <row r="9917" spans="1:11" ht="42" customHeight="1">
      <c r="A9917" t="s">
        <v>19141</v>
      </c>
      <c r="B9917" t="s">
        <v>19141</v>
      </c>
      <c r="C9917" t="s">
        <v>26</v>
      </c>
      <c r="D9917" t="s">
        <v>27</v>
      </c>
      <c r="E9917" s="6">
        <v>-28814</v>
      </c>
      <c r="F9917" t="s">
        <v>2090</v>
      </c>
      <c r="G9917" t="s">
        <v>3053</v>
      </c>
      <c r="H9917" t="s">
        <v>21</v>
      </c>
      <c r="I9917" t="s">
        <v>19144</v>
      </c>
      <c r="J9917" t="str">
        <f>HYPERLINK("https://www.boe.es/gazeta/dias/1821/02/08/pdfs/GGB-1821-39.pdf#page=3","Abrir facsímil")</f>
        <v>Abrir facsímil</v>
      </c>
      <c r="K9917" t="s">
        <v>23</v>
      </c>
    </row>
    <row r="9918" spans="1:11" ht="42" customHeight="1">
      <c r="A9918" t="s">
        <v>19141</v>
      </c>
      <c r="B9918" t="s">
        <v>19141</v>
      </c>
      <c r="C9918" t="s">
        <v>40</v>
      </c>
      <c r="D9918" t="s">
        <v>41</v>
      </c>
      <c r="E9918" s="6">
        <v>-28756</v>
      </c>
      <c r="F9918" t="s">
        <v>3145</v>
      </c>
      <c r="G9918" t="s">
        <v>52</v>
      </c>
      <c r="H9918" t="s">
        <v>21</v>
      </c>
      <c r="I9918" t="s">
        <v>19145</v>
      </c>
      <c r="J9918" t="str">
        <f>HYPERLINK("https://www.boe.es/gazeta/dias/1821/04/07/pdfs/GMD-1821-99.pdf#page=2","Abrir facsímil")</f>
        <v>Abrir facsímil</v>
      </c>
      <c r="K9918" t="s">
        <v>23</v>
      </c>
    </row>
    <row r="9919" spans="1:11" ht="42" customHeight="1">
      <c r="A9919" t="s">
        <v>19141</v>
      </c>
      <c r="B9919" t="s">
        <v>19141</v>
      </c>
      <c r="C9919" t="s">
        <v>40</v>
      </c>
      <c r="D9919" t="s">
        <v>41</v>
      </c>
      <c r="E9919" s="6">
        <v>-28659</v>
      </c>
      <c r="F9919" t="s">
        <v>2850</v>
      </c>
      <c r="G9919" t="s">
        <v>52</v>
      </c>
      <c r="H9919" t="s">
        <v>21</v>
      </c>
      <c r="I9919" t="s">
        <v>19146</v>
      </c>
      <c r="J9919" t="str">
        <f>HYPERLINK("https://www.boe.es/gazeta/dias/1821/07/13/pdfs/GMD-1821-198.pdf#page=2","Abrir facsímil")</f>
        <v>Abrir facsímil</v>
      </c>
      <c r="K9919" t="s">
        <v>23</v>
      </c>
    </row>
    <row r="9920" spans="1:11" ht="42" customHeight="1">
      <c r="A9920" t="s">
        <v>19141</v>
      </c>
      <c r="B9920" t="s">
        <v>19141</v>
      </c>
      <c r="C9920" t="s">
        <v>70</v>
      </c>
      <c r="D9920" t="s">
        <v>27</v>
      </c>
      <c r="E9920" s="6">
        <v>-28653</v>
      </c>
      <c r="F9920" t="s">
        <v>1179</v>
      </c>
      <c r="G9920" t="s">
        <v>20</v>
      </c>
      <c r="H9920" t="s">
        <v>21</v>
      </c>
      <c r="I9920" t="s">
        <v>19147</v>
      </c>
      <c r="J9920" t="str">
        <f>HYPERLINK("https://www.boe.es/gazeta/dias/1821/07/19/pdfs/GMD-1821-204.pdf#page=3","Abrir facsímil")</f>
        <v>Abrir facsímil</v>
      </c>
      <c r="K9920" t="s">
        <v>23</v>
      </c>
    </row>
    <row r="9921" spans="1:11" ht="42" customHeight="1">
      <c r="A9921" t="s">
        <v>19141</v>
      </c>
      <c r="B9921" t="s">
        <v>19141</v>
      </c>
      <c r="C9921" t="s">
        <v>17</v>
      </c>
      <c r="D9921" t="s">
        <v>18</v>
      </c>
      <c r="E9921" s="6">
        <v>-28649</v>
      </c>
      <c r="F9921" t="s">
        <v>4688</v>
      </c>
      <c r="G9921" t="s">
        <v>52</v>
      </c>
      <c r="H9921" t="s">
        <v>21</v>
      </c>
      <c r="I9921" t="s">
        <v>19148</v>
      </c>
      <c r="J9921" t="str">
        <f>HYPERLINK("https://www.boe.es/gazeta/dias/1821/07/23/pdfs/GMD-1821-208.pdf#page=2","Abrir facsímil")</f>
        <v>Abrir facsímil</v>
      </c>
      <c r="K9921" t="s">
        <v>23</v>
      </c>
    </row>
    <row r="9922" spans="1:11" ht="42" customHeight="1">
      <c r="A9922" t="s">
        <v>19141</v>
      </c>
      <c r="B9922" t="s">
        <v>19141</v>
      </c>
      <c r="C9922" t="s">
        <v>40</v>
      </c>
      <c r="D9922" t="s">
        <v>41</v>
      </c>
      <c r="E9922" s="6">
        <v>-28615</v>
      </c>
      <c r="F9922" t="s">
        <v>427</v>
      </c>
      <c r="G9922" t="s">
        <v>88</v>
      </c>
      <c r="H9922" t="s">
        <v>21</v>
      </c>
      <c r="I9922" t="s">
        <v>19149</v>
      </c>
      <c r="J9922" t="str">
        <f>HYPERLINK("https://www.boe.es/gazeta/dias/1821/08/26/pdfs/GMD-1821-243.pdf#page=4","Abrir facsímil")</f>
        <v>Abrir facsímil</v>
      </c>
      <c r="K9922" t="s">
        <v>23</v>
      </c>
    </row>
    <row r="9923" spans="1:11" ht="42" customHeight="1">
      <c r="A9923" t="s">
        <v>19141</v>
      </c>
      <c r="B9923" t="s">
        <v>19141</v>
      </c>
      <c r="C9923" t="s">
        <v>40</v>
      </c>
      <c r="D9923" t="s">
        <v>41</v>
      </c>
      <c r="E9923" s="6">
        <v>-28596</v>
      </c>
      <c r="F9923" t="s">
        <v>1275</v>
      </c>
      <c r="G9923" t="s">
        <v>20</v>
      </c>
      <c r="H9923" t="s">
        <v>21</v>
      </c>
      <c r="I9923" t="s">
        <v>19150</v>
      </c>
      <c r="J9923" t="str">
        <f>HYPERLINK("https://www.boe.es/gazeta/dias/1821/09/14/pdfs/GMD-1821-262.pdf#page=3","Abrir facsímil")</f>
        <v>Abrir facsímil</v>
      </c>
      <c r="K9923" t="s">
        <v>23</v>
      </c>
    </row>
    <row r="9924" spans="1:11" ht="42" customHeight="1">
      <c r="A9924" t="s">
        <v>19141</v>
      </c>
      <c r="B9924" t="s">
        <v>19141</v>
      </c>
      <c r="C9924" t="s">
        <v>40</v>
      </c>
      <c r="D9924" t="s">
        <v>41</v>
      </c>
      <c r="E9924" s="6">
        <v>-28528</v>
      </c>
      <c r="F9924" t="s">
        <v>1872</v>
      </c>
      <c r="G9924" t="s">
        <v>2209</v>
      </c>
      <c r="H9924" t="s">
        <v>21</v>
      </c>
      <c r="I9924" t="s">
        <v>19151</v>
      </c>
      <c r="J9924" t="str">
        <f>HYPERLINK("https://www.boe.es/gazeta/dias/1821/11/21/pdfs/GMD-1821-332.pdf#page=3","Abrir facsímil")</f>
        <v>Abrir facsímil</v>
      </c>
      <c r="K9924" t="s">
        <v>23</v>
      </c>
    </row>
    <row r="9925" spans="1:11" ht="42" customHeight="1">
      <c r="A9925" t="s">
        <v>19152</v>
      </c>
      <c r="B9925" t="s">
        <v>19152</v>
      </c>
      <c r="C9925" t="s">
        <v>17</v>
      </c>
      <c r="D9925" t="s">
        <v>18</v>
      </c>
      <c r="E9925" s="6">
        <v>-28678</v>
      </c>
      <c r="F9925" t="s">
        <v>215</v>
      </c>
      <c r="G9925" t="s">
        <v>88</v>
      </c>
      <c r="H9925" t="s">
        <v>21</v>
      </c>
      <c r="I9925" t="s">
        <v>19153</v>
      </c>
      <c r="J9925" t="str">
        <f>HYPERLINK("https://www.boe.es/gazeta/dias/1821/06/24/pdfs/GMD-1821-177.pdf#page=4","Abrir facsímil")</f>
        <v>Abrir facsímil</v>
      </c>
      <c r="K9925" t="s">
        <v>23</v>
      </c>
    </row>
    <row r="9926" spans="1:11" ht="42" customHeight="1">
      <c r="A9926" t="s">
        <v>19154</v>
      </c>
      <c r="B9926" t="s">
        <v>19154</v>
      </c>
      <c r="C9926" t="s">
        <v>40</v>
      </c>
      <c r="D9926" t="s">
        <v>41</v>
      </c>
      <c r="E9926" s="6">
        <v>-28783</v>
      </c>
      <c r="F9926" t="s">
        <v>198</v>
      </c>
      <c r="G9926" t="s">
        <v>43</v>
      </c>
      <c r="H9926" t="s">
        <v>21</v>
      </c>
      <c r="I9926" t="s">
        <v>19155</v>
      </c>
      <c r="J9926" t="str">
        <f>HYPERLINK("https://www.boe.es/gazeta/dias/1821/03/11/pdfs/GGB-1821-70.pdf#page=1","Abrir facsímil")</f>
        <v>Abrir facsímil</v>
      </c>
      <c r="K9926" t="s">
        <v>23</v>
      </c>
    </row>
    <row r="9927" spans="1:11" ht="42" customHeight="1">
      <c r="A9927" t="s">
        <v>19154</v>
      </c>
      <c r="B9927" t="s">
        <v>19154</v>
      </c>
      <c r="C9927" t="s">
        <v>40</v>
      </c>
      <c r="D9927" t="s">
        <v>41</v>
      </c>
      <c r="E9927" s="6">
        <v>-28756</v>
      </c>
      <c r="F9927" t="s">
        <v>3145</v>
      </c>
      <c r="G9927" t="s">
        <v>52</v>
      </c>
      <c r="H9927" t="s">
        <v>21</v>
      </c>
      <c r="I9927" t="s">
        <v>19156</v>
      </c>
      <c r="J9927" t="str">
        <f>HYPERLINK("https://www.boe.es/gazeta/dias/1821/04/07/pdfs/GMD-1821-99.pdf#page=2","Abrir facsímil")</f>
        <v>Abrir facsímil</v>
      </c>
      <c r="K9927" t="s">
        <v>23</v>
      </c>
    </row>
    <row r="9928" spans="1:11" ht="42" customHeight="1">
      <c r="A9928" t="s">
        <v>19157</v>
      </c>
      <c r="B9928" t="s">
        <v>19157</v>
      </c>
      <c r="C9928" t="s">
        <v>40</v>
      </c>
      <c r="D9928" t="s">
        <v>41</v>
      </c>
      <c r="E9928" s="6">
        <v>-28534</v>
      </c>
      <c r="F9928" t="s">
        <v>414</v>
      </c>
      <c r="G9928" t="s">
        <v>52</v>
      </c>
      <c r="H9928" t="s">
        <v>21</v>
      </c>
      <c r="I9928" t="s">
        <v>19158</v>
      </c>
      <c r="J9928" t="str">
        <f>HYPERLINK("https://www.boe.es/gazeta/dias/1821/11/15/pdfs/GMD-1821-326.pdf#page=2","Abrir facsímil")</f>
        <v>Abrir facsímil</v>
      </c>
      <c r="K9928" t="s">
        <v>23</v>
      </c>
    </row>
    <row r="9929" spans="1:11" ht="42" customHeight="1">
      <c r="A9929" t="s">
        <v>19159</v>
      </c>
      <c r="B9929" t="s">
        <v>19160</v>
      </c>
      <c r="C9929" t="s">
        <v>17</v>
      </c>
      <c r="D9929" t="s">
        <v>18</v>
      </c>
      <c r="E9929" s="6">
        <v>-28819</v>
      </c>
      <c r="F9929" t="s">
        <v>1830</v>
      </c>
      <c r="G9929" t="s">
        <v>88</v>
      </c>
      <c r="H9929" t="s">
        <v>21</v>
      </c>
      <c r="I9929" t="s">
        <v>19161</v>
      </c>
      <c r="J9929" t="str">
        <f>HYPERLINK("https://www.boe.es/gazeta/dias/1821/02/03/pdfs/GGB-1821-34.pdf#page=4","Abrir facsímil")</f>
        <v>Abrir facsímil</v>
      </c>
      <c r="K9929" t="s">
        <v>23</v>
      </c>
    </row>
    <row r="9930" spans="1:11" ht="42" customHeight="1">
      <c r="A9930" t="s">
        <v>19159</v>
      </c>
      <c r="B9930" t="s">
        <v>19160</v>
      </c>
      <c r="C9930" t="s">
        <v>114</v>
      </c>
      <c r="D9930" t="s">
        <v>27</v>
      </c>
      <c r="E9930" s="6">
        <v>-28796</v>
      </c>
      <c r="F9930" t="s">
        <v>1421</v>
      </c>
      <c r="G9930" t="s">
        <v>8266</v>
      </c>
      <c r="H9930" t="s">
        <v>21</v>
      </c>
      <c r="I9930" t="s">
        <v>19162</v>
      </c>
      <c r="J9930" t="str">
        <f>HYPERLINK("https://www.boe.es/gazeta/dias/1821/02/26/pdfs/GGB-1821-57.pdf#page=4","Abrir facsímil")</f>
        <v>Abrir facsímil</v>
      </c>
      <c r="K9930" t="s">
        <v>23</v>
      </c>
    </row>
    <row r="9931" spans="1:11" ht="42" customHeight="1">
      <c r="A9931" t="s">
        <v>19159</v>
      </c>
      <c r="B9931" t="s">
        <v>19160</v>
      </c>
      <c r="C9931" t="s">
        <v>40</v>
      </c>
      <c r="D9931" t="s">
        <v>41</v>
      </c>
      <c r="E9931" s="6">
        <v>-28755</v>
      </c>
      <c r="F9931" t="s">
        <v>906</v>
      </c>
      <c r="G9931" t="s">
        <v>907</v>
      </c>
      <c r="H9931" t="s">
        <v>21</v>
      </c>
      <c r="I9931" t="s">
        <v>19163</v>
      </c>
      <c r="J9931" t="str">
        <f>HYPERLINK("https://www.boe.es/gazeta/dias/1821/04/08/pdfs/GMD-1821-100.pdf#page=4","Abrir facsímil")</f>
        <v>Abrir facsímil</v>
      </c>
      <c r="K9931" t="s">
        <v>23</v>
      </c>
    </row>
    <row r="9932" spans="1:11" ht="42" customHeight="1">
      <c r="A9932" t="s">
        <v>19159</v>
      </c>
      <c r="B9932" t="s">
        <v>19160</v>
      </c>
      <c r="C9932" t="s">
        <v>17</v>
      </c>
      <c r="D9932" t="s">
        <v>18</v>
      </c>
      <c r="E9932" s="6">
        <v>-28750</v>
      </c>
      <c r="F9932" t="s">
        <v>917</v>
      </c>
      <c r="G9932" t="s">
        <v>88</v>
      </c>
      <c r="H9932" t="s">
        <v>21</v>
      </c>
      <c r="I9932" t="s">
        <v>19164</v>
      </c>
      <c r="J9932" t="str">
        <f>HYPERLINK("https://www.boe.es/gazeta/dias/1821/04/13/pdfs/GMD-1821-105.pdf#page=4","Abrir facsímil")</f>
        <v>Abrir facsímil</v>
      </c>
      <c r="K9932" t="s">
        <v>23</v>
      </c>
    </row>
    <row r="9933" spans="1:11" ht="42" customHeight="1">
      <c r="A9933" t="s">
        <v>19159</v>
      </c>
      <c r="B9933" t="s">
        <v>19160</v>
      </c>
      <c r="C9933" t="s">
        <v>40</v>
      </c>
      <c r="D9933" t="s">
        <v>41</v>
      </c>
      <c r="E9933" s="6">
        <v>-28715</v>
      </c>
      <c r="F9933" t="s">
        <v>1046</v>
      </c>
      <c r="G9933" t="s">
        <v>88</v>
      </c>
      <c r="H9933" t="s">
        <v>21</v>
      </c>
      <c r="I9933" t="s">
        <v>19165</v>
      </c>
      <c r="J9933" t="str">
        <f>HYPERLINK("https://www.boe.es/gazeta/dias/1821/05/18/pdfs/GMD-1821-140.pdf#page=4","Abrir facsímil")</f>
        <v>Abrir facsímil</v>
      </c>
      <c r="K9933" t="s">
        <v>23</v>
      </c>
    </row>
    <row r="9934" spans="1:11" ht="42" customHeight="1">
      <c r="A9934" t="s">
        <v>19159</v>
      </c>
      <c r="B9934" t="s">
        <v>19160</v>
      </c>
      <c r="C9934" t="s">
        <v>40</v>
      </c>
      <c r="D9934" t="s">
        <v>41</v>
      </c>
      <c r="E9934" s="6">
        <v>-28641</v>
      </c>
      <c r="F9934" t="s">
        <v>398</v>
      </c>
      <c r="G9934" t="s">
        <v>88</v>
      </c>
      <c r="H9934" t="s">
        <v>21</v>
      </c>
      <c r="I9934" t="s">
        <v>19166</v>
      </c>
      <c r="J9934" t="str">
        <f>HYPERLINK("https://www.boe.es/gazeta/dias/1821/07/31/pdfs/GMD-1821-216.pdf#page=4","Abrir facsímil")</f>
        <v>Abrir facsímil</v>
      </c>
      <c r="K9934" t="s">
        <v>23</v>
      </c>
    </row>
    <row r="9935" spans="1:11" ht="42" customHeight="1">
      <c r="A9935" t="s">
        <v>19159</v>
      </c>
      <c r="B9935" t="s">
        <v>19160</v>
      </c>
      <c r="C9935" t="s">
        <v>40</v>
      </c>
      <c r="D9935" t="s">
        <v>41</v>
      </c>
      <c r="E9935" s="6">
        <v>-28557</v>
      </c>
      <c r="F9935" t="s">
        <v>316</v>
      </c>
      <c r="G9935" t="s">
        <v>29</v>
      </c>
      <c r="H9935" t="s">
        <v>21</v>
      </c>
      <c r="I9935" t="s">
        <v>19167</v>
      </c>
      <c r="J9935" t="str">
        <f>HYPERLINK("https://www.boe.es/gazeta/dias/1821/10/23/pdfs/GMD-1821-302.pdf#page=6","Abrir facsímil")</f>
        <v>Abrir facsímil</v>
      </c>
      <c r="K9935" t="s">
        <v>23</v>
      </c>
    </row>
    <row r="9936" spans="1:11" ht="42" customHeight="1">
      <c r="A9936" t="s">
        <v>19168</v>
      </c>
      <c r="B9936" t="s">
        <v>19168</v>
      </c>
      <c r="C9936" t="s">
        <v>17</v>
      </c>
      <c r="D9936" t="s">
        <v>18</v>
      </c>
      <c r="E9936" s="6">
        <v>-28677</v>
      </c>
      <c r="F9936" t="s">
        <v>361</v>
      </c>
      <c r="G9936" t="s">
        <v>162</v>
      </c>
      <c r="H9936" t="s">
        <v>21</v>
      </c>
      <c r="I9936" t="s">
        <v>19169</v>
      </c>
      <c r="J9936" t="str">
        <f>HYPERLINK("https://www.boe.es/gazeta/dias/1821/06/25/pdfs/GMD-1821-178.pdf#page=5","Abrir facsímil")</f>
        <v>Abrir facsímil</v>
      </c>
      <c r="K9936" t="s">
        <v>23</v>
      </c>
    </row>
    <row r="9937" spans="1:11" ht="42" customHeight="1">
      <c r="A9937" t="s">
        <v>19168</v>
      </c>
      <c r="B9937" t="s">
        <v>19168</v>
      </c>
      <c r="C9937" t="s">
        <v>17</v>
      </c>
      <c r="D9937" t="s">
        <v>18</v>
      </c>
      <c r="E9937" s="6">
        <v>-28642</v>
      </c>
      <c r="F9937" t="s">
        <v>734</v>
      </c>
      <c r="G9937" t="s">
        <v>88</v>
      </c>
      <c r="H9937" t="s">
        <v>21</v>
      </c>
      <c r="I9937" t="s">
        <v>19170</v>
      </c>
      <c r="J9937" t="str">
        <f>HYPERLINK("https://www.boe.es/gazeta/dias/1821/07/30/pdfs/GMD-1821-215.pdf#page=4","Abrir facsímil")</f>
        <v>Abrir facsímil</v>
      </c>
      <c r="K9937" t="s">
        <v>23</v>
      </c>
    </row>
    <row r="9938" spans="1:11" ht="42" customHeight="1">
      <c r="A9938" t="s">
        <v>19171</v>
      </c>
      <c r="B9938" t="s">
        <v>19171</v>
      </c>
      <c r="C9938" t="s">
        <v>40</v>
      </c>
      <c r="D9938" t="s">
        <v>41</v>
      </c>
      <c r="E9938" s="6">
        <v>-28648</v>
      </c>
      <c r="F9938" t="s">
        <v>1520</v>
      </c>
      <c r="G9938" t="s">
        <v>88</v>
      </c>
      <c r="H9938" t="s">
        <v>21</v>
      </c>
      <c r="I9938" t="s">
        <v>19172</v>
      </c>
      <c r="J9938" t="str">
        <f>HYPERLINK("https://www.boe.es/gazeta/dias/1821/07/24/pdfs/GMD-1821-209.pdf#page=4","Abrir facsímil")</f>
        <v>Abrir facsímil</v>
      </c>
      <c r="K9938" t="s">
        <v>23</v>
      </c>
    </row>
    <row r="9939" spans="1:11" ht="42" customHeight="1">
      <c r="A9939" t="s">
        <v>19173</v>
      </c>
      <c r="B9939" t="s">
        <v>19174</v>
      </c>
      <c r="C9939" t="s">
        <v>26</v>
      </c>
      <c r="D9939" t="s">
        <v>27</v>
      </c>
      <c r="E9939" s="6">
        <v>-28519</v>
      </c>
      <c r="F9939" t="s">
        <v>880</v>
      </c>
      <c r="G9939" t="s">
        <v>88</v>
      </c>
      <c r="H9939" t="s">
        <v>21</v>
      </c>
      <c r="I9939" t="s">
        <v>19175</v>
      </c>
      <c r="J9939" t="str">
        <f>HYPERLINK("https://www.boe.es/gazeta/dias/1821/11/30/pdfs/GMD-1821-342.pdf#page=4","Abrir facsímil")</f>
        <v>Abrir facsímil</v>
      </c>
      <c r="K9939" t="s">
        <v>23</v>
      </c>
    </row>
    <row r="9940" spans="1:11" ht="42" customHeight="1">
      <c r="A9940" t="s">
        <v>19176</v>
      </c>
      <c r="B9940" t="s">
        <v>19177</v>
      </c>
      <c r="C9940" t="s">
        <v>174</v>
      </c>
      <c r="D9940" t="s">
        <v>27</v>
      </c>
      <c r="E9940" s="6">
        <v>-28599</v>
      </c>
      <c r="F9940" t="s">
        <v>902</v>
      </c>
      <c r="G9940" t="s">
        <v>88</v>
      </c>
      <c r="H9940" t="s">
        <v>30</v>
      </c>
      <c r="I9940" t="s">
        <v>19178</v>
      </c>
      <c r="J9940" t="str">
        <f>HYPERLINK("https://www.boe.es/gazeta/dias/1821/09/11/pdfs/GMD-1821-259.pdf#page=4","Abrir facsímil")</f>
        <v>Abrir facsímil</v>
      </c>
      <c r="K9940" t="s">
        <v>32</v>
      </c>
    </row>
    <row r="9941" spans="1:11" ht="42" customHeight="1">
      <c r="A9941" t="s">
        <v>19179</v>
      </c>
      <c r="B9941" t="s">
        <v>19180</v>
      </c>
      <c r="C9941" t="s">
        <v>26</v>
      </c>
      <c r="D9941" t="s">
        <v>27</v>
      </c>
      <c r="E9941" s="6">
        <v>-28778</v>
      </c>
      <c r="F9941" t="s">
        <v>1301</v>
      </c>
      <c r="G9941" t="s">
        <v>20</v>
      </c>
      <c r="H9941" t="s">
        <v>21</v>
      </c>
      <c r="I9941" t="s">
        <v>19181</v>
      </c>
      <c r="J9941" t="str">
        <f>HYPERLINK("https://www.boe.es/gazeta/dias/1821/03/16/pdfs/GMD-1821-75.pdf#page=3","Abrir facsímil")</f>
        <v>Abrir facsímil</v>
      </c>
      <c r="K9941" t="s">
        <v>23</v>
      </c>
    </row>
    <row r="9942" spans="1:11" ht="42" customHeight="1">
      <c r="A9942" t="s">
        <v>19179</v>
      </c>
      <c r="B9942" t="s">
        <v>19180</v>
      </c>
      <c r="C9942" t="s">
        <v>26</v>
      </c>
      <c r="D9942" t="s">
        <v>27</v>
      </c>
      <c r="E9942" s="6">
        <v>-28730</v>
      </c>
      <c r="F9942" t="s">
        <v>747</v>
      </c>
      <c r="G9942" t="s">
        <v>52</v>
      </c>
      <c r="H9942" t="s">
        <v>21</v>
      </c>
      <c r="I9942" t="s">
        <v>19182</v>
      </c>
      <c r="J9942" t="str">
        <f>HYPERLINK("https://www.boe.es/gazeta/dias/1821/05/03/pdfs/GMD-1821-125.pdf#page=2","Abrir facsímil")</f>
        <v>Abrir facsímil</v>
      </c>
      <c r="K9942" t="s">
        <v>23</v>
      </c>
    </row>
    <row r="9943" spans="1:11" ht="42" customHeight="1">
      <c r="A9943" t="s">
        <v>19183</v>
      </c>
      <c r="B9943" t="s">
        <v>19183</v>
      </c>
      <c r="C9943" t="s">
        <v>26</v>
      </c>
      <c r="D9943" t="s">
        <v>27</v>
      </c>
      <c r="E9943" s="6">
        <v>-28609</v>
      </c>
      <c r="F9943" t="s">
        <v>2184</v>
      </c>
      <c r="G9943" t="s">
        <v>43</v>
      </c>
      <c r="H9943" t="s">
        <v>21</v>
      </c>
      <c r="I9943" t="s">
        <v>19184</v>
      </c>
      <c r="J9943" t="str">
        <f>HYPERLINK("https://www.boe.es/gazeta/dias/1821/09/01/pdfs/GMD-1821-249.pdf#page=1","Abrir facsímil")</f>
        <v>Abrir facsímil</v>
      </c>
      <c r="K9943" t="s">
        <v>23</v>
      </c>
    </row>
    <row r="9944" spans="1:11" ht="42" customHeight="1">
      <c r="A9944" t="s">
        <v>19185</v>
      </c>
      <c r="B9944" t="s">
        <v>19186</v>
      </c>
      <c r="C9944" t="s">
        <v>40</v>
      </c>
      <c r="D9944" t="s">
        <v>41</v>
      </c>
      <c r="E9944" s="6">
        <v>-28793</v>
      </c>
      <c r="F9944" t="s">
        <v>157</v>
      </c>
      <c r="G9944" t="s">
        <v>162</v>
      </c>
      <c r="H9944" t="s">
        <v>21</v>
      </c>
      <c r="I9944" t="s">
        <v>19187</v>
      </c>
      <c r="J9944" t="str">
        <f>HYPERLINK("https://www.boe.es/gazeta/dias/1821/03/01/pdfs/GGB-1821-60.pdf#page=5","Abrir facsímil")</f>
        <v>Abrir facsímil</v>
      </c>
      <c r="K9944" t="s">
        <v>23</v>
      </c>
    </row>
    <row r="9945" spans="1:11" ht="42" customHeight="1">
      <c r="A9945" t="s">
        <v>19188</v>
      </c>
      <c r="B9945" t="s">
        <v>19189</v>
      </c>
      <c r="C9945" t="s">
        <v>40</v>
      </c>
      <c r="D9945" t="s">
        <v>41</v>
      </c>
      <c r="E9945" s="6">
        <v>-28530</v>
      </c>
      <c r="F9945" t="s">
        <v>237</v>
      </c>
      <c r="G9945" t="s">
        <v>52</v>
      </c>
      <c r="H9945" t="s">
        <v>21</v>
      </c>
      <c r="I9945" t="s">
        <v>19190</v>
      </c>
      <c r="J9945" t="str">
        <f>HYPERLINK("https://www.boe.es/gazeta/dias/1821/11/19/pdfs/GMD-1821-330.pdf#page=2","Abrir facsímil")</f>
        <v>Abrir facsímil</v>
      </c>
      <c r="K9945" t="s">
        <v>23</v>
      </c>
    </row>
    <row r="9946" spans="1:11" ht="42" customHeight="1">
      <c r="A9946" t="s">
        <v>19191</v>
      </c>
      <c r="B9946" t="s">
        <v>19192</v>
      </c>
      <c r="C9946" t="s">
        <v>17</v>
      </c>
      <c r="D9946" t="s">
        <v>18</v>
      </c>
      <c r="E9946" s="6">
        <v>-28755</v>
      </c>
      <c r="F9946" t="s">
        <v>906</v>
      </c>
      <c r="G9946" t="s">
        <v>907</v>
      </c>
      <c r="H9946" t="s">
        <v>21</v>
      </c>
      <c r="I9946" t="s">
        <v>19193</v>
      </c>
      <c r="J9946" t="str">
        <f>HYPERLINK("https://www.boe.es/gazeta/dias/1821/04/08/pdfs/GMD-1821-100.pdf#page=4","Abrir facsímil")</f>
        <v>Abrir facsímil</v>
      </c>
      <c r="K9946" t="s">
        <v>23</v>
      </c>
    </row>
    <row r="9947" spans="1:11" ht="42" customHeight="1">
      <c r="A9947" t="s">
        <v>19194</v>
      </c>
      <c r="B9947" t="s">
        <v>19195</v>
      </c>
      <c r="C9947" t="s">
        <v>17</v>
      </c>
      <c r="D9947" t="s">
        <v>18</v>
      </c>
      <c r="E9947" s="6">
        <v>-28812</v>
      </c>
      <c r="F9947" t="s">
        <v>2610</v>
      </c>
      <c r="G9947" t="s">
        <v>20</v>
      </c>
      <c r="H9947" t="s">
        <v>21</v>
      </c>
      <c r="I9947" t="s">
        <v>19196</v>
      </c>
      <c r="J9947" t="str">
        <f>HYPERLINK("https://www.boe.es/gazeta/dias/1821/02/10/pdfs/GGB-1821-41.pdf#page=3","Abrir facsímil")</f>
        <v>Abrir facsímil</v>
      </c>
      <c r="K9947" t="s">
        <v>23</v>
      </c>
    </row>
    <row r="9948" spans="1:11" ht="42" customHeight="1">
      <c r="A9948" t="s">
        <v>19197</v>
      </c>
      <c r="B9948" t="s">
        <v>19198</v>
      </c>
      <c r="C9948" t="s">
        <v>70</v>
      </c>
      <c r="D9948" t="s">
        <v>27</v>
      </c>
      <c r="E9948" s="6">
        <v>-28726</v>
      </c>
      <c r="F9948" t="s">
        <v>347</v>
      </c>
      <c r="G9948" t="s">
        <v>20</v>
      </c>
      <c r="H9948" t="s">
        <v>21</v>
      </c>
      <c r="I9948" t="s">
        <v>19199</v>
      </c>
      <c r="J9948" t="str">
        <f>HYPERLINK("https://www.boe.es/gazeta/dias/1821/05/07/pdfs/GMD-1821-129.pdf#page=3","Abrir facsímil")</f>
        <v>Abrir facsímil</v>
      </c>
      <c r="K9948" t="s">
        <v>23</v>
      </c>
    </row>
    <row r="9949" spans="1:11" ht="42" customHeight="1">
      <c r="A9949" t="s">
        <v>19200</v>
      </c>
      <c r="B9949" t="s">
        <v>19201</v>
      </c>
      <c r="C9949" t="s">
        <v>17</v>
      </c>
      <c r="D9949" t="s">
        <v>18</v>
      </c>
      <c r="E9949" s="6">
        <v>-28821</v>
      </c>
      <c r="F9949" t="s">
        <v>371</v>
      </c>
      <c r="G9949" t="s">
        <v>20</v>
      </c>
      <c r="H9949" t="s">
        <v>21</v>
      </c>
      <c r="I9949" t="s">
        <v>19202</v>
      </c>
      <c r="J9949" t="str">
        <f>HYPERLINK("https://www.boe.es/gazeta/dias/1821/02/01/pdfs/GGB-1821-32.pdf#page=3","Abrir facsímil")</f>
        <v>Abrir facsímil</v>
      </c>
      <c r="K9949" t="s">
        <v>23</v>
      </c>
    </row>
    <row r="9950" spans="1:11" ht="42" customHeight="1">
      <c r="A9950" t="s">
        <v>19203</v>
      </c>
      <c r="B9950" t="s">
        <v>19203</v>
      </c>
      <c r="C9950" t="s">
        <v>40</v>
      </c>
      <c r="D9950" t="s">
        <v>41</v>
      </c>
      <c r="E9950" s="6">
        <v>-28744</v>
      </c>
      <c r="F9950" t="s">
        <v>834</v>
      </c>
      <c r="G9950" t="s">
        <v>43</v>
      </c>
      <c r="H9950" t="s">
        <v>21</v>
      </c>
      <c r="I9950" t="s">
        <v>19204</v>
      </c>
      <c r="J9950" t="str">
        <f>HYPERLINK("https://www.boe.es/gazeta/dias/1821/04/19/pdfs/GMD-1821-111.pdf#page=1","Abrir facsímil")</f>
        <v>Abrir facsímil</v>
      </c>
      <c r="K9950" t="s">
        <v>23</v>
      </c>
    </row>
    <row r="9951" spans="1:11" ht="42" customHeight="1">
      <c r="A9951" t="s">
        <v>19205</v>
      </c>
      <c r="B9951" t="s">
        <v>19206</v>
      </c>
      <c r="C9951" t="s">
        <v>40</v>
      </c>
      <c r="D9951" t="s">
        <v>41</v>
      </c>
      <c r="E9951" s="6">
        <v>-28671</v>
      </c>
      <c r="F9951" t="s">
        <v>5059</v>
      </c>
      <c r="G9951" t="s">
        <v>43</v>
      </c>
      <c r="H9951" t="s">
        <v>21</v>
      </c>
      <c r="I9951" t="s">
        <v>19207</v>
      </c>
      <c r="J9951" t="str">
        <f>HYPERLINK("https://www.boe.es/gazeta/dias/1821/07/01/pdfs/GMD-1821-185.pdf#page=1","Abrir facsímil")</f>
        <v>Abrir facsímil</v>
      </c>
      <c r="K9951" t="s">
        <v>23</v>
      </c>
    </row>
    <row r="9952" spans="1:11" ht="42" customHeight="1">
      <c r="A9952" t="s">
        <v>19208</v>
      </c>
      <c r="B9952" t="s">
        <v>19209</v>
      </c>
      <c r="C9952" t="s">
        <v>40</v>
      </c>
      <c r="D9952" t="s">
        <v>41</v>
      </c>
      <c r="E9952" s="6">
        <v>-28542</v>
      </c>
      <c r="F9952" t="s">
        <v>221</v>
      </c>
      <c r="G9952" t="s">
        <v>52</v>
      </c>
      <c r="H9952" t="s">
        <v>21</v>
      </c>
      <c r="I9952" t="s">
        <v>19210</v>
      </c>
      <c r="J9952" t="str">
        <f>HYPERLINK("https://www.boe.es/gazeta/dias/1821/11/07/pdfs/GMD-1821-318.pdf#page=2","Abrir facsímil")</f>
        <v>Abrir facsímil</v>
      </c>
      <c r="K9952" t="s">
        <v>23</v>
      </c>
    </row>
    <row r="9953" spans="1:11" ht="42" customHeight="1">
      <c r="A9953" t="s">
        <v>19211</v>
      </c>
      <c r="B9953" t="s">
        <v>19212</v>
      </c>
      <c r="C9953" t="s">
        <v>40</v>
      </c>
      <c r="D9953" t="s">
        <v>41</v>
      </c>
      <c r="E9953" s="6">
        <v>-28535</v>
      </c>
      <c r="F9953" t="s">
        <v>96</v>
      </c>
      <c r="G9953" t="s">
        <v>52</v>
      </c>
      <c r="H9953" t="s">
        <v>21</v>
      </c>
      <c r="I9953" t="s">
        <v>19213</v>
      </c>
      <c r="J9953" t="str">
        <f>HYPERLINK("https://www.boe.es/gazeta/dias/1821/11/14/pdfs/GMD-1821-325.pdf#page=2","Abrir facsímil")</f>
        <v>Abrir facsímil</v>
      </c>
      <c r="K9953" t="s">
        <v>23</v>
      </c>
    </row>
    <row r="9954" spans="1:11" ht="42" customHeight="1">
      <c r="A9954" t="s">
        <v>19214</v>
      </c>
      <c r="B9954" t="s">
        <v>19215</v>
      </c>
      <c r="C9954" t="s">
        <v>26</v>
      </c>
      <c r="D9954" t="s">
        <v>27</v>
      </c>
      <c r="E9954" s="6">
        <v>-28539</v>
      </c>
      <c r="F9954" t="s">
        <v>153</v>
      </c>
      <c r="G9954" t="s">
        <v>52</v>
      </c>
      <c r="H9954" t="s">
        <v>21</v>
      </c>
      <c r="I9954" t="s">
        <v>19216</v>
      </c>
      <c r="J9954" t="str">
        <f>HYPERLINK("https://www.boe.es/gazeta/dias/1821/11/10/pdfs/GMD-1821-321.pdf#page=2","Abrir facsímil")</f>
        <v>Abrir facsímil</v>
      </c>
      <c r="K9954" t="s">
        <v>23</v>
      </c>
    </row>
    <row r="9955" spans="1:11" ht="42" customHeight="1">
      <c r="A9955" t="s">
        <v>19217</v>
      </c>
      <c r="B9955" t="s">
        <v>19217</v>
      </c>
      <c r="C9955" t="s">
        <v>174</v>
      </c>
      <c r="D9955" t="s">
        <v>27</v>
      </c>
      <c r="E9955" s="6">
        <v>-28661</v>
      </c>
      <c r="F9955" t="s">
        <v>2298</v>
      </c>
      <c r="G9955" t="s">
        <v>29</v>
      </c>
      <c r="H9955" t="s">
        <v>21</v>
      </c>
      <c r="I9955" t="s">
        <v>19218</v>
      </c>
      <c r="J9955" t="str">
        <f>HYPERLINK("https://www.boe.es/gazeta/dias/1821/07/11/pdfs/GMD-1821-196.pdf#page=6","Abrir facsímil")</f>
        <v>Abrir facsímil</v>
      </c>
      <c r="K9955" t="s">
        <v>23</v>
      </c>
    </row>
    <row r="9956" spans="1:11" ht="42" customHeight="1">
      <c r="A9956" t="s">
        <v>19219</v>
      </c>
      <c r="B9956" t="s">
        <v>19220</v>
      </c>
      <c r="C9956" t="s">
        <v>40</v>
      </c>
      <c r="D9956" t="s">
        <v>41</v>
      </c>
      <c r="E9956" s="6">
        <v>-28661</v>
      </c>
      <c r="F9956" t="s">
        <v>2298</v>
      </c>
      <c r="G9956" t="s">
        <v>29</v>
      </c>
      <c r="H9956" t="s">
        <v>21</v>
      </c>
      <c r="I9956" t="s">
        <v>19221</v>
      </c>
      <c r="J9956" t="str">
        <f>HYPERLINK("https://www.boe.es/gazeta/dias/1821/07/11/pdfs/GMD-1821-196.pdf#page=6","Abrir facsímil")</f>
        <v>Abrir facsímil</v>
      </c>
      <c r="K9956" t="s">
        <v>23</v>
      </c>
    </row>
    <row r="9957" spans="1:11" ht="42" customHeight="1">
      <c r="A9957" t="s">
        <v>19222</v>
      </c>
      <c r="B9957" t="s">
        <v>19223</v>
      </c>
      <c r="C9957" t="s">
        <v>40</v>
      </c>
      <c r="D9957" t="s">
        <v>41</v>
      </c>
      <c r="E9957" s="6">
        <v>-28619</v>
      </c>
      <c r="F9957" t="s">
        <v>3364</v>
      </c>
      <c r="G9957" t="s">
        <v>52</v>
      </c>
      <c r="H9957" t="s">
        <v>21</v>
      </c>
      <c r="I9957" t="s">
        <v>19224</v>
      </c>
      <c r="J9957" t="str">
        <f>HYPERLINK("https://www.boe.es/gazeta/dias/1821/08/22/pdfs/GMD-1821-239.pdf#page=2","Abrir facsímil")</f>
        <v>Abrir facsímil</v>
      </c>
      <c r="K9957" t="s">
        <v>23</v>
      </c>
    </row>
    <row r="9958" spans="1:11" ht="42" customHeight="1">
      <c r="A9958" t="s">
        <v>19225</v>
      </c>
      <c r="B9958" t="s">
        <v>19225</v>
      </c>
      <c r="C9958" t="s">
        <v>17</v>
      </c>
      <c r="D9958" t="s">
        <v>18</v>
      </c>
      <c r="E9958" s="6">
        <v>-28521</v>
      </c>
      <c r="F9958" t="s">
        <v>499</v>
      </c>
      <c r="G9958" t="s">
        <v>43</v>
      </c>
      <c r="H9958" t="s">
        <v>21</v>
      </c>
      <c r="I9958" t="s">
        <v>19226</v>
      </c>
      <c r="J9958" t="str">
        <f>HYPERLINK("https://www.boe.es/gazeta/dias/1821/11/28/pdfs/GMD-1821-340.pdf#page=1","Abrir facsímil")</f>
        <v>Abrir facsímil</v>
      </c>
      <c r="K9958" t="s">
        <v>23</v>
      </c>
    </row>
    <row r="9959" spans="1:11" ht="42" customHeight="1">
      <c r="A9959" t="s">
        <v>19227</v>
      </c>
      <c r="B9959" t="s">
        <v>19228</v>
      </c>
      <c r="C9959" t="s">
        <v>17</v>
      </c>
      <c r="D9959" t="s">
        <v>18</v>
      </c>
      <c r="E9959" s="6">
        <v>-28497</v>
      </c>
      <c r="F9959" t="s">
        <v>225</v>
      </c>
      <c r="G9959" t="s">
        <v>504</v>
      </c>
      <c r="H9959" t="s">
        <v>21</v>
      </c>
      <c r="I9959" t="s">
        <v>19229</v>
      </c>
      <c r="J9959" t="str">
        <f>HYPERLINK("https://www.boe.es/gazeta/dias/1821/12/22/pdfs/GMD-1821-365.pdf#page=6","Abrir facsímil")</f>
        <v>Abrir facsímil</v>
      </c>
      <c r="K9959" t="s">
        <v>23</v>
      </c>
    </row>
    <row r="9960" spans="1:11" ht="42" customHeight="1">
      <c r="A9960" t="s">
        <v>19230</v>
      </c>
      <c r="B9960" t="s">
        <v>19231</v>
      </c>
      <c r="C9960" t="s">
        <v>40</v>
      </c>
      <c r="D9960" t="s">
        <v>41</v>
      </c>
      <c r="E9960" s="6">
        <v>-28636</v>
      </c>
      <c r="F9960" t="s">
        <v>122</v>
      </c>
      <c r="G9960" t="s">
        <v>20</v>
      </c>
      <c r="H9960" t="s">
        <v>21</v>
      </c>
      <c r="I9960" t="s">
        <v>19232</v>
      </c>
      <c r="J9960" t="str">
        <f>HYPERLINK("https://www.boe.es/gazeta/dias/1821/08/05/pdfs/GMD-1821-221.pdf#page=3","Abrir facsímil")</f>
        <v>Abrir facsímil</v>
      </c>
      <c r="K9960" t="s">
        <v>23</v>
      </c>
    </row>
    <row r="9961" spans="1:11" ht="42" customHeight="1">
      <c r="A9961" t="s">
        <v>19233</v>
      </c>
      <c r="B9961" t="s">
        <v>19233</v>
      </c>
      <c r="C9961" t="s">
        <v>40</v>
      </c>
      <c r="D9961" t="s">
        <v>41</v>
      </c>
      <c r="E9961" s="6">
        <v>-28773</v>
      </c>
      <c r="F9961" t="s">
        <v>1755</v>
      </c>
      <c r="G9961" t="s">
        <v>43</v>
      </c>
      <c r="H9961" t="s">
        <v>21</v>
      </c>
      <c r="I9961" t="s">
        <v>19234</v>
      </c>
      <c r="J9961" t="str">
        <f>HYPERLINK("https://www.boe.es/gazeta/dias/1821/03/21/pdfs/GMD-1821-80.pdf#page=1","Abrir facsímil")</f>
        <v>Abrir facsímil</v>
      </c>
      <c r="K9961" t="s">
        <v>23</v>
      </c>
    </row>
    <row r="9962" spans="1:11" ht="42" customHeight="1">
      <c r="A9962" t="s">
        <v>19235</v>
      </c>
      <c r="B9962" t="s">
        <v>19236</v>
      </c>
      <c r="C9962" t="s">
        <v>40</v>
      </c>
      <c r="D9962" t="s">
        <v>41</v>
      </c>
      <c r="E9962" s="6">
        <v>-28507</v>
      </c>
      <c r="F9962" t="s">
        <v>1158</v>
      </c>
      <c r="G9962" t="s">
        <v>52</v>
      </c>
      <c r="H9962" t="s">
        <v>21</v>
      </c>
      <c r="I9962" t="s">
        <v>19237</v>
      </c>
      <c r="J9962" t="str">
        <f>HYPERLINK("https://www.boe.es/gazeta/dias/1821/12/12/pdfs/GMD-1821-354.pdf#page=2","Abrir facsímil")</f>
        <v>Abrir facsímil</v>
      </c>
      <c r="K9962" t="s">
        <v>23</v>
      </c>
    </row>
    <row r="9963" spans="1:11" ht="42" customHeight="1">
      <c r="A9963" t="s">
        <v>19238</v>
      </c>
      <c r="B9963" t="s">
        <v>19238</v>
      </c>
      <c r="C9963" t="s">
        <v>40</v>
      </c>
      <c r="D9963" t="s">
        <v>41</v>
      </c>
      <c r="E9963" s="6">
        <v>-28648</v>
      </c>
      <c r="F9963" t="s">
        <v>1520</v>
      </c>
      <c r="G9963" t="s">
        <v>52</v>
      </c>
      <c r="H9963" t="s">
        <v>21</v>
      </c>
      <c r="I9963" t="s">
        <v>19239</v>
      </c>
      <c r="J9963" t="str">
        <f>HYPERLINK("https://www.boe.es/gazeta/dias/1821/07/24/pdfs/GMD-1821-209.pdf#page=2","Abrir facsímil")</f>
        <v>Abrir facsímil</v>
      </c>
      <c r="K9963" t="s">
        <v>23</v>
      </c>
    </row>
    <row r="9964" spans="1:11" ht="42" customHeight="1">
      <c r="A9964" t="s">
        <v>19240</v>
      </c>
      <c r="B9964" t="s">
        <v>19241</v>
      </c>
      <c r="C9964" t="s">
        <v>40</v>
      </c>
      <c r="D9964" t="s">
        <v>41</v>
      </c>
      <c r="E9964" s="6">
        <v>-28508</v>
      </c>
      <c r="F9964" t="s">
        <v>42</v>
      </c>
      <c r="G9964" t="s">
        <v>52</v>
      </c>
      <c r="H9964" t="s">
        <v>21</v>
      </c>
      <c r="I9964" t="s">
        <v>19242</v>
      </c>
      <c r="J9964" t="str">
        <f>HYPERLINK("https://www.boe.es/gazeta/dias/1821/12/11/pdfs/GMD-1821-353.pdf#page=2","Abrir facsímil")</f>
        <v>Abrir facsímil</v>
      </c>
      <c r="K9964" t="s">
        <v>23</v>
      </c>
    </row>
    <row r="9965" spans="1:11" ht="42" customHeight="1">
      <c r="A9965" t="s">
        <v>19243</v>
      </c>
      <c r="B9965" t="s">
        <v>19244</v>
      </c>
      <c r="C9965" t="s">
        <v>40</v>
      </c>
      <c r="D9965" t="s">
        <v>41</v>
      </c>
      <c r="E9965" s="6">
        <v>-28711</v>
      </c>
      <c r="F9965" t="s">
        <v>1048</v>
      </c>
      <c r="G9965" t="s">
        <v>43</v>
      </c>
      <c r="H9965" t="s">
        <v>21</v>
      </c>
      <c r="I9965" t="s">
        <v>19245</v>
      </c>
      <c r="J9965" t="str">
        <f>HYPERLINK("https://www.boe.es/gazeta/dias/1821/05/22/pdfs/GMD-1821-144.pdf#page=1","Abrir facsímil")</f>
        <v>Abrir facsímil</v>
      </c>
      <c r="K9965" t="s">
        <v>23</v>
      </c>
    </row>
    <row r="9966" spans="1:11" ht="42" customHeight="1">
      <c r="A9966" t="s">
        <v>19246</v>
      </c>
      <c r="B9966" t="s">
        <v>19246</v>
      </c>
      <c r="C9966" t="s">
        <v>17</v>
      </c>
      <c r="D9966" t="s">
        <v>18</v>
      </c>
      <c r="E9966" s="6">
        <v>-28731</v>
      </c>
      <c r="F9966" t="s">
        <v>577</v>
      </c>
      <c r="G9966" t="s">
        <v>52</v>
      </c>
      <c r="H9966" t="s">
        <v>21</v>
      </c>
      <c r="I9966" t="s">
        <v>19247</v>
      </c>
      <c r="J9966" t="str">
        <f>HYPERLINK("https://www.boe.es/gazeta/dias/1821/05/02/pdfs/GMD-1821-124.pdf#page=2","Abrir facsímil")</f>
        <v>Abrir facsímil</v>
      </c>
      <c r="K9966" t="s">
        <v>23</v>
      </c>
    </row>
    <row r="9967" spans="1:11" ht="42" customHeight="1">
      <c r="A9967" t="s">
        <v>19248</v>
      </c>
      <c r="B9967" t="s">
        <v>19248</v>
      </c>
      <c r="C9967" t="s">
        <v>35</v>
      </c>
      <c r="D9967" t="s">
        <v>27</v>
      </c>
      <c r="E9967" s="6">
        <v>-28796</v>
      </c>
      <c r="F9967" t="s">
        <v>1421</v>
      </c>
      <c r="G9967" t="s">
        <v>52</v>
      </c>
      <c r="H9967" t="s">
        <v>21</v>
      </c>
      <c r="I9967" t="s">
        <v>19249</v>
      </c>
      <c r="J9967" t="str">
        <f>HYPERLINK("https://www.boe.es/gazeta/dias/1821/02/26/pdfs/GGB-1821-57.pdf#page=2","Abrir facsímil")</f>
        <v>Abrir facsímil</v>
      </c>
      <c r="K9967" t="s">
        <v>23</v>
      </c>
    </row>
    <row r="9968" spans="1:11" ht="42" customHeight="1">
      <c r="A9968" t="s">
        <v>19248</v>
      </c>
      <c r="B9968" t="s">
        <v>19248</v>
      </c>
      <c r="C9968" t="s">
        <v>17</v>
      </c>
      <c r="D9968" t="s">
        <v>18</v>
      </c>
      <c r="E9968" s="6">
        <v>-28786</v>
      </c>
      <c r="F9968" t="s">
        <v>1933</v>
      </c>
      <c r="G9968" t="s">
        <v>52</v>
      </c>
      <c r="H9968" t="s">
        <v>21</v>
      </c>
      <c r="I9968" t="s">
        <v>19250</v>
      </c>
      <c r="J9968" t="str">
        <f>HYPERLINK("https://www.boe.es/gazeta/dias/1821/03/08/pdfs/GGB-1821-67.pdf#page=2","Abrir facsímil")</f>
        <v>Abrir facsímil</v>
      </c>
      <c r="K9968" t="s">
        <v>23</v>
      </c>
    </row>
    <row r="9969" spans="1:11" ht="42" customHeight="1">
      <c r="A9969" t="s">
        <v>19248</v>
      </c>
      <c r="B9969" t="s">
        <v>19248</v>
      </c>
      <c r="C9969" t="s">
        <v>17</v>
      </c>
      <c r="D9969" t="s">
        <v>18</v>
      </c>
      <c r="E9969" s="6">
        <v>-28728</v>
      </c>
      <c r="F9969" t="s">
        <v>1038</v>
      </c>
      <c r="G9969" t="s">
        <v>20</v>
      </c>
      <c r="H9969" t="s">
        <v>21</v>
      </c>
      <c r="I9969" t="s">
        <v>19251</v>
      </c>
      <c r="J9969" t="str">
        <f>HYPERLINK("https://www.boe.es/gazeta/dias/1821/05/05/pdfs/GMD-1821-127.pdf#page=3","Abrir facsímil")</f>
        <v>Abrir facsímil</v>
      </c>
      <c r="K9969" t="s">
        <v>23</v>
      </c>
    </row>
    <row r="9970" spans="1:11" ht="42" customHeight="1">
      <c r="A9970" t="s">
        <v>19248</v>
      </c>
      <c r="B9970" t="s">
        <v>19248</v>
      </c>
      <c r="C9970" t="s">
        <v>279</v>
      </c>
      <c r="D9970" t="s">
        <v>27</v>
      </c>
      <c r="E9970" s="6">
        <v>-28653</v>
      </c>
      <c r="F9970" t="s">
        <v>1179</v>
      </c>
      <c r="G9970" t="s">
        <v>20</v>
      </c>
      <c r="H9970" t="s">
        <v>21</v>
      </c>
      <c r="I9970" t="s">
        <v>19252</v>
      </c>
      <c r="J9970" t="str">
        <f>HYPERLINK("https://www.boe.es/gazeta/dias/1821/07/19/pdfs/GMD-1821-204.pdf#page=3","Abrir facsímil")</f>
        <v>Abrir facsímil</v>
      </c>
      <c r="K9970" t="s">
        <v>23</v>
      </c>
    </row>
    <row r="9971" spans="1:11" ht="42" customHeight="1">
      <c r="A9971" t="s">
        <v>19248</v>
      </c>
      <c r="B9971" t="s">
        <v>19248</v>
      </c>
      <c r="C9971" t="s">
        <v>40</v>
      </c>
      <c r="D9971" t="s">
        <v>41</v>
      </c>
      <c r="E9971" s="6">
        <v>-28641</v>
      </c>
      <c r="F9971" t="s">
        <v>398</v>
      </c>
      <c r="G9971" t="s">
        <v>52</v>
      </c>
      <c r="H9971" t="s">
        <v>21</v>
      </c>
      <c r="I9971" t="s">
        <v>19253</v>
      </c>
      <c r="J9971" t="str">
        <f>HYPERLINK("https://www.boe.es/gazeta/dias/1821/07/31/pdfs/GMD-1821-216.pdf#page=2","Abrir facsímil")</f>
        <v>Abrir facsímil</v>
      </c>
      <c r="K9971" t="s">
        <v>23</v>
      </c>
    </row>
    <row r="9972" spans="1:11" ht="42" customHeight="1">
      <c r="A9972" t="s">
        <v>19248</v>
      </c>
      <c r="B9972" t="s">
        <v>19248</v>
      </c>
      <c r="C9972" t="s">
        <v>17</v>
      </c>
      <c r="D9972" t="s">
        <v>18</v>
      </c>
      <c r="E9972" s="6">
        <v>-28632</v>
      </c>
      <c r="F9972" t="s">
        <v>6572</v>
      </c>
      <c r="G9972" t="s">
        <v>52</v>
      </c>
      <c r="H9972" t="s">
        <v>21</v>
      </c>
      <c r="I9972" t="s">
        <v>19254</v>
      </c>
      <c r="J9972" t="str">
        <f>HYPERLINK("https://www.boe.es/gazeta/dias/1821/08/09/pdfs/GMD-1821-225.pdf#page=2","Abrir facsímil")</f>
        <v>Abrir facsímil</v>
      </c>
      <c r="K9972" t="s">
        <v>23</v>
      </c>
    </row>
    <row r="9973" spans="1:11" ht="42" customHeight="1">
      <c r="A9973" t="s">
        <v>19248</v>
      </c>
      <c r="B9973" t="s">
        <v>19248</v>
      </c>
      <c r="C9973" t="s">
        <v>279</v>
      </c>
      <c r="D9973" t="s">
        <v>27</v>
      </c>
      <c r="E9973" s="6">
        <v>-28629</v>
      </c>
      <c r="F9973" t="s">
        <v>235</v>
      </c>
      <c r="G9973" t="s">
        <v>20</v>
      </c>
      <c r="H9973" t="s">
        <v>21</v>
      </c>
      <c r="I9973" t="s">
        <v>19255</v>
      </c>
      <c r="J9973" t="str">
        <f>HYPERLINK("https://www.boe.es/gazeta/dias/1821/08/12/pdfs/GMD-1821-229.pdf#page=3","Abrir facsímil")</f>
        <v>Abrir facsímil</v>
      </c>
      <c r="K9973" t="s">
        <v>23</v>
      </c>
    </row>
    <row r="9974" spans="1:11" ht="42" customHeight="1">
      <c r="A9974" t="s">
        <v>19248</v>
      </c>
      <c r="B9974" t="s">
        <v>19248</v>
      </c>
      <c r="C9974" t="s">
        <v>40</v>
      </c>
      <c r="D9974" t="s">
        <v>41</v>
      </c>
      <c r="E9974" s="6">
        <v>-28623</v>
      </c>
      <c r="F9974" t="s">
        <v>2767</v>
      </c>
      <c r="G9974" t="s">
        <v>52</v>
      </c>
      <c r="H9974" t="s">
        <v>21</v>
      </c>
      <c r="I9974" t="s">
        <v>19256</v>
      </c>
      <c r="J9974" t="str">
        <f>HYPERLINK("https://www.boe.es/gazeta/dias/1821/08/18/pdfs/GMD-1821-235.pdf#page=2","Abrir facsímil")</f>
        <v>Abrir facsímil</v>
      </c>
      <c r="K9974" t="s">
        <v>23</v>
      </c>
    </row>
    <row r="9975" spans="1:11" ht="42" customHeight="1">
      <c r="A9975" t="s">
        <v>19257</v>
      </c>
      <c r="B9975" t="s">
        <v>19257</v>
      </c>
      <c r="C9975" t="s">
        <v>40</v>
      </c>
      <c r="D9975" t="s">
        <v>41</v>
      </c>
      <c r="E9975" s="6">
        <v>-28674</v>
      </c>
      <c r="F9975" t="s">
        <v>536</v>
      </c>
      <c r="G9975" t="s">
        <v>88</v>
      </c>
      <c r="H9975" t="s">
        <v>21</v>
      </c>
      <c r="I9975" t="s">
        <v>19258</v>
      </c>
      <c r="J9975" t="str">
        <f>HYPERLINK("https://www.boe.es/gazeta/dias/1821/06/28/pdfs/GMD-1821-181.pdf#page=4","Abrir facsímil")</f>
        <v>Abrir facsímil</v>
      </c>
      <c r="K9975" t="s">
        <v>23</v>
      </c>
    </row>
    <row r="9976" spans="1:11" ht="42" customHeight="1">
      <c r="A9976" t="s">
        <v>19259</v>
      </c>
      <c r="B9976" t="s">
        <v>19260</v>
      </c>
      <c r="C9976" t="s">
        <v>17</v>
      </c>
      <c r="D9976" t="s">
        <v>18</v>
      </c>
      <c r="E9976" s="6">
        <v>-28531</v>
      </c>
      <c r="F9976" t="s">
        <v>365</v>
      </c>
      <c r="G9976" t="s">
        <v>20</v>
      </c>
      <c r="H9976" t="s">
        <v>21</v>
      </c>
      <c r="I9976" t="s">
        <v>19261</v>
      </c>
      <c r="J9976" t="str">
        <f>HYPERLINK("https://www.boe.es/gazeta/dias/1821/11/18/pdfs/GMD-1821-329.pdf#page=3","Abrir facsímil")</f>
        <v>Abrir facsímil</v>
      </c>
      <c r="K9976" t="s">
        <v>23</v>
      </c>
    </row>
    <row r="9977" spans="1:11" ht="42" customHeight="1">
      <c r="A9977" t="s">
        <v>19262</v>
      </c>
      <c r="B9977" t="s">
        <v>19263</v>
      </c>
      <c r="C9977" t="s">
        <v>26</v>
      </c>
      <c r="D9977" t="s">
        <v>27</v>
      </c>
      <c r="E9977" s="6">
        <v>-28620</v>
      </c>
      <c r="F9977" t="s">
        <v>87</v>
      </c>
      <c r="G9977" t="s">
        <v>88</v>
      </c>
      <c r="H9977" t="s">
        <v>21</v>
      </c>
      <c r="I9977" t="s">
        <v>19264</v>
      </c>
      <c r="J9977" t="str">
        <f>HYPERLINK("https://www.boe.es/gazeta/dias/1821/08/21/pdfs/GMD-1821-238.pdf#page=4","Abrir facsímil")</f>
        <v>Abrir facsímil</v>
      </c>
      <c r="K9977" t="s">
        <v>23</v>
      </c>
    </row>
    <row r="9978" spans="1:11" ht="42" customHeight="1">
      <c r="A9978" t="s">
        <v>19265</v>
      </c>
      <c r="B9978" t="s">
        <v>19266</v>
      </c>
      <c r="C9978" t="s">
        <v>40</v>
      </c>
      <c r="D9978" t="s">
        <v>41</v>
      </c>
      <c r="E9978" s="6">
        <v>-28793</v>
      </c>
      <c r="F9978" t="s">
        <v>157</v>
      </c>
      <c r="G9978" t="s">
        <v>162</v>
      </c>
      <c r="H9978" t="s">
        <v>21</v>
      </c>
      <c r="I9978" t="s">
        <v>19267</v>
      </c>
      <c r="J9978" t="str">
        <f>HYPERLINK("https://www.boe.es/gazeta/dias/1821/03/01/pdfs/GGB-1821-60.pdf#page=5","Abrir facsímil")</f>
        <v>Abrir facsímil</v>
      </c>
      <c r="K9978" t="s">
        <v>23</v>
      </c>
    </row>
    <row r="9979" spans="1:11" ht="42" customHeight="1">
      <c r="A9979" t="s">
        <v>19268</v>
      </c>
      <c r="B9979" t="s">
        <v>19268</v>
      </c>
      <c r="C9979" t="s">
        <v>35</v>
      </c>
      <c r="D9979" t="s">
        <v>27</v>
      </c>
      <c r="E9979" s="6">
        <v>-28524</v>
      </c>
      <c r="F9979" t="s">
        <v>874</v>
      </c>
      <c r="G9979" t="s">
        <v>875</v>
      </c>
      <c r="H9979" t="s">
        <v>21</v>
      </c>
      <c r="I9979" t="s">
        <v>19269</v>
      </c>
      <c r="J9979" t="str">
        <f>HYPERLINK("https://www.boe.es/gazeta/dias/1821/11/25/pdfs/GMD-1821-336.pdf#page=3","Abrir facsímil")</f>
        <v>Abrir facsímil</v>
      </c>
      <c r="K9979" t="s">
        <v>23</v>
      </c>
    </row>
    <row r="9980" spans="1:11" ht="42" customHeight="1">
      <c r="A9980" t="s">
        <v>19270</v>
      </c>
      <c r="B9980" t="s">
        <v>19270</v>
      </c>
      <c r="C9980" t="s">
        <v>40</v>
      </c>
      <c r="D9980" t="s">
        <v>41</v>
      </c>
      <c r="E9980" s="6">
        <v>-28680</v>
      </c>
      <c r="F9980" t="s">
        <v>531</v>
      </c>
      <c r="G9980" t="s">
        <v>52</v>
      </c>
      <c r="H9980" t="s">
        <v>21</v>
      </c>
      <c r="I9980" t="s">
        <v>19271</v>
      </c>
      <c r="J9980" t="str">
        <f>HYPERLINK("https://www.boe.es/gazeta/dias/1821/06/22/pdfs/GMD-1821-175.pdf#page=2","Abrir facsímil")</f>
        <v>Abrir facsímil</v>
      </c>
      <c r="K9980" t="s">
        <v>23</v>
      </c>
    </row>
    <row r="9981" spans="1:11" ht="42" customHeight="1">
      <c r="A9981" t="s">
        <v>19270</v>
      </c>
      <c r="B9981" t="s">
        <v>19270</v>
      </c>
      <c r="C9981" t="s">
        <v>35</v>
      </c>
      <c r="D9981" t="s">
        <v>27</v>
      </c>
      <c r="E9981" s="6">
        <v>-28574</v>
      </c>
      <c r="F9981" t="s">
        <v>779</v>
      </c>
      <c r="G9981" t="s">
        <v>609</v>
      </c>
      <c r="H9981" t="s">
        <v>21</v>
      </c>
      <c r="I9981" t="s">
        <v>19272</v>
      </c>
      <c r="J9981" t="str">
        <f>HYPERLINK("https://www.boe.es/gazeta/dias/1821/10/06/pdfs/GMD-1821-285.pdf#page=7","Abrir facsímil")</f>
        <v>Abrir facsímil</v>
      </c>
      <c r="K9981" t="s">
        <v>23</v>
      </c>
    </row>
    <row r="9982" spans="1:11" ht="42" customHeight="1">
      <c r="A9982" t="s">
        <v>19273</v>
      </c>
      <c r="B9982" t="s">
        <v>19274</v>
      </c>
      <c r="C9982" t="s">
        <v>17</v>
      </c>
      <c r="D9982" t="s">
        <v>18</v>
      </c>
      <c r="E9982" s="6">
        <v>-28770</v>
      </c>
      <c r="F9982" t="s">
        <v>1009</v>
      </c>
      <c r="G9982" t="s">
        <v>20</v>
      </c>
      <c r="H9982" t="s">
        <v>21</v>
      </c>
      <c r="I9982" t="s">
        <v>19275</v>
      </c>
      <c r="J9982" t="str">
        <f>HYPERLINK("https://www.boe.es/gazeta/dias/1821/03/24/pdfs/GMD-1821-84.pdf#page=3","Abrir facsímil")</f>
        <v>Abrir facsímil</v>
      </c>
      <c r="K9982" t="s">
        <v>23</v>
      </c>
    </row>
    <row r="9983" spans="1:11" ht="42" customHeight="1">
      <c r="A9983" t="s">
        <v>19276</v>
      </c>
      <c r="B9983" t="s">
        <v>19276</v>
      </c>
      <c r="C9983" t="s">
        <v>40</v>
      </c>
      <c r="D9983" t="s">
        <v>41</v>
      </c>
      <c r="E9983" s="6">
        <v>-28770</v>
      </c>
      <c r="F9983" t="s">
        <v>1009</v>
      </c>
      <c r="G9983" t="s">
        <v>20</v>
      </c>
      <c r="H9983" t="s">
        <v>21</v>
      </c>
      <c r="I9983" t="s">
        <v>19277</v>
      </c>
      <c r="J9983" t="str">
        <f>HYPERLINK("https://www.boe.es/gazeta/dias/1821/03/24/pdfs/GMD-1821-84.pdf#page=3","Abrir facsímil")</f>
        <v>Abrir facsímil</v>
      </c>
      <c r="K9983" t="s">
        <v>23</v>
      </c>
    </row>
    <row r="9984" spans="1:11" ht="42" customHeight="1">
      <c r="A9984" t="s">
        <v>19276</v>
      </c>
      <c r="B9984" t="s">
        <v>19276</v>
      </c>
      <c r="C9984" t="s">
        <v>35</v>
      </c>
      <c r="D9984" t="s">
        <v>27</v>
      </c>
      <c r="E9984" s="6">
        <v>-28748</v>
      </c>
      <c r="F9984" t="s">
        <v>634</v>
      </c>
      <c r="G9984" t="s">
        <v>20</v>
      </c>
      <c r="H9984" t="s">
        <v>21</v>
      </c>
      <c r="I9984" t="s">
        <v>19278</v>
      </c>
      <c r="J9984" t="str">
        <f>HYPERLINK("https://www.boe.es/gazeta/dias/1821/04/15/pdfs/GMD-1821-107.pdf#page=3","Abrir facsímil")</f>
        <v>Abrir facsímil</v>
      </c>
      <c r="K9984" t="s">
        <v>23</v>
      </c>
    </row>
    <row r="9985" spans="1:11" ht="42" customHeight="1">
      <c r="A9985" t="s">
        <v>19276</v>
      </c>
      <c r="B9985" t="s">
        <v>19276</v>
      </c>
      <c r="C9985" t="s">
        <v>40</v>
      </c>
      <c r="D9985" t="s">
        <v>41</v>
      </c>
      <c r="E9985" s="6">
        <v>-28746</v>
      </c>
      <c r="F9985" t="s">
        <v>687</v>
      </c>
      <c r="G9985" t="s">
        <v>88</v>
      </c>
      <c r="H9985" t="s">
        <v>21</v>
      </c>
      <c r="I9985" t="s">
        <v>19279</v>
      </c>
      <c r="J9985" t="str">
        <f>HYPERLINK("https://www.boe.es/gazeta/dias/1821/04/17/pdfs/GMD-1821-109.pdf#page=4","Abrir facsímil")</f>
        <v>Abrir facsímil</v>
      </c>
      <c r="K9985" t="s">
        <v>23</v>
      </c>
    </row>
    <row r="9986" spans="1:11" ht="42" customHeight="1">
      <c r="A9986" t="s">
        <v>19276</v>
      </c>
      <c r="B9986" t="s">
        <v>19276</v>
      </c>
      <c r="C9986" t="s">
        <v>26</v>
      </c>
      <c r="D9986" t="s">
        <v>27</v>
      </c>
      <c r="E9986" s="6">
        <v>-28746</v>
      </c>
      <c r="F9986" t="s">
        <v>687</v>
      </c>
      <c r="G9986" t="s">
        <v>29</v>
      </c>
      <c r="H9986" t="s">
        <v>21</v>
      </c>
      <c r="I9986" t="s">
        <v>19280</v>
      </c>
      <c r="J9986" t="str">
        <f>HYPERLINK("https://www.boe.es/gazeta/dias/1821/04/17/pdfs/GMD-1821-109.pdf#page=6","Abrir facsímil")</f>
        <v>Abrir facsímil</v>
      </c>
      <c r="K9986" t="s">
        <v>23</v>
      </c>
    </row>
    <row r="9987" spans="1:11" ht="42" customHeight="1">
      <c r="A9987" t="s">
        <v>19276</v>
      </c>
      <c r="B9987" t="s">
        <v>19276</v>
      </c>
      <c r="C9987" t="s">
        <v>26</v>
      </c>
      <c r="D9987" t="s">
        <v>27</v>
      </c>
      <c r="E9987" s="6">
        <v>-28745</v>
      </c>
      <c r="F9987" t="s">
        <v>1020</v>
      </c>
      <c r="G9987" t="s">
        <v>20</v>
      </c>
      <c r="H9987" t="s">
        <v>21</v>
      </c>
      <c r="I9987" t="s">
        <v>19281</v>
      </c>
      <c r="J9987" t="str">
        <f>HYPERLINK("https://www.boe.es/gazeta/dias/1821/04/18/pdfs/GMD-1821-110.pdf#page=3","Abrir facsímil")</f>
        <v>Abrir facsímil</v>
      </c>
      <c r="K9987" t="s">
        <v>23</v>
      </c>
    </row>
    <row r="9988" spans="1:11" ht="42" customHeight="1">
      <c r="A9988" t="s">
        <v>19276</v>
      </c>
      <c r="B9988" t="s">
        <v>19276</v>
      </c>
      <c r="C9988" t="s">
        <v>17</v>
      </c>
      <c r="D9988" t="s">
        <v>18</v>
      </c>
      <c r="E9988" s="6">
        <v>-28732</v>
      </c>
      <c r="F9988" t="s">
        <v>2628</v>
      </c>
      <c r="G9988" t="s">
        <v>52</v>
      </c>
      <c r="H9988" t="s">
        <v>21</v>
      </c>
      <c r="I9988" t="s">
        <v>19282</v>
      </c>
      <c r="J9988" t="str">
        <f>HYPERLINK("https://www.boe.es/gazeta/dias/1821/05/01/pdfs/GMD-1821-123.pdf#page=2","Abrir facsímil")</f>
        <v>Abrir facsímil</v>
      </c>
      <c r="K9988" t="s">
        <v>23</v>
      </c>
    </row>
    <row r="9989" spans="1:11" ht="42" customHeight="1">
      <c r="A9989" t="s">
        <v>19276</v>
      </c>
      <c r="B9989" t="s">
        <v>19276</v>
      </c>
      <c r="C9989" t="s">
        <v>40</v>
      </c>
      <c r="D9989" t="s">
        <v>41</v>
      </c>
      <c r="E9989" s="6">
        <v>-28718</v>
      </c>
      <c r="F9989" t="s">
        <v>583</v>
      </c>
      <c r="G9989" t="s">
        <v>20</v>
      </c>
      <c r="H9989" t="s">
        <v>21</v>
      </c>
      <c r="I9989" t="s">
        <v>19283</v>
      </c>
      <c r="J9989" t="str">
        <f>HYPERLINK("https://www.boe.es/gazeta/dias/1821/05/15/pdfs/GMD-1821-137.pdf#page=3","Abrir facsímil")</f>
        <v>Abrir facsímil</v>
      </c>
      <c r="K9989" t="s">
        <v>23</v>
      </c>
    </row>
    <row r="9990" spans="1:11" ht="42" customHeight="1">
      <c r="A9990" t="s">
        <v>19276</v>
      </c>
      <c r="B9990" t="s">
        <v>19276</v>
      </c>
      <c r="C9990" t="s">
        <v>40</v>
      </c>
      <c r="D9990" t="s">
        <v>41</v>
      </c>
      <c r="E9990" s="6">
        <v>-28681</v>
      </c>
      <c r="F9990" t="s">
        <v>210</v>
      </c>
      <c r="G9990" t="s">
        <v>43</v>
      </c>
      <c r="H9990" t="s">
        <v>21</v>
      </c>
      <c r="I9990" t="s">
        <v>19284</v>
      </c>
      <c r="J9990" t="str">
        <f>HYPERLINK("https://www.boe.es/gazeta/dias/1821/06/21/pdfs/GMD-1821-174.pdf#page=1","Abrir facsímil")</f>
        <v>Abrir facsímil</v>
      </c>
      <c r="K9990" t="s">
        <v>23</v>
      </c>
    </row>
    <row r="9991" spans="1:11" ht="42" customHeight="1">
      <c r="A9991" t="s">
        <v>19276</v>
      </c>
      <c r="B9991" t="s">
        <v>19276</v>
      </c>
      <c r="C9991" t="s">
        <v>114</v>
      </c>
      <c r="D9991" t="s">
        <v>27</v>
      </c>
      <c r="E9991" s="6">
        <v>-28574</v>
      </c>
      <c r="F9991" t="s">
        <v>779</v>
      </c>
      <c r="G9991" t="s">
        <v>609</v>
      </c>
      <c r="H9991" t="s">
        <v>21</v>
      </c>
      <c r="I9991" t="s">
        <v>19285</v>
      </c>
      <c r="J9991" t="str">
        <f>HYPERLINK("https://www.boe.es/gazeta/dias/1821/10/06/pdfs/GMD-1821-285.pdf#page=7","Abrir facsímil")</f>
        <v>Abrir facsímil</v>
      </c>
      <c r="K9991" t="s">
        <v>23</v>
      </c>
    </row>
    <row r="9992" spans="1:11" ht="42" customHeight="1">
      <c r="A9992" t="s">
        <v>19276</v>
      </c>
      <c r="B9992" t="s">
        <v>19276</v>
      </c>
      <c r="C9992" t="s">
        <v>17</v>
      </c>
      <c r="D9992" t="s">
        <v>18</v>
      </c>
      <c r="E9992" s="6">
        <v>-28562</v>
      </c>
      <c r="F9992" t="s">
        <v>3093</v>
      </c>
      <c r="G9992" t="s">
        <v>162</v>
      </c>
      <c r="H9992" t="s">
        <v>21</v>
      </c>
      <c r="I9992" t="s">
        <v>19286</v>
      </c>
      <c r="J9992" t="str">
        <f>HYPERLINK("https://www.boe.es/gazeta/dias/1821/10/18/pdfs/GMD-1821-297.pdf#page=5","Abrir facsímil")</f>
        <v>Abrir facsímil</v>
      </c>
      <c r="K9992" t="s">
        <v>23</v>
      </c>
    </row>
    <row r="9993" spans="1:11" ht="42" customHeight="1">
      <c r="A9993" t="s">
        <v>19276</v>
      </c>
      <c r="B9993" t="s">
        <v>19276</v>
      </c>
      <c r="C9993" t="s">
        <v>17</v>
      </c>
      <c r="D9993" t="s">
        <v>18</v>
      </c>
      <c r="E9993" s="6">
        <v>-28542</v>
      </c>
      <c r="F9993" t="s">
        <v>221</v>
      </c>
      <c r="G9993" t="s">
        <v>29</v>
      </c>
      <c r="H9993" t="s">
        <v>21</v>
      </c>
      <c r="I9993" t="s">
        <v>19287</v>
      </c>
      <c r="J9993" t="str">
        <f>HYPERLINK("https://www.boe.es/gazeta/dias/1821/11/07/pdfs/GMD-1821-318.pdf#page=6","Abrir facsímil")</f>
        <v>Abrir facsímil</v>
      </c>
      <c r="K9993" t="s">
        <v>23</v>
      </c>
    </row>
    <row r="9994" spans="1:11" ht="42" customHeight="1">
      <c r="A9994" t="s">
        <v>19276</v>
      </c>
      <c r="B9994" t="s">
        <v>19276</v>
      </c>
      <c r="C9994" t="s">
        <v>35</v>
      </c>
      <c r="D9994" t="s">
        <v>27</v>
      </c>
      <c r="E9994" s="6">
        <v>-28534</v>
      </c>
      <c r="F9994" t="s">
        <v>414</v>
      </c>
      <c r="G9994" t="s">
        <v>88</v>
      </c>
      <c r="H9994" t="s">
        <v>21</v>
      </c>
      <c r="I9994" t="s">
        <v>19288</v>
      </c>
      <c r="J9994" t="str">
        <f>HYPERLINK("https://www.boe.es/gazeta/dias/1821/11/15/pdfs/GMD-1821-326.pdf#page=4","Abrir facsímil")</f>
        <v>Abrir facsímil</v>
      </c>
      <c r="K9994" t="s">
        <v>23</v>
      </c>
    </row>
    <row r="9995" spans="1:11" ht="42" customHeight="1">
      <c r="A9995" t="s">
        <v>19289</v>
      </c>
      <c r="B9995" t="s">
        <v>19289</v>
      </c>
      <c r="C9995" t="s">
        <v>26</v>
      </c>
      <c r="D9995" t="s">
        <v>27</v>
      </c>
      <c r="E9995" s="6">
        <v>-28553</v>
      </c>
      <c r="F9995" t="s">
        <v>182</v>
      </c>
      <c r="G9995" t="s">
        <v>162</v>
      </c>
      <c r="H9995" t="s">
        <v>21</v>
      </c>
      <c r="I9995" t="s">
        <v>19290</v>
      </c>
      <c r="J9995" t="str">
        <f>HYPERLINK("https://www.boe.es/gazeta/dias/1821/10/27/pdfs/GMD-1821-306.pdf#page=5","Abrir facsímil")</f>
        <v>Abrir facsímil</v>
      </c>
      <c r="K9995" t="s">
        <v>23</v>
      </c>
    </row>
    <row r="9996" spans="1:11" ht="42" customHeight="1">
      <c r="A9996" t="s">
        <v>19291</v>
      </c>
      <c r="B9996" t="s">
        <v>19292</v>
      </c>
      <c r="C9996" t="s">
        <v>17</v>
      </c>
      <c r="D9996" t="s">
        <v>18</v>
      </c>
      <c r="E9996" s="6">
        <v>-28687</v>
      </c>
      <c r="F9996" t="s">
        <v>851</v>
      </c>
      <c r="G9996" t="s">
        <v>20</v>
      </c>
      <c r="H9996" t="s">
        <v>21</v>
      </c>
      <c r="I9996" t="s">
        <v>19293</v>
      </c>
      <c r="J9996" t="str">
        <f>HYPERLINK("https://www.boe.es/gazeta/dias/1821/06/15/pdfs/GMD-1821-168.pdf#page=3","Abrir facsímil")</f>
        <v>Abrir facsímil</v>
      </c>
      <c r="K9996" t="s">
        <v>23</v>
      </c>
    </row>
    <row r="9997" spans="1:11" ht="42" customHeight="1">
      <c r="A9997" t="s">
        <v>19294</v>
      </c>
      <c r="B9997" t="s">
        <v>19295</v>
      </c>
      <c r="C9997" t="s">
        <v>40</v>
      </c>
      <c r="D9997" t="s">
        <v>41</v>
      </c>
      <c r="E9997" s="6">
        <v>-28541</v>
      </c>
      <c r="F9997" t="s">
        <v>275</v>
      </c>
      <c r="G9997" t="s">
        <v>52</v>
      </c>
      <c r="H9997" t="s">
        <v>21</v>
      </c>
      <c r="I9997" t="s">
        <v>19296</v>
      </c>
      <c r="J9997" t="str">
        <f>HYPERLINK("https://www.boe.es/gazeta/dias/1821/11/08/pdfs/GMD-1821-319.pdf#page=2","Abrir facsímil")</f>
        <v>Abrir facsímil</v>
      </c>
      <c r="K9997" t="s">
        <v>23</v>
      </c>
    </row>
    <row r="9998" spans="1:11" ht="42" customHeight="1">
      <c r="A9998" t="s">
        <v>19297</v>
      </c>
      <c r="B9998" t="s">
        <v>19298</v>
      </c>
      <c r="C9998" t="s">
        <v>40</v>
      </c>
      <c r="D9998" t="s">
        <v>41</v>
      </c>
      <c r="E9998" s="6">
        <v>-28750</v>
      </c>
      <c r="F9998" t="s">
        <v>917</v>
      </c>
      <c r="G9998" t="s">
        <v>52</v>
      </c>
      <c r="H9998" t="s">
        <v>21</v>
      </c>
      <c r="I9998" t="s">
        <v>19299</v>
      </c>
      <c r="J9998" t="str">
        <f>HYPERLINK("https://www.boe.es/gazeta/dias/1821/04/13/pdfs/GMD-1821-105.pdf#page=2","Abrir facsímil")</f>
        <v>Abrir facsímil</v>
      </c>
      <c r="K9998" t="s">
        <v>23</v>
      </c>
    </row>
    <row r="9999" spans="1:11" ht="42" customHeight="1">
      <c r="A9999" t="s">
        <v>19300</v>
      </c>
      <c r="B9999" t="s">
        <v>19301</v>
      </c>
      <c r="C9999" t="s">
        <v>26</v>
      </c>
      <c r="D9999" t="s">
        <v>27</v>
      </c>
      <c r="E9999" s="6">
        <v>-28810</v>
      </c>
      <c r="F9999" t="s">
        <v>308</v>
      </c>
      <c r="G9999" t="s">
        <v>88</v>
      </c>
      <c r="H9999" t="s">
        <v>21</v>
      </c>
      <c r="I9999" t="s">
        <v>19302</v>
      </c>
      <c r="J9999" t="str">
        <f>HYPERLINK("https://www.boe.es/gazeta/dias/1821/02/12/pdfs/GGB-1821-43.pdf#page=4","Abrir facsímil")</f>
        <v>Abrir facsímil</v>
      </c>
      <c r="K9999" t="s">
        <v>23</v>
      </c>
    </row>
    <row r="10000" spans="1:11" ht="42" customHeight="1">
      <c r="A10000" t="s">
        <v>19303</v>
      </c>
      <c r="B10000" t="s">
        <v>19304</v>
      </c>
      <c r="C10000" t="s">
        <v>279</v>
      </c>
      <c r="D10000" t="s">
        <v>27</v>
      </c>
      <c r="E10000" s="6">
        <v>-28789</v>
      </c>
      <c r="F10000" t="s">
        <v>36</v>
      </c>
      <c r="G10000" t="s">
        <v>993</v>
      </c>
      <c r="H10000" t="s">
        <v>21</v>
      </c>
      <c r="I10000" t="s">
        <v>19305</v>
      </c>
      <c r="J10000" t="str">
        <f>HYPERLINK("https://www.boe.es/gazeta/dias/1821/03/05/pdfs/GGB-1821-64.pdf#page=4","Abrir facsímil")</f>
        <v>Abrir facsímil</v>
      </c>
      <c r="K10000" t="s">
        <v>23</v>
      </c>
    </row>
    <row r="10001" spans="1:11" ht="42" customHeight="1">
      <c r="A10001" t="s">
        <v>19303</v>
      </c>
      <c r="B10001" t="s">
        <v>19304</v>
      </c>
      <c r="C10001" t="s">
        <v>17</v>
      </c>
      <c r="D10001" t="s">
        <v>18</v>
      </c>
      <c r="E10001" s="6">
        <v>-28750</v>
      </c>
      <c r="F10001" t="s">
        <v>917</v>
      </c>
      <c r="G10001" t="s">
        <v>52</v>
      </c>
      <c r="H10001" t="s">
        <v>21</v>
      </c>
      <c r="I10001" t="s">
        <v>19306</v>
      </c>
      <c r="J10001" t="str">
        <f>HYPERLINK("https://www.boe.es/gazeta/dias/1821/04/13/pdfs/GMD-1821-105.pdf#page=2","Abrir facsímil")</f>
        <v>Abrir facsímil</v>
      </c>
      <c r="K10001" t="s">
        <v>23</v>
      </c>
    </row>
    <row r="10002" spans="1:11" ht="42" customHeight="1">
      <c r="A10002" t="s">
        <v>19307</v>
      </c>
      <c r="B10002" t="s">
        <v>19308</v>
      </c>
      <c r="C10002" t="s">
        <v>114</v>
      </c>
      <c r="D10002" t="s">
        <v>27</v>
      </c>
      <c r="E10002" s="6">
        <v>-28644</v>
      </c>
      <c r="F10002" t="s">
        <v>1340</v>
      </c>
      <c r="G10002" t="s">
        <v>88</v>
      </c>
      <c r="H10002" t="s">
        <v>21</v>
      </c>
      <c r="I10002" t="s">
        <v>19309</v>
      </c>
      <c r="J10002" t="str">
        <f>HYPERLINK("https://www.boe.es/gazeta/dias/1821/07/28/pdfs/GMD-1821-213.pdf#page=4","Abrir facsímil")</f>
        <v>Abrir facsímil</v>
      </c>
      <c r="K10002" t="s">
        <v>23</v>
      </c>
    </row>
    <row r="10003" spans="1:11" ht="42" customHeight="1">
      <c r="A10003" t="s">
        <v>19310</v>
      </c>
      <c r="B10003" t="s">
        <v>19311</v>
      </c>
      <c r="C10003" t="s">
        <v>35</v>
      </c>
      <c r="D10003" t="s">
        <v>27</v>
      </c>
      <c r="E10003" s="6">
        <v>-28746</v>
      </c>
      <c r="F10003" t="s">
        <v>687</v>
      </c>
      <c r="G10003" t="s">
        <v>162</v>
      </c>
      <c r="H10003" t="s">
        <v>21</v>
      </c>
      <c r="I10003" t="s">
        <v>19312</v>
      </c>
      <c r="J10003" t="str">
        <f>HYPERLINK("https://www.boe.es/gazeta/dias/1821/04/17/pdfs/GMD-1821-109.pdf#page=5","Abrir facsímil")</f>
        <v>Abrir facsímil</v>
      </c>
      <c r="K10003" t="s">
        <v>23</v>
      </c>
    </row>
    <row r="10004" spans="1:11" ht="42" customHeight="1">
      <c r="A10004" t="s">
        <v>19313</v>
      </c>
      <c r="B10004" t="s">
        <v>19314</v>
      </c>
      <c r="C10004" t="s">
        <v>35</v>
      </c>
      <c r="D10004" t="s">
        <v>27</v>
      </c>
      <c r="E10004" s="6">
        <v>-28707</v>
      </c>
      <c r="F10004" t="s">
        <v>495</v>
      </c>
      <c r="G10004" t="s">
        <v>52</v>
      </c>
      <c r="H10004" t="s">
        <v>21</v>
      </c>
      <c r="I10004" t="s">
        <v>19315</v>
      </c>
      <c r="J10004" t="str">
        <f>HYPERLINK("https://www.boe.es/gazeta/dias/1821/05/26/pdfs/GMD-1821-148.pdf#page=2","Abrir facsímil")</f>
        <v>Abrir facsímil</v>
      </c>
      <c r="K10004" t="s">
        <v>23</v>
      </c>
    </row>
    <row r="10005" spans="1:11" ht="42" customHeight="1">
      <c r="A10005" t="s">
        <v>19316</v>
      </c>
      <c r="B10005" t="s">
        <v>19317</v>
      </c>
      <c r="C10005" t="s">
        <v>40</v>
      </c>
      <c r="D10005" t="s">
        <v>41</v>
      </c>
      <c r="E10005" s="6">
        <v>-28751</v>
      </c>
      <c r="F10005" t="s">
        <v>356</v>
      </c>
      <c r="G10005" t="s">
        <v>43</v>
      </c>
      <c r="H10005" t="s">
        <v>21</v>
      </c>
      <c r="I10005" t="s">
        <v>19318</v>
      </c>
      <c r="J10005" t="str">
        <f>HYPERLINK("https://www.boe.es/gazeta/dias/1821/04/12/pdfs/GMD-1821-104.pdf#page=1","Abrir facsímil")</f>
        <v>Abrir facsímil</v>
      </c>
      <c r="K10005" t="s">
        <v>23</v>
      </c>
    </row>
    <row r="10006" spans="1:11" ht="42" customHeight="1">
      <c r="A10006" t="s">
        <v>19316</v>
      </c>
      <c r="B10006" t="s">
        <v>19317</v>
      </c>
      <c r="C10006" t="s">
        <v>17</v>
      </c>
      <c r="D10006" t="s">
        <v>18</v>
      </c>
      <c r="E10006" s="6">
        <v>-28697</v>
      </c>
      <c r="F10006" t="s">
        <v>166</v>
      </c>
      <c r="G10006" t="s">
        <v>52</v>
      </c>
      <c r="H10006" t="s">
        <v>21</v>
      </c>
      <c r="I10006" t="s">
        <v>19319</v>
      </c>
      <c r="J10006" t="str">
        <f>HYPERLINK("https://www.boe.es/gazeta/dias/1821/06/05/pdfs/GMD-1821-158.pdf#page=2","Abrir facsímil")</f>
        <v>Abrir facsímil</v>
      </c>
      <c r="K10006" t="s">
        <v>23</v>
      </c>
    </row>
    <row r="10007" spans="1:11" ht="42" customHeight="1">
      <c r="A10007" t="s">
        <v>19316</v>
      </c>
      <c r="B10007" t="s">
        <v>19317</v>
      </c>
      <c r="C10007" t="s">
        <v>26</v>
      </c>
      <c r="D10007" t="s">
        <v>27</v>
      </c>
      <c r="E10007" s="6">
        <v>-28620</v>
      </c>
      <c r="F10007" t="s">
        <v>87</v>
      </c>
      <c r="G10007" t="s">
        <v>88</v>
      </c>
      <c r="H10007" t="s">
        <v>21</v>
      </c>
      <c r="I10007" t="s">
        <v>19320</v>
      </c>
      <c r="J10007" t="str">
        <f>HYPERLINK("https://www.boe.es/gazeta/dias/1821/08/21/pdfs/GMD-1821-238.pdf#page=4","Abrir facsímil")</f>
        <v>Abrir facsímil</v>
      </c>
      <c r="K10007" t="s">
        <v>23</v>
      </c>
    </row>
    <row r="10008" spans="1:11" ht="42" customHeight="1">
      <c r="A10008" t="s">
        <v>19316</v>
      </c>
      <c r="B10008" t="s">
        <v>19317</v>
      </c>
      <c r="C10008" t="s">
        <v>17</v>
      </c>
      <c r="D10008" t="s">
        <v>18</v>
      </c>
      <c r="E10008" s="6">
        <v>-28535</v>
      </c>
      <c r="F10008" t="s">
        <v>96</v>
      </c>
      <c r="G10008" t="s">
        <v>52</v>
      </c>
      <c r="H10008" t="s">
        <v>21</v>
      </c>
      <c r="I10008" t="s">
        <v>19321</v>
      </c>
      <c r="J10008" t="str">
        <f>HYPERLINK("https://www.boe.es/gazeta/dias/1821/11/14/pdfs/GMD-1821-325.pdf#page=2","Abrir facsímil")</f>
        <v>Abrir facsímil</v>
      </c>
      <c r="K10008" t="s">
        <v>23</v>
      </c>
    </row>
    <row r="10009" spans="1:11" ht="42" customHeight="1">
      <c r="A10009" t="s">
        <v>19316</v>
      </c>
      <c r="B10009" t="s">
        <v>19317</v>
      </c>
      <c r="C10009" t="s">
        <v>40</v>
      </c>
      <c r="D10009" t="s">
        <v>41</v>
      </c>
      <c r="E10009" s="6">
        <v>-28512</v>
      </c>
      <c r="F10009" t="s">
        <v>66</v>
      </c>
      <c r="G10009" t="s">
        <v>43</v>
      </c>
      <c r="H10009" t="s">
        <v>21</v>
      </c>
      <c r="I10009" t="s">
        <v>19322</v>
      </c>
      <c r="J10009" t="str">
        <f>HYPERLINK("https://www.boe.es/gazeta/dias/1821/12/07/pdfs/GMD-1821-349.pdf#page=1","Abrir facsímil")</f>
        <v>Abrir facsímil</v>
      </c>
      <c r="K10009" t="s">
        <v>23</v>
      </c>
    </row>
    <row r="10010" spans="1:11" ht="42" customHeight="1">
      <c r="A10010" t="s">
        <v>19323</v>
      </c>
      <c r="B10010" t="s">
        <v>19324</v>
      </c>
      <c r="C10010" t="s">
        <v>174</v>
      </c>
      <c r="D10010" t="s">
        <v>27</v>
      </c>
      <c r="E10010" s="6">
        <v>-28547</v>
      </c>
      <c r="F10010" t="s">
        <v>247</v>
      </c>
      <c r="G10010" t="s">
        <v>248</v>
      </c>
      <c r="H10010" t="s">
        <v>21</v>
      </c>
      <c r="I10010" t="s">
        <v>19325</v>
      </c>
      <c r="J10010" t="str">
        <f>HYPERLINK("https://www.boe.es/gazeta/dias/1821/11/02/pdfs/GMD-1821-312.pdf#page=2","Abrir facsímil")</f>
        <v>Abrir facsímil</v>
      </c>
      <c r="K10010" t="s">
        <v>23</v>
      </c>
    </row>
    <row r="10011" spans="1:11" ht="42" customHeight="1">
      <c r="A10011" t="s">
        <v>19326</v>
      </c>
      <c r="B10011" t="s">
        <v>19327</v>
      </c>
      <c r="C10011" t="s">
        <v>114</v>
      </c>
      <c r="D10011" t="s">
        <v>27</v>
      </c>
      <c r="E10011" s="6">
        <v>-28760</v>
      </c>
      <c r="F10011" t="s">
        <v>170</v>
      </c>
      <c r="G10011" t="s">
        <v>52</v>
      </c>
      <c r="H10011" t="s">
        <v>21</v>
      </c>
      <c r="I10011" t="s">
        <v>19328</v>
      </c>
      <c r="J10011" t="str">
        <f>HYPERLINK("https://www.boe.es/gazeta/dias/1821/04/03/pdfs/GMD-1821-95.pdf#page=2","Abrir facsímil")</f>
        <v>Abrir facsímil</v>
      </c>
      <c r="K10011" t="s">
        <v>23</v>
      </c>
    </row>
    <row r="10012" spans="1:11" ht="42" customHeight="1">
      <c r="A10012" t="s">
        <v>19329</v>
      </c>
      <c r="B10012" t="s">
        <v>19330</v>
      </c>
      <c r="C10012" t="s">
        <v>26</v>
      </c>
      <c r="D10012" t="s">
        <v>27</v>
      </c>
      <c r="E10012" s="6">
        <v>-28684</v>
      </c>
      <c r="F10012" t="s">
        <v>208</v>
      </c>
      <c r="G10012" t="s">
        <v>52</v>
      </c>
      <c r="H10012" t="s">
        <v>21</v>
      </c>
      <c r="I10012" t="s">
        <v>19331</v>
      </c>
      <c r="J10012" t="str">
        <f>HYPERLINK("https://www.boe.es/gazeta/dias/1821/06/18/pdfs/GMD-1821-171.pdf#page=2","Abrir facsímil")</f>
        <v>Abrir facsímil</v>
      </c>
      <c r="K10012" t="s">
        <v>23</v>
      </c>
    </row>
    <row r="10013" spans="1:11" ht="42" customHeight="1">
      <c r="A10013" t="s">
        <v>19332</v>
      </c>
      <c r="B10013" t="s">
        <v>19333</v>
      </c>
      <c r="C10013" t="s">
        <v>26</v>
      </c>
      <c r="D10013" t="s">
        <v>27</v>
      </c>
      <c r="E10013" s="6">
        <v>-28635</v>
      </c>
      <c r="F10013" t="s">
        <v>1210</v>
      </c>
      <c r="G10013" t="s">
        <v>88</v>
      </c>
      <c r="H10013" t="s">
        <v>21</v>
      </c>
      <c r="I10013" t="s">
        <v>19334</v>
      </c>
      <c r="J10013" t="str">
        <f>HYPERLINK("https://www.boe.es/gazeta/dias/1821/08/06/pdfs/GMD-1821-222.pdf#page=4","Abrir facsímil")</f>
        <v>Abrir facsímil</v>
      </c>
      <c r="K10013" t="s">
        <v>23</v>
      </c>
    </row>
    <row r="10014" spans="1:11" ht="42" customHeight="1">
      <c r="A10014" t="s">
        <v>19335</v>
      </c>
      <c r="B10014" t="s">
        <v>19335</v>
      </c>
      <c r="C10014" t="s">
        <v>40</v>
      </c>
      <c r="D10014" t="s">
        <v>41</v>
      </c>
      <c r="E10014" s="6">
        <v>-28740</v>
      </c>
      <c r="F10014" t="s">
        <v>2800</v>
      </c>
      <c r="G10014" t="s">
        <v>20</v>
      </c>
      <c r="H10014" t="s">
        <v>21</v>
      </c>
      <c r="I10014" t="s">
        <v>19336</v>
      </c>
      <c r="J10014" t="str">
        <f>HYPERLINK("https://www.boe.es/gazeta/dias/1821/04/23/pdfs/GMD-1821-115.pdf#page=3","Abrir facsímil")</f>
        <v>Abrir facsímil</v>
      </c>
      <c r="K10014" t="s">
        <v>23</v>
      </c>
    </row>
    <row r="10015" spans="1:11" ht="42" customHeight="1">
      <c r="A10015" t="s">
        <v>19337</v>
      </c>
      <c r="B10015" t="s">
        <v>19338</v>
      </c>
      <c r="C10015" t="s">
        <v>174</v>
      </c>
      <c r="D10015" t="s">
        <v>27</v>
      </c>
      <c r="E10015" s="6">
        <v>-28847</v>
      </c>
      <c r="F10015" t="s">
        <v>288</v>
      </c>
      <c r="G10015" t="s">
        <v>289</v>
      </c>
      <c r="H10015" t="s">
        <v>21</v>
      </c>
      <c r="I10015" t="s">
        <v>19339</v>
      </c>
      <c r="J10015" t="str">
        <f>HYPERLINK("https://www.boe.es/gazeta/dias/1821/01/06/pdfs/GGB-1821-6.pdf#page=4","Abrir facsímil")</f>
        <v>Abrir facsímil</v>
      </c>
      <c r="K10015" t="s">
        <v>23</v>
      </c>
    </row>
    <row r="10016" spans="1:11" ht="42" customHeight="1">
      <c r="A10016" t="s">
        <v>19340</v>
      </c>
      <c r="B10016" t="s">
        <v>19340</v>
      </c>
      <c r="C10016" t="s">
        <v>35</v>
      </c>
      <c r="D10016" t="s">
        <v>27</v>
      </c>
      <c r="E10016" s="6">
        <v>-28740</v>
      </c>
      <c r="F10016" t="s">
        <v>2800</v>
      </c>
      <c r="G10016" t="s">
        <v>20</v>
      </c>
      <c r="H10016" t="s">
        <v>21</v>
      </c>
      <c r="I10016" t="s">
        <v>19341</v>
      </c>
      <c r="J10016" t="str">
        <f>HYPERLINK("https://www.boe.es/gazeta/dias/1821/04/23/pdfs/GMD-1821-115.pdf#page=3","Abrir facsímil")</f>
        <v>Abrir facsímil</v>
      </c>
      <c r="K10016" t="s">
        <v>23</v>
      </c>
    </row>
    <row r="10017" spans="1:11" ht="42" customHeight="1">
      <c r="A10017" t="s">
        <v>19340</v>
      </c>
      <c r="B10017" t="s">
        <v>19340</v>
      </c>
      <c r="C10017" t="s">
        <v>40</v>
      </c>
      <c r="D10017" t="s">
        <v>41</v>
      </c>
      <c r="E10017" s="6">
        <v>-28562</v>
      </c>
      <c r="F10017" t="s">
        <v>3093</v>
      </c>
      <c r="G10017" t="s">
        <v>162</v>
      </c>
      <c r="H10017" t="s">
        <v>21</v>
      </c>
      <c r="I10017" t="s">
        <v>19342</v>
      </c>
      <c r="J10017" t="str">
        <f>HYPERLINK("https://www.boe.es/gazeta/dias/1821/10/18/pdfs/GMD-1821-297.pdf#page=5","Abrir facsímil")</f>
        <v>Abrir facsímil</v>
      </c>
      <c r="K10017" t="s">
        <v>23</v>
      </c>
    </row>
    <row r="10018" spans="1:11" ht="42" customHeight="1">
      <c r="A10018" t="s">
        <v>19343</v>
      </c>
      <c r="B10018" t="s">
        <v>19344</v>
      </c>
      <c r="C10018" t="s">
        <v>114</v>
      </c>
      <c r="D10018" t="s">
        <v>27</v>
      </c>
      <c r="E10018" s="6">
        <v>-28632</v>
      </c>
      <c r="F10018" t="s">
        <v>6572</v>
      </c>
      <c r="G10018" t="s">
        <v>20</v>
      </c>
      <c r="H10018" t="s">
        <v>30</v>
      </c>
      <c r="I10018" t="s">
        <v>19345</v>
      </c>
      <c r="J10018" t="str">
        <f>HYPERLINK("https://www.boe.es/gazeta/dias/1821/08/09/pdfs/GMD-1821-225.pdf#page=3","Abrir facsímil")</f>
        <v>Abrir facsímil</v>
      </c>
      <c r="K10018" t="s">
        <v>32</v>
      </c>
    </row>
    <row r="10019" spans="1:11" ht="42" customHeight="1">
      <c r="A10019" t="s">
        <v>19346</v>
      </c>
      <c r="B10019" t="s">
        <v>19347</v>
      </c>
      <c r="C10019" t="s">
        <v>35</v>
      </c>
      <c r="D10019" t="s">
        <v>27</v>
      </c>
      <c r="E10019" s="6">
        <v>-28749</v>
      </c>
      <c r="F10019" t="s">
        <v>832</v>
      </c>
      <c r="G10019" t="s">
        <v>52</v>
      </c>
      <c r="H10019" t="s">
        <v>21</v>
      </c>
      <c r="I10019" t="s">
        <v>19348</v>
      </c>
      <c r="J10019" t="str">
        <f>HYPERLINK("https://www.boe.es/gazeta/dias/1821/04/14/pdfs/GMD-1821-106.pdf#page=2","Abrir facsímil")</f>
        <v>Abrir facsímil</v>
      </c>
      <c r="K10019" t="s">
        <v>23</v>
      </c>
    </row>
    <row r="10020" spans="1:11" ht="42" customHeight="1">
      <c r="A10020" t="s">
        <v>19349</v>
      </c>
      <c r="B10020" t="s">
        <v>19350</v>
      </c>
      <c r="C10020" t="s">
        <v>26</v>
      </c>
      <c r="D10020" t="s">
        <v>27</v>
      </c>
      <c r="E10020" s="6">
        <v>-28620</v>
      </c>
      <c r="F10020" t="s">
        <v>87</v>
      </c>
      <c r="G10020" t="s">
        <v>88</v>
      </c>
      <c r="H10020" t="s">
        <v>21</v>
      </c>
      <c r="I10020" t="s">
        <v>19351</v>
      </c>
      <c r="J10020" t="str">
        <f>HYPERLINK("https://www.boe.es/gazeta/dias/1821/08/21/pdfs/GMD-1821-238.pdf#page=4","Abrir facsímil")</f>
        <v>Abrir facsímil</v>
      </c>
      <c r="K10020" t="s">
        <v>23</v>
      </c>
    </row>
    <row r="10021" spans="1:11" ht="42" customHeight="1">
      <c r="A10021" t="s">
        <v>19352</v>
      </c>
      <c r="B10021" t="s">
        <v>19352</v>
      </c>
      <c r="C10021" t="s">
        <v>40</v>
      </c>
      <c r="D10021" t="s">
        <v>41</v>
      </c>
      <c r="E10021" s="6">
        <v>-28674</v>
      </c>
      <c r="F10021" t="s">
        <v>536</v>
      </c>
      <c r="G10021" t="s">
        <v>88</v>
      </c>
      <c r="H10021" t="s">
        <v>21</v>
      </c>
      <c r="I10021" t="s">
        <v>19353</v>
      </c>
      <c r="J10021" t="str">
        <f>HYPERLINK("https://www.boe.es/gazeta/dias/1821/06/28/pdfs/GMD-1821-181.pdf#page=4","Abrir facsímil")</f>
        <v>Abrir facsímil</v>
      </c>
      <c r="K10021" t="s">
        <v>23</v>
      </c>
    </row>
    <row r="10022" spans="1:11" ht="42" customHeight="1">
      <c r="A10022" t="s">
        <v>19354</v>
      </c>
      <c r="B10022" t="s">
        <v>19355</v>
      </c>
      <c r="C10022" t="s">
        <v>40</v>
      </c>
      <c r="D10022" t="s">
        <v>41</v>
      </c>
      <c r="E10022" s="6">
        <v>-28787</v>
      </c>
      <c r="F10022" t="s">
        <v>486</v>
      </c>
      <c r="G10022" t="s">
        <v>52</v>
      </c>
      <c r="H10022" t="s">
        <v>21</v>
      </c>
      <c r="I10022" t="s">
        <v>19356</v>
      </c>
      <c r="J10022" t="str">
        <f>HYPERLINK("https://www.boe.es/gazeta/dias/1821/03/07/pdfs/GGB-1821-66.pdf#page=2","Abrir facsímil")</f>
        <v>Abrir facsímil</v>
      </c>
      <c r="K10022" t="s">
        <v>23</v>
      </c>
    </row>
    <row r="10023" spans="1:11" ht="42" customHeight="1">
      <c r="A10023" t="s">
        <v>19357</v>
      </c>
      <c r="B10023" t="s">
        <v>19358</v>
      </c>
      <c r="C10023" t="s">
        <v>40</v>
      </c>
      <c r="D10023" t="s">
        <v>41</v>
      </c>
      <c r="E10023" s="6">
        <v>-28783</v>
      </c>
      <c r="F10023" t="s">
        <v>198</v>
      </c>
      <c r="G10023" t="s">
        <v>52</v>
      </c>
      <c r="H10023" t="s">
        <v>21</v>
      </c>
      <c r="I10023" t="s">
        <v>19359</v>
      </c>
      <c r="J10023" t="str">
        <f>HYPERLINK("https://www.boe.es/gazeta/dias/1821/03/11/pdfs/GGB-1821-70.pdf#page=2","Abrir facsímil")</f>
        <v>Abrir facsímil</v>
      </c>
      <c r="K10023" t="s">
        <v>23</v>
      </c>
    </row>
    <row r="10024" spans="1:11" ht="42" customHeight="1">
      <c r="A10024" t="s">
        <v>19360</v>
      </c>
      <c r="B10024" t="s">
        <v>19361</v>
      </c>
      <c r="C10024" t="s">
        <v>26</v>
      </c>
      <c r="D10024" t="s">
        <v>27</v>
      </c>
      <c r="E10024" s="6">
        <v>-28545</v>
      </c>
      <c r="F10024" t="s">
        <v>284</v>
      </c>
      <c r="G10024" t="s">
        <v>52</v>
      </c>
      <c r="H10024" t="s">
        <v>30</v>
      </c>
      <c r="I10024" t="s">
        <v>19362</v>
      </c>
      <c r="J10024" t="str">
        <f>HYPERLINK("https://www.boe.es/gazeta/dias/1821/11/04/pdfs/GMD-1821-315.pdf#page=2","Abrir facsímil")</f>
        <v>Abrir facsímil</v>
      </c>
      <c r="K10024" t="s">
        <v>32</v>
      </c>
    </row>
    <row r="10025" spans="1:11" ht="42" customHeight="1">
      <c r="A10025" t="s">
        <v>19363</v>
      </c>
      <c r="B10025" t="s">
        <v>19364</v>
      </c>
      <c r="C10025" t="s">
        <v>17</v>
      </c>
      <c r="D10025" t="s">
        <v>18</v>
      </c>
      <c r="E10025" s="6">
        <v>-28693</v>
      </c>
      <c r="F10025" t="s">
        <v>74</v>
      </c>
      <c r="G10025" t="s">
        <v>43</v>
      </c>
      <c r="H10025" t="s">
        <v>21</v>
      </c>
      <c r="I10025" t="s">
        <v>19365</v>
      </c>
      <c r="J10025" t="str">
        <f>HYPERLINK("https://www.boe.es/gazeta/dias/1821/06/09/pdfs/GMD-1821-162.pdf#page=1","Abrir facsímil")</f>
        <v>Abrir facsímil</v>
      </c>
      <c r="K10025" t="s">
        <v>23</v>
      </c>
    </row>
    <row r="10026" spans="1:11" ht="42" customHeight="1">
      <c r="A10026" t="s">
        <v>19366</v>
      </c>
      <c r="B10026" t="s">
        <v>19367</v>
      </c>
      <c r="C10026" t="s">
        <v>40</v>
      </c>
      <c r="D10026" t="s">
        <v>41</v>
      </c>
      <c r="E10026" s="6">
        <v>-28785</v>
      </c>
      <c r="F10026" t="s">
        <v>1935</v>
      </c>
      <c r="G10026" t="s">
        <v>88</v>
      </c>
      <c r="H10026" t="s">
        <v>21</v>
      </c>
      <c r="I10026" t="s">
        <v>19368</v>
      </c>
      <c r="J10026" t="str">
        <f>HYPERLINK("https://www.boe.es/gazeta/dias/1821/03/09/pdfs/GGB-1821-68.pdf#page=4","Abrir facsímil")</f>
        <v>Abrir facsímil</v>
      </c>
      <c r="K10026" t="s">
        <v>23</v>
      </c>
    </row>
    <row r="10027" spans="1:11" ht="42" customHeight="1">
      <c r="A10027" t="s">
        <v>19369</v>
      </c>
      <c r="B10027" t="s">
        <v>19370</v>
      </c>
      <c r="C10027" t="s">
        <v>17</v>
      </c>
      <c r="D10027" t="s">
        <v>18</v>
      </c>
      <c r="E10027" s="6">
        <v>-28714</v>
      </c>
      <c r="F10027" t="s">
        <v>522</v>
      </c>
      <c r="G10027" t="s">
        <v>52</v>
      </c>
      <c r="H10027" t="s">
        <v>21</v>
      </c>
      <c r="I10027" t="s">
        <v>19371</v>
      </c>
      <c r="J10027" t="str">
        <f>HYPERLINK("https://www.boe.es/gazeta/dias/1821/05/19/pdfs/GMD-1821-141.pdf#page=2","Abrir facsímil")</f>
        <v>Abrir facsímil</v>
      </c>
      <c r="K10027" t="s">
        <v>23</v>
      </c>
    </row>
    <row r="10028" spans="1:11" ht="42" customHeight="1">
      <c r="A10028" t="s">
        <v>19372</v>
      </c>
      <c r="B10028" t="s">
        <v>19373</v>
      </c>
      <c r="C10028" t="s">
        <v>26</v>
      </c>
      <c r="D10028" t="s">
        <v>27</v>
      </c>
      <c r="E10028" s="6">
        <v>-28755</v>
      </c>
      <c r="F10028" t="s">
        <v>906</v>
      </c>
      <c r="G10028" t="s">
        <v>907</v>
      </c>
      <c r="H10028" t="s">
        <v>21</v>
      </c>
      <c r="I10028" t="s">
        <v>19374</v>
      </c>
      <c r="J10028" t="str">
        <f>HYPERLINK("https://www.boe.es/gazeta/dias/1821/04/08/pdfs/GMD-1821-100.pdf#page=4","Abrir facsímil")</f>
        <v>Abrir facsímil</v>
      </c>
      <c r="K10028" t="s">
        <v>23</v>
      </c>
    </row>
    <row r="10029" spans="1:11" ht="42" customHeight="1">
      <c r="A10029" t="s">
        <v>19375</v>
      </c>
      <c r="B10029" t="s">
        <v>19376</v>
      </c>
      <c r="C10029" t="s">
        <v>26</v>
      </c>
      <c r="D10029" t="s">
        <v>27</v>
      </c>
      <c r="E10029" s="6">
        <v>-28841</v>
      </c>
      <c r="F10029" t="s">
        <v>765</v>
      </c>
      <c r="G10029" t="s">
        <v>20</v>
      </c>
      <c r="H10029" t="s">
        <v>21</v>
      </c>
      <c r="I10029" t="s">
        <v>19377</v>
      </c>
      <c r="J10029" t="str">
        <f>HYPERLINK("https://www.boe.es/gazeta/dias/1821/01/12/pdfs/GGB-1821-12.pdf#page=3","Abrir facsímil")</f>
        <v>Abrir facsímil</v>
      </c>
      <c r="K10029" t="s">
        <v>23</v>
      </c>
    </row>
    <row r="10030" spans="1:11" ht="42" customHeight="1">
      <c r="A10030" t="s">
        <v>19378</v>
      </c>
      <c r="B10030" t="s">
        <v>19379</v>
      </c>
      <c r="C10030" t="s">
        <v>40</v>
      </c>
      <c r="D10030" t="s">
        <v>41</v>
      </c>
      <c r="E10030" s="6">
        <v>-28541</v>
      </c>
      <c r="F10030" t="s">
        <v>275</v>
      </c>
      <c r="G10030" t="s">
        <v>52</v>
      </c>
      <c r="H10030" t="s">
        <v>21</v>
      </c>
      <c r="I10030" t="s">
        <v>19380</v>
      </c>
      <c r="J10030" t="str">
        <f>HYPERLINK("https://www.boe.es/gazeta/dias/1821/11/08/pdfs/GMD-1821-319.pdf#page=2","Abrir facsímil")</f>
        <v>Abrir facsímil</v>
      </c>
      <c r="K10030" t="s">
        <v>23</v>
      </c>
    </row>
    <row r="10031" spans="1:11" ht="42" customHeight="1">
      <c r="A10031" t="s">
        <v>19381</v>
      </c>
      <c r="B10031" t="s">
        <v>19382</v>
      </c>
      <c r="C10031" t="s">
        <v>114</v>
      </c>
      <c r="D10031" t="s">
        <v>27</v>
      </c>
      <c r="E10031" s="6">
        <v>-28655</v>
      </c>
      <c r="F10031" t="s">
        <v>2530</v>
      </c>
      <c r="G10031" t="s">
        <v>88</v>
      </c>
      <c r="H10031" t="s">
        <v>21</v>
      </c>
      <c r="I10031" t="s">
        <v>19383</v>
      </c>
      <c r="J10031" t="str">
        <f>HYPERLINK("https://www.boe.es/gazeta/dias/1821/07/17/pdfs/GMD-1821-202.pdf#page=4","Abrir facsímil")</f>
        <v>Abrir facsímil</v>
      </c>
      <c r="K10031" t="s">
        <v>23</v>
      </c>
    </row>
    <row r="10032" spans="1:11" ht="42" customHeight="1">
      <c r="A10032" t="s">
        <v>19384</v>
      </c>
      <c r="B10032" t="s">
        <v>19385</v>
      </c>
      <c r="C10032" t="s">
        <v>35</v>
      </c>
      <c r="D10032" t="s">
        <v>27</v>
      </c>
      <c r="E10032" s="6">
        <v>-28641</v>
      </c>
      <c r="F10032" t="s">
        <v>398</v>
      </c>
      <c r="G10032" t="s">
        <v>20</v>
      </c>
      <c r="H10032" t="s">
        <v>21</v>
      </c>
      <c r="I10032" t="s">
        <v>19386</v>
      </c>
      <c r="J10032" t="str">
        <f>HYPERLINK("https://www.boe.es/gazeta/dias/1821/07/31/pdfs/GMD-1821-216.pdf#page=3","Abrir facsímil")</f>
        <v>Abrir facsímil</v>
      </c>
      <c r="K10032" t="s">
        <v>23</v>
      </c>
    </row>
    <row r="10033" spans="1:11" ht="42" customHeight="1">
      <c r="A10033" t="s">
        <v>19387</v>
      </c>
      <c r="B10033" t="s">
        <v>19387</v>
      </c>
      <c r="C10033" t="s">
        <v>174</v>
      </c>
      <c r="D10033" t="s">
        <v>27</v>
      </c>
      <c r="E10033" s="6">
        <v>-28719</v>
      </c>
      <c r="F10033" t="s">
        <v>647</v>
      </c>
      <c r="G10033" t="s">
        <v>43</v>
      </c>
      <c r="H10033" t="s">
        <v>21</v>
      </c>
      <c r="I10033" t="s">
        <v>19388</v>
      </c>
      <c r="J10033" t="str">
        <f>HYPERLINK("https://www.boe.es/gazeta/dias/1821/05/14/pdfs/GMD-1821-136.pdf#page=1","Abrir facsímil")</f>
        <v>Abrir facsímil</v>
      </c>
      <c r="K10033" t="s">
        <v>23</v>
      </c>
    </row>
    <row r="10034" spans="1:11" ht="42" customHeight="1">
      <c r="A10034" t="s">
        <v>19389</v>
      </c>
      <c r="B10034" t="s">
        <v>19389</v>
      </c>
      <c r="C10034" t="s">
        <v>40</v>
      </c>
      <c r="D10034" t="s">
        <v>41</v>
      </c>
      <c r="E10034" s="6">
        <v>-28759</v>
      </c>
      <c r="F10034" t="s">
        <v>71</v>
      </c>
      <c r="G10034" t="s">
        <v>20</v>
      </c>
      <c r="H10034" t="s">
        <v>21</v>
      </c>
      <c r="I10034" t="s">
        <v>19390</v>
      </c>
      <c r="J10034" t="str">
        <f>HYPERLINK("https://www.boe.es/gazeta/dias/1821/04/04/pdfs/GMD-1821-96.pdf#page=3","Abrir facsímil")</f>
        <v>Abrir facsímil</v>
      </c>
      <c r="K10034" t="s">
        <v>23</v>
      </c>
    </row>
    <row r="10035" spans="1:11" ht="42" customHeight="1">
      <c r="A10035" t="s">
        <v>19391</v>
      </c>
      <c r="B10035" t="s">
        <v>19391</v>
      </c>
      <c r="C10035" t="s">
        <v>40</v>
      </c>
      <c r="D10035" t="s">
        <v>41</v>
      </c>
      <c r="E10035" s="6">
        <v>-28833</v>
      </c>
      <c r="F10035" t="s">
        <v>1868</v>
      </c>
      <c r="G10035" t="s">
        <v>88</v>
      </c>
      <c r="H10035" t="s">
        <v>21</v>
      </c>
      <c r="I10035" t="s">
        <v>19392</v>
      </c>
      <c r="J10035" t="str">
        <f>HYPERLINK("https://www.boe.es/gazeta/dias/1821/01/20/pdfs/GGB-1821-20.pdf#page=4","Abrir facsímil")</f>
        <v>Abrir facsímil</v>
      </c>
      <c r="K10035" t="s">
        <v>23</v>
      </c>
    </row>
    <row r="10036" spans="1:11" ht="42" customHeight="1">
      <c r="A10036" t="s">
        <v>19393</v>
      </c>
      <c r="B10036" t="s">
        <v>19393</v>
      </c>
      <c r="C10036" t="s">
        <v>40</v>
      </c>
      <c r="D10036" t="s">
        <v>41</v>
      </c>
      <c r="E10036" s="6">
        <v>-28600</v>
      </c>
      <c r="F10036" t="s">
        <v>99</v>
      </c>
      <c r="G10036" t="s">
        <v>43</v>
      </c>
      <c r="H10036" t="s">
        <v>21</v>
      </c>
      <c r="I10036" t="s">
        <v>19394</v>
      </c>
      <c r="J10036" t="str">
        <f>HYPERLINK("https://www.boe.es/gazeta/dias/1821/09/10/pdfs/GMD-1821-258.pdf#page=1","Abrir facsímil")</f>
        <v>Abrir facsímil</v>
      </c>
      <c r="K10036" t="s">
        <v>23</v>
      </c>
    </row>
    <row r="10037" spans="1:11" ht="42" customHeight="1">
      <c r="A10037" t="s">
        <v>19395</v>
      </c>
      <c r="B10037" t="s">
        <v>19395</v>
      </c>
      <c r="C10037" t="s">
        <v>17</v>
      </c>
      <c r="D10037" t="s">
        <v>18</v>
      </c>
      <c r="E10037" s="6">
        <v>-28663</v>
      </c>
      <c r="F10037" t="s">
        <v>3032</v>
      </c>
      <c r="G10037" t="s">
        <v>43</v>
      </c>
      <c r="H10037" t="s">
        <v>21</v>
      </c>
      <c r="I10037" t="s">
        <v>19396</v>
      </c>
      <c r="J10037" t="str">
        <f>HYPERLINK("https://www.boe.es/gazeta/dias/1821/07/09/pdfs/GMD-1821-194.pdf#page=1","Abrir facsímil")</f>
        <v>Abrir facsímil</v>
      </c>
      <c r="K10037" t="s">
        <v>23</v>
      </c>
    </row>
    <row r="10038" spans="1:11" ht="42" customHeight="1">
      <c r="A10038" t="s">
        <v>19397</v>
      </c>
      <c r="B10038" t="s">
        <v>19398</v>
      </c>
      <c r="C10038" t="s">
        <v>17</v>
      </c>
      <c r="D10038" t="s">
        <v>18</v>
      </c>
      <c r="E10038" s="6">
        <v>-28759</v>
      </c>
      <c r="F10038" t="s">
        <v>71</v>
      </c>
      <c r="G10038" t="s">
        <v>88</v>
      </c>
      <c r="H10038" t="s">
        <v>21</v>
      </c>
      <c r="I10038" t="s">
        <v>19399</v>
      </c>
      <c r="J10038" t="str">
        <f>HYPERLINK("https://www.boe.es/gazeta/dias/1821/04/04/pdfs/GMD-1821-96.pdf#page=4","Abrir facsímil")</f>
        <v>Abrir facsímil</v>
      </c>
      <c r="K10038" t="s">
        <v>23</v>
      </c>
    </row>
    <row r="10039" spans="1:11" ht="42" customHeight="1">
      <c r="A10039" t="s">
        <v>19400</v>
      </c>
      <c r="B10039" t="s">
        <v>19401</v>
      </c>
      <c r="C10039" t="s">
        <v>40</v>
      </c>
      <c r="D10039" t="s">
        <v>41</v>
      </c>
      <c r="E10039" s="6">
        <v>-28719</v>
      </c>
      <c r="F10039" t="s">
        <v>647</v>
      </c>
      <c r="G10039" t="s">
        <v>88</v>
      </c>
      <c r="H10039" t="s">
        <v>30</v>
      </c>
      <c r="I10039" t="s">
        <v>19402</v>
      </c>
      <c r="J10039" t="str">
        <f>HYPERLINK("https://www.boe.es/gazeta/dias/1821/05/14/pdfs/GMD-1821-136.pdf#page=4","Abrir facsímil")</f>
        <v>Abrir facsímil</v>
      </c>
      <c r="K10039" t="s">
        <v>32</v>
      </c>
    </row>
    <row r="10040" spans="1:11" ht="42" customHeight="1">
      <c r="A10040" t="s">
        <v>19403</v>
      </c>
      <c r="B10040" t="s">
        <v>19404</v>
      </c>
      <c r="C10040" t="s">
        <v>35</v>
      </c>
      <c r="D10040" t="s">
        <v>27</v>
      </c>
      <c r="E10040" s="6">
        <v>-28757</v>
      </c>
      <c r="F10040" t="s">
        <v>472</v>
      </c>
      <c r="G10040" t="s">
        <v>52</v>
      </c>
      <c r="H10040" t="s">
        <v>21</v>
      </c>
      <c r="I10040" t="s">
        <v>19405</v>
      </c>
      <c r="J10040" t="str">
        <f>HYPERLINK("https://www.boe.es/gazeta/dias/1821/04/06/pdfs/GMD-1821-98.pdf#page=2","Abrir facsímil")</f>
        <v>Abrir facsímil</v>
      </c>
      <c r="K10040" t="s">
        <v>23</v>
      </c>
    </row>
    <row r="10041" spans="1:11" ht="42" customHeight="1">
      <c r="A10041" t="s">
        <v>19406</v>
      </c>
      <c r="B10041" t="s">
        <v>19407</v>
      </c>
      <c r="C10041" t="s">
        <v>26</v>
      </c>
      <c r="D10041" t="s">
        <v>27</v>
      </c>
      <c r="E10041" s="6">
        <v>-28789</v>
      </c>
      <c r="F10041" t="s">
        <v>36</v>
      </c>
      <c r="G10041" t="s">
        <v>52</v>
      </c>
      <c r="H10041" t="s">
        <v>21</v>
      </c>
      <c r="I10041" t="s">
        <v>19408</v>
      </c>
      <c r="J10041" t="str">
        <f>HYPERLINK("https://www.boe.es/gazeta/dias/1821/03/05/pdfs/GGB-1821-64.pdf#page=2","Abrir facsímil")</f>
        <v>Abrir facsímil</v>
      </c>
      <c r="K10041" t="s">
        <v>23</v>
      </c>
    </row>
    <row r="10042" spans="1:11" ht="42" customHeight="1">
      <c r="A10042" t="s">
        <v>19409</v>
      </c>
      <c r="B10042" t="s">
        <v>19409</v>
      </c>
      <c r="C10042" t="s">
        <v>17</v>
      </c>
      <c r="D10042" t="s">
        <v>18</v>
      </c>
      <c r="E10042" s="6">
        <v>-28679</v>
      </c>
      <c r="F10042" t="s">
        <v>213</v>
      </c>
      <c r="G10042" t="s">
        <v>43</v>
      </c>
      <c r="H10042" t="s">
        <v>21</v>
      </c>
      <c r="I10042" t="s">
        <v>19410</v>
      </c>
      <c r="J10042" t="str">
        <f>HYPERLINK("https://www.boe.es/gazeta/dias/1821/06/23/pdfs/GMD-1821-176.pdf#page=1","Abrir facsímil")</f>
        <v>Abrir facsímil</v>
      </c>
      <c r="K10042" t="s">
        <v>23</v>
      </c>
    </row>
    <row r="10043" spans="1:11" ht="42" customHeight="1">
      <c r="A10043" t="s">
        <v>19411</v>
      </c>
      <c r="B10043" t="s">
        <v>19411</v>
      </c>
      <c r="C10043" t="s">
        <v>40</v>
      </c>
      <c r="D10043" t="s">
        <v>41</v>
      </c>
      <c r="E10043" s="6">
        <v>-28787</v>
      </c>
      <c r="F10043" t="s">
        <v>486</v>
      </c>
      <c r="G10043" t="s">
        <v>43</v>
      </c>
      <c r="H10043" t="s">
        <v>21</v>
      </c>
      <c r="I10043" t="s">
        <v>19412</v>
      </c>
      <c r="J10043" t="str">
        <f>HYPERLINK("https://www.boe.es/gazeta/dias/1821/03/07/pdfs/GGB-1821-66.pdf#page=1","Abrir facsímil")</f>
        <v>Abrir facsímil</v>
      </c>
      <c r="K10043" t="s">
        <v>23</v>
      </c>
    </row>
    <row r="10044" spans="1:11" ht="42" customHeight="1">
      <c r="A10044" t="s">
        <v>19413</v>
      </c>
      <c r="B10044" t="s">
        <v>19413</v>
      </c>
      <c r="C10044" t="s">
        <v>40</v>
      </c>
      <c r="D10044" t="s">
        <v>41</v>
      </c>
      <c r="E10044" s="6">
        <v>-28835</v>
      </c>
      <c r="F10044" t="s">
        <v>1362</v>
      </c>
      <c r="G10044" t="s">
        <v>20</v>
      </c>
      <c r="H10044" t="s">
        <v>21</v>
      </c>
      <c r="I10044" t="s">
        <v>19414</v>
      </c>
      <c r="J10044" t="str">
        <f>HYPERLINK("https://www.boe.es/gazeta/dias/1821/01/18/pdfs/GGB-1821-18.pdf#page=3","Abrir facsímil")</f>
        <v>Abrir facsímil</v>
      </c>
      <c r="K10044" t="s">
        <v>23</v>
      </c>
    </row>
    <row r="10045" spans="1:11" ht="42" customHeight="1">
      <c r="A10045" t="s">
        <v>19413</v>
      </c>
      <c r="B10045" t="s">
        <v>19413</v>
      </c>
      <c r="C10045" t="s">
        <v>17</v>
      </c>
      <c r="D10045" t="s">
        <v>18</v>
      </c>
      <c r="E10045" s="6">
        <v>-28678</v>
      </c>
      <c r="F10045" t="s">
        <v>215</v>
      </c>
      <c r="G10045" t="s">
        <v>43</v>
      </c>
      <c r="H10045" t="s">
        <v>21</v>
      </c>
      <c r="I10045" t="s">
        <v>19415</v>
      </c>
      <c r="J10045" t="str">
        <f>HYPERLINK("https://www.boe.es/gazeta/dias/1821/06/24/pdfs/GMD-1821-177.pdf#page=1","Abrir facsímil")</f>
        <v>Abrir facsímil</v>
      </c>
      <c r="K10045" t="s">
        <v>23</v>
      </c>
    </row>
    <row r="10046" spans="1:11" ht="42" customHeight="1">
      <c r="A10046" t="s">
        <v>19413</v>
      </c>
      <c r="B10046" t="s">
        <v>19413</v>
      </c>
      <c r="C10046" t="s">
        <v>40</v>
      </c>
      <c r="D10046" t="s">
        <v>41</v>
      </c>
      <c r="E10046" s="6">
        <v>-28640</v>
      </c>
      <c r="F10046" t="s">
        <v>1590</v>
      </c>
      <c r="G10046" t="s">
        <v>52</v>
      </c>
      <c r="H10046" t="s">
        <v>21</v>
      </c>
      <c r="I10046" t="s">
        <v>19416</v>
      </c>
      <c r="J10046" t="str">
        <f>HYPERLINK("https://www.boe.es/gazeta/dias/1821/08/01/pdfs/GMD-1821-217.pdf#page=2","Abrir facsímil")</f>
        <v>Abrir facsímil</v>
      </c>
      <c r="K10046" t="s">
        <v>23</v>
      </c>
    </row>
    <row r="10047" spans="1:11" ht="42" customHeight="1">
      <c r="A10047" t="s">
        <v>19413</v>
      </c>
      <c r="B10047" t="s">
        <v>19413</v>
      </c>
      <c r="C10047" t="s">
        <v>17</v>
      </c>
      <c r="D10047" t="s">
        <v>18</v>
      </c>
      <c r="E10047" s="6">
        <v>-28636</v>
      </c>
      <c r="F10047" t="s">
        <v>122</v>
      </c>
      <c r="G10047" t="s">
        <v>43</v>
      </c>
      <c r="H10047" t="s">
        <v>21</v>
      </c>
      <c r="I10047" t="s">
        <v>19417</v>
      </c>
      <c r="J10047" t="str">
        <f>HYPERLINK("https://www.boe.es/gazeta/dias/1821/08/05/pdfs/GMD-1821-221.pdf#page=1","Abrir facsímil")</f>
        <v>Abrir facsímil</v>
      </c>
      <c r="K10047" t="s">
        <v>23</v>
      </c>
    </row>
    <row r="10048" spans="1:11" ht="42" customHeight="1">
      <c r="A10048" t="s">
        <v>19413</v>
      </c>
      <c r="B10048" t="s">
        <v>19413</v>
      </c>
      <c r="C10048" t="s">
        <v>26</v>
      </c>
      <c r="D10048" t="s">
        <v>27</v>
      </c>
      <c r="E10048" s="6">
        <v>-28616</v>
      </c>
      <c r="F10048" t="s">
        <v>1912</v>
      </c>
      <c r="G10048" t="s">
        <v>52</v>
      </c>
      <c r="H10048" t="s">
        <v>21</v>
      </c>
      <c r="I10048" t="s">
        <v>19418</v>
      </c>
      <c r="J10048" t="str">
        <f>HYPERLINK("https://www.boe.es/gazeta/dias/1821/08/25/pdfs/GMD-1821-242.pdf#page=2","Abrir facsímil")</f>
        <v>Abrir facsímil</v>
      </c>
      <c r="K10048" t="s">
        <v>23</v>
      </c>
    </row>
    <row r="10049" spans="1:11" ht="42" customHeight="1">
      <c r="A10049" t="s">
        <v>19413</v>
      </c>
      <c r="B10049" t="s">
        <v>19413</v>
      </c>
      <c r="C10049" t="s">
        <v>17</v>
      </c>
      <c r="D10049" t="s">
        <v>18</v>
      </c>
      <c r="E10049" s="6">
        <v>-28609</v>
      </c>
      <c r="F10049" t="s">
        <v>2184</v>
      </c>
      <c r="G10049" t="s">
        <v>43</v>
      </c>
      <c r="H10049" t="s">
        <v>21</v>
      </c>
      <c r="I10049" t="s">
        <v>19419</v>
      </c>
      <c r="J10049" t="str">
        <f>HYPERLINK("https://www.boe.es/gazeta/dias/1821/09/01/pdfs/GMD-1821-249.pdf#page=1","Abrir facsímil")</f>
        <v>Abrir facsímil</v>
      </c>
      <c r="K10049" t="s">
        <v>23</v>
      </c>
    </row>
    <row r="10050" spans="1:11" ht="42" customHeight="1">
      <c r="A10050" t="s">
        <v>19413</v>
      </c>
      <c r="B10050" t="s">
        <v>19413</v>
      </c>
      <c r="C10050" t="s">
        <v>17</v>
      </c>
      <c r="D10050" t="s">
        <v>18</v>
      </c>
      <c r="E10050" s="6">
        <v>-28527</v>
      </c>
      <c r="F10050" t="s">
        <v>328</v>
      </c>
      <c r="G10050" t="s">
        <v>43</v>
      </c>
      <c r="H10050" t="s">
        <v>21</v>
      </c>
      <c r="I10050" t="s">
        <v>19420</v>
      </c>
      <c r="J10050" t="str">
        <f>HYPERLINK("https://www.boe.es/gazeta/dias/1821/11/22/pdfs/GMD-1821-333.pdf#page=1","Abrir facsímil")</f>
        <v>Abrir facsímil</v>
      </c>
      <c r="K10050" t="s">
        <v>23</v>
      </c>
    </row>
    <row r="10051" spans="1:11" ht="42" customHeight="1">
      <c r="A10051" t="s">
        <v>19413</v>
      </c>
      <c r="B10051" t="s">
        <v>19413</v>
      </c>
      <c r="C10051" t="s">
        <v>17</v>
      </c>
      <c r="D10051" t="s">
        <v>18</v>
      </c>
      <c r="E10051" s="6">
        <v>-28519</v>
      </c>
      <c r="F10051" t="s">
        <v>880</v>
      </c>
      <c r="G10051" t="s">
        <v>43</v>
      </c>
      <c r="H10051" t="s">
        <v>21</v>
      </c>
      <c r="I10051" t="s">
        <v>19421</v>
      </c>
      <c r="J10051" t="str">
        <f>HYPERLINK("https://www.boe.es/gazeta/dias/1821/11/30/pdfs/GMD-1821-342.pdf#page=1","Abrir facsímil")</f>
        <v>Abrir facsímil</v>
      </c>
      <c r="K10051" t="s">
        <v>23</v>
      </c>
    </row>
    <row r="10052" spans="1:11" ht="42" customHeight="1">
      <c r="A10052" t="s">
        <v>19413</v>
      </c>
      <c r="B10052" t="s">
        <v>19413</v>
      </c>
      <c r="C10052" t="s">
        <v>17</v>
      </c>
      <c r="D10052" t="s">
        <v>18</v>
      </c>
      <c r="E10052" s="6">
        <v>-28515</v>
      </c>
      <c r="F10052" t="s">
        <v>260</v>
      </c>
      <c r="G10052" t="s">
        <v>20</v>
      </c>
      <c r="H10052" t="s">
        <v>21</v>
      </c>
      <c r="I10052" t="s">
        <v>19422</v>
      </c>
      <c r="J10052" t="str">
        <f>HYPERLINK("https://www.boe.es/gazeta/dias/1821/12/04/pdfs/GMD-1821-346.pdf#page=3","Abrir facsímil")</f>
        <v>Abrir facsímil</v>
      </c>
      <c r="K10052" t="s">
        <v>23</v>
      </c>
    </row>
    <row r="10053" spans="1:11" ht="42" customHeight="1">
      <c r="A10053" t="s">
        <v>19413</v>
      </c>
      <c r="B10053" t="s">
        <v>19413</v>
      </c>
      <c r="C10053" t="s">
        <v>17</v>
      </c>
      <c r="D10053" t="s">
        <v>18</v>
      </c>
      <c r="E10053" s="6">
        <v>-28508</v>
      </c>
      <c r="F10053" t="s">
        <v>42</v>
      </c>
      <c r="G10053" t="s">
        <v>43</v>
      </c>
      <c r="H10053" t="s">
        <v>21</v>
      </c>
      <c r="I10053" t="s">
        <v>19423</v>
      </c>
      <c r="J10053" t="str">
        <f>HYPERLINK("https://www.boe.es/gazeta/dias/1821/12/11/pdfs/GMD-1821-353.pdf#page=1","Abrir facsímil")</f>
        <v>Abrir facsímil</v>
      </c>
      <c r="K10053" t="s">
        <v>23</v>
      </c>
    </row>
    <row r="10054" spans="1:11" ht="42" customHeight="1">
      <c r="A10054" t="s">
        <v>19413</v>
      </c>
      <c r="B10054" t="s">
        <v>19413</v>
      </c>
      <c r="C10054" t="s">
        <v>26</v>
      </c>
      <c r="D10054" t="s">
        <v>27</v>
      </c>
      <c r="E10054" s="6">
        <v>-28504</v>
      </c>
      <c r="F10054" t="s">
        <v>1098</v>
      </c>
      <c r="G10054" t="s">
        <v>52</v>
      </c>
      <c r="H10054" t="s">
        <v>21</v>
      </c>
      <c r="I10054" t="s">
        <v>19424</v>
      </c>
      <c r="J10054" t="str">
        <f>HYPERLINK("https://www.boe.es/gazeta/dias/1821/12/15/pdfs/GMD-1821-358.pdf#page=2","Abrir facsímil")</f>
        <v>Abrir facsímil</v>
      </c>
      <c r="K10054" t="s">
        <v>23</v>
      </c>
    </row>
    <row r="10055" spans="1:11" ht="42" customHeight="1">
      <c r="A10055" t="s">
        <v>19425</v>
      </c>
      <c r="B10055" t="s">
        <v>19425</v>
      </c>
      <c r="C10055" t="s">
        <v>26</v>
      </c>
      <c r="D10055" t="s">
        <v>27</v>
      </c>
      <c r="E10055" s="6">
        <v>-28724</v>
      </c>
      <c r="F10055" t="s">
        <v>1305</v>
      </c>
      <c r="G10055" t="s">
        <v>52</v>
      </c>
      <c r="H10055" t="s">
        <v>21</v>
      </c>
      <c r="I10055" t="s">
        <v>19426</v>
      </c>
      <c r="J10055" t="str">
        <f>HYPERLINK("https://www.boe.es/gazeta/dias/1821/05/09/pdfs/GMD-1821-131.pdf#page=2","Abrir facsímil")</f>
        <v>Abrir facsímil</v>
      </c>
      <c r="K10055" t="s">
        <v>23</v>
      </c>
    </row>
    <row r="10056" spans="1:11" ht="42" customHeight="1">
      <c r="A10056" t="s">
        <v>19427</v>
      </c>
      <c r="B10056" t="s">
        <v>19427</v>
      </c>
      <c r="C10056" t="s">
        <v>40</v>
      </c>
      <c r="D10056" t="s">
        <v>41</v>
      </c>
      <c r="E10056" s="6">
        <v>-28622</v>
      </c>
      <c r="F10056" t="s">
        <v>2771</v>
      </c>
      <c r="G10056" t="s">
        <v>43</v>
      </c>
      <c r="H10056" t="s">
        <v>21</v>
      </c>
      <c r="I10056" t="s">
        <v>19428</v>
      </c>
      <c r="J10056" t="str">
        <f>HYPERLINK("https://www.boe.es/gazeta/dias/1821/08/19/pdfs/GMD-1821-236.pdf#page=1","Abrir facsímil")</f>
        <v>Abrir facsímil</v>
      </c>
      <c r="K10056" t="s">
        <v>23</v>
      </c>
    </row>
    <row r="10057" spans="1:11" ht="42" customHeight="1">
      <c r="A10057" t="s">
        <v>19429</v>
      </c>
      <c r="B10057" t="s">
        <v>19430</v>
      </c>
      <c r="C10057" t="s">
        <v>35</v>
      </c>
      <c r="D10057" t="s">
        <v>27</v>
      </c>
      <c r="E10057" s="6">
        <v>-28705</v>
      </c>
      <c r="F10057" t="s">
        <v>1844</v>
      </c>
      <c r="G10057" t="s">
        <v>88</v>
      </c>
      <c r="H10057" t="s">
        <v>21</v>
      </c>
      <c r="I10057" t="s">
        <v>19431</v>
      </c>
      <c r="J10057" t="str">
        <f>HYPERLINK("https://www.boe.es/gazeta/dias/1821/05/28/pdfs/GMD-1821-150.pdf#page=4","Abrir facsímil")</f>
        <v>Abrir facsímil</v>
      </c>
      <c r="K10057" t="s">
        <v>23</v>
      </c>
    </row>
    <row r="10058" spans="1:11" ht="42" customHeight="1">
      <c r="A10058" t="s">
        <v>19432</v>
      </c>
      <c r="B10058" t="s">
        <v>19432</v>
      </c>
      <c r="C10058" t="s">
        <v>26</v>
      </c>
      <c r="D10058" t="s">
        <v>27</v>
      </c>
      <c r="E10058" s="6">
        <v>-28691</v>
      </c>
      <c r="F10058" t="s">
        <v>716</v>
      </c>
      <c r="G10058" t="s">
        <v>88</v>
      </c>
      <c r="H10058" t="s">
        <v>21</v>
      </c>
      <c r="I10058" t="s">
        <v>19433</v>
      </c>
      <c r="J10058" t="str">
        <f>HYPERLINK("https://www.boe.es/gazeta/dias/1821/06/11/pdfs/GMD-1821-164.pdf#page=4","Abrir facsímil")</f>
        <v>Abrir facsímil</v>
      </c>
      <c r="K10058" t="s">
        <v>23</v>
      </c>
    </row>
    <row r="10059" spans="1:11" ht="42" customHeight="1">
      <c r="A10059" t="s">
        <v>19434</v>
      </c>
      <c r="B10059" t="s">
        <v>19435</v>
      </c>
      <c r="C10059" t="s">
        <v>40</v>
      </c>
      <c r="D10059" t="s">
        <v>41</v>
      </c>
      <c r="E10059" s="6">
        <v>-28509</v>
      </c>
      <c r="F10059" t="s">
        <v>388</v>
      </c>
      <c r="G10059" t="s">
        <v>333</v>
      </c>
      <c r="H10059" t="s">
        <v>21</v>
      </c>
      <c r="I10059" t="s">
        <v>19436</v>
      </c>
      <c r="J10059" t="str">
        <f>HYPERLINK("https://www.boe.es/gazeta/dias/1821/12/10/pdfs/GMD-1821-352.pdf#page=8","Abrir facsímil")</f>
        <v>Abrir facsímil</v>
      </c>
      <c r="K10059" t="s">
        <v>23</v>
      </c>
    </row>
    <row r="10060" spans="1:11" ht="42" customHeight="1">
      <c r="A10060" t="s">
        <v>19437</v>
      </c>
      <c r="B10060" t="s">
        <v>19438</v>
      </c>
      <c r="C10060" t="s">
        <v>40</v>
      </c>
      <c r="D10060" t="s">
        <v>41</v>
      </c>
      <c r="E10060" s="6">
        <v>-28746</v>
      </c>
      <c r="F10060" t="s">
        <v>687</v>
      </c>
      <c r="G10060" t="s">
        <v>20</v>
      </c>
      <c r="H10060" t="s">
        <v>21</v>
      </c>
      <c r="I10060" t="s">
        <v>19439</v>
      </c>
      <c r="J10060" t="str">
        <f>HYPERLINK("https://www.boe.es/gazeta/dias/1821/04/17/pdfs/GMD-1821-109.pdf#page=3","Abrir facsímil")</f>
        <v>Abrir facsímil</v>
      </c>
      <c r="K10060" t="s">
        <v>23</v>
      </c>
    </row>
    <row r="10061" spans="1:11" ht="42" customHeight="1">
      <c r="A10061" t="s">
        <v>19440</v>
      </c>
      <c r="B10061" t="s">
        <v>19441</v>
      </c>
      <c r="C10061" t="s">
        <v>70</v>
      </c>
      <c r="D10061" t="s">
        <v>27</v>
      </c>
      <c r="E10061" s="6">
        <v>-28497</v>
      </c>
      <c r="F10061" t="s">
        <v>225</v>
      </c>
      <c r="G10061" t="s">
        <v>504</v>
      </c>
      <c r="H10061" t="s">
        <v>21</v>
      </c>
      <c r="I10061" t="s">
        <v>19442</v>
      </c>
      <c r="J10061" t="str">
        <f>HYPERLINK("https://www.boe.es/gazeta/dias/1821/12/22/pdfs/GMD-1821-365.pdf#page=6","Abrir facsímil")</f>
        <v>Abrir facsímil</v>
      </c>
      <c r="K10061" t="s">
        <v>23</v>
      </c>
    </row>
    <row r="10062" spans="1:11" ht="42" customHeight="1">
      <c r="A10062" t="s">
        <v>19443</v>
      </c>
      <c r="B10062" t="s">
        <v>19444</v>
      </c>
      <c r="C10062" t="s">
        <v>17</v>
      </c>
      <c r="D10062" t="s">
        <v>18</v>
      </c>
      <c r="E10062" s="6">
        <v>-28531</v>
      </c>
      <c r="F10062" t="s">
        <v>365</v>
      </c>
      <c r="G10062" t="s">
        <v>20</v>
      </c>
      <c r="H10062" t="s">
        <v>21</v>
      </c>
      <c r="I10062" t="s">
        <v>19445</v>
      </c>
      <c r="J10062" t="str">
        <f>HYPERLINK("https://www.boe.es/gazeta/dias/1821/11/18/pdfs/GMD-1821-329.pdf#page=3","Abrir facsímil")</f>
        <v>Abrir facsímil</v>
      </c>
      <c r="K10062" t="s">
        <v>23</v>
      </c>
    </row>
    <row r="10063" spans="1:11" ht="42" customHeight="1">
      <c r="A10063" t="s">
        <v>19446</v>
      </c>
      <c r="B10063" t="s">
        <v>19447</v>
      </c>
      <c r="C10063" t="s">
        <v>35</v>
      </c>
      <c r="D10063" t="s">
        <v>27</v>
      </c>
      <c r="E10063" s="6">
        <v>-28541</v>
      </c>
      <c r="F10063" t="s">
        <v>275</v>
      </c>
      <c r="G10063" t="s">
        <v>52</v>
      </c>
      <c r="H10063" t="s">
        <v>21</v>
      </c>
      <c r="I10063" t="s">
        <v>19448</v>
      </c>
      <c r="J10063" t="str">
        <f>HYPERLINK("https://www.boe.es/gazeta/dias/1821/11/08/pdfs/GMD-1821-319.pdf#page=2","Abrir facsímil")</f>
        <v>Abrir facsímil</v>
      </c>
      <c r="K10063" t="s">
        <v>23</v>
      </c>
    </row>
    <row r="10064" spans="1:11" ht="42" customHeight="1">
      <c r="A10064" t="s">
        <v>19449</v>
      </c>
      <c r="B10064" t="s">
        <v>19450</v>
      </c>
      <c r="C10064" t="s">
        <v>40</v>
      </c>
      <c r="D10064" t="s">
        <v>41</v>
      </c>
      <c r="E10064" s="6">
        <v>-28515</v>
      </c>
      <c r="F10064" t="s">
        <v>260</v>
      </c>
      <c r="G10064" t="s">
        <v>52</v>
      </c>
      <c r="H10064" t="s">
        <v>21</v>
      </c>
      <c r="I10064" t="s">
        <v>19451</v>
      </c>
      <c r="J10064" t="str">
        <f>HYPERLINK("https://www.boe.es/gazeta/dias/1821/12/04/pdfs/GMD-1821-346.pdf#page=2","Abrir facsímil")</f>
        <v>Abrir facsímil</v>
      </c>
      <c r="K10064" t="s">
        <v>23</v>
      </c>
    </row>
    <row r="10065" spans="1:11" ht="42" customHeight="1">
      <c r="A10065" t="s">
        <v>19452</v>
      </c>
      <c r="B10065" t="s">
        <v>19453</v>
      </c>
      <c r="C10065" t="s">
        <v>17</v>
      </c>
      <c r="D10065" t="s">
        <v>18</v>
      </c>
      <c r="E10065" s="6">
        <v>-28647</v>
      </c>
      <c r="F10065" t="s">
        <v>1295</v>
      </c>
      <c r="G10065" t="s">
        <v>88</v>
      </c>
      <c r="H10065" t="s">
        <v>21</v>
      </c>
      <c r="I10065" t="s">
        <v>19454</v>
      </c>
      <c r="J10065" t="str">
        <f>HYPERLINK("https://www.boe.es/gazeta/dias/1821/07/25/pdfs/GMD-1821-210.pdf#page=4","Abrir facsímil")</f>
        <v>Abrir facsímil</v>
      </c>
      <c r="K10065" t="s">
        <v>23</v>
      </c>
    </row>
    <row r="10066" spans="1:11" ht="42" customHeight="1">
      <c r="A10066" t="s">
        <v>19455</v>
      </c>
      <c r="B10066" t="s">
        <v>19456</v>
      </c>
      <c r="C10066" t="s">
        <v>40</v>
      </c>
      <c r="D10066" t="s">
        <v>41</v>
      </c>
      <c r="E10066" s="6">
        <v>-28510</v>
      </c>
      <c r="F10066" t="s">
        <v>83</v>
      </c>
      <c r="G10066" t="s">
        <v>52</v>
      </c>
      <c r="H10066" t="s">
        <v>30</v>
      </c>
      <c r="I10066" t="s">
        <v>19457</v>
      </c>
      <c r="J10066" t="str">
        <f>HYPERLINK("https://www.boe.es/gazeta/dias/1821/12/09/pdfs/GMD-1821-351.pdf#page=2","Abrir facsímil")</f>
        <v>Abrir facsímil</v>
      </c>
      <c r="K10066" t="s">
        <v>32</v>
      </c>
    </row>
    <row r="10067" spans="1:11" ht="42" customHeight="1">
      <c r="A10067" t="s">
        <v>19458</v>
      </c>
      <c r="B10067" t="s">
        <v>19459</v>
      </c>
      <c r="C10067" t="s">
        <v>40</v>
      </c>
      <c r="D10067" t="s">
        <v>41</v>
      </c>
      <c r="E10067" s="6">
        <v>-28597</v>
      </c>
      <c r="F10067" t="s">
        <v>811</v>
      </c>
      <c r="G10067" t="s">
        <v>88</v>
      </c>
      <c r="H10067" t="s">
        <v>21</v>
      </c>
      <c r="I10067" t="s">
        <v>19460</v>
      </c>
      <c r="J10067" t="str">
        <f>HYPERLINK("https://www.boe.es/gazeta/dias/1821/09/13/pdfs/GMD-1821-261.pdf#page=4","Abrir facsímil")</f>
        <v>Abrir facsímil</v>
      </c>
      <c r="K10067" t="s">
        <v>23</v>
      </c>
    </row>
    <row r="10068" spans="1:11" ht="42" customHeight="1">
      <c r="A10068" t="s">
        <v>19461</v>
      </c>
      <c r="B10068" t="s">
        <v>19462</v>
      </c>
      <c r="C10068" t="s">
        <v>17</v>
      </c>
      <c r="D10068" t="s">
        <v>18</v>
      </c>
      <c r="E10068" s="6">
        <v>-28548</v>
      </c>
      <c r="F10068" t="s">
        <v>782</v>
      </c>
      <c r="G10068" t="s">
        <v>52</v>
      </c>
      <c r="H10068" t="s">
        <v>21</v>
      </c>
      <c r="I10068" t="s">
        <v>19463</v>
      </c>
      <c r="J10068" t="str">
        <f>HYPERLINK("https://www.boe.es/gazeta/dias/1821/11/01/pdfs/GMD-1821-311.pdf#page=2","Abrir facsímil")</f>
        <v>Abrir facsímil</v>
      </c>
      <c r="K10068" t="s">
        <v>23</v>
      </c>
    </row>
    <row r="10069" spans="1:11" ht="42" customHeight="1">
      <c r="A10069" t="s">
        <v>19464</v>
      </c>
      <c r="B10069" t="s">
        <v>19465</v>
      </c>
      <c r="C10069" t="s">
        <v>40</v>
      </c>
      <c r="D10069" t="s">
        <v>41</v>
      </c>
      <c r="E10069" s="6">
        <v>-28570</v>
      </c>
      <c r="F10069" t="s">
        <v>2300</v>
      </c>
      <c r="G10069" t="s">
        <v>52</v>
      </c>
      <c r="H10069" t="s">
        <v>21</v>
      </c>
      <c r="I10069" t="s">
        <v>19466</v>
      </c>
      <c r="J10069" t="str">
        <f>HYPERLINK("https://www.boe.es/gazeta/dias/1821/10/10/pdfs/GMD-1821-289.pdf#page=2","Abrir facsímil")</f>
        <v>Abrir facsímil</v>
      </c>
      <c r="K10069" t="s">
        <v>23</v>
      </c>
    </row>
    <row r="10070" spans="1:11" ht="42" customHeight="1">
      <c r="A10070" t="s">
        <v>19467</v>
      </c>
      <c r="B10070" t="s">
        <v>19468</v>
      </c>
      <c r="C10070" t="s">
        <v>40</v>
      </c>
      <c r="D10070" t="s">
        <v>41</v>
      </c>
      <c r="E10070" s="6">
        <v>-28512</v>
      </c>
      <c r="F10070" t="s">
        <v>66</v>
      </c>
      <c r="G10070" t="s">
        <v>43</v>
      </c>
      <c r="H10070" t="s">
        <v>21</v>
      </c>
      <c r="I10070" t="s">
        <v>19469</v>
      </c>
      <c r="J10070" t="str">
        <f>HYPERLINK("https://www.boe.es/gazeta/dias/1821/12/07/pdfs/GMD-1821-349.pdf#page=1","Abrir facsímil")</f>
        <v>Abrir facsímil</v>
      </c>
      <c r="K10070" t="s">
        <v>23</v>
      </c>
    </row>
    <row r="10071" spans="1:11" ht="42" customHeight="1">
      <c r="A10071" t="s">
        <v>19470</v>
      </c>
      <c r="B10071" t="s">
        <v>19471</v>
      </c>
      <c r="C10071" t="s">
        <v>17</v>
      </c>
      <c r="D10071" t="s">
        <v>18</v>
      </c>
      <c r="E10071" s="6">
        <v>-28721</v>
      </c>
      <c r="F10071" t="s">
        <v>92</v>
      </c>
      <c r="G10071" t="s">
        <v>43</v>
      </c>
      <c r="H10071" t="s">
        <v>21</v>
      </c>
      <c r="I10071" t="s">
        <v>19472</v>
      </c>
      <c r="J10071" t="str">
        <f>HYPERLINK("https://www.boe.es/gazeta/dias/1821/05/12/pdfs/GMD-1821-134.pdf#page=1","Abrir facsímil")</f>
        <v>Abrir facsímil</v>
      </c>
      <c r="K10071" t="s">
        <v>23</v>
      </c>
    </row>
    <row r="10072" spans="1:11" ht="42" customHeight="1">
      <c r="A10072" t="s">
        <v>19473</v>
      </c>
      <c r="B10072" t="s">
        <v>19473</v>
      </c>
      <c r="C10072" t="s">
        <v>26</v>
      </c>
      <c r="D10072" t="s">
        <v>27</v>
      </c>
      <c r="E10072" s="6">
        <v>-28722</v>
      </c>
      <c r="F10072" t="s">
        <v>623</v>
      </c>
      <c r="G10072" t="s">
        <v>20</v>
      </c>
      <c r="H10072" t="s">
        <v>21</v>
      </c>
      <c r="I10072" t="s">
        <v>19474</v>
      </c>
      <c r="J10072" t="str">
        <f>HYPERLINK("https://www.boe.es/gazeta/dias/1821/05/11/pdfs/GMD-1821-133.pdf#page=3","Abrir facsímil")</f>
        <v>Abrir facsímil</v>
      </c>
      <c r="K10072" t="s">
        <v>23</v>
      </c>
    </row>
    <row r="10073" spans="1:11" ht="42" customHeight="1">
      <c r="A10073" t="s">
        <v>19473</v>
      </c>
      <c r="B10073" t="s">
        <v>19473</v>
      </c>
      <c r="C10073" t="s">
        <v>35</v>
      </c>
      <c r="D10073" t="s">
        <v>27</v>
      </c>
      <c r="E10073" s="6">
        <v>-28705</v>
      </c>
      <c r="F10073" t="s">
        <v>1844</v>
      </c>
      <c r="G10073" t="s">
        <v>52</v>
      </c>
      <c r="H10073" t="s">
        <v>21</v>
      </c>
      <c r="I10073" t="s">
        <v>19475</v>
      </c>
      <c r="J10073" t="str">
        <f>HYPERLINK("https://www.boe.es/gazeta/dias/1821/05/28/pdfs/GMD-1821-150.pdf#page=2","Abrir facsímil")</f>
        <v>Abrir facsímil</v>
      </c>
      <c r="K10073" t="s">
        <v>23</v>
      </c>
    </row>
    <row r="10074" spans="1:11" ht="42" customHeight="1">
      <c r="A10074" t="s">
        <v>19473</v>
      </c>
      <c r="B10074" t="s">
        <v>19473</v>
      </c>
      <c r="C10074" t="s">
        <v>17</v>
      </c>
      <c r="D10074" t="s">
        <v>18</v>
      </c>
      <c r="E10074" s="6">
        <v>-28703</v>
      </c>
      <c r="F10074" t="s">
        <v>231</v>
      </c>
      <c r="G10074" t="s">
        <v>52</v>
      </c>
      <c r="H10074" t="s">
        <v>21</v>
      </c>
      <c r="I10074" t="s">
        <v>19476</v>
      </c>
      <c r="J10074" t="str">
        <f>HYPERLINK("https://www.boe.es/gazeta/dias/1821/05/30/pdfs/GMD-1821-152.pdf#page=2","Abrir facsímil")</f>
        <v>Abrir facsímil</v>
      </c>
      <c r="K10074" t="s">
        <v>23</v>
      </c>
    </row>
    <row r="10075" spans="1:11" ht="42" customHeight="1">
      <c r="A10075" t="s">
        <v>19477</v>
      </c>
      <c r="B10075" t="s">
        <v>19477</v>
      </c>
      <c r="C10075" t="s">
        <v>35</v>
      </c>
      <c r="D10075" t="s">
        <v>27</v>
      </c>
      <c r="E10075" s="6">
        <v>-28718</v>
      </c>
      <c r="F10075" t="s">
        <v>583</v>
      </c>
      <c r="G10075" t="s">
        <v>88</v>
      </c>
      <c r="H10075" t="s">
        <v>21</v>
      </c>
      <c r="I10075" t="s">
        <v>19478</v>
      </c>
      <c r="J10075" t="str">
        <f>HYPERLINK("https://www.boe.es/gazeta/dias/1821/05/15/pdfs/GMD-1821-137.pdf#page=4","Abrir facsímil")</f>
        <v>Abrir facsímil</v>
      </c>
      <c r="K10075" t="s">
        <v>23</v>
      </c>
    </row>
    <row r="10076" spans="1:11" ht="42" customHeight="1">
      <c r="A10076" t="s">
        <v>19477</v>
      </c>
      <c r="B10076" t="s">
        <v>19477</v>
      </c>
      <c r="C10076" t="s">
        <v>26</v>
      </c>
      <c r="D10076" t="s">
        <v>27</v>
      </c>
      <c r="E10076" s="6">
        <v>-28602</v>
      </c>
      <c r="F10076" t="s">
        <v>1526</v>
      </c>
      <c r="G10076" t="s">
        <v>52</v>
      </c>
      <c r="H10076" t="s">
        <v>21</v>
      </c>
      <c r="I10076" t="s">
        <v>19479</v>
      </c>
      <c r="J10076" t="str">
        <f>HYPERLINK("https://www.boe.es/gazeta/dias/1821/09/08/pdfs/GMD-1821-256.pdf#page=2","Abrir facsímil")</f>
        <v>Abrir facsímil</v>
      </c>
      <c r="K10076" t="s">
        <v>23</v>
      </c>
    </row>
    <row r="10077" spans="1:11" ht="42" customHeight="1">
      <c r="A10077" t="s">
        <v>19480</v>
      </c>
      <c r="B10077" t="s">
        <v>19480</v>
      </c>
      <c r="C10077" t="s">
        <v>26</v>
      </c>
      <c r="D10077" t="s">
        <v>27</v>
      </c>
      <c r="E10077" s="6">
        <v>-28571</v>
      </c>
      <c r="F10077" t="s">
        <v>482</v>
      </c>
      <c r="G10077" t="s">
        <v>52</v>
      </c>
      <c r="H10077" t="s">
        <v>21</v>
      </c>
      <c r="I10077" t="s">
        <v>19481</v>
      </c>
      <c r="J10077" t="str">
        <f>HYPERLINK("https://www.boe.es/gazeta/dias/1821/10/09/pdfs/GMD-1821-288.pdf#page=2","Abrir facsímil")</f>
        <v>Abrir facsímil</v>
      </c>
      <c r="K10077" t="s">
        <v>23</v>
      </c>
    </row>
    <row r="10078" spans="1:11" ht="42" customHeight="1">
      <c r="A10078" t="s">
        <v>19482</v>
      </c>
      <c r="B10078" t="s">
        <v>19482</v>
      </c>
      <c r="C10078" t="s">
        <v>26</v>
      </c>
      <c r="D10078" t="s">
        <v>27</v>
      </c>
      <c r="E10078" s="6">
        <v>-28629</v>
      </c>
      <c r="F10078" t="s">
        <v>235</v>
      </c>
      <c r="G10078" t="s">
        <v>88</v>
      </c>
      <c r="H10078" t="s">
        <v>21</v>
      </c>
      <c r="I10078" t="s">
        <v>19483</v>
      </c>
      <c r="J10078" t="str">
        <f>HYPERLINK("https://www.boe.es/gazeta/dias/1821/08/12/pdfs/GMD-1821-229.pdf#page=4","Abrir facsímil")</f>
        <v>Abrir facsímil</v>
      </c>
      <c r="K10078" t="s">
        <v>23</v>
      </c>
    </row>
    <row r="10079" spans="1:11" ht="42" customHeight="1">
      <c r="A10079" t="s">
        <v>19482</v>
      </c>
      <c r="B10079" t="s">
        <v>19482</v>
      </c>
      <c r="C10079" t="s">
        <v>40</v>
      </c>
      <c r="D10079" t="s">
        <v>41</v>
      </c>
      <c r="E10079" s="6">
        <v>-28531</v>
      </c>
      <c r="F10079" t="s">
        <v>365</v>
      </c>
      <c r="G10079" t="s">
        <v>52</v>
      </c>
      <c r="H10079" t="s">
        <v>21</v>
      </c>
      <c r="I10079" t="s">
        <v>19484</v>
      </c>
      <c r="J10079" t="str">
        <f>HYPERLINK("https://www.boe.es/gazeta/dias/1821/11/18/pdfs/GMD-1821-329.pdf#page=2","Abrir facsímil")</f>
        <v>Abrir facsímil</v>
      </c>
      <c r="K10079" t="s">
        <v>23</v>
      </c>
    </row>
    <row r="10080" spans="1:11" ht="42" customHeight="1">
      <c r="A10080" t="s">
        <v>19485</v>
      </c>
      <c r="B10080" t="s">
        <v>19485</v>
      </c>
      <c r="C10080" t="s">
        <v>17</v>
      </c>
      <c r="D10080" t="s">
        <v>18</v>
      </c>
      <c r="E10080" s="6">
        <v>-28799</v>
      </c>
      <c r="F10080" t="s">
        <v>3158</v>
      </c>
      <c r="G10080" t="s">
        <v>43</v>
      </c>
      <c r="H10080" t="s">
        <v>21</v>
      </c>
      <c r="I10080" t="s">
        <v>19486</v>
      </c>
      <c r="J10080" t="str">
        <f>HYPERLINK("https://www.boe.es/gazeta/dias/1821/02/23/pdfs/GGB-1821-54.pdf#page=1","Abrir facsímil")</f>
        <v>Abrir facsímil</v>
      </c>
      <c r="K10080" t="s">
        <v>23</v>
      </c>
    </row>
    <row r="10081" spans="1:11" ht="42" customHeight="1">
      <c r="A10081" t="s">
        <v>19485</v>
      </c>
      <c r="B10081" t="s">
        <v>19485</v>
      </c>
      <c r="C10081" t="s">
        <v>40</v>
      </c>
      <c r="D10081" t="s">
        <v>41</v>
      </c>
      <c r="E10081" s="6">
        <v>-28584</v>
      </c>
      <c r="F10081" t="s">
        <v>4544</v>
      </c>
      <c r="G10081" t="s">
        <v>20</v>
      </c>
      <c r="H10081" t="s">
        <v>21</v>
      </c>
      <c r="I10081" t="s">
        <v>19487</v>
      </c>
      <c r="J10081" t="str">
        <f>HYPERLINK("https://www.boe.es/gazeta/dias/1821/09/26/pdfs/GMD-1821-274.pdf#page=3","Abrir facsímil")</f>
        <v>Abrir facsímil</v>
      </c>
      <c r="K10081" t="s">
        <v>23</v>
      </c>
    </row>
    <row r="10082" spans="1:11" ht="42" customHeight="1">
      <c r="A10082" t="s">
        <v>19488</v>
      </c>
      <c r="B10082" t="s">
        <v>19488</v>
      </c>
      <c r="C10082" t="s">
        <v>40</v>
      </c>
      <c r="D10082" t="s">
        <v>41</v>
      </c>
      <c r="E10082" s="6">
        <v>-28832</v>
      </c>
      <c r="F10082" t="s">
        <v>353</v>
      </c>
      <c r="G10082" t="s">
        <v>12069</v>
      </c>
      <c r="H10082" t="s">
        <v>21</v>
      </c>
      <c r="I10082" t="s">
        <v>19489</v>
      </c>
      <c r="J10082" t="str">
        <f>HYPERLINK("https://www.boe.es/gazeta/dias/1821/01/21/pdfs/GGB-1821-21.pdf#page=1","Abrir facsímil")</f>
        <v>Abrir facsímil</v>
      </c>
      <c r="K10082" t="s">
        <v>23</v>
      </c>
    </row>
    <row r="10083" spans="1:11" ht="42" customHeight="1">
      <c r="A10083" t="s">
        <v>19490</v>
      </c>
      <c r="B10083" t="s">
        <v>19491</v>
      </c>
      <c r="C10083" t="s">
        <v>114</v>
      </c>
      <c r="D10083" t="s">
        <v>27</v>
      </c>
      <c r="E10083" s="6">
        <v>-28644</v>
      </c>
      <c r="F10083" t="s">
        <v>1340</v>
      </c>
      <c r="G10083" t="s">
        <v>88</v>
      </c>
      <c r="H10083" t="s">
        <v>21</v>
      </c>
      <c r="I10083" t="s">
        <v>19492</v>
      </c>
      <c r="J10083" t="str">
        <f>HYPERLINK("https://www.boe.es/gazeta/dias/1821/07/28/pdfs/GMD-1821-213.pdf#page=4","Abrir facsímil")</f>
        <v>Abrir facsímil</v>
      </c>
      <c r="K10083" t="s">
        <v>23</v>
      </c>
    </row>
    <row r="10084" spans="1:11" ht="42" customHeight="1">
      <c r="A10084" t="s">
        <v>19493</v>
      </c>
      <c r="B10084" t="s">
        <v>19494</v>
      </c>
      <c r="C10084" t="s">
        <v>70</v>
      </c>
      <c r="D10084" t="s">
        <v>27</v>
      </c>
      <c r="E10084" s="6">
        <v>-28793</v>
      </c>
      <c r="F10084" t="s">
        <v>157</v>
      </c>
      <c r="G10084" t="s">
        <v>29</v>
      </c>
      <c r="H10084" t="s">
        <v>21</v>
      </c>
      <c r="I10084" t="s">
        <v>19495</v>
      </c>
      <c r="J10084" t="str">
        <f>HYPERLINK("https://www.boe.es/gazeta/dias/1821/03/01/pdfs/GGB-1821-60.pdf#page=6","Abrir facsímil")</f>
        <v>Abrir facsímil</v>
      </c>
      <c r="K10084" t="s">
        <v>23</v>
      </c>
    </row>
    <row r="10085" spans="1:11" ht="42" customHeight="1">
      <c r="A10085" t="s">
        <v>19493</v>
      </c>
      <c r="B10085" t="s">
        <v>19494</v>
      </c>
      <c r="C10085" t="s">
        <v>26</v>
      </c>
      <c r="D10085" t="s">
        <v>27</v>
      </c>
      <c r="E10085" s="6">
        <v>-28699</v>
      </c>
      <c r="F10085" t="s">
        <v>280</v>
      </c>
      <c r="G10085" t="s">
        <v>29</v>
      </c>
      <c r="H10085" t="s">
        <v>21</v>
      </c>
      <c r="I10085" t="s">
        <v>19496</v>
      </c>
      <c r="J10085" t="str">
        <f>HYPERLINK("https://www.boe.es/gazeta/dias/1821/06/03/pdfs/GMD-1821-156.pdf#page=6","Abrir facsímil")</f>
        <v>Abrir facsímil</v>
      </c>
      <c r="K10085" t="s">
        <v>23</v>
      </c>
    </row>
    <row r="10086" spans="1:11" ht="42" customHeight="1">
      <c r="A10086" t="s">
        <v>19493</v>
      </c>
      <c r="B10086" t="s">
        <v>19494</v>
      </c>
      <c r="C10086" t="s">
        <v>17</v>
      </c>
      <c r="D10086" t="s">
        <v>18</v>
      </c>
      <c r="E10086" s="6">
        <v>-28654</v>
      </c>
      <c r="F10086" t="s">
        <v>674</v>
      </c>
      <c r="G10086" t="s">
        <v>88</v>
      </c>
      <c r="H10086" t="s">
        <v>21</v>
      </c>
      <c r="I10086" t="s">
        <v>19497</v>
      </c>
      <c r="J10086" t="str">
        <f>HYPERLINK("https://www.boe.es/gazeta/dias/1821/07/18/pdfs/GMD-1821-203.pdf#page=4","Abrir facsímil")</f>
        <v>Abrir facsímil</v>
      </c>
      <c r="K10086" t="s">
        <v>23</v>
      </c>
    </row>
    <row r="10087" spans="1:11" ht="42" customHeight="1">
      <c r="A10087" t="s">
        <v>19498</v>
      </c>
      <c r="B10087" t="s">
        <v>19498</v>
      </c>
      <c r="C10087" t="s">
        <v>26</v>
      </c>
      <c r="D10087" t="s">
        <v>27</v>
      </c>
      <c r="E10087" s="6">
        <v>-28509</v>
      </c>
      <c r="F10087" t="s">
        <v>388</v>
      </c>
      <c r="G10087" t="s">
        <v>162</v>
      </c>
      <c r="H10087" t="s">
        <v>21</v>
      </c>
      <c r="I10087" t="s">
        <v>19499</v>
      </c>
      <c r="J10087" t="str">
        <f>HYPERLINK("https://www.boe.es/gazeta/dias/1821/12/10/pdfs/GMD-1821-352.pdf#page=5","Abrir facsímil")</f>
        <v>Abrir facsímil</v>
      </c>
      <c r="K10087" t="s">
        <v>23</v>
      </c>
    </row>
    <row r="10088" spans="1:11" ht="42" customHeight="1">
      <c r="A10088" t="s">
        <v>19500</v>
      </c>
      <c r="B10088" t="s">
        <v>19500</v>
      </c>
      <c r="C10088" t="s">
        <v>40</v>
      </c>
      <c r="D10088" t="s">
        <v>41</v>
      </c>
      <c r="E10088" s="6">
        <v>-28616</v>
      </c>
      <c r="F10088" t="s">
        <v>1912</v>
      </c>
      <c r="G10088" t="s">
        <v>52</v>
      </c>
      <c r="H10088" t="s">
        <v>21</v>
      </c>
      <c r="I10088" t="s">
        <v>19501</v>
      </c>
      <c r="J10088" t="str">
        <f>HYPERLINK("https://www.boe.es/gazeta/dias/1821/08/25/pdfs/GMD-1821-242.pdf#page=2","Abrir facsímil")</f>
        <v>Abrir facsímil</v>
      </c>
      <c r="K10088" t="s">
        <v>23</v>
      </c>
    </row>
    <row r="10089" spans="1:11" ht="42" customHeight="1">
      <c r="A10089" t="s">
        <v>19502</v>
      </c>
      <c r="B10089" t="s">
        <v>19502</v>
      </c>
      <c r="C10089" t="s">
        <v>174</v>
      </c>
      <c r="D10089" t="s">
        <v>27</v>
      </c>
      <c r="E10089" s="6">
        <v>-28645</v>
      </c>
      <c r="F10089" t="s">
        <v>2579</v>
      </c>
      <c r="G10089" t="s">
        <v>88</v>
      </c>
      <c r="H10089" t="s">
        <v>21</v>
      </c>
      <c r="I10089" t="s">
        <v>19503</v>
      </c>
      <c r="J10089" t="str">
        <f>HYPERLINK("https://www.boe.es/gazeta/dias/1821/07/27/pdfs/GMD-1821-212.pdf#page=4","Abrir facsímil")</f>
        <v>Abrir facsímil</v>
      </c>
      <c r="K10089" t="s">
        <v>23</v>
      </c>
    </row>
    <row r="10090" spans="1:11" ht="42" customHeight="1">
      <c r="A10090" t="s">
        <v>19504</v>
      </c>
      <c r="B10090" t="s">
        <v>19505</v>
      </c>
      <c r="C10090" t="s">
        <v>40</v>
      </c>
      <c r="D10090" t="s">
        <v>41</v>
      </c>
      <c r="E10090" s="6">
        <v>-28659</v>
      </c>
      <c r="F10090" t="s">
        <v>2850</v>
      </c>
      <c r="G10090" t="s">
        <v>52</v>
      </c>
      <c r="H10090" t="s">
        <v>21</v>
      </c>
      <c r="I10090" t="s">
        <v>19506</v>
      </c>
      <c r="J10090" t="str">
        <f>HYPERLINK("https://www.boe.es/gazeta/dias/1821/07/13/pdfs/GMD-1821-198.pdf#page=2","Abrir facsímil")</f>
        <v>Abrir facsímil</v>
      </c>
      <c r="K10090" t="s">
        <v>23</v>
      </c>
    </row>
    <row r="10091" spans="1:11" ht="42" customHeight="1">
      <c r="A10091" t="s">
        <v>19507</v>
      </c>
      <c r="B10091" t="s">
        <v>19508</v>
      </c>
      <c r="C10091" t="s">
        <v>35</v>
      </c>
      <c r="D10091" t="s">
        <v>27</v>
      </c>
      <c r="E10091" s="6">
        <v>-28632</v>
      </c>
      <c r="F10091" t="s">
        <v>6572</v>
      </c>
      <c r="G10091" t="s">
        <v>52</v>
      </c>
      <c r="H10091" t="s">
        <v>21</v>
      </c>
      <c r="I10091" t="s">
        <v>19509</v>
      </c>
      <c r="J10091" t="str">
        <f>HYPERLINK("https://www.boe.es/gazeta/dias/1821/08/09/pdfs/GMD-1821-225.pdf#page=2","Abrir facsímil")</f>
        <v>Abrir facsímil</v>
      </c>
      <c r="K10091" t="s">
        <v>23</v>
      </c>
    </row>
    <row r="10092" spans="1:11" ht="42" customHeight="1">
      <c r="A10092" t="s">
        <v>19510</v>
      </c>
      <c r="B10092" t="s">
        <v>19510</v>
      </c>
      <c r="C10092" t="s">
        <v>279</v>
      </c>
      <c r="D10092" t="s">
        <v>27</v>
      </c>
      <c r="E10092" s="6">
        <v>-28787</v>
      </c>
      <c r="F10092" t="s">
        <v>486</v>
      </c>
      <c r="G10092" t="s">
        <v>52</v>
      </c>
      <c r="H10092" t="s">
        <v>21</v>
      </c>
      <c r="I10092" t="s">
        <v>19511</v>
      </c>
      <c r="J10092" t="str">
        <f>HYPERLINK("https://www.boe.es/gazeta/dias/1821/03/07/pdfs/GGB-1821-66.pdf#page=2","Abrir facsímil")</f>
        <v>Abrir facsímil</v>
      </c>
      <c r="K10092" t="s">
        <v>23</v>
      </c>
    </row>
    <row r="10093" spans="1:11" ht="42" customHeight="1">
      <c r="A10093" t="s">
        <v>19512</v>
      </c>
      <c r="B10093" t="s">
        <v>19513</v>
      </c>
      <c r="C10093" t="s">
        <v>40</v>
      </c>
      <c r="D10093" t="s">
        <v>41</v>
      </c>
      <c r="E10093" s="6">
        <v>-28616</v>
      </c>
      <c r="F10093" t="s">
        <v>1912</v>
      </c>
      <c r="G10093" t="s">
        <v>1913</v>
      </c>
      <c r="H10093" t="s">
        <v>21</v>
      </c>
      <c r="I10093" t="s">
        <v>19514</v>
      </c>
      <c r="J10093" t="str">
        <f>HYPERLINK("https://www.boe.es/gazeta/dias/1821/08/25/pdfs/GMD-1821-242.pdf#page=3","Abrir facsímil")</f>
        <v>Abrir facsímil</v>
      </c>
      <c r="K10093" t="s">
        <v>23</v>
      </c>
    </row>
    <row r="10094" spans="1:11" ht="42" customHeight="1">
      <c r="A10094" t="s">
        <v>19515</v>
      </c>
      <c r="B10094" t="s">
        <v>19515</v>
      </c>
      <c r="C10094" t="s">
        <v>17</v>
      </c>
      <c r="D10094" t="s">
        <v>18</v>
      </c>
      <c r="E10094" s="6">
        <v>-28812</v>
      </c>
      <c r="F10094" t="s">
        <v>2610</v>
      </c>
      <c r="G10094" t="s">
        <v>52</v>
      </c>
      <c r="H10094" t="s">
        <v>21</v>
      </c>
      <c r="I10094" t="s">
        <v>19516</v>
      </c>
      <c r="J10094" t="str">
        <f>HYPERLINK("https://www.boe.es/gazeta/dias/1821/02/10/pdfs/GGB-1821-41.pdf#page=2","Abrir facsímil")</f>
        <v>Abrir facsímil</v>
      </c>
      <c r="K10094" t="s">
        <v>23</v>
      </c>
    </row>
    <row r="10095" spans="1:11" ht="42" customHeight="1">
      <c r="A10095" t="s">
        <v>19517</v>
      </c>
      <c r="B10095" t="s">
        <v>19517</v>
      </c>
      <c r="C10095" t="s">
        <v>17</v>
      </c>
      <c r="D10095" t="s">
        <v>18</v>
      </c>
      <c r="E10095" s="6">
        <v>-28812</v>
      </c>
      <c r="F10095" t="s">
        <v>2610</v>
      </c>
      <c r="G10095" t="s">
        <v>52</v>
      </c>
      <c r="H10095" t="s">
        <v>21</v>
      </c>
      <c r="I10095" t="s">
        <v>19518</v>
      </c>
      <c r="J10095" t="str">
        <f>HYPERLINK("https://www.boe.es/gazeta/dias/1821/02/10/pdfs/GGB-1821-41.pdf#page=2","Abrir facsímil")</f>
        <v>Abrir facsímil</v>
      </c>
      <c r="K10095" t="s">
        <v>23</v>
      </c>
    </row>
    <row r="10096" spans="1:11" ht="42" customHeight="1">
      <c r="A10096" t="s">
        <v>19517</v>
      </c>
      <c r="B10096" t="s">
        <v>19517</v>
      </c>
      <c r="C10096" t="s">
        <v>17</v>
      </c>
      <c r="D10096" t="s">
        <v>18</v>
      </c>
      <c r="E10096" s="6">
        <v>-28810</v>
      </c>
      <c r="F10096" t="s">
        <v>308</v>
      </c>
      <c r="G10096" t="s">
        <v>20</v>
      </c>
      <c r="H10096" t="s">
        <v>21</v>
      </c>
      <c r="I10096" t="s">
        <v>19519</v>
      </c>
      <c r="J10096" t="str">
        <f>HYPERLINK("https://www.boe.es/gazeta/dias/1821/02/12/pdfs/GGB-1821-43.pdf#page=3","Abrir facsímil")</f>
        <v>Abrir facsímil</v>
      </c>
      <c r="K10096" t="s">
        <v>23</v>
      </c>
    </row>
    <row r="10097" spans="1:11" ht="42" customHeight="1">
      <c r="A10097" t="s">
        <v>19517</v>
      </c>
      <c r="B10097" t="s">
        <v>19517</v>
      </c>
      <c r="C10097" t="s">
        <v>17</v>
      </c>
      <c r="D10097" t="s">
        <v>18</v>
      </c>
      <c r="E10097" s="6">
        <v>-28797</v>
      </c>
      <c r="F10097" t="s">
        <v>2281</v>
      </c>
      <c r="G10097" t="s">
        <v>20</v>
      </c>
      <c r="H10097" t="s">
        <v>21</v>
      </c>
      <c r="I10097" t="s">
        <v>19520</v>
      </c>
      <c r="J10097" t="str">
        <f>HYPERLINK("https://www.boe.es/gazeta/dias/1821/02/25/pdfs/GGB-1821-56.pdf#page=3","Abrir facsímil")</f>
        <v>Abrir facsímil</v>
      </c>
      <c r="K10097" t="s">
        <v>23</v>
      </c>
    </row>
    <row r="10098" spans="1:11" ht="42" customHeight="1">
      <c r="A10098" t="s">
        <v>19521</v>
      </c>
      <c r="B10098" t="s">
        <v>19521</v>
      </c>
      <c r="C10098" t="s">
        <v>40</v>
      </c>
      <c r="D10098" t="s">
        <v>41</v>
      </c>
      <c r="E10098" s="6">
        <v>-28782</v>
      </c>
      <c r="F10098" t="s">
        <v>508</v>
      </c>
      <c r="G10098" t="s">
        <v>52</v>
      </c>
      <c r="H10098" t="s">
        <v>21</v>
      </c>
      <c r="I10098" t="s">
        <v>19522</v>
      </c>
      <c r="J10098" t="str">
        <f>HYPERLINK("https://www.boe.es/gazeta/dias/1821/03/12/pdfs/GMD-1821-71.pdf#page=2","Abrir facsímil")</f>
        <v>Abrir facsímil</v>
      </c>
      <c r="K10098" t="s">
        <v>23</v>
      </c>
    </row>
    <row r="10099" spans="1:11" ht="42" customHeight="1">
      <c r="A10099" t="s">
        <v>19517</v>
      </c>
      <c r="B10099" t="s">
        <v>19517</v>
      </c>
      <c r="C10099" t="s">
        <v>26</v>
      </c>
      <c r="D10099" t="s">
        <v>27</v>
      </c>
      <c r="E10099" s="6">
        <v>-28758</v>
      </c>
      <c r="F10099" t="s">
        <v>4115</v>
      </c>
      <c r="G10099" t="s">
        <v>43</v>
      </c>
      <c r="H10099" t="s">
        <v>21</v>
      </c>
      <c r="I10099" t="s">
        <v>19523</v>
      </c>
      <c r="J10099" t="str">
        <f>HYPERLINK("https://www.boe.es/gazeta/dias/1821/04/05/pdfs/GMD-1821-97.pdf#page=1","Abrir facsímil")</f>
        <v>Abrir facsímil</v>
      </c>
      <c r="K10099" t="s">
        <v>23</v>
      </c>
    </row>
    <row r="10100" spans="1:11" ht="42" customHeight="1">
      <c r="A10100" t="s">
        <v>19517</v>
      </c>
      <c r="B10100" t="s">
        <v>19517</v>
      </c>
      <c r="C10100" t="s">
        <v>17</v>
      </c>
      <c r="D10100" t="s">
        <v>18</v>
      </c>
      <c r="E10100" s="6">
        <v>-28613</v>
      </c>
      <c r="F10100" t="s">
        <v>178</v>
      </c>
      <c r="G10100" t="s">
        <v>52</v>
      </c>
      <c r="H10100" t="s">
        <v>21</v>
      </c>
      <c r="I10100" t="s">
        <v>19524</v>
      </c>
      <c r="J10100" t="str">
        <f>HYPERLINK("https://www.boe.es/gazeta/dias/1821/08/28/pdfs/GMD-1821-245.pdf#page=2","Abrir facsímil")</f>
        <v>Abrir facsímil</v>
      </c>
      <c r="K10100" t="s">
        <v>23</v>
      </c>
    </row>
    <row r="10101" spans="1:11" ht="42" customHeight="1">
      <c r="A10101" t="s">
        <v>19525</v>
      </c>
      <c r="B10101" t="s">
        <v>19525</v>
      </c>
      <c r="C10101" t="s">
        <v>40</v>
      </c>
      <c r="D10101" t="s">
        <v>41</v>
      </c>
      <c r="E10101" s="6">
        <v>-28513</v>
      </c>
      <c r="F10101" t="s">
        <v>502</v>
      </c>
      <c r="G10101" t="s">
        <v>20</v>
      </c>
      <c r="H10101" t="s">
        <v>21</v>
      </c>
      <c r="I10101" t="s">
        <v>19526</v>
      </c>
      <c r="J10101" t="str">
        <f>HYPERLINK("https://www.boe.es/gazeta/dias/1821/12/06/pdfs/GMD-1821-348.pdf#page=3","Abrir facsímil")</f>
        <v>Abrir facsímil</v>
      </c>
      <c r="K10101" t="s">
        <v>23</v>
      </c>
    </row>
    <row r="10102" spans="1:11" ht="42" customHeight="1">
      <c r="A10102" t="s">
        <v>19527</v>
      </c>
      <c r="B10102" t="s">
        <v>19527</v>
      </c>
      <c r="C10102" t="s">
        <v>26</v>
      </c>
      <c r="D10102" t="s">
        <v>27</v>
      </c>
      <c r="E10102" s="6">
        <v>-28625</v>
      </c>
      <c r="F10102" t="s">
        <v>738</v>
      </c>
      <c r="G10102" t="s">
        <v>52</v>
      </c>
      <c r="H10102" t="s">
        <v>21</v>
      </c>
      <c r="I10102" t="s">
        <v>19528</v>
      </c>
      <c r="J10102" t="str">
        <f>HYPERLINK("https://www.boe.es/gazeta/dias/1821/08/16/pdfs/GMD-1821-233.pdf#page=2","Abrir facsímil")</f>
        <v>Abrir facsímil</v>
      </c>
      <c r="K10102" t="s">
        <v>23</v>
      </c>
    </row>
    <row r="10103" spans="1:11" ht="42" customHeight="1">
      <c r="A10103" t="s">
        <v>19527</v>
      </c>
      <c r="B10103" t="s">
        <v>19527</v>
      </c>
      <c r="C10103" t="s">
        <v>35</v>
      </c>
      <c r="D10103" t="s">
        <v>27</v>
      </c>
      <c r="E10103" s="6">
        <v>-28597</v>
      </c>
      <c r="F10103" t="s">
        <v>811</v>
      </c>
      <c r="G10103" t="s">
        <v>52</v>
      </c>
      <c r="H10103" t="s">
        <v>21</v>
      </c>
      <c r="I10103" t="s">
        <v>19529</v>
      </c>
      <c r="J10103" t="str">
        <f>HYPERLINK("https://www.boe.es/gazeta/dias/1821/09/13/pdfs/GMD-1821-261.pdf#page=2","Abrir facsímil")</f>
        <v>Abrir facsímil</v>
      </c>
      <c r="K10103" t="s">
        <v>23</v>
      </c>
    </row>
    <row r="10104" spans="1:11" ht="42" customHeight="1">
      <c r="A10104" t="s">
        <v>19530</v>
      </c>
      <c r="B10104" t="s">
        <v>19531</v>
      </c>
      <c r="C10104" t="s">
        <v>114</v>
      </c>
      <c r="D10104" t="s">
        <v>27</v>
      </c>
      <c r="E10104" s="6">
        <v>-28836</v>
      </c>
      <c r="F10104" t="s">
        <v>601</v>
      </c>
      <c r="G10104" t="s">
        <v>20</v>
      </c>
      <c r="H10104" t="s">
        <v>30</v>
      </c>
      <c r="I10104" t="s">
        <v>19532</v>
      </c>
      <c r="J10104" t="str">
        <f>HYPERLINK("https://www.boe.es/gazeta/dias/1821/01/17/pdfs/GGB-1821-17.pdf#page=3","Abrir facsímil")</f>
        <v>Abrir facsímil</v>
      </c>
      <c r="K10104" t="s">
        <v>32</v>
      </c>
    </row>
    <row r="10105" spans="1:11" ht="42" customHeight="1">
      <c r="A10105" t="s">
        <v>19533</v>
      </c>
      <c r="B10105" t="s">
        <v>19534</v>
      </c>
      <c r="C10105" t="s">
        <v>26</v>
      </c>
      <c r="D10105" t="s">
        <v>27</v>
      </c>
      <c r="E10105" s="6">
        <v>-28847</v>
      </c>
      <c r="F10105" t="s">
        <v>288</v>
      </c>
      <c r="G10105" t="s">
        <v>289</v>
      </c>
      <c r="H10105" t="s">
        <v>21</v>
      </c>
      <c r="I10105" t="s">
        <v>19535</v>
      </c>
      <c r="J10105" t="str">
        <f>HYPERLINK("https://www.boe.es/gazeta/dias/1821/01/06/pdfs/GGB-1821-6.pdf#page=4","Abrir facsímil")</f>
        <v>Abrir facsímil</v>
      </c>
      <c r="K10105" t="s">
        <v>23</v>
      </c>
    </row>
    <row r="10106" spans="1:11" ht="42" customHeight="1">
      <c r="A10106" t="s">
        <v>19536</v>
      </c>
      <c r="B10106" t="s">
        <v>19537</v>
      </c>
      <c r="C10106" t="s">
        <v>17</v>
      </c>
      <c r="D10106" t="s">
        <v>18</v>
      </c>
      <c r="E10106" s="6">
        <v>-28796</v>
      </c>
      <c r="F10106" t="s">
        <v>1421</v>
      </c>
      <c r="G10106" t="s">
        <v>1422</v>
      </c>
      <c r="H10106" t="s">
        <v>21</v>
      </c>
      <c r="I10106" t="s">
        <v>19538</v>
      </c>
      <c r="J10106" t="str">
        <f>HYPERLINK("https://www.boe.es/gazeta/dias/1821/02/26/pdfs/GGB-1821-57.pdf#page=3","Abrir facsímil")</f>
        <v>Abrir facsímil</v>
      </c>
      <c r="K10106" t="s">
        <v>23</v>
      </c>
    </row>
    <row r="10107" spans="1:11" ht="42" customHeight="1">
      <c r="A10107" t="s">
        <v>19539</v>
      </c>
      <c r="B10107" t="s">
        <v>19540</v>
      </c>
      <c r="C10107" t="s">
        <v>17</v>
      </c>
      <c r="D10107" t="s">
        <v>18</v>
      </c>
      <c r="E10107" s="6">
        <v>-28565</v>
      </c>
      <c r="F10107" t="s">
        <v>326</v>
      </c>
      <c r="G10107" t="s">
        <v>162</v>
      </c>
      <c r="H10107" t="s">
        <v>21</v>
      </c>
      <c r="I10107" t="s">
        <v>19541</v>
      </c>
      <c r="J10107" t="str">
        <f>HYPERLINK("https://www.boe.es/gazeta/dias/1821/10/15/pdfs/GMD-1821-294.pdf#page=5","Abrir facsímil")</f>
        <v>Abrir facsímil</v>
      </c>
      <c r="K10107" t="s">
        <v>23</v>
      </c>
    </row>
    <row r="10108" spans="1:11" ht="42" customHeight="1">
      <c r="A10108" t="s">
        <v>19542</v>
      </c>
      <c r="B10108" t="s">
        <v>19542</v>
      </c>
      <c r="C10108" t="s">
        <v>35</v>
      </c>
      <c r="D10108" t="s">
        <v>27</v>
      </c>
      <c r="E10108" s="6">
        <v>-28561</v>
      </c>
      <c r="F10108" t="s">
        <v>240</v>
      </c>
      <c r="G10108" t="s">
        <v>162</v>
      </c>
      <c r="H10108" t="s">
        <v>21</v>
      </c>
      <c r="I10108" t="s">
        <v>19543</v>
      </c>
      <c r="J10108" t="str">
        <f>HYPERLINK("https://www.boe.es/gazeta/dias/1821/10/19/pdfs/GMD-1821-298.pdf#page=5","Abrir facsímil")</f>
        <v>Abrir facsímil</v>
      </c>
      <c r="K10108" t="s">
        <v>23</v>
      </c>
    </row>
    <row r="10109" spans="1:11" ht="42" customHeight="1">
      <c r="A10109" t="s">
        <v>19544</v>
      </c>
      <c r="B10109" t="s">
        <v>19544</v>
      </c>
      <c r="C10109" t="s">
        <v>17</v>
      </c>
      <c r="D10109" t="s">
        <v>18</v>
      </c>
      <c r="E10109" s="6">
        <v>-28579</v>
      </c>
      <c r="F10109" t="s">
        <v>743</v>
      </c>
      <c r="G10109" t="s">
        <v>7128</v>
      </c>
      <c r="H10109" t="s">
        <v>21</v>
      </c>
      <c r="I10109" t="s">
        <v>19545</v>
      </c>
      <c r="J10109" t="str">
        <f>HYPERLINK("https://www.boe.es/gazeta/dias/1821/10/01/pdfs/GMD-1821-280.pdf#page=3","Abrir facsímil")</f>
        <v>Abrir facsímil</v>
      </c>
      <c r="K10109" t="s">
        <v>23</v>
      </c>
    </row>
    <row r="10110" spans="1:11" ht="42" customHeight="1">
      <c r="A10110" t="s">
        <v>19546</v>
      </c>
      <c r="B10110" t="s">
        <v>19546</v>
      </c>
      <c r="C10110" t="s">
        <v>40</v>
      </c>
      <c r="D10110" t="s">
        <v>41</v>
      </c>
      <c r="E10110" s="6">
        <v>-28811</v>
      </c>
      <c r="F10110" t="s">
        <v>5734</v>
      </c>
      <c r="G10110" t="s">
        <v>43</v>
      </c>
      <c r="H10110" t="s">
        <v>21</v>
      </c>
      <c r="I10110" t="s">
        <v>19547</v>
      </c>
      <c r="J10110" t="str">
        <f>HYPERLINK("https://www.boe.es/gazeta/dias/1821/02/11/pdfs/GGB-1821-42.pdf#page=1","Abrir facsímil")</f>
        <v>Abrir facsímil</v>
      </c>
      <c r="K10110" t="s">
        <v>23</v>
      </c>
    </row>
    <row r="10111" spans="1:11" ht="42" customHeight="1">
      <c r="A10111" t="s">
        <v>19548</v>
      </c>
      <c r="B10111" t="s">
        <v>19548</v>
      </c>
      <c r="C10111" t="s">
        <v>17</v>
      </c>
      <c r="D10111" t="s">
        <v>18</v>
      </c>
      <c r="E10111" s="6">
        <v>-28743</v>
      </c>
      <c r="F10111" t="s">
        <v>51</v>
      </c>
      <c r="G10111" t="s">
        <v>88</v>
      </c>
      <c r="H10111" t="s">
        <v>21</v>
      </c>
      <c r="I10111" t="s">
        <v>19549</v>
      </c>
      <c r="J10111" t="str">
        <f>HYPERLINK("https://www.boe.es/gazeta/dias/1821/04/20/pdfs/GMD-1821-112.pdf#page=4","Abrir facsímil")</f>
        <v>Abrir facsímil</v>
      </c>
      <c r="K10111" t="s">
        <v>23</v>
      </c>
    </row>
    <row r="10112" spans="1:11" ht="42" customHeight="1">
      <c r="A10112" t="s">
        <v>19550</v>
      </c>
      <c r="B10112" t="s">
        <v>19551</v>
      </c>
      <c r="C10112" t="s">
        <v>26</v>
      </c>
      <c r="D10112" t="s">
        <v>27</v>
      </c>
      <c r="E10112" s="6">
        <v>-28690</v>
      </c>
      <c r="F10112" t="s">
        <v>846</v>
      </c>
      <c r="G10112" t="s">
        <v>1243</v>
      </c>
      <c r="H10112" t="s">
        <v>30</v>
      </c>
      <c r="I10112" t="s">
        <v>19552</v>
      </c>
      <c r="J10112" t="str">
        <f>HYPERLINK("https://www.boe.es/gazeta/dias/1821/06/12/pdfs/GMD-1821-165.pdf#page=4","Abrir facsímil")</f>
        <v>Abrir facsímil</v>
      </c>
      <c r="K10112" t="s">
        <v>32</v>
      </c>
    </row>
    <row r="10113" spans="1:11" ht="42" customHeight="1">
      <c r="A10113" t="s">
        <v>19553</v>
      </c>
      <c r="B10113" t="s">
        <v>19554</v>
      </c>
      <c r="C10113" t="s">
        <v>17</v>
      </c>
      <c r="D10113" t="s">
        <v>18</v>
      </c>
      <c r="E10113" s="6">
        <v>-28814</v>
      </c>
      <c r="F10113" t="s">
        <v>2090</v>
      </c>
      <c r="G10113" t="s">
        <v>88</v>
      </c>
      <c r="H10113" t="s">
        <v>21</v>
      </c>
      <c r="I10113" t="s">
        <v>19555</v>
      </c>
      <c r="J10113" t="str">
        <f>HYPERLINK("https://www.boe.es/gazeta/dias/1821/02/08/pdfs/GGB-1821-39.pdf#page=4","Abrir facsímil")</f>
        <v>Abrir facsímil</v>
      </c>
      <c r="K10113" t="s">
        <v>23</v>
      </c>
    </row>
    <row r="10114" spans="1:11" ht="42" customHeight="1">
      <c r="A10114" t="s">
        <v>19556</v>
      </c>
      <c r="B10114" t="s">
        <v>19557</v>
      </c>
      <c r="C10114" t="s">
        <v>17</v>
      </c>
      <c r="D10114" t="s">
        <v>18</v>
      </c>
      <c r="E10114" s="6">
        <v>-28676</v>
      </c>
      <c r="F10114" t="s">
        <v>534</v>
      </c>
      <c r="G10114" t="s">
        <v>29</v>
      </c>
      <c r="H10114" t="s">
        <v>21</v>
      </c>
      <c r="I10114" t="s">
        <v>19558</v>
      </c>
      <c r="J10114" t="str">
        <f>HYPERLINK("https://www.boe.es/gazeta/dias/1821/06/26/pdfs/GMD-1821-179.pdf#page=6","Abrir facsímil")</f>
        <v>Abrir facsímil</v>
      </c>
      <c r="K10114" t="s">
        <v>23</v>
      </c>
    </row>
    <row r="10115" spans="1:11" ht="42" customHeight="1">
      <c r="A10115" t="s">
        <v>19556</v>
      </c>
      <c r="B10115" t="s">
        <v>19557</v>
      </c>
      <c r="C10115" t="s">
        <v>17</v>
      </c>
      <c r="D10115" t="s">
        <v>18</v>
      </c>
      <c r="E10115" s="6">
        <v>-28667</v>
      </c>
      <c r="F10115" t="s">
        <v>107</v>
      </c>
      <c r="G10115" t="s">
        <v>3069</v>
      </c>
      <c r="H10115" t="s">
        <v>21</v>
      </c>
      <c r="I10115" t="s">
        <v>19559</v>
      </c>
      <c r="J10115" t="str">
        <f>HYPERLINK("https://www.boe.es/gazeta/dias/1821/07/05/pdfs/GMD-1821-189.pdf#page=4","Abrir facsímil")</f>
        <v>Abrir facsímil</v>
      </c>
      <c r="K10115" t="s">
        <v>23</v>
      </c>
    </row>
    <row r="10116" spans="1:11" ht="42" customHeight="1">
      <c r="A10116" t="s">
        <v>19560</v>
      </c>
      <c r="B10116" t="s">
        <v>19561</v>
      </c>
      <c r="C10116" t="s">
        <v>40</v>
      </c>
      <c r="D10116" t="s">
        <v>41</v>
      </c>
      <c r="E10116" s="6">
        <v>-28821</v>
      </c>
      <c r="F10116" t="s">
        <v>371</v>
      </c>
      <c r="G10116" t="s">
        <v>88</v>
      </c>
      <c r="H10116" t="s">
        <v>21</v>
      </c>
      <c r="I10116" t="s">
        <v>19562</v>
      </c>
      <c r="J10116" t="str">
        <f>HYPERLINK("https://www.boe.es/gazeta/dias/1821/02/01/pdfs/GGB-1821-32.pdf#page=4","Abrir facsímil")</f>
        <v>Abrir facsímil</v>
      </c>
      <c r="K10116" t="s">
        <v>23</v>
      </c>
    </row>
    <row r="10117" spans="1:11" ht="42" customHeight="1">
      <c r="A10117" t="s">
        <v>19563</v>
      </c>
      <c r="B10117" t="s">
        <v>19564</v>
      </c>
      <c r="C10117" t="s">
        <v>17</v>
      </c>
      <c r="D10117" t="s">
        <v>18</v>
      </c>
      <c r="E10117" s="6">
        <v>-28839</v>
      </c>
      <c r="F10117" t="s">
        <v>1686</v>
      </c>
      <c r="G10117" t="s">
        <v>10851</v>
      </c>
      <c r="H10117" t="s">
        <v>21</v>
      </c>
      <c r="I10117" t="s">
        <v>19565</v>
      </c>
      <c r="J10117" t="str">
        <f>HYPERLINK("https://www.boe.es/gazeta/dias/1821/01/14/pdfs/GGB-1821-14.pdf#page=4","Abrir facsímil")</f>
        <v>Abrir facsímil</v>
      </c>
      <c r="K10117" t="s">
        <v>23</v>
      </c>
    </row>
    <row r="10118" spans="1:11" ht="42" customHeight="1">
      <c r="A10118" t="s">
        <v>19563</v>
      </c>
      <c r="B10118" t="s">
        <v>19564</v>
      </c>
      <c r="C10118" t="s">
        <v>17</v>
      </c>
      <c r="D10118" t="s">
        <v>18</v>
      </c>
      <c r="E10118" s="6">
        <v>-28821</v>
      </c>
      <c r="F10118" t="s">
        <v>371</v>
      </c>
      <c r="G10118" t="s">
        <v>88</v>
      </c>
      <c r="H10118" t="s">
        <v>21</v>
      </c>
      <c r="I10118" t="s">
        <v>19566</v>
      </c>
      <c r="J10118" t="str">
        <f>HYPERLINK("https://www.boe.es/gazeta/dias/1821/02/01/pdfs/GGB-1821-32.pdf#page=4","Abrir facsímil")</f>
        <v>Abrir facsímil</v>
      </c>
      <c r="K10118" t="s">
        <v>23</v>
      </c>
    </row>
    <row r="10119" spans="1:11" ht="42" customHeight="1">
      <c r="A10119" t="s">
        <v>19563</v>
      </c>
      <c r="B10119" t="s">
        <v>19564</v>
      </c>
      <c r="C10119" t="s">
        <v>17</v>
      </c>
      <c r="D10119" t="s">
        <v>18</v>
      </c>
      <c r="E10119" s="6">
        <v>-28820</v>
      </c>
      <c r="F10119" t="s">
        <v>1430</v>
      </c>
      <c r="G10119" t="s">
        <v>29</v>
      </c>
      <c r="H10119" t="s">
        <v>21</v>
      </c>
      <c r="I10119" t="s">
        <v>19567</v>
      </c>
      <c r="J10119" t="str">
        <f>HYPERLINK("https://www.boe.es/gazeta/dias/1821/02/02/pdfs/GGB-1821-33.pdf#page=6","Abrir facsímil")</f>
        <v>Abrir facsímil</v>
      </c>
      <c r="K10119" t="s">
        <v>23</v>
      </c>
    </row>
    <row r="10120" spans="1:11" ht="42" customHeight="1">
      <c r="A10120" t="s">
        <v>19563</v>
      </c>
      <c r="B10120" t="s">
        <v>19564</v>
      </c>
      <c r="C10120" t="s">
        <v>17</v>
      </c>
      <c r="D10120" t="s">
        <v>18</v>
      </c>
      <c r="E10120" s="6">
        <v>-28812</v>
      </c>
      <c r="F10120" t="s">
        <v>2610</v>
      </c>
      <c r="G10120" t="s">
        <v>88</v>
      </c>
      <c r="H10120" t="s">
        <v>21</v>
      </c>
      <c r="I10120" t="s">
        <v>19568</v>
      </c>
      <c r="J10120" t="str">
        <f>HYPERLINK("https://www.boe.es/gazeta/dias/1821/02/10/pdfs/GGB-1821-41.pdf#page=4","Abrir facsímil")</f>
        <v>Abrir facsímil</v>
      </c>
      <c r="K10120" t="s">
        <v>23</v>
      </c>
    </row>
    <row r="10121" spans="1:11" ht="42" customHeight="1">
      <c r="A10121" t="s">
        <v>19563</v>
      </c>
      <c r="B10121" t="s">
        <v>19564</v>
      </c>
      <c r="C10121" t="s">
        <v>17</v>
      </c>
      <c r="D10121" t="s">
        <v>18</v>
      </c>
      <c r="E10121" s="6">
        <v>-28811</v>
      </c>
      <c r="F10121" t="s">
        <v>5734</v>
      </c>
      <c r="G10121" t="s">
        <v>88</v>
      </c>
      <c r="H10121" t="s">
        <v>21</v>
      </c>
      <c r="I10121" t="s">
        <v>19569</v>
      </c>
      <c r="J10121" t="str">
        <f>HYPERLINK("https://www.boe.es/gazeta/dias/1821/02/11/pdfs/GGB-1821-42.pdf#page=4","Abrir facsímil")</f>
        <v>Abrir facsímil</v>
      </c>
      <c r="K10121" t="s">
        <v>23</v>
      </c>
    </row>
    <row r="10122" spans="1:11" ht="42" customHeight="1">
      <c r="A10122" t="s">
        <v>19563</v>
      </c>
      <c r="B10122" t="s">
        <v>19564</v>
      </c>
      <c r="C10122" t="s">
        <v>17</v>
      </c>
      <c r="D10122" t="s">
        <v>18</v>
      </c>
      <c r="E10122" s="6">
        <v>-28796</v>
      </c>
      <c r="F10122" t="s">
        <v>1421</v>
      </c>
      <c r="G10122" t="s">
        <v>8266</v>
      </c>
      <c r="H10122" t="s">
        <v>21</v>
      </c>
      <c r="I10122" t="s">
        <v>19570</v>
      </c>
      <c r="J10122" t="str">
        <f>HYPERLINK("https://www.boe.es/gazeta/dias/1821/02/26/pdfs/GGB-1821-57.pdf#page=4","Abrir facsímil")</f>
        <v>Abrir facsímil</v>
      </c>
      <c r="K10122" t="s">
        <v>23</v>
      </c>
    </row>
    <row r="10123" spans="1:11" ht="42" customHeight="1">
      <c r="A10123" t="s">
        <v>19563</v>
      </c>
      <c r="B10123" t="s">
        <v>19564</v>
      </c>
      <c r="C10123" t="s">
        <v>17</v>
      </c>
      <c r="D10123" t="s">
        <v>18</v>
      </c>
      <c r="E10123" s="6">
        <v>-28791</v>
      </c>
      <c r="F10123" t="s">
        <v>47</v>
      </c>
      <c r="G10123" t="s">
        <v>88</v>
      </c>
      <c r="H10123" t="s">
        <v>21</v>
      </c>
      <c r="I10123" t="s">
        <v>19571</v>
      </c>
      <c r="J10123" t="str">
        <f>HYPERLINK("https://www.boe.es/gazeta/dias/1821/03/03/pdfs/GGB-1821-62.pdf#page=4","Abrir facsímil")</f>
        <v>Abrir facsímil</v>
      </c>
      <c r="K10123" t="s">
        <v>23</v>
      </c>
    </row>
    <row r="10124" spans="1:11" ht="42" customHeight="1">
      <c r="A10124" t="s">
        <v>19563</v>
      </c>
      <c r="B10124" t="s">
        <v>19564</v>
      </c>
      <c r="C10124" t="s">
        <v>40</v>
      </c>
      <c r="D10124" t="s">
        <v>41</v>
      </c>
      <c r="E10124" s="6">
        <v>-28779</v>
      </c>
      <c r="F10124" t="s">
        <v>1002</v>
      </c>
      <c r="G10124" t="s">
        <v>20</v>
      </c>
      <c r="H10124" t="s">
        <v>21</v>
      </c>
      <c r="I10124" t="s">
        <v>19572</v>
      </c>
      <c r="J10124" t="str">
        <f>HYPERLINK("https://www.boe.es/gazeta/dias/1821/03/15/pdfs/GMD-1821-74.pdf#page=3","Abrir facsímil")</f>
        <v>Abrir facsímil</v>
      </c>
      <c r="K10124" t="s">
        <v>23</v>
      </c>
    </row>
    <row r="10125" spans="1:11" ht="42" customHeight="1">
      <c r="A10125" t="s">
        <v>19563</v>
      </c>
      <c r="B10125" t="s">
        <v>19564</v>
      </c>
      <c r="C10125" t="s">
        <v>17</v>
      </c>
      <c r="D10125" t="s">
        <v>18</v>
      </c>
      <c r="E10125" s="6">
        <v>-28774</v>
      </c>
      <c r="F10125" t="s">
        <v>1221</v>
      </c>
      <c r="G10125" t="s">
        <v>29</v>
      </c>
      <c r="H10125" t="s">
        <v>21</v>
      </c>
      <c r="I10125" t="s">
        <v>19573</v>
      </c>
      <c r="J10125" t="str">
        <f>HYPERLINK("https://www.boe.es/gazeta/dias/1821/03/20/pdfs/GMD-1821-79.pdf#page=6","Abrir facsímil")</f>
        <v>Abrir facsímil</v>
      </c>
      <c r="K10125" t="s">
        <v>23</v>
      </c>
    </row>
    <row r="10126" spans="1:11" ht="42" customHeight="1">
      <c r="A10126" t="s">
        <v>19563</v>
      </c>
      <c r="B10126" t="s">
        <v>19564</v>
      </c>
      <c r="C10126" t="s">
        <v>17</v>
      </c>
      <c r="D10126" t="s">
        <v>18</v>
      </c>
      <c r="E10126" s="6">
        <v>-28762</v>
      </c>
      <c r="F10126" t="s">
        <v>608</v>
      </c>
      <c r="G10126" t="s">
        <v>333</v>
      </c>
      <c r="H10126" t="s">
        <v>21</v>
      </c>
      <c r="I10126" t="s">
        <v>19574</v>
      </c>
      <c r="J10126" t="str">
        <f>HYPERLINK("https://www.boe.es/gazeta/dias/1821/04/01/pdfs/GMD-1821-93.pdf#page=8","Abrir facsímil")</f>
        <v>Abrir facsímil</v>
      </c>
      <c r="K10126" t="s">
        <v>23</v>
      </c>
    </row>
    <row r="10127" spans="1:11" ht="42" customHeight="1">
      <c r="A10127" t="s">
        <v>19563</v>
      </c>
      <c r="B10127" t="s">
        <v>19564</v>
      </c>
      <c r="C10127" t="s">
        <v>17</v>
      </c>
      <c r="D10127" t="s">
        <v>18</v>
      </c>
      <c r="E10127" s="6">
        <v>-28743</v>
      </c>
      <c r="F10127" t="s">
        <v>51</v>
      </c>
      <c r="G10127" t="s">
        <v>88</v>
      </c>
      <c r="H10127" t="s">
        <v>21</v>
      </c>
      <c r="I10127" t="s">
        <v>19575</v>
      </c>
      <c r="J10127" t="str">
        <f>HYPERLINK("https://www.boe.es/gazeta/dias/1821/04/20/pdfs/GMD-1821-112.pdf#page=4","Abrir facsímil")</f>
        <v>Abrir facsímil</v>
      </c>
      <c r="K10127" t="s">
        <v>23</v>
      </c>
    </row>
    <row r="10128" spans="1:11" ht="42" customHeight="1">
      <c r="A10128" t="s">
        <v>19563</v>
      </c>
      <c r="B10128" t="s">
        <v>19564</v>
      </c>
      <c r="C10128" t="s">
        <v>17</v>
      </c>
      <c r="D10128" t="s">
        <v>18</v>
      </c>
      <c r="E10128" s="6">
        <v>-28738</v>
      </c>
      <c r="F10128" t="s">
        <v>359</v>
      </c>
      <c r="G10128" t="s">
        <v>88</v>
      </c>
      <c r="H10128" t="s">
        <v>21</v>
      </c>
      <c r="I10128" t="s">
        <v>19576</v>
      </c>
      <c r="J10128" t="str">
        <f>HYPERLINK("https://www.boe.es/gazeta/dias/1821/04/25/pdfs/GMD-1821-117.pdf#page=4","Abrir facsímil")</f>
        <v>Abrir facsímil</v>
      </c>
      <c r="K10128" t="s">
        <v>23</v>
      </c>
    </row>
    <row r="10129" spans="1:11" ht="42" customHeight="1">
      <c r="A10129" t="s">
        <v>19563</v>
      </c>
      <c r="B10129" t="s">
        <v>19564</v>
      </c>
      <c r="C10129" t="s">
        <v>17</v>
      </c>
      <c r="D10129" t="s">
        <v>18</v>
      </c>
      <c r="E10129" s="6">
        <v>-28682</v>
      </c>
      <c r="F10129" t="s">
        <v>1064</v>
      </c>
      <c r="G10129" t="s">
        <v>29</v>
      </c>
      <c r="H10129" t="s">
        <v>21</v>
      </c>
      <c r="I10129" t="s">
        <v>19577</v>
      </c>
      <c r="J10129" t="str">
        <f>HYPERLINK("https://www.boe.es/gazeta/dias/1821/06/20/pdfs/GMD-1821-173.pdf#page=6","Abrir facsímil")</f>
        <v>Abrir facsímil</v>
      </c>
      <c r="K10129" t="s">
        <v>23</v>
      </c>
    </row>
    <row r="10130" spans="1:11" ht="42" customHeight="1">
      <c r="A10130" t="s">
        <v>19563</v>
      </c>
      <c r="B10130" t="s">
        <v>19564</v>
      </c>
      <c r="C10130" t="s">
        <v>40</v>
      </c>
      <c r="D10130" t="s">
        <v>41</v>
      </c>
      <c r="E10130" s="6">
        <v>-28680</v>
      </c>
      <c r="F10130" t="s">
        <v>531</v>
      </c>
      <c r="G10130" t="s">
        <v>88</v>
      </c>
      <c r="H10130" t="s">
        <v>21</v>
      </c>
      <c r="I10130" t="s">
        <v>19578</v>
      </c>
      <c r="J10130" t="str">
        <f>HYPERLINK("https://www.boe.es/gazeta/dias/1821/06/22/pdfs/GMD-1821-175.pdf#page=4","Abrir facsímil")</f>
        <v>Abrir facsímil</v>
      </c>
      <c r="K10130" t="s">
        <v>23</v>
      </c>
    </row>
    <row r="10131" spans="1:11" ht="42" customHeight="1">
      <c r="A10131" t="s">
        <v>19563</v>
      </c>
      <c r="B10131" t="s">
        <v>19564</v>
      </c>
      <c r="C10131" t="s">
        <v>17</v>
      </c>
      <c r="D10131" t="s">
        <v>18</v>
      </c>
      <c r="E10131" s="6">
        <v>-28660</v>
      </c>
      <c r="F10131" t="s">
        <v>7202</v>
      </c>
      <c r="G10131" t="s">
        <v>88</v>
      </c>
      <c r="H10131" t="s">
        <v>21</v>
      </c>
      <c r="I10131" t="s">
        <v>19579</v>
      </c>
      <c r="J10131" t="str">
        <f>HYPERLINK("https://www.boe.es/gazeta/dias/1821/07/12/pdfs/GMD-1821-197.pdf#page=4","Abrir facsímil")</f>
        <v>Abrir facsímil</v>
      </c>
      <c r="K10131" t="s">
        <v>23</v>
      </c>
    </row>
    <row r="10132" spans="1:11" ht="42" customHeight="1">
      <c r="A10132" t="s">
        <v>19563</v>
      </c>
      <c r="B10132" t="s">
        <v>19564</v>
      </c>
      <c r="C10132" t="s">
        <v>17</v>
      </c>
      <c r="D10132" t="s">
        <v>18</v>
      </c>
      <c r="E10132" s="6">
        <v>-28647</v>
      </c>
      <c r="F10132" t="s">
        <v>1295</v>
      </c>
      <c r="G10132" t="s">
        <v>88</v>
      </c>
      <c r="H10132" t="s">
        <v>21</v>
      </c>
      <c r="I10132" t="s">
        <v>19580</v>
      </c>
      <c r="J10132" t="str">
        <f>HYPERLINK("https://www.boe.es/gazeta/dias/1821/07/25/pdfs/GMD-1821-210.pdf#page=4","Abrir facsímil")</f>
        <v>Abrir facsímil</v>
      </c>
      <c r="K10132" t="s">
        <v>23</v>
      </c>
    </row>
    <row r="10133" spans="1:11" ht="42" customHeight="1">
      <c r="A10133" t="s">
        <v>19563</v>
      </c>
      <c r="B10133" t="s">
        <v>19564</v>
      </c>
      <c r="C10133" t="s">
        <v>17</v>
      </c>
      <c r="D10133" t="s">
        <v>18</v>
      </c>
      <c r="E10133" s="6">
        <v>-28646</v>
      </c>
      <c r="F10133" t="s">
        <v>1457</v>
      </c>
      <c r="G10133" t="s">
        <v>79</v>
      </c>
      <c r="H10133" t="s">
        <v>21</v>
      </c>
      <c r="I10133" t="s">
        <v>19581</v>
      </c>
      <c r="J10133" t="str">
        <f>HYPERLINK("https://www.boe.es/gazeta/dias/1821/07/26/pdfs/GMD-1821-211.pdf#page=4","Abrir facsímil")</f>
        <v>Abrir facsímil</v>
      </c>
      <c r="K10133" t="s">
        <v>23</v>
      </c>
    </row>
    <row r="10134" spans="1:11" ht="42" customHeight="1">
      <c r="A10134" t="s">
        <v>19563</v>
      </c>
      <c r="B10134" t="s">
        <v>19564</v>
      </c>
      <c r="C10134" t="s">
        <v>17</v>
      </c>
      <c r="D10134" t="s">
        <v>18</v>
      </c>
      <c r="E10134" s="6">
        <v>-28640</v>
      </c>
      <c r="F10134" t="s">
        <v>1590</v>
      </c>
      <c r="G10134" t="s">
        <v>29</v>
      </c>
      <c r="H10134" t="s">
        <v>21</v>
      </c>
      <c r="I10134" t="s">
        <v>19582</v>
      </c>
      <c r="J10134" t="str">
        <f>HYPERLINK("https://www.boe.es/gazeta/dias/1821/08/01/pdfs/GMD-1821-217.pdf#page=6","Abrir facsímil")</f>
        <v>Abrir facsímil</v>
      </c>
      <c r="K10134" t="s">
        <v>23</v>
      </c>
    </row>
    <row r="10135" spans="1:11" ht="42" customHeight="1">
      <c r="A10135" t="s">
        <v>19563</v>
      </c>
      <c r="B10135" t="s">
        <v>19564</v>
      </c>
      <c r="C10135" t="s">
        <v>17</v>
      </c>
      <c r="D10135" t="s">
        <v>18</v>
      </c>
      <c r="E10135" s="6">
        <v>-28615</v>
      </c>
      <c r="F10135" t="s">
        <v>427</v>
      </c>
      <c r="G10135" t="s">
        <v>88</v>
      </c>
      <c r="H10135" t="s">
        <v>21</v>
      </c>
      <c r="I10135" t="s">
        <v>19583</v>
      </c>
      <c r="J10135" t="str">
        <f>HYPERLINK("https://www.boe.es/gazeta/dias/1821/08/26/pdfs/GMD-1821-243.pdf#page=4","Abrir facsímil")</f>
        <v>Abrir facsímil</v>
      </c>
      <c r="K10135" t="s">
        <v>23</v>
      </c>
    </row>
    <row r="10136" spans="1:11" ht="42" customHeight="1">
      <c r="A10136" t="s">
        <v>19563</v>
      </c>
      <c r="B10136" t="s">
        <v>19564</v>
      </c>
      <c r="C10136" t="s">
        <v>17</v>
      </c>
      <c r="D10136" t="s">
        <v>18</v>
      </c>
      <c r="E10136" s="6">
        <v>-28595</v>
      </c>
      <c r="F10136" t="s">
        <v>1621</v>
      </c>
      <c r="G10136" t="s">
        <v>88</v>
      </c>
      <c r="H10136" t="s">
        <v>21</v>
      </c>
      <c r="I10136" t="s">
        <v>19584</v>
      </c>
      <c r="J10136" t="str">
        <f>HYPERLINK("https://www.boe.es/gazeta/dias/1821/09/15/pdfs/GMD-1821-263.pdf#page=4","Abrir facsímil")</f>
        <v>Abrir facsímil</v>
      </c>
      <c r="K10136" t="s">
        <v>23</v>
      </c>
    </row>
    <row r="10137" spans="1:11" ht="42" customHeight="1">
      <c r="A10137" t="s">
        <v>19563</v>
      </c>
      <c r="B10137" t="s">
        <v>19564</v>
      </c>
      <c r="C10137" t="s">
        <v>40</v>
      </c>
      <c r="D10137" t="s">
        <v>41</v>
      </c>
      <c r="E10137" s="6">
        <v>-28565</v>
      </c>
      <c r="F10137" t="s">
        <v>326</v>
      </c>
      <c r="G10137" t="s">
        <v>29</v>
      </c>
      <c r="H10137" t="s">
        <v>21</v>
      </c>
      <c r="I10137" t="s">
        <v>19585</v>
      </c>
      <c r="J10137" t="str">
        <f>HYPERLINK("https://www.boe.es/gazeta/dias/1821/10/15/pdfs/GMD-1821-294.pdf#page=6","Abrir facsímil")</f>
        <v>Abrir facsímil</v>
      </c>
      <c r="K10137" t="s">
        <v>23</v>
      </c>
    </row>
    <row r="10138" spans="1:11" ht="42" customHeight="1">
      <c r="A10138" t="s">
        <v>19563</v>
      </c>
      <c r="B10138" t="s">
        <v>19564</v>
      </c>
      <c r="C10138" t="s">
        <v>17</v>
      </c>
      <c r="D10138" t="s">
        <v>18</v>
      </c>
      <c r="E10138" s="6">
        <v>-28559</v>
      </c>
      <c r="F10138" t="s">
        <v>1078</v>
      </c>
      <c r="G10138" t="s">
        <v>29</v>
      </c>
      <c r="H10138" t="s">
        <v>21</v>
      </c>
      <c r="I10138" t="s">
        <v>19586</v>
      </c>
      <c r="J10138" t="str">
        <f>HYPERLINK("https://www.boe.es/gazeta/dias/1821/10/21/pdfs/GMD-1821-300.pdf#page=6","Abrir facsímil")</f>
        <v>Abrir facsímil</v>
      </c>
      <c r="K10138" t="s">
        <v>23</v>
      </c>
    </row>
    <row r="10139" spans="1:11" ht="42" customHeight="1">
      <c r="A10139" t="s">
        <v>19563</v>
      </c>
      <c r="B10139" t="s">
        <v>19564</v>
      </c>
      <c r="C10139" t="s">
        <v>35</v>
      </c>
      <c r="D10139" t="s">
        <v>27</v>
      </c>
      <c r="E10139" s="6">
        <v>-28556</v>
      </c>
      <c r="F10139" t="s">
        <v>264</v>
      </c>
      <c r="G10139" t="s">
        <v>162</v>
      </c>
      <c r="H10139" t="s">
        <v>21</v>
      </c>
      <c r="I10139" t="s">
        <v>19587</v>
      </c>
      <c r="J10139" t="str">
        <f>HYPERLINK("https://www.boe.es/gazeta/dias/1821/10/24/pdfs/GMD-1821-303.pdf#page=5","Abrir facsímil")</f>
        <v>Abrir facsímil</v>
      </c>
      <c r="K10139" t="s">
        <v>23</v>
      </c>
    </row>
    <row r="10140" spans="1:11" ht="42" customHeight="1">
      <c r="A10140" t="s">
        <v>19563</v>
      </c>
      <c r="B10140" t="s">
        <v>19564</v>
      </c>
      <c r="C10140" t="s">
        <v>17</v>
      </c>
      <c r="D10140" t="s">
        <v>18</v>
      </c>
      <c r="E10140" s="6">
        <v>-28525</v>
      </c>
      <c r="F10140" t="s">
        <v>186</v>
      </c>
      <c r="G10140" t="s">
        <v>88</v>
      </c>
      <c r="H10140" t="s">
        <v>21</v>
      </c>
      <c r="I10140" t="s">
        <v>19588</v>
      </c>
      <c r="J10140" t="str">
        <f>HYPERLINK("https://www.boe.es/gazeta/dias/1821/11/24/pdfs/GMD-1821-335.pdf#page=4","Abrir facsímil")</f>
        <v>Abrir facsímil</v>
      </c>
      <c r="K10140" t="s">
        <v>23</v>
      </c>
    </row>
    <row r="10141" spans="1:11" ht="42" customHeight="1">
      <c r="A10141" t="s">
        <v>19563</v>
      </c>
      <c r="B10141" t="s">
        <v>19564</v>
      </c>
      <c r="C10141" t="s">
        <v>17</v>
      </c>
      <c r="D10141" t="s">
        <v>18</v>
      </c>
      <c r="E10141" s="6">
        <v>-28515</v>
      </c>
      <c r="F10141" t="s">
        <v>260</v>
      </c>
      <c r="G10141" t="s">
        <v>333</v>
      </c>
      <c r="H10141" t="s">
        <v>21</v>
      </c>
      <c r="I10141" t="s">
        <v>19589</v>
      </c>
      <c r="J10141" t="str">
        <f>HYPERLINK("https://www.boe.es/gazeta/dias/1821/12/04/pdfs/GMD-1821-346.pdf#page=8","Abrir facsímil")</f>
        <v>Abrir facsímil</v>
      </c>
      <c r="K10141" t="s">
        <v>23</v>
      </c>
    </row>
    <row r="10142" spans="1:11" ht="42" customHeight="1">
      <c r="A10142" t="s">
        <v>19590</v>
      </c>
      <c r="B10142" t="s">
        <v>19591</v>
      </c>
      <c r="C10142" t="s">
        <v>17</v>
      </c>
      <c r="D10142" t="s">
        <v>18</v>
      </c>
      <c r="E10142" s="6">
        <v>-28762</v>
      </c>
      <c r="F10142" t="s">
        <v>608</v>
      </c>
      <c r="G10142" t="s">
        <v>333</v>
      </c>
      <c r="H10142" t="s">
        <v>30</v>
      </c>
      <c r="I10142" t="s">
        <v>19592</v>
      </c>
      <c r="J10142" t="str">
        <f>HYPERLINK("https://www.boe.es/gazeta/dias/1821/04/01/pdfs/GMD-1821-93.pdf#page=8","Abrir facsímil")</f>
        <v>Abrir facsímil</v>
      </c>
      <c r="K10142" t="s">
        <v>32</v>
      </c>
    </row>
    <row r="10143" spans="1:11" ht="42" customHeight="1">
      <c r="A10143" t="s">
        <v>19593</v>
      </c>
      <c r="B10143" t="s">
        <v>19594</v>
      </c>
      <c r="C10143" t="s">
        <v>35</v>
      </c>
      <c r="D10143" t="s">
        <v>27</v>
      </c>
      <c r="E10143" s="6">
        <v>-28536</v>
      </c>
      <c r="F10143" t="s">
        <v>553</v>
      </c>
      <c r="G10143" t="s">
        <v>52</v>
      </c>
      <c r="H10143" t="s">
        <v>21</v>
      </c>
      <c r="I10143" t="s">
        <v>19595</v>
      </c>
      <c r="J10143" t="str">
        <f>HYPERLINK("https://www.boe.es/gazeta/dias/1821/11/13/pdfs/GMD-1821-324.pdf#page=2","Abrir facsímil")</f>
        <v>Abrir facsímil</v>
      </c>
      <c r="K10143" t="s">
        <v>23</v>
      </c>
    </row>
    <row r="10144" spans="1:11" ht="42" customHeight="1">
      <c r="A10144" t="s">
        <v>19596</v>
      </c>
      <c r="B10144" t="s">
        <v>19597</v>
      </c>
      <c r="C10144" t="s">
        <v>17</v>
      </c>
      <c r="D10144" t="s">
        <v>18</v>
      </c>
      <c r="E10144" s="6">
        <v>-28739</v>
      </c>
      <c r="F10144" t="s">
        <v>1024</v>
      </c>
      <c r="G10144" t="s">
        <v>52</v>
      </c>
      <c r="H10144" t="s">
        <v>21</v>
      </c>
      <c r="I10144" t="s">
        <v>19598</v>
      </c>
      <c r="J10144" t="str">
        <f>HYPERLINK("https://www.boe.es/gazeta/dias/1821/04/24/pdfs/GMD-1821-116.pdf#page=2","Abrir facsímil")</f>
        <v>Abrir facsímil</v>
      </c>
      <c r="K10144" t="s">
        <v>23</v>
      </c>
    </row>
    <row r="10145" spans="1:11" ht="42" customHeight="1">
      <c r="A10145" t="s">
        <v>19599</v>
      </c>
      <c r="B10145" t="s">
        <v>19600</v>
      </c>
      <c r="C10145" t="s">
        <v>17</v>
      </c>
      <c r="D10145" t="s">
        <v>18</v>
      </c>
      <c r="E10145" s="6">
        <v>-28685</v>
      </c>
      <c r="F10145" t="s">
        <v>303</v>
      </c>
      <c r="G10145" t="s">
        <v>1507</v>
      </c>
      <c r="H10145" t="s">
        <v>21</v>
      </c>
      <c r="I10145" t="s">
        <v>19601</v>
      </c>
      <c r="J10145" t="str">
        <f>HYPERLINK("https://www.boe.es/gazeta/dias/1821/06/17/pdfs/GMD-1821-170.pdf#page=6","Abrir facsímil")</f>
        <v>Abrir facsímil</v>
      </c>
      <c r="K10145" t="s">
        <v>23</v>
      </c>
    </row>
    <row r="10146" spans="1:11" ht="42" customHeight="1">
      <c r="A10146" t="s">
        <v>19602</v>
      </c>
      <c r="B10146" t="s">
        <v>19603</v>
      </c>
      <c r="C10146" t="s">
        <v>17</v>
      </c>
      <c r="D10146" t="s">
        <v>18</v>
      </c>
      <c r="E10146" s="6">
        <v>-28788</v>
      </c>
      <c r="F10146" t="s">
        <v>996</v>
      </c>
      <c r="G10146" t="s">
        <v>88</v>
      </c>
      <c r="H10146" t="s">
        <v>21</v>
      </c>
      <c r="I10146" t="s">
        <v>19604</v>
      </c>
      <c r="J10146" t="str">
        <f>HYPERLINK("https://www.boe.es/gazeta/dias/1821/03/06/pdfs/GGB-1821-65.pdf#page=4","Abrir facsímil")</f>
        <v>Abrir facsímil</v>
      </c>
      <c r="K10146" t="s">
        <v>23</v>
      </c>
    </row>
    <row r="10147" spans="1:11" ht="42" customHeight="1">
      <c r="A10147" t="s">
        <v>19605</v>
      </c>
      <c r="B10147" t="s">
        <v>19605</v>
      </c>
      <c r="C10147" t="s">
        <v>40</v>
      </c>
      <c r="D10147" t="s">
        <v>41</v>
      </c>
      <c r="E10147" s="6">
        <v>-28674</v>
      </c>
      <c r="F10147" t="s">
        <v>536</v>
      </c>
      <c r="G10147" t="s">
        <v>537</v>
      </c>
      <c r="H10147" t="s">
        <v>21</v>
      </c>
      <c r="I10147" t="s">
        <v>19606</v>
      </c>
      <c r="J10147" t="str">
        <f>HYPERLINK("https://www.boe.es/gazeta/dias/1821/06/28/pdfs/GMD-1821-181.pdf#page=2","Abrir facsímil")</f>
        <v>Abrir facsímil</v>
      </c>
      <c r="K10147" t="s">
        <v>23</v>
      </c>
    </row>
    <row r="10148" spans="1:11" ht="42" customHeight="1">
      <c r="A10148" t="s">
        <v>19607</v>
      </c>
      <c r="B10148" t="s">
        <v>19608</v>
      </c>
      <c r="C10148" t="s">
        <v>35</v>
      </c>
      <c r="D10148" t="s">
        <v>27</v>
      </c>
      <c r="E10148" s="6">
        <v>-28675</v>
      </c>
      <c r="F10148" t="s">
        <v>943</v>
      </c>
      <c r="G10148" t="s">
        <v>333</v>
      </c>
      <c r="H10148" t="s">
        <v>21</v>
      </c>
      <c r="I10148" t="s">
        <v>19609</v>
      </c>
      <c r="J10148" t="str">
        <f>HYPERLINK("https://www.boe.es/gazeta/dias/1821/06/27/pdfs/GMD-1821-180.pdf#page=8","Abrir facsímil")</f>
        <v>Abrir facsímil</v>
      </c>
      <c r="K10148" t="s">
        <v>23</v>
      </c>
    </row>
    <row r="10149" spans="1:11" ht="42" customHeight="1">
      <c r="A10149" t="s">
        <v>19610</v>
      </c>
      <c r="B10149" t="s">
        <v>19610</v>
      </c>
      <c r="C10149" t="s">
        <v>26</v>
      </c>
      <c r="D10149" t="s">
        <v>27</v>
      </c>
      <c r="E10149" s="6">
        <v>-28722</v>
      </c>
      <c r="F10149" t="s">
        <v>623</v>
      </c>
      <c r="G10149" t="s">
        <v>20</v>
      </c>
      <c r="H10149" t="s">
        <v>21</v>
      </c>
      <c r="I10149" t="s">
        <v>19611</v>
      </c>
      <c r="J10149" t="str">
        <f>HYPERLINK("https://www.boe.es/gazeta/dias/1821/05/11/pdfs/GMD-1821-133.pdf#page=3","Abrir facsímil")</f>
        <v>Abrir facsímil</v>
      </c>
      <c r="K10149" t="s">
        <v>23</v>
      </c>
    </row>
    <row r="10150" spans="1:11" ht="42" customHeight="1">
      <c r="A10150" t="s">
        <v>19610</v>
      </c>
      <c r="B10150" t="s">
        <v>19610</v>
      </c>
      <c r="C10150" t="s">
        <v>17</v>
      </c>
      <c r="D10150" t="s">
        <v>18</v>
      </c>
      <c r="E10150" s="6">
        <v>-28501</v>
      </c>
      <c r="F10150" t="s">
        <v>456</v>
      </c>
      <c r="G10150" t="s">
        <v>1253</v>
      </c>
      <c r="H10150" t="s">
        <v>21</v>
      </c>
      <c r="I10150" t="s">
        <v>19612</v>
      </c>
      <c r="J10150" t="str">
        <f>HYPERLINK("https://www.boe.es/gazeta/dias/1821/12/18/pdfs/GMD-1821-361.pdf#page=6","Abrir facsímil")</f>
        <v>Abrir facsímil</v>
      </c>
      <c r="K10150" t="s">
        <v>23</v>
      </c>
    </row>
    <row r="10151" spans="1:11" ht="42" customHeight="1">
      <c r="A10151" t="s">
        <v>19613</v>
      </c>
      <c r="B10151" t="s">
        <v>19614</v>
      </c>
      <c r="C10151" t="s">
        <v>17</v>
      </c>
      <c r="D10151" t="s">
        <v>18</v>
      </c>
      <c r="E10151" s="6">
        <v>-28749</v>
      </c>
      <c r="F10151" t="s">
        <v>832</v>
      </c>
      <c r="G10151" t="s">
        <v>52</v>
      </c>
      <c r="H10151" t="s">
        <v>21</v>
      </c>
      <c r="I10151" t="s">
        <v>19615</v>
      </c>
      <c r="J10151" t="str">
        <f>HYPERLINK("https://www.boe.es/gazeta/dias/1821/04/14/pdfs/GMD-1821-106.pdf#page=2","Abrir facsímil")</f>
        <v>Abrir facsímil</v>
      </c>
      <c r="K10151" t="s">
        <v>23</v>
      </c>
    </row>
    <row r="10152" spans="1:11" ht="42" customHeight="1">
      <c r="A10152" t="s">
        <v>19616</v>
      </c>
      <c r="B10152" t="s">
        <v>19617</v>
      </c>
      <c r="C10152" t="s">
        <v>40</v>
      </c>
      <c r="D10152" t="s">
        <v>41</v>
      </c>
      <c r="E10152" s="6">
        <v>-28631</v>
      </c>
      <c r="F10152" t="s">
        <v>751</v>
      </c>
      <c r="G10152" t="s">
        <v>88</v>
      </c>
      <c r="H10152" t="s">
        <v>21</v>
      </c>
      <c r="I10152" t="s">
        <v>19618</v>
      </c>
      <c r="J10152" t="str">
        <f>HYPERLINK("https://www.boe.es/gazeta/dias/1821/08/10/pdfs/GMD-1821-227.pdf#page=4","Abrir facsímil")</f>
        <v>Abrir facsímil</v>
      </c>
      <c r="K10152" t="s">
        <v>23</v>
      </c>
    </row>
    <row r="10153" spans="1:11" ht="42" customHeight="1">
      <c r="A10153" t="s">
        <v>19619</v>
      </c>
      <c r="B10153" t="s">
        <v>19619</v>
      </c>
      <c r="C10153" t="s">
        <v>35</v>
      </c>
      <c r="D10153" t="s">
        <v>27</v>
      </c>
      <c r="E10153" s="6">
        <v>-28719</v>
      </c>
      <c r="F10153" t="s">
        <v>647</v>
      </c>
      <c r="G10153" t="s">
        <v>20</v>
      </c>
      <c r="H10153" t="s">
        <v>21</v>
      </c>
      <c r="I10153" t="s">
        <v>19620</v>
      </c>
      <c r="J10153" t="str">
        <f>HYPERLINK("https://www.boe.es/gazeta/dias/1821/05/14/pdfs/GMD-1821-136.pdf#page=3","Abrir facsímil")</f>
        <v>Abrir facsímil</v>
      </c>
      <c r="K10153" t="s">
        <v>23</v>
      </c>
    </row>
    <row r="10154" spans="1:11" ht="42" customHeight="1">
      <c r="A10154" t="s">
        <v>19621</v>
      </c>
      <c r="B10154" t="s">
        <v>19621</v>
      </c>
      <c r="C10154" t="s">
        <v>35</v>
      </c>
      <c r="D10154" t="s">
        <v>27</v>
      </c>
      <c r="E10154" s="6">
        <v>-28783</v>
      </c>
      <c r="F10154" t="s">
        <v>198</v>
      </c>
      <c r="G10154" t="s">
        <v>88</v>
      </c>
      <c r="H10154" t="s">
        <v>21</v>
      </c>
      <c r="I10154" t="s">
        <v>19622</v>
      </c>
      <c r="J10154" t="str">
        <f>HYPERLINK("https://www.boe.es/gazeta/dias/1821/03/11/pdfs/GGB-1821-70.pdf#page=4","Abrir facsímil")</f>
        <v>Abrir facsímil</v>
      </c>
      <c r="K10154" t="s">
        <v>23</v>
      </c>
    </row>
    <row r="10155" spans="1:11" ht="42" customHeight="1">
      <c r="A10155" t="s">
        <v>19623</v>
      </c>
      <c r="B10155" t="s">
        <v>19623</v>
      </c>
      <c r="C10155" t="s">
        <v>17</v>
      </c>
      <c r="D10155" t="s">
        <v>18</v>
      </c>
      <c r="E10155" s="6">
        <v>-28779</v>
      </c>
      <c r="F10155" t="s">
        <v>1002</v>
      </c>
      <c r="G10155" t="s">
        <v>43</v>
      </c>
      <c r="H10155" t="s">
        <v>21</v>
      </c>
      <c r="I10155" t="s">
        <v>19624</v>
      </c>
      <c r="J10155" t="str">
        <f>HYPERLINK("https://www.boe.es/gazeta/dias/1821/03/15/pdfs/GMD-1821-74.pdf#page=1","Abrir facsímil")</f>
        <v>Abrir facsímil</v>
      </c>
      <c r="K10155" t="s">
        <v>23</v>
      </c>
    </row>
    <row r="10156" spans="1:11" ht="42" customHeight="1">
      <c r="A10156" t="s">
        <v>19621</v>
      </c>
      <c r="B10156" t="s">
        <v>19621</v>
      </c>
      <c r="C10156" t="s">
        <v>40</v>
      </c>
      <c r="D10156" t="s">
        <v>41</v>
      </c>
      <c r="E10156" s="6">
        <v>-28779</v>
      </c>
      <c r="F10156" t="s">
        <v>1002</v>
      </c>
      <c r="G10156" t="s">
        <v>20</v>
      </c>
      <c r="H10156" t="s">
        <v>21</v>
      </c>
      <c r="I10156" t="s">
        <v>19625</v>
      </c>
      <c r="J10156" t="str">
        <f>HYPERLINK("https://www.boe.es/gazeta/dias/1821/03/15/pdfs/GMD-1821-74.pdf#page=3","Abrir facsímil")</f>
        <v>Abrir facsímil</v>
      </c>
      <c r="K10156" t="s">
        <v>23</v>
      </c>
    </row>
    <row r="10157" spans="1:11" ht="42" customHeight="1">
      <c r="A10157" t="s">
        <v>19621</v>
      </c>
      <c r="B10157" t="s">
        <v>19621</v>
      </c>
      <c r="C10157" t="s">
        <v>17</v>
      </c>
      <c r="D10157" t="s">
        <v>18</v>
      </c>
      <c r="E10157" s="6">
        <v>-28772</v>
      </c>
      <c r="F10157" t="s">
        <v>62</v>
      </c>
      <c r="G10157" t="s">
        <v>20</v>
      </c>
      <c r="H10157" t="s">
        <v>21</v>
      </c>
      <c r="I10157" t="s">
        <v>19626</v>
      </c>
      <c r="J10157" t="str">
        <f>HYPERLINK("https://www.boe.es/gazeta/dias/1821/03/22/pdfs/GMD-1821-81.pdf#page=3","Abrir facsímil")</f>
        <v>Abrir facsímil</v>
      </c>
      <c r="K10157" t="s">
        <v>23</v>
      </c>
    </row>
    <row r="10158" spans="1:11" ht="42" customHeight="1">
      <c r="A10158" t="s">
        <v>19621</v>
      </c>
      <c r="B10158" t="s">
        <v>19621</v>
      </c>
      <c r="C10158" t="s">
        <v>40</v>
      </c>
      <c r="D10158" t="s">
        <v>41</v>
      </c>
      <c r="E10158" s="6">
        <v>-28762</v>
      </c>
      <c r="F10158" t="s">
        <v>608</v>
      </c>
      <c r="G10158" t="s">
        <v>162</v>
      </c>
      <c r="H10158" t="s">
        <v>21</v>
      </c>
      <c r="I10158" t="s">
        <v>19627</v>
      </c>
      <c r="J10158" t="str">
        <f>HYPERLINK("https://www.boe.es/gazeta/dias/1821/04/01/pdfs/GMD-1821-93.pdf#page=5","Abrir facsímil")</f>
        <v>Abrir facsímil</v>
      </c>
      <c r="K10158" t="s">
        <v>23</v>
      </c>
    </row>
    <row r="10159" spans="1:11" ht="42" customHeight="1">
      <c r="A10159" t="s">
        <v>19621</v>
      </c>
      <c r="B10159" t="s">
        <v>19621</v>
      </c>
      <c r="C10159" t="s">
        <v>17</v>
      </c>
      <c r="D10159" t="s">
        <v>18</v>
      </c>
      <c r="E10159" s="6">
        <v>-28752</v>
      </c>
      <c r="F10159" t="s">
        <v>1012</v>
      </c>
      <c r="G10159" t="s">
        <v>52</v>
      </c>
      <c r="H10159" t="s">
        <v>21</v>
      </c>
      <c r="I10159" t="s">
        <v>19628</v>
      </c>
      <c r="J10159" t="str">
        <f>HYPERLINK("https://www.boe.es/gazeta/dias/1821/04/11/pdfs/GMD-1821-103.pdf#page=2","Abrir facsímil")</f>
        <v>Abrir facsímil</v>
      </c>
      <c r="K10159" t="s">
        <v>23</v>
      </c>
    </row>
    <row r="10160" spans="1:11" ht="42" customHeight="1">
      <c r="A10160" t="s">
        <v>19621</v>
      </c>
      <c r="B10160" t="s">
        <v>19621</v>
      </c>
      <c r="C10160" t="s">
        <v>35</v>
      </c>
      <c r="D10160" t="s">
        <v>27</v>
      </c>
      <c r="E10160" s="6">
        <v>-28738</v>
      </c>
      <c r="F10160" t="s">
        <v>359</v>
      </c>
      <c r="G10160" t="s">
        <v>20</v>
      </c>
      <c r="H10160" t="s">
        <v>21</v>
      </c>
      <c r="I10160" t="s">
        <v>19629</v>
      </c>
      <c r="J10160" t="str">
        <f>HYPERLINK("https://www.boe.es/gazeta/dias/1821/04/25/pdfs/GMD-1821-117.pdf#page=3","Abrir facsímil")</f>
        <v>Abrir facsímil</v>
      </c>
      <c r="K10160" t="s">
        <v>23</v>
      </c>
    </row>
    <row r="10161" spans="1:11" ht="42" customHeight="1">
      <c r="A10161" t="s">
        <v>19621</v>
      </c>
      <c r="B10161" t="s">
        <v>19621</v>
      </c>
      <c r="C10161" t="s">
        <v>40</v>
      </c>
      <c r="D10161" t="s">
        <v>41</v>
      </c>
      <c r="E10161" s="6">
        <v>-28720</v>
      </c>
      <c r="F10161" t="s">
        <v>492</v>
      </c>
      <c r="G10161" t="s">
        <v>88</v>
      </c>
      <c r="H10161" t="s">
        <v>21</v>
      </c>
      <c r="I10161" t="s">
        <v>19630</v>
      </c>
      <c r="J10161" t="str">
        <f>HYPERLINK("https://www.boe.es/gazeta/dias/1821/05/13/pdfs/GMD-1821-135.pdf#page=4","Abrir facsímil")</f>
        <v>Abrir facsímil</v>
      </c>
      <c r="K10161" t="s">
        <v>23</v>
      </c>
    </row>
    <row r="10162" spans="1:11" ht="42" customHeight="1">
      <c r="A10162" t="s">
        <v>19621</v>
      </c>
      <c r="B10162" t="s">
        <v>19621</v>
      </c>
      <c r="C10162" t="s">
        <v>17</v>
      </c>
      <c r="D10162" t="s">
        <v>18</v>
      </c>
      <c r="E10162" s="6">
        <v>-28708</v>
      </c>
      <c r="F10162" t="s">
        <v>528</v>
      </c>
      <c r="G10162" t="s">
        <v>20</v>
      </c>
      <c r="H10162" t="s">
        <v>21</v>
      </c>
      <c r="I10162" t="s">
        <v>19631</v>
      </c>
      <c r="J10162" t="str">
        <f>HYPERLINK("https://www.boe.es/gazeta/dias/1821/05/25/pdfs/GMD-1821-147.pdf#page=3","Abrir facsímil")</f>
        <v>Abrir facsímil</v>
      </c>
      <c r="K10162" t="s">
        <v>23</v>
      </c>
    </row>
    <row r="10163" spans="1:11" ht="42" customHeight="1">
      <c r="A10163" t="s">
        <v>19621</v>
      </c>
      <c r="B10163" t="s">
        <v>19621</v>
      </c>
      <c r="C10163" t="s">
        <v>26</v>
      </c>
      <c r="D10163" t="s">
        <v>27</v>
      </c>
      <c r="E10163" s="6">
        <v>-28706</v>
      </c>
      <c r="F10163" t="s">
        <v>4791</v>
      </c>
      <c r="G10163" t="s">
        <v>8867</v>
      </c>
      <c r="H10163" t="s">
        <v>21</v>
      </c>
      <c r="I10163" t="s">
        <v>19632</v>
      </c>
      <c r="J10163" t="str">
        <f>HYPERLINK("https://www.boe.es/gazeta/dias/1821/05/27/pdfs/GMD-1821-149.pdf#page=3","Abrir facsímil")</f>
        <v>Abrir facsímil</v>
      </c>
      <c r="K10163" t="s">
        <v>23</v>
      </c>
    </row>
    <row r="10164" spans="1:11" ht="42" customHeight="1">
      <c r="A10164" t="s">
        <v>19621</v>
      </c>
      <c r="B10164" t="s">
        <v>19621</v>
      </c>
      <c r="C10164" t="s">
        <v>40</v>
      </c>
      <c r="D10164" t="s">
        <v>41</v>
      </c>
      <c r="E10164" s="6">
        <v>-28704</v>
      </c>
      <c r="F10164" t="s">
        <v>1050</v>
      </c>
      <c r="G10164" t="s">
        <v>52</v>
      </c>
      <c r="H10164" t="s">
        <v>21</v>
      </c>
      <c r="I10164" t="s">
        <v>19633</v>
      </c>
      <c r="J10164" t="str">
        <f>HYPERLINK("https://www.boe.es/gazeta/dias/1821/05/29/pdfs/GMD-1821-151.pdf#page=2","Abrir facsímil")</f>
        <v>Abrir facsímil</v>
      </c>
      <c r="K10164" t="s">
        <v>23</v>
      </c>
    </row>
    <row r="10165" spans="1:11" ht="42" customHeight="1">
      <c r="A10165" t="s">
        <v>19621</v>
      </c>
      <c r="B10165" t="s">
        <v>19621</v>
      </c>
      <c r="C10165" t="s">
        <v>26</v>
      </c>
      <c r="D10165" t="s">
        <v>27</v>
      </c>
      <c r="E10165" s="6">
        <v>-28701</v>
      </c>
      <c r="F10165" t="s">
        <v>202</v>
      </c>
      <c r="G10165" t="s">
        <v>43</v>
      </c>
      <c r="H10165" t="s">
        <v>21</v>
      </c>
      <c r="I10165" t="s">
        <v>19634</v>
      </c>
      <c r="J10165" t="str">
        <f>HYPERLINK("https://www.boe.es/gazeta/dias/1821/06/01/pdfs/GMD-1821-154.pdf#page=1","Abrir facsímil")</f>
        <v>Abrir facsímil</v>
      </c>
      <c r="K10165" t="s">
        <v>23</v>
      </c>
    </row>
    <row r="10166" spans="1:11" ht="42" customHeight="1">
      <c r="A10166" t="s">
        <v>19621</v>
      </c>
      <c r="B10166" t="s">
        <v>19621</v>
      </c>
      <c r="C10166" t="s">
        <v>17</v>
      </c>
      <c r="D10166" t="s">
        <v>18</v>
      </c>
      <c r="E10166" s="6">
        <v>-28701</v>
      </c>
      <c r="F10166" t="s">
        <v>202</v>
      </c>
      <c r="G10166" t="s">
        <v>52</v>
      </c>
      <c r="H10166" t="s">
        <v>21</v>
      </c>
      <c r="I10166" t="s">
        <v>19635</v>
      </c>
      <c r="J10166" t="str">
        <f>HYPERLINK("https://www.boe.es/gazeta/dias/1821/06/01/pdfs/GMD-1821-154.pdf#page=2","Abrir facsímil")</f>
        <v>Abrir facsímil</v>
      </c>
      <c r="K10166" t="s">
        <v>23</v>
      </c>
    </row>
    <row r="10167" spans="1:11" ht="42" customHeight="1">
      <c r="A10167" t="s">
        <v>19621</v>
      </c>
      <c r="B10167" t="s">
        <v>19621</v>
      </c>
      <c r="C10167" t="s">
        <v>40</v>
      </c>
      <c r="D10167" t="s">
        <v>41</v>
      </c>
      <c r="E10167" s="6">
        <v>-28700</v>
      </c>
      <c r="F10167" t="s">
        <v>701</v>
      </c>
      <c r="G10167" t="s">
        <v>88</v>
      </c>
      <c r="H10167" t="s">
        <v>21</v>
      </c>
      <c r="I10167" t="s">
        <v>19636</v>
      </c>
      <c r="J10167" t="str">
        <f>HYPERLINK("https://www.boe.es/gazeta/dias/1821/06/02/pdfs/GMD-1821-155.pdf#page=4","Abrir facsímil")</f>
        <v>Abrir facsímil</v>
      </c>
      <c r="K10167" t="s">
        <v>23</v>
      </c>
    </row>
    <row r="10168" spans="1:11" ht="42" customHeight="1">
      <c r="A10168" t="s">
        <v>19621</v>
      </c>
      <c r="B10168" t="s">
        <v>19621</v>
      </c>
      <c r="C10168" t="s">
        <v>26</v>
      </c>
      <c r="D10168" t="s">
        <v>27</v>
      </c>
      <c r="E10168" s="6">
        <v>-28693</v>
      </c>
      <c r="F10168" t="s">
        <v>74</v>
      </c>
      <c r="G10168" t="s">
        <v>43</v>
      </c>
      <c r="H10168" t="s">
        <v>21</v>
      </c>
      <c r="I10168" t="s">
        <v>19637</v>
      </c>
      <c r="J10168" t="str">
        <f>HYPERLINK("https://www.boe.es/gazeta/dias/1821/06/09/pdfs/GMD-1821-162.pdf#page=1","Abrir facsímil")</f>
        <v>Abrir facsímil</v>
      </c>
      <c r="K10168" t="s">
        <v>23</v>
      </c>
    </row>
    <row r="10169" spans="1:11" ht="42" customHeight="1">
      <c r="A10169" t="s">
        <v>19621</v>
      </c>
      <c r="B10169" t="s">
        <v>19621</v>
      </c>
      <c r="C10169" t="s">
        <v>17</v>
      </c>
      <c r="D10169" t="s">
        <v>18</v>
      </c>
      <c r="E10169" s="6">
        <v>-28673</v>
      </c>
      <c r="F10169" t="s">
        <v>1069</v>
      </c>
      <c r="G10169" t="s">
        <v>20</v>
      </c>
      <c r="H10169" t="s">
        <v>21</v>
      </c>
      <c r="I10169" t="s">
        <v>19638</v>
      </c>
      <c r="J10169" t="str">
        <f>HYPERLINK("https://www.boe.es/gazeta/dias/1821/06/29/pdfs/GMD-1821-182.pdf#page=3","Abrir facsímil")</f>
        <v>Abrir facsímil</v>
      </c>
      <c r="K10169" t="s">
        <v>23</v>
      </c>
    </row>
    <row r="10170" spans="1:11" ht="42" customHeight="1">
      <c r="A10170" t="s">
        <v>19621</v>
      </c>
      <c r="B10170" t="s">
        <v>19621</v>
      </c>
      <c r="C10170" t="s">
        <v>17</v>
      </c>
      <c r="D10170" t="s">
        <v>18</v>
      </c>
      <c r="E10170" s="6">
        <v>-28579</v>
      </c>
      <c r="F10170" t="s">
        <v>743</v>
      </c>
      <c r="G10170" t="s">
        <v>88</v>
      </c>
      <c r="H10170" t="s">
        <v>21</v>
      </c>
      <c r="I10170" t="s">
        <v>19639</v>
      </c>
      <c r="J10170" t="str">
        <f>HYPERLINK("https://www.boe.es/gazeta/dias/1821/10/01/pdfs/GMD-1821-280.pdf#page=4","Abrir facsímil")</f>
        <v>Abrir facsímil</v>
      </c>
      <c r="K10170" t="s">
        <v>23</v>
      </c>
    </row>
    <row r="10171" spans="1:11" ht="42" customHeight="1">
      <c r="A10171" t="s">
        <v>19621</v>
      </c>
      <c r="B10171" t="s">
        <v>19621</v>
      </c>
      <c r="C10171" t="s">
        <v>114</v>
      </c>
      <c r="D10171" t="s">
        <v>27</v>
      </c>
      <c r="E10171" s="6">
        <v>-28573</v>
      </c>
      <c r="F10171" t="s">
        <v>19</v>
      </c>
      <c r="G10171" t="s">
        <v>52</v>
      </c>
      <c r="H10171" t="s">
        <v>21</v>
      </c>
      <c r="I10171" t="s">
        <v>19640</v>
      </c>
      <c r="J10171" t="str">
        <f>HYPERLINK("https://www.boe.es/gazeta/dias/1821/10/07/pdfs/GMD-1821-286.pdf#page=2","Abrir facsímil")</f>
        <v>Abrir facsímil</v>
      </c>
      <c r="K10171" t="s">
        <v>23</v>
      </c>
    </row>
    <row r="10172" spans="1:11" ht="42" customHeight="1">
      <c r="A10172" t="s">
        <v>19621</v>
      </c>
      <c r="B10172" t="s">
        <v>19621</v>
      </c>
      <c r="C10172" t="s">
        <v>40</v>
      </c>
      <c r="D10172" t="s">
        <v>41</v>
      </c>
      <c r="E10172" s="6">
        <v>-28566</v>
      </c>
      <c r="F10172" t="s">
        <v>1529</v>
      </c>
      <c r="G10172" t="s">
        <v>88</v>
      </c>
      <c r="H10172" t="s">
        <v>21</v>
      </c>
      <c r="I10172" t="s">
        <v>19641</v>
      </c>
      <c r="J10172" t="str">
        <f>HYPERLINK("https://www.boe.es/gazeta/dias/1821/10/14/pdfs/GMD-1821-293.pdf#page=4","Abrir facsímil")</f>
        <v>Abrir facsímil</v>
      </c>
      <c r="K10172" t="s">
        <v>23</v>
      </c>
    </row>
    <row r="10173" spans="1:11" ht="42" customHeight="1">
      <c r="A10173" t="s">
        <v>19621</v>
      </c>
      <c r="B10173" t="s">
        <v>19621</v>
      </c>
      <c r="C10173" t="s">
        <v>26</v>
      </c>
      <c r="D10173" t="s">
        <v>27</v>
      </c>
      <c r="E10173" s="6">
        <v>-28558</v>
      </c>
      <c r="F10173" t="s">
        <v>758</v>
      </c>
      <c r="G10173" t="s">
        <v>20</v>
      </c>
      <c r="H10173" t="s">
        <v>21</v>
      </c>
      <c r="I10173" t="s">
        <v>19642</v>
      </c>
      <c r="J10173" t="str">
        <f>HYPERLINK("https://www.boe.es/gazeta/dias/1821/10/22/pdfs/GMD-1821-301.pdf#page=3","Abrir facsímil")</f>
        <v>Abrir facsímil</v>
      </c>
      <c r="K10173" t="s">
        <v>23</v>
      </c>
    </row>
    <row r="10174" spans="1:11" ht="42" customHeight="1">
      <c r="A10174" t="s">
        <v>19643</v>
      </c>
      <c r="B10174" t="s">
        <v>19643</v>
      </c>
      <c r="C10174" t="s">
        <v>26</v>
      </c>
      <c r="D10174" t="s">
        <v>27</v>
      </c>
      <c r="E10174" s="6">
        <v>-28744</v>
      </c>
      <c r="F10174" t="s">
        <v>834</v>
      </c>
      <c r="G10174" t="s">
        <v>20</v>
      </c>
      <c r="H10174" t="s">
        <v>21</v>
      </c>
      <c r="I10174" t="s">
        <v>19644</v>
      </c>
      <c r="J10174" t="str">
        <f>HYPERLINK("https://www.boe.es/gazeta/dias/1821/04/19/pdfs/GMD-1821-111.pdf#page=3","Abrir facsímil")</f>
        <v>Abrir facsímil</v>
      </c>
      <c r="K10174" t="s">
        <v>23</v>
      </c>
    </row>
    <row r="10175" spans="1:11" ht="42" customHeight="1">
      <c r="A10175" t="s">
        <v>19645</v>
      </c>
      <c r="B10175" t="s">
        <v>19646</v>
      </c>
      <c r="C10175" t="s">
        <v>174</v>
      </c>
      <c r="D10175" t="s">
        <v>27</v>
      </c>
      <c r="E10175" s="6">
        <v>-28654</v>
      </c>
      <c r="F10175" t="s">
        <v>674</v>
      </c>
      <c r="G10175" t="s">
        <v>88</v>
      </c>
      <c r="H10175" t="s">
        <v>21</v>
      </c>
      <c r="I10175" t="s">
        <v>19647</v>
      </c>
      <c r="J10175" t="str">
        <f>HYPERLINK("https://www.boe.es/gazeta/dias/1821/07/18/pdfs/GMD-1821-203.pdf#page=4","Abrir facsímil")</f>
        <v>Abrir facsímil</v>
      </c>
      <c r="K10175" t="s">
        <v>23</v>
      </c>
    </row>
    <row r="10176" spans="1:11" ht="42" customHeight="1">
      <c r="A10176" t="s">
        <v>19648</v>
      </c>
      <c r="B10176" t="s">
        <v>19649</v>
      </c>
      <c r="C10176" t="s">
        <v>26</v>
      </c>
      <c r="D10176" t="s">
        <v>27</v>
      </c>
      <c r="E10176" s="6">
        <v>-28776</v>
      </c>
      <c r="F10176" t="s">
        <v>312</v>
      </c>
      <c r="G10176" t="s">
        <v>162</v>
      </c>
      <c r="H10176" t="s">
        <v>21</v>
      </c>
      <c r="I10176" t="s">
        <v>19650</v>
      </c>
      <c r="J10176" t="str">
        <f>HYPERLINK("https://www.boe.es/gazeta/dias/1821/03/18/pdfs/GMD-1821-77.pdf#page=5","Abrir facsímil")</f>
        <v>Abrir facsímil</v>
      </c>
      <c r="K10176" t="s">
        <v>23</v>
      </c>
    </row>
    <row r="10177" spans="1:11" ht="42" customHeight="1">
      <c r="A10177" t="s">
        <v>19651</v>
      </c>
      <c r="B10177" t="s">
        <v>19652</v>
      </c>
      <c r="C10177" t="s">
        <v>40</v>
      </c>
      <c r="D10177" t="s">
        <v>41</v>
      </c>
      <c r="E10177" s="6">
        <v>-28787</v>
      </c>
      <c r="F10177" t="s">
        <v>486</v>
      </c>
      <c r="G10177" t="s">
        <v>52</v>
      </c>
      <c r="H10177" t="s">
        <v>21</v>
      </c>
      <c r="I10177" t="s">
        <v>19653</v>
      </c>
      <c r="J10177" t="str">
        <f>HYPERLINK("https://www.boe.es/gazeta/dias/1821/03/07/pdfs/GGB-1821-66.pdf#page=2","Abrir facsímil")</f>
        <v>Abrir facsímil</v>
      </c>
      <c r="K10177" t="s">
        <v>23</v>
      </c>
    </row>
    <row r="10178" spans="1:11" ht="42" customHeight="1">
      <c r="A10178" t="s">
        <v>19654</v>
      </c>
      <c r="B10178" t="s">
        <v>19655</v>
      </c>
      <c r="C10178" t="s">
        <v>40</v>
      </c>
      <c r="D10178" t="s">
        <v>41</v>
      </c>
      <c r="E10178" s="6">
        <v>-28780</v>
      </c>
      <c r="F10178" t="s">
        <v>143</v>
      </c>
      <c r="G10178" t="s">
        <v>52</v>
      </c>
      <c r="H10178" t="s">
        <v>21</v>
      </c>
      <c r="I10178" t="s">
        <v>19656</v>
      </c>
      <c r="J10178" t="str">
        <f>HYPERLINK("https://www.boe.es/gazeta/dias/1821/03/14/pdfs/GMD-1821-73.pdf#page=2","Abrir facsímil")</f>
        <v>Abrir facsímil</v>
      </c>
      <c r="K10178" t="s">
        <v>23</v>
      </c>
    </row>
    <row r="10179" spans="1:11" ht="42" customHeight="1">
      <c r="A10179" t="s">
        <v>19657</v>
      </c>
      <c r="B10179" t="s">
        <v>19658</v>
      </c>
      <c r="C10179" t="s">
        <v>40</v>
      </c>
      <c r="D10179" t="s">
        <v>41</v>
      </c>
      <c r="E10179" s="6">
        <v>-28616</v>
      </c>
      <c r="F10179" t="s">
        <v>1912</v>
      </c>
      <c r="G10179" t="s">
        <v>1913</v>
      </c>
      <c r="H10179" t="s">
        <v>21</v>
      </c>
      <c r="I10179" t="s">
        <v>19659</v>
      </c>
      <c r="J10179" t="str">
        <f>HYPERLINK("https://www.boe.es/gazeta/dias/1821/08/25/pdfs/GMD-1821-242.pdf#page=3","Abrir facsímil")</f>
        <v>Abrir facsímil</v>
      </c>
      <c r="K10179" t="s">
        <v>23</v>
      </c>
    </row>
    <row r="10180" spans="1:11" ht="42" customHeight="1">
      <c r="A10180" t="s">
        <v>19660</v>
      </c>
      <c r="B10180" t="s">
        <v>19661</v>
      </c>
      <c r="C10180" t="s">
        <v>26</v>
      </c>
      <c r="D10180" t="s">
        <v>27</v>
      </c>
      <c r="E10180" s="6">
        <v>-28842</v>
      </c>
      <c r="F10180" t="s">
        <v>660</v>
      </c>
      <c r="G10180" t="s">
        <v>88</v>
      </c>
      <c r="H10180" t="s">
        <v>21</v>
      </c>
      <c r="I10180" t="s">
        <v>19662</v>
      </c>
      <c r="J10180" t="str">
        <f>HYPERLINK("https://www.boe.es/gazeta/dias/1821/01/11/pdfs/GGB-1821-11.pdf#page=4","Abrir facsímil")</f>
        <v>Abrir facsímil</v>
      </c>
      <c r="K10180" t="s">
        <v>23</v>
      </c>
    </row>
    <row r="10181" spans="1:11" ht="42" customHeight="1">
      <c r="A10181" t="s">
        <v>19663</v>
      </c>
      <c r="B10181" t="s">
        <v>19664</v>
      </c>
      <c r="C10181" t="s">
        <v>17</v>
      </c>
      <c r="D10181" t="s">
        <v>18</v>
      </c>
      <c r="E10181" s="6">
        <v>-28547</v>
      </c>
      <c r="F10181" t="s">
        <v>247</v>
      </c>
      <c r="G10181" t="s">
        <v>248</v>
      </c>
      <c r="H10181" t="s">
        <v>21</v>
      </c>
      <c r="I10181" t="s">
        <v>19665</v>
      </c>
      <c r="J10181" t="str">
        <f>HYPERLINK("https://www.boe.es/gazeta/dias/1821/11/02/pdfs/GMD-1821-312.pdf#page=2","Abrir facsímil")</f>
        <v>Abrir facsímil</v>
      </c>
      <c r="K10181" t="s">
        <v>23</v>
      </c>
    </row>
    <row r="10182" spans="1:11" ht="42" customHeight="1">
      <c r="A10182" t="s">
        <v>19666</v>
      </c>
      <c r="B10182" t="s">
        <v>19667</v>
      </c>
      <c r="C10182" t="s">
        <v>26</v>
      </c>
      <c r="D10182" t="s">
        <v>27</v>
      </c>
      <c r="E10182" s="6">
        <v>-28836</v>
      </c>
      <c r="F10182" t="s">
        <v>601</v>
      </c>
      <c r="G10182" t="s">
        <v>20</v>
      </c>
      <c r="H10182" t="s">
        <v>21</v>
      </c>
      <c r="I10182" t="s">
        <v>19668</v>
      </c>
      <c r="J10182" t="str">
        <f>HYPERLINK("https://www.boe.es/gazeta/dias/1821/01/17/pdfs/GGB-1821-17.pdf#page=3","Abrir facsímil")</f>
        <v>Abrir facsímil</v>
      </c>
      <c r="K10182" t="s">
        <v>23</v>
      </c>
    </row>
    <row r="10183" spans="1:11" ht="42" customHeight="1">
      <c r="A10183" t="s">
        <v>19669</v>
      </c>
      <c r="B10183" t="s">
        <v>19670</v>
      </c>
      <c r="C10183" t="s">
        <v>17</v>
      </c>
      <c r="D10183" t="s">
        <v>18</v>
      </c>
      <c r="E10183" s="6">
        <v>-28772</v>
      </c>
      <c r="F10183" t="s">
        <v>62</v>
      </c>
      <c r="G10183" t="s">
        <v>52</v>
      </c>
      <c r="H10183" t="s">
        <v>21</v>
      </c>
      <c r="I10183" t="s">
        <v>19671</v>
      </c>
      <c r="J10183" t="str">
        <f>HYPERLINK("https://www.boe.es/gazeta/dias/1821/03/22/pdfs/GMD-1821-81.pdf#page=2","Abrir facsímil")</f>
        <v>Abrir facsímil</v>
      </c>
      <c r="K10183" t="s">
        <v>23</v>
      </c>
    </row>
    <row r="10184" spans="1:11" ht="42" customHeight="1">
      <c r="A10184" t="s">
        <v>19672</v>
      </c>
      <c r="B10184" t="s">
        <v>19672</v>
      </c>
      <c r="C10184" t="s">
        <v>40</v>
      </c>
      <c r="D10184" t="s">
        <v>41</v>
      </c>
      <c r="E10184" s="6">
        <v>-28671</v>
      </c>
      <c r="F10184" t="s">
        <v>5059</v>
      </c>
      <c r="G10184" t="s">
        <v>52</v>
      </c>
      <c r="H10184" t="s">
        <v>21</v>
      </c>
      <c r="I10184" t="s">
        <v>19673</v>
      </c>
      <c r="J10184" t="str">
        <f>HYPERLINK("https://www.boe.es/gazeta/dias/1821/07/01/pdfs/GMD-1821-185.pdf#page=2","Abrir facsímil")</f>
        <v>Abrir facsímil</v>
      </c>
      <c r="K10184" t="s">
        <v>23</v>
      </c>
    </row>
    <row r="10185" spans="1:11" ht="42" customHeight="1">
      <c r="A10185" t="s">
        <v>19674</v>
      </c>
      <c r="B10185" t="s">
        <v>19675</v>
      </c>
      <c r="C10185" t="s">
        <v>26</v>
      </c>
      <c r="D10185" t="s">
        <v>27</v>
      </c>
      <c r="E10185" s="6">
        <v>-28620</v>
      </c>
      <c r="F10185" t="s">
        <v>87</v>
      </c>
      <c r="G10185" t="s">
        <v>88</v>
      </c>
      <c r="H10185" t="s">
        <v>21</v>
      </c>
      <c r="I10185" t="s">
        <v>19676</v>
      </c>
      <c r="J10185" t="str">
        <f>HYPERLINK("https://www.boe.es/gazeta/dias/1821/08/21/pdfs/GMD-1821-238.pdf#page=4","Abrir facsímil")</f>
        <v>Abrir facsímil</v>
      </c>
      <c r="K10185" t="s">
        <v>23</v>
      </c>
    </row>
    <row r="10186" spans="1:11" ht="42" customHeight="1">
      <c r="A10186" t="s">
        <v>19677</v>
      </c>
      <c r="B10186" t="s">
        <v>19678</v>
      </c>
      <c r="C10186" t="s">
        <v>70</v>
      </c>
      <c r="D10186" t="s">
        <v>27</v>
      </c>
      <c r="E10186" s="6">
        <v>-28531</v>
      </c>
      <c r="F10186" t="s">
        <v>365</v>
      </c>
      <c r="G10186" t="s">
        <v>20</v>
      </c>
      <c r="H10186" t="s">
        <v>21</v>
      </c>
      <c r="I10186" t="s">
        <v>19679</v>
      </c>
      <c r="J10186" t="str">
        <f>HYPERLINK("https://www.boe.es/gazeta/dias/1821/11/18/pdfs/GMD-1821-329.pdf#page=3","Abrir facsímil")</f>
        <v>Abrir facsímil</v>
      </c>
      <c r="K10186" t="s">
        <v>23</v>
      </c>
    </row>
    <row r="10187" spans="1:11" ht="42" customHeight="1">
      <c r="A10187" t="s">
        <v>19677</v>
      </c>
      <c r="B10187" t="s">
        <v>19678</v>
      </c>
      <c r="C10187" t="s">
        <v>40</v>
      </c>
      <c r="D10187" t="s">
        <v>41</v>
      </c>
      <c r="E10187" s="6">
        <v>-28510</v>
      </c>
      <c r="F10187" t="s">
        <v>83</v>
      </c>
      <c r="G10187" t="s">
        <v>52</v>
      </c>
      <c r="H10187" t="s">
        <v>21</v>
      </c>
      <c r="I10187" t="s">
        <v>19680</v>
      </c>
      <c r="J10187" t="str">
        <f>HYPERLINK("https://www.boe.es/gazeta/dias/1821/12/09/pdfs/GMD-1821-351.pdf#page=2","Abrir facsímil")</f>
        <v>Abrir facsímil</v>
      </c>
      <c r="K10187" t="s">
        <v>23</v>
      </c>
    </row>
    <row r="10188" spans="1:11" ht="42" customHeight="1">
      <c r="A10188" t="s">
        <v>19681</v>
      </c>
      <c r="B10188" t="s">
        <v>19682</v>
      </c>
      <c r="C10188" t="s">
        <v>17</v>
      </c>
      <c r="D10188" t="s">
        <v>18</v>
      </c>
      <c r="E10188" s="6">
        <v>-28565</v>
      </c>
      <c r="F10188" t="s">
        <v>326</v>
      </c>
      <c r="G10188" t="s">
        <v>162</v>
      </c>
      <c r="H10188" t="s">
        <v>21</v>
      </c>
      <c r="I10188" t="s">
        <v>19683</v>
      </c>
      <c r="J10188" t="str">
        <f>HYPERLINK("https://www.boe.es/gazeta/dias/1821/10/15/pdfs/GMD-1821-294.pdf#page=5","Abrir facsímil")</f>
        <v>Abrir facsímil</v>
      </c>
      <c r="K10188" t="s">
        <v>23</v>
      </c>
    </row>
    <row r="10189" spans="1:11" ht="42" customHeight="1">
      <c r="A10189" t="s">
        <v>19684</v>
      </c>
      <c r="B10189" t="s">
        <v>19685</v>
      </c>
      <c r="C10189" t="s">
        <v>40</v>
      </c>
      <c r="D10189" t="s">
        <v>41</v>
      </c>
      <c r="E10189" s="6">
        <v>-28531</v>
      </c>
      <c r="F10189" t="s">
        <v>365</v>
      </c>
      <c r="G10189" t="s">
        <v>20</v>
      </c>
      <c r="H10189" t="s">
        <v>21</v>
      </c>
      <c r="I10189" t="s">
        <v>19686</v>
      </c>
      <c r="J10189" t="str">
        <f>HYPERLINK("https://www.boe.es/gazeta/dias/1821/11/18/pdfs/GMD-1821-329.pdf#page=3","Abrir facsímil")</f>
        <v>Abrir facsímil</v>
      </c>
      <c r="K10189" t="s">
        <v>23</v>
      </c>
    </row>
    <row r="10190" spans="1:11" ht="42" customHeight="1">
      <c r="A10190" t="s">
        <v>19687</v>
      </c>
      <c r="B10190" t="s">
        <v>19688</v>
      </c>
      <c r="C10190" t="s">
        <v>17</v>
      </c>
      <c r="D10190" t="s">
        <v>18</v>
      </c>
      <c r="E10190" s="6">
        <v>-28680</v>
      </c>
      <c r="F10190" t="s">
        <v>531</v>
      </c>
      <c r="G10190" t="s">
        <v>88</v>
      </c>
      <c r="H10190" t="s">
        <v>21</v>
      </c>
      <c r="I10190" t="s">
        <v>19689</v>
      </c>
      <c r="J10190" t="str">
        <f>HYPERLINK("https://www.boe.es/gazeta/dias/1821/06/22/pdfs/GMD-1821-175.pdf#page=4","Abrir facsímil")</f>
        <v>Abrir facsímil</v>
      </c>
      <c r="K10190" t="s">
        <v>23</v>
      </c>
    </row>
    <row r="10191" spans="1:11" ht="42" customHeight="1">
      <c r="A10191" t="s">
        <v>19690</v>
      </c>
      <c r="B10191" t="s">
        <v>19691</v>
      </c>
      <c r="C10191" t="s">
        <v>26</v>
      </c>
      <c r="D10191" t="s">
        <v>27</v>
      </c>
      <c r="E10191" s="6">
        <v>-28629</v>
      </c>
      <c r="F10191" t="s">
        <v>235</v>
      </c>
      <c r="G10191" t="s">
        <v>88</v>
      </c>
      <c r="H10191" t="s">
        <v>21</v>
      </c>
      <c r="I10191" t="s">
        <v>19692</v>
      </c>
      <c r="J10191" t="str">
        <f>HYPERLINK("https://www.boe.es/gazeta/dias/1821/08/12/pdfs/GMD-1821-229.pdf#page=4","Abrir facsímil")</f>
        <v>Abrir facsímil</v>
      </c>
      <c r="K10191" t="s">
        <v>23</v>
      </c>
    </row>
    <row r="10192" spans="1:11" ht="42" customHeight="1">
      <c r="A10192" t="s">
        <v>19693</v>
      </c>
      <c r="B10192" t="s">
        <v>19694</v>
      </c>
      <c r="C10192" t="s">
        <v>114</v>
      </c>
      <c r="D10192" t="s">
        <v>27</v>
      </c>
      <c r="E10192" s="6">
        <v>-28667</v>
      </c>
      <c r="F10192" t="s">
        <v>107</v>
      </c>
      <c r="G10192" t="s">
        <v>52</v>
      </c>
      <c r="H10192" t="s">
        <v>21</v>
      </c>
      <c r="I10192" t="s">
        <v>19695</v>
      </c>
      <c r="J10192" t="str">
        <f>HYPERLINK("https://www.boe.es/gazeta/dias/1821/07/05/pdfs/GMD-1821-189.pdf#page=2","Abrir facsímil")</f>
        <v>Abrir facsímil</v>
      </c>
      <c r="K10192" t="s">
        <v>23</v>
      </c>
    </row>
    <row r="10193" spans="1:11" ht="42" customHeight="1">
      <c r="A10193" t="s">
        <v>19696</v>
      </c>
      <c r="B10193" t="s">
        <v>19697</v>
      </c>
      <c r="C10193" t="s">
        <v>174</v>
      </c>
      <c r="D10193" t="s">
        <v>27</v>
      </c>
      <c r="E10193" s="6">
        <v>-28549</v>
      </c>
      <c r="F10193" t="s">
        <v>930</v>
      </c>
      <c r="G10193" t="s">
        <v>162</v>
      </c>
      <c r="H10193" t="s">
        <v>30</v>
      </c>
      <c r="I10193" t="s">
        <v>19698</v>
      </c>
      <c r="J10193" t="str">
        <f>HYPERLINK("https://www.boe.es/gazeta/dias/1821/10/31/pdfs/GMD-1821-310.pdf#page=5","Abrir facsímil")</f>
        <v>Abrir facsímil</v>
      </c>
      <c r="K10193" t="s">
        <v>32</v>
      </c>
    </row>
    <row r="10194" spans="1:11" ht="42" customHeight="1">
      <c r="A10194" t="s">
        <v>19699</v>
      </c>
      <c r="B10194" t="s">
        <v>19699</v>
      </c>
      <c r="C10194" t="s">
        <v>40</v>
      </c>
      <c r="D10194" t="s">
        <v>41</v>
      </c>
      <c r="E10194" s="6">
        <v>-28789</v>
      </c>
      <c r="F10194" t="s">
        <v>36</v>
      </c>
      <c r="G10194" t="s">
        <v>20</v>
      </c>
      <c r="H10194" t="s">
        <v>21</v>
      </c>
      <c r="I10194" t="s">
        <v>19700</v>
      </c>
      <c r="J10194" t="str">
        <f>HYPERLINK("https://www.boe.es/gazeta/dias/1821/03/05/pdfs/GGB-1821-64.pdf#page=3","Abrir facsímil")</f>
        <v>Abrir facsímil</v>
      </c>
      <c r="K10194" t="s">
        <v>23</v>
      </c>
    </row>
    <row r="10195" spans="1:11" ht="42" customHeight="1">
      <c r="A10195" t="s">
        <v>19701</v>
      </c>
      <c r="B10195" t="s">
        <v>19702</v>
      </c>
      <c r="C10195" t="s">
        <v>70</v>
      </c>
      <c r="D10195" t="s">
        <v>27</v>
      </c>
      <c r="E10195" s="6">
        <v>-28790</v>
      </c>
      <c r="F10195" t="s">
        <v>991</v>
      </c>
      <c r="G10195" t="s">
        <v>20</v>
      </c>
      <c r="H10195" t="s">
        <v>21</v>
      </c>
      <c r="I10195" t="s">
        <v>19703</v>
      </c>
      <c r="J10195" t="str">
        <f>HYPERLINK("https://www.boe.es/gazeta/dias/1821/03/04/pdfs/GGB-1821-63.pdf#page=3","Abrir facsímil")</f>
        <v>Abrir facsímil</v>
      </c>
      <c r="K10195" t="s">
        <v>23</v>
      </c>
    </row>
    <row r="10196" spans="1:11" ht="42" customHeight="1">
      <c r="A10196" t="s">
        <v>19704</v>
      </c>
      <c r="B10196" t="s">
        <v>19704</v>
      </c>
      <c r="C10196" t="s">
        <v>40</v>
      </c>
      <c r="D10196" t="s">
        <v>41</v>
      </c>
      <c r="E10196" s="6">
        <v>-28616</v>
      </c>
      <c r="F10196" t="s">
        <v>1912</v>
      </c>
      <c r="G10196" t="s">
        <v>1913</v>
      </c>
      <c r="H10196" t="s">
        <v>21</v>
      </c>
      <c r="I10196" t="s">
        <v>19705</v>
      </c>
      <c r="J10196" t="str">
        <f>HYPERLINK("https://www.boe.es/gazeta/dias/1821/08/25/pdfs/GMD-1821-242.pdf#page=3","Abrir facsímil")</f>
        <v>Abrir facsímil</v>
      </c>
      <c r="K10196" t="s">
        <v>23</v>
      </c>
    </row>
    <row r="10197" spans="1:11" ht="42" customHeight="1">
      <c r="A10197" t="s">
        <v>19706</v>
      </c>
      <c r="B10197" t="s">
        <v>19707</v>
      </c>
      <c r="C10197" t="s">
        <v>70</v>
      </c>
      <c r="D10197" t="s">
        <v>27</v>
      </c>
      <c r="E10197" s="6">
        <v>-28508</v>
      </c>
      <c r="F10197" t="s">
        <v>42</v>
      </c>
      <c r="G10197" t="s">
        <v>52</v>
      </c>
      <c r="H10197" t="s">
        <v>21</v>
      </c>
      <c r="I10197" t="s">
        <v>19708</v>
      </c>
      <c r="J10197" t="str">
        <f>HYPERLINK("https://www.boe.es/gazeta/dias/1821/12/11/pdfs/GMD-1821-353.pdf#page=2","Abrir facsímil")</f>
        <v>Abrir facsímil</v>
      </c>
      <c r="K10197" t="s">
        <v>23</v>
      </c>
    </row>
    <row r="10198" spans="1:11" ht="42" customHeight="1">
      <c r="A10198" t="s">
        <v>19709</v>
      </c>
      <c r="B10198" t="s">
        <v>19710</v>
      </c>
      <c r="C10198" t="s">
        <v>17</v>
      </c>
      <c r="D10198" t="s">
        <v>18</v>
      </c>
      <c r="E10198" s="6">
        <v>-28755</v>
      </c>
      <c r="F10198" t="s">
        <v>906</v>
      </c>
      <c r="G10198" t="s">
        <v>907</v>
      </c>
      <c r="H10198" t="s">
        <v>21</v>
      </c>
      <c r="I10198" t="s">
        <v>19711</v>
      </c>
      <c r="J10198" t="str">
        <f>HYPERLINK("https://www.boe.es/gazeta/dias/1821/04/08/pdfs/GMD-1821-100.pdf#page=4","Abrir facsímil")</f>
        <v>Abrir facsímil</v>
      </c>
      <c r="K10198" t="s">
        <v>23</v>
      </c>
    </row>
    <row r="10199" spans="1:11" ht="42" customHeight="1">
      <c r="A10199" t="s">
        <v>19712</v>
      </c>
      <c r="B10199" t="s">
        <v>19713</v>
      </c>
      <c r="C10199" t="s">
        <v>40</v>
      </c>
      <c r="D10199" t="s">
        <v>41</v>
      </c>
      <c r="E10199" s="6">
        <v>-28752</v>
      </c>
      <c r="F10199" t="s">
        <v>1012</v>
      </c>
      <c r="G10199" t="s">
        <v>52</v>
      </c>
      <c r="H10199" t="s">
        <v>21</v>
      </c>
      <c r="I10199" t="s">
        <v>19714</v>
      </c>
      <c r="J10199" t="str">
        <f>HYPERLINK("https://www.boe.es/gazeta/dias/1821/04/11/pdfs/GMD-1821-103.pdf#page=2","Abrir facsímil")</f>
        <v>Abrir facsímil</v>
      </c>
      <c r="K10199" t="s">
        <v>23</v>
      </c>
    </row>
    <row r="10200" spans="1:11" ht="42" customHeight="1">
      <c r="A10200" t="s">
        <v>19715</v>
      </c>
      <c r="B10200" t="s">
        <v>19716</v>
      </c>
      <c r="C10200" t="s">
        <v>17</v>
      </c>
      <c r="D10200" t="s">
        <v>18</v>
      </c>
      <c r="E10200" s="6">
        <v>-28743</v>
      </c>
      <c r="F10200" t="s">
        <v>51</v>
      </c>
      <c r="G10200" t="s">
        <v>52</v>
      </c>
      <c r="H10200" t="s">
        <v>21</v>
      </c>
      <c r="I10200" t="s">
        <v>19717</v>
      </c>
      <c r="J10200" t="str">
        <f>HYPERLINK("https://www.boe.es/gazeta/dias/1821/04/20/pdfs/GMD-1821-112.pdf#page=2","Abrir facsímil")</f>
        <v>Abrir facsímil</v>
      </c>
      <c r="K10200" t="s">
        <v>23</v>
      </c>
    </row>
    <row r="10201" spans="1:11" ht="42" customHeight="1">
      <c r="A10201" t="s">
        <v>19718</v>
      </c>
      <c r="B10201" t="s">
        <v>19718</v>
      </c>
      <c r="C10201" t="s">
        <v>35</v>
      </c>
      <c r="D10201" t="s">
        <v>27</v>
      </c>
      <c r="E10201" s="6">
        <v>-28732</v>
      </c>
      <c r="F10201" t="s">
        <v>2628</v>
      </c>
      <c r="G10201" t="s">
        <v>52</v>
      </c>
      <c r="H10201" t="s">
        <v>21</v>
      </c>
      <c r="I10201" t="s">
        <v>19719</v>
      </c>
      <c r="J10201" t="str">
        <f>HYPERLINK("https://www.boe.es/gazeta/dias/1821/05/01/pdfs/GMD-1821-123.pdf#page=2","Abrir facsímil")</f>
        <v>Abrir facsímil</v>
      </c>
      <c r="K10201" t="s">
        <v>23</v>
      </c>
    </row>
    <row r="10202" spans="1:11" ht="42" customHeight="1">
      <c r="A10202" t="s">
        <v>19718</v>
      </c>
      <c r="B10202" t="s">
        <v>19718</v>
      </c>
      <c r="C10202" t="s">
        <v>35</v>
      </c>
      <c r="D10202" t="s">
        <v>27</v>
      </c>
      <c r="E10202" s="6">
        <v>-28678</v>
      </c>
      <c r="F10202" t="s">
        <v>215</v>
      </c>
      <c r="G10202" t="s">
        <v>1445</v>
      </c>
      <c r="H10202" t="s">
        <v>21</v>
      </c>
      <c r="I10202" t="s">
        <v>19720</v>
      </c>
      <c r="J10202" t="str">
        <f>HYPERLINK("https://www.boe.es/gazeta/dias/1821/06/24/pdfs/GMD-1821-177.pdf#page=3","Abrir facsímil")</f>
        <v>Abrir facsímil</v>
      </c>
      <c r="K10202" t="s">
        <v>23</v>
      </c>
    </row>
    <row r="10203" spans="1:11" ht="42" customHeight="1">
      <c r="A10203" t="s">
        <v>19721</v>
      </c>
      <c r="B10203" t="s">
        <v>19722</v>
      </c>
      <c r="C10203" t="s">
        <v>40</v>
      </c>
      <c r="D10203" t="s">
        <v>41</v>
      </c>
      <c r="E10203" s="6">
        <v>-28507</v>
      </c>
      <c r="F10203" t="s">
        <v>1158</v>
      </c>
      <c r="G10203" t="s">
        <v>88</v>
      </c>
      <c r="H10203" t="s">
        <v>21</v>
      </c>
      <c r="I10203" t="s">
        <v>19723</v>
      </c>
      <c r="J10203" t="str">
        <f>HYPERLINK("https://www.boe.es/gazeta/dias/1821/12/12/pdfs/GMD-1821-354.pdf#page=4","Abrir facsímil")</f>
        <v>Abrir facsímil</v>
      </c>
      <c r="K10203" t="s">
        <v>23</v>
      </c>
    </row>
    <row r="10204" spans="1:11" ht="42" customHeight="1">
      <c r="A10204" t="s">
        <v>19724</v>
      </c>
      <c r="B10204" t="s">
        <v>19725</v>
      </c>
      <c r="C10204" t="s">
        <v>40</v>
      </c>
      <c r="D10204" t="s">
        <v>41</v>
      </c>
      <c r="E10204" s="6">
        <v>-28710</v>
      </c>
      <c r="F10204" t="s">
        <v>375</v>
      </c>
      <c r="G10204" t="s">
        <v>88</v>
      </c>
      <c r="H10204" t="s">
        <v>21</v>
      </c>
      <c r="I10204" t="s">
        <v>19726</v>
      </c>
      <c r="J10204" t="str">
        <f>HYPERLINK("https://www.boe.es/gazeta/dias/1821/05/23/pdfs/GMD-1821-145.pdf#page=4","Abrir facsímil")</f>
        <v>Abrir facsímil</v>
      </c>
      <c r="K10204" t="s">
        <v>23</v>
      </c>
    </row>
    <row r="10205" spans="1:11" ht="42" customHeight="1">
      <c r="A10205" t="s">
        <v>19727</v>
      </c>
      <c r="B10205" t="s">
        <v>19728</v>
      </c>
      <c r="C10205" t="s">
        <v>17</v>
      </c>
      <c r="D10205" t="s">
        <v>18</v>
      </c>
      <c r="E10205" s="6">
        <v>-28697</v>
      </c>
      <c r="F10205" t="s">
        <v>166</v>
      </c>
      <c r="G10205" t="s">
        <v>52</v>
      </c>
      <c r="H10205" t="s">
        <v>21</v>
      </c>
      <c r="I10205" t="s">
        <v>19729</v>
      </c>
      <c r="J10205" t="str">
        <f>HYPERLINK("https://www.boe.es/gazeta/dias/1821/06/05/pdfs/GMD-1821-158.pdf#page=2","Abrir facsímil")</f>
        <v>Abrir facsímil</v>
      </c>
      <c r="K10205" t="s">
        <v>23</v>
      </c>
    </row>
    <row r="10206" spans="1:11" ht="42" customHeight="1">
      <c r="A10206" t="s">
        <v>19727</v>
      </c>
      <c r="B10206" t="s">
        <v>19728</v>
      </c>
      <c r="C10206" t="s">
        <v>40</v>
      </c>
      <c r="D10206" t="s">
        <v>41</v>
      </c>
      <c r="E10206" s="6">
        <v>-28677</v>
      </c>
      <c r="F10206" t="s">
        <v>361</v>
      </c>
      <c r="G10206" t="s">
        <v>88</v>
      </c>
      <c r="H10206" t="s">
        <v>21</v>
      </c>
      <c r="I10206" t="s">
        <v>19730</v>
      </c>
      <c r="J10206" t="str">
        <f>HYPERLINK("https://www.boe.es/gazeta/dias/1821/06/25/pdfs/GMD-1821-178.pdf#page=4","Abrir facsímil")</f>
        <v>Abrir facsímil</v>
      </c>
      <c r="K10206" t="s">
        <v>23</v>
      </c>
    </row>
    <row r="10207" spans="1:11" ht="42" customHeight="1">
      <c r="A10207" t="s">
        <v>19727</v>
      </c>
      <c r="B10207" t="s">
        <v>19728</v>
      </c>
      <c r="C10207" t="s">
        <v>35</v>
      </c>
      <c r="D10207" t="s">
        <v>27</v>
      </c>
      <c r="E10207" s="6">
        <v>-28677</v>
      </c>
      <c r="F10207" t="s">
        <v>361</v>
      </c>
      <c r="G10207" t="s">
        <v>162</v>
      </c>
      <c r="H10207" t="s">
        <v>21</v>
      </c>
      <c r="I10207" t="s">
        <v>19731</v>
      </c>
      <c r="J10207" t="str">
        <f>HYPERLINK("https://www.boe.es/gazeta/dias/1821/06/25/pdfs/GMD-1821-178.pdf#page=5","Abrir facsímil")</f>
        <v>Abrir facsímil</v>
      </c>
      <c r="K10207" t="s">
        <v>23</v>
      </c>
    </row>
    <row r="10208" spans="1:11" ht="42" customHeight="1">
      <c r="A10208" t="s">
        <v>19732</v>
      </c>
      <c r="B10208" t="s">
        <v>19733</v>
      </c>
      <c r="C10208" t="s">
        <v>35</v>
      </c>
      <c r="D10208" t="s">
        <v>27</v>
      </c>
      <c r="E10208" s="6">
        <v>-28821</v>
      </c>
      <c r="F10208" t="s">
        <v>371</v>
      </c>
      <c r="G10208" t="s">
        <v>20</v>
      </c>
      <c r="H10208" t="s">
        <v>21</v>
      </c>
      <c r="I10208" t="s">
        <v>19734</v>
      </c>
      <c r="J10208" t="str">
        <f>HYPERLINK("https://www.boe.es/gazeta/dias/1821/02/01/pdfs/GGB-1821-32.pdf#page=3","Abrir facsímil")</f>
        <v>Abrir facsímil</v>
      </c>
      <c r="K10208" t="s">
        <v>23</v>
      </c>
    </row>
    <row r="10209" spans="1:11" ht="42" customHeight="1">
      <c r="A10209" t="s">
        <v>19732</v>
      </c>
      <c r="B10209" t="s">
        <v>19733</v>
      </c>
      <c r="C10209" t="s">
        <v>40</v>
      </c>
      <c r="D10209" t="s">
        <v>41</v>
      </c>
      <c r="E10209" s="6">
        <v>-28551</v>
      </c>
      <c r="F10209" t="s">
        <v>542</v>
      </c>
      <c r="G10209" t="s">
        <v>52</v>
      </c>
      <c r="H10209" t="s">
        <v>21</v>
      </c>
      <c r="I10209" t="s">
        <v>19735</v>
      </c>
      <c r="J10209" t="str">
        <f>HYPERLINK("https://www.boe.es/gazeta/dias/1821/10/29/pdfs/GMD-1821-308.pdf#page=2","Abrir facsímil")</f>
        <v>Abrir facsímil</v>
      </c>
      <c r="K10209" t="s">
        <v>23</v>
      </c>
    </row>
    <row r="10210" spans="1:11" ht="42" customHeight="1">
      <c r="A10210" t="s">
        <v>19736</v>
      </c>
      <c r="B10210" t="s">
        <v>19737</v>
      </c>
      <c r="C10210" t="s">
        <v>17</v>
      </c>
      <c r="D10210" t="s">
        <v>18</v>
      </c>
      <c r="E10210" s="6">
        <v>-28771</v>
      </c>
      <c r="F10210" t="s">
        <v>110</v>
      </c>
      <c r="G10210" t="s">
        <v>162</v>
      </c>
      <c r="H10210" t="s">
        <v>21</v>
      </c>
      <c r="I10210" t="s">
        <v>19738</v>
      </c>
      <c r="J10210" t="str">
        <f>HYPERLINK("https://www.boe.es/gazeta/dias/1821/03/23/pdfs/GMD-1821-83.pdf#page=5","Abrir facsímil")</f>
        <v>Abrir facsímil</v>
      </c>
      <c r="K10210" t="s">
        <v>23</v>
      </c>
    </row>
    <row r="10211" spans="1:11" ht="42" customHeight="1">
      <c r="A10211" t="s">
        <v>19736</v>
      </c>
      <c r="B10211" t="s">
        <v>19737</v>
      </c>
      <c r="C10211" t="s">
        <v>26</v>
      </c>
      <c r="D10211" t="s">
        <v>27</v>
      </c>
      <c r="E10211" s="6">
        <v>-28770</v>
      </c>
      <c r="F10211" t="s">
        <v>1009</v>
      </c>
      <c r="G10211" t="s">
        <v>20</v>
      </c>
      <c r="H10211" t="s">
        <v>21</v>
      </c>
      <c r="I10211" t="s">
        <v>19739</v>
      </c>
      <c r="J10211" t="str">
        <f>HYPERLINK("https://www.boe.es/gazeta/dias/1821/03/24/pdfs/GMD-1821-84.pdf#page=3","Abrir facsímil")</f>
        <v>Abrir facsímil</v>
      </c>
      <c r="K10211" t="s">
        <v>23</v>
      </c>
    </row>
    <row r="10212" spans="1:11" ht="42" customHeight="1">
      <c r="A10212" t="s">
        <v>19740</v>
      </c>
      <c r="B10212" t="s">
        <v>19741</v>
      </c>
      <c r="C10212" t="s">
        <v>40</v>
      </c>
      <c r="D10212" t="s">
        <v>41</v>
      </c>
      <c r="E10212" s="6">
        <v>-28686</v>
      </c>
      <c r="F10212" t="s">
        <v>115</v>
      </c>
      <c r="G10212" t="s">
        <v>88</v>
      </c>
      <c r="H10212" t="s">
        <v>21</v>
      </c>
      <c r="I10212" t="s">
        <v>19742</v>
      </c>
      <c r="J10212" t="str">
        <f>HYPERLINK("https://www.boe.es/gazeta/dias/1821/06/16/pdfs/GMD-1821-169.pdf#page=4","Abrir facsímil")</f>
        <v>Abrir facsímil</v>
      </c>
      <c r="K10212" t="s">
        <v>23</v>
      </c>
    </row>
    <row r="10213" spans="1:11" ht="42" customHeight="1">
      <c r="A10213" t="s">
        <v>19743</v>
      </c>
      <c r="B10213" t="s">
        <v>19744</v>
      </c>
      <c r="C10213" t="s">
        <v>40</v>
      </c>
      <c r="D10213" t="s">
        <v>41</v>
      </c>
      <c r="E10213" s="6">
        <v>-28636</v>
      </c>
      <c r="F10213" t="s">
        <v>122</v>
      </c>
      <c r="G10213" t="s">
        <v>20</v>
      </c>
      <c r="H10213" t="s">
        <v>21</v>
      </c>
      <c r="I10213" t="s">
        <v>19745</v>
      </c>
      <c r="J10213" t="str">
        <f>HYPERLINK("https://www.boe.es/gazeta/dias/1821/08/05/pdfs/GMD-1821-221.pdf#page=3","Abrir facsímil")</f>
        <v>Abrir facsímil</v>
      </c>
      <c r="K10213" t="s">
        <v>23</v>
      </c>
    </row>
    <row r="10214" spans="1:11" ht="42" customHeight="1">
      <c r="A10214" t="s">
        <v>19746</v>
      </c>
      <c r="B10214" t="s">
        <v>19747</v>
      </c>
      <c r="C10214" t="s">
        <v>114</v>
      </c>
      <c r="D10214" t="s">
        <v>27</v>
      </c>
      <c r="E10214" s="6">
        <v>-28654</v>
      </c>
      <c r="F10214" t="s">
        <v>674</v>
      </c>
      <c r="G10214" t="s">
        <v>88</v>
      </c>
      <c r="H10214" t="s">
        <v>21</v>
      </c>
      <c r="I10214" t="s">
        <v>19748</v>
      </c>
      <c r="J10214" t="str">
        <f>HYPERLINK("https://www.boe.es/gazeta/dias/1821/07/18/pdfs/GMD-1821-203.pdf#page=4","Abrir facsímil")</f>
        <v>Abrir facsímil</v>
      </c>
      <c r="K10214" t="s">
        <v>23</v>
      </c>
    </row>
    <row r="10215" spans="1:11" ht="42" customHeight="1">
      <c r="A10215" t="s">
        <v>19749</v>
      </c>
      <c r="B10215" t="s">
        <v>19750</v>
      </c>
      <c r="C10215" t="s">
        <v>35</v>
      </c>
      <c r="D10215" t="s">
        <v>27</v>
      </c>
      <c r="E10215" s="6">
        <v>-28723</v>
      </c>
      <c r="F10215" t="s">
        <v>840</v>
      </c>
      <c r="G10215" t="s">
        <v>52</v>
      </c>
      <c r="H10215" t="s">
        <v>21</v>
      </c>
      <c r="I10215" t="s">
        <v>19751</v>
      </c>
      <c r="J10215" t="str">
        <f>HYPERLINK("https://www.boe.es/gazeta/dias/1821/05/10/pdfs/GMD-1821-132.pdf#page=2","Abrir facsímil")</f>
        <v>Abrir facsímil</v>
      </c>
      <c r="K10215" t="s">
        <v>23</v>
      </c>
    </row>
    <row r="10216" spans="1:11" ht="42" customHeight="1">
      <c r="A10216" t="s">
        <v>19752</v>
      </c>
      <c r="B10216" t="s">
        <v>19753</v>
      </c>
      <c r="C10216" t="s">
        <v>174</v>
      </c>
      <c r="D10216" t="s">
        <v>27</v>
      </c>
      <c r="E10216" s="6">
        <v>-28530</v>
      </c>
      <c r="F10216" t="s">
        <v>237</v>
      </c>
      <c r="G10216" t="s">
        <v>52</v>
      </c>
      <c r="H10216" t="s">
        <v>21</v>
      </c>
      <c r="I10216" t="s">
        <v>19754</v>
      </c>
      <c r="J10216" t="str">
        <f>HYPERLINK("https://www.boe.es/gazeta/dias/1821/11/19/pdfs/GMD-1821-330.pdf#page=2","Abrir facsímil")</f>
        <v>Abrir facsímil</v>
      </c>
      <c r="K10216" t="s">
        <v>23</v>
      </c>
    </row>
    <row r="10217" spans="1:11" ht="42" customHeight="1">
      <c r="A10217" t="s">
        <v>19755</v>
      </c>
      <c r="B10217" t="s">
        <v>19756</v>
      </c>
      <c r="C10217" t="s">
        <v>35</v>
      </c>
      <c r="D10217" t="s">
        <v>27</v>
      </c>
      <c r="E10217" s="6">
        <v>-28729</v>
      </c>
      <c r="F10217" t="s">
        <v>838</v>
      </c>
      <c r="G10217" t="s">
        <v>20</v>
      </c>
      <c r="H10217" t="s">
        <v>21</v>
      </c>
      <c r="I10217" t="s">
        <v>19757</v>
      </c>
      <c r="J10217" t="str">
        <f>HYPERLINK("https://www.boe.es/gazeta/dias/1821/05/04/pdfs/GMD-1821-126.pdf#page=3","Abrir facsímil")</f>
        <v>Abrir facsímil</v>
      </c>
      <c r="K10217" t="s">
        <v>23</v>
      </c>
    </row>
    <row r="10218" spans="1:11" ht="42" customHeight="1">
      <c r="A10218" t="s">
        <v>19758</v>
      </c>
      <c r="B10218" t="s">
        <v>19758</v>
      </c>
      <c r="C10218" t="s">
        <v>17</v>
      </c>
      <c r="D10218" t="s">
        <v>18</v>
      </c>
      <c r="E10218" s="6">
        <v>-28756</v>
      </c>
      <c r="F10218" t="s">
        <v>3145</v>
      </c>
      <c r="G10218" t="s">
        <v>20</v>
      </c>
      <c r="H10218" t="s">
        <v>21</v>
      </c>
      <c r="I10218" t="s">
        <v>19759</v>
      </c>
      <c r="J10218" t="str">
        <f>HYPERLINK("https://www.boe.es/gazeta/dias/1821/04/07/pdfs/GMD-1821-99.pdf#page=3","Abrir facsímil")</f>
        <v>Abrir facsímil</v>
      </c>
      <c r="K10218" t="s">
        <v>23</v>
      </c>
    </row>
    <row r="10219" spans="1:11" ht="42" customHeight="1">
      <c r="A10219" t="s">
        <v>19758</v>
      </c>
      <c r="B10219" t="s">
        <v>19758</v>
      </c>
      <c r="C10219" t="s">
        <v>26</v>
      </c>
      <c r="D10219" t="s">
        <v>27</v>
      </c>
      <c r="E10219" s="6">
        <v>-28543</v>
      </c>
      <c r="F10219" t="s">
        <v>136</v>
      </c>
      <c r="G10219" t="s">
        <v>609</v>
      </c>
      <c r="H10219" t="s">
        <v>21</v>
      </c>
      <c r="I10219" t="s">
        <v>19760</v>
      </c>
      <c r="J10219" t="str">
        <f>HYPERLINK("https://www.boe.es/gazeta/dias/1821/11/06/pdfs/GMD-1821-317.pdf#page=7","Abrir facsímil")</f>
        <v>Abrir facsímil</v>
      </c>
      <c r="K10219" t="s">
        <v>23</v>
      </c>
    </row>
    <row r="10220" spans="1:11" ht="42" customHeight="1">
      <c r="A10220" t="s">
        <v>19758</v>
      </c>
      <c r="B10220" t="s">
        <v>19758</v>
      </c>
      <c r="C10220" t="s">
        <v>70</v>
      </c>
      <c r="D10220" t="s">
        <v>27</v>
      </c>
      <c r="E10220" s="6">
        <v>-28502</v>
      </c>
      <c r="F10220" t="s">
        <v>570</v>
      </c>
      <c r="G10220" t="s">
        <v>52</v>
      </c>
      <c r="H10220" t="s">
        <v>21</v>
      </c>
      <c r="I10220" t="s">
        <v>19761</v>
      </c>
      <c r="J10220" t="str">
        <f>HYPERLINK("https://www.boe.es/gazeta/dias/1821/12/17/pdfs/GMD-1821-360.pdf#page=2","Abrir facsímil")</f>
        <v>Abrir facsímil</v>
      </c>
      <c r="K10220" t="s">
        <v>23</v>
      </c>
    </row>
    <row r="10221" spans="1:11" ht="42" customHeight="1">
      <c r="A10221" t="s">
        <v>19758</v>
      </c>
      <c r="B10221" t="s">
        <v>19758</v>
      </c>
      <c r="C10221" t="s">
        <v>17</v>
      </c>
      <c r="D10221" t="s">
        <v>18</v>
      </c>
      <c r="E10221" s="6">
        <v>-28501</v>
      </c>
      <c r="F10221" t="s">
        <v>456</v>
      </c>
      <c r="G10221" t="s">
        <v>88</v>
      </c>
      <c r="H10221" t="s">
        <v>21</v>
      </c>
      <c r="I10221" t="s">
        <v>19762</v>
      </c>
      <c r="J10221" t="str">
        <f>HYPERLINK("https://www.boe.es/gazeta/dias/1821/12/18/pdfs/GMD-1821-361.pdf#page=4","Abrir facsímil")</f>
        <v>Abrir facsímil</v>
      </c>
      <c r="K10221" t="s">
        <v>23</v>
      </c>
    </row>
    <row r="10222" spans="1:11" ht="42" customHeight="1">
      <c r="A10222" t="s">
        <v>19763</v>
      </c>
      <c r="B10222" t="s">
        <v>19764</v>
      </c>
      <c r="C10222" t="s">
        <v>70</v>
      </c>
      <c r="D10222" t="s">
        <v>27</v>
      </c>
      <c r="E10222" s="6">
        <v>-28728</v>
      </c>
      <c r="F10222" t="s">
        <v>1038</v>
      </c>
      <c r="G10222" t="s">
        <v>20</v>
      </c>
      <c r="H10222" t="s">
        <v>21</v>
      </c>
      <c r="I10222" t="s">
        <v>19765</v>
      </c>
      <c r="J10222" t="str">
        <f>HYPERLINK("https://www.boe.es/gazeta/dias/1821/05/05/pdfs/GMD-1821-127.pdf#page=3","Abrir facsímil")</f>
        <v>Abrir facsímil</v>
      </c>
      <c r="K10222" t="s">
        <v>23</v>
      </c>
    </row>
    <row r="10223" spans="1:11" ht="42" customHeight="1">
      <c r="A10223" t="s">
        <v>19766</v>
      </c>
      <c r="B10223" t="s">
        <v>19767</v>
      </c>
      <c r="C10223" t="s">
        <v>35</v>
      </c>
      <c r="D10223" t="s">
        <v>27</v>
      </c>
      <c r="E10223" s="6">
        <v>-28566</v>
      </c>
      <c r="F10223" t="s">
        <v>1529</v>
      </c>
      <c r="G10223" t="s">
        <v>20</v>
      </c>
      <c r="H10223" t="s">
        <v>21</v>
      </c>
      <c r="I10223" t="s">
        <v>19768</v>
      </c>
      <c r="J10223" t="str">
        <f>HYPERLINK("https://www.boe.es/gazeta/dias/1821/10/14/pdfs/GMD-1821-293.pdf#page=3","Abrir facsímil")</f>
        <v>Abrir facsímil</v>
      </c>
      <c r="K10223" t="s">
        <v>23</v>
      </c>
    </row>
    <row r="10224" spans="1:11" ht="42" customHeight="1">
      <c r="A10224" t="s">
        <v>19766</v>
      </c>
      <c r="B10224" t="s">
        <v>19767</v>
      </c>
      <c r="C10224" t="s">
        <v>17</v>
      </c>
      <c r="D10224" t="s">
        <v>18</v>
      </c>
      <c r="E10224" s="6">
        <v>-28561</v>
      </c>
      <c r="F10224" t="s">
        <v>240</v>
      </c>
      <c r="G10224" t="s">
        <v>162</v>
      </c>
      <c r="H10224" t="s">
        <v>21</v>
      </c>
      <c r="I10224" t="s">
        <v>19769</v>
      </c>
      <c r="J10224" t="str">
        <f>HYPERLINK("https://www.boe.es/gazeta/dias/1821/10/19/pdfs/GMD-1821-298.pdf#page=5","Abrir facsímil")</f>
        <v>Abrir facsímil</v>
      </c>
      <c r="K10224" t="s">
        <v>23</v>
      </c>
    </row>
    <row r="10225" spans="1:11" ht="42" customHeight="1">
      <c r="A10225" t="s">
        <v>19766</v>
      </c>
      <c r="B10225" t="s">
        <v>19767</v>
      </c>
      <c r="C10225" t="s">
        <v>26</v>
      </c>
      <c r="D10225" t="s">
        <v>27</v>
      </c>
      <c r="E10225" s="6">
        <v>-28538</v>
      </c>
      <c r="F10225" t="s">
        <v>395</v>
      </c>
      <c r="G10225" t="s">
        <v>162</v>
      </c>
      <c r="H10225" t="s">
        <v>21</v>
      </c>
      <c r="I10225" t="s">
        <v>19770</v>
      </c>
      <c r="J10225" t="str">
        <f>HYPERLINK("https://www.boe.es/gazeta/dias/1821/11/11/pdfs/GMD-1821-322.pdf#page=5","Abrir facsímil")</f>
        <v>Abrir facsímil</v>
      </c>
      <c r="K10225" t="s">
        <v>23</v>
      </c>
    </row>
    <row r="10226" spans="1:11" ht="42" customHeight="1">
      <c r="A10226" t="s">
        <v>19766</v>
      </c>
      <c r="B10226" t="s">
        <v>19767</v>
      </c>
      <c r="C10226" t="s">
        <v>26</v>
      </c>
      <c r="D10226" t="s">
        <v>27</v>
      </c>
      <c r="E10226" s="6">
        <v>-28533</v>
      </c>
      <c r="F10226" t="s">
        <v>559</v>
      </c>
      <c r="G10226" t="s">
        <v>88</v>
      </c>
      <c r="H10226" t="s">
        <v>21</v>
      </c>
      <c r="I10226" t="s">
        <v>19771</v>
      </c>
      <c r="J10226" t="str">
        <f>HYPERLINK("https://www.boe.es/gazeta/dias/1821/11/16/pdfs/GMD-1821-327.pdf#page=4","Abrir facsímil")</f>
        <v>Abrir facsímil</v>
      </c>
      <c r="K10226" t="s">
        <v>23</v>
      </c>
    </row>
    <row r="10227" spans="1:11" ht="42" customHeight="1">
      <c r="A10227" t="s">
        <v>19766</v>
      </c>
      <c r="B10227" t="s">
        <v>19767</v>
      </c>
      <c r="C10227" t="s">
        <v>35</v>
      </c>
      <c r="D10227" t="s">
        <v>27</v>
      </c>
      <c r="E10227" s="6">
        <v>-28524</v>
      </c>
      <c r="F10227" t="s">
        <v>874</v>
      </c>
      <c r="G10227" t="s">
        <v>875</v>
      </c>
      <c r="H10227" t="s">
        <v>21</v>
      </c>
      <c r="I10227" t="s">
        <v>19772</v>
      </c>
      <c r="J10227" t="str">
        <f>HYPERLINK("https://www.boe.es/gazeta/dias/1821/11/25/pdfs/GMD-1821-336.pdf#page=3","Abrir facsímil")</f>
        <v>Abrir facsímil</v>
      </c>
      <c r="K10227" t="s">
        <v>23</v>
      </c>
    </row>
    <row r="10228" spans="1:11" ht="42" customHeight="1">
      <c r="A10228" t="s">
        <v>19766</v>
      </c>
      <c r="B10228" t="s">
        <v>19767</v>
      </c>
      <c r="C10228" t="s">
        <v>26</v>
      </c>
      <c r="D10228" t="s">
        <v>27</v>
      </c>
      <c r="E10228" s="6">
        <v>-28516</v>
      </c>
      <c r="F10228" t="s">
        <v>514</v>
      </c>
      <c r="G10228" t="s">
        <v>29</v>
      </c>
      <c r="H10228" t="s">
        <v>21</v>
      </c>
      <c r="I10228" t="s">
        <v>19773</v>
      </c>
      <c r="J10228" t="str">
        <f>HYPERLINK("https://www.boe.es/gazeta/dias/1821/12/03/pdfs/GMD-1821-345.pdf#page=6","Abrir facsímil")</f>
        <v>Abrir facsímil</v>
      </c>
      <c r="K10228" t="s">
        <v>23</v>
      </c>
    </row>
    <row r="10229" spans="1:11" ht="42" customHeight="1">
      <c r="A10229" t="s">
        <v>19774</v>
      </c>
      <c r="B10229" t="s">
        <v>19775</v>
      </c>
      <c r="C10229" t="s">
        <v>40</v>
      </c>
      <c r="D10229" t="s">
        <v>41</v>
      </c>
      <c r="E10229" s="6">
        <v>-28706</v>
      </c>
      <c r="F10229" t="s">
        <v>4791</v>
      </c>
      <c r="G10229" t="s">
        <v>88</v>
      </c>
      <c r="H10229" t="s">
        <v>21</v>
      </c>
      <c r="I10229" t="s">
        <v>19776</v>
      </c>
      <c r="J10229" t="str">
        <f>HYPERLINK("https://www.boe.es/gazeta/dias/1821/05/27/pdfs/GMD-1821-149.pdf#page=4","Abrir facsímil")</f>
        <v>Abrir facsímil</v>
      </c>
      <c r="K10229" t="s">
        <v>23</v>
      </c>
    </row>
    <row r="10230" spans="1:11" ht="42" customHeight="1">
      <c r="A10230" t="s">
        <v>19777</v>
      </c>
      <c r="B10230" t="s">
        <v>19778</v>
      </c>
      <c r="C10230" t="s">
        <v>40</v>
      </c>
      <c r="D10230" t="s">
        <v>41</v>
      </c>
      <c r="E10230" s="6">
        <v>-28815</v>
      </c>
      <c r="F10230" t="s">
        <v>2394</v>
      </c>
      <c r="G10230" t="s">
        <v>88</v>
      </c>
      <c r="H10230" t="s">
        <v>21</v>
      </c>
      <c r="I10230" t="s">
        <v>19779</v>
      </c>
      <c r="J10230" t="str">
        <f>HYPERLINK("https://www.boe.es/gazeta/dias/1821/02/07/pdfs/GGB-1821-38.pdf#page=4","Abrir facsímil")</f>
        <v>Abrir facsímil</v>
      </c>
      <c r="K10230" t="s">
        <v>23</v>
      </c>
    </row>
    <row r="10231" spans="1:11" ht="42" customHeight="1">
      <c r="A10231" t="s">
        <v>19780</v>
      </c>
      <c r="B10231" t="s">
        <v>19780</v>
      </c>
      <c r="C10231" t="s">
        <v>40</v>
      </c>
      <c r="D10231" t="s">
        <v>41</v>
      </c>
      <c r="E10231" s="6">
        <v>-28762</v>
      </c>
      <c r="F10231" t="s">
        <v>608</v>
      </c>
      <c r="G10231" t="s">
        <v>29</v>
      </c>
      <c r="H10231" t="s">
        <v>21</v>
      </c>
      <c r="I10231" t="s">
        <v>19781</v>
      </c>
      <c r="J10231" t="str">
        <f>HYPERLINK("https://www.boe.es/gazeta/dias/1821/04/01/pdfs/GMD-1821-93.pdf#page=6","Abrir facsímil")</f>
        <v>Abrir facsímil</v>
      </c>
      <c r="K10231" t="s">
        <v>23</v>
      </c>
    </row>
    <row r="10232" spans="1:11" ht="42" customHeight="1">
      <c r="A10232" t="s">
        <v>19782</v>
      </c>
      <c r="B10232" t="s">
        <v>19783</v>
      </c>
      <c r="C10232" t="s">
        <v>40</v>
      </c>
      <c r="D10232" t="s">
        <v>41</v>
      </c>
      <c r="E10232" s="6">
        <v>-28511</v>
      </c>
      <c r="F10232" t="s">
        <v>340</v>
      </c>
      <c r="G10232" t="s">
        <v>52</v>
      </c>
      <c r="H10232" t="s">
        <v>21</v>
      </c>
      <c r="I10232" t="s">
        <v>19784</v>
      </c>
      <c r="J10232" t="str">
        <f>HYPERLINK("https://www.boe.es/gazeta/dias/1821/12/08/pdfs/GMD-1821-350.pdf#page=2","Abrir facsímil")</f>
        <v>Abrir facsímil</v>
      </c>
      <c r="K10232" t="s">
        <v>23</v>
      </c>
    </row>
    <row r="10233" spans="1:11" ht="42" customHeight="1">
      <c r="A10233" t="s">
        <v>19785</v>
      </c>
      <c r="B10233" t="s">
        <v>19785</v>
      </c>
      <c r="C10233" t="s">
        <v>26</v>
      </c>
      <c r="D10233" t="s">
        <v>27</v>
      </c>
      <c r="E10233" s="6">
        <v>-28815</v>
      </c>
      <c r="F10233" t="s">
        <v>2394</v>
      </c>
      <c r="G10233" t="s">
        <v>20</v>
      </c>
      <c r="H10233" t="s">
        <v>21</v>
      </c>
      <c r="I10233" t="s">
        <v>19786</v>
      </c>
      <c r="J10233" t="str">
        <f>HYPERLINK("https://www.boe.es/gazeta/dias/1821/02/07/pdfs/GGB-1821-38.pdf#page=3","Abrir facsímil")</f>
        <v>Abrir facsímil</v>
      </c>
      <c r="K10233" t="s">
        <v>23</v>
      </c>
    </row>
    <row r="10234" spans="1:11" ht="42" customHeight="1">
      <c r="A10234" t="s">
        <v>19787</v>
      </c>
      <c r="B10234" t="s">
        <v>19787</v>
      </c>
      <c r="C10234" t="s">
        <v>40</v>
      </c>
      <c r="D10234" t="s">
        <v>41</v>
      </c>
      <c r="E10234" s="6">
        <v>-28670</v>
      </c>
      <c r="F10234" t="s">
        <v>243</v>
      </c>
      <c r="G10234" t="s">
        <v>52</v>
      </c>
      <c r="H10234" t="s">
        <v>21</v>
      </c>
      <c r="I10234" t="s">
        <v>19788</v>
      </c>
      <c r="J10234" t="str">
        <f>HYPERLINK("https://www.boe.es/gazeta/dias/1821/07/02/pdfs/GMD-1821-186.pdf#page=2","Abrir facsímil")</f>
        <v>Abrir facsímil</v>
      </c>
      <c r="K10234" t="s">
        <v>23</v>
      </c>
    </row>
    <row r="10235" spans="1:11" ht="42" customHeight="1">
      <c r="A10235" t="s">
        <v>19789</v>
      </c>
      <c r="B10235" t="s">
        <v>19789</v>
      </c>
      <c r="C10235" t="s">
        <v>40</v>
      </c>
      <c r="D10235" t="s">
        <v>41</v>
      </c>
      <c r="E10235" s="6">
        <v>-28610</v>
      </c>
      <c r="F10235" t="s">
        <v>190</v>
      </c>
      <c r="G10235" t="s">
        <v>43</v>
      </c>
      <c r="H10235" t="s">
        <v>21</v>
      </c>
      <c r="I10235" t="s">
        <v>19790</v>
      </c>
      <c r="J10235" t="str">
        <f>HYPERLINK("https://www.boe.es/gazeta/dias/1821/08/31/pdfs/GMD-1821-248.pdf#page=1","Abrir facsímil")</f>
        <v>Abrir facsímil</v>
      </c>
      <c r="K10235" t="s">
        <v>23</v>
      </c>
    </row>
    <row r="10236" spans="1:11" ht="42" customHeight="1">
      <c r="A10236" t="s">
        <v>19791</v>
      </c>
      <c r="B10236" t="s">
        <v>19791</v>
      </c>
      <c r="C10236" t="s">
        <v>40</v>
      </c>
      <c r="D10236" t="s">
        <v>41</v>
      </c>
      <c r="E10236" s="6">
        <v>-28582</v>
      </c>
      <c r="F10236" t="s">
        <v>3039</v>
      </c>
      <c r="G10236" t="s">
        <v>52</v>
      </c>
      <c r="H10236" t="s">
        <v>21</v>
      </c>
      <c r="I10236" t="s">
        <v>19792</v>
      </c>
      <c r="J10236" t="str">
        <f>HYPERLINK("https://www.boe.es/gazeta/dias/1821/09/28/pdfs/GMD-1821-276.pdf#page=2","Abrir facsímil")</f>
        <v>Abrir facsímil</v>
      </c>
      <c r="K10236" t="s">
        <v>23</v>
      </c>
    </row>
    <row r="10237" spans="1:11" ht="42" customHeight="1">
      <c r="A10237" t="s">
        <v>19793</v>
      </c>
      <c r="B10237" t="s">
        <v>19793</v>
      </c>
      <c r="C10237" t="s">
        <v>40</v>
      </c>
      <c r="D10237" t="s">
        <v>41</v>
      </c>
      <c r="E10237" s="6">
        <v>-28511</v>
      </c>
      <c r="F10237" t="s">
        <v>340</v>
      </c>
      <c r="G10237" t="s">
        <v>43</v>
      </c>
      <c r="H10237" t="s">
        <v>21</v>
      </c>
      <c r="I10237" t="s">
        <v>19794</v>
      </c>
      <c r="J10237" t="str">
        <f>HYPERLINK("https://www.boe.es/gazeta/dias/1821/12/08/pdfs/GMD-1821-350.pdf#page=1","Abrir facsímil")</f>
        <v>Abrir facsímil</v>
      </c>
      <c r="K10237" t="s">
        <v>23</v>
      </c>
    </row>
    <row r="10238" spans="1:11" ht="42" customHeight="1">
      <c r="A10238" t="s">
        <v>19795</v>
      </c>
      <c r="B10238" t="s">
        <v>19796</v>
      </c>
      <c r="C10238" t="s">
        <v>35</v>
      </c>
      <c r="D10238" t="s">
        <v>27</v>
      </c>
      <c r="E10238" s="6">
        <v>-28589</v>
      </c>
      <c r="F10238" t="s">
        <v>3130</v>
      </c>
      <c r="G10238" t="s">
        <v>20</v>
      </c>
      <c r="H10238" t="s">
        <v>21</v>
      </c>
      <c r="I10238" t="s">
        <v>19797</v>
      </c>
      <c r="J10238" t="str">
        <f>HYPERLINK("https://www.boe.es/gazeta/dias/1821/09/21/pdfs/GMD-1821-269.pdf#page=3","Abrir facsímil")</f>
        <v>Abrir facsímil</v>
      </c>
      <c r="K10238" t="s">
        <v>23</v>
      </c>
    </row>
    <row r="10239" spans="1:11" ht="42" customHeight="1">
      <c r="A10239" t="s">
        <v>19798</v>
      </c>
      <c r="B10239" t="s">
        <v>19798</v>
      </c>
      <c r="C10239" t="s">
        <v>17</v>
      </c>
      <c r="D10239" t="s">
        <v>18</v>
      </c>
      <c r="E10239" s="6">
        <v>-28803</v>
      </c>
      <c r="F10239" t="s">
        <v>320</v>
      </c>
      <c r="G10239" t="s">
        <v>52</v>
      </c>
      <c r="H10239" t="s">
        <v>21</v>
      </c>
      <c r="I10239" t="s">
        <v>19799</v>
      </c>
      <c r="J10239" t="str">
        <f>HYPERLINK("https://www.boe.es/gazeta/dias/1821/02/19/pdfs/GGB-1821-50.pdf#page=2","Abrir facsímil")</f>
        <v>Abrir facsímil</v>
      </c>
      <c r="K10239" t="s">
        <v>23</v>
      </c>
    </row>
    <row r="10240" spans="1:11" ht="42" customHeight="1">
      <c r="A10240" t="s">
        <v>19798</v>
      </c>
      <c r="B10240" t="s">
        <v>19798</v>
      </c>
      <c r="C10240" t="s">
        <v>40</v>
      </c>
      <c r="D10240" t="s">
        <v>41</v>
      </c>
      <c r="E10240" s="6">
        <v>-28799</v>
      </c>
      <c r="F10240" t="s">
        <v>3158</v>
      </c>
      <c r="G10240" t="s">
        <v>43</v>
      </c>
      <c r="H10240" t="s">
        <v>21</v>
      </c>
      <c r="I10240" t="s">
        <v>19800</v>
      </c>
      <c r="J10240" t="str">
        <f>HYPERLINK("https://www.boe.es/gazeta/dias/1821/02/23/pdfs/GGB-1821-54.pdf#page=1","Abrir facsímil")</f>
        <v>Abrir facsímil</v>
      </c>
      <c r="K10240" t="s">
        <v>23</v>
      </c>
    </row>
    <row r="10241" spans="1:11" ht="42" customHeight="1">
      <c r="A10241" t="s">
        <v>19798</v>
      </c>
      <c r="B10241" t="s">
        <v>19798</v>
      </c>
      <c r="C10241" t="s">
        <v>17</v>
      </c>
      <c r="D10241" t="s">
        <v>18</v>
      </c>
      <c r="E10241" s="6">
        <v>-28770</v>
      </c>
      <c r="F10241" t="s">
        <v>1009</v>
      </c>
      <c r="G10241" t="s">
        <v>3233</v>
      </c>
      <c r="H10241" t="s">
        <v>21</v>
      </c>
      <c r="I10241" t="s">
        <v>19801</v>
      </c>
      <c r="J10241" t="str">
        <f>HYPERLINK("https://www.boe.es/gazeta/dias/1821/03/24/pdfs/GMD-1821-84.pdf#page=2","Abrir facsímil")</f>
        <v>Abrir facsímil</v>
      </c>
      <c r="K10241" t="s">
        <v>23</v>
      </c>
    </row>
    <row r="10242" spans="1:11" ht="42" customHeight="1">
      <c r="A10242" t="s">
        <v>19802</v>
      </c>
      <c r="B10242" t="s">
        <v>19803</v>
      </c>
      <c r="C10242" t="s">
        <v>17</v>
      </c>
      <c r="D10242" t="s">
        <v>18</v>
      </c>
      <c r="E10242" s="6">
        <v>-28543</v>
      </c>
      <c r="F10242" t="s">
        <v>136</v>
      </c>
      <c r="G10242" t="s">
        <v>88</v>
      </c>
      <c r="H10242" t="s">
        <v>21</v>
      </c>
      <c r="I10242" t="s">
        <v>19804</v>
      </c>
      <c r="J10242" t="str">
        <f>HYPERLINK("https://www.boe.es/gazeta/dias/1821/11/06/pdfs/GMD-1821-317.pdf#page=4","Abrir facsímil")</f>
        <v>Abrir facsímil</v>
      </c>
      <c r="K10242" t="s">
        <v>23</v>
      </c>
    </row>
    <row r="10243" spans="1:11" ht="42" customHeight="1">
      <c r="A10243" t="s">
        <v>19805</v>
      </c>
      <c r="B10243" t="s">
        <v>19806</v>
      </c>
      <c r="C10243" t="s">
        <v>26</v>
      </c>
      <c r="D10243" t="s">
        <v>27</v>
      </c>
      <c r="E10243" s="6">
        <v>-28725</v>
      </c>
      <c r="F10243" t="s">
        <v>440</v>
      </c>
      <c r="G10243" t="s">
        <v>88</v>
      </c>
      <c r="H10243" t="s">
        <v>21</v>
      </c>
      <c r="I10243" t="s">
        <v>19807</v>
      </c>
      <c r="J10243" t="str">
        <f>HYPERLINK("https://www.boe.es/gazeta/dias/1821/05/08/pdfs/GMD-1821-130.pdf#page=4","Abrir facsímil")</f>
        <v>Abrir facsímil</v>
      </c>
      <c r="K10243" t="s">
        <v>23</v>
      </c>
    </row>
    <row r="10244" spans="1:11" ht="42" customHeight="1">
      <c r="A10244" t="s">
        <v>19808</v>
      </c>
      <c r="B10244" t="s">
        <v>19808</v>
      </c>
      <c r="C10244" t="s">
        <v>17</v>
      </c>
      <c r="D10244" t="s">
        <v>18</v>
      </c>
      <c r="E10244" s="6">
        <v>-28746</v>
      </c>
      <c r="F10244" t="s">
        <v>687</v>
      </c>
      <c r="G10244" t="s">
        <v>20</v>
      </c>
      <c r="H10244" t="s">
        <v>21</v>
      </c>
      <c r="I10244" t="s">
        <v>19809</v>
      </c>
      <c r="J10244" t="str">
        <f>HYPERLINK("https://www.boe.es/gazeta/dias/1821/04/17/pdfs/GMD-1821-109.pdf#page=3","Abrir facsímil")</f>
        <v>Abrir facsímil</v>
      </c>
      <c r="K10244" t="s">
        <v>23</v>
      </c>
    </row>
    <row r="10245" spans="1:11" ht="42" customHeight="1">
      <c r="A10245" t="s">
        <v>19810</v>
      </c>
      <c r="B10245" t="s">
        <v>19811</v>
      </c>
      <c r="C10245" t="s">
        <v>35</v>
      </c>
      <c r="D10245" t="s">
        <v>27</v>
      </c>
      <c r="E10245" s="6">
        <v>-28816</v>
      </c>
      <c r="F10245" t="s">
        <v>794</v>
      </c>
      <c r="G10245" t="s">
        <v>52</v>
      </c>
      <c r="H10245" t="s">
        <v>30</v>
      </c>
      <c r="I10245" t="s">
        <v>19812</v>
      </c>
      <c r="J10245" t="str">
        <f>HYPERLINK("https://www.boe.es/gazeta/dias/1821/02/06/pdfs/GGB-1821-37.pdf#page=2","Abrir facsímil")</f>
        <v>Abrir facsímil</v>
      </c>
      <c r="K10245" t="s">
        <v>32</v>
      </c>
    </row>
    <row r="10246" spans="1:11" ht="42" customHeight="1">
      <c r="A10246" t="s">
        <v>19813</v>
      </c>
      <c r="B10246" t="s">
        <v>19814</v>
      </c>
      <c r="C10246" t="s">
        <v>35</v>
      </c>
      <c r="D10246" t="s">
        <v>27</v>
      </c>
      <c r="E10246" s="6">
        <v>-28783</v>
      </c>
      <c r="F10246" t="s">
        <v>198</v>
      </c>
      <c r="G10246" t="s">
        <v>20</v>
      </c>
      <c r="H10246" t="s">
        <v>21</v>
      </c>
      <c r="I10246" t="s">
        <v>19815</v>
      </c>
      <c r="J10246" t="str">
        <f>HYPERLINK("https://www.boe.es/gazeta/dias/1821/03/11/pdfs/GGB-1821-70.pdf#page=3","Abrir facsímil")</f>
        <v>Abrir facsímil</v>
      </c>
      <c r="K10246" t="s">
        <v>23</v>
      </c>
    </row>
    <row r="10247" spans="1:11" ht="42" customHeight="1">
      <c r="A10247" t="s">
        <v>19816</v>
      </c>
      <c r="B10247" t="s">
        <v>19817</v>
      </c>
      <c r="C10247" t="s">
        <v>17</v>
      </c>
      <c r="D10247" t="s">
        <v>18</v>
      </c>
      <c r="E10247" s="6">
        <v>-28831</v>
      </c>
      <c r="F10247" t="s">
        <v>3179</v>
      </c>
      <c r="G10247" t="s">
        <v>5731</v>
      </c>
      <c r="H10247" t="s">
        <v>21</v>
      </c>
      <c r="I10247" t="s">
        <v>19818</v>
      </c>
      <c r="J10247" t="str">
        <f>HYPERLINK("https://www.boe.es/gazeta/dias/1821/01/22/pdfs/GGB-1821-22.pdf#page=4","Abrir facsímil")</f>
        <v>Abrir facsímil</v>
      </c>
      <c r="K10247" t="s">
        <v>23</v>
      </c>
    </row>
    <row r="10248" spans="1:11" ht="42" customHeight="1">
      <c r="A10248" t="s">
        <v>19816</v>
      </c>
      <c r="B10248" t="s">
        <v>19817</v>
      </c>
      <c r="C10248" t="s">
        <v>494</v>
      </c>
      <c r="D10248" t="s">
        <v>18</v>
      </c>
      <c r="E10248" s="6">
        <v>-28768</v>
      </c>
      <c r="F10248" t="s">
        <v>1114</v>
      </c>
      <c r="G10248" t="s">
        <v>20</v>
      </c>
      <c r="H10248" t="s">
        <v>21</v>
      </c>
      <c r="I10248" t="s">
        <v>19819</v>
      </c>
      <c r="J10248" t="str">
        <f>HYPERLINK("https://www.boe.es/gazeta/dias/1821/03/26/pdfs/GMD-1821-86.pdf#page=3","Abrir facsímil")</f>
        <v>Abrir facsímil</v>
      </c>
      <c r="K10248" t="s">
        <v>23</v>
      </c>
    </row>
    <row r="10249" spans="1:11" ht="42" customHeight="1">
      <c r="A10249" t="s">
        <v>19816</v>
      </c>
      <c r="B10249" t="s">
        <v>19817</v>
      </c>
      <c r="C10249" t="s">
        <v>40</v>
      </c>
      <c r="D10249" t="s">
        <v>41</v>
      </c>
      <c r="E10249" s="6">
        <v>-28757</v>
      </c>
      <c r="F10249" t="s">
        <v>472</v>
      </c>
      <c r="G10249" t="s">
        <v>52</v>
      </c>
      <c r="H10249" t="s">
        <v>21</v>
      </c>
      <c r="I10249" t="s">
        <v>19820</v>
      </c>
      <c r="J10249" t="str">
        <f>HYPERLINK("https://www.boe.es/gazeta/dias/1821/04/06/pdfs/GMD-1821-98.pdf#page=2","Abrir facsímil")</f>
        <v>Abrir facsímil</v>
      </c>
      <c r="K10249" t="s">
        <v>23</v>
      </c>
    </row>
    <row r="10250" spans="1:11" ht="42" customHeight="1">
      <c r="A10250" t="s">
        <v>19816</v>
      </c>
      <c r="B10250" t="s">
        <v>19817</v>
      </c>
      <c r="C10250" t="s">
        <v>35</v>
      </c>
      <c r="D10250" t="s">
        <v>27</v>
      </c>
      <c r="E10250" s="6">
        <v>-28737</v>
      </c>
      <c r="F10250" t="s">
        <v>732</v>
      </c>
      <c r="G10250" t="s">
        <v>20</v>
      </c>
      <c r="H10250" t="s">
        <v>21</v>
      </c>
      <c r="I10250" t="s">
        <v>19821</v>
      </c>
      <c r="J10250" t="str">
        <f>HYPERLINK("https://www.boe.es/gazeta/dias/1821/04/26/pdfs/GMD-1821-118.pdf#page=3","Abrir facsímil")</f>
        <v>Abrir facsímil</v>
      </c>
      <c r="K10250" t="s">
        <v>23</v>
      </c>
    </row>
    <row r="10251" spans="1:11" ht="42" customHeight="1">
      <c r="A10251" t="s">
        <v>19816</v>
      </c>
      <c r="B10251" t="s">
        <v>19817</v>
      </c>
      <c r="C10251" t="s">
        <v>17</v>
      </c>
      <c r="D10251" t="s">
        <v>18</v>
      </c>
      <c r="E10251" s="6">
        <v>-28722</v>
      </c>
      <c r="F10251" t="s">
        <v>623</v>
      </c>
      <c r="G10251" t="s">
        <v>52</v>
      </c>
      <c r="H10251" t="s">
        <v>21</v>
      </c>
      <c r="I10251" t="s">
        <v>19822</v>
      </c>
      <c r="J10251" t="str">
        <f>HYPERLINK("https://www.boe.es/gazeta/dias/1821/05/11/pdfs/GMD-1821-133.pdf#page=2","Abrir facsímil")</f>
        <v>Abrir facsímil</v>
      </c>
      <c r="K10251" t="s">
        <v>23</v>
      </c>
    </row>
    <row r="10252" spans="1:11" ht="42" customHeight="1">
      <c r="A10252" t="s">
        <v>19816</v>
      </c>
      <c r="B10252" t="s">
        <v>19817</v>
      </c>
      <c r="C10252" t="s">
        <v>26</v>
      </c>
      <c r="D10252" t="s">
        <v>27</v>
      </c>
      <c r="E10252" s="6">
        <v>-28697</v>
      </c>
      <c r="F10252" t="s">
        <v>166</v>
      </c>
      <c r="G10252" t="s">
        <v>20</v>
      </c>
      <c r="H10252" t="s">
        <v>21</v>
      </c>
      <c r="I10252" t="s">
        <v>19823</v>
      </c>
      <c r="J10252" t="str">
        <f>HYPERLINK("https://www.boe.es/gazeta/dias/1821/06/05/pdfs/GMD-1821-158.pdf#page=3","Abrir facsímil")</f>
        <v>Abrir facsímil</v>
      </c>
      <c r="K10252" t="s">
        <v>23</v>
      </c>
    </row>
    <row r="10253" spans="1:11" ht="42" customHeight="1">
      <c r="A10253" t="s">
        <v>19816</v>
      </c>
      <c r="B10253" t="s">
        <v>19817</v>
      </c>
      <c r="C10253" t="s">
        <v>17</v>
      </c>
      <c r="D10253" t="s">
        <v>18</v>
      </c>
      <c r="E10253" s="6">
        <v>-28695</v>
      </c>
      <c r="F10253" t="s">
        <v>1309</v>
      </c>
      <c r="G10253" t="s">
        <v>88</v>
      </c>
      <c r="H10253" t="s">
        <v>21</v>
      </c>
      <c r="I10253" t="s">
        <v>19824</v>
      </c>
      <c r="J10253" t="str">
        <f>HYPERLINK("https://www.boe.es/gazeta/dias/1821/06/07/pdfs/GMD-1821-160.pdf#page=4","Abrir facsímil")</f>
        <v>Abrir facsímil</v>
      </c>
      <c r="K10253" t="s">
        <v>23</v>
      </c>
    </row>
    <row r="10254" spans="1:11" ht="42" customHeight="1">
      <c r="A10254" t="s">
        <v>19816</v>
      </c>
      <c r="B10254" t="s">
        <v>19817</v>
      </c>
      <c r="C10254" t="s">
        <v>17</v>
      </c>
      <c r="D10254" t="s">
        <v>18</v>
      </c>
      <c r="E10254" s="6">
        <v>-28679</v>
      </c>
      <c r="F10254" t="s">
        <v>213</v>
      </c>
      <c r="G10254" t="s">
        <v>29</v>
      </c>
      <c r="H10254" t="s">
        <v>21</v>
      </c>
      <c r="I10254" t="s">
        <v>19825</v>
      </c>
      <c r="J10254" t="str">
        <f>HYPERLINK("https://www.boe.es/gazeta/dias/1821/06/23/pdfs/GMD-1821-176.pdf#page=6","Abrir facsímil")</f>
        <v>Abrir facsímil</v>
      </c>
      <c r="K10254" t="s">
        <v>23</v>
      </c>
    </row>
    <row r="10255" spans="1:11" ht="42" customHeight="1">
      <c r="A10255" t="s">
        <v>19816</v>
      </c>
      <c r="B10255" t="s">
        <v>19817</v>
      </c>
      <c r="C10255" t="s">
        <v>17</v>
      </c>
      <c r="D10255" t="s">
        <v>18</v>
      </c>
      <c r="E10255" s="6">
        <v>-28600</v>
      </c>
      <c r="F10255" t="s">
        <v>99</v>
      </c>
      <c r="G10255" t="s">
        <v>20</v>
      </c>
      <c r="H10255" t="s">
        <v>21</v>
      </c>
      <c r="I10255" t="s">
        <v>19826</v>
      </c>
      <c r="J10255" t="str">
        <f>HYPERLINK("https://www.boe.es/gazeta/dias/1821/09/10/pdfs/GMD-1821-258.pdf#page=3","Abrir facsímil")</f>
        <v>Abrir facsímil</v>
      </c>
      <c r="K10255" t="s">
        <v>23</v>
      </c>
    </row>
    <row r="10256" spans="1:11" ht="42" customHeight="1">
      <c r="A10256" t="s">
        <v>19816</v>
      </c>
      <c r="B10256" t="s">
        <v>19817</v>
      </c>
      <c r="C10256" t="s">
        <v>114</v>
      </c>
      <c r="D10256" t="s">
        <v>27</v>
      </c>
      <c r="E10256" s="6">
        <v>-28574</v>
      </c>
      <c r="F10256" t="s">
        <v>779</v>
      </c>
      <c r="G10256" t="s">
        <v>333</v>
      </c>
      <c r="H10256" t="s">
        <v>21</v>
      </c>
      <c r="I10256" t="s">
        <v>19827</v>
      </c>
      <c r="J10256" t="str">
        <f>HYPERLINK("https://www.boe.es/gazeta/dias/1821/10/06/pdfs/GMD-1821-285.pdf#page=8","Abrir facsímil")</f>
        <v>Abrir facsímil</v>
      </c>
      <c r="K10256" t="s">
        <v>23</v>
      </c>
    </row>
    <row r="10257" spans="1:11" ht="42" customHeight="1">
      <c r="A10257" t="s">
        <v>19816</v>
      </c>
      <c r="B10257" t="s">
        <v>19817</v>
      </c>
      <c r="C10257" t="s">
        <v>40</v>
      </c>
      <c r="D10257" t="s">
        <v>41</v>
      </c>
      <c r="E10257" s="6">
        <v>-28529</v>
      </c>
      <c r="F10257" t="s">
        <v>525</v>
      </c>
      <c r="G10257" t="s">
        <v>88</v>
      </c>
      <c r="H10257" t="s">
        <v>21</v>
      </c>
      <c r="I10257" t="s">
        <v>19828</v>
      </c>
      <c r="J10257" t="str">
        <f>HYPERLINK("https://www.boe.es/gazeta/dias/1821/11/20/pdfs/GMD-1821-331.pdf#page=4","Abrir facsímil")</f>
        <v>Abrir facsímil</v>
      </c>
      <c r="K10257" t="s">
        <v>23</v>
      </c>
    </row>
    <row r="10258" spans="1:11" ht="42" customHeight="1">
      <c r="A10258" t="s">
        <v>19829</v>
      </c>
      <c r="B10258" t="s">
        <v>19830</v>
      </c>
      <c r="C10258" t="s">
        <v>40</v>
      </c>
      <c r="D10258" t="s">
        <v>41</v>
      </c>
      <c r="E10258" s="6">
        <v>-28689</v>
      </c>
      <c r="F10258" t="s">
        <v>194</v>
      </c>
      <c r="G10258" t="s">
        <v>20</v>
      </c>
      <c r="H10258" t="s">
        <v>21</v>
      </c>
      <c r="I10258" t="s">
        <v>19831</v>
      </c>
      <c r="J10258" t="str">
        <f>HYPERLINK("https://www.boe.es/gazeta/dias/1821/06/13/pdfs/GMD-1821-166.pdf#page=3","Abrir facsímil")</f>
        <v>Abrir facsímil</v>
      </c>
      <c r="K10258" t="s">
        <v>23</v>
      </c>
    </row>
    <row r="10259" spans="1:11" ht="42" customHeight="1">
      <c r="A10259" t="s">
        <v>19832</v>
      </c>
      <c r="B10259" t="s">
        <v>19833</v>
      </c>
      <c r="C10259" t="s">
        <v>40</v>
      </c>
      <c r="D10259" t="s">
        <v>41</v>
      </c>
      <c r="E10259" s="6">
        <v>-28726</v>
      </c>
      <c r="F10259" t="s">
        <v>347</v>
      </c>
      <c r="G10259" t="s">
        <v>20</v>
      </c>
      <c r="H10259" t="s">
        <v>21</v>
      </c>
      <c r="I10259" t="s">
        <v>19834</v>
      </c>
      <c r="J10259" t="str">
        <f>HYPERLINK("https://www.boe.es/gazeta/dias/1821/05/07/pdfs/GMD-1821-129.pdf#page=3","Abrir facsímil")</f>
        <v>Abrir facsímil</v>
      </c>
      <c r="K10259" t="s">
        <v>23</v>
      </c>
    </row>
    <row r="10260" spans="1:11" ht="42" customHeight="1">
      <c r="A10260" t="s">
        <v>19835</v>
      </c>
      <c r="B10260" t="s">
        <v>19835</v>
      </c>
      <c r="C10260" t="s">
        <v>17</v>
      </c>
      <c r="D10260" t="s">
        <v>18</v>
      </c>
      <c r="E10260" s="6">
        <v>-28766</v>
      </c>
      <c r="F10260" t="s">
        <v>1481</v>
      </c>
      <c r="G10260" t="s">
        <v>52</v>
      </c>
      <c r="H10260" t="s">
        <v>21</v>
      </c>
      <c r="I10260" t="s">
        <v>19836</v>
      </c>
      <c r="J10260" t="str">
        <f>HYPERLINK("https://www.boe.es/gazeta/dias/1821/03/28/pdfs/GMD-1821-88.pdf#page=2","Abrir facsímil")</f>
        <v>Abrir facsímil</v>
      </c>
      <c r="K10260" t="s">
        <v>23</v>
      </c>
    </row>
    <row r="10261" spans="1:11" ht="42" customHeight="1">
      <c r="A10261" t="s">
        <v>19837</v>
      </c>
      <c r="B10261" t="s">
        <v>19838</v>
      </c>
      <c r="C10261" t="s">
        <v>40</v>
      </c>
      <c r="D10261" t="s">
        <v>41</v>
      </c>
      <c r="E10261" s="6">
        <v>-28762</v>
      </c>
      <c r="F10261" t="s">
        <v>608</v>
      </c>
      <c r="G10261" t="s">
        <v>88</v>
      </c>
      <c r="H10261" t="s">
        <v>21</v>
      </c>
      <c r="I10261" t="s">
        <v>19839</v>
      </c>
      <c r="J10261" t="str">
        <f>HYPERLINK("https://www.boe.es/gazeta/dias/1821/04/01/pdfs/GMD-1821-93.pdf#page=4","Abrir facsímil")</f>
        <v>Abrir facsímil</v>
      </c>
      <c r="K10261" t="s">
        <v>23</v>
      </c>
    </row>
    <row r="10262" spans="1:11" ht="42" customHeight="1">
      <c r="A10262" t="s">
        <v>19840</v>
      </c>
      <c r="B10262" t="s">
        <v>19841</v>
      </c>
      <c r="C10262" t="s">
        <v>174</v>
      </c>
      <c r="D10262" t="s">
        <v>27</v>
      </c>
      <c r="E10262" s="6">
        <v>-28530</v>
      </c>
      <c r="F10262" t="s">
        <v>237</v>
      </c>
      <c r="G10262" t="s">
        <v>52</v>
      </c>
      <c r="H10262" t="s">
        <v>21</v>
      </c>
      <c r="I10262" t="s">
        <v>19842</v>
      </c>
      <c r="J10262" t="str">
        <f>HYPERLINK("https://www.boe.es/gazeta/dias/1821/11/19/pdfs/GMD-1821-330.pdf#page=2","Abrir facsímil")</f>
        <v>Abrir facsímil</v>
      </c>
      <c r="K10262" t="s">
        <v>23</v>
      </c>
    </row>
    <row r="10263" spans="1:11" ht="42" customHeight="1">
      <c r="A10263" t="s">
        <v>19843</v>
      </c>
      <c r="B10263" t="s">
        <v>19844</v>
      </c>
      <c r="C10263" t="s">
        <v>17</v>
      </c>
      <c r="D10263" t="s">
        <v>18</v>
      </c>
      <c r="E10263" s="6">
        <v>-28496</v>
      </c>
      <c r="F10263" t="s">
        <v>785</v>
      </c>
      <c r="G10263" t="s">
        <v>88</v>
      </c>
      <c r="H10263" t="s">
        <v>21</v>
      </c>
      <c r="I10263" t="s">
        <v>19845</v>
      </c>
      <c r="J10263" t="str">
        <f>HYPERLINK("https://www.boe.es/gazeta/dias/1821/12/23/pdfs/GMD-1821-366.pdf#page=4","Abrir facsímil")</f>
        <v>Abrir facsímil</v>
      </c>
      <c r="K10263" t="s">
        <v>23</v>
      </c>
    </row>
    <row r="10264" spans="1:11" ht="42" customHeight="1">
      <c r="A10264" t="s">
        <v>19846</v>
      </c>
      <c r="B10264" t="s">
        <v>19847</v>
      </c>
      <c r="C10264" t="s">
        <v>17</v>
      </c>
      <c r="D10264" t="s">
        <v>18</v>
      </c>
      <c r="E10264" s="6">
        <v>-28809</v>
      </c>
      <c r="F10264" t="s">
        <v>1173</v>
      </c>
      <c r="G10264" t="s">
        <v>20</v>
      </c>
      <c r="H10264" t="s">
        <v>21</v>
      </c>
      <c r="I10264" t="s">
        <v>19848</v>
      </c>
      <c r="J10264" t="str">
        <f>HYPERLINK("https://www.boe.es/gazeta/dias/1821/02/13/pdfs/GGB-1821-44.pdf#page=3","Abrir facsímil")</f>
        <v>Abrir facsímil</v>
      </c>
      <c r="K10264" t="s">
        <v>23</v>
      </c>
    </row>
    <row r="10265" spans="1:11" ht="42" customHeight="1">
      <c r="A10265" t="s">
        <v>19849</v>
      </c>
      <c r="B10265" t="s">
        <v>19849</v>
      </c>
      <c r="C10265" t="s">
        <v>17</v>
      </c>
      <c r="D10265" t="s">
        <v>18</v>
      </c>
      <c r="E10265" s="6">
        <v>-28844</v>
      </c>
      <c r="F10265" t="s">
        <v>1743</v>
      </c>
      <c r="G10265" t="s">
        <v>20</v>
      </c>
      <c r="H10265" t="s">
        <v>21</v>
      </c>
      <c r="I10265" t="s">
        <v>19850</v>
      </c>
      <c r="J10265" t="str">
        <f>HYPERLINK("https://www.boe.es/gazeta/dias/1821/01/09/pdfs/GGB-1821-9.pdf#page=3","Abrir facsímil")</f>
        <v>Abrir facsímil</v>
      </c>
      <c r="K10265" t="s">
        <v>23</v>
      </c>
    </row>
    <row r="10266" spans="1:11" ht="42" customHeight="1">
      <c r="A10266" t="s">
        <v>19851</v>
      </c>
      <c r="B10266" t="s">
        <v>19851</v>
      </c>
      <c r="C10266" t="s">
        <v>40</v>
      </c>
      <c r="D10266" t="s">
        <v>41</v>
      </c>
      <c r="E10266" s="6">
        <v>-28515</v>
      </c>
      <c r="F10266" t="s">
        <v>260</v>
      </c>
      <c r="G10266" t="s">
        <v>20</v>
      </c>
      <c r="H10266" t="s">
        <v>21</v>
      </c>
      <c r="I10266" t="s">
        <v>19852</v>
      </c>
      <c r="J10266" t="str">
        <f>HYPERLINK("https://www.boe.es/gazeta/dias/1821/12/04/pdfs/GMD-1821-346.pdf#page=3","Abrir facsímil")</f>
        <v>Abrir facsímil</v>
      </c>
      <c r="K10266" t="s">
        <v>23</v>
      </c>
    </row>
    <row r="10267" spans="1:11" ht="42" customHeight="1">
      <c r="A10267" t="s">
        <v>19853</v>
      </c>
      <c r="B10267" t="s">
        <v>19853</v>
      </c>
      <c r="C10267" t="s">
        <v>40</v>
      </c>
      <c r="D10267" t="s">
        <v>41</v>
      </c>
      <c r="E10267" s="6">
        <v>-28564</v>
      </c>
      <c r="F10267" t="s">
        <v>861</v>
      </c>
      <c r="G10267" t="s">
        <v>52</v>
      </c>
      <c r="H10267" t="s">
        <v>21</v>
      </c>
      <c r="I10267" t="s">
        <v>19854</v>
      </c>
      <c r="J10267" t="str">
        <f>HYPERLINK("https://www.boe.es/gazeta/dias/1821/10/16/pdfs/GMD-1821-295.pdf#page=2","Abrir facsímil")</f>
        <v>Abrir facsímil</v>
      </c>
      <c r="K10267" t="s">
        <v>23</v>
      </c>
    </row>
    <row r="10268" spans="1:11" ht="42" customHeight="1">
      <c r="A10268" t="s">
        <v>19855</v>
      </c>
      <c r="B10268" t="s">
        <v>19856</v>
      </c>
      <c r="C10268" t="s">
        <v>174</v>
      </c>
      <c r="D10268" t="s">
        <v>27</v>
      </c>
      <c r="E10268" s="6">
        <v>-28541</v>
      </c>
      <c r="F10268" t="s">
        <v>275</v>
      </c>
      <c r="G10268" t="s">
        <v>52</v>
      </c>
      <c r="H10268" t="s">
        <v>21</v>
      </c>
      <c r="I10268" t="s">
        <v>19857</v>
      </c>
      <c r="J10268" t="str">
        <f>HYPERLINK("https://www.boe.es/gazeta/dias/1821/11/08/pdfs/GMD-1821-319.pdf#page=2","Abrir facsímil")</f>
        <v>Abrir facsímil</v>
      </c>
      <c r="K10268" t="s">
        <v>23</v>
      </c>
    </row>
    <row r="10269" spans="1:11" ht="42" customHeight="1">
      <c r="A10269" t="s">
        <v>19858</v>
      </c>
      <c r="B10269" t="s">
        <v>19858</v>
      </c>
      <c r="C10269" t="s">
        <v>40</v>
      </c>
      <c r="D10269" t="s">
        <v>41</v>
      </c>
      <c r="E10269" s="6">
        <v>-28770</v>
      </c>
      <c r="F10269" t="s">
        <v>1009</v>
      </c>
      <c r="G10269" t="s">
        <v>162</v>
      </c>
      <c r="H10269" t="s">
        <v>21</v>
      </c>
      <c r="I10269" t="s">
        <v>19859</v>
      </c>
      <c r="J10269" t="str">
        <f>HYPERLINK("https://www.boe.es/gazeta/dias/1821/03/24/pdfs/GMD-1821-84.pdf#page=5","Abrir facsímil")</f>
        <v>Abrir facsímil</v>
      </c>
      <c r="K10269" t="s">
        <v>23</v>
      </c>
    </row>
    <row r="10270" spans="1:11" ht="42" customHeight="1">
      <c r="A10270" t="s">
        <v>19860</v>
      </c>
      <c r="B10270" t="s">
        <v>19860</v>
      </c>
      <c r="C10270" t="s">
        <v>40</v>
      </c>
      <c r="D10270" t="s">
        <v>41</v>
      </c>
      <c r="E10270" s="6">
        <v>-28733</v>
      </c>
      <c r="F10270" t="s">
        <v>1033</v>
      </c>
      <c r="G10270" t="s">
        <v>43</v>
      </c>
      <c r="H10270" t="s">
        <v>21</v>
      </c>
      <c r="I10270" t="s">
        <v>19861</v>
      </c>
      <c r="J10270" t="str">
        <f>HYPERLINK("https://www.boe.es/gazeta/dias/1821/04/30/pdfs/GMD-1821-122.pdf#page=1","Abrir facsímil")</f>
        <v>Abrir facsímil</v>
      </c>
      <c r="K10270" t="s">
        <v>23</v>
      </c>
    </row>
    <row r="10271" spans="1:11" ht="42" customHeight="1">
      <c r="A10271" t="s">
        <v>19860</v>
      </c>
      <c r="B10271" t="s">
        <v>19860</v>
      </c>
      <c r="C10271" t="s">
        <v>17</v>
      </c>
      <c r="D10271" t="s">
        <v>18</v>
      </c>
      <c r="E10271" s="6">
        <v>-28589</v>
      </c>
      <c r="F10271" t="s">
        <v>3130</v>
      </c>
      <c r="G10271" t="s">
        <v>20</v>
      </c>
      <c r="H10271" t="s">
        <v>21</v>
      </c>
      <c r="I10271" t="s">
        <v>19862</v>
      </c>
      <c r="J10271" t="str">
        <f>HYPERLINK("https://www.boe.es/gazeta/dias/1821/09/21/pdfs/GMD-1821-269.pdf#page=3","Abrir facsímil")</f>
        <v>Abrir facsímil</v>
      </c>
      <c r="K10271" t="s">
        <v>23</v>
      </c>
    </row>
    <row r="10272" spans="1:11" ht="42" customHeight="1">
      <c r="A10272" t="s">
        <v>19863</v>
      </c>
      <c r="B10272" t="s">
        <v>19864</v>
      </c>
      <c r="C10272" t="s">
        <v>26</v>
      </c>
      <c r="D10272" t="s">
        <v>27</v>
      </c>
      <c r="E10272" s="6">
        <v>-28667</v>
      </c>
      <c r="F10272" t="s">
        <v>107</v>
      </c>
      <c r="G10272" t="s">
        <v>52</v>
      </c>
      <c r="H10272" t="s">
        <v>21</v>
      </c>
      <c r="I10272" t="s">
        <v>19865</v>
      </c>
      <c r="J10272" t="str">
        <f>HYPERLINK("https://www.boe.es/gazeta/dias/1821/07/05/pdfs/GMD-1821-189.pdf#page=2","Abrir facsímil")</f>
        <v>Abrir facsímil</v>
      </c>
      <c r="K10272" t="s">
        <v>23</v>
      </c>
    </row>
    <row r="10273" spans="1:11" ht="42" customHeight="1">
      <c r="A10273" t="s">
        <v>19866</v>
      </c>
      <c r="B10273" t="s">
        <v>19867</v>
      </c>
      <c r="C10273" t="s">
        <v>70</v>
      </c>
      <c r="D10273" t="s">
        <v>27</v>
      </c>
      <c r="E10273" s="6">
        <v>-28716</v>
      </c>
      <c r="F10273" t="s">
        <v>842</v>
      </c>
      <c r="G10273" t="s">
        <v>88</v>
      </c>
      <c r="H10273" t="s">
        <v>21</v>
      </c>
      <c r="I10273" t="s">
        <v>19868</v>
      </c>
      <c r="J10273" t="str">
        <f>HYPERLINK("https://www.boe.es/gazeta/dias/1821/05/17/pdfs/GMD-1821-139.pdf#page=4","Abrir facsímil")</f>
        <v>Abrir facsímil</v>
      </c>
      <c r="K10273" t="s">
        <v>23</v>
      </c>
    </row>
    <row r="10274" spans="1:11" ht="42" customHeight="1">
      <c r="A10274" t="s">
        <v>19869</v>
      </c>
      <c r="B10274" t="s">
        <v>19870</v>
      </c>
      <c r="C10274" t="s">
        <v>40</v>
      </c>
      <c r="D10274" t="s">
        <v>41</v>
      </c>
      <c r="E10274" s="6">
        <v>-28694</v>
      </c>
      <c r="F10274" t="s">
        <v>1057</v>
      </c>
      <c r="G10274" t="s">
        <v>43</v>
      </c>
      <c r="H10274" t="s">
        <v>21</v>
      </c>
      <c r="I10274" t="s">
        <v>19871</v>
      </c>
      <c r="J10274" t="str">
        <f>HYPERLINK("https://www.boe.es/gazeta/dias/1821/06/08/pdfs/GMD-1821-161.pdf#page=1","Abrir facsímil")</f>
        <v>Abrir facsímil</v>
      </c>
      <c r="K10274" t="s">
        <v>23</v>
      </c>
    </row>
    <row r="10275" spans="1:11" ht="42" customHeight="1">
      <c r="A10275" t="s">
        <v>19872</v>
      </c>
      <c r="B10275" t="s">
        <v>19872</v>
      </c>
      <c r="C10275" t="s">
        <v>40</v>
      </c>
      <c r="D10275" t="s">
        <v>41</v>
      </c>
      <c r="E10275" s="6">
        <v>-28679</v>
      </c>
      <c r="F10275" t="s">
        <v>213</v>
      </c>
      <c r="G10275" t="s">
        <v>43</v>
      </c>
      <c r="H10275" t="s">
        <v>21</v>
      </c>
      <c r="I10275" t="s">
        <v>19873</v>
      </c>
      <c r="J10275" t="str">
        <f>HYPERLINK("https://www.boe.es/gazeta/dias/1821/06/23/pdfs/GMD-1821-176.pdf#page=1","Abrir facsímil")</f>
        <v>Abrir facsímil</v>
      </c>
      <c r="K10275" t="s">
        <v>23</v>
      </c>
    </row>
    <row r="10276" spans="1:11" ht="42" customHeight="1">
      <c r="A10276" t="s">
        <v>19874</v>
      </c>
      <c r="B10276" t="s">
        <v>19874</v>
      </c>
      <c r="C10276" t="s">
        <v>17</v>
      </c>
      <c r="D10276" t="s">
        <v>18</v>
      </c>
      <c r="E10276" s="6">
        <v>-28848</v>
      </c>
      <c r="F10276" t="s">
        <v>5247</v>
      </c>
      <c r="G10276" t="s">
        <v>52</v>
      </c>
      <c r="H10276" t="s">
        <v>21</v>
      </c>
      <c r="I10276" t="s">
        <v>19875</v>
      </c>
      <c r="J10276" t="str">
        <f>HYPERLINK("https://www.boe.es/gazeta/dias/1821/01/05/pdfs/GGB-1821-5.pdf#page=2","Abrir facsímil")</f>
        <v>Abrir facsímil</v>
      </c>
      <c r="K10276" t="s">
        <v>23</v>
      </c>
    </row>
    <row r="10277" spans="1:11" ht="42" customHeight="1">
      <c r="A10277" t="s">
        <v>19876</v>
      </c>
      <c r="B10277" t="s">
        <v>19876</v>
      </c>
      <c r="C10277" t="s">
        <v>40</v>
      </c>
      <c r="D10277" t="s">
        <v>41</v>
      </c>
      <c r="E10277" s="6">
        <v>-28639</v>
      </c>
      <c r="F10277" t="s">
        <v>3316</v>
      </c>
      <c r="G10277" t="s">
        <v>43</v>
      </c>
      <c r="H10277" t="s">
        <v>21</v>
      </c>
      <c r="I10277" t="s">
        <v>19877</v>
      </c>
      <c r="J10277" t="str">
        <f>HYPERLINK("https://www.boe.es/gazeta/dias/1821/08/02/pdfs/GMD-1821-218.pdf#page=1","Abrir facsímil")</f>
        <v>Abrir facsímil</v>
      </c>
      <c r="K10277" t="s">
        <v>23</v>
      </c>
    </row>
    <row r="10278" spans="1:11" ht="42" customHeight="1">
      <c r="A10278" t="s">
        <v>19878</v>
      </c>
      <c r="B10278" t="s">
        <v>19879</v>
      </c>
      <c r="C10278" t="s">
        <v>40</v>
      </c>
      <c r="D10278" t="s">
        <v>41</v>
      </c>
      <c r="E10278" s="6">
        <v>-28793</v>
      </c>
      <c r="F10278" t="s">
        <v>157</v>
      </c>
      <c r="G10278" t="s">
        <v>29</v>
      </c>
      <c r="H10278" t="s">
        <v>21</v>
      </c>
      <c r="I10278" t="s">
        <v>19880</v>
      </c>
      <c r="J10278" t="str">
        <f>HYPERLINK("https://www.boe.es/gazeta/dias/1821/03/01/pdfs/GGB-1821-60.pdf#page=6","Abrir facsímil")</f>
        <v>Abrir facsímil</v>
      </c>
      <c r="K10278" t="s">
        <v>23</v>
      </c>
    </row>
    <row r="10279" spans="1:11" ht="42" customHeight="1">
      <c r="A10279" t="s">
        <v>19881</v>
      </c>
      <c r="B10279" t="s">
        <v>19881</v>
      </c>
      <c r="C10279" t="s">
        <v>35</v>
      </c>
      <c r="D10279" t="s">
        <v>27</v>
      </c>
      <c r="E10279" s="6">
        <v>-28631</v>
      </c>
      <c r="F10279" t="s">
        <v>751</v>
      </c>
      <c r="G10279" t="s">
        <v>43</v>
      </c>
      <c r="H10279" t="s">
        <v>21</v>
      </c>
      <c r="I10279" t="s">
        <v>19882</v>
      </c>
      <c r="J10279" t="str">
        <f>HYPERLINK("https://www.boe.es/gazeta/dias/1821/08/10/pdfs/GMD-1821-227.pdf#page=1","Abrir facsímil")</f>
        <v>Abrir facsímil</v>
      </c>
      <c r="K10279" t="s">
        <v>23</v>
      </c>
    </row>
    <row r="10280" spans="1:11" ht="42" customHeight="1">
      <c r="A10280" t="s">
        <v>19883</v>
      </c>
      <c r="B10280" t="s">
        <v>19883</v>
      </c>
      <c r="C10280" t="s">
        <v>40</v>
      </c>
      <c r="D10280" t="s">
        <v>41</v>
      </c>
      <c r="E10280" s="6">
        <v>-28849</v>
      </c>
      <c r="F10280" t="s">
        <v>1989</v>
      </c>
      <c r="G10280" t="s">
        <v>20</v>
      </c>
      <c r="H10280" t="s">
        <v>21</v>
      </c>
      <c r="I10280" t="s">
        <v>19884</v>
      </c>
      <c r="J10280" t="str">
        <f>HYPERLINK("https://www.boe.es/gazeta/dias/1821/01/04/pdfs/GGB-1821-4.pdf#page=3","Abrir facsímil")</f>
        <v>Abrir facsímil</v>
      </c>
      <c r="K10280" t="s">
        <v>23</v>
      </c>
    </row>
    <row r="10281" spans="1:11" ht="42" customHeight="1">
      <c r="A10281" t="s">
        <v>19883</v>
      </c>
      <c r="B10281" t="s">
        <v>19883</v>
      </c>
      <c r="C10281" t="s">
        <v>17</v>
      </c>
      <c r="D10281" t="s">
        <v>18</v>
      </c>
      <c r="E10281" s="6">
        <v>-28845</v>
      </c>
      <c r="F10281" t="s">
        <v>5185</v>
      </c>
      <c r="G10281" t="s">
        <v>43</v>
      </c>
      <c r="H10281" t="s">
        <v>21</v>
      </c>
      <c r="I10281" t="s">
        <v>19885</v>
      </c>
      <c r="J10281" t="str">
        <f>HYPERLINK("https://www.boe.es/gazeta/dias/1821/01/08/pdfs/GGB-1821-8.pdf#page=1","Abrir facsímil")</f>
        <v>Abrir facsímil</v>
      </c>
      <c r="K10281" t="s">
        <v>23</v>
      </c>
    </row>
    <row r="10282" spans="1:11" ht="42" customHeight="1">
      <c r="A10282" t="s">
        <v>19883</v>
      </c>
      <c r="B10282" t="s">
        <v>19883</v>
      </c>
      <c r="C10282" t="s">
        <v>26</v>
      </c>
      <c r="D10282" t="s">
        <v>27</v>
      </c>
      <c r="E10282" s="6">
        <v>-28841</v>
      </c>
      <c r="F10282" t="s">
        <v>765</v>
      </c>
      <c r="G10282" t="s">
        <v>52</v>
      </c>
      <c r="H10282" t="s">
        <v>21</v>
      </c>
      <c r="I10282" t="s">
        <v>19886</v>
      </c>
      <c r="J10282" t="str">
        <f>HYPERLINK("https://www.boe.es/gazeta/dias/1821/01/12/pdfs/GGB-1821-12.pdf#page=2","Abrir facsímil")</f>
        <v>Abrir facsímil</v>
      </c>
      <c r="K10282" t="s">
        <v>23</v>
      </c>
    </row>
    <row r="10283" spans="1:11" ht="42" customHeight="1">
      <c r="A10283" t="s">
        <v>19883</v>
      </c>
      <c r="B10283" t="s">
        <v>19883</v>
      </c>
      <c r="C10283" t="s">
        <v>26</v>
      </c>
      <c r="D10283" t="s">
        <v>27</v>
      </c>
      <c r="E10283" s="6">
        <v>-28840</v>
      </c>
      <c r="F10283" t="s">
        <v>161</v>
      </c>
      <c r="G10283" t="s">
        <v>20</v>
      </c>
      <c r="H10283" t="s">
        <v>21</v>
      </c>
      <c r="I10283" t="s">
        <v>19887</v>
      </c>
      <c r="J10283" t="str">
        <f>HYPERLINK("https://www.boe.es/gazeta/dias/1821/01/13/pdfs/GGB-1821-13.pdf#page=3","Abrir facsímil")</f>
        <v>Abrir facsímil</v>
      </c>
      <c r="K10283" t="s">
        <v>23</v>
      </c>
    </row>
    <row r="10284" spans="1:11" ht="42" customHeight="1">
      <c r="A10284" t="s">
        <v>19883</v>
      </c>
      <c r="B10284" t="s">
        <v>19883</v>
      </c>
      <c r="C10284" t="s">
        <v>17</v>
      </c>
      <c r="D10284" t="s">
        <v>18</v>
      </c>
      <c r="E10284" s="6">
        <v>-28832</v>
      </c>
      <c r="F10284" t="s">
        <v>353</v>
      </c>
      <c r="G10284" t="s">
        <v>12069</v>
      </c>
      <c r="H10284" t="s">
        <v>21</v>
      </c>
      <c r="I10284" t="s">
        <v>19888</v>
      </c>
      <c r="J10284" t="str">
        <f>HYPERLINK("https://www.boe.es/gazeta/dias/1821/01/21/pdfs/GGB-1821-21.pdf#page=1","Abrir facsímil")</f>
        <v>Abrir facsímil</v>
      </c>
      <c r="K10284" t="s">
        <v>23</v>
      </c>
    </row>
    <row r="10285" spans="1:11" ht="42" customHeight="1">
      <c r="A10285" t="s">
        <v>19883</v>
      </c>
      <c r="B10285" t="s">
        <v>19883</v>
      </c>
      <c r="C10285" t="s">
        <v>26</v>
      </c>
      <c r="D10285" t="s">
        <v>27</v>
      </c>
      <c r="E10285" s="6">
        <v>-28824</v>
      </c>
      <c r="F10285" t="s">
        <v>1227</v>
      </c>
      <c r="G10285" t="s">
        <v>43</v>
      </c>
      <c r="H10285" t="s">
        <v>21</v>
      </c>
      <c r="I10285" t="s">
        <v>19889</v>
      </c>
      <c r="J10285" t="str">
        <f>HYPERLINK("https://www.boe.es/gazeta/dias/1821/01/29/pdfs/GGB-1821-29.pdf#page=1","Abrir facsímil")</f>
        <v>Abrir facsímil</v>
      </c>
      <c r="K10285" t="s">
        <v>23</v>
      </c>
    </row>
    <row r="10286" spans="1:11" ht="42" customHeight="1">
      <c r="A10286" t="s">
        <v>19883</v>
      </c>
      <c r="B10286" t="s">
        <v>19883</v>
      </c>
      <c r="C10286" t="s">
        <v>17</v>
      </c>
      <c r="D10286" t="s">
        <v>18</v>
      </c>
      <c r="E10286" s="6">
        <v>-28821</v>
      </c>
      <c r="F10286" t="s">
        <v>371</v>
      </c>
      <c r="G10286" t="s">
        <v>43</v>
      </c>
      <c r="H10286" t="s">
        <v>21</v>
      </c>
      <c r="I10286" t="s">
        <v>19890</v>
      </c>
      <c r="J10286" t="str">
        <f>HYPERLINK("https://www.boe.es/gazeta/dias/1821/02/01/pdfs/GGB-1821-32.pdf#page=1","Abrir facsímil")</f>
        <v>Abrir facsímil</v>
      </c>
      <c r="K10286" t="s">
        <v>23</v>
      </c>
    </row>
    <row r="10287" spans="1:11" ht="42" customHeight="1">
      <c r="A10287" t="s">
        <v>19883</v>
      </c>
      <c r="B10287" t="s">
        <v>19883</v>
      </c>
      <c r="C10287" t="s">
        <v>17</v>
      </c>
      <c r="D10287" t="s">
        <v>18</v>
      </c>
      <c r="E10287" s="6">
        <v>-28813</v>
      </c>
      <c r="F10287" t="s">
        <v>268</v>
      </c>
      <c r="G10287" t="s">
        <v>43</v>
      </c>
      <c r="H10287" t="s">
        <v>21</v>
      </c>
      <c r="I10287" t="s">
        <v>19891</v>
      </c>
      <c r="J10287" t="str">
        <f>HYPERLINK("https://www.boe.es/gazeta/dias/1821/02/09/pdfs/GGB-1821-40.pdf#page=1","Abrir facsímil")</f>
        <v>Abrir facsímil</v>
      </c>
      <c r="K10287" t="s">
        <v>23</v>
      </c>
    </row>
    <row r="10288" spans="1:11" ht="42" customHeight="1">
      <c r="A10288" t="s">
        <v>19883</v>
      </c>
      <c r="B10288" t="s">
        <v>19883</v>
      </c>
      <c r="C10288" t="s">
        <v>17</v>
      </c>
      <c r="D10288" t="s">
        <v>18</v>
      </c>
      <c r="E10288" s="6">
        <v>-28804</v>
      </c>
      <c r="F10288" t="s">
        <v>1580</v>
      </c>
      <c r="G10288" t="s">
        <v>43</v>
      </c>
      <c r="H10288" t="s">
        <v>21</v>
      </c>
      <c r="I10288" t="s">
        <v>19892</v>
      </c>
      <c r="J10288" t="str">
        <f>HYPERLINK("https://www.boe.es/gazeta/dias/1821/02/18/pdfs/GGB-1821-49.pdf#page=1","Abrir facsímil")</f>
        <v>Abrir facsímil</v>
      </c>
      <c r="K10288" t="s">
        <v>23</v>
      </c>
    </row>
    <row r="10289" spans="1:11" ht="42" customHeight="1">
      <c r="A10289" t="s">
        <v>19883</v>
      </c>
      <c r="B10289" t="s">
        <v>19883</v>
      </c>
      <c r="C10289" t="s">
        <v>35</v>
      </c>
      <c r="D10289" t="s">
        <v>27</v>
      </c>
      <c r="E10289" s="6">
        <v>-28802</v>
      </c>
      <c r="F10289" t="s">
        <v>4814</v>
      </c>
      <c r="G10289" t="s">
        <v>43</v>
      </c>
      <c r="H10289" t="s">
        <v>21</v>
      </c>
      <c r="I10289" t="s">
        <v>19893</v>
      </c>
      <c r="J10289" t="str">
        <f>HYPERLINK("https://www.boe.es/gazeta/dias/1821/02/20/pdfs/GGB-1821-51.pdf#page=1","Abrir facsímil")</f>
        <v>Abrir facsímil</v>
      </c>
      <c r="K10289" t="s">
        <v>23</v>
      </c>
    </row>
    <row r="10290" spans="1:11" ht="42" customHeight="1">
      <c r="A10290" t="s">
        <v>19883</v>
      </c>
      <c r="B10290" t="s">
        <v>19883</v>
      </c>
      <c r="C10290" t="s">
        <v>35</v>
      </c>
      <c r="D10290" t="s">
        <v>27</v>
      </c>
      <c r="E10290" s="6">
        <v>-28801</v>
      </c>
      <c r="F10290" t="s">
        <v>378</v>
      </c>
      <c r="G10290" t="s">
        <v>43</v>
      </c>
      <c r="H10290" t="s">
        <v>21</v>
      </c>
      <c r="I10290" t="s">
        <v>19894</v>
      </c>
      <c r="J10290" t="str">
        <f>HYPERLINK("https://www.boe.es/gazeta/dias/1821/02/21/pdfs/GGB-1821-52.pdf#page=1","Abrir facsímil")</f>
        <v>Abrir facsímil</v>
      </c>
      <c r="K10290" t="s">
        <v>23</v>
      </c>
    </row>
    <row r="10291" spans="1:11" ht="42" customHeight="1">
      <c r="A10291" t="s">
        <v>19883</v>
      </c>
      <c r="B10291" t="s">
        <v>19883</v>
      </c>
      <c r="C10291" t="s">
        <v>40</v>
      </c>
      <c r="D10291" t="s">
        <v>41</v>
      </c>
      <c r="E10291" s="6">
        <v>-28784</v>
      </c>
      <c r="F10291" t="s">
        <v>451</v>
      </c>
      <c r="G10291" t="s">
        <v>43</v>
      </c>
      <c r="H10291" t="s">
        <v>21</v>
      </c>
      <c r="I10291" t="s">
        <v>19895</v>
      </c>
      <c r="J10291" t="str">
        <f>HYPERLINK("https://www.boe.es/gazeta/dias/1821/03/10/pdfs/GGB-1821-69.pdf#page=1","Abrir facsímil")</f>
        <v>Abrir facsímil</v>
      </c>
      <c r="K10291" t="s">
        <v>23</v>
      </c>
    </row>
    <row r="10292" spans="1:11" ht="42" customHeight="1">
      <c r="A10292" t="s">
        <v>19883</v>
      </c>
      <c r="B10292" t="s">
        <v>19883</v>
      </c>
      <c r="C10292" t="s">
        <v>114</v>
      </c>
      <c r="D10292" t="s">
        <v>27</v>
      </c>
      <c r="E10292" s="6">
        <v>-28660</v>
      </c>
      <c r="F10292" t="s">
        <v>7202</v>
      </c>
      <c r="G10292" t="s">
        <v>20</v>
      </c>
      <c r="H10292" t="s">
        <v>21</v>
      </c>
      <c r="I10292" t="s">
        <v>19896</v>
      </c>
      <c r="J10292" t="str">
        <f>HYPERLINK("https://www.boe.es/gazeta/dias/1821/07/12/pdfs/GMD-1821-197.pdf#page=3","Abrir facsímil")</f>
        <v>Abrir facsímil</v>
      </c>
      <c r="K10292" t="s">
        <v>23</v>
      </c>
    </row>
    <row r="10293" spans="1:11" ht="42" customHeight="1">
      <c r="A10293" t="s">
        <v>19897</v>
      </c>
      <c r="B10293" t="s">
        <v>19897</v>
      </c>
      <c r="C10293" t="s">
        <v>17</v>
      </c>
      <c r="D10293" t="s">
        <v>18</v>
      </c>
      <c r="E10293" s="6">
        <v>-28791</v>
      </c>
      <c r="F10293" t="s">
        <v>47</v>
      </c>
      <c r="G10293" t="s">
        <v>88</v>
      </c>
      <c r="H10293" t="s">
        <v>21</v>
      </c>
      <c r="I10293" t="s">
        <v>19898</v>
      </c>
      <c r="J10293" t="str">
        <f>HYPERLINK("https://www.boe.es/gazeta/dias/1821/03/03/pdfs/GGB-1821-62.pdf#page=4","Abrir facsímil")</f>
        <v>Abrir facsímil</v>
      </c>
      <c r="K10293" t="s">
        <v>23</v>
      </c>
    </row>
    <row r="10294" spans="1:11" ht="42" customHeight="1">
      <c r="A10294" t="s">
        <v>19899</v>
      </c>
      <c r="B10294" t="s">
        <v>19899</v>
      </c>
      <c r="C10294" t="s">
        <v>40</v>
      </c>
      <c r="D10294" t="s">
        <v>41</v>
      </c>
      <c r="E10294" s="6">
        <v>-28777</v>
      </c>
      <c r="F10294" t="s">
        <v>1004</v>
      </c>
      <c r="G10294" t="s">
        <v>43</v>
      </c>
      <c r="H10294" t="s">
        <v>21</v>
      </c>
      <c r="I10294" t="s">
        <v>19900</v>
      </c>
      <c r="J10294" t="str">
        <f>HYPERLINK("https://www.boe.es/gazeta/dias/1821/03/17/pdfs/GMD-1821-76.pdf#page=1","Abrir facsímil")</f>
        <v>Abrir facsímil</v>
      </c>
      <c r="K10294" t="s">
        <v>23</v>
      </c>
    </row>
    <row r="10295" spans="1:11" ht="42" customHeight="1">
      <c r="A10295" t="s">
        <v>19901</v>
      </c>
      <c r="B10295" t="s">
        <v>19902</v>
      </c>
      <c r="C10295" t="s">
        <v>70</v>
      </c>
      <c r="D10295" t="s">
        <v>27</v>
      </c>
      <c r="E10295" s="6">
        <v>-28793</v>
      </c>
      <c r="F10295" t="s">
        <v>157</v>
      </c>
      <c r="G10295" t="s">
        <v>29</v>
      </c>
      <c r="H10295" t="s">
        <v>21</v>
      </c>
      <c r="I10295" t="s">
        <v>19903</v>
      </c>
      <c r="J10295" t="str">
        <f>HYPERLINK("https://www.boe.es/gazeta/dias/1821/03/01/pdfs/GGB-1821-60.pdf#page=6","Abrir facsímil")</f>
        <v>Abrir facsímil</v>
      </c>
      <c r="K10295" t="s">
        <v>23</v>
      </c>
    </row>
    <row r="10296" spans="1:11" ht="42" customHeight="1">
      <c r="A10296" t="s">
        <v>19904</v>
      </c>
      <c r="B10296" t="s">
        <v>19904</v>
      </c>
      <c r="C10296" t="s">
        <v>40</v>
      </c>
      <c r="D10296" t="s">
        <v>41</v>
      </c>
      <c r="E10296" s="6">
        <v>-28599</v>
      </c>
      <c r="F10296" t="s">
        <v>902</v>
      </c>
      <c r="G10296" t="s">
        <v>52</v>
      </c>
      <c r="H10296" t="s">
        <v>21</v>
      </c>
      <c r="I10296" t="s">
        <v>19905</v>
      </c>
      <c r="J10296" t="str">
        <f>HYPERLINK("https://www.boe.es/gazeta/dias/1821/09/11/pdfs/GMD-1821-259.pdf#page=2","Abrir facsímil")</f>
        <v>Abrir facsímil</v>
      </c>
      <c r="K10296" t="s">
        <v>23</v>
      </c>
    </row>
    <row r="10297" spans="1:11" ht="42" customHeight="1">
      <c r="A10297" t="s">
        <v>19906</v>
      </c>
      <c r="B10297" t="s">
        <v>19906</v>
      </c>
      <c r="C10297" t="s">
        <v>26</v>
      </c>
      <c r="D10297" t="s">
        <v>27</v>
      </c>
      <c r="E10297" s="6">
        <v>-28562</v>
      </c>
      <c r="F10297" t="s">
        <v>3093</v>
      </c>
      <c r="G10297" t="s">
        <v>43</v>
      </c>
      <c r="H10297" t="s">
        <v>21</v>
      </c>
      <c r="I10297" t="s">
        <v>19907</v>
      </c>
      <c r="J10297" t="str">
        <f>HYPERLINK("https://www.boe.es/gazeta/dias/1821/10/18/pdfs/GMD-1821-297.pdf#page=1","Abrir facsímil")</f>
        <v>Abrir facsímil</v>
      </c>
      <c r="K10297" t="s">
        <v>23</v>
      </c>
    </row>
    <row r="10298" spans="1:11" ht="42" customHeight="1">
      <c r="A10298" t="s">
        <v>19908</v>
      </c>
      <c r="B10298" t="s">
        <v>19908</v>
      </c>
      <c r="C10298" t="s">
        <v>26</v>
      </c>
      <c r="D10298" t="s">
        <v>27</v>
      </c>
      <c r="E10298" s="6">
        <v>-28541</v>
      </c>
      <c r="F10298" t="s">
        <v>275</v>
      </c>
      <c r="G10298" t="s">
        <v>43</v>
      </c>
      <c r="H10298" t="s">
        <v>21</v>
      </c>
      <c r="I10298" t="s">
        <v>19909</v>
      </c>
      <c r="J10298" t="str">
        <f>HYPERLINK("https://www.boe.es/gazeta/dias/1821/11/08/pdfs/GMD-1821-319.pdf#page=1","Abrir facsímil")</f>
        <v>Abrir facsímil</v>
      </c>
      <c r="K10298" t="s">
        <v>23</v>
      </c>
    </row>
    <row r="10299" spans="1:11" ht="42" customHeight="1">
      <c r="A10299" t="s">
        <v>19910</v>
      </c>
      <c r="B10299" t="s">
        <v>19910</v>
      </c>
      <c r="C10299" t="s">
        <v>17</v>
      </c>
      <c r="D10299" t="s">
        <v>18</v>
      </c>
      <c r="E10299" s="6">
        <v>-28796</v>
      </c>
      <c r="F10299" t="s">
        <v>1421</v>
      </c>
      <c r="G10299" t="s">
        <v>43</v>
      </c>
      <c r="H10299" t="s">
        <v>21</v>
      </c>
      <c r="I10299" t="s">
        <v>19911</v>
      </c>
      <c r="J10299" t="str">
        <f>HYPERLINK("https://www.boe.es/gazeta/dias/1821/02/26/pdfs/GGB-1821-57.pdf#page=1","Abrir facsímil")</f>
        <v>Abrir facsímil</v>
      </c>
      <c r="K10299" t="s">
        <v>23</v>
      </c>
    </row>
    <row r="10300" spans="1:11" ht="42" customHeight="1">
      <c r="A10300" t="s">
        <v>19910</v>
      </c>
      <c r="B10300" t="s">
        <v>19910</v>
      </c>
      <c r="C10300" t="s">
        <v>35</v>
      </c>
      <c r="D10300" t="s">
        <v>27</v>
      </c>
      <c r="E10300" s="6">
        <v>-28653</v>
      </c>
      <c r="F10300" t="s">
        <v>1179</v>
      </c>
      <c r="G10300" t="s">
        <v>43</v>
      </c>
      <c r="H10300" t="s">
        <v>21</v>
      </c>
      <c r="I10300" t="s">
        <v>19912</v>
      </c>
      <c r="J10300" t="str">
        <f>HYPERLINK("https://www.boe.es/gazeta/dias/1821/07/19/pdfs/GMD-1821-204.pdf#page=1","Abrir facsímil")</f>
        <v>Abrir facsímil</v>
      </c>
      <c r="K10300" t="s">
        <v>23</v>
      </c>
    </row>
    <row r="10301" spans="1:11" ht="42" customHeight="1">
      <c r="A10301" t="s">
        <v>19910</v>
      </c>
      <c r="B10301" t="s">
        <v>19910</v>
      </c>
      <c r="C10301" t="s">
        <v>40</v>
      </c>
      <c r="D10301" t="s">
        <v>41</v>
      </c>
      <c r="E10301" s="6">
        <v>-28624</v>
      </c>
      <c r="F10301" t="s">
        <v>78</v>
      </c>
      <c r="G10301" t="s">
        <v>9302</v>
      </c>
      <c r="H10301" t="s">
        <v>21</v>
      </c>
      <c r="I10301" t="s">
        <v>19913</v>
      </c>
      <c r="J10301" t="str">
        <f>HYPERLINK("https://www.boe.es/gazeta/dias/1821/08/17/pdfs/GMD-1821-234.pdf#page=2","Abrir facsímil")</f>
        <v>Abrir facsímil</v>
      </c>
      <c r="K10301" t="s">
        <v>23</v>
      </c>
    </row>
    <row r="10302" spans="1:11" ht="42" customHeight="1">
      <c r="A10302" t="s">
        <v>19910</v>
      </c>
      <c r="B10302" t="s">
        <v>19910</v>
      </c>
      <c r="C10302" t="s">
        <v>35</v>
      </c>
      <c r="D10302" t="s">
        <v>27</v>
      </c>
      <c r="E10302" s="6">
        <v>-28586</v>
      </c>
      <c r="F10302" t="s">
        <v>587</v>
      </c>
      <c r="G10302" t="s">
        <v>52</v>
      </c>
      <c r="H10302" t="s">
        <v>21</v>
      </c>
      <c r="I10302" t="s">
        <v>19914</v>
      </c>
      <c r="J10302" t="str">
        <f>HYPERLINK("https://www.boe.es/gazeta/dias/1821/09/24/pdfs/GMD-1821-272.pdf#page=2","Abrir facsímil")</f>
        <v>Abrir facsímil</v>
      </c>
      <c r="K10302" t="s">
        <v>23</v>
      </c>
    </row>
    <row r="10303" spans="1:11" ht="42" customHeight="1">
      <c r="A10303" t="s">
        <v>19910</v>
      </c>
      <c r="B10303" t="s">
        <v>19910</v>
      </c>
      <c r="C10303" t="s">
        <v>40</v>
      </c>
      <c r="D10303" t="s">
        <v>41</v>
      </c>
      <c r="E10303" s="6">
        <v>-28533</v>
      </c>
      <c r="F10303" t="s">
        <v>559</v>
      </c>
      <c r="G10303" t="s">
        <v>52</v>
      </c>
      <c r="H10303" t="s">
        <v>21</v>
      </c>
      <c r="I10303" t="s">
        <v>19915</v>
      </c>
      <c r="J10303" t="str">
        <f>HYPERLINK("https://www.boe.es/gazeta/dias/1821/11/16/pdfs/GMD-1821-327.pdf#page=2","Abrir facsímil")</f>
        <v>Abrir facsímil</v>
      </c>
      <c r="K10303" t="s">
        <v>23</v>
      </c>
    </row>
    <row r="10304" spans="1:11" ht="42" customHeight="1">
      <c r="A10304" t="s">
        <v>19910</v>
      </c>
      <c r="B10304" t="s">
        <v>19910</v>
      </c>
      <c r="C10304" t="s">
        <v>35</v>
      </c>
      <c r="D10304" t="s">
        <v>27</v>
      </c>
      <c r="E10304" s="6">
        <v>-28528</v>
      </c>
      <c r="F10304" t="s">
        <v>1872</v>
      </c>
      <c r="G10304" t="s">
        <v>43</v>
      </c>
      <c r="H10304" t="s">
        <v>21</v>
      </c>
      <c r="I10304" t="s">
        <v>19916</v>
      </c>
      <c r="J10304" t="str">
        <f>HYPERLINK("https://www.boe.es/gazeta/dias/1821/11/21/pdfs/GMD-1821-332.pdf#page=1","Abrir facsímil")</f>
        <v>Abrir facsímil</v>
      </c>
      <c r="K10304" t="s">
        <v>23</v>
      </c>
    </row>
    <row r="10305" spans="1:11" ht="42" customHeight="1">
      <c r="A10305" t="s">
        <v>19910</v>
      </c>
      <c r="B10305" t="s">
        <v>19910</v>
      </c>
      <c r="C10305" t="s">
        <v>40</v>
      </c>
      <c r="D10305" t="s">
        <v>41</v>
      </c>
      <c r="E10305" s="6">
        <v>-28518</v>
      </c>
      <c r="F10305" t="s">
        <v>410</v>
      </c>
      <c r="G10305" t="s">
        <v>43</v>
      </c>
      <c r="H10305" t="s">
        <v>21</v>
      </c>
      <c r="I10305" t="s">
        <v>19917</v>
      </c>
      <c r="J10305" t="str">
        <f>HYPERLINK("https://www.boe.es/gazeta/dias/1821/12/01/pdfs/GMD-1821-343.pdf#page=1","Abrir facsímil")</f>
        <v>Abrir facsímil</v>
      </c>
      <c r="K10305" t="s">
        <v>23</v>
      </c>
    </row>
    <row r="10306" spans="1:11" ht="42" customHeight="1">
      <c r="A10306" t="s">
        <v>19910</v>
      </c>
      <c r="B10306" t="s">
        <v>19910</v>
      </c>
      <c r="C10306" t="s">
        <v>17</v>
      </c>
      <c r="D10306" t="s">
        <v>18</v>
      </c>
      <c r="E10306" s="6">
        <v>-28515</v>
      </c>
      <c r="F10306" t="s">
        <v>260</v>
      </c>
      <c r="G10306" t="s">
        <v>43</v>
      </c>
      <c r="H10306" t="s">
        <v>21</v>
      </c>
      <c r="I10306" t="s">
        <v>19918</v>
      </c>
      <c r="J10306" t="str">
        <f>HYPERLINK("https://www.boe.es/gazeta/dias/1821/12/04/pdfs/GMD-1821-346.pdf#page=1","Abrir facsímil")</f>
        <v>Abrir facsímil</v>
      </c>
      <c r="K10306" t="s">
        <v>23</v>
      </c>
    </row>
    <row r="10307" spans="1:11" ht="42" customHeight="1">
      <c r="A10307" t="s">
        <v>19919</v>
      </c>
      <c r="B10307" t="s">
        <v>19919</v>
      </c>
      <c r="C10307" t="s">
        <v>17</v>
      </c>
      <c r="D10307" t="s">
        <v>18</v>
      </c>
      <c r="E10307" s="6">
        <v>-28508</v>
      </c>
      <c r="F10307" t="s">
        <v>42</v>
      </c>
      <c r="G10307" t="s">
        <v>43</v>
      </c>
      <c r="H10307" t="s">
        <v>21</v>
      </c>
      <c r="I10307" t="s">
        <v>19920</v>
      </c>
      <c r="J10307" t="str">
        <f>HYPERLINK("https://www.boe.es/gazeta/dias/1821/12/11/pdfs/GMD-1821-353.pdf#page=1","Abrir facsímil")</f>
        <v>Abrir facsímil</v>
      </c>
      <c r="K10307" t="s">
        <v>23</v>
      </c>
    </row>
    <row r="10308" spans="1:11" ht="42" customHeight="1">
      <c r="A10308" t="s">
        <v>19910</v>
      </c>
      <c r="B10308" t="s">
        <v>19910</v>
      </c>
      <c r="C10308" t="s">
        <v>17</v>
      </c>
      <c r="D10308" t="s">
        <v>18</v>
      </c>
      <c r="E10308" s="6">
        <v>-28491</v>
      </c>
      <c r="F10308" t="s">
        <v>573</v>
      </c>
      <c r="G10308" t="s">
        <v>43</v>
      </c>
      <c r="H10308" t="s">
        <v>21</v>
      </c>
      <c r="I10308" t="s">
        <v>19921</v>
      </c>
      <c r="J10308" t="str">
        <f>HYPERLINK("https://www.boe.es/gazeta/dias/1821/12/28/pdfs/GMD-1821-371.pdf#page=1","Abrir facsímil")</f>
        <v>Abrir facsímil</v>
      </c>
      <c r="K10308" t="s">
        <v>23</v>
      </c>
    </row>
    <row r="10309" spans="1:11" ht="42" customHeight="1">
      <c r="A10309" t="s">
        <v>19922</v>
      </c>
      <c r="B10309" t="s">
        <v>19922</v>
      </c>
      <c r="C10309" t="s">
        <v>26</v>
      </c>
      <c r="D10309" t="s">
        <v>27</v>
      </c>
      <c r="E10309" s="6">
        <v>-28490</v>
      </c>
      <c r="F10309" t="s">
        <v>801</v>
      </c>
      <c r="G10309" t="s">
        <v>43</v>
      </c>
      <c r="H10309" t="s">
        <v>21</v>
      </c>
      <c r="I10309" t="s">
        <v>19923</v>
      </c>
      <c r="J10309" t="str">
        <f>HYPERLINK("https://www.boe.es/gazeta/dias/1821/12/29/pdfs/GMD-1821-372.pdf#page=1","Abrir facsímil")</f>
        <v>Abrir facsímil</v>
      </c>
      <c r="K10309" t="s">
        <v>23</v>
      </c>
    </row>
    <row r="10310" spans="1:11" ht="42" customHeight="1">
      <c r="A10310" t="s">
        <v>19924</v>
      </c>
      <c r="B10310" t="s">
        <v>19924</v>
      </c>
      <c r="C10310" t="s">
        <v>17</v>
      </c>
      <c r="D10310" t="s">
        <v>18</v>
      </c>
      <c r="E10310" s="6">
        <v>-28627</v>
      </c>
      <c r="F10310" t="s">
        <v>3216</v>
      </c>
      <c r="G10310" t="s">
        <v>52</v>
      </c>
      <c r="H10310" t="s">
        <v>21</v>
      </c>
      <c r="I10310" t="s">
        <v>19925</v>
      </c>
      <c r="J10310" t="str">
        <f>HYPERLINK("https://www.boe.es/gazeta/dias/1821/08/14/pdfs/GMD-1821-231.pdf#page=2","Abrir facsímil")</f>
        <v>Abrir facsímil</v>
      </c>
      <c r="K10310" t="s">
        <v>23</v>
      </c>
    </row>
    <row r="10311" spans="1:11" ht="42" customHeight="1">
      <c r="A10311" t="s">
        <v>19926</v>
      </c>
      <c r="B10311" t="s">
        <v>19926</v>
      </c>
      <c r="C10311" t="s">
        <v>35</v>
      </c>
      <c r="D10311" t="s">
        <v>27</v>
      </c>
      <c r="E10311" s="6">
        <v>-28563</v>
      </c>
      <c r="F10311" t="s">
        <v>118</v>
      </c>
      <c r="G10311" t="s">
        <v>43</v>
      </c>
      <c r="H10311" t="s">
        <v>21</v>
      </c>
      <c r="I10311" t="s">
        <v>19927</v>
      </c>
      <c r="J10311" t="str">
        <f>HYPERLINK("https://www.boe.es/gazeta/dias/1821/10/17/pdfs/GMD-1821-296.pdf#page=1","Abrir facsímil")</f>
        <v>Abrir facsímil</v>
      </c>
      <c r="K10311" t="s">
        <v>23</v>
      </c>
    </row>
    <row r="10312" spans="1:11" ht="42" customHeight="1">
      <c r="A10312" t="s">
        <v>19928</v>
      </c>
      <c r="B10312" t="s">
        <v>19928</v>
      </c>
      <c r="C10312" t="s">
        <v>26</v>
      </c>
      <c r="D10312" t="s">
        <v>27</v>
      </c>
      <c r="E10312" s="6">
        <v>-28510</v>
      </c>
      <c r="F10312" t="s">
        <v>83</v>
      </c>
      <c r="G10312" t="s">
        <v>43</v>
      </c>
      <c r="H10312" t="s">
        <v>21</v>
      </c>
      <c r="I10312" t="s">
        <v>19929</v>
      </c>
      <c r="J10312" t="str">
        <f>HYPERLINK("https://www.boe.es/gazeta/dias/1821/12/09/pdfs/GMD-1821-351.pdf#page=1","Abrir facsímil")</f>
        <v>Abrir facsímil</v>
      </c>
      <c r="K10312" t="s">
        <v>23</v>
      </c>
    </row>
    <row r="10313" spans="1:11" ht="42" customHeight="1">
      <c r="A10313" t="s">
        <v>19930</v>
      </c>
      <c r="B10313" t="s">
        <v>19930</v>
      </c>
      <c r="C10313" t="s">
        <v>40</v>
      </c>
      <c r="D10313" t="s">
        <v>41</v>
      </c>
      <c r="E10313" s="6">
        <v>-28771</v>
      </c>
      <c r="F10313" t="s">
        <v>110</v>
      </c>
      <c r="G10313" t="s">
        <v>43</v>
      </c>
      <c r="H10313" t="s">
        <v>21</v>
      </c>
      <c r="I10313" t="s">
        <v>19931</v>
      </c>
      <c r="J10313" t="str">
        <f>HYPERLINK("https://www.boe.es/gazeta/dias/1821/03/23/pdfs/GMD-1821-83.pdf#page=1","Abrir facsímil")</f>
        <v>Abrir facsímil</v>
      </c>
      <c r="K10313" t="s">
        <v>23</v>
      </c>
    </row>
    <row r="10314" spans="1:11" ht="42" customHeight="1">
      <c r="A10314" t="s">
        <v>19932</v>
      </c>
      <c r="B10314" t="s">
        <v>19932</v>
      </c>
      <c r="C10314" t="s">
        <v>40</v>
      </c>
      <c r="D10314" t="s">
        <v>41</v>
      </c>
      <c r="E10314" s="6">
        <v>-28676</v>
      </c>
      <c r="F10314" t="s">
        <v>534</v>
      </c>
      <c r="G10314" t="s">
        <v>43</v>
      </c>
      <c r="H10314" t="s">
        <v>21</v>
      </c>
      <c r="I10314" t="s">
        <v>19933</v>
      </c>
      <c r="J10314" t="str">
        <f>HYPERLINK("https://www.boe.es/gazeta/dias/1821/06/26/pdfs/GMD-1821-179.pdf#page=1","Abrir facsímil")</f>
        <v>Abrir facsímil</v>
      </c>
      <c r="K10314" t="s">
        <v>23</v>
      </c>
    </row>
    <row r="10315" spans="1:11" ht="42" customHeight="1">
      <c r="A10315" t="s">
        <v>19934</v>
      </c>
      <c r="B10315" t="s">
        <v>19934</v>
      </c>
      <c r="C10315" t="s">
        <v>40</v>
      </c>
      <c r="D10315" t="s">
        <v>41</v>
      </c>
      <c r="E10315" s="6">
        <v>-28578</v>
      </c>
      <c r="F10315" t="s">
        <v>899</v>
      </c>
      <c r="G10315" t="s">
        <v>43</v>
      </c>
      <c r="H10315" t="s">
        <v>21</v>
      </c>
      <c r="I10315" t="s">
        <v>19935</v>
      </c>
      <c r="J10315" t="str">
        <f>HYPERLINK("https://www.boe.es/gazeta/dias/1821/10/02/pdfs/GMD-1821-281.pdf#page=1","Abrir facsímil")</f>
        <v>Abrir facsímil</v>
      </c>
      <c r="K10315" t="s">
        <v>23</v>
      </c>
    </row>
    <row r="10316" spans="1:11" ht="42" customHeight="1">
      <c r="A10316" t="s">
        <v>19936</v>
      </c>
      <c r="B10316" t="s">
        <v>19936</v>
      </c>
      <c r="C10316" t="s">
        <v>35</v>
      </c>
      <c r="D10316" t="s">
        <v>27</v>
      </c>
      <c r="E10316" s="6">
        <v>-28848</v>
      </c>
      <c r="F10316" t="s">
        <v>5247</v>
      </c>
      <c r="G10316" t="s">
        <v>43</v>
      </c>
      <c r="H10316" t="s">
        <v>21</v>
      </c>
      <c r="I10316" t="s">
        <v>19937</v>
      </c>
      <c r="J10316" t="str">
        <f>HYPERLINK("https://www.boe.es/gazeta/dias/1821/01/05/pdfs/GGB-1821-5.pdf#page=1","Abrir facsímil")</f>
        <v>Abrir facsímil</v>
      </c>
      <c r="K10316" t="s">
        <v>23</v>
      </c>
    </row>
    <row r="10317" spans="1:11" ht="42" customHeight="1">
      <c r="A10317" t="s">
        <v>19938</v>
      </c>
      <c r="B10317" t="s">
        <v>19938</v>
      </c>
      <c r="C10317" t="s">
        <v>279</v>
      </c>
      <c r="D10317" t="s">
        <v>27</v>
      </c>
      <c r="E10317" s="6">
        <v>-28685</v>
      </c>
      <c r="F10317" t="s">
        <v>303</v>
      </c>
      <c r="G10317" t="s">
        <v>43</v>
      </c>
      <c r="H10317" t="s">
        <v>21</v>
      </c>
      <c r="I10317" t="s">
        <v>19939</v>
      </c>
      <c r="J10317" t="str">
        <f>HYPERLINK("https://www.boe.es/gazeta/dias/1821/06/17/pdfs/GMD-1821-170.pdf#page=1","Abrir facsímil")</f>
        <v>Abrir facsímil</v>
      </c>
      <c r="K10317" t="s">
        <v>23</v>
      </c>
    </row>
    <row r="10318" spans="1:11" ht="42" customHeight="1">
      <c r="A10318" t="s">
        <v>19940</v>
      </c>
      <c r="B10318" t="s">
        <v>19940</v>
      </c>
      <c r="C10318" t="s">
        <v>35</v>
      </c>
      <c r="D10318" t="s">
        <v>27</v>
      </c>
      <c r="E10318" s="6">
        <v>-28589</v>
      </c>
      <c r="F10318" t="s">
        <v>3130</v>
      </c>
      <c r="G10318" t="s">
        <v>20</v>
      </c>
      <c r="H10318" t="s">
        <v>21</v>
      </c>
      <c r="I10318" t="s">
        <v>19941</v>
      </c>
      <c r="J10318" t="str">
        <f>HYPERLINK("https://www.boe.es/gazeta/dias/1821/09/21/pdfs/GMD-1821-269.pdf#page=3","Abrir facsímil")</f>
        <v>Abrir facsímil</v>
      </c>
      <c r="K10318" t="s">
        <v>23</v>
      </c>
    </row>
    <row r="10319" spans="1:11" ht="42" customHeight="1">
      <c r="A10319" t="s">
        <v>19942</v>
      </c>
      <c r="B10319" t="s">
        <v>19942</v>
      </c>
      <c r="C10319" t="s">
        <v>26</v>
      </c>
      <c r="D10319" t="s">
        <v>27</v>
      </c>
      <c r="E10319" s="6">
        <v>-28665</v>
      </c>
      <c r="F10319" t="s">
        <v>789</v>
      </c>
      <c r="G10319" t="s">
        <v>43</v>
      </c>
      <c r="H10319" t="s">
        <v>21</v>
      </c>
      <c r="I10319" t="s">
        <v>19943</v>
      </c>
      <c r="J10319" t="str">
        <f>HYPERLINK("https://www.boe.es/gazeta/dias/1821/07/07/pdfs/GMD-1821-191.pdf#page=1","Abrir facsímil")</f>
        <v>Abrir facsímil</v>
      </c>
      <c r="K10319" t="s">
        <v>23</v>
      </c>
    </row>
    <row r="10320" spans="1:11" ht="42" customHeight="1">
      <c r="A10320" t="s">
        <v>19944</v>
      </c>
      <c r="B10320" t="s">
        <v>19944</v>
      </c>
      <c r="C10320" t="s">
        <v>35</v>
      </c>
      <c r="D10320" t="s">
        <v>27</v>
      </c>
      <c r="E10320" s="6">
        <v>-28631</v>
      </c>
      <c r="F10320" t="s">
        <v>751</v>
      </c>
      <c r="G10320" t="s">
        <v>43</v>
      </c>
      <c r="H10320" t="s">
        <v>21</v>
      </c>
      <c r="I10320" t="s">
        <v>19945</v>
      </c>
      <c r="J10320" t="str">
        <f>HYPERLINK("https://www.boe.es/gazeta/dias/1821/08/10/pdfs/GMD-1821-227.pdf#page=1","Abrir facsímil")</f>
        <v>Abrir facsímil</v>
      </c>
      <c r="K10320" t="s">
        <v>23</v>
      </c>
    </row>
    <row r="10321" spans="1:11" ht="42" customHeight="1">
      <c r="A10321" t="s">
        <v>19946</v>
      </c>
      <c r="B10321" t="s">
        <v>19946</v>
      </c>
      <c r="C10321" t="s">
        <v>40</v>
      </c>
      <c r="D10321" t="s">
        <v>41</v>
      </c>
      <c r="E10321" s="6">
        <v>-28758</v>
      </c>
      <c r="F10321" t="s">
        <v>4115</v>
      </c>
      <c r="G10321" t="s">
        <v>43</v>
      </c>
      <c r="H10321" t="s">
        <v>21</v>
      </c>
      <c r="I10321" t="s">
        <v>19947</v>
      </c>
      <c r="J10321" t="str">
        <f>HYPERLINK("https://www.boe.es/gazeta/dias/1821/04/05/pdfs/GMD-1821-97.pdf#page=1","Abrir facsímil")</f>
        <v>Abrir facsímil</v>
      </c>
      <c r="K10321" t="s">
        <v>23</v>
      </c>
    </row>
    <row r="10322" spans="1:11" ht="42" customHeight="1">
      <c r="A10322" t="s">
        <v>19946</v>
      </c>
      <c r="B10322" t="s">
        <v>19946</v>
      </c>
      <c r="C10322" t="s">
        <v>40</v>
      </c>
      <c r="D10322" t="s">
        <v>41</v>
      </c>
      <c r="E10322" s="6">
        <v>-28494</v>
      </c>
      <c r="F10322" t="s">
        <v>1665</v>
      </c>
      <c r="G10322" t="s">
        <v>43</v>
      </c>
      <c r="H10322" t="s">
        <v>21</v>
      </c>
      <c r="I10322" t="s">
        <v>19948</v>
      </c>
      <c r="J10322" t="str">
        <f>HYPERLINK("https://www.boe.es/gazeta/dias/1821/12/25/pdfs/GMD-1821-368.pdf#page=1","Abrir facsímil")</f>
        <v>Abrir facsímil</v>
      </c>
      <c r="K10322" t="s">
        <v>23</v>
      </c>
    </row>
    <row r="10323" spans="1:11" ht="42" customHeight="1">
      <c r="A10323" t="s">
        <v>19949</v>
      </c>
      <c r="B10323" t="s">
        <v>19949</v>
      </c>
      <c r="C10323" t="s">
        <v>40</v>
      </c>
      <c r="D10323" t="s">
        <v>41</v>
      </c>
      <c r="E10323" s="6">
        <v>-28708</v>
      </c>
      <c r="F10323" t="s">
        <v>528</v>
      </c>
      <c r="G10323" t="s">
        <v>43</v>
      </c>
      <c r="H10323" t="s">
        <v>21</v>
      </c>
      <c r="I10323" t="s">
        <v>19950</v>
      </c>
      <c r="J10323" t="str">
        <f>HYPERLINK("https://www.boe.es/gazeta/dias/1821/05/25/pdfs/GMD-1821-147.pdf#page=1","Abrir facsímil")</f>
        <v>Abrir facsímil</v>
      </c>
      <c r="K10323" t="s">
        <v>23</v>
      </c>
    </row>
    <row r="10324" spans="1:11" ht="42" customHeight="1">
      <c r="A10324" t="s">
        <v>19951</v>
      </c>
      <c r="B10324" t="s">
        <v>19952</v>
      </c>
      <c r="C10324" t="s">
        <v>26</v>
      </c>
      <c r="D10324" t="s">
        <v>27</v>
      </c>
      <c r="E10324" s="6">
        <v>-28489</v>
      </c>
      <c r="F10324" t="s">
        <v>3894</v>
      </c>
      <c r="G10324" t="s">
        <v>52</v>
      </c>
      <c r="H10324" t="s">
        <v>21</v>
      </c>
      <c r="I10324" t="s">
        <v>19953</v>
      </c>
      <c r="J10324" t="str">
        <f>HYPERLINK("https://www.boe.es/gazeta/dias/1821/12/30/pdfs/GMD-1821-373.pdf#page=2","Abrir facsímil")</f>
        <v>Abrir facsímil</v>
      </c>
      <c r="K10324" t="s">
        <v>23</v>
      </c>
    </row>
    <row r="10325" spans="1:11" ht="42" customHeight="1">
      <c r="A10325" t="s">
        <v>19954</v>
      </c>
      <c r="B10325" t="s">
        <v>19955</v>
      </c>
      <c r="C10325" t="s">
        <v>40</v>
      </c>
      <c r="D10325" t="s">
        <v>41</v>
      </c>
      <c r="E10325" s="6">
        <v>-28631</v>
      </c>
      <c r="F10325" t="s">
        <v>751</v>
      </c>
      <c r="G10325" t="s">
        <v>88</v>
      </c>
      <c r="H10325" t="s">
        <v>21</v>
      </c>
      <c r="I10325" t="s">
        <v>19956</v>
      </c>
      <c r="J10325" t="str">
        <f>HYPERLINK("https://www.boe.es/gazeta/dias/1821/08/10/pdfs/GMD-1821-227.pdf#page=4","Abrir facsímil")</f>
        <v>Abrir facsímil</v>
      </c>
      <c r="K10325" t="s">
        <v>23</v>
      </c>
    </row>
    <row r="10326" spans="1:11" ht="42" customHeight="1">
      <c r="A10326" t="s">
        <v>19957</v>
      </c>
      <c r="B10326" t="s">
        <v>19958</v>
      </c>
      <c r="C10326" t="s">
        <v>35</v>
      </c>
      <c r="D10326" t="s">
        <v>27</v>
      </c>
      <c r="E10326" s="6">
        <v>-28641</v>
      </c>
      <c r="F10326" t="s">
        <v>398</v>
      </c>
      <c r="G10326" t="s">
        <v>20</v>
      </c>
      <c r="H10326" t="s">
        <v>21</v>
      </c>
      <c r="I10326" t="s">
        <v>19959</v>
      </c>
      <c r="J10326" t="str">
        <f>HYPERLINK("https://www.boe.es/gazeta/dias/1821/07/31/pdfs/GMD-1821-216.pdf#page=3","Abrir facsímil")</f>
        <v>Abrir facsímil</v>
      </c>
      <c r="K10326" t="s">
        <v>23</v>
      </c>
    </row>
    <row r="10327" spans="1:11" ht="42" customHeight="1">
      <c r="A10327" t="s">
        <v>19960</v>
      </c>
      <c r="B10327" t="s">
        <v>19961</v>
      </c>
      <c r="C10327" t="s">
        <v>114</v>
      </c>
      <c r="D10327" t="s">
        <v>27</v>
      </c>
      <c r="E10327" s="6">
        <v>-28574</v>
      </c>
      <c r="F10327" t="s">
        <v>779</v>
      </c>
      <c r="G10327" t="s">
        <v>333</v>
      </c>
      <c r="H10327" t="s">
        <v>21</v>
      </c>
      <c r="I10327" t="s">
        <v>19962</v>
      </c>
      <c r="J10327" t="str">
        <f>HYPERLINK("https://www.boe.es/gazeta/dias/1821/10/06/pdfs/GMD-1821-285.pdf#page=8","Abrir facsímil")</f>
        <v>Abrir facsímil</v>
      </c>
      <c r="K10327" t="s">
        <v>23</v>
      </c>
    </row>
    <row r="10328" spans="1:11" ht="42" customHeight="1">
      <c r="A10328" t="s">
        <v>19963</v>
      </c>
      <c r="B10328" t="s">
        <v>19964</v>
      </c>
      <c r="C10328" t="s">
        <v>17</v>
      </c>
      <c r="D10328" t="s">
        <v>18</v>
      </c>
      <c r="E10328" s="6">
        <v>-28729</v>
      </c>
      <c r="F10328" t="s">
        <v>838</v>
      </c>
      <c r="G10328" t="s">
        <v>52</v>
      </c>
      <c r="H10328" t="s">
        <v>21</v>
      </c>
      <c r="I10328" t="s">
        <v>19965</v>
      </c>
      <c r="J10328" t="str">
        <f>HYPERLINK("https://www.boe.es/gazeta/dias/1821/05/04/pdfs/GMD-1821-126.pdf#page=2","Abrir facsímil")</f>
        <v>Abrir facsímil</v>
      </c>
      <c r="K10328" t="s">
        <v>23</v>
      </c>
    </row>
    <row r="10329" spans="1:11" ht="42" customHeight="1">
      <c r="A10329" t="s">
        <v>19966</v>
      </c>
      <c r="B10329" t="s">
        <v>19966</v>
      </c>
      <c r="C10329" t="s">
        <v>26</v>
      </c>
      <c r="D10329" t="s">
        <v>27</v>
      </c>
      <c r="E10329" s="6">
        <v>-28680</v>
      </c>
      <c r="F10329" t="s">
        <v>531</v>
      </c>
      <c r="G10329" t="s">
        <v>20</v>
      </c>
      <c r="H10329" t="s">
        <v>21</v>
      </c>
      <c r="I10329" t="s">
        <v>19967</v>
      </c>
      <c r="J10329" t="str">
        <f>HYPERLINK("https://www.boe.es/gazeta/dias/1821/06/22/pdfs/GMD-1821-175.pdf#page=3","Abrir facsímil")</f>
        <v>Abrir facsímil</v>
      </c>
      <c r="K10329" t="s">
        <v>23</v>
      </c>
    </row>
    <row r="10330" spans="1:11" ht="42" customHeight="1">
      <c r="A10330" t="s">
        <v>19968</v>
      </c>
      <c r="B10330" t="s">
        <v>19968</v>
      </c>
      <c r="C10330" t="s">
        <v>17</v>
      </c>
      <c r="D10330" t="s">
        <v>18</v>
      </c>
      <c r="E10330" s="6">
        <v>-28787</v>
      </c>
      <c r="F10330" t="s">
        <v>486</v>
      </c>
      <c r="G10330" t="s">
        <v>20</v>
      </c>
      <c r="H10330" t="s">
        <v>21</v>
      </c>
      <c r="I10330" t="s">
        <v>19969</v>
      </c>
      <c r="J10330" t="str">
        <f>HYPERLINK("https://www.boe.es/gazeta/dias/1821/03/07/pdfs/GGB-1821-66.pdf#page=3","Abrir facsímil")</f>
        <v>Abrir facsímil</v>
      </c>
      <c r="K10330" t="s">
        <v>23</v>
      </c>
    </row>
    <row r="10331" spans="1:11" ht="42" customHeight="1">
      <c r="A10331" t="s">
        <v>19968</v>
      </c>
      <c r="B10331" t="s">
        <v>19968</v>
      </c>
      <c r="C10331" t="s">
        <v>17</v>
      </c>
      <c r="D10331" t="s">
        <v>18</v>
      </c>
      <c r="E10331" s="6">
        <v>-28775</v>
      </c>
      <c r="F10331" t="s">
        <v>132</v>
      </c>
      <c r="G10331" t="s">
        <v>52</v>
      </c>
      <c r="H10331" t="s">
        <v>21</v>
      </c>
      <c r="I10331" t="s">
        <v>19970</v>
      </c>
      <c r="J10331" t="str">
        <f>HYPERLINK("https://www.boe.es/gazeta/dias/1821/03/19/pdfs/GMD-1821-78.pdf#page=2","Abrir facsímil")</f>
        <v>Abrir facsímil</v>
      </c>
      <c r="K10331" t="s">
        <v>23</v>
      </c>
    </row>
    <row r="10332" spans="1:11" ht="42" customHeight="1">
      <c r="A10332" t="s">
        <v>19968</v>
      </c>
      <c r="B10332" t="s">
        <v>19968</v>
      </c>
      <c r="C10332" t="s">
        <v>17</v>
      </c>
      <c r="D10332" t="s">
        <v>18</v>
      </c>
      <c r="E10332" s="6">
        <v>-28772</v>
      </c>
      <c r="F10332" t="s">
        <v>62</v>
      </c>
      <c r="G10332" t="s">
        <v>52</v>
      </c>
      <c r="H10332" t="s">
        <v>21</v>
      </c>
      <c r="I10332" t="s">
        <v>19971</v>
      </c>
      <c r="J10332" t="str">
        <f>HYPERLINK("https://www.boe.es/gazeta/dias/1821/03/22/pdfs/GMD-1821-81.pdf#page=2","Abrir facsímil")</f>
        <v>Abrir facsímil</v>
      </c>
      <c r="K10332" t="s">
        <v>23</v>
      </c>
    </row>
    <row r="10333" spans="1:11" ht="42" customHeight="1">
      <c r="A10333" t="s">
        <v>19968</v>
      </c>
      <c r="B10333" t="s">
        <v>19968</v>
      </c>
      <c r="C10333" t="s">
        <v>70</v>
      </c>
      <c r="D10333" t="s">
        <v>27</v>
      </c>
      <c r="E10333" s="6">
        <v>-28715</v>
      </c>
      <c r="F10333" t="s">
        <v>1046</v>
      </c>
      <c r="G10333" t="s">
        <v>52</v>
      </c>
      <c r="H10333" t="s">
        <v>21</v>
      </c>
      <c r="I10333" t="s">
        <v>19972</v>
      </c>
      <c r="J10333" t="str">
        <f>HYPERLINK("https://www.boe.es/gazeta/dias/1821/05/18/pdfs/GMD-1821-140.pdf#page=2","Abrir facsímil")</f>
        <v>Abrir facsímil</v>
      </c>
      <c r="K10333" t="s">
        <v>23</v>
      </c>
    </row>
    <row r="10334" spans="1:11" ht="42" customHeight="1">
      <c r="A10334" t="s">
        <v>19968</v>
      </c>
      <c r="B10334" t="s">
        <v>19968</v>
      </c>
      <c r="C10334" t="s">
        <v>26</v>
      </c>
      <c r="D10334" t="s">
        <v>27</v>
      </c>
      <c r="E10334" s="6">
        <v>-28497</v>
      </c>
      <c r="F10334" t="s">
        <v>225</v>
      </c>
      <c r="G10334" t="s">
        <v>43</v>
      </c>
      <c r="H10334" t="s">
        <v>21</v>
      </c>
      <c r="I10334" t="s">
        <v>19973</v>
      </c>
      <c r="J10334" t="str">
        <f>HYPERLINK("https://www.boe.es/gazeta/dias/1821/12/22/pdfs/GMD-1821-365.pdf#page=1","Abrir facsímil")</f>
        <v>Abrir facsímil</v>
      </c>
      <c r="K10334" t="s">
        <v>23</v>
      </c>
    </row>
    <row r="10335" spans="1:11" ht="42" customHeight="1">
      <c r="A10335" t="s">
        <v>19968</v>
      </c>
      <c r="B10335" t="s">
        <v>19968</v>
      </c>
      <c r="C10335" t="s">
        <v>35</v>
      </c>
      <c r="D10335" t="s">
        <v>27</v>
      </c>
      <c r="E10335" s="6">
        <v>-28495</v>
      </c>
      <c r="F10335" t="s">
        <v>227</v>
      </c>
      <c r="G10335" t="s">
        <v>20</v>
      </c>
      <c r="H10335" t="s">
        <v>21</v>
      </c>
      <c r="I10335" t="s">
        <v>19974</v>
      </c>
      <c r="J10335" t="str">
        <f>HYPERLINK("https://www.boe.es/gazeta/dias/1821/12/24/pdfs/GMD-1821-367.pdf#page=3","Abrir facsímil")</f>
        <v>Abrir facsímil</v>
      </c>
      <c r="K10335" t="s">
        <v>23</v>
      </c>
    </row>
    <row r="10336" spans="1:11" ht="42" customHeight="1">
      <c r="A10336" t="s">
        <v>19968</v>
      </c>
      <c r="B10336" t="s">
        <v>19968</v>
      </c>
      <c r="C10336" t="s">
        <v>17</v>
      </c>
      <c r="D10336" t="s">
        <v>18</v>
      </c>
      <c r="E10336" s="6">
        <v>-28495</v>
      </c>
      <c r="F10336" t="s">
        <v>227</v>
      </c>
      <c r="G10336" t="s">
        <v>88</v>
      </c>
      <c r="H10336" t="s">
        <v>21</v>
      </c>
      <c r="I10336" t="s">
        <v>19975</v>
      </c>
      <c r="J10336" t="str">
        <f>HYPERLINK("https://www.boe.es/gazeta/dias/1821/12/24/pdfs/GMD-1821-367.pdf#page=4","Abrir facsímil")</f>
        <v>Abrir facsímil</v>
      </c>
      <c r="K10336" t="s">
        <v>23</v>
      </c>
    </row>
    <row r="10337" spans="1:11" ht="42" customHeight="1">
      <c r="A10337" t="s">
        <v>19976</v>
      </c>
      <c r="B10337" t="s">
        <v>19976</v>
      </c>
      <c r="C10337" t="s">
        <v>40</v>
      </c>
      <c r="D10337" t="s">
        <v>41</v>
      </c>
      <c r="E10337" s="6">
        <v>-28841</v>
      </c>
      <c r="F10337" t="s">
        <v>765</v>
      </c>
      <c r="G10337" t="s">
        <v>43</v>
      </c>
      <c r="H10337" t="s">
        <v>21</v>
      </c>
      <c r="I10337" t="s">
        <v>19977</v>
      </c>
      <c r="J10337" t="str">
        <f>HYPERLINK("https://www.boe.es/gazeta/dias/1821/01/12/pdfs/GGB-1821-12.pdf#page=1","Abrir facsímil")</f>
        <v>Abrir facsímil</v>
      </c>
      <c r="K10337" t="s">
        <v>23</v>
      </c>
    </row>
    <row r="10338" spans="1:11" ht="42" customHeight="1">
      <c r="A10338" t="s">
        <v>19978</v>
      </c>
      <c r="B10338" t="s">
        <v>19979</v>
      </c>
      <c r="C10338" t="s">
        <v>114</v>
      </c>
      <c r="D10338" t="s">
        <v>27</v>
      </c>
      <c r="E10338" s="6">
        <v>-28819</v>
      </c>
      <c r="F10338" t="s">
        <v>1830</v>
      </c>
      <c r="G10338" t="s">
        <v>88</v>
      </c>
      <c r="H10338" t="s">
        <v>30</v>
      </c>
      <c r="I10338" t="s">
        <v>19980</v>
      </c>
      <c r="J10338" t="str">
        <f>HYPERLINK("https://www.boe.es/gazeta/dias/1821/02/03/pdfs/GGB-1821-34.pdf#page=4","Abrir facsímil")</f>
        <v>Abrir facsímil</v>
      </c>
      <c r="K10338" t="s">
        <v>32</v>
      </c>
    </row>
    <row r="10339" spans="1:11" ht="42" customHeight="1">
      <c r="A10339" t="s">
        <v>19981</v>
      </c>
      <c r="B10339" t="s">
        <v>19981</v>
      </c>
      <c r="C10339" t="s">
        <v>40</v>
      </c>
      <c r="D10339" t="s">
        <v>41</v>
      </c>
      <c r="E10339" s="6">
        <v>-28595</v>
      </c>
      <c r="F10339" t="s">
        <v>1621</v>
      </c>
      <c r="G10339" t="s">
        <v>20</v>
      </c>
      <c r="H10339" t="s">
        <v>21</v>
      </c>
      <c r="I10339" t="s">
        <v>19982</v>
      </c>
      <c r="J10339" t="str">
        <f>HYPERLINK("https://www.boe.es/gazeta/dias/1821/09/15/pdfs/GMD-1821-263.pdf#page=3","Abrir facsímil")</f>
        <v>Abrir facsímil</v>
      </c>
      <c r="K10339" t="s">
        <v>23</v>
      </c>
    </row>
    <row r="10340" spans="1:11" ht="42" customHeight="1">
      <c r="A10340" t="s">
        <v>19983</v>
      </c>
      <c r="B10340" t="s">
        <v>19983</v>
      </c>
      <c r="C10340" t="s">
        <v>35</v>
      </c>
      <c r="D10340" t="s">
        <v>27</v>
      </c>
      <c r="E10340" s="6">
        <v>-28516</v>
      </c>
      <c r="F10340" t="s">
        <v>514</v>
      </c>
      <c r="G10340" t="s">
        <v>88</v>
      </c>
      <c r="H10340" t="s">
        <v>21</v>
      </c>
      <c r="I10340" t="s">
        <v>19984</v>
      </c>
      <c r="J10340" t="str">
        <f>HYPERLINK("https://www.boe.es/gazeta/dias/1821/12/03/pdfs/GMD-1821-345.pdf#page=4","Abrir facsímil")</f>
        <v>Abrir facsímil</v>
      </c>
      <c r="K10340" t="s">
        <v>23</v>
      </c>
    </row>
    <row r="10341" spans="1:11" ht="42" customHeight="1">
      <c r="A10341" t="s">
        <v>19985</v>
      </c>
      <c r="B10341" t="s">
        <v>19986</v>
      </c>
      <c r="C10341" t="s">
        <v>17</v>
      </c>
      <c r="D10341" t="s">
        <v>18</v>
      </c>
      <c r="E10341" s="6">
        <v>-28677</v>
      </c>
      <c r="F10341" t="s">
        <v>361</v>
      </c>
      <c r="G10341" t="s">
        <v>29</v>
      </c>
      <c r="H10341" t="s">
        <v>21</v>
      </c>
      <c r="I10341" t="s">
        <v>19987</v>
      </c>
      <c r="J10341" t="str">
        <f>HYPERLINK("https://www.boe.es/gazeta/dias/1821/06/25/pdfs/GMD-1821-178.pdf#page=6","Abrir facsímil")</f>
        <v>Abrir facsímil</v>
      </c>
      <c r="K10341" t="s">
        <v>23</v>
      </c>
    </row>
    <row r="10342" spans="1:11" ht="42" customHeight="1">
      <c r="A10342" t="s">
        <v>19988</v>
      </c>
      <c r="B10342" t="s">
        <v>19988</v>
      </c>
      <c r="C10342" t="s">
        <v>17</v>
      </c>
      <c r="D10342" t="s">
        <v>18</v>
      </c>
      <c r="E10342" s="6">
        <v>-28518</v>
      </c>
      <c r="F10342" t="s">
        <v>410</v>
      </c>
      <c r="G10342" t="s">
        <v>20</v>
      </c>
      <c r="H10342" t="s">
        <v>21</v>
      </c>
      <c r="I10342" t="s">
        <v>19989</v>
      </c>
      <c r="J10342" t="str">
        <f>HYPERLINK("https://www.boe.es/gazeta/dias/1821/12/01/pdfs/GMD-1821-343.pdf#page=3","Abrir facsímil")</f>
        <v>Abrir facsímil</v>
      </c>
      <c r="K10342" t="s">
        <v>23</v>
      </c>
    </row>
    <row r="10343" spans="1:11" ht="42" customHeight="1">
      <c r="A10343" t="s">
        <v>19990</v>
      </c>
      <c r="B10343" t="s">
        <v>19991</v>
      </c>
      <c r="C10343" t="s">
        <v>26</v>
      </c>
      <c r="D10343" t="s">
        <v>27</v>
      </c>
      <c r="E10343" s="6">
        <v>-28527</v>
      </c>
      <c r="F10343" t="s">
        <v>328</v>
      </c>
      <c r="G10343" t="s">
        <v>88</v>
      </c>
      <c r="H10343" t="s">
        <v>21</v>
      </c>
      <c r="I10343" t="s">
        <v>19992</v>
      </c>
      <c r="J10343" t="str">
        <f>HYPERLINK("https://www.boe.es/gazeta/dias/1821/11/22/pdfs/GMD-1821-333.pdf#page=4","Abrir facsímil")</f>
        <v>Abrir facsímil</v>
      </c>
      <c r="K10343" t="s">
        <v>23</v>
      </c>
    </row>
    <row r="10344" spans="1:11" ht="42" customHeight="1">
      <c r="A10344" t="s">
        <v>19993</v>
      </c>
      <c r="B10344" t="s">
        <v>19993</v>
      </c>
      <c r="C10344" t="s">
        <v>174</v>
      </c>
      <c r="D10344" t="s">
        <v>27</v>
      </c>
      <c r="E10344" s="6">
        <v>-28732</v>
      </c>
      <c r="F10344" t="s">
        <v>2628</v>
      </c>
      <c r="G10344" t="s">
        <v>20</v>
      </c>
      <c r="H10344" t="s">
        <v>21</v>
      </c>
      <c r="I10344" t="s">
        <v>19994</v>
      </c>
      <c r="J10344" t="str">
        <f>HYPERLINK("https://www.boe.es/gazeta/dias/1821/05/01/pdfs/GMD-1821-123.pdf#page=3","Abrir facsímil")</f>
        <v>Abrir facsímil</v>
      </c>
      <c r="K10344" t="s">
        <v>23</v>
      </c>
    </row>
    <row r="10345" spans="1:11" ht="42" customHeight="1">
      <c r="A10345" t="s">
        <v>19993</v>
      </c>
      <c r="B10345" t="s">
        <v>19993</v>
      </c>
      <c r="C10345" t="s">
        <v>40</v>
      </c>
      <c r="D10345" t="s">
        <v>41</v>
      </c>
      <c r="E10345" s="6">
        <v>-28729</v>
      </c>
      <c r="F10345" t="s">
        <v>838</v>
      </c>
      <c r="G10345" t="s">
        <v>43</v>
      </c>
      <c r="H10345" t="s">
        <v>21</v>
      </c>
      <c r="I10345" t="s">
        <v>19995</v>
      </c>
      <c r="J10345" t="str">
        <f>HYPERLINK("https://www.boe.es/gazeta/dias/1821/05/04/pdfs/GMD-1821-126.pdf#page=1","Abrir facsímil")</f>
        <v>Abrir facsímil</v>
      </c>
      <c r="K10345" t="s">
        <v>23</v>
      </c>
    </row>
    <row r="10346" spans="1:11" ht="42" customHeight="1">
      <c r="A10346" t="s">
        <v>19993</v>
      </c>
      <c r="B10346" t="s">
        <v>19993</v>
      </c>
      <c r="C10346" t="s">
        <v>26</v>
      </c>
      <c r="D10346" t="s">
        <v>27</v>
      </c>
      <c r="E10346" s="6">
        <v>-28665</v>
      </c>
      <c r="F10346" t="s">
        <v>789</v>
      </c>
      <c r="G10346" t="s">
        <v>43</v>
      </c>
      <c r="H10346" t="s">
        <v>21</v>
      </c>
      <c r="I10346" t="s">
        <v>19996</v>
      </c>
      <c r="J10346" t="str">
        <f>HYPERLINK("https://www.boe.es/gazeta/dias/1821/07/07/pdfs/GMD-1821-191.pdf#page=1","Abrir facsímil")</f>
        <v>Abrir facsímil</v>
      </c>
      <c r="K10346" t="s">
        <v>23</v>
      </c>
    </row>
    <row r="10347" spans="1:11" ht="42" customHeight="1">
      <c r="A10347" t="s">
        <v>19993</v>
      </c>
      <c r="B10347" t="s">
        <v>19993</v>
      </c>
      <c r="C10347" t="s">
        <v>26</v>
      </c>
      <c r="D10347" t="s">
        <v>27</v>
      </c>
      <c r="E10347" s="6">
        <v>-28543</v>
      </c>
      <c r="F10347" t="s">
        <v>136</v>
      </c>
      <c r="G10347" t="s">
        <v>52</v>
      </c>
      <c r="H10347" t="s">
        <v>21</v>
      </c>
      <c r="I10347" t="s">
        <v>19997</v>
      </c>
      <c r="J10347" t="str">
        <f>HYPERLINK("https://www.boe.es/gazeta/dias/1821/11/06/pdfs/GMD-1821-317.pdf#page=2","Abrir facsímil")</f>
        <v>Abrir facsímil</v>
      </c>
      <c r="K10347" t="s">
        <v>23</v>
      </c>
    </row>
    <row r="10348" spans="1:11" ht="42" customHeight="1">
      <c r="A10348" t="s">
        <v>19998</v>
      </c>
      <c r="B10348" t="s">
        <v>19999</v>
      </c>
      <c r="C10348" t="s">
        <v>35</v>
      </c>
      <c r="D10348" t="s">
        <v>27</v>
      </c>
      <c r="E10348" s="6">
        <v>-28699</v>
      </c>
      <c r="F10348" t="s">
        <v>280</v>
      </c>
      <c r="G10348" t="s">
        <v>43</v>
      </c>
      <c r="H10348" t="s">
        <v>21</v>
      </c>
      <c r="I10348" t="s">
        <v>20000</v>
      </c>
      <c r="J10348" t="str">
        <f>HYPERLINK("https://www.boe.es/gazeta/dias/1821/06/03/pdfs/GMD-1821-156.pdf#page=1","Abrir facsímil")</f>
        <v>Abrir facsímil</v>
      </c>
      <c r="K10348" t="s">
        <v>23</v>
      </c>
    </row>
    <row r="10349" spans="1:11" ht="42" customHeight="1">
      <c r="A10349" t="s">
        <v>19998</v>
      </c>
      <c r="B10349" t="s">
        <v>19999</v>
      </c>
      <c r="C10349" t="s">
        <v>40</v>
      </c>
      <c r="D10349" t="s">
        <v>41</v>
      </c>
      <c r="E10349" s="6">
        <v>-28668</v>
      </c>
      <c r="F10349" t="s">
        <v>2130</v>
      </c>
      <c r="G10349" t="s">
        <v>20</v>
      </c>
      <c r="H10349" t="s">
        <v>21</v>
      </c>
      <c r="I10349" t="s">
        <v>20001</v>
      </c>
      <c r="J10349" t="str">
        <f>HYPERLINK("https://www.boe.es/gazeta/dias/1821/07/04/pdfs/GMD-1821-188.pdf#page=3","Abrir facsímil")</f>
        <v>Abrir facsímil</v>
      </c>
      <c r="K10349" t="s">
        <v>23</v>
      </c>
    </row>
    <row r="10350" spans="1:11" ht="42" customHeight="1">
      <c r="A10350" t="s">
        <v>20002</v>
      </c>
      <c r="B10350" t="s">
        <v>20002</v>
      </c>
      <c r="C10350" t="s">
        <v>26</v>
      </c>
      <c r="D10350" t="s">
        <v>27</v>
      </c>
      <c r="E10350" s="6">
        <v>-28511</v>
      </c>
      <c r="F10350" t="s">
        <v>340</v>
      </c>
      <c r="G10350" t="s">
        <v>43</v>
      </c>
      <c r="H10350" t="s">
        <v>21</v>
      </c>
      <c r="I10350" t="s">
        <v>20003</v>
      </c>
      <c r="J10350" t="str">
        <f>HYPERLINK("https://www.boe.es/gazeta/dias/1821/12/08/pdfs/GMD-1821-350.pdf#page=1","Abrir facsímil")</f>
        <v>Abrir facsímil</v>
      </c>
      <c r="K10350" t="s">
        <v>23</v>
      </c>
    </row>
    <row r="10351" spans="1:11" ht="42" customHeight="1">
      <c r="A10351" t="s">
        <v>20004</v>
      </c>
      <c r="B10351" t="s">
        <v>20004</v>
      </c>
      <c r="C10351" t="s">
        <v>40</v>
      </c>
      <c r="D10351" t="s">
        <v>41</v>
      </c>
      <c r="E10351" s="6">
        <v>-28727</v>
      </c>
      <c r="F10351" t="s">
        <v>200</v>
      </c>
      <c r="G10351" t="s">
        <v>52</v>
      </c>
      <c r="H10351" t="s">
        <v>21</v>
      </c>
      <c r="I10351" t="s">
        <v>20005</v>
      </c>
      <c r="J10351" t="str">
        <f>HYPERLINK("https://www.boe.es/gazeta/dias/1821/05/06/pdfs/GMD-1821-128.pdf#page=2","Abrir facsímil")</f>
        <v>Abrir facsímil</v>
      </c>
      <c r="K10351" t="s">
        <v>23</v>
      </c>
    </row>
    <row r="10352" spans="1:11" ht="42" customHeight="1">
      <c r="A10352" t="s">
        <v>20006</v>
      </c>
      <c r="B10352" t="s">
        <v>20006</v>
      </c>
      <c r="C10352" t="s">
        <v>40</v>
      </c>
      <c r="D10352" t="s">
        <v>41</v>
      </c>
      <c r="E10352" s="6">
        <v>-28492</v>
      </c>
      <c r="F10352" t="s">
        <v>1550</v>
      </c>
      <c r="G10352" t="s">
        <v>88</v>
      </c>
      <c r="H10352" t="s">
        <v>21</v>
      </c>
      <c r="I10352" t="s">
        <v>20007</v>
      </c>
      <c r="J10352" t="str">
        <f>HYPERLINK("https://www.boe.es/gazeta/dias/1821/12/27/pdfs/GMD-1821-370.pdf#page=4","Abrir facsímil")</f>
        <v>Abrir facsímil</v>
      </c>
      <c r="K10352" t="s">
        <v>23</v>
      </c>
    </row>
    <row r="10353" spans="1:11" ht="42" customHeight="1">
      <c r="A10353" t="s">
        <v>20008</v>
      </c>
      <c r="B10353" t="s">
        <v>20009</v>
      </c>
      <c r="C10353" t="s">
        <v>35</v>
      </c>
      <c r="D10353" t="s">
        <v>27</v>
      </c>
      <c r="E10353" s="6">
        <v>-28513</v>
      </c>
      <c r="F10353" t="s">
        <v>502</v>
      </c>
      <c r="G10353" t="s">
        <v>52</v>
      </c>
      <c r="H10353" t="s">
        <v>21</v>
      </c>
      <c r="I10353" t="s">
        <v>20010</v>
      </c>
      <c r="J10353" t="str">
        <f>HYPERLINK("https://www.boe.es/gazeta/dias/1821/12/06/pdfs/GMD-1821-348.pdf#page=2","Abrir facsímil")</f>
        <v>Abrir facsímil</v>
      </c>
      <c r="K10353" t="s">
        <v>23</v>
      </c>
    </row>
    <row r="10354" spans="1:11" ht="42" customHeight="1">
      <c r="A10354" t="s">
        <v>20011</v>
      </c>
      <c r="B10354" t="s">
        <v>20012</v>
      </c>
      <c r="C10354" t="s">
        <v>26</v>
      </c>
      <c r="D10354" t="s">
        <v>27</v>
      </c>
      <c r="E10354" s="6">
        <v>-28631</v>
      </c>
      <c r="F10354" t="s">
        <v>751</v>
      </c>
      <c r="G10354" t="s">
        <v>20</v>
      </c>
      <c r="H10354" t="s">
        <v>21</v>
      </c>
      <c r="I10354" t="s">
        <v>20013</v>
      </c>
      <c r="J10354" t="str">
        <f>HYPERLINK("https://www.boe.es/gazeta/dias/1821/08/10/pdfs/GMD-1821-227.pdf#page=3","Abrir facsímil")</f>
        <v>Abrir facsímil</v>
      </c>
      <c r="K10354" t="s">
        <v>23</v>
      </c>
    </row>
    <row r="10355" spans="1:11" ht="42" customHeight="1">
      <c r="A10355" t="s">
        <v>20014</v>
      </c>
      <c r="B10355" t="s">
        <v>20015</v>
      </c>
      <c r="C10355" t="s">
        <v>40</v>
      </c>
      <c r="D10355" t="s">
        <v>41</v>
      </c>
      <c r="E10355" s="6">
        <v>-28531</v>
      </c>
      <c r="F10355" t="s">
        <v>365</v>
      </c>
      <c r="G10355" t="s">
        <v>20</v>
      </c>
      <c r="H10355" t="s">
        <v>21</v>
      </c>
      <c r="I10355" t="s">
        <v>20016</v>
      </c>
      <c r="J10355" t="str">
        <f>HYPERLINK("https://www.boe.es/gazeta/dias/1821/11/18/pdfs/GMD-1821-329.pdf#page=3","Abrir facsímil")</f>
        <v>Abrir facsímil</v>
      </c>
      <c r="K10355" t="s">
        <v>23</v>
      </c>
    </row>
    <row r="10356" spans="1:11" ht="42" customHeight="1">
      <c r="A10356" t="s">
        <v>20017</v>
      </c>
      <c r="B10356" t="s">
        <v>20018</v>
      </c>
      <c r="C10356" t="s">
        <v>40</v>
      </c>
      <c r="D10356" t="s">
        <v>41</v>
      </c>
      <c r="E10356" s="6">
        <v>-28779</v>
      </c>
      <c r="F10356" t="s">
        <v>1002</v>
      </c>
      <c r="G10356" t="s">
        <v>52</v>
      </c>
      <c r="H10356" t="s">
        <v>21</v>
      </c>
      <c r="I10356" t="s">
        <v>20019</v>
      </c>
      <c r="J10356" t="str">
        <f>HYPERLINK("https://www.boe.es/gazeta/dias/1821/03/15/pdfs/GMD-1821-74.pdf#page=2","Abrir facsímil")</f>
        <v>Abrir facsímil</v>
      </c>
      <c r="K10356" t="s">
        <v>23</v>
      </c>
    </row>
    <row r="10357" spans="1:11" ht="42" customHeight="1">
      <c r="A10357" t="s">
        <v>20020</v>
      </c>
      <c r="B10357" t="s">
        <v>20020</v>
      </c>
      <c r="C10357" t="s">
        <v>40</v>
      </c>
      <c r="D10357" t="s">
        <v>41</v>
      </c>
      <c r="E10357" s="6">
        <v>-28631</v>
      </c>
      <c r="F10357" t="s">
        <v>751</v>
      </c>
      <c r="G10357" t="s">
        <v>20</v>
      </c>
      <c r="H10357" t="s">
        <v>21</v>
      </c>
      <c r="I10357" t="s">
        <v>20021</v>
      </c>
      <c r="J10357" t="str">
        <f>HYPERLINK("https://www.boe.es/gazeta/dias/1821/08/10/pdfs/GMD-1821-227.pdf#page=3","Abrir facsímil")</f>
        <v>Abrir facsímil</v>
      </c>
      <c r="K10357" t="s">
        <v>23</v>
      </c>
    </row>
    <row r="10358" spans="1:11" ht="42" customHeight="1">
      <c r="A10358" t="s">
        <v>20022</v>
      </c>
      <c r="B10358" t="s">
        <v>20022</v>
      </c>
      <c r="C10358" t="s">
        <v>26</v>
      </c>
      <c r="D10358" t="s">
        <v>27</v>
      </c>
      <c r="E10358" s="6">
        <v>-28631</v>
      </c>
      <c r="F10358" t="s">
        <v>751</v>
      </c>
      <c r="G10358" t="s">
        <v>20</v>
      </c>
      <c r="H10358" t="s">
        <v>21</v>
      </c>
      <c r="I10358" t="s">
        <v>20023</v>
      </c>
      <c r="J10358" t="str">
        <f>HYPERLINK("https://www.boe.es/gazeta/dias/1821/08/10/pdfs/GMD-1821-227.pdf#page=3","Abrir facsímil")</f>
        <v>Abrir facsímil</v>
      </c>
      <c r="K10358" t="s">
        <v>23</v>
      </c>
    </row>
    <row r="10359" spans="1:11" ht="42" customHeight="1">
      <c r="A10359" t="s">
        <v>20024</v>
      </c>
      <c r="B10359" t="s">
        <v>20025</v>
      </c>
      <c r="C10359" t="s">
        <v>17</v>
      </c>
      <c r="D10359" t="s">
        <v>18</v>
      </c>
      <c r="E10359" s="6">
        <v>-28809</v>
      </c>
      <c r="F10359" t="s">
        <v>1173</v>
      </c>
      <c r="G10359" t="s">
        <v>88</v>
      </c>
      <c r="H10359" t="s">
        <v>21</v>
      </c>
      <c r="I10359" t="s">
        <v>20026</v>
      </c>
      <c r="J10359" t="str">
        <f>HYPERLINK("https://www.boe.es/gazeta/dias/1821/02/13/pdfs/GGB-1821-44.pdf#page=4","Abrir facsímil")</f>
        <v>Abrir facsímil</v>
      </c>
      <c r="K10359" t="s">
        <v>23</v>
      </c>
    </row>
    <row r="10360" spans="1:11" ht="42" customHeight="1">
      <c r="A10360" t="s">
        <v>20027</v>
      </c>
      <c r="B10360" t="s">
        <v>20027</v>
      </c>
      <c r="C10360" t="s">
        <v>26</v>
      </c>
      <c r="D10360" t="s">
        <v>27</v>
      </c>
      <c r="E10360" s="6">
        <v>-28731</v>
      </c>
      <c r="F10360" t="s">
        <v>577</v>
      </c>
      <c r="G10360" t="s">
        <v>20</v>
      </c>
      <c r="H10360" t="s">
        <v>21</v>
      </c>
      <c r="I10360" t="s">
        <v>20028</v>
      </c>
      <c r="J10360" t="str">
        <f>HYPERLINK("https://www.boe.es/gazeta/dias/1821/05/02/pdfs/GMD-1821-124.pdf#page=3","Abrir facsímil")</f>
        <v>Abrir facsímil</v>
      </c>
      <c r="K10360" t="s">
        <v>23</v>
      </c>
    </row>
    <row r="10361" spans="1:11" ht="42" customHeight="1">
      <c r="A10361" t="s">
        <v>20029</v>
      </c>
      <c r="B10361" t="s">
        <v>20030</v>
      </c>
      <c r="C10361" t="s">
        <v>114</v>
      </c>
      <c r="D10361" t="s">
        <v>27</v>
      </c>
      <c r="E10361" s="6">
        <v>-28650</v>
      </c>
      <c r="F10361" t="s">
        <v>3285</v>
      </c>
      <c r="G10361" t="s">
        <v>20</v>
      </c>
      <c r="H10361" t="s">
        <v>21</v>
      </c>
      <c r="I10361" t="s">
        <v>20031</v>
      </c>
      <c r="J10361" t="str">
        <f>HYPERLINK("https://www.boe.es/gazeta/dias/1821/07/22/pdfs/GMD-1821-207.pdf#page=3","Abrir facsímil")</f>
        <v>Abrir facsímil</v>
      </c>
      <c r="K10361" t="s">
        <v>23</v>
      </c>
    </row>
    <row r="10362" spans="1:11" ht="42" customHeight="1">
      <c r="A10362" t="s">
        <v>20032</v>
      </c>
      <c r="B10362" t="s">
        <v>20033</v>
      </c>
      <c r="C10362" t="s">
        <v>26</v>
      </c>
      <c r="D10362" t="s">
        <v>27</v>
      </c>
      <c r="E10362" s="6">
        <v>-28748</v>
      </c>
      <c r="F10362" t="s">
        <v>634</v>
      </c>
      <c r="G10362" t="s">
        <v>88</v>
      </c>
      <c r="H10362" t="s">
        <v>21</v>
      </c>
      <c r="I10362" t="s">
        <v>20034</v>
      </c>
      <c r="J10362" t="str">
        <f>HYPERLINK("https://www.boe.es/gazeta/dias/1821/04/15/pdfs/GMD-1821-107.pdf#page=4","Abrir facsímil")</f>
        <v>Abrir facsímil</v>
      </c>
      <c r="K10362" t="s">
        <v>23</v>
      </c>
    </row>
    <row r="10363" spans="1:11" ht="42" customHeight="1">
      <c r="A10363" t="s">
        <v>20035</v>
      </c>
      <c r="B10363" t="s">
        <v>20036</v>
      </c>
      <c r="C10363" t="s">
        <v>114</v>
      </c>
      <c r="D10363" t="s">
        <v>27</v>
      </c>
      <c r="E10363" s="6">
        <v>-28531</v>
      </c>
      <c r="F10363" t="s">
        <v>365</v>
      </c>
      <c r="G10363" t="s">
        <v>20</v>
      </c>
      <c r="H10363" t="s">
        <v>21</v>
      </c>
      <c r="I10363" t="s">
        <v>20037</v>
      </c>
      <c r="J10363" t="str">
        <f>HYPERLINK("https://www.boe.es/gazeta/dias/1821/11/18/pdfs/GMD-1821-329.pdf#page=3","Abrir facsímil")</f>
        <v>Abrir facsímil</v>
      </c>
      <c r="K10363" t="s">
        <v>23</v>
      </c>
    </row>
    <row r="10364" spans="1:11" ht="42" customHeight="1">
      <c r="A10364" t="s">
        <v>20038</v>
      </c>
      <c r="B10364" t="s">
        <v>20039</v>
      </c>
      <c r="C10364" t="s">
        <v>17</v>
      </c>
      <c r="D10364" t="s">
        <v>18</v>
      </c>
      <c r="E10364" s="6">
        <v>-28776</v>
      </c>
      <c r="F10364" t="s">
        <v>312</v>
      </c>
      <c r="G10364" t="s">
        <v>88</v>
      </c>
      <c r="H10364" t="s">
        <v>30</v>
      </c>
      <c r="I10364" t="s">
        <v>20040</v>
      </c>
      <c r="J10364" t="str">
        <f>HYPERLINK("https://www.boe.es/gazeta/dias/1821/03/18/pdfs/GMD-1821-77.pdf#page=4","Abrir facsímil")</f>
        <v>Abrir facsímil</v>
      </c>
      <c r="K10364" t="s">
        <v>32</v>
      </c>
    </row>
    <row r="10365" spans="1:11" ht="42" customHeight="1">
      <c r="A10365" t="s">
        <v>20041</v>
      </c>
      <c r="B10365" t="s">
        <v>20042</v>
      </c>
      <c r="C10365" t="s">
        <v>26</v>
      </c>
      <c r="D10365" t="s">
        <v>27</v>
      </c>
      <c r="E10365" s="6">
        <v>-28791</v>
      </c>
      <c r="F10365" t="s">
        <v>47</v>
      </c>
      <c r="G10365" t="s">
        <v>88</v>
      </c>
      <c r="H10365" t="s">
        <v>21</v>
      </c>
      <c r="I10365" t="s">
        <v>20043</v>
      </c>
      <c r="J10365" t="str">
        <f>HYPERLINK("https://www.boe.es/gazeta/dias/1821/03/03/pdfs/GGB-1821-62.pdf#page=4","Abrir facsímil")</f>
        <v>Abrir facsímil</v>
      </c>
      <c r="K10365" t="s">
        <v>23</v>
      </c>
    </row>
    <row r="10366" spans="1:11" ht="42" customHeight="1">
      <c r="A10366" t="s">
        <v>20044</v>
      </c>
      <c r="B10366" t="s">
        <v>20045</v>
      </c>
      <c r="C10366" t="s">
        <v>17</v>
      </c>
      <c r="D10366" t="s">
        <v>18</v>
      </c>
      <c r="E10366" s="6">
        <v>-28825</v>
      </c>
      <c r="F10366" t="s">
        <v>1199</v>
      </c>
      <c r="G10366" t="s">
        <v>43</v>
      </c>
      <c r="H10366" t="s">
        <v>21</v>
      </c>
      <c r="I10366" t="s">
        <v>20046</v>
      </c>
      <c r="J10366" t="str">
        <f>HYPERLINK("https://www.boe.es/gazeta/dias/1821/01/28/pdfs/GGB-1821-28.pdf#page=1","Abrir facsímil")</f>
        <v>Abrir facsímil</v>
      </c>
      <c r="K10366" t="s">
        <v>23</v>
      </c>
    </row>
    <row r="10367" spans="1:11" ht="42" customHeight="1">
      <c r="A10367" t="s">
        <v>20047</v>
      </c>
      <c r="B10367" t="s">
        <v>20048</v>
      </c>
      <c r="C10367" t="s">
        <v>40</v>
      </c>
      <c r="D10367" t="s">
        <v>41</v>
      </c>
      <c r="E10367" s="6">
        <v>-28735</v>
      </c>
      <c r="F10367" t="s">
        <v>836</v>
      </c>
      <c r="G10367" t="s">
        <v>43</v>
      </c>
      <c r="H10367" t="s">
        <v>21</v>
      </c>
      <c r="I10367" t="s">
        <v>20049</v>
      </c>
      <c r="J10367" t="str">
        <f>HYPERLINK("https://www.boe.es/gazeta/dias/1821/04/28/pdfs/GMD-1821-120.pdf#page=1","Abrir facsímil")</f>
        <v>Abrir facsímil</v>
      </c>
      <c r="K10367" t="s">
        <v>23</v>
      </c>
    </row>
    <row r="10368" spans="1:11" ht="42" customHeight="1">
      <c r="A10368" t="s">
        <v>20050</v>
      </c>
      <c r="B10368" t="s">
        <v>20050</v>
      </c>
      <c r="C10368" t="s">
        <v>17</v>
      </c>
      <c r="D10368" t="s">
        <v>18</v>
      </c>
      <c r="E10368" s="6">
        <v>-28777</v>
      </c>
      <c r="F10368" t="s">
        <v>1004</v>
      </c>
      <c r="G10368" t="s">
        <v>88</v>
      </c>
      <c r="H10368" t="s">
        <v>21</v>
      </c>
      <c r="I10368" t="s">
        <v>20051</v>
      </c>
      <c r="J10368" t="str">
        <f>HYPERLINK("https://www.boe.es/gazeta/dias/1821/03/17/pdfs/GMD-1821-76.pdf#page=4","Abrir facsímil")</f>
        <v>Abrir facsímil</v>
      </c>
      <c r="K10368" t="s">
        <v>23</v>
      </c>
    </row>
    <row r="10369" spans="1:11" ht="42" customHeight="1">
      <c r="A10369" t="s">
        <v>20050</v>
      </c>
      <c r="B10369" t="s">
        <v>20050</v>
      </c>
      <c r="C10369" t="s">
        <v>17</v>
      </c>
      <c r="D10369" t="s">
        <v>18</v>
      </c>
      <c r="E10369" s="6">
        <v>-28776</v>
      </c>
      <c r="F10369" t="s">
        <v>312</v>
      </c>
      <c r="G10369" t="s">
        <v>20</v>
      </c>
      <c r="H10369" t="s">
        <v>21</v>
      </c>
      <c r="I10369" t="s">
        <v>20052</v>
      </c>
      <c r="J10369" t="str">
        <f>HYPERLINK("https://www.boe.es/gazeta/dias/1821/03/18/pdfs/GMD-1821-77.pdf#page=3","Abrir facsímil")</f>
        <v>Abrir facsímil</v>
      </c>
      <c r="K10369" t="s">
        <v>23</v>
      </c>
    </row>
    <row r="10370" spans="1:11" ht="42" customHeight="1">
      <c r="A10370" t="s">
        <v>20050</v>
      </c>
      <c r="B10370" t="s">
        <v>20050</v>
      </c>
      <c r="C10370" t="s">
        <v>70</v>
      </c>
      <c r="D10370" t="s">
        <v>27</v>
      </c>
      <c r="E10370" s="6">
        <v>-28774</v>
      </c>
      <c r="F10370" t="s">
        <v>1221</v>
      </c>
      <c r="G10370" t="s">
        <v>20</v>
      </c>
      <c r="H10370" t="s">
        <v>21</v>
      </c>
      <c r="I10370" t="s">
        <v>20053</v>
      </c>
      <c r="J10370" t="str">
        <f>HYPERLINK("https://www.boe.es/gazeta/dias/1821/03/20/pdfs/GMD-1821-79.pdf#page=3","Abrir facsímil")</f>
        <v>Abrir facsímil</v>
      </c>
      <c r="K10370" t="s">
        <v>23</v>
      </c>
    </row>
    <row r="10371" spans="1:11" ht="42" customHeight="1">
      <c r="A10371" t="s">
        <v>20050</v>
      </c>
      <c r="B10371" t="s">
        <v>20050</v>
      </c>
      <c r="C10371" t="s">
        <v>35</v>
      </c>
      <c r="D10371" t="s">
        <v>27</v>
      </c>
      <c r="E10371" s="6">
        <v>-28764</v>
      </c>
      <c r="F10371" t="s">
        <v>924</v>
      </c>
      <c r="G10371" t="s">
        <v>52</v>
      </c>
      <c r="H10371" t="s">
        <v>21</v>
      </c>
      <c r="I10371" t="s">
        <v>20054</v>
      </c>
      <c r="J10371" t="str">
        <f>HYPERLINK("https://www.boe.es/gazeta/dias/1821/03/30/pdfs/GMD-1821-91.pdf#page=2","Abrir facsímil")</f>
        <v>Abrir facsímil</v>
      </c>
      <c r="K10371" t="s">
        <v>23</v>
      </c>
    </row>
    <row r="10372" spans="1:11" ht="42" customHeight="1">
      <c r="A10372" t="s">
        <v>20050</v>
      </c>
      <c r="B10372" t="s">
        <v>20050</v>
      </c>
      <c r="C10372" t="s">
        <v>26</v>
      </c>
      <c r="D10372" t="s">
        <v>27</v>
      </c>
      <c r="E10372" s="6">
        <v>-28762</v>
      </c>
      <c r="F10372" t="s">
        <v>608</v>
      </c>
      <c r="G10372" t="s">
        <v>162</v>
      </c>
      <c r="H10372" t="s">
        <v>21</v>
      </c>
      <c r="I10372" t="s">
        <v>20055</v>
      </c>
      <c r="J10372" t="str">
        <f>HYPERLINK("https://www.boe.es/gazeta/dias/1821/04/01/pdfs/GMD-1821-93.pdf#page=5","Abrir facsímil")</f>
        <v>Abrir facsímil</v>
      </c>
      <c r="K10372" t="s">
        <v>23</v>
      </c>
    </row>
    <row r="10373" spans="1:11" ht="42" customHeight="1">
      <c r="A10373" t="s">
        <v>20050</v>
      </c>
      <c r="B10373" t="s">
        <v>20050</v>
      </c>
      <c r="C10373" t="s">
        <v>17</v>
      </c>
      <c r="D10373" t="s">
        <v>18</v>
      </c>
      <c r="E10373" s="6">
        <v>-28752</v>
      </c>
      <c r="F10373" t="s">
        <v>1012</v>
      </c>
      <c r="G10373" t="s">
        <v>52</v>
      </c>
      <c r="H10373" t="s">
        <v>21</v>
      </c>
      <c r="I10373" t="s">
        <v>20056</v>
      </c>
      <c r="J10373" t="str">
        <f>HYPERLINK("https://www.boe.es/gazeta/dias/1821/04/11/pdfs/GMD-1821-103.pdf#page=2","Abrir facsímil")</f>
        <v>Abrir facsímil</v>
      </c>
      <c r="K10373" t="s">
        <v>23</v>
      </c>
    </row>
    <row r="10374" spans="1:11" ht="42" customHeight="1">
      <c r="A10374" t="s">
        <v>20050</v>
      </c>
      <c r="B10374" t="s">
        <v>20050</v>
      </c>
      <c r="C10374" t="s">
        <v>35</v>
      </c>
      <c r="D10374" t="s">
        <v>27</v>
      </c>
      <c r="E10374" s="6">
        <v>-28747</v>
      </c>
      <c r="F10374" t="s">
        <v>1016</v>
      </c>
      <c r="G10374" t="s">
        <v>43</v>
      </c>
      <c r="H10374" t="s">
        <v>21</v>
      </c>
      <c r="I10374" t="s">
        <v>20057</v>
      </c>
      <c r="J10374" t="str">
        <f>HYPERLINK("https://www.boe.es/gazeta/dias/1821/04/16/pdfs/GMD-1821-108.pdf#page=1","Abrir facsímil")</f>
        <v>Abrir facsímil</v>
      </c>
      <c r="K10374" t="s">
        <v>23</v>
      </c>
    </row>
    <row r="10375" spans="1:11" ht="42" customHeight="1">
      <c r="A10375" t="s">
        <v>20050</v>
      </c>
      <c r="B10375" t="s">
        <v>20050</v>
      </c>
      <c r="C10375" t="s">
        <v>26</v>
      </c>
      <c r="D10375" t="s">
        <v>27</v>
      </c>
      <c r="E10375" s="6">
        <v>-28744</v>
      </c>
      <c r="F10375" t="s">
        <v>834</v>
      </c>
      <c r="G10375" t="s">
        <v>20</v>
      </c>
      <c r="H10375" t="s">
        <v>21</v>
      </c>
      <c r="I10375" t="s">
        <v>20058</v>
      </c>
      <c r="J10375" t="str">
        <f>HYPERLINK("https://www.boe.es/gazeta/dias/1821/04/19/pdfs/GMD-1821-111.pdf#page=3","Abrir facsímil")</f>
        <v>Abrir facsímil</v>
      </c>
      <c r="K10375" t="s">
        <v>23</v>
      </c>
    </row>
    <row r="10376" spans="1:11" ht="42" customHeight="1">
      <c r="A10376" t="s">
        <v>20050</v>
      </c>
      <c r="B10376" t="s">
        <v>20050</v>
      </c>
      <c r="C10376" t="s">
        <v>40</v>
      </c>
      <c r="D10376" t="s">
        <v>41</v>
      </c>
      <c r="E10376" s="6">
        <v>-28737</v>
      </c>
      <c r="F10376" t="s">
        <v>732</v>
      </c>
      <c r="G10376" t="s">
        <v>52</v>
      </c>
      <c r="H10376" t="s">
        <v>21</v>
      </c>
      <c r="I10376" t="s">
        <v>20059</v>
      </c>
      <c r="J10376" t="str">
        <f>HYPERLINK("https://www.boe.es/gazeta/dias/1821/04/26/pdfs/GMD-1821-118.pdf#page=2","Abrir facsímil")</f>
        <v>Abrir facsímil</v>
      </c>
      <c r="K10376" t="s">
        <v>23</v>
      </c>
    </row>
    <row r="10377" spans="1:11" ht="42" customHeight="1">
      <c r="A10377" t="s">
        <v>20050</v>
      </c>
      <c r="B10377" t="s">
        <v>20050</v>
      </c>
      <c r="C10377" t="s">
        <v>35</v>
      </c>
      <c r="D10377" t="s">
        <v>27</v>
      </c>
      <c r="E10377" s="6">
        <v>-28718</v>
      </c>
      <c r="F10377" t="s">
        <v>583</v>
      </c>
      <c r="G10377" t="s">
        <v>20</v>
      </c>
      <c r="H10377" t="s">
        <v>21</v>
      </c>
      <c r="I10377" t="s">
        <v>20060</v>
      </c>
      <c r="J10377" t="str">
        <f>HYPERLINK("https://www.boe.es/gazeta/dias/1821/05/15/pdfs/GMD-1821-137.pdf#page=3","Abrir facsímil")</f>
        <v>Abrir facsímil</v>
      </c>
      <c r="K10377" t="s">
        <v>23</v>
      </c>
    </row>
    <row r="10378" spans="1:11" ht="42" customHeight="1">
      <c r="A10378" t="s">
        <v>20050</v>
      </c>
      <c r="B10378" t="s">
        <v>20050</v>
      </c>
      <c r="C10378" t="s">
        <v>17</v>
      </c>
      <c r="D10378" t="s">
        <v>18</v>
      </c>
      <c r="E10378" s="6">
        <v>-28709</v>
      </c>
      <c r="F10378" t="s">
        <v>1434</v>
      </c>
      <c r="G10378" t="s">
        <v>1435</v>
      </c>
      <c r="H10378" t="s">
        <v>21</v>
      </c>
      <c r="I10378" t="s">
        <v>20061</v>
      </c>
      <c r="J10378" t="str">
        <f>HYPERLINK("https://www.boe.es/gazeta/dias/1821/05/24/pdfs/GMD-1821-146.pdf#page=2","Abrir facsímil")</f>
        <v>Abrir facsímil</v>
      </c>
      <c r="K10378" t="s">
        <v>23</v>
      </c>
    </row>
    <row r="10379" spans="1:11" ht="42" customHeight="1">
      <c r="A10379" t="s">
        <v>20050</v>
      </c>
      <c r="B10379" t="s">
        <v>20050</v>
      </c>
      <c r="C10379" t="s">
        <v>17</v>
      </c>
      <c r="D10379" t="s">
        <v>18</v>
      </c>
      <c r="E10379" s="6">
        <v>-28706</v>
      </c>
      <c r="F10379" t="s">
        <v>4791</v>
      </c>
      <c r="G10379" t="s">
        <v>52</v>
      </c>
      <c r="H10379" t="s">
        <v>21</v>
      </c>
      <c r="I10379" t="s">
        <v>20062</v>
      </c>
      <c r="J10379" t="str">
        <f>HYPERLINK("https://www.boe.es/gazeta/dias/1821/05/27/pdfs/GMD-1821-149.pdf#page=2","Abrir facsímil")</f>
        <v>Abrir facsímil</v>
      </c>
      <c r="K10379" t="s">
        <v>23</v>
      </c>
    </row>
    <row r="10380" spans="1:11" ht="42" customHeight="1">
      <c r="A10380" t="s">
        <v>20050</v>
      </c>
      <c r="B10380" t="s">
        <v>20050</v>
      </c>
      <c r="C10380" t="s">
        <v>40</v>
      </c>
      <c r="D10380" t="s">
        <v>41</v>
      </c>
      <c r="E10380" s="6">
        <v>-28704</v>
      </c>
      <c r="F10380" t="s">
        <v>1050</v>
      </c>
      <c r="G10380" t="s">
        <v>52</v>
      </c>
      <c r="H10380" t="s">
        <v>21</v>
      </c>
      <c r="I10380" t="s">
        <v>20063</v>
      </c>
      <c r="J10380" t="str">
        <f>HYPERLINK("https://www.boe.es/gazeta/dias/1821/05/29/pdfs/GMD-1821-151.pdf#page=2","Abrir facsímil")</f>
        <v>Abrir facsímil</v>
      </c>
      <c r="K10380" t="s">
        <v>23</v>
      </c>
    </row>
    <row r="10381" spans="1:11" ht="42" customHeight="1">
      <c r="A10381" t="s">
        <v>20050</v>
      </c>
      <c r="B10381" t="s">
        <v>20050</v>
      </c>
      <c r="C10381" t="s">
        <v>17</v>
      </c>
      <c r="D10381" t="s">
        <v>18</v>
      </c>
      <c r="E10381" s="6">
        <v>-28697</v>
      </c>
      <c r="F10381" t="s">
        <v>166</v>
      </c>
      <c r="G10381" t="s">
        <v>52</v>
      </c>
      <c r="H10381" t="s">
        <v>21</v>
      </c>
      <c r="I10381" t="s">
        <v>20064</v>
      </c>
      <c r="J10381" t="str">
        <f>HYPERLINK("https://www.boe.es/gazeta/dias/1821/06/05/pdfs/GMD-1821-158.pdf#page=2","Abrir facsímil")</f>
        <v>Abrir facsímil</v>
      </c>
      <c r="K10381" t="s">
        <v>23</v>
      </c>
    </row>
    <row r="10382" spans="1:11" ht="42" customHeight="1">
      <c r="A10382" t="s">
        <v>20050</v>
      </c>
      <c r="B10382" t="s">
        <v>20050</v>
      </c>
      <c r="C10382" t="s">
        <v>35</v>
      </c>
      <c r="D10382" t="s">
        <v>27</v>
      </c>
      <c r="E10382" s="6">
        <v>-28694</v>
      </c>
      <c r="F10382" t="s">
        <v>1057</v>
      </c>
      <c r="G10382" t="s">
        <v>20</v>
      </c>
      <c r="H10382" t="s">
        <v>21</v>
      </c>
      <c r="I10382" t="s">
        <v>20065</v>
      </c>
      <c r="J10382" t="str">
        <f>HYPERLINK("https://www.boe.es/gazeta/dias/1821/06/08/pdfs/GMD-1821-161.pdf#page=3","Abrir facsímil")</f>
        <v>Abrir facsímil</v>
      </c>
      <c r="K10382" t="s">
        <v>23</v>
      </c>
    </row>
    <row r="10383" spans="1:11" ht="42" customHeight="1">
      <c r="A10383" t="s">
        <v>20050</v>
      </c>
      <c r="B10383" t="s">
        <v>20050</v>
      </c>
      <c r="C10383" t="s">
        <v>494</v>
      </c>
      <c r="D10383" t="s">
        <v>18</v>
      </c>
      <c r="E10383" s="6">
        <v>-28694</v>
      </c>
      <c r="F10383" t="s">
        <v>1057</v>
      </c>
      <c r="G10383" t="s">
        <v>29</v>
      </c>
      <c r="H10383" t="s">
        <v>21</v>
      </c>
      <c r="I10383" t="s">
        <v>20066</v>
      </c>
      <c r="J10383" t="str">
        <f>HYPERLINK("https://www.boe.es/gazeta/dias/1821/06/08/pdfs/GMD-1821-161.pdf#page=6","Abrir facsímil")</f>
        <v>Abrir facsímil</v>
      </c>
      <c r="K10383" t="s">
        <v>23</v>
      </c>
    </row>
    <row r="10384" spans="1:11" ht="42" customHeight="1">
      <c r="A10384" t="s">
        <v>20050</v>
      </c>
      <c r="B10384" t="s">
        <v>20050</v>
      </c>
      <c r="C10384" t="s">
        <v>35</v>
      </c>
      <c r="D10384" t="s">
        <v>27</v>
      </c>
      <c r="E10384" s="6">
        <v>-28693</v>
      </c>
      <c r="F10384" t="s">
        <v>74</v>
      </c>
      <c r="G10384" t="s">
        <v>52</v>
      </c>
      <c r="H10384" t="s">
        <v>21</v>
      </c>
      <c r="I10384" t="s">
        <v>20067</v>
      </c>
      <c r="J10384" t="str">
        <f>HYPERLINK("https://www.boe.es/gazeta/dias/1821/06/09/pdfs/GMD-1821-162.pdf#page=2","Abrir facsímil")</f>
        <v>Abrir facsímil</v>
      </c>
      <c r="K10384" t="s">
        <v>23</v>
      </c>
    </row>
    <row r="10385" spans="1:11" ht="42" customHeight="1">
      <c r="A10385" t="s">
        <v>20050</v>
      </c>
      <c r="B10385" t="s">
        <v>20050</v>
      </c>
      <c r="C10385" t="s">
        <v>17</v>
      </c>
      <c r="D10385" t="s">
        <v>18</v>
      </c>
      <c r="E10385" s="6">
        <v>-28693</v>
      </c>
      <c r="F10385" t="s">
        <v>74</v>
      </c>
      <c r="G10385" t="s">
        <v>20</v>
      </c>
      <c r="H10385" t="s">
        <v>21</v>
      </c>
      <c r="I10385" t="s">
        <v>20068</v>
      </c>
      <c r="J10385" t="str">
        <f>HYPERLINK("https://www.boe.es/gazeta/dias/1821/06/09/pdfs/GMD-1821-162.pdf#page=3","Abrir facsímil")</f>
        <v>Abrir facsímil</v>
      </c>
      <c r="K10385" t="s">
        <v>23</v>
      </c>
    </row>
    <row r="10386" spans="1:11" ht="42" customHeight="1">
      <c r="A10386" t="s">
        <v>20050</v>
      </c>
      <c r="B10386" t="s">
        <v>20050</v>
      </c>
      <c r="C10386" t="s">
        <v>35</v>
      </c>
      <c r="D10386" t="s">
        <v>27</v>
      </c>
      <c r="E10386" s="6">
        <v>-28691</v>
      </c>
      <c r="F10386" t="s">
        <v>716</v>
      </c>
      <c r="G10386" t="s">
        <v>52</v>
      </c>
      <c r="H10386" t="s">
        <v>21</v>
      </c>
      <c r="I10386" t="s">
        <v>20069</v>
      </c>
      <c r="J10386" t="str">
        <f>HYPERLINK("https://www.boe.es/gazeta/dias/1821/06/11/pdfs/GMD-1821-164.pdf#page=2","Abrir facsímil")</f>
        <v>Abrir facsímil</v>
      </c>
      <c r="K10386" t="s">
        <v>23</v>
      </c>
    </row>
    <row r="10387" spans="1:11" ht="42" customHeight="1">
      <c r="A10387" t="s">
        <v>20050</v>
      </c>
      <c r="B10387" t="s">
        <v>20050</v>
      </c>
      <c r="C10387" t="s">
        <v>40</v>
      </c>
      <c r="D10387" t="s">
        <v>41</v>
      </c>
      <c r="E10387" s="6">
        <v>-28689</v>
      </c>
      <c r="F10387" t="s">
        <v>194</v>
      </c>
      <c r="G10387" t="s">
        <v>52</v>
      </c>
      <c r="H10387" t="s">
        <v>21</v>
      </c>
      <c r="I10387" t="s">
        <v>20070</v>
      </c>
      <c r="J10387" t="str">
        <f>HYPERLINK("https://www.boe.es/gazeta/dias/1821/06/13/pdfs/GMD-1821-166.pdf#page=2","Abrir facsímil")</f>
        <v>Abrir facsímil</v>
      </c>
      <c r="K10387" t="s">
        <v>23</v>
      </c>
    </row>
    <row r="10388" spans="1:11" ht="42" customHeight="1">
      <c r="A10388" t="s">
        <v>20050</v>
      </c>
      <c r="B10388" t="s">
        <v>20050</v>
      </c>
      <c r="C10388" t="s">
        <v>174</v>
      </c>
      <c r="D10388" t="s">
        <v>27</v>
      </c>
      <c r="E10388" s="6">
        <v>-28689</v>
      </c>
      <c r="F10388" t="s">
        <v>194</v>
      </c>
      <c r="G10388" t="s">
        <v>20</v>
      </c>
      <c r="H10388" t="s">
        <v>21</v>
      </c>
      <c r="I10388" t="s">
        <v>20071</v>
      </c>
      <c r="J10388" t="str">
        <f>HYPERLINK("https://www.boe.es/gazeta/dias/1821/06/13/pdfs/GMD-1821-166.pdf#page=3","Abrir facsímil")</f>
        <v>Abrir facsímil</v>
      </c>
      <c r="K10388" t="s">
        <v>23</v>
      </c>
    </row>
    <row r="10389" spans="1:11" ht="42" customHeight="1">
      <c r="A10389" t="s">
        <v>20050</v>
      </c>
      <c r="B10389" t="s">
        <v>20050</v>
      </c>
      <c r="C10389" t="s">
        <v>26</v>
      </c>
      <c r="D10389" t="s">
        <v>27</v>
      </c>
      <c r="E10389" s="6">
        <v>-28686</v>
      </c>
      <c r="F10389" t="s">
        <v>115</v>
      </c>
      <c r="G10389" t="s">
        <v>52</v>
      </c>
      <c r="H10389" t="s">
        <v>21</v>
      </c>
      <c r="I10389" t="s">
        <v>20072</v>
      </c>
      <c r="J10389" t="str">
        <f>HYPERLINK("https://www.boe.es/gazeta/dias/1821/06/16/pdfs/GMD-1821-169.pdf#page=2","Abrir facsímil")</f>
        <v>Abrir facsímil</v>
      </c>
      <c r="K10389" t="s">
        <v>23</v>
      </c>
    </row>
    <row r="10390" spans="1:11" ht="42" customHeight="1">
      <c r="A10390" t="s">
        <v>20050</v>
      </c>
      <c r="B10390" t="s">
        <v>20050</v>
      </c>
      <c r="C10390" t="s">
        <v>40</v>
      </c>
      <c r="D10390" t="s">
        <v>41</v>
      </c>
      <c r="E10390" s="6">
        <v>-28686</v>
      </c>
      <c r="F10390" t="s">
        <v>115</v>
      </c>
      <c r="G10390" t="s">
        <v>88</v>
      </c>
      <c r="H10390" t="s">
        <v>21</v>
      </c>
      <c r="I10390" t="s">
        <v>20073</v>
      </c>
      <c r="J10390" t="str">
        <f>HYPERLINK("https://www.boe.es/gazeta/dias/1821/06/16/pdfs/GMD-1821-169.pdf#page=4","Abrir facsímil")</f>
        <v>Abrir facsímil</v>
      </c>
      <c r="K10390" t="s">
        <v>23</v>
      </c>
    </row>
    <row r="10391" spans="1:11" ht="42" customHeight="1">
      <c r="A10391" t="s">
        <v>20050</v>
      </c>
      <c r="B10391" t="s">
        <v>20050</v>
      </c>
      <c r="C10391" t="s">
        <v>70</v>
      </c>
      <c r="D10391" t="s">
        <v>27</v>
      </c>
      <c r="E10391" s="6">
        <v>-28684</v>
      </c>
      <c r="F10391" t="s">
        <v>208</v>
      </c>
      <c r="G10391" t="s">
        <v>88</v>
      </c>
      <c r="H10391" t="s">
        <v>21</v>
      </c>
      <c r="I10391" t="s">
        <v>20074</v>
      </c>
      <c r="J10391" t="str">
        <f>HYPERLINK("https://www.boe.es/gazeta/dias/1821/06/18/pdfs/GMD-1821-171.pdf#page=4","Abrir facsímil")</f>
        <v>Abrir facsímil</v>
      </c>
      <c r="K10391" t="s">
        <v>23</v>
      </c>
    </row>
    <row r="10392" spans="1:11" ht="42" customHeight="1">
      <c r="A10392" t="s">
        <v>20050</v>
      </c>
      <c r="B10392" t="s">
        <v>20050</v>
      </c>
      <c r="C10392" t="s">
        <v>35</v>
      </c>
      <c r="D10392" t="s">
        <v>27</v>
      </c>
      <c r="E10392" s="6">
        <v>-28678</v>
      </c>
      <c r="F10392" t="s">
        <v>215</v>
      </c>
      <c r="G10392" t="s">
        <v>1445</v>
      </c>
      <c r="H10392" t="s">
        <v>21</v>
      </c>
      <c r="I10392" t="s">
        <v>20075</v>
      </c>
      <c r="J10392" t="str">
        <f>HYPERLINK("https://www.boe.es/gazeta/dias/1821/06/24/pdfs/GMD-1821-177.pdf#page=3","Abrir facsímil")</f>
        <v>Abrir facsímil</v>
      </c>
      <c r="K10392" t="s">
        <v>23</v>
      </c>
    </row>
    <row r="10393" spans="1:11" ht="42" customHeight="1">
      <c r="A10393" t="s">
        <v>20050</v>
      </c>
      <c r="B10393" t="s">
        <v>20050</v>
      </c>
      <c r="C10393" t="s">
        <v>40</v>
      </c>
      <c r="D10393" t="s">
        <v>41</v>
      </c>
      <c r="E10393" s="6">
        <v>-28674</v>
      </c>
      <c r="F10393" t="s">
        <v>536</v>
      </c>
      <c r="G10393" t="s">
        <v>20</v>
      </c>
      <c r="H10393" t="s">
        <v>21</v>
      </c>
      <c r="I10393" t="s">
        <v>20076</v>
      </c>
      <c r="J10393" t="str">
        <f>HYPERLINK("https://www.boe.es/gazeta/dias/1821/06/28/pdfs/GMD-1821-181.pdf#page=3","Abrir facsímil")</f>
        <v>Abrir facsímil</v>
      </c>
      <c r="K10393" t="s">
        <v>23</v>
      </c>
    </row>
    <row r="10394" spans="1:11" ht="42" customHeight="1">
      <c r="A10394" t="s">
        <v>20050</v>
      </c>
      <c r="B10394" t="s">
        <v>20050</v>
      </c>
      <c r="C10394" t="s">
        <v>26</v>
      </c>
      <c r="D10394" t="s">
        <v>27</v>
      </c>
      <c r="E10394" s="6">
        <v>-28572</v>
      </c>
      <c r="F10394" t="s">
        <v>1072</v>
      </c>
      <c r="G10394" t="s">
        <v>52</v>
      </c>
      <c r="H10394" t="s">
        <v>21</v>
      </c>
      <c r="I10394" t="s">
        <v>20077</v>
      </c>
      <c r="J10394" t="str">
        <f>HYPERLINK("https://www.boe.es/gazeta/dias/1821/10/08/pdfs/GMD-1821-287.pdf#page=2","Abrir facsímil")</f>
        <v>Abrir facsímil</v>
      </c>
      <c r="K10394" t="s">
        <v>23</v>
      </c>
    </row>
    <row r="10395" spans="1:11" ht="42" customHeight="1">
      <c r="A10395" t="s">
        <v>20050</v>
      </c>
      <c r="B10395" t="s">
        <v>20050</v>
      </c>
      <c r="C10395" t="s">
        <v>17</v>
      </c>
      <c r="D10395" t="s">
        <v>18</v>
      </c>
      <c r="E10395" s="6">
        <v>-28550</v>
      </c>
      <c r="F10395" t="s">
        <v>546</v>
      </c>
      <c r="G10395" t="s">
        <v>162</v>
      </c>
      <c r="H10395" t="s">
        <v>21</v>
      </c>
      <c r="I10395" t="s">
        <v>20078</v>
      </c>
      <c r="J10395" t="str">
        <f>HYPERLINK("https://www.boe.es/gazeta/dias/1821/10/30/pdfs/GMD-1821-309.pdf#page=5","Abrir facsímil")</f>
        <v>Abrir facsímil</v>
      </c>
      <c r="K10395" t="s">
        <v>23</v>
      </c>
    </row>
    <row r="10396" spans="1:11" ht="42" customHeight="1">
      <c r="A10396" t="s">
        <v>20050</v>
      </c>
      <c r="B10396" t="s">
        <v>20050</v>
      </c>
      <c r="C10396" t="s">
        <v>26</v>
      </c>
      <c r="D10396" t="s">
        <v>27</v>
      </c>
      <c r="E10396" s="6">
        <v>-28508</v>
      </c>
      <c r="F10396" t="s">
        <v>42</v>
      </c>
      <c r="G10396" t="s">
        <v>52</v>
      </c>
      <c r="H10396" t="s">
        <v>21</v>
      </c>
      <c r="I10396" t="s">
        <v>20079</v>
      </c>
      <c r="J10396" t="str">
        <f>HYPERLINK("https://www.boe.es/gazeta/dias/1821/12/11/pdfs/GMD-1821-353.pdf#page=2","Abrir facsímil")</f>
        <v>Abrir facsímil</v>
      </c>
      <c r="K10396" t="s">
        <v>23</v>
      </c>
    </row>
    <row r="10397" spans="1:11" ht="42" customHeight="1">
      <c r="A10397" t="s">
        <v>20050</v>
      </c>
      <c r="B10397" t="s">
        <v>20050</v>
      </c>
      <c r="C10397" t="s">
        <v>26</v>
      </c>
      <c r="D10397" t="s">
        <v>27</v>
      </c>
      <c r="E10397" s="6">
        <v>-28490</v>
      </c>
      <c r="F10397" t="s">
        <v>801</v>
      </c>
      <c r="G10397" t="s">
        <v>52</v>
      </c>
      <c r="H10397" t="s">
        <v>21</v>
      </c>
      <c r="I10397" t="s">
        <v>20080</v>
      </c>
      <c r="J10397" t="str">
        <f>HYPERLINK("https://www.boe.es/gazeta/dias/1821/12/29/pdfs/GMD-1821-372.pdf#page=2","Abrir facsímil")</f>
        <v>Abrir facsímil</v>
      </c>
      <c r="K10397" t="s">
        <v>23</v>
      </c>
    </row>
    <row r="10398" spans="1:11" ht="42" customHeight="1">
      <c r="A10398" t="s">
        <v>20081</v>
      </c>
      <c r="B10398" t="s">
        <v>20082</v>
      </c>
      <c r="C10398" t="s">
        <v>17</v>
      </c>
      <c r="D10398" t="s">
        <v>18</v>
      </c>
      <c r="E10398" s="6">
        <v>-28522</v>
      </c>
      <c r="F10398" t="s">
        <v>1083</v>
      </c>
      <c r="G10398" t="s">
        <v>9284</v>
      </c>
      <c r="H10398" t="s">
        <v>21</v>
      </c>
      <c r="I10398" t="s">
        <v>20083</v>
      </c>
      <c r="J10398" t="str">
        <f>HYPERLINK("https://www.boe.es/gazeta/dias/1821/11/27/pdfs/GMD-1821-339.pdf#page=3","Abrir facsímil")</f>
        <v>Abrir facsímil</v>
      </c>
      <c r="K10398" t="s">
        <v>23</v>
      </c>
    </row>
    <row r="10399" spans="1:11" ht="42" customHeight="1">
      <c r="A10399" t="s">
        <v>20084</v>
      </c>
      <c r="B10399" t="s">
        <v>20085</v>
      </c>
      <c r="C10399" t="s">
        <v>17</v>
      </c>
      <c r="D10399" t="s">
        <v>18</v>
      </c>
      <c r="E10399" s="6">
        <v>-28602</v>
      </c>
      <c r="F10399" t="s">
        <v>1526</v>
      </c>
      <c r="G10399" t="s">
        <v>20</v>
      </c>
      <c r="H10399" t="s">
        <v>21</v>
      </c>
      <c r="I10399" t="s">
        <v>20086</v>
      </c>
      <c r="J10399" t="str">
        <f>HYPERLINK("https://www.boe.es/gazeta/dias/1821/09/08/pdfs/GMD-1821-256.pdf#page=3","Abrir facsímil")</f>
        <v>Abrir facsímil</v>
      </c>
      <c r="K10399" t="s">
        <v>23</v>
      </c>
    </row>
    <row r="10400" spans="1:11" ht="42" customHeight="1">
      <c r="A10400" t="s">
        <v>20087</v>
      </c>
      <c r="B10400" t="s">
        <v>20088</v>
      </c>
      <c r="C10400" t="s">
        <v>17</v>
      </c>
      <c r="D10400" t="s">
        <v>18</v>
      </c>
      <c r="E10400" s="6">
        <v>-28736</v>
      </c>
      <c r="F10400" t="s">
        <v>464</v>
      </c>
      <c r="G10400" t="s">
        <v>88</v>
      </c>
      <c r="H10400" t="s">
        <v>21</v>
      </c>
      <c r="I10400" t="s">
        <v>20089</v>
      </c>
      <c r="J10400" t="str">
        <f>HYPERLINK("https://www.boe.es/gazeta/dias/1821/04/27/pdfs/GMD-1821-119.pdf#page=4","Abrir facsímil")</f>
        <v>Abrir facsímil</v>
      </c>
      <c r="K10400" t="s">
        <v>23</v>
      </c>
    </row>
    <row r="10401" spans="1:11" ht="42" customHeight="1">
      <c r="A10401" t="s">
        <v>20087</v>
      </c>
      <c r="B10401" t="s">
        <v>20088</v>
      </c>
      <c r="C10401" t="s">
        <v>17</v>
      </c>
      <c r="D10401" t="s">
        <v>18</v>
      </c>
      <c r="E10401" s="6">
        <v>-28541</v>
      </c>
      <c r="F10401" t="s">
        <v>275</v>
      </c>
      <c r="G10401" t="s">
        <v>29</v>
      </c>
      <c r="H10401" t="s">
        <v>21</v>
      </c>
      <c r="I10401" t="s">
        <v>20090</v>
      </c>
      <c r="J10401" t="str">
        <f>HYPERLINK("https://www.boe.es/gazeta/dias/1821/11/08/pdfs/GMD-1821-319.pdf#page=6","Abrir facsímil")</f>
        <v>Abrir facsímil</v>
      </c>
      <c r="K10401" t="s">
        <v>23</v>
      </c>
    </row>
    <row r="10402" spans="1:11" ht="42" customHeight="1">
      <c r="A10402" t="s">
        <v>20087</v>
      </c>
      <c r="B10402" t="s">
        <v>20088</v>
      </c>
      <c r="C10402" t="s">
        <v>40</v>
      </c>
      <c r="D10402" t="s">
        <v>41</v>
      </c>
      <c r="E10402" s="6">
        <v>-28490</v>
      </c>
      <c r="F10402" t="s">
        <v>801</v>
      </c>
      <c r="G10402" t="s">
        <v>88</v>
      </c>
      <c r="H10402" t="s">
        <v>21</v>
      </c>
      <c r="I10402" t="s">
        <v>20091</v>
      </c>
      <c r="J10402" t="str">
        <f>HYPERLINK("https://www.boe.es/gazeta/dias/1821/12/29/pdfs/GMD-1821-372.pdf#page=4","Abrir facsímil")</f>
        <v>Abrir facsímil</v>
      </c>
      <c r="K10402" t="s">
        <v>23</v>
      </c>
    </row>
    <row r="10403" spans="1:11" ht="42" customHeight="1">
      <c r="A10403" t="s">
        <v>20092</v>
      </c>
      <c r="B10403" t="s">
        <v>20093</v>
      </c>
      <c r="C10403" t="s">
        <v>70</v>
      </c>
      <c r="D10403" t="s">
        <v>27</v>
      </c>
      <c r="E10403" s="6">
        <v>-28665</v>
      </c>
      <c r="F10403" t="s">
        <v>789</v>
      </c>
      <c r="G10403" t="s">
        <v>790</v>
      </c>
      <c r="H10403" t="s">
        <v>21</v>
      </c>
      <c r="I10403" t="s">
        <v>20094</v>
      </c>
      <c r="J10403" t="str">
        <f>HYPERLINK("https://www.boe.es/gazeta/dias/1821/07/07/pdfs/GMD-1821-191.pdf#page=4","Abrir facsímil")</f>
        <v>Abrir facsímil</v>
      </c>
      <c r="K10403" t="s">
        <v>23</v>
      </c>
    </row>
    <row r="10404" spans="1:11" ht="42" customHeight="1">
      <c r="A10404" t="s">
        <v>20095</v>
      </c>
      <c r="B10404" t="s">
        <v>20095</v>
      </c>
      <c r="C10404" t="s">
        <v>174</v>
      </c>
      <c r="D10404" t="s">
        <v>27</v>
      </c>
      <c r="E10404" s="6">
        <v>-28616</v>
      </c>
      <c r="F10404" t="s">
        <v>1912</v>
      </c>
      <c r="G10404" t="s">
        <v>6462</v>
      </c>
      <c r="H10404" t="s">
        <v>21</v>
      </c>
      <c r="I10404" t="s">
        <v>20096</v>
      </c>
      <c r="J10404" t="str">
        <f>HYPERLINK("https://www.boe.es/gazeta/dias/1821/08/25/pdfs/GMD-1821-242.pdf#page=4","Abrir facsímil")</f>
        <v>Abrir facsímil</v>
      </c>
      <c r="K10404" t="s">
        <v>23</v>
      </c>
    </row>
    <row r="10405" spans="1:11" ht="42" customHeight="1">
      <c r="A10405" t="s">
        <v>20097</v>
      </c>
      <c r="B10405" t="s">
        <v>20098</v>
      </c>
      <c r="C10405" t="s">
        <v>40</v>
      </c>
      <c r="D10405" t="s">
        <v>41</v>
      </c>
      <c r="E10405" s="6">
        <v>-28551</v>
      </c>
      <c r="F10405" t="s">
        <v>542</v>
      </c>
      <c r="G10405" t="s">
        <v>88</v>
      </c>
      <c r="H10405" t="s">
        <v>21</v>
      </c>
      <c r="I10405" t="s">
        <v>20099</v>
      </c>
      <c r="J10405" t="str">
        <f>HYPERLINK("https://www.boe.es/gazeta/dias/1821/10/29/pdfs/GMD-1821-308.pdf#page=4","Abrir facsímil")</f>
        <v>Abrir facsímil</v>
      </c>
      <c r="K10405" t="s">
        <v>23</v>
      </c>
    </row>
    <row r="10406" spans="1:11" ht="42" customHeight="1">
      <c r="A10406" t="s">
        <v>20100</v>
      </c>
      <c r="B10406" t="s">
        <v>20100</v>
      </c>
      <c r="C10406" t="s">
        <v>40</v>
      </c>
      <c r="D10406" t="s">
        <v>41</v>
      </c>
      <c r="E10406" s="6">
        <v>-28758</v>
      </c>
      <c r="F10406" t="s">
        <v>4115</v>
      </c>
      <c r="G10406" t="s">
        <v>43</v>
      </c>
      <c r="H10406" t="s">
        <v>21</v>
      </c>
      <c r="I10406" t="s">
        <v>20101</v>
      </c>
      <c r="J10406" t="str">
        <f>HYPERLINK("https://www.boe.es/gazeta/dias/1821/04/05/pdfs/GMD-1821-97.pdf#page=1","Abrir facsímil")</f>
        <v>Abrir facsímil</v>
      </c>
      <c r="K10406" t="s">
        <v>23</v>
      </c>
    </row>
    <row r="10407" spans="1:11" ht="42" customHeight="1">
      <c r="A10407" t="s">
        <v>20100</v>
      </c>
      <c r="B10407" t="s">
        <v>20100</v>
      </c>
      <c r="C10407" t="s">
        <v>40</v>
      </c>
      <c r="D10407" t="s">
        <v>41</v>
      </c>
      <c r="E10407" s="6">
        <v>-28757</v>
      </c>
      <c r="F10407" t="s">
        <v>472</v>
      </c>
      <c r="G10407" t="s">
        <v>43</v>
      </c>
      <c r="H10407" t="s">
        <v>21</v>
      </c>
      <c r="I10407" t="s">
        <v>20102</v>
      </c>
      <c r="J10407" t="str">
        <f>HYPERLINK("https://www.boe.es/gazeta/dias/1821/04/06/pdfs/GMD-1821-98.pdf#page=1","Abrir facsímil")</f>
        <v>Abrir facsímil</v>
      </c>
      <c r="K10407" t="s">
        <v>23</v>
      </c>
    </row>
    <row r="10408" spans="1:11" ht="42" customHeight="1">
      <c r="A10408" t="s">
        <v>20100</v>
      </c>
      <c r="B10408" t="s">
        <v>20100</v>
      </c>
      <c r="C10408" t="s">
        <v>40</v>
      </c>
      <c r="D10408" t="s">
        <v>41</v>
      </c>
      <c r="E10408" s="6">
        <v>-28756</v>
      </c>
      <c r="F10408" t="s">
        <v>3145</v>
      </c>
      <c r="G10408" t="s">
        <v>52</v>
      </c>
      <c r="H10408" t="s">
        <v>21</v>
      </c>
      <c r="I10408" t="s">
        <v>20103</v>
      </c>
      <c r="J10408" t="str">
        <f>HYPERLINK("https://www.boe.es/gazeta/dias/1821/04/07/pdfs/GMD-1821-99.pdf#page=2","Abrir facsímil")</f>
        <v>Abrir facsímil</v>
      </c>
      <c r="K10408" t="s">
        <v>23</v>
      </c>
    </row>
    <row r="10409" spans="1:11" ht="42" customHeight="1">
      <c r="A10409" t="s">
        <v>20104</v>
      </c>
      <c r="B10409" t="s">
        <v>20105</v>
      </c>
      <c r="C10409" t="s">
        <v>279</v>
      </c>
      <c r="D10409" t="s">
        <v>27</v>
      </c>
      <c r="E10409" s="6">
        <v>-28646</v>
      </c>
      <c r="F10409" t="s">
        <v>1457</v>
      </c>
      <c r="G10409" t="s">
        <v>79</v>
      </c>
      <c r="H10409" t="s">
        <v>21</v>
      </c>
      <c r="I10409" t="s">
        <v>20106</v>
      </c>
      <c r="J10409" t="str">
        <f>HYPERLINK("https://www.boe.es/gazeta/dias/1821/07/26/pdfs/GMD-1821-211.pdf#page=4","Abrir facsímil")</f>
        <v>Abrir facsímil</v>
      </c>
      <c r="K10409" t="s">
        <v>23</v>
      </c>
    </row>
    <row r="10410" spans="1:11" ht="42" customHeight="1">
      <c r="A10410" t="s">
        <v>20107</v>
      </c>
      <c r="B10410" t="s">
        <v>20108</v>
      </c>
      <c r="C10410" t="s">
        <v>174</v>
      </c>
      <c r="D10410" t="s">
        <v>27</v>
      </c>
      <c r="E10410" s="6">
        <v>-28628</v>
      </c>
      <c r="F10410" t="s">
        <v>4257</v>
      </c>
      <c r="G10410" t="s">
        <v>43</v>
      </c>
      <c r="H10410" t="s">
        <v>21</v>
      </c>
      <c r="I10410" t="s">
        <v>20109</v>
      </c>
      <c r="J10410" t="str">
        <f>HYPERLINK("https://www.boe.es/gazeta/dias/1821/08/13/pdfs/GMD-1821-230.pdf#page=1","Abrir facsímil")</f>
        <v>Abrir facsímil</v>
      </c>
      <c r="K10410" t="s">
        <v>23</v>
      </c>
    </row>
    <row r="10411" spans="1:11" ht="42" customHeight="1">
      <c r="A10411" t="s">
        <v>20110</v>
      </c>
      <c r="B10411" t="s">
        <v>20110</v>
      </c>
      <c r="C10411" t="s">
        <v>40</v>
      </c>
      <c r="D10411" t="s">
        <v>41</v>
      </c>
      <c r="E10411" s="6">
        <v>-28844</v>
      </c>
      <c r="F10411" t="s">
        <v>1743</v>
      </c>
      <c r="G10411" t="s">
        <v>20</v>
      </c>
      <c r="H10411" t="s">
        <v>21</v>
      </c>
      <c r="I10411" t="s">
        <v>20111</v>
      </c>
      <c r="J10411" t="str">
        <f>HYPERLINK("https://www.boe.es/gazeta/dias/1821/01/09/pdfs/GGB-1821-9.pdf#page=3","Abrir facsímil")</f>
        <v>Abrir facsímil</v>
      </c>
      <c r="K10411" t="s">
        <v>23</v>
      </c>
    </row>
    <row r="10412" spans="1:11" ht="42" customHeight="1">
      <c r="A10412" t="s">
        <v>20112</v>
      </c>
      <c r="B10412" t="s">
        <v>20112</v>
      </c>
      <c r="C10412" t="s">
        <v>40</v>
      </c>
      <c r="D10412" t="s">
        <v>41</v>
      </c>
      <c r="E10412" s="6">
        <v>-28799</v>
      </c>
      <c r="F10412" t="s">
        <v>3158</v>
      </c>
      <c r="G10412" t="s">
        <v>20</v>
      </c>
      <c r="H10412" t="s">
        <v>21</v>
      </c>
      <c r="I10412" t="s">
        <v>20113</v>
      </c>
      <c r="J10412" t="str">
        <f>HYPERLINK("https://www.boe.es/gazeta/dias/1821/02/23/pdfs/GGB-1821-54.pdf#page=3","Abrir facsímil")</f>
        <v>Abrir facsímil</v>
      </c>
      <c r="K10412" t="s">
        <v>23</v>
      </c>
    </row>
    <row r="10413" spans="1:11" ht="42" customHeight="1">
      <c r="A10413" t="s">
        <v>20114</v>
      </c>
      <c r="B10413" t="s">
        <v>20115</v>
      </c>
      <c r="C10413" t="s">
        <v>40</v>
      </c>
      <c r="D10413" t="s">
        <v>41</v>
      </c>
      <c r="E10413" s="6">
        <v>-28796</v>
      </c>
      <c r="F10413" t="s">
        <v>1421</v>
      </c>
      <c r="G10413" t="s">
        <v>1422</v>
      </c>
      <c r="H10413" t="s">
        <v>21</v>
      </c>
      <c r="I10413" t="s">
        <v>20116</v>
      </c>
      <c r="J10413" t="str">
        <f>HYPERLINK("https://www.boe.es/gazeta/dias/1821/02/26/pdfs/GGB-1821-57.pdf#page=3","Abrir facsímil")</f>
        <v>Abrir facsímil</v>
      </c>
      <c r="K10413" t="s">
        <v>23</v>
      </c>
    </row>
    <row r="10414" spans="1:11" ht="42" customHeight="1">
      <c r="A10414" t="s">
        <v>20117</v>
      </c>
      <c r="B10414" t="s">
        <v>20118</v>
      </c>
      <c r="C10414" t="s">
        <v>40</v>
      </c>
      <c r="D10414" t="s">
        <v>41</v>
      </c>
      <c r="E10414" s="6">
        <v>-28548</v>
      </c>
      <c r="F10414" t="s">
        <v>782</v>
      </c>
      <c r="G10414" t="s">
        <v>162</v>
      </c>
      <c r="H10414" t="s">
        <v>21</v>
      </c>
      <c r="I10414" t="s">
        <v>20119</v>
      </c>
      <c r="J10414" t="str">
        <f>HYPERLINK("https://www.boe.es/gazeta/dias/1821/11/01/pdfs/GMD-1821-311.pdf#page=5","Abrir facsímil")</f>
        <v>Abrir facsímil</v>
      </c>
      <c r="K10414" t="s">
        <v>23</v>
      </c>
    </row>
    <row r="10415" spans="1:11" ht="42" customHeight="1">
      <c r="A10415" t="s">
        <v>20120</v>
      </c>
      <c r="B10415" t="s">
        <v>20121</v>
      </c>
      <c r="C10415" t="s">
        <v>17</v>
      </c>
      <c r="D10415" t="s">
        <v>18</v>
      </c>
      <c r="E10415" s="6">
        <v>-28671</v>
      </c>
      <c r="F10415" t="s">
        <v>5059</v>
      </c>
      <c r="G10415" t="s">
        <v>52</v>
      </c>
      <c r="H10415" t="s">
        <v>30</v>
      </c>
      <c r="I10415" t="s">
        <v>20122</v>
      </c>
      <c r="J10415" t="str">
        <f>HYPERLINK("https://www.boe.es/gazeta/dias/1821/07/01/pdfs/GMD-1821-185.pdf#page=2","Abrir facsímil")</f>
        <v>Abrir facsímil</v>
      </c>
      <c r="K10415" t="s">
        <v>32</v>
      </c>
    </row>
    <row r="10416" spans="1:11" ht="42" customHeight="1">
      <c r="A10416" t="s">
        <v>20123</v>
      </c>
      <c r="B10416" t="s">
        <v>20124</v>
      </c>
      <c r="C10416" t="s">
        <v>35</v>
      </c>
      <c r="D10416" t="s">
        <v>27</v>
      </c>
      <c r="E10416" s="6">
        <v>-28687</v>
      </c>
      <c r="F10416" t="s">
        <v>851</v>
      </c>
      <c r="G10416" t="s">
        <v>20</v>
      </c>
      <c r="H10416" t="s">
        <v>21</v>
      </c>
      <c r="I10416" t="s">
        <v>20125</v>
      </c>
      <c r="J10416" t="str">
        <f>HYPERLINK("https://www.boe.es/gazeta/dias/1821/06/15/pdfs/GMD-1821-168.pdf#page=3","Abrir facsímil")</f>
        <v>Abrir facsímil</v>
      </c>
      <c r="K10416" t="s">
        <v>23</v>
      </c>
    </row>
    <row r="10417" spans="1:11" ht="42" customHeight="1">
      <c r="A10417" t="s">
        <v>20126</v>
      </c>
      <c r="B10417" t="s">
        <v>20127</v>
      </c>
      <c r="C10417" t="s">
        <v>17</v>
      </c>
      <c r="D10417" t="s">
        <v>18</v>
      </c>
      <c r="E10417" s="6">
        <v>-28682</v>
      </c>
      <c r="F10417" t="s">
        <v>1064</v>
      </c>
      <c r="G10417" t="s">
        <v>52</v>
      </c>
      <c r="H10417" t="s">
        <v>21</v>
      </c>
      <c r="I10417" t="s">
        <v>20128</v>
      </c>
      <c r="J10417" t="str">
        <f>HYPERLINK("https://www.boe.es/gazeta/dias/1821/06/20/pdfs/GMD-1821-173.pdf#page=2","Abrir facsímil")</f>
        <v>Abrir facsímil</v>
      </c>
      <c r="K10417" t="s">
        <v>23</v>
      </c>
    </row>
    <row r="10418" spans="1:11" ht="42" customHeight="1">
      <c r="A10418" t="s">
        <v>20129</v>
      </c>
      <c r="B10418" t="s">
        <v>20130</v>
      </c>
      <c r="C10418" t="s">
        <v>26</v>
      </c>
      <c r="D10418" t="s">
        <v>27</v>
      </c>
      <c r="E10418" s="6">
        <v>-28763</v>
      </c>
      <c r="F10418" t="s">
        <v>1145</v>
      </c>
      <c r="G10418" t="s">
        <v>20</v>
      </c>
      <c r="H10418" t="s">
        <v>21</v>
      </c>
      <c r="I10418" t="s">
        <v>20131</v>
      </c>
      <c r="J10418" t="str">
        <f>HYPERLINK("https://www.boe.es/gazeta/dias/1821/03/31/pdfs/GMD-1821-92.pdf#page=3","Abrir facsímil")</f>
        <v>Abrir facsímil</v>
      </c>
      <c r="K10418" t="s">
        <v>23</v>
      </c>
    </row>
    <row r="10419" spans="1:11" ht="42" customHeight="1">
      <c r="A10419" t="s">
        <v>20132</v>
      </c>
      <c r="B10419" t="s">
        <v>20133</v>
      </c>
      <c r="C10419" t="s">
        <v>17</v>
      </c>
      <c r="D10419" t="s">
        <v>18</v>
      </c>
      <c r="E10419" s="6">
        <v>-28731</v>
      </c>
      <c r="F10419" t="s">
        <v>577</v>
      </c>
      <c r="G10419" t="s">
        <v>20</v>
      </c>
      <c r="H10419" t="s">
        <v>21</v>
      </c>
      <c r="I10419" t="s">
        <v>20134</v>
      </c>
      <c r="J10419" t="str">
        <f>HYPERLINK("https://www.boe.es/gazeta/dias/1821/05/02/pdfs/GMD-1821-124.pdf#page=3","Abrir facsímil")</f>
        <v>Abrir facsímil</v>
      </c>
      <c r="K10419" t="s">
        <v>23</v>
      </c>
    </row>
    <row r="10420" spans="1:11" ht="42" customHeight="1">
      <c r="A10420" t="s">
        <v>20129</v>
      </c>
      <c r="B10420" t="s">
        <v>20130</v>
      </c>
      <c r="C10420" t="s">
        <v>26</v>
      </c>
      <c r="D10420" t="s">
        <v>27</v>
      </c>
      <c r="E10420" s="6">
        <v>-28720</v>
      </c>
      <c r="F10420" t="s">
        <v>492</v>
      </c>
      <c r="G10420" t="s">
        <v>20</v>
      </c>
      <c r="H10420" t="s">
        <v>21</v>
      </c>
      <c r="I10420" t="s">
        <v>20135</v>
      </c>
      <c r="J10420" t="str">
        <f>HYPERLINK("https://www.boe.es/gazeta/dias/1821/05/13/pdfs/GMD-1821-135.pdf#page=3","Abrir facsímil")</f>
        <v>Abrir facsímil</v>
      </c>
      <c r="K10420" t="s">
        <v>23</v>
      </c>
    </row>
    <row r="10421" spans="1:11" ht="42" customHeight="1">
      <c r="A10421" t="s">
        <v>20129</v>
      </c>
      <c r="B10421" t="s">
        <v>20130</v>
      </c>
      <c r="C10421" t="s">
        <v>35</v>
      </c>
      <c r="D10421" t="s">
        <v>27</v>
      </c>
      <c r="E10421" s="6">
        <v>-28717</v>
      </c>
      <c r="F10421" t="s">
        <v>1044</v>
      </c>
      <c r="G10421" t="s">
        <v>52</v>
      </c>
      <c r="H10421" t="s">
        <v>21</v>
      </c>
      <c r="I10421" t="s">
        <v>20136</v>
      </c>
      <c r="J10421" t="str">
        <f>HYPERLINK("https://www.boe.es/gazeta/dias/1821/05/16/pdfs/GMD-1821-138.pdf#page=2","Abrir facsímil")</f>
        <v>Abrir facsímil</v>
      </c>
      <c r="K10421" t="s">
        <v>23</v>
      </c>
    </row>
    <row r="10422" spans="1:11" ht="42" customHeight="1">
      <c r="A10422" t="s">
        <v>20129</v>
      </c>
      <c r="B10422" t="s">
        <v>20130</v>
      </c>
      <c r="C10422" t="s">
        <v>35</v>
      </c>
      <c r="D10422" t="s">
        <v>27</v>
      </c>
      <c r="E10422" s="6">
        <v>-28707</v>
      </c>
      <c r="F10422" t="s">
        <v>495</v>
      </c>
      <c r="G10422" t="s">
        <v>52</v>
      </c>
      <c r="H10422" t="s">
        <v>21</v>
      </c>
      <c r="I10422" t="s">
        <v>20137</v>
      </c>
      <c r="J10422" t="str">
        <f>HYPERLINK("https://www.boe.es/gazeta/dias/1821/05/26/pdfs/GMD-1821-148.pdf#page=2","Abrir facsímil")</f>
        <v>Abrir facsímil</v>
      </c>
      <c r="K10422" t="s">
        <v>23</v>
      </c>
    </row>
    <row r="10423" spans="1:11" ht="42" customHeight="1">
      <c r="A10423" t="s">
        <v>20129</v>
      </c>
      <c r="B10423" t="s">
        <v>20130</v>
      </c>
      <c r="C10423" t="s">
        <v>17</v>
      </c>
      <c r="D10423" t="s">
        <v>18</v>
      </c>
      <c r="E10423" s="6">
        <v>-28699</v>
      </c>
      <c r="F10423" t="s">
        <v>280</v>
      </c>
      <c r="G10423" t="s">
        <v>20</v>
      </c>
      <c r="H10423" t="s">
        <v>21</v>
      </c>
      <c r="I10423" t="s">
        <v>20138</v>
      </c>
      <c r="J10423" t="str">
        <f>HYPERLINK("https://www.boe.es/gazeta/dias/1821/06/03/pdfs/GMD-1821-156.pdf#page=3","Abrir facsímil")</f>
        <v>Abrir facsímil</v>
      </c>
      <c r="K10423" t="s">
        <v>23</v>
      </c>
    </row>
    <row r="10424" spans="1:11" ht="42" customHeight="1">
      <c r="A10424" t="s">
        <v>20129</v>
      </c>
      <c r="B10424" t="s">
        <v>20130</v>
      </c>
      <c r="C10424" t="s">
        <v>35</v>
      </c>
      <c r="D10424" t="s">
        <v>27</v>
      </c>
      <c r="E10424" s="6">
        <v>-28693</v>
      </c>
      <c r="F10424" t="s">
        <v>74</v>
      </c>
      <c r="G10424" t="s">
        <v>88</v>
      </c>
      <c r="H10424" t="s">
        <v>21</v>
      </c>
      <c r="I10424" t="s">
        <v>20139</v>
      </c>
      <c r="J10424" t="str">
        <f>HYPERLINK("https://www.boe.es/gazeta/dias/1821/06/09/pdfs/GMD-1821-162.pdf#page=4","Abrir facsímil")</f>
        <v>Abrir facsímil</v>
      </c>
      <c r="K10424" t="s">
        <v>23</v>
      </c>
    </row>
    <row r="10425" spans="1:11" ht="42" customHeight="1">
      <c r="A10425" t="s">
        <v>20132</v>
      </c>
      <c r="B10425" t="s">
        <v>20133</v>
      </c>
      <c r="C10425" t="s">
        <v>26</v>
      </c>
      <c r="D10425" t="s">
        <v>27</v>
      </c>
      <c r="E10425" s="6">
        <v>-28688</v>
      </c>
      <c r="F10425" t="s">
        <v>1504</v>
      </c>
      <c r="G10425" t="s">
        <v>20</v>
      </c>
      <c r="H10425" t="s">
        <v>21</v>
      </c>
      <c r="I10425" t="s">
        <v>20140</v>
      </c>
      <c r="J10425" t="str">
        <f>HYPERLINK("https://www.boe.es/gazeta/dias/1821/06/14/pdfs/GMD-1821-167.pdf#page=3","Abrir facsímil")</f>
        <v>Abrir facsímil</v>
      </c>
      <c r="K10425" t="s">
        <v>23</v>
      </c>
    </row>
    <row r="10426" spans="1:11" ht="42" customHeight="1">
      <c r="A10426" t="s">
        <v>20132</v>
      </c>
      <c r="B10426" t="s">
        <v>20133</v>
      </c>
      <c r="C10426" t="s">
        <v>26</v>
      </c>
      <c r="D10426" t="s">
        <v>27</v>
      </c>
      <c r="E10426" s="6">
        <v>-28676</v>
      </c>
      <c r="F10426" t="s">
        <v>534</v>
      </c>
      <c r="G10426" t="s">
        <v>20</v>
      </c>
      <c r="H10426" t="s">
        <v>21</v>
      </c>
      <c r="I10426" t="s">
        <v>20141</v>
      </c>
      <c r="J10426" t="str">
        <f>HYPERLINK("https://www.boe.es/gazeta/dias/1821/06/26/pdfs/GMD-1821-179.pdf#page=3","Abrir facsímil")</f>
        <v>Abrir facsímil</v>
      </c>
      <c r="K10426" t="s">
        <v>23</v>
      </c>
    </row>
    <row r="10427" spans="1:11" ht="42" customHeight="1">
      <c r="A10427" t="s">
        <v>20129</v>
      </c>
      <c r="B10427" t="s">
        <v>20130</v>
      </c>
      <c r="C10427" t="s">
        <v>40</v>
      </c>
      <c r="D10427" t="s">
        <v>41</v>
      </c>
      <c r="E10427" s="6">
        <v>-28491</v>
      </c>
      <c r="F10427" t="s">
        <v>573</v>
      </c>
      <c r="G10427" t="s">
        <v>3891</v>
      </c>
      <c r="H10427" t="s">
        <v>21</v>
      </c>
      <c r="I10427" t="s">
        <v>20142</v>
      </c>
      <c r="J10427" t="str">
        <f>HYPERLINK("https://www.boe.es/gazeta/dias/1821/12/28/pdfs/GMD-1821-371.pdf#page=2","Abrir facsímil")</f>
        <v>Abrir facsímil</v>
      </c>
      <c r="K10427" t="s">
        <v>23</v>
      </c>
    </row>
    <row r="10428" spans="1:11" ht="42" customHeight="1">
      <c r="A10428" t="s">
        <v>20129</v>
      </c>
      <c r="B10428" t="s">
        <v>20130</v>
      </c>
      <c r="C10428" t="s">
        <v>17</v>
      </c>
      <c r="D10428" t="s">
        <v>18</v>
      </c>
      <c r="E10428" s="6">
        <v>-28490</v>
      </c>
      <c r="F10428" t="s">
        <v>801</v>
      </c>
      <c r="G10428" t="s">
        <v>802</v>
      </c>
      <c r="H10428" t="s">
        <v>21</v>
      </c>
      <c r="I10428" t="s">
        <v>20143</v>
      </c>
      <c r="J10428" t="str">
        <f>HYPERLINK("https://www.boe.es/gazeta/dias/1821/12/29/pdfs/GMD-1821-372.pdf#page=3","Abrir facsímil")</f>
        <v>Abrir facsímil</v>
      </c>
      <c r="K10428" t="s">
        <v>23</v>
      </c>
    </row>
    <row r="10429" spans="1:11" ht="42" customHeight="1">
      <c r="A10429" t="s">
        <v>20144</v>
      </c>
      <c r="B10429" t="s">
        <v>20144</v>
      </c>
      <c r="C10429" t="s">
        <v>17</v>
      </c>
      <c r="D10429" t="s">
        <v>18</v>
      </c>
      <c r="E10429" s="6">
        <v>-28797</v>
      </c>
      <c r="F10429" t="s">
        <v>2281</v>
      </c>
      <c r="G10429" t="s">
        <v>52</v>
      </c>
      <c r="H10429" t="s">
        <v>21</v>
      </c>
      <c r="I10429" t="s">
        <v>20145</v>
      </c>
      <c r="J10429" t="str">
        <f>HYPERLINK("https://www.boe.es/gazeta/dias/1821/02/25/pdfs/GGB-1821-56.pdf#page=2","Abrir facsímil")</f>
        <v>Abrir facsímil</v>
      </c>
      <c r="K10429" t="s">
        <v>23</v>
      </c>
    </row>
    <row r="10430" spans="1:11" ht="42" customHeight="1">
      <c r="A10430" t="s">
        <v>20146</v>
      </c>
      <c r="B10430" t="s">
        <v>20146</v>
      </c>
      <c r="C10430" t="s">
        <v>40</v>
      </c>
      <c r="D10430" t="s">
        <v>41</v>
      </c>
      <c r="E10430" s="6">
        <v>-28767</v>
      </c>
      <c r="F10430" t="s">
        <v>1439</v>
      </c>
      <c r="G10430" t="s">
        <v>43</v>
      </c>
      <c r="H10430" t="s">
        <v>21</v>
      </c>
      <c r="I10430" t="s">
        <v>20147</v>
      </c>
      <c r="J10430" t="str">
        <f>HYPERLINK("https://www.boe.es/gazeta/dias/1821/03/27/pdfs/GMD-1821-87.pdf#page=1","Abrir facsímil")</f>
        <v>Abrir facsímil</v>
      </c>
      <c r="K10430" t="s">
        <v>23</v>
      </c>
    </row>
    <row r="10431" spans="1:11" ht="42" customHeight="1">
      <c r="A10431" t="s">
        <v>20148</v>
      </c>
      <c r="B10431" t="s">
        <v>20149</v>
      </c>
      <c r="C10431" t="s">
        <v>26</v>
      </c>
      <c r="D10431" t="s">
        <v>27</v>
      </c>
      <c r="E10431" s="6">
        <v>-28791</v>
      </c>
      <c r="F10431" t="s">
        <v>47</v>
      </c>
      <c r="G10431" t="s">
        <v>88</v>
      </c>
      <c r="H10431" t="s">
        <v>21</v>
      </c>
      <c r="I10431" t="s">
        <v>20150</v>
      </c>
      <c r="J10431" t="str">
        <f>HYPERLINK("https://www.boe.es/gazeta/dias/1821/03/03/pdfs/GGB-1821-62.pdf#page=4","Abrir facsímil")</f>
        <v>Abrir facsímil</v>
      </c>
      <c r="K10431" t="s">
        <v>23</v>
      </c>
    </row>
    <row r="10432" spans="1:11" ht="42" customHeight="1">
      <c r="A10432" t="s">
        <v>20151</v>
      </c>
      <c r="B10432" t="s">
        <v>20152</v>
      </c>
      <c r="C10432" t="s">
        <v>40</v>
      </c>
      <c r="D10432" t="s">
        <v>41</v>
      </c>
      <c r="E10432" s="6">
        <v>-28850</v>
      </c>
      <c r="F10432" t="s">
        <v>664</v>
      </c>
      <c r="G10432" t="s">
        <v>20</v>
      </c>
      <c r="H10432" t="s">
        <v>21</v>
      </c>
      <c r="I10432" t="s">
        <v>20153</v>
      </c>
      <c r="J10432" t="str">
        <f>HYPERLINK("https://www.boe.es/gazeta/dias/1821/01/03/pdfs/GGB-1821-3.pdf#page=3","Abrir facsímil")</f>
        <v>Abrir facsímil</v>
      </c>
      <c r="K10432" t="s">
        <v>23</v>
      </c>
    </row>
    <row r="10433" spans="1:11" ht="42" customHeight="1">
      <c r="A10433" t="s">
        <v>20154</v>
      </c>
      <c r="B10433" t="s">
        <v>20154</v>
      </c>
      <c r="C10433" t="s">
        <v>40</v>
      </c>
      <c r="D10433" t="s">
        <v>41</v>
      </c>
      <c r="E10433" s="6">
        <v>-28696</v>
      </c>
      <c r="F10433" t="s">
        <v>497</v>
      </c>
      <c r="G10433" t="s">
        <v>52</v>
      </c>
      <c r="H10433" t="s">
        <v>21</v>
      </c>
      <c r="I10433" t="s">
        <v>20155</v>
      </c>
      <c r="J10433" t="str">
        <f>HYPERLINK("https://www.boe.es/gazeta/dias/1821/06/06/pdfs/GMD-1821-159.pdf#page=2","Abrir facsímil")</f>
        <v>Abrir facsímil</v>
      </c>
      <c r="K10433" t="s">
        <v>23</v>
      </c>
    </row>
    <row r="10434" spans="1:11" ht="42" customHeight="1">
      <c r="A10434" t="s">
        <v>20156</v>
      </c>
      <c r="B10434" t="s">
        <v>20157</v>
      </c>
      <c r="C10434" t="s">
        <v>494</v>
      </c>
      <c r="D10434" t="s">
        <v>18</v>
      </c>
      <c r="E10434" s="6">
        <v>-28644</v>
      </c>
      <c r="F10434" t="s">
        <v>1340</v>
      </c>
      <c r="G10434" t="s">
        <v>20</v>
      </c>
      <c r="H10434" t="s">
        <v>21</v>
      </c>
      <c r="I10434" t="s">
        <v>20158</v>
      </c>
      <c r="J10434" t="str">
        <f>HYPERLINK("https://www.boe.es/gazeta/dias/1821/07/28/pdfs/GMD-1821-213.pdf#page=3","Abrir facsímil")</f>
        <v>Abrir facsímil</v>
      </c>
      <c r="K10434" t="s">
        <v>23</v>
      </c>
    </row>
    <row r="10435" spans="1:11" ht="42" customHeight="1">
      <c r="A10435" t="s">
        <v>20159</v>
      </c>
      <c r="B10435" t="s">
        <v>20160</v>
      </c>
      <c r="C10435" t="s">
        <v>35</v>
      </c>
      <c r="D10435" t="s">
        <v>27</v>
      </c>
      <c r="E10435" s="6">
        <v>-28626</v>
      </c>
      <c r="F10435" t="s">
        <v>468</v>
      </c>
      <c r="G10435" t="s">
        <v>88</v>
      </c>
      <c r="H10435" t="s">
        <v>21</v>
      </c>
      <c r="I10435" t="s">
        <v>20161</v>
      </c>
      <c r="J10435" t="str">
        <f>HYPERLINK("https://www.boe.es/gazeta/dias/1821/08/15/pdfs/GMD-1821-232.pdf#page=4","Abrir facsímil")</f>
        <v>Abrir facsímil</v>
      </c>
      <c r="K10435" t="s">
        <v>23</v>
      </c>
    </row>
    <row r="10436" spans="1:11" ht="42" customHeight="1">
      <c r="A10436" t="s">
        <v>20162</v>
      </c>
      <c r="B10436" t="s">
        <v>20163</v>
      </c>
      <c r="C10436" t="s">
        <v>35</v>
      </c>
      <c r="D10436" t="s">
        <v>27</v>
      </c>
      <c r="E10436" s="6">
        <v>-28508</v>
      </c>
      <c r="F10436" t="s">
        <v>42</v>
      </c>
      <c r="G10436" t="s">
        <v>20</v>
      </c>
      <c r="H10436" t="s">
        <v>21</v>
      </c>
      <c r="I10436" t="s">
        <v>20164</v>
      </c>
      <c r="J10436" t="str">
        <f>HYPERLINK("https://www.boe.es/gazeta/dias/1821/12/11/pdfs/GMD-1821-353.pdf#page=3","Abrir facsímil")</f>
        <v>Abrir facsímil</v>
      </c>
      <c r="K10436" t="s">
        <v>23</v>
      </c>
    </row>
    <row r="10437" spans="1:11" ht="42" customHeight="1">
      <c r="A10437" t="s">
        <v>20165</v>
      </c>
      <c r="B10437" t="s">
        <v>20166</v>
      </c>
      <c r="C10437" t="s">
        <v>35</v>
      </c>
      <c r="D10437" t="s">
        <v>27</v>
      </c>
      <c r="E10437" s="6">
        <v>-28693</v>
      </c>
      <c r="F10437" t="s">
        <v>74</v>
      </c>
      <c r="G10437" t="s">
        <v>52</v>
      </c>
      <c r="H10437" t="s">
        <v>21</v>
      </c>
      <c r="I10437" t="s">
        <v>20167</v>
      </c>
      <c r="J10437" t="str">
        <f>HYPERLINK("https://www.boe.es/gazeta/dias/1821/06/09/pdfs/GMD-1821-162.pdf#page=2","Abrir facsímil")</f>
        <v>Abrir facsímil</v>
      </c>
      <c r="K10437" t="s">
        <v>23</v>
      </c>
    </row>
    <row r="10438" spans="1:11" ht="42" customHeight="1">
      <c r="A10438" t="s">
        <v>20168</v>
      </c>
      <c r="B10438" t="s">
        <v>20169</v>
      </c>
      <c r="C10438" t="s">
        <v>35</v>
      </c>
      <c r="D10438" t="s">
        <v>27</v>
      </c>
      <c r="E10438" s="6">
        <v>-28611</v>
      </c>
      <c r="F10438" t="s">
        <v>5777</v>
      </c>
      <c r="G10438" t="s">
        <v>88</v>
      </c>
      <c r="H10438" t="s">
        <v>21</v>
      </c>
      <c r="I10438" t="s">
        <v>20170</v>
      </c>
      <c r="J10438" t="str">
        <f>HYPERLINK("https://www.boe.es/gazeta/dias/1821/08/30/pdfs/GMD-1821-247.pdf#page=4","Abrir facsímil")</f>
        <v>Abrir facsímil</v>
      </c>
      <c r="K10438" t="s">
        <v>23</v>
      </c>
    </row>
    <row r="10439" spans="1:11" ht="42" customHeight="1">
      <c r="A10439" t="s">
        <v>20171</v>
      </c>
      <c r="B10439" t="s">
        <v>20172</v>
      </c>
      <c r="C10439" t="s">
        <v>17</v>
      </c>
      <c r="D10439" t="s">
        <v>18</v>
      </c>
      <c r="E10439" s="6">
        <v>-28753</v>
      </c>
      <c r="F10439" t="s">
        <v>720</v>
      </c>
      <c r="G10439" t="s">
        <v>88</v>
      </c>
      <c r="H10439" t="s">
        <v>21</v>
      </c>
      <c r="I10439" t="s">
        <v>20173</v>
      </c>
      <c r="J10439" t="str">
        <f>HYPERLINK("https://www.boe.es/gazeta/dias/1821/04/10/pdfs/GMD-1821-102.pdf#page=4","Abrir facsímil")</f>
        <v>Abrir facsímil</v>
      </c>
      <c r="K10439" t="s">
        <v>23</v>
      </c>
    </row>
    <row r="10440" spans="1:11" ht="42" customHeight="1">
      <c r="A10440" t="s">
        <v>20174</v>
      </c>
      <c r="B10440" t="s">
        <v>20175</v>
      </c>
      <c r="C10440" t="s">
        <v>40</v>
      </c>
      <c r="D10440" t="s">
        <v>41</v>
      </c>
      <c r="E10440" s="6">
        <v>-28512</v>
      </c>
      <c r="F10440" t="s">
        <v>66</v>
      </c>
      <c r="G10440" t="s">
        <v>43</v>
      </c>
      <c r="H10440" t="s">
        <v>21</v>
      </c>
      <c r="I10440" t="s">
        <v>20176</v>
      </c>
      <c r="J10440" t="str">
        <f>HYPERLINK("https://www.boe.es/gazeta/dias/1821/12/07/pdfs/GMD-1821-349.pdf#page=1","Abrir facsímil")</f>
        <v>Abrir facsímil</v>
      </c>
      <c r="K10440" t="s">
        <v>23</v>
      </c>
    </row>
    <row r="10441" spans="1:11" ht="42" customHeight="1">
      <c r="A10441" t="s">
        <v>20177</v>
      </c>
      <c r="B10441" t="s">
        <v>20177</v>
      </c>
      <c r="C10441" t="s">
        <v>17</v>
      </c>
      <c r="D10441" t="s">
        <v>18</v>
      </c>
      <c r="E10441" s="6">
        <v>-28731</v>
      </c>
      <c r="F10441" t="s">
        <v>577</v>
      </c>
      <c r="G10441" t="s">
        <v>52</v>
      </c>
      <c r="H10441" t="s">
        <v>21</v>
      </c>
      <c r="I10441" t="s">
        <v>20178</v>
      </c>
      <c r="J10441" t="str">
        <f>HYPERLINK("https://www.boe.es/gazeta/dias/1821/05/02/pdfs/GMD-1821-124.pdf#page=2","Abrir facsímil")</f>
        <v>Abrir facsímil</v>
      </c>
      <c r="K10441" t="s">
        <v>23</v>
      </c>
    </row>
    <row r="10442" spans="1:11" ht="42" customHeight="1">
      <c r="A10442" t="s">
        <v>20179</v>
      </c>
      <c r="B10442" t="s">
        <v>20180</v>
      </c>
      <c r="C10442" t="s">
        <v>26</v>
      </c>
      <c r="D10442" t="s">
        <v>27</v>
      </c>
      <c r="E10442" s="6">
        <v>-28637</v>
      </c>
      <c r="F10442" t="s">
        <v>3049</v>
      </c>
      <c r="G10442" t="s">
        <v>52</v>
      </c>
      <c r="H10442" t="s">
        <v>21</v>
      </c>
      <c r="I10442" t="s">
        <v>20181</v>
      </c>
      <c r="J10442" t="str">
        <f>HYPERLINK("https://www.boe.es/gazeta/dias/1821/08/04/pdfs/GMD-1821-220.pdf#page=2","Abrir facsímil")</f>
        <v>Abrir facsímil</v>
      </c>
      <c r="K10442" t="s">
        <v>23</v>
      </c>
    </row>
    <row r="10443" spans="1:11" ht="42" customHeight="1">
      <c r="A10443" t="s">
        <v>20182</v>
      </c>
      <c r="B10443" t="s">
        <v>20183</v>
      </c>
      <c r="C10443" t="s">
        <v>40</v>
      </c>
      <c r="D10443" t="s">
        <v>41</v>
      </c>
      <c r="E10443" s="6">
        <v>-28759</v>
      </c>
      <c r="F10443" t="s">
        <v>71</v>
      </c>
      <c r="G10443" t="s">
        <v>43</v>
      </c>
      <c r="H10443" t="s">
        <v>21</v>
      </c>
      <c r="I10443" t="s">
        <v>20184</v>
      </c>
      <c r="J10443" t="str">
        <f>HYPERLINK("https://www.boe.es/gazeta/dias/1821/04/04/pdfs/GMD-1821-96.pdf#page=1","Abrir facsímil")</f>
        <v>Abrir facsímil</v>
      </c>
      <c r="K10443" t="s">
        <v>23</v>
      </c>
    </row>
    <row r="10444" spans="1:11" ht="42" customHeight="1">
      <c r="A10444" t="s">
        <v>20185</v>
      </c>
      <c r="B10444" t="s">
        <v>20186</v>
      </c>
      <c r="C10444" t="s">
        <v>70</v>
      </c>
      <c r="D10444" t="s">
        <v>27</v>
      </c>
      <c r="E10444" s="6">
        <v>-28494</v>
      </c>
      <c r="F10444" t="s">
        <v>1665</v>
      </c>
      <c r="G10444" t="s">
        <v>3631</v>
      </c>
      <c r="H10444" t="s">
        <v>21</v>
      </c>
      <c r="I10444" t="s">
        <v>20187</v>
      </c>
      <c r="J10444" t="str">
        <f>HYPERLINK("https://www.boe.es/gazeta/dias/1821/12/25/pdfs/GMD-1821-368.pdf#page=4","Abrir facsímil")</f>
        <v>Abrir facsímil</v>
      </c>
      <c r="K10444" t="s">
        <v>23</v>
      </c>
    </row>
    <row r="10445" spans="1:11" ht="42" customHeight="1">
      <c r="A10445" t="s">
        <v>20188</v>
      </c>
      <c r="B10445" t="s">
        <v>20189</v>
      </c>
      <c r="C10445" t="s">
        <v>40</v>
      </c>
      <c r="D10445" t="s">
        <v>41</v>
      </c>
      <c r="E10445" s="6">
        <v>-28776</v>
      </c>
      <c r="F10445" t="s">
        <v>312</v>
      </c>
      <c r="G10445" t="s">
        <v>88</v>
      </c>
      <c r="H10445" t="s">
        <v>21</v>
      </c>
      <c r="I10445" t="s">
        <v>20190</v>
      </c>
      <c r="J10445" t="str">
        <f>HYPERLINK("https://www.boe.es/gazeta/dias/1821/03/18/pdfs/GMD-1821-77.pdf#page=4","Abrir facsímil")</f>
        <v>Abrir facsímil</v>
      </c>
      <c r="K10445" t="s">
        <v>23</v>
      </c>
    </row>
    <row r="10446" spans="1:11" ht="42" customHeight="1">
      <c r="A10446" t="s">
        <v>20191</v>
      </c>
      <c r="B10446" t="s">
        <v>20191</v>
      </c>
      <c r="C10446" t="s">
        <v>17</v>
      </c>
      <c r="D10446" t="s">
        <v>18</v>
      </c>
      <c r="E10446" s="6">
        <v>-28789</v>
      </c>
      <c r="F10446" t="s">
        <v>36</v>
      </c>
      <c r="G10446" t="s">
        <v>993</v>
      </c>
      <c r="H10446" t="s">
        <v>21</v>
      </c>
      <c r="I10446" t="s">
        <v>20192</v>
      </c>
      <c r="J10446" t="str">
        <f>HYPERLINK("https://www.boe.es/gazeta/dias/1821/03/05/pdfs/GGB-1821-64.pdf#page=4","Abrir facsímil")</f>
        <v>Abrir facsímil</v>
      </c>
      <c r="K10446" t="s">
        <v>23</v>
      </c>
    </row>
    <row r="10447" spans="1:11" ht="42" customHeight="1">
      <c r="A10447" t="s">
        <v>20193</v>
      </c>
      <c r="B10447" t="s">
        <v>20194</v>
      </c>
      <c r="C10447" t="s">
        <v>26</v>
      </c>
      <c r="D10447" t="s">
        <v>27</v>
      </c>
      <c r="E10447" s="6">
        <v>-28642</v>
      </c>
      <c r="F10447" t="s">
        <v>734</v>
      </c>
      <c r="G10447" t="s">
        <v>3536</v>
      </c>
      <c r="H10447" t="s">
        <v>30</v>
      </c>
      <c r="I10447" t="s">
        <v>20195</v>
      </c>
      <c r="J10447" t="str">
        <f>HYPERLINK("https://www.boe.es/gazeta/dias/1821/07/30/pdfs/GMD-1821-215.pdf#page=3","Abrir facsímil")</f>
        <v>Abrir facsímil</v>
      </c>
      <c r="K10447" t="s">
        <v>32</v>
      </c>
    </row>
    <row r="10448" spans="1:11" ht="42" customHeight="1">
      <c r="A10448" t="s">
        <v>20196</v>
      </c>
      <c r="B10448" t="s">
        <v>20197</v>
      </c>
      <c r="C10448" t="s">
        <v>40</v>
      </c>
      <c r="D10448" t="s">
        <v>41</v>
      </c>
      <c r="E10448" s="6">
        <v>-28572</v>
      </c>
      <c r="F10448" t="s">
        <v>1072</v>
      </c>
      <c r="G10448" t="s">
        <v>88</v>
      </c>
      <c r="H10448" t="s">
        <v>21</v>
      </c>
      <c r="I10448" t="s">
        <v>20198</v>
      </c>
      <c r="J10448" t="str">
        <f>HYPERLINK("https://www.boe.es/gazeta/dias/1821/10/08/pdfs/GMD-1821-287.pdf#page=4","Abrir facsímil")</f>
        <v>Abrir facsímil</v>
      </c>
      <c r="K10448" t="s">
        <v>23</v>
      </c>
    </row>
    <row r="10449" spans="1:11" ht="42" customHeight="1">
      <c r="A10449" t="s">
        <v>20199</v>
      </c>
      <c r="B10449" t="s">
        <v>20199</v>
      </c>
      <c r="C10449" t="s">
        <v>279</v>
      </c>
      <c r="D10449" t="s">
        <v>27</v>
      </c>
      <c r="E10449" s="6">
        <v>-28789</v>
      </c>
      <c r="F10449" t="s">
        <v>36</v>
      </c>
      <c r="G10449" t="s">
        <v>993</v>
      </c>
      <c r="H10449" t="s">
        <v>21</v>
      </c>
      <c r="I10449" t="s">
        <v>20200</v>
      </c>
      <c r="J10449" t="str">
        <f>HYPERLINK("https://www.boe.es/gazeta/dias/1821/03/05/pdfs/GGB-1821-64.pdf#page=4","Abrir facsímil")</f>
        <v>Abrir facsímil</v>
      </c>
      <c r="K10449" t="s">
        <v>23</v>
      </c>
    </row>
    <row r="10450" spans="1:11" ht="42" customHeight="1">
      <c r="A10450" t="s">
        <v>20201</v>
      </c>
      <c r="B10450" t="s">
        <v>20202</v>
      </c>
      <c r="C10450" t="s">
        <v>40</v>
      </c>
      <c r="D10450" t="s">
        <v>41</v>
      </c>
      <c r="E10450" s="6">
        <v>-28623</v>
      </c>
      <c r="F10450" t="s">
        <v>2767</v>
      </c>
      <c r="G10450" t="s">
        <v>52</v>
      </c>
      <c r="H10450" t="s">
        <v>21</v>
      </c>
      <c r="I10450" t="s">
        <v>20203</v>
      </c>
      <c r="J10450" t="str">
        <f>HYPERLINK("https://www.boe.es/gazeta/dias/1821/08/18/pdfs/GMD-1821-235.pdf#page=2","Abrir facsímil")</f>
        <v>Abrir facsímil</v>
      </c>
      <c r="K10450" t="s">
        <v>23</v>
      </c>
    </row>
    <row r="10451" spans="1:11" ht="42" customHeight="1">
      <c r="A10451" t="s">
        <v>20204</v>
      </c>
      <c r="B10451" t="s">
        <v>20204</v>
      </c>
      <c r="C10451" t="s">
        <v>40</v>
      </c>
      <c r="D10451" t="s">
        <v>41</v>
      </c>
      <c r="E10451" s="6">
        <v>-28541</v>
      </c>
      <c r="F10451" t="s">
        <v>275</v>
      </c>
      <c r="G10451" t="s">
        <v>18796</v>
      </c>
      <c r="H10451" t="s">
        <v>21</v>
      </c>
      <c r="I10451" t="s">
        <v>20205</v>
      </c>
      <c r="J10451" t="str">
        <f>HYPERLINK("https://www.boe.es/gazeta/dias/1821/11/08/pdfs/GMD-1821-319.pdf#page=5","Abrir facsímil")</f>
        <v>Abrir facsímil</v>
      </c>
      <c r="K10451" t="s">
        <v>23</v>
      </c>
    </row>
    <row r="10452" spans="1:11" ht="42" customHeight="1">
      <c r="A10452" t="s">
        <v>20206</v>
      </c>
      <c r="B10452" t="s">
        <v>20207</v>
      </c>
      <c r="C10452" t="s">
        <v>70</v>
      </c>
      <c r="D10452" t="s">
        <v>27</v>
      </c>
      <c r="E10452" s="6">
        <v>-28716</v>
      </c>
      <c r="F10452" t="s">
        <v>842</v>
      </c>
      <c r="G10452" t="s">
        <v>88</v>
      </c>
      <c r="H10452" t="s">
        <v>21</v>
      </c>
      <c r="I10452" t="s">
        <v>20208</v>
      </c>
      <c r="J10452" t="str">
        <f>HYPERLINK("https://www.boe.es/gazeta/dias/1821/05/17/pdfs/GMD-1821-139.pdf#page=4","Abrir facsímil")</f>
        <v>Abrir facsímil</v>
      </c>
      <c r="K10452" t="s">
        <v>23</v>
      </c>
    </row>
    <row r="10453" spans="1:11" ht="42" customHeight="1">
      <c r="A10453" t="s">
        <v>20209</v>
      </c>
      <c r="B10453" t="s">
        <v>20210</v>
      </c>
      <c r="C10453" t="s">
        <v>40</v>
      </c>
      <c r="D10453" t="s">
        <v>41</v>
      </c>
      <c r="E10453" s="6">
        <v>-28787</v>
      </c>
      <c r="F10453" t="s">
        <v>486</v>
      </c>
      <c r="G10453" t="s">
        <v>52</v>
      </c>
      <c r="H10453" t="s">
        <v>21</v>
      </c>
      <c r="I10453" t="s">
        <v>20211</v>
      </c>
      <c r="J10453" t="str">
        <f>HYPERLINK("https://www.boe.es/gazeta/dias/1821/03/07/pdfs/GGB-1821-66.pdf#page=2","Abrir facsímil")</f>
        <v>Abrir facsímil</v>
      </c>
      <c r="K10453" t="s">
        <v>23</v>
      </c>
    </row>
    <row r="10454" spans="1:11" ht="42" customHeight="1">
      <c r="A10454" t="s">
        <v>20212</v>
      </c>
      <c r="B10454" t="s">
        <v>20213</v>
      </c>
      <c r="C10454" t="s">
        <v>40</v>
      </c>
      <c r="D10454" t="s">
        <v>41</v>
      </c>
      <c r="E10454" s="6">
        <v>-28492</v>
      </c>
      <c r="F10454" t="s">
        <v>1550</v>
      </c>
      <c r="G10454" t="s">
        <v>88</v>
      </c>
      <c r="H10454" t="s">
        <v>21</v>
      </c>
      <c r="I10454" t="s">
        <v>20214</v>
      </c>
      <c r="J10454" t="str">
        <f>HYPERLINK("https://www.boe.es/gazeta/dias/1821/12/27/pdfs/GMD-1821-370.pdf#page=4","Abrir facsímil")</f>
        <v>Abrir facsímil</v>
      </c>
      <c r="K10454" t="s">
        <v>23</v>
      </c>
    </row>
    <row r="10455" spans="1:11" ht="42" customHeight="1">
      <c r="A10455" t="s">
        <v>20215</v>
      </c>
      <c r="B10455" t="s">
        <v>20215</v>
      </c>
      <c r="C10455" t="s">
        <v>40</v>
      </c>
      <c r="D10455" t="s">
        <v>41</v>
      </c>
      <c r="E10455" s="6">
        <v>-28641</v>
      </c>
      <c r="F10455" t="s">
        <v>398</v>
      </c>
      <c r="G10455" t="s">
        <v>20</v>
      </c>
      <c r="H10455" t="s">
        <v>21</v>
      </c>
      <c r="I10455" t="s">
        <v>20216</v>
      </c>
      <c r="J10455" t="str">
        <f>HYPERLINK("https://www.boe.es/gazeta/dias/1821/07/31/pdfs/GMD-1821-216.pdf#page=3","Abrir facsímil")</f>
        <v>Abrir facsímil</v>
      </c>
      <c r="K10455" t="s">
        <v>23</v>
      </c>
    </row>
    <row r="10456" spans="1:11" ht="42" customHeight="1">
      <c r="A10456" t="s">
        <v>20215</v>
      </c>
      <c r="B10456" t="s">
        <v>20215</v>
      </c>
      <c r="C10456" t="s">
        <v>40</v>
      </c>
      <c r="D10456" t="s">
        <v>41</v>
      </c>
      <c r="E10456" s="6">
        <v>-28570</v>
      </c>
      <c r="F10456" t="s">
        <v>2300</v>
      </c>
      <c r="G10456" t="s">
        <v>162</v>
      </c>
      <c r="H10456" t="s">
        <v>21</v>
      </c>
      <c r="I10456" t="s">
        <v>20217</v>
      </c>
      <c r="J10456" t="str">
        <f>HYPERLINK("https://www.boe.es/gazeta/dias/1821/10/10/pdfs/GMD-1821-289.pdf#page=5","Abrir facsímil")</f>
        <v>Abrir facsímil</v>
      </c>
      <c r="K10456" t="s">
        <v>23</v>
      </c>
    </row>
    <row r="10457" spans="1:11" ht="42" customHeight="1">
      <c r="A10457" t="s">
        <v>20218</v>
      </c>
      <c r="B10457" t="s">
        <v>20218</v>
      </c>
      <c r="C10457" t="s">
        <v>40</v>
      </c>
      <c r="D10457" t="s">
        <v>41</v>
      </c>
      <c r="E10457" s="6">
        <v>-28773</v>
      </c>
      <c r="F10457" t="s">
        <v>1755</v>
      </c>
      <c r="G10457" t="s">
        <v>162</v>
      </c>
      <c r="H10457" t="s">
        <v>21</v>
      </c>
      <c r="I10457" t="s">
        <v>20219</v>
      </c>
      <c r="J10457" t="str">
        <f>HYPERLINK("https://www.boe.es/gazeta/dias/1821/03/21/pdfs/GMD-1821-80.pdf#page=5","Abrir facsímil")</f>
        <v>Abrir facsímil</v>
      </c>
      <c r="K10457" t="s">
        <v>23</v>
      </c>
    </row>
    <row r="10458" spans="1:11" ht="42" customHeight="1">
      <c r="A10458" t="s">
        <v>20220</v>
      </c>
      <c r="B10458" t="s">
        <v>20220</v>
      </c>
      <c r="C10458" t="s">
        <v>26</v>
      </c>
      <c r="D10458" t="s">
        <v>27</v>
      </c>
      <c r="E10458" s="6">
        <v>-28765</v>
      </c>
      <c r="F10458" t="s">
        <v>974</v>
      </c>
      <c r="G10458" t="s">
        <v>20</v>
      </c>
      <c r="H10458" t="s">
        <v>21</v>
      </c>
      <c r="I10458" t="s">
        <v>20221</v>
      </c>
      <c r="J10458" t="str">
        <f>HYPERLINK("https://www.boe.es/gazeta/dias/1821/03/29/pdfs/GMD-1821-90.pdf#page=3","Abrir facsímil")</f>
        <v>Abrir facsímil</v>
      </c>
      <c r="K10458" t="s">
        <v>23</v>
      </c>
    </row>
    <row r="10459" spans="1:11" ht="42" customHeight="1">
      <c r="A10459" t="s">
        <v>20220</v>
      </c>
      <c r="B10459" t="s">
        <v>20220</v>
      </c>
      <c r="C10459" t="s">
        <v>17</v>
      </c>
      <c r="D10459" t="s">
        <v>18</v>
      </c>
      <c r="E10459" s="6">
        <v>-28761</v>
      </c>
      <c r="F10459" t="s">
        <v>771</v>
      </c>
      <c r="G10459" t="s">
        <v>52</v>
      </c>
      <c r="H10459" t="s">
        <v>21</v>
      </c>
      <c r="I10459" t="s">
        <v>20222</v>
      </c>
      <c r="J10459" t="str">
        <f>HYPERLINK("https://www.boe.es/gazeta/dias/1821/04/02/pdfs/GMD-1821-94.pdf#page=2","Abrir facsímil")</f>
        <v>Abrir facsímil</v>
      </c>
      <c r="K10459" t="s">
        <v>23</v>
      </c>
    </row>
    <row r="10460" spans="1:11" ht="42" customHeight="1">
      <c r="A10460" t="s">
        <v>20220</v>
      </c>
      <c r="B10460" t="s">
        <v>20220</v>
      </c>
      <c r="C10460" t="s">
        <v>17</v>
      </c>
      <c r="D10460" t="s">
        <v>18</v>
      </c>
      <c r="E10460" s="6">
        <v>-28710</v>
      </c>
      <c r="F10460" t="s">
        <v>375</v>
      </c>
      <c r="G10460" t="s">
        <v>52</v>
      </c>
      <c r="H10460" t="s">
        <v>21</v>
      </c>
      <c r="I10460" t="s">
        <v>20223</v>
      </c>
      <c r="J10460" t="str">
        <f>HYPERLINK("https://www.boe.es/gazeta/dias/1821/05/23/pdfs/GMD-1821-145.pdf#page=2","Abrir facsímil")</f>
        <v>Abrir facsímil</v>
      </c>
      <c r="K10460" t="s">
        <v>23</v>
      </c>
    </row>
    <row r="10461" spans="1:11" ht="42" customHeight="1">
      <c r="A10461" t="s">
        <v>20220</v>
      </c>
      <c r="B10461" t="s">
        <v>20220</v>
      </c>
      <c r="C10461" t="s">
        <v>35</v>
      </c>
      <c r="D10461" t="s">
        <v>27</v>
      </c>
      <c r="E10461" s="6">
        <v>-28706</v>
      </c>
      <c r="F10461" t="s">
        <v>4791</v>
      </c>
      <c r="G10461" t="s">
        <v>88</v>
      </c>
      <c r="H10461" t="s">
        <v>21</v>
      </c>
      <c r="I10461" t="s">
        <v>20224</v>
      </c>
      <c r="J10461" t="str">
        <f>HYPERLINK("https://www.boe.es/gazeta/dias/1821/05/27/pdfs/GMD-1821-149.pdf#page=4","Abrir facsímil")</f>
        <v>Abrir facsímil</v>
      </c>
      <c r="K10461" t="s">
        <v>23</v>
      </c>
    </row>
    <row r="10462" spans="1:11" ht="42" customHeight="1">
      <c r="A10462" t="s">
        <v>20220</v>
      </c>
      <c r="B10462" t="s">
        <v>20220</v>
      </c>
      <c r="C10462" t="s">
        <v>26</v>
      </c>
      <c r="D10462" t="s">
        <v>27</v>
      </c>
      <c r="E10462" s="6">
        <v>-28696</v>
      </c>
      <c r="F10462" t="s">
        <v>497</v>
      </c>
      <c r="G10462" t="s">
        <v>52</v>
      </c>
      <c r="H10462" t="s">
        <v>21</v>
      </c>
      <c r="I10462" t="s">
        <v>20225</v>
      </c>
      <c r="J10462" t="str">
        <f>HYPERLINK("https://www.boe.es/gazeta/dias/1821/06/06/pdfs/GMD-1821-159.pdf#page=2","Abrir facsímil")</f>
        <v>Abrir facsímil</v>
      </c>
      <c r="K10462" t="s">
        <v>23</v>
      </c>
    </row>
    <row r="10463" spans="1:11" ht="42" customHeight="1">
      <c r="A10463" t="s">
        <v>20220</v>
      </c>
      <c r="B10463" t="s">
        <v>20220</v>
      </c>
      <c r="C10463" t="s">
        <v>40</v>
      </c>
      <c r="D10463" t="s">
        <v>41</v>
      </c>
      <c r="E10463" s="6">
        <v>-28693</v>
      </c>
      <c r="F10463" t="s">
        <v>74</v>
      </c>
      <c r="G10463" t="s">
        <v>20</v>
      </c>
      <c r="H10463" t="s">
        <v>21</v>
      </c>
      <c r="I10463" t="s">
        <v>20226</v>
      </c>
      <c r="J10463" t="str">
        <f>HYPERLINK("https://www.boe.es/gazeta/dias/1821/06/09/pdfs/GMD-1821-162.pdf#page=3","Abrir facsímil")</f>
        <v>Abrir facsímil</v>
      </c>
      <c r="K10463" t="s">
        <v>23</v>
      </c>
    </row>
    <row r="10464" spans="1:11" ht="42" customHeight="1">
      <c r="A10464" t="s">
        <v>20220</v>
      </c>
      <c r="B10464" t="s">
        <v>20220</v>
      </c>
      <c r="C10464" t="s">
        <v>17</v>
      </c>
      <c r="D10464" t="s">
        <v>18</v>
      </c>
      <c r="E10464" s="6">
        <v>-28682</v>
      </c>
      <c r="F10464" t="s">
        <v>1064</v>
      </c>
      <c r="G10464" t="s">
        <v>88</v>
      </c>
      <c r="H10464" t="s">
        <v>21</v>
      </c>
      <c r="I10464" t="s">
        <v>20227</v>
      </c>
      <c r="J10464" t="str">
        <f>HYPERLINK("https://www.boe.es/gazeta/dias/1821/06/20/pdfs/GMD-1821-173.pdf#page=4","Abrir facsímil")</f>
        <v>Abrir facsímil</v>
      </c>
      <c r="K10464" t="s">
        <v>23</v>
      </c>
    </row>
    <row r="10465" spans="1:11" ht="42" customHeight="1">
      <c r="A10465" t="s">
        <v>20228</v>
      </c>
      <c r="B10465" t="s">
        <v>20229</v>
      </c>
      <c r="C10465" t="s">
        <v>114</v>
      </c>
      <c r="D10465" t="s">
        <v>27</v>
      </c>
      <c r="E10465" s="6">
        <v>-28805</v>
      </c>
      <c r="F10465" t="s">
        <v>382</v>
      </c>
      <c r="G10465" t="s">
        <v>88</v>
      </c>
      <c r="H10465" t="s">
        <v>30</v>
      </c>
      <c r="I10465" t="s">
        <v>20230</v>
      </c>
      <c r="J10465" t="str">
        <f>HYPERLINK("https://www.boe.es/gazeta/dias/1821/02/17/pdfs/GGB-1821-48.pdf#page=4","Abrir facsímil")</f>
        <v>Abrir facsímil</v>
      </c>
      <c r="K10465" t="s">
        <v>32</v>
      </c>
    </row>
    <row r="10466" spans="1:11" ht="42" customHeight="1">
      <c r="A10466" t="s">
        <v>20231</v>
      </c>
      <c r="B10466" t="s">
        <v>20232</v>
      </c>
      <c r="C10466" t="s">
        <v>17</v>
      </c>
      <c r="D10466" t="s">
        <v>18</v>
      </c>
      <c r="E10466" s="6">
        <v>-28679</v>
      </c>
      <c r="F10466" t="s">
        <v>213</v>
      </c>
      <c r="G10466" t="s">
        <v>88</v>
      </c>
      <c r="H10466" t="s">
        <v>21</v>
      </c>
      <c r="I10466" t="s">
        <v>20233</v>
      </c>
      <c r="J10466" t="str">
        <f>HYPERLINK("https://www.boe.es/gazeta/dias/1821/06/23/pdfs/GMD-1821-176.pdf#page=4","Abrir facsímil")</f>
        <v>Abrir facsímil</v>
      </c>
      <c r="K10466" t="s">
        <v>23</v>
      </c>
    </row>
    <row r="10467" spans="1:11" ht="42" customHeight="1">
      <c r="A10467" t="s">
        <v>20234</v>
      </c>
      <c r="B10467" t="s">
        <v>20235</v>
      </c>
      <c r="C10467" t="s">
        <v>26</v>
      </c>
      <c r="D10467" t="s">
        <v>27</v>
      </c>
      <c r="E10467" s="6">
        <v>-28738</v>
      </c>
      <c r="F10467" t="s">
        <v>359</v>
      </c>
      <c r="G10467" t="s">
        <v>88</v>
      </c>
      <c r="H10467" t="s">
        <v>21</v>
      </c>
      <c r="I10467" t="s">
        <v>20236</v>
      </c>
      <c r="J10467" t="str">
        <f>HYPERLINK("https://www.boe.es/gazeta/dias/1821/04/25/pdfs/GMD-1821-117.pdf#page=4","Abrir facsímil")</f>
        <v>Abrir facsímil</v>
      </c>
      <c r="K10467" t="s">
        <v>23</v>
      </c>
    </row>
    <row r="10468" spans="1:11" ht="42" customHeight="1">
      <c r="A10468" t="s">
        <v>20237</v>
      </c>
      <c r="B10468" t="s">
        <v>20238</v>
      </c>
      <c r="C10468" t="s">
        <v>17</v>
      </c>
      <c r="D10468" t="s">
        <v>18</v>
      </c>
      <c r="E10468" s="6">
        <v>-28675</v>
      </c>
      <c r="F10468" t="s">
        <v>943</v>
      </c>
      <c r="G10468" t="s">
        <v>29</v>
      </c>
      <c r="H10468" t="s">
        <v>21</v>
      </c>
      <c r="I10468" t="s">
        <v>20239</v>
      </c>
      <c r="J10468" t="str">
        <f>HYPERLINK("https://www.boe.es/gazeta/dias/1821/06/27/pdfs/GMD-1821-180.pdf#page=6","Abrir facsímil")</f>
        <v>Abrir facsímil</v>
      </c>
      <c r="K10468" t="s">
        <v>23</v>
      </c>
    </row>
    <row r="10469" spans="1:11" ht="42" customHeight="1">
      <c r="A10469" t="s">
        <v>20237</v>
      </c>
      <c r="B10469" t="s">
        <v>20238</v>
      </c>
      <c r="C10469" t="s">
        <v>17</v>
      </c>
      <c r="D10469" t="s">
        <v>18</v>
      </c>
      <c r="E10469" s="6">
        <v>-28556</v>
      </c>
      <c r="F10469" t="s">
        <v>264</v>
      </c>
      <c r="G10469" t="s">
        <v>162</v>
      </c>
      <c r="H10469" t="s">
        <v>21</v>
      </c>
      <c r="I10469" t="s">
        <v>20240</v>
      </c>
      <c r="J10469" t="str">
        <f>HYPERLINK("https://www.boe.es/gazeta/dias/1821/10/24/pdfs/GMD-1821-303.pdf#page=5","Abrir facsímil")</f>
        <v>Abrir facsímil</v>
      </c>
      <c r="K10469" t="s">
        <v>23</v>
      </c>
    </row>
    <row r="10470" spans="1:11" ht="42" customHeight="1">
      <c r="A10470" t="s">
        <v>20241</v>
      </c>
      <c r="B10470" t="s">
        <v>20242</v>
      </c>
      <c r="C10470" t="s">
        <v>17</v>
      </c>
      <c r="D10470" t="s">
        <v>18</v>
      </c>
      <c r="E10470" s="6">
        <v>-28627</v>
      </c>
      <c r="F10470" t="s">
        <v>3216</v>
      </c>
      <c r="G10470" t="s">
        <v>88</v>
      </c>
      <c r="H10470" t="s">
        <v>21</v>
      </c>
      <c r="I10470" t="s">
        <v>20243</v>
      </c>
      <c r="J10470" t="str">
        <f>HYPERLINK("https://www.boe.es/gazeta/dias/1821/08/14/pdfs/GMD-1821-231.pdf#page=4","Abrir facsímil")</f>
        <v>Abrir facsímil</v>
      </c>
      <c r="K10470" t="s">
        <v>23</v>
      </c>
    </row>
    <row r="10471" spans="1:11" ht="42" customHeight="1">
      <c r="A10471" t="s">
        <v>20244</v>
      </c>
      <c r="B10471" t="s">
        <v>20245</v>
      </c>
      <c r="C10471" t="s">
        <v>17</v>
      </c>
      <c r="D10471" t="s">
        <v>18</v>
      </c>
      <c r="E10471" s="6">
        <v>-28681</v>
      </c>
      <c r="F10471" t="s">
        <v>210</v>
      </c>
      <c r="G10471" t="s">
        <v>88</v>
      </c>
      <c r="H10471" t="s">
        <v>21</v>
      </c>
      <c r="I10471" t="s">
        <v>20246</v>
      </c>
      <c r="J10471" t="str">
        <f>HYPERLINK("https://www.boe.es/gazeta/dias/1821/06/21/pdfs/GMD-1821-174.pdf#page=4","Abrir facsímil")</f>
        <v>Abrir facsímil</v>
      </c>
      <c r="K10471" t="s">
        <v>23</v>
      </c>
    </row>
    <row r="10472" spans="1:11" ht="42" customHeight="1">
      <c r="A10472" t="s">
        <v>20247</v>
      </c>
      <c r="B10472" t="s">
        <v>20247</v>
      </c>
      <c r="C10472" t="s">
        <v>26</v>
      </c>
      <c r="D10472" t="s">
        <v>27</v>
      </c>
      <c r="E10472" s="6">
        <v>-28776</v>
      </c>
      <c r="F10472" t="s">
        <v>312</v>
      </c>
      <c r="G10472" t="s">
        <v>52</v>
      </c>
      <c r="H10472" t="s">
        <v>21</v>
      </c>
      <c r="I10472" t="s">
        <v>20248</v>
      </c>
      <c r="J10472" t="str">
        <f>HYPERLINK("https://www.boe.es/gazeta/dias/1821/03/18/pdfs/GMD-1821-77.pdf#page=2","Abrir facsímil")</f>
        <v>Abrir facsímil</v>
      </c>
      <c r="K10472" t="s">
        <v>23</v>
      </c>
    </row>
    <row r="10473" spans="1:11" ht="42" customHeight="1">
      <c r="A10473" t="s">
        <v>20249</v>
      </c>
      <c r="B10473" t="s">
        <v>20249</v>
      </c>
      <c r="C10473" t="s">
        <v>40</v>
      </c>
      <c r="D10473" t="s">
        <v>41</v>
      </c>
      <c r="E10473" s="6">
        <v>-28809</v>
      </c>
      <c r="F10473" t="s">
        <v>1173</v>
      </c>
      <c r="G10473" t="s">
        <v>20</v>
      </c>
      <c r="H10473" t="s">
        <v>21</v>
      </c>
      <c r="I10473" t="s">
        <v>20250</v>
      </c>
      <c r="J10473" t="str">
        <f>HYPERLINK("https://www.boe.es/gazeta/dias/1821/02/13/pdfs/GGB-1821-44.pdf#page=3","Abrir facsímil")</f>
        <v>Abrir facsímil</v>
      </c>
      <c r="K10473" t="s">
        <v>23</v>
      </c>
    </row>
    <row r="10474" spans="1:11" ht="42" customHeight="1">
      <c r="A10474" t="s">
        <v>20251</v>
      </c>
      <c r="B10474" t="s">
        <v>20251</v>
      </c>
      <c r="C10474" t="s">
        <v>35</v>
      </c>
      <c r="D10474" t="s">
        <v>27</v>
      </c>
      <c r="E10474" s="6">
        <v>-28764</v>
      </c>
      <c r="F10474" t="s">
        <v>924</v>
      </c>
      <c r="G10474" t="s">
        <v>20</v>
      </c>
      <c r="H10474" t="s">
        <v>21</v>
      </c>
      <c r="I10474" t="s">
        <v>20252</v>
      </c>
      <c r="J10474" t="str">
        <f>HYPERLINK("https://www.boe.es/gazeta/dias/1821/03/30/pdfs/GMD-1821-91.pdf#page=3","Abrir facsímil")</f>
        <v>Abrir facsímil</v>
      </c>
      <c r="K10474" t="s">
        <v>23</v>
      </c>
    </row>
    <row r="10475" spans="1:11" ht="42" customHeight="1">
      <c r="A10475" t="s">
        <v>20253</v>
      </c>
      <c r="B10475" t="s">
        <v>20254</v>
      </c>
      <c r="C10475" t="s">
        <v>40</v>
      </c>
      <c r="D10475" t="s">
        <v>41</v>
      </c>
      <c r="E10475" s="6">
        <v>-28659</v>
      </c>
      <c r="F10475" t="s">
        <v>2850</v>
      </c>
      <c r="G10475" t="s">
        <v>52</v>
      </c>
      <c r="H10475" t="s">
        <v>21</v>
      </c>
      <c r="I10475" t="s">
        <v>20255</v>
      </c>
      <c r="J10475" t="str">
        <f>HYPERLINK("https://www.boe.es/gazeta/dias/1821/07/13/pdfs/GMD-1821-198.pdf#page=2","Abrir facsímil")</f>
        <v>Abrir facsímil</v>
      </c>
      <c r="K10475" t="s">
        <v>23</v>
      </c>
    </row>
    <row r="10476" spans="1:11" ht="42" customHeight="1">
      <c r="A10476" t="s">
        <v>20256</v>
      </c>
      <c r="B10476" t="s">
        <v>20257</v>
      </c>
      <c r="C10476" t="s">
        <v>35</v>
      </c>
      <c r="D10476" t="s">
        <v>27</v>
      </c>
      <c r="E10476" s="6">
        <v>-28733</v>
      </c>
      <c r="F10476" t="s">
        <v>1033</v>
      </c>
      <c r="G10476" t="s">
        <v>20</v>
      </c>
      <c r="H10476" t="s">
        <v>21</v>
      </c>
      <c r="I10476" t="s">
        <v>20258</v>
      </c>
      <c r="J10476" t="str">
        <f>HYPERLINK("https://www.boe.es/gazeta/dias/1821/04/30/pdfs/GMD-1821-122.pdf#page=3","Abrir facsímil")</f>
        <v>Abrir facsímil</v>
      </c>
      <c r="K10476" t="s">
        <v>23</v>
      </c>
    </row>
    <row r="10477" spans="1:11" ht="42" customHeight="1">
      <c r="A10477" t="s">
        <v>20259</v>
      </c>
      <c r="B10477" t="s">
        <v>20260</v>
      </c>
      <c r="C10477" t="s">
        <v>17</v>
      </c>
      <c r="D10477" t="s">
        <v>18</v>
      </c>
      <c r="E10477" s="6">
        <v>-28793</v>
      </c>
      <c r="F10477" t="s">
        <v>157</v>
      </c>
      <c r="G10477" t="s">
        <v>162</v>
      </c>
      <c r="H10477" t="s">
        <v>21</v>
      </c>
      <c r="I10477" t="s">
        <v>20261</v>
      </c>
      <c r="J10477" t="str">
        <f>HYPERLINK("https://www.boe.es/gazeta/dias/1821/03/01/pdfs/GGB-1821-60.pdf#page=5","Abrir facsímil")</f>
        <v>Abrir facsímil</v>
      </c>
      <c r="K10477" t="s">
        <v>23</v>
      </c>
    </row>
    <row r="10478" spans="1:11" ht="42" customHeight="1">
      <c r="A10478" t="s">
        <v>20262</v>
      </c>
      <c r="B10478" t="s">
        <v>20263</v>
      </c>
      <c r="C10478" t="s">
        <v>26</v>
      </c>
      <c r="D10478" t="s">
        <v>27</v>
      </c>
      <c r="E10478" s="6">
        <v>-28599</v>
      </c>
      <c r="F10478" t="s">
        <v>902</v>
      </c>
      <c r="G10478" t="s">
        <v>88</v>
      </c>
      <c r="H10478" t="s">
        <v>21</v>
      </c>
      <c r="I10478" t="s">
        <v>20264</v>
      </c>
      <c r="J10478" t="str">
        <f>HYPERLINK("https://www.boe.es/gazeta/dias/1821/09/11/pdfs/GMD-1821-259.pdf#page=4","Abrir facsímil")</f>
        <v>Abrir facsímil</v>
      </c>
      <c r="K10478" t="s">
        <v>23</v>
      </c>
    </row>
    <row r="10479" spans="1:11" ht="42" customHeight="1">
      <c r="A10479" t="s">
        <v>20265</v>
      </c>
      <c r="B10479" t="s">
        <v>20265</v>
      </c>
      <c r="C10479" t="s">
        <v>26</v>
      </c>
      <c r="D10479" t="s">
        <v>27</v>
      </c>
      <c r="E10479" s="6">
        <v>-28560</v>
      </c>
      <c r="F10479" t="s">
        <v>363</v>
      </c>
      <c r="G10479" t="s">
        <v>29</v>
      </c>
      <c r="H10479" t="s">
        <v>21</v>
      </c>
      <c r="I10479" t="s">
        <v>20266</v>
      </c>
      <c r="J10479" t="str">
        <f>HYPERLINK("https://www.boe.es/gazeta/dias/1821/10/20/pdfs/GMD-1821-299.pdf#page=6","Abrir facsímil")</f>
        <v>Abrir facsímil</v>
      </c>
      <c r="K10479" t="s">
        <v>23</v>
      </c>
    </row>
    <row r="10480" spans="1:11" ht="42" customHeight="1">
      <c r="A10480" t="s">
        <v>20267</v>
      </c>
      <c r="B10480" t="s">
        <v>20268</v>
      </c>
      <c r="C10480" t="s">
        <v>40</v>
      </c>
      <c r="D10480" t="s">
        <v>41</v>
      </c>
      <c r="E10480" s="6">
        <v>-28557</v>
      </c>
      <c r="F10480" t="s">
        <v>316</v>
      </c>
      <c r="G10480" t="s">
        <v>43</v>
      </c>
      <c r="H10480" t="s">
        <v>21</v>
      </c>
      <c r="I10480" t="s">
        <v>20269</v>
      </c>
      <c r="J10480" t="str">
        <f>HYPERLINK("https://www.boe.es/gazeta/dias/1821/10/23/pdfs/GMD-1821-302.pdf#page=1","Abrir facsímil")</f>
        <v>Abrir facsímil</v>
      </c>
      <c r="K10480" t="s">
        <v>23</v>
      </c>
    </row>
    <row r="10481" spans="1:11" ht="42" customHeight="1">
      <c r="A10481" t="s">
        <v>20270</v>
      </c>
      <c r="B10481" t="s">
        <v>20270</v>
      </c>
      <c r="C10481" t="s">
        <v>26</v>
      </c>
      <c r="D10481" t="s">
        <v>27</v>
      </c>
      <c r="E10481" s="6">
        <v>-28534</v>
      </c>
      <c r="F10481" t="s">
        <v>414</v>
      </c>
      <c r="G10481" t="s">
        <v>88</v>
      </c>
      <c r="H10481" t="s">
        <v>21</v>
      </c>
      <c r="I10481" t="s">
        <v>20271</v>
      </c>
      <c r="J10481" t="str">
        <f>HYPERLINK("https://www.boe.es/gazeta/dias/1821/11/15/pdfs/GMD-1821-326.pdf#page=4","Abrir facsímil")</f>
        <v>Abrir facsímil</v>
      </c>
      <c r="K10481" t="s">
        <v>23</v>
      </c>
    </row>
    <row r="10482" spans="1:11" ht="42" customHeight="1">
      <c r="A10482" t="s">
        <v>20272</v>
      </c>
      <c r="B10482" t="s">
        <v>20273</v>
      </c>
      <c r="C10482" t="s">
        <v>40</v>
      </c>
      <c r="D10482" t="s">
        <v>41</v>
      </c>
      <c r="E10482" s="6">
        <v>-28810</v>
      </c>
      <c r="F10482" t="s">
        <v>308</v>
      </c>
      <c r="G10482" t="s">
        <v>20</v>
      </c>
      <c r="H10482" t="s">
        <v>21</v>
      </c>
      <c r="I10482" t="s">
        <v>20274</v>
      </c>
      <c r="J10482" t="str">
        <f>HYPERLINK("https://www.boe.es/gazeta/dias/1821/02/12/pdfs/GGB-1821-43.pdf#page=3","Abrir facsímil")</f>
        <v>Abrir facsímil</v>
      </c>
      <c r="K10482" t="s">
        <v>23</v>
      </c>
    </row>
    <row r="10483" spans="1:11" ht="42" customHeight="1">
      <c r="A10483" t="s">
        <v>20275</v>
      </c>
      <c r="B10483" t="s">
        <v>20276</v>
      </c>
      <c r="C10483" t="s">
        <v>17</v>
      </c>
      <c r="D10483" t="s">
        <v>18</v>
      </c>
      <c r="E10483" s="6">
        <v>-28634</v>
      </c>
      <c r="F10483" t="s">
        <v>2533</v>
      </c>
      <c r="G10483" t="s">
        <v>52</v>
      </c>
      <c r="H10483" t="s">
        <v>21</v>
      </c>
      <c r="I10483" t="s">
        <v>20277</v>
      </c>
      <c r="J10483" t="str">
        <f>HYPERLINK("https://www.boe.es/gazeta/dias/1821/08/07/pdfs/GMD-1821-223.pdf#page=2","Abrir facsímil")</f>
        <v>Abrir facsímil</v>
      </c>
      <c r="K10483" t="s">
        <v>23</v>
      </c>
    </row>
    <row r="10484" spans="1:11" ht="42" customHeight="1">
      <c r="A10484" t="s">
        <v>20278</v>
      </c>
      <c r="B10484" t="s">
        <v>20279</v>
      </c>
      <c r="C10484" t="s">
        <v>35</v>
      </c>
      <c r="D10484" t="s">
        <v>27</v>
      </c>
      <c r="E10484" s="6">
        <v>-28632</v>
      </c>
      <c r="F10484" t="s">
        <v>6572</v>
      </c>
      <c r="G10484" t="s">
        <v>52</v>
      </c>
      <c r="H10484" t="s">
        <v>21</v>
      </c>
      <c r="I10484" t="s">
        <v>20280</v>
      </c>
      <c r="J10484" t="str">
        <f>HYPERLINK("https://www.boe.es/gazeta/dias/1821/08/09/pdfs/GMD-1821-225.pdf#page=2","Abrir facsímil")</f>
        <v>Abrir facsímil</v>
      </c>
      <c r="K10484" t="s">
        <v>23</v>
      </c>
    </row>
    <row r="10485" spans="1:11" ht="42" customHeight="1">
      <c r="A10485" t="s">
        <v>20278</v>
      </c>
      <c r="B10485" t="s">
        <v>20279</v>
      </c>
      <c r="C10485" t="s">
        <v>17</v>
      </c>
      <c r="D10485" t="s">
        <v>18</v>
      </c>
      <c r="E10485" s="6">
        <v>-28627</v>
      </c>
      <c r="F10485" t="s">
        <v>3216</v>
      </c>
      <c r="G10485" t="s">
        <v>20</v>
      </c>
      <c r="H10485" t="s">
        <v>21</v>
      </c>
      <c r="I10485" t="s">
        <v>20281</v>
      </c>
      <c r="J10485" t="str">
        <f>HYPERLINK("https://www.boe.es/gazeta/dias/1821/08/14/pdfs/GMD-1821-231.pdf#page=3","Abrir facsímil")</f>
        <v>Abrir facsímil</v>
      </c>
      <c r="K10485" t="s">
        <v>23</v>
      </c>
    </row>
    <row r="10486" spans="1:11" ht="42" customHeight="1">
      <c r="A10486" t="s">
        <v>20282</v>
      </c>
      <c r="B10486" t="s">
        <v>20283</v>
      </c>
      <c r="C10486" t="s">
        <v>17</v>
      </c>
      <c r="D10486" t="s">
        <v>18</v>
      </c>
      <c r="E10486" s="6">
        <v>-28607</v>
      </c>
      <c r="F10486" t="s">
        <v>740</v>
      </c>
      <c r="G10486" t="s">
        <v>52</v>
      </c>
      <c r="H10486" t="s">
        <v>21</v>
      </c>
      <c r="I10486" t="s">
        <v>20284</v>
      </c>
      <c r="J10486" t="str">
        <f>HYPERLINK("https://www.boe.es/gazeta/dias/1821/09/03/pdfs/GMD-1821-251.pdf#page=2","Abrir facsímil")</f>
        <v>Abrir facsímil</v>
      </c>
      <c r="K10486" t="s">
        <v>23</v>
      </c>
    </row>
    <row r="10487" spans="1:11" ht="42" customHeight="1">
      <c r="A10487" t="s">
        <v>20278</v>
      </c>
      <c r="B10487" t="s">
        <v>20279</v>
      </c>
      <c r="C10487" t="s">
        <v>17</v>
      </c>
      <c r="D10487" t="s">
        <v>18</v>
      </c>
      <c r="E10487" s="6">
        <v>-28605</v>
      </c>
      <c r="F10487" t="s">
        <v>3173</v>
      </c>
      <c r="G10487" t="s">
        <v>20</v>
      </c>
      <c r="H10487" t="s">
        <v>21</v>
      </c>
      <c r="I10487" t="s">
        <v>20285</v>
      </c>
      <c r="J10487" t="str">
        <f>HYPERLINK("https://www.boe.es/gazeta/dias/1821/09/05/pdfs/GMD-1821-253.pdf#page=3","Abrir facsímil")</f>
        <v>Abrir facsímil</v>
      </c>
      <c r="K10487" t="s">
        <v>23</v>
      </c>
    </row>
    <row r="10488" spans="1:11" ht="42" customHeight="1">
      <c r="A10488" t="s">
        <v>20278</v>
      </c>
      <c r="B10488" t="s">
        <v>20279</v>
      </c>
      <c r="C10488" t="s">
        <v>35</v>
      </c>
      <c r="D10488" t="s">
        <v>27</v>
      </c>
      <c r="E10488" s="6">
        <v>-28598</v>
      </c>
      <c r="F10488" t="s">
        <v>1206</v>
      </c>
      <c r="G10488" t="s">
        <v>52</v>
      </c>
      <c r="H10488" t="s">
        <v>21</v>
      </c>
      <c r="I10488" t="s">
        <v>20286</v>
      </c>
      <c r="J10488" t="str">
        <f>HYPERLINK("https://www.boe.es/gazeta/dias/1821/09/12/pdfs/GMD-1821-260.pdf#page=2","Abrir facsímil")</f>
        <v>Abrir facsímil</v>
      </c>
      <c r="K10488" t="s">
        <v>23</v>
      </c>
    </row>
    <row r="10489" spans="1:11" ht="42" customHeight="1">
      <c r="A10489" t="s">
        <v>20278</v>
      </c>
      <c r="B10489" t="s">
        <v>20279</v>
      </c>
      <c r="C10489" t="s">
        <v>35</v>
      </c>
      <c r="D10489" t="s">
        <v>27</v>
      </c>
      <c r="E10489" s="6">
        <v>-28594</v>
      </c>
      <c r="F10489" t="s">
        <v>2412</v>
      </c>
      <c r="G10489" t="s">
        <v>20</v>
      </c>
      <c r="H10489" t="s">
        <v>21</v>
      </c>
      <c r="I10489" t="s">
        <v>20287</v>
      </c>
      <c r="J10489" t="str">
        <f>HYPERLINK("https://www.boe.es/gazeta/dias/1821/09/16/pdfs/GMD-1821-264.pdf#page=3","Abrir facsímil")</f>
        <v>Abrir facsímil</v>
      </c>
      <c r="K10489" t="s">
        <v>23</v>
      </c>
    </row>
    <row r="10490" spans="1:11" ht="42" customHeight="1">
      <c r="A10490" t="s">
        <v>20278</v>
      </c>
      <c r="B10490" t="s">
        <v>20279</v>
      </c>
      <c r="C10490" t="s">
        <v>26</v>
      </c>
      <c r="D10490" t="s">
        <v>27</v>
      </c>
      <c r="E10490" s="6">
        <v>-28581</v>
      </c>
      <c r="F10490" t="s">
        <v>254</v>
      </c>
      <c r="G10490" t="s">
        <v>3366</v>
      </c>
      <c r="H10490" t="s">
        <v>21</v>
      </c>
      <c r="I10490" t="s">
        <v>20288</v>
      </c>
      <c r="J10490" t="str">
        <f>HYPERLINK("https://www.boe.es/gazeta/dias/1821/09/29/pdfs/GMD-1821-278.pdf#page=2","Abrir facsímil")</f>
        <v>Abrir facsímil</v>
      </c>
      <c r="K10490" t="s">
        <v>23</v>
      </c>
    </row>
    <row r="10491" spans="1:11" ht="42" customHeight="1">
      <c r="A10491" t="s">
        <v>20278</v>
      </c>
      <c r="B10491" t="s">
        <v>20279</v>
      </c>
      <c r="C10491" t="s">
        <v>17</v>
      </c>
      <c r="D10491" t="s">
        <v>18</v>
      </c>
      <c r="E10491" s="6">
        <v>-28574</v>
      </c>
      <c r="F10491" t="s">
        <v>779</v>
      </c>
      <c r="G10491" t="s">
        <v>88</v>
      </c>
      <c r="H10491" t="s">
        <v>21</v>
      </c>
      <c r="I10491" t="s">
        <v>20289</v>
      </c>
      <c r="J10491" t="str">
        <f>HYPERLINK("https://www.boe.es/gazeta/dias/1821/10/06/pdfs/GMD-1821-285.pdf#page=4","Abrir facsímil")</f>
        <v>Abrir facsímil</v>
      </c>
      <c r="K10491" t="s">
        <v>23</v>
      </c>
    </row>
    <row r="10492" spans="1:11" ht="42" customHeight="1">
      <c r="A10492" t="s">
        <v>20278</v>
      </c>
      <c r="B10492" t="s">
        <v>20279</v>
      </c>
      <c r="C10492" t="s">
        <v>26</v>
      </c>
      <c r="D10492" t="s">
        <v>27</v>
      </c>
      <c r="E10492" s="6">
        <v>-28570</v>
      </c>
      <c r="F10492" t="s">
        <v>2300</v>
      </c>
      <c r="G10492" t="s">
        <v>52</v>
      </c>
      <c r="H10492" t="s">
        <v>21</v>
      </c>
      <c r="I10492" t="s">
        <v>20290</v>
      </c>
      <c r="J10492" t="str">
        <f>HYPERLINK("https://www.boe.es/gazeta/dias/1821/10/10/pdfs/GMD-1821-289.pdf#page=2","Abrir facsímil")</f>
        <v>Abrir facsímil</v>
      </c>
      <c r="K10492" t="s">
        <v>23</v>
      </c>
    </row>
    <row r="10493" spans="1:11" ht="42" customHeight="1">
      <c r="A10493" t="s">
        <v>20278</v>
      </c>
      <c r="B10493" t="s">
        <v>20279</v>
      </c>
      <c r="C10493" t="s">
        <v>35</v>
      </c>
      <c r="D10493" t="s">
        <v>27</v>
      </c>
      <c r="E10493" s="6">
        <v>-28565</v>
      </c>
      <c r="F10493" t="s">
        <v>326</v>
      </c>
      <c r="G10493" t="s">
        <v>52</v>
      </c>
      <c r="H10493" t="s">
        <v>21</v>
      </c>
      <c r="I10493" t="s">
        <v>20291</v>
      </c>
      <c r="J10493" t="str">
        <f>HYPERLINK("https://www.boe.es/gazeta/dias/1821/10/15/pdfs/GMD-1821-294.pdf#page=2","Abrir facsímil")</f>
        <v>Abrir facsímil</v>
      </c>
      <c r="K10493" t="s">
        <v>23</v>
      </c>
    </row>
    <row r="10494" spans="1:11" ht="42" customHeight="1">
      <c r="A10494" t="s">
        <v>20278</v>
      </c>
      <c r="B10494" t="s">
        <v>20279</v>
      </c>
      <c r="C10494" t="s">
        <v>40</v>
      </c>
      <c r="D10494" t="s">
        <v>41</v>
      </c>
      <c r="E10494" s="6">
        <v>-28561</v>
      </c>
      <c r="F10494" t="s">
        <v>240</v>
      </c>
      <c r="G10494" t="s">
        <v>52</v>
      </c>
      <c r="H10494" t="s">
        <v>21</v>
      </c>
      <c r="I10494" t="s">
        <v>20292</v>
      </c>
      <c r="J10494" t="str">
        <f>HYPERLINK("https://www.boe.es/gazeta/dias/1821/10/19/pdfs/GMD-1821-298.pdf#page=2","Abrir facsímil")</f>
        <v>Abrir facsímil</v>
      </c>
      <c r="K10494" t="s">
        <v>23</v>
      </c>
    </row>
    <row r="10495" spans="1:11" ht="42" customHeight="1">
      <c r="A10495" t="s">
        <v>20293</v>
      </c>
      <c r="B10495" t="s">
        <v>20294</v>
      </c>
      <c r="C10495" t="s">
        <v>26</v>
      </c>
      <c r="D10495" t="s">
        <v>27</v>
      </c>
      <c r="E10495" s="6">
        <v>-28671</v>
      </c>
      <c r="F10495" t="s">
        <v>5059</v>
      </c>
      <c r="G10495" t="s">
        <v>52</v>
      </c>
      <c r="H10495" t="s">
        <v>21</v>
      </c>
      <c r="I10495" t="s">
        <v>20295</v>
      </c>
      <c r="J10495" t="str">
        <f>HYPERLINK("https://www.boe.es/gazeta/dias/1821/07/01/pdfs/GMD-1821-185.pdf#page=2","Abrir facsímil")</f>
        <v>Abrir facsímil</v>
      </c>
      <c r="K10495" t="s">
        <v>23</v>
      </c>
    </row>
    <row r="10496" spans="1:11" ht="42" customHeight="1">
      <c r="A10496" t="s">
        <v>20296</v>
      </c>
      <c r="B10496" t="s">
        <v>20297</v>
      </c>
      <c r="C10496" t="s">
        <v>17</v>
      </c>
      <c r="D10496" t="s">
        <v>18</v>
      </c>
      <c r="E10496" s="6">
        <v>-28718</v>
      </c>
      <c r="F10496" t="s">
        <v>583</v>
      </c>
      <c r="G10496" t="s">
        <v>52</v>
      </c>
      <c r="H10496" t="s">
        <v>21</v>
      </c>
      <c r="I10496" t="s">
        <v>20298</v>
      </c>
      <c r="J10496" t="str">
        <f>HYPERLINK("https://www.boe.es/gazeta/dias/1821/05/15/pdfs/GMD-1821-137.pdf#page=2","Abrir facsímil")</f>
        <v>Abrir facsímil</v>
      </c>
      <c r="K10496" t="s">
        <v>23</v>
      </c>
    </row>
    <row r="10497" spans="1:11" ht="42" customHeight="1">
      <c r="A10497" t="s">
        <v>20299</v>
      </c>
      <c r="B10497" t="s">
        <v>20300</v>
      </c>
      <c r="C10497" t="s">
        <v>70</v>
      </c>
      <c r="D10497" t="s">
        <v>27</v>
      </c>
      <c r="E10497" s="6">
        <v>-28738</v>
      </c>
      <c r="F10497" t="s">
        <v>359</v>
      </c>
      <c r="G10497" t="s">
        <v>52</v>
      </c>
      <c r="H10497" t="s">
        <v>21</v>
      </c>
      <c r="I10497" t="s">
        <v>20301</v>
      </c>
      <c r="J10497" t="str">
        <f>HYPERLINK("https://www.boe.es/gazeta/dias/1821/04/25/pdfs/GMD-1821-117.pdf#page=2","Abrir facsímil")</f>
        <v>Abrir facsímil</v>
      </c>
      <c r="K10497" t="s">
        <v>23</v>
      </c>
    </row>
    <row r="10498" spans="1:11" ht="42" customHeight="1">
      <c r="A10498" t="s">
        <v>20302</v>
      </c>
      <c r="B10498" t="s">
        <v>20303</v>
      </c>
      <c r="C10498" t="s">
        <v>26</v>
      </c>
      <c r="D10498" t="s">
        <v>27</v>
      </c>
      <c r="E10498" s="6">
        <v>-28813</v>
      </c>
      <c r="F10498" t="s">
        <v>268</v>
      </c>
      <c r="G10498" t="s">
        <v>52</v>
      </c>
      <c r="H10498" t="s">
        <v>21</v>
      </c>
      <c r="I10498" t="s">
        <v>20304</v>
      </c>
      <c r="J10498" t="str">
        <f>HYPERLINK("https://www.boe.es/gazeta/dias/1821/02/09/pdfs/GGB-1821-40.pdf#page=2","Abrir facsímil")</f>
        <v>Abrir facsímil</v>
      </c>
      <c r="K10498" t="s">
        <v>23</v>
      </c>
    </row>
    <row r="10499" spans="1:11" ht="42" customHeight="1">
      <c r="A10499" t="s">
        <v>20302</v>
      </c>
      <c r="B10499" t="s">
        <v>20303</v>
      </c>
      <c r="C10499" t="s">
        <v>17</v>
      </c>
      <c r="D10499" t="s">
        <v>18</v>
      </c>
      <c r="E10499" s="6">
        <v>-28809</v>
      </c>
      <c r="F10499" t="s">
        <v>1173</v>
      </c>
      <c r="G10499" t="s">
        <v>52</v>
      </c>
      <c r="H10499" t="s">
        <v>21</v>
      </c>
      <c r="I10499" t="s">
        <v>20305</v>
      </c>
      <c r="J10499" t="str">
        <f>HYPERLINK("https://www.boe.es/gazeta/dias/1821/02/13/pdfs/GGB-1821-44.pdf#page=2","Abrir facsímil")</f>
        <v>Abrir facsímil</v>
      </c>
      <c r="K10499" t="s">
        <v>23</v>
      </c>
    </row>
    <row r="10500" spans="1:11" ht="42" customHeight="1">
      <c r="A10500" t="s">
        <v>20302</v>
      </c>
      <c r="B10500" t="s">
        <v>20303</v>
      </c>
      <c r="C10500" t="s">
        <v>174</v>
      </c>
      <c r="D10500" t="s">
        <v>27</v>
      </c>
      <c r="E10500" s="6">
        <v>-28806</v>
      </c>
      <c r="F10500" t="s">
        <v>1201</v>
      </c>
      <c r="G10500" t="s">
        <v>3200</v>
      </c>
      <c r="H10500" t="s">
        <v>21</v>
      </c>
      <c r="I10500" t="s">
        <v>20306</v>
      </c>
      <c r="J10500" t="str">
        <f>HYPERLINK("https://www.boe.es/gazeta/dias/1821/02/16/pdfs/GGB-1821-47.pdf#page=3","Abrir facsímil")</f>
        <v>Abrir facsímil</v>
      </c>
      <c r="K10500" t="s">
        <v>23</v>
      </c>
    </row>
    <row r="10501" spans="1:11" ht="42" customHeight="1">
      <c r="A10501" t="s">
        <v>20302</v>
      </c>
      <c r="B10501" t="s">
        <v>20303</v>
      </c>
      <c r="C10501" t="s">
        <v>40</v>
      </c>
      <c r="D10501" t="s">
        <v>41</v>
      </c>
      <c r="E10501" s="6">
        <v>-28740</v>
      </c>
      <c r="F10501" t="s">
        <v>2800</v>
      </c>
      <c r="G10501" t="s">
        <v>52</v>
      </c>
      <c r="H10501" t="s">
        <v>21</v>
      </c>
      <c r="I10501" t="s">
        <v>20307</v>
      </c>
      <c r="J10501" t="str">
        <f>HYPERLINK("https://www.boe.es/gazeta/dias/1821/04/23/pdfs/GMD-1821-115.pdf#page=2","Abrir facsímil")</f>
        <v>Abrir facsímil</v>
      </c>
      <c r="K10501" t="s">
        <v>23</v>
      </c>
    </row>
    <row r="10502" spans="1:11" ht="42" customHeight="1">
      <c r="A10502" t="s">
        <v>20302</v>
      </c>
      <c r="B10502" t="s">
        <v>20303</v>
      </c>
      <c r="C10502" t="s">
        <v>35</v>
      </c>
      <c r="D10502" t="s">
        <v>27</v>
      </c>
      <c r="E10502" s="6">
        <v>-28643</v>
      </c>
      <c r="F10502" t="s">
        <v>1569</v>
      </c>
      <c r="G10502" t="s">
        <v>52</v>
      </c>
      <c r="H10502" t="s">
        <v>21</v>
      </c>
      <c r="I10502" t="s">
        <v>20308</v>
      </c>
      <c r="J10502" t="str">
        <f>HYPERLINK("https://www.boe.es/gazeta/dias/1821/07/29/pdfs/GMD-1821-214.pdf#page=2","Abrir facsímil")</f>
        <v>Abrir facsímil</v>
      </c>
      <c r="K10502" t="s">
        <v>23</v>
      </c>
    </row>
    <row r="10503" spans="1:11" ht="42" customHeight="1">
      <c r="A10503" t="s">
        <v>20309</v>
      </c>
      <c r="B10503" t="s">
        <v>20310</v>
      </c>
      <c r="C10503" t="s">
        <v>26</v>
      </c>
      <c r="D10503" t="s">
        <v>27</v>
      </c>
      <c r="E10503" s="6">
        <v>-28789</v>
      </c>
      <c r="F10503" t="s">
        <v>36</v>
      </c>
      <c r="G10503" t="s">
        <v>52</v>
      </c>
      <c r="H10503" t="s">
        <v>21</v>
      </c>
      <c r="I10503" t="s">
        <v>20311</v>
      </c>
      <c r="J10503" t="str">
        <f>HYPERLINK("https://www.boe.es/gazeta/dias/1821/03/05/pdfs/GGB-1821-64.pdf#page=2","Abrir facsímil")</f>
        <v>Abrir facsímil</v>
      </c>
      <c r="K10503" t="s">
        <v>23</v>
      </c>
    </row>
    <row r="10504" spans="1:11" ht="42" customHeight="1">
      <c r="A10504" t="s">
        <v>20312</v>
      </c>
      <c r="B10504" t="s">
        <v>20312</v>
      </c>
      <c r="C10504" t="s">
        <v>40</v>
      </c>
      <c r="D10504" t="s">
        <v>41</v>
      </c>
      <c r="E10504" s="6">
        <v>-28595</v>
      </c>
      <c r="F10504" t="s">
        <v>1621</v>
      </c>
      <c r="G10504" t="s">
        <v>20</v>
      </c>
      <c r="H10504" t="s">
        <v>21</v>
      </c>
      <c r="I10504" t="s">
        <v>20313</v>
      </c>
      <c r="J10504" t="str">
        <f>HYPERLINK("https://www.boe.es/gazeta/dias/1821/09/15/pdfs/GMD-1821-263.pdf#page=3","Abrir facsímil")</f>
        <v>Abrir facsímil</v>
      </c>
      <c r="K10504" t="s">
        <v>23</v>
      </c>
    </row>
    <row r="10505" spans="1:11" ht="42" customHeight="1">
      <c r="A10505" t="s">
        <v>20314</v>
      </c>
      <c r="B10505" t="s">
        <v>20315</v>
      </c>
      <c r="C10505" t="s">
        <v>40</v>
      </c>
      <c r="D10505" t="s">
        <v>41</v>
      </c>
      <c r="E10505" s="6">
        <v>-28597</v>
      </c>
      <c r="F10505" t="s">
        <v>811</v>
      </c>
      <c r="G10505" t="s">
        <v>20</v>
      </c>
      <c r="H10505" t="s">
        <v>21</v>
      </c>
      <c r="I10505" t="s">
        <v>20316</v>
      </c>
      <c r="J10505" t="str">
        <f>HYPERLINK("https://www.boe.es/gazeta/dias/1821/09/13/pdfs/GMD-1821-261.pdf#page=3","Abrir facsímil")</f>
        <v>Abrir facsímil</v>
      </c>
      <c r="K10505" t="s">
        <v>23</v>
      </c>
    </row>
    <row r="10506" spans="1:11" ht="42" customHeight="1">
      <c r="A10506" t="s">
        <v>20317</v>
      </c>
      <c r="B10506" t="s">
        <v>20318</v>
      </c>
      <c r="C10506" t="s">
        <v>17</v>
      </c>
      <c r="D10506" t="s">
        <v>18</v>
      </c>
      <c r="E10506" s="6">
        <v>-28647</v>
      </c>
      <c r="F10506" t="s">
        <v>1295</v>
      </c>
      <c r="G10506" t="s">
        <v>20</v>
      </c>
      <c r="H10506" t="s">
        <v>21</v>
      </c>
      <c r="I10506" t="s">
        <v>20319</v>
      </c>
      <c r="J10506" t="str">
        <f>HYPERLINK("https://www.boe.es/gazeta/dias/1821/07/25/pdfs/GMD-1821-210.pdf#page=3","Abrir facsímil")</f>
        <v>Abrir facsímil</v>
      </c>
      <c r="K10506" t="s">
        <v>23</v>
      </c>
    </row>
    <row r="10507" spans="1:11" ht="42" customHeight="1">
      <c r="A10507" t="s">
        <v>20317</v>
      </c>
      <c r="B10507" t="s">
        <v>20318</v>
      </c>
      <c r="C10507" t="s">
        <v>40</v>
      </c>
      <c r="D10507" t="s">
        <v>41</v>
      </c>
      <c r="E10507" s="6">
        <v>-28543</v>
      </c>
      <c r="F10507" t="s">
        <v>136</v>
      </c>
      <c r="G10507" t="s">
        <v>43</v>
      </c>
      <c r="H10507" t="s">
        <v>21</v>
      </c>
      <c r="I10507" t="s">
        <v>20320</v>
      </c>
      <c r="J10507" t="str">
        <f>HYPERLINK("https://www.boe.es/gazeta/dias/1821/11/06/pdfs/GMD-1821-317.pdf#page=1","Abrir facsímil")</f>
        <v>Abrir facsímil</v>
      </c>
      <c r="K10507" t="s">
        <v>23</v>
      </c>
    </row>
    <row r="10508" spans="1:11" ht="42" customHeight="1">
      <c r="A10508" t="s">
        <v>20321</v>
      </c>
      <c r="B10508" t="s">
        <v>20322</v>
      </c>
      <c r="C10508" t="s">
        <v>174</v>
      </c>
      <c r="D10508" t="s">
        <v>27</v>
      </c>
      <c r="E10508" s="6">
        <v>-28629</v>
      </c>
      <c r="F10508" t="s">
        <v>235</v>
      </c>
      <c r="G10508" t="s">
        <v>20</v>
      </c>
      <c r="H10508" t="s">
        <v>21</v>
      </c>
      <c r="I10508" t="s">
        <v>20323</v>
      </c>
      <c r="J10508" t="str">
        <f>HYPERLINK("https://www.boe.es/gazeta/dias/1821/08/12/pdfs/GMD-1821-229.pdf#page=3","Abrir facsímil")</f>
        <v>Abrir facsímil</v>
      </c>
      <c r="K10508" t="s">
        <v>23</v>
      </c>
    </row>
    <row r="10509" spans="1:11" ht="42" customHeight="1">
      <c r="A10509" t="s">
        <v>20321</v>
      </c>
      <c r="B10509" t="s">
        <v>20322</v>
      </c>
      <c r="C10509" t="s">
        <v>17</v>
      </c>
      <c r="D10509" t="s">
        <v>18</v>
      </c>
      <c r="E10509" s="6">
        <v>-28612</v>
      </c>
      <c r="F10509" t="s">
        <v>1902</v>
      </c>
      <c r="G10509" t="s">
        <v>20</v>
      </c>
      <c r="H10509" t="s">
        <v>21</v>
      </c>
      <c r="I10509" t="s">
        <v>20324</v>
      </c>
      <c r="J10509" t="str">
        <f>HYPERLINK("https://www.boe.es/gazeta/dias/1821/08/29/pdfs/GMD-1821-246.pdf#page=3","Abrir facsímil")</f>
        <v>Abrir facsímil</v>
      </c>
      <c r="K10509" t="s">
        <v>23</v>
      </c>
    </row>
    <row r="10510" spans="1:11" ht="42" customHeight="1">
      <c r="A10510" t="s">
        <v>20321</v>
      </c>
      <c r="B10510" t="s">
        <v>20322</v>
      </c>
      <c r="C10510" t="s">
        <v>40</v>
      </c>
      <c r="D10510" t="s">
        <v>41</v>
      </c>
      <c r="E10510" s="6">
        <v>-28570</v>
      </c>
      <c r="F10510" t="s">
        <v>2300</v>
      </c>
      <c r="G10510" t="s">
        <v>52</v>
      </c>
      <c r="H10510" t="s">
        <v>21</v>
      </c>
      <c r="I10510" t="s">
        <v>20325</v>
      </c>
      <c r="J10510" t="str">
        <f>HYPERLINK("https://www.boe.es/gazeta/dias/1821/10/10/pdfs/GMD-1821-289.pdf#page=2","Abrir facsímil")</f>
        <v>Abrir facsímil</v>
      </c>
      <c r="K10510" t="s">
        <v>23</v>
      </c>
    </row>
    <row r="10511" spans="1:11" ht="42" customHeight="1">
      <c r="A10511" t="s">
        <v>20321</v>
      </c>
      <c r="B10511" t="s">
        <v>20322</v>
      </c>
      <c r="C10511" t="s">
        <v>114</v>
      </c>
      <c r="D10511" t="s">
        <v>27</v>
      </c>
      <c r="E10511" s="6">
        <v>-28545</v>
      </c>
      <c r="F10511" t="s">
        <v>284</v>
      </c>
      <c r="G10511" t="s">
        <v>52</v>
      </c>
      <c r="H10511" t="s">
        <v>21</v>
      </c>
      <c r="I10511" t="s">
        <v>20326</v>
      </c>
      <c r="J10511" t="str">
        <f>HYPERLINK("https://www.boe.es/gazeta/dias/1821/11/04/pdfs/GMD-1821-315.pdf#page=2","Abrir facsímil")</f>
        <v>Abrir facsímil</v>
      </c>
      <c r="K10511" t="s">
        <v>23</v>
      </c>
    </row>
    <row r="10512" spans="1:11" ht="42" customHeight="1">
      <c r="A10512" t="s">
        <v>20327</v>
      </c>
      <c r="B10512" t="s">
        <v>20328</v>
      </c>
      <c r="C10512" t="s">
        <v>114</v>
      </c>
      <c r="D10512" t="s">
        <v>27</v>
      </c>
      <c r="E10512" s="6">
        <v>-28836</v>
      </c>
      <c r="F10512" t="s">
        <v>601</v>
      </c>
      <c r="G10512" t="s">
        <v>20</v>
      </c>
      <c r="H10512" t="s">
        <v>21</v>
      </c>
      <c r="I10512" t="s">
        <v>20329</v>
      </c>
      <c r="J10512" t="str">
        <f>HYPERLINK("https://www.boe.es/gazeta/dias/1821/01/17/pdfs/GGB-1821-17.pdf#page=3","Abrir facsímil")</f>
        <v>Abrir facsímil</v>
      </c>
      <c r="K10512" t="s">
        <v>23</v>
      </c>
    </row>
    <row r="10513" spans="1:11" ht="42" customHeight="1">
      <c r="A10513" t="s">
        <v>20330</v>
      </c>
      <c r="B10513" t="s">
        <v>20331</v>
      </c>
      <c r="C10513" t="s">
        <v>17</v>
      </c>
      <c r="D10513" t="s">
        <v>18</v>
      </c>
      <c r="E10513" s="6">
        <v>-28597</v>
      </c>
      <c r="F10513" t="s">
        <v>811</v>
      </c>
      <c r="G10513" t="s">
        <v>20</v>
      </c>
      <c r="H10513" t="s">
        <v>21</v>
      </c>
      <c r="I10513" t="s">
        <v>20332</v>
      </c>
      <c r="J10513" t="str">
        <f>HYPERLINK("https://www.boe.es/gazeta/dias/1821/09/13/pdfs/GMD-1821-261.pdf#page=3","Abrir facsímil")</f>
        <v>Abrir facsímil</v>
      </c>
      <c r="K10513" t="s">
        <v>23</v>
      </c>
    </row>
    <row r="10514" spans="1:11" ht="42" customHeight="1">
      <c r="A10514" t="s">
        <v>20333</v>
      </c>
      <c r="B10514" t="s">
        <v>20333</v>
      </c>
      <c r="C10514" t="s">
        <v>40</v>
      </c>
      <c r="D10514" t="s">
        <v>41</v>
      </c>
      <c r="E10514" s="6">
        <v>-28634</v>
      </c>
      <c r="F10514" t="s">
        <v>2533</v>
      </c>
      <c r="G10514" t="s">
        <v>52</v>
      </c>
      <c r="H10514" t="s">
        <v>21</v>
      </c>
      <c r="I10514" t="s">
        <v>20334</v>
      </c>
      <c r="J10514" t="str">
        <f>HYPERLINK("https://www.boe.es/gazeta/dias/1821/08/07/pdfs/GMD-1821-223.pdf#page=2","Abrir facsímil")</f>
        <v>Abrir facsímil</v>
      </c>
      <c r="K10514" t="s">
        <v>23</v>
      </c>
    </row>
    <row r="10515" spans="1:11" ht="42" customHeight="1">
      <c r="A10515" t="s">
        <v>20335</v>
      </c>
      <c r="B10515" t="s">
        <v>20336</v>
      </c>
      <c r="C10515" t="s">
        <v>40</v>
      </c>
      <c r="D10515" t="s">
        <v>41</v>
      </c>
      <c r="E10515" s="6">
        <v>-28564</v>
      </c>
      <c r="F10515" t="s">
        <v>861</v>
      </c>
      <c r="G10515" t="s">
        <v>52</v>
      </c>
      <c r="H10515" t="s">
        <v>21</v>
      </c>
      <c r="I10515" t="s">
        <v>20337</v>
      </c>
      <c r="J10515" t="str">
        <f>HYPERLINK("https://www.boe.es/gazeta/dias/1821/10/16/pdfs/GMD-1821-295.pdf#page=2","Abrir facsímil")</f>
        <v>Abrir facsímil</v>
      </c>
      <c r="K10515" t="s">
        <v>23</v>
      </c>
    </row>
    <row r="10516" spans="1:11" ht="42" customHeight="1">
      <c r="A10516" t="s">
        <v>20338</v>
      </c>
      <c r="B10516" t="s">
        <v>20339</v>
      </c>
      <c r="C10516" t="s">
        <v>17</v>
      </c>
      <c r="D10516" t="s">
        <v>18</v>
      </c>
      <c r="E10516" s="6">
        <v>-28776</v>
      </c>
      <c r="F10516" t="s">
        <v>312</v>
      </c>
      <c r="G10516" t="s">
        <v>29</v>
      </c>
      <c r="H10516" t="s">
        <v>21</v>
      </c>
      <c r="I10516" t="s">
        <v>20340</v>
      </c>
      <c r="J10516" t="str">
        <f>HYPERLINK("https://www.boe.es/gazeta/dias/1821/03/18/pdfs/GMD-1821-77.pdf#page=6","Abrir facsímil")</f>
        <v>Abrir facsímil</v>
      </c>
      <c r="K10516" t="s">
        <v>23</v>
      </c>
    </row>
    <row r="10517" spans="1:11" ht="42" customHeight="1">
      <c r="A10517" t="s">
        <v>20341</v>
      </c>
      <c r="B10517" t="s">
        <v>20342</v>
      </c>
      <c r="C10517" t="s">
        <v>40</v>
      </c>
      <c r="D10517" t="s">
        <v>41</v>
      </c>
      <c r="E10517" s="6">
        <v>-28847</v>
      </c>
      <c r="F10517" t="s">
        <v>288</v>
      </c>
      <c r="G10517" t="s">
        <v>289</v>
      </c>
      <c r="H10517" t="s">
        <v>21</v>
      </c>
      <c r="I10517" t="s">
        <v>20343</v>
      </c>
      <c r="J10517" t="str">
        <f>HYPERLINK("https://www.boe.es/gazeta/dias/1821/01/06/pdfs/GGB-1821-6.pdf#page=4","Abrir facsímil")</f>
        <v>Abrir facsímil</v>
      </c>
      <c r="K10517" t="s">
        <v>23</v>
      </c>
    </row>
    <row r="10518" spans="1:11" ht="42" customHeight="1">
      <c r="A10518" t="s">
        <v>20344</v>
      </c>
      <c r="B10518" t="s">
        <v>20345</v>
      </c>
      <c r="C10518" t="s">
        <v>26</v>
      </c>
      <c r="D10518" t="s">
        <v>27</v>
      </c>
      <c r="E10518" s="6">
        <v>-28813</v>
      </c>
      <c r="F10518" t="s">
        <v>268</v>
      </c>
      <c r="G10518" t="s">
        <v>20</v>
      </c>
      <c r="H10518" t="s">
        <v>21</v>
      </c>
      <c r="I10518" t="s">
        <v>20346</v>
      </c>
      <c r="J10518" t="str">
        <f>HYPERLINK("https://www.boe.es/gazeta/dias/1821/02/09/pdfs/GGB-1821-40.pdf#page=3","Abrir facsímil")</f>
        <v>Abrir facsímil</v>
      </c>
      <c r="K10518" t="s">
        <v>23</v>
      </c>
    </row>
    <row r="10519" spans="1:11" ht="42" customHeight="1">
      <c r="A10519" t="s">
        <v>20347</v>
      </c>
      <c r="B10519" t="s">
        <v>20347</v>
      </c>
      <c r="C10519" t="s">
        <v>40</v>
      </c>
      <c r="D10519" t="s">
        <v>41</v>
      </c>
      <c r="E10519" s="6">
        <v>-28847</v>
      </c>
      <c r="F10519" t="s">
        <v>288</v>
      </c>
      <c r="G10519" t="s">
        <v>289</v>
      </c>
      <c r="H10519" t="s">
        <v>21</v>
      </c>
      <c r="I10519" t="s">
        <v>20348</v>
      </c>
      <c r="J10519" t="str">
        <f>HYPERLINK("https://www.boe.es/gazeta/dias/1821/01/06/pdfs/GGB-1821-6.pdf#page=4","Abrir facsímil")</f>
        <v>Abrir facsímil</v>
      </c>
      <c r="K10519" t="s">
        <v>23</v>
      </c>
    </row>
    <row r="10520" spans="1:11" ht="42" customHeight="1">
      <c r="A10520" t="s">
        <v>20349</v>
      </c>
      <c r="B10520" t="s">
        <v>20349</v>
      </c>
      <c r="C10520" t="s">
        <v>40</v>
      </c>
      <c r="D10520" t="s">
        <v>41</v>
      </c>
      <c r="E10520" s="6">
        <v>-28616</v>
      </c>
      <c r="F10520" t="s">
        <v>1912</v>
      </c>
      <c r="G10520" t="s">
        <v>43</v>
      </c>
      <c r="H10520" t="s">
        <v>21</v>
      </c>
      <c r="I10520" t="s">
        <v>20350</v>
      </c>
      <c r="J10520" t="str">
        <f>HYPERLINK("https://www.boe.es/gazeta/dias/1821/08/25/pdfs/GMD-1821-242.pdf#page=1","Abrir facsímil")</f>
        <v>Abrir facsímil</v>
      </c>
      <c r="K10520" t="s">
        <v>23</v>
      </c>
    </row>
    <row r="10521" spans="1:11" ht="42" customHeight="1">
      <c r="A10521" t="s">
        <v>20351</v>
      </c>
      <c r="B10521" t="s">
        <v>20352</v>
      </c>
      <c r="C10521" t="s">
        <v>174</v>
      </c>
      <c r="D10521" t="s">
        <v>27</v>
      </c>
      <c r="E10521" s="6">
        <v>-28797</v>
      </c>
      <c r="F10521" t="s">
        <v>2281</v>
      </c>
      <c r="G10521" t="s">
        <v>20</v>
      </c>
      <c r="H10521" t="s">
        <v>21</v>
      </c>
      <c r="I10521" t="s">
        <v>20353</v>
      </c>
      <c r="J10521" t="str">
        <f>HYPERLINK("https://www.boe.es/gazeta/dias/1821/02/25/pdfs/GGB-1821-56.pdf#page=3","Abrir facsímil")</f>
        <v>Abrir facsímil</v>
      </c>
      <c r="K10521" t="s">
        <v>23</v>
      </c>
    </row>
    <row r="10522" spans="1:11" ht="42" customHeight="1">
      <c r="A10522" t="s">
        <v>20354</v>
      </c>
      <c r="B10522" t="s">
        <v>20355</v>
      </c>
      <c r="C10522" t="s">
        <v>114</v>
      </c>
      <c r="D10522" t="s">
        <v>27</v>
      </c>
      <c r="E10522" s="6">
        <v>-28774</v>
      </c>
      <c r="F10522" t="s">
        <v>1221</v>
      </c>
      <c r="G10522" t="s">
        <v>20356</v>
      </c>
      <c r="H10522" t="s">
        <v>30</v>
      </c>
      <c r="I10522" t="s">
        <v>20357</v>
      </c>
      <c r="J10522" t="str">
        <f>HYPERLINK("https://www.boe.es/gazeta/dias/1821/03/20/pdfs/GMD-1821-79.pdf#page=5","Abrir facsímil")</f>
        <v>Abrir facsímil</v>
      </c>
      <c r="K10522" t="s">
        <v>32</v>
      </c>
    </row>
    <row r="10523" spans="1:11" ht="42" customHeight="1">
      <c r="A10523" t="s">
        <v>20358</v>
      </c>
      <c r="B10523" t="s">
        <v>20359</v>
      </c>
      <c r="C10523" t="s">
        <v>40</v>
      </c>
      <c r="D10523" t="s">
        <v>41</v>
      </c>
      <c r="E10523" s="6">
        <v>-28610</v>
      </c>
      <c r="F10523" t="s">
        <v>190</v>
      </c>
      <c r="G10523" t="s">
        <v>88</v>
      </c>
      <c r="H10523" t="s">
        <v>21</v>
      </c>
      <c r="I10523" t="s">
        <v>20360</v>
      </c>
      <c r="J10523" t="str">
        <f>HYPERLINK("https://www.boe.es/gazeta/dias/1821/08/31/pdfs/GMD-1821-248.pdf#page=4","Abrir facsímil")</f>
        <v>Abrir facsímil</v>
      </c>
      <c r="K10523" t="s">
        <v>23</v>
      </c>
    </row>
    <row r="10524" spans="1:11" ht="42" customHeight="1">
      <c r="A10524" t="s">
        <v>20361</v>
      </c>
      <c r="B10524" t="s">
        <v>20362</v>
      </c>
      <c r="C10524" t="s">
        <v>17</v>
      </c>
      <c r="D10524" t="s">
        <v>18</v>
      </c>
      <c r="E10524" s="6">
        <v>-28764</v>
      </c>
      <c r="F10524" t="s">
        <v>924</v>
      </c>
      <c r="G10524" t="s">
        <v>20</v>
      </c>
      <c r="H10524" t="s">
        <v>21</v>
      </c>
      <c r="I10524" t="s">
        <v>20363</v>
      </c>
      <c r="J10524" t="str">
        <f>HYPERLINK("https://www.boe.es/gazeta/dias/1821/03/30/pdfs/GMD-1821-91.pdf#page=3","Abrir facsímil")</f>
        <v>Abrir facsímil</v>
      </c>
      <c r="K10524" t="s">
        <v>23</v>
      </c>
    </row>
    <row r="10525" spans="1:11" ht="42" customHeight="1">
      <c r="A10525" t="s">
        <v>20364</v>
      </c>
      <c r="B10525" t="s">
        <v>20365</v>
      </c>
      <c r="C10525" t="s">
        <v>40</v>
      </c>
      <c r="D10525" t="s">
        <v>41</v>
      </c>
      <c r="E10525" s="6">
        <v>-28673</v>
      </c>
      <c r="F10525" t="s">
        <v>1069</v>
      </c>
      <c r="G10525" t="s">
        <v>88</v>
      </c>
      <c r="H10525" t="s">
        <v>21</v>
      </c>
      <c r="I10525" t="s">
        <v>20366</v>
      </c>
      <c r="J10525" t="str">
        <f>HYPERLINK("https://www.boe.es/gazeta/dias/1821/06/29/pdfs/GMD-1821-182.pdf#page=4","Abrir facsímil")</f>
        <v>Abrir facsímil</v>
      </c>
      <c r="K10525" t="s">
        <v>23</v>
      </c>
    </row>
    <row r="10526" spans="1:11" ht="42" customHeight="1">
      <c r="A10526" t="s">
        <v>20367</v>
      </c>
      <c r="B10526" t="s">
        <v>20367</v>
      </c>
      <c r="C10526" t="s">
        <v>17</v>
      </c>
      <c r="D10526" t="s">
        <v>18</v>
      </c>
      <c r="E10526" s="6">
        <v>-28670</v>
      </c>
      <c r="F10526" t="s">
        <v>243</v>
      </c>
      <c r="G10526" t="s">
        <v>8049</v>
      </c>
      <c r="H10526" t="s">
        <v>21</v>
      </c>
      <c r="I10526" t="s">
        <v>20368</v>
      </c>
      <c r="J10526" t="str">
        <f>HYPERLINK("https://www.boe.es/gazeta/dias/1821/07/02/pdfs/GMD-1821-186.pdf#page=3","Abrir facsímil")</f>
        <v>Abrir facsímil</v>
      </c>
      <c r="K10526" t="s">
        <v>23</v>
      </c>
    </row>
    <row r="10527" spans="1:11" ht="42" customHeight="1">
      <c r="A10527" t="s">
        <v>20367</v>
      </c>
      <c r="B10527" t="s">
        <v>20367</v>
      </c>
      <c r="C10527" t="s">
        <v>26</v>
      </c>
      <c r="D10527" t="s">
        <v>27</v>
      </c>
      <c r="E10527" s="6">
        <v>-28668</v>
      </c>
      <c r="F10527" t="s">
        <v>2130</v>
      </c>
      <c r="G10527" t="s">
        <v>88</v>
      </c>
      <c r="H10527" t="s">
        <v>21</v>
      </c>
      <c r="I10527" t="s">
        <v>20369</v>
      </c>
      <c r="J10527" t="str">
        <f>HYPERLINK("https://www.boe.es/gazeta/dias/1821/07/04/pdfs/GMD-1821-188.pdf#page=4","Abrir facsímil")</f>
        <v>Abrir facsímil</v>
      </c>
      <c r="K10527" t="s">
        <v>23</v>
      </c>
    </row>
    <row r="10528" spans="1:11" ht="42" customHeight="1">
      <c r="A10528" t="s">
        <v>20370</v>
      </c>
      <c r="B10528" t="s">
        <v>20370</v>
      </c>
      <c r="C10528" t="s">
        <v>26</v>
      </c>
      <c r="D10528" t="s">
        <v>27</v>
      </c>
      <c r="E10528" s="6">
        <v>-28652</v>
      </c>
      <c r="F10528" t="s">
        <v>1314</v>
      </c>
      <c r="G10528" t="s">
        <v>43</v>
      </c>
      <c r="H10528" t="s">
        <v>21</v>
      </c>
      <c r="I10528" t="s">
        <v>20371</v>
      </c>
      <c r="J10528" t="str">
        <f>HYPERLINK("https://www.boe.es/gazeta/dias/1821/07/20/pdfs/GMD-1821-205.pdf#page=1","Abrir facsímil")</f>
        <v>Abrir facsímil</v>
      </c>
      <c r="K10528" t="s">
        <v>23</v>
      </c>
    </row>
    <row r="10529" spans="1:11" ht="42" customHeight="1">
      <c r="A10529" t="s">
        <v>20372</v>
      </c>
      <c r="B10529" t="s">
        <v>20372</v>
      </c>
      <c r="C10529" t="s">
        <v>17</v>
      </c>
      <c r="D10529" t="s">
        <v>18</v>
      </c>
      <c r="E10529" s="6">
        <v>-28839</v>
      </c>
      <c r="F10529" t="s">
        <v>1686</v>
      </c>
      <c r="G10529" t="s">
        <v>10851</v>
      </c>
      <c r="H10529" t="s">
        <v>21</v>
      </c>
      <c r="I10529" t="s">
        <v>20373</v>
      </c>
      <c r="J10529" t="str">
        <f>HYPERLINK("https://www.boe.es/gazeta/dias/1821/01/14/pdfs/GGB-1821-14.pdf#page=4","Abrir facsímil")</f>
        <v>Abrir facsímil</v>
      </c>
      <c r="K10529" t="s">
        <v>23</v>
      </c>
    </row>
    <row r="10530" spans="1:11" ht="42" customHeight="1">
      <c r="A10530" t="s">
        <v>20374</v>
      </c>
      <c r="B10530" t="s">
        <v>20374</v>
      </c>
      <c r="C10530" t="s">
        <v>70</v>
      </c>
      <c r="D10530" t="s">
        <v>27</v>
      </c>
      <c r="E10530" s="6">
        <v>-28793</v>
      </c>
      <c r="F10530" t="s">
        <v>157</v>
      </c>
      <c r="G10530" t="s">
        <v>29</v>
      </c>
      <c r="H10530" t="s">
        <v>21</v>
      </c>
      <c r="I10530" t="s">
        <v>20375</v>
      </c>
      <c r="J10530" t="str">
        <f>HYPERLINK("https://www.boe.es/gazeta/dias/1821/03/01/pdfs/GGB-1821-60.pdf#page=6","Abrir facsímil")</f>
        <v>Abrir facsímil</v>
      </c>
      <c r="K10530" t="s">
        <v>23</v>
      </c>
    </row>
    <row r="10531" spans="1:11" ht="42" customHeight="1">
      <c r="A10531" t="s">
        <v>20374</v>
      </c>
      <c r="B10531" t="s">
        <v>20374</v>
      </c>
      <c r="C10531" t="s">
        <v>40</v>
      </c>
      <c r="D10531" t="s">
        <v>41</v>
      </c>
      <c r="E10531" s="6">
        <v>-28770</v>
      </c>
      <c r="F10531" t="s">
        <v>1009</v>
      </c>
      <c r="G10531" t="s">
        <v>20</v>
      </c>
      <c r="H10531" t="s">
        <v>21</v>
      </c>
      <c r="I10531" t="s">
        <v>20376</v>
      </c>
      <c r="J10531" t="str">
        <f>HYPERLINK("https://www.boe.es/gazeta/dias/1821/03/24/pdfs/GMD-1821-84.pdf#page=3","Abrir facsímil")</f>
        <v>Abrir facsímil</v>
      </c>
      <c r="K10531" t="s">
        <v>23</v>
      </c>
    </row>
    <row r="10532" spans="1:11" ht="42" customHeight="1">
      <c r="A10532" t="s">
        <v>20374</v>
      </c>
      <c r="B10532" t="s">
        <v>20374</v>
      </c>
      <c r="C10532" t="s">
        <v>40</v>
      </c>
      <c r="D10532" t="s">
        <v>41</v>
      </c>
      <c r="E10532" s="6">
        <v>-28737</v>
      </c>
      <c r="F10532" t="s">
        <v>732</v>
      </c>
      <c r="G10532" t="s">
        <v>52</v>
      </c>
      <c r="H10532" t="s">
        <v>21</v>
      </c>
      <c r="I10532" t="s">
        <v>20377</v>
      </c>
      <c r="J10532" t="str">
        <f>HYPERLINK("https://www.boe.es/gazeta/dias/1821/04/26/pdfs/GMD-1821-118.pdf#page=2","Abrir facsímil")</f>
        <v>Abrir facsímil</v>
      </c>
      <c r="K10532" t="s">
        <v>23</v>
      </c>
    </row>
    <row r="10533" spans="1:11" ht="42" customHeight="1">
      <c r="A10533" t="s">
        <v>20374</v>
      </c>
      <c r="B10533" t="s">
        <v>20374</v>
      </c>
      <c r="C10533" t="s">
        <v>40</v>
      </c>
      <c r="D10533" t="s">
        <v>41</v>
      </c>
      <c r="E10533" s="6">
        <v>-28737</v>
      </c>
      <c r="F10533" t="s">
        <v>732</v>
      </c>
      <c r="G10533" t="s">
        <v>20</v>
      </c>
      <c r="H10533" t="s">
        <v>21</v>
      </c>
      <c r="I10533" t="s">
        <v>20378</v>
      </c>
      <c r="J10533" t="str">
        <f>HYPERLINK("https://www.boe.es/gazeta/dias/1821/04/26/pdfs/GMD-1821-118.pdf#page=3","Abrir facsímil")</f>
        <v>Abrir facsímil</v>
      </c>
      <c r="K10533" t="s">
        <v>23</v>
      </c>
    </row>
    <row r="10534" spans="1:11" ht="42" customHeight="1">
      <c r="A10534" t="s">
        <v>20372</v>
      </c>
      <c r="B10534" t="s">
        <v>20372</v>
      </c>
      <c r="C10534" t="s">
        <v>35</v>
      </c>
      <c r="D10534" t="s">
        <v>27</v>
      </c>
      <c r="E10534" s="6">
        <v>-28663</v>
      </c>
      <c r="F10534" t="s">
        <v>3032</v>
      </c>
      <c r="G10534" t="s">
        <v>20</v>
      </c>
      <c r="H10534" t="s">
        <v>21</v>
      </c>
      <c r="I10534" t="s">
        <v>20379</v>
      </c>
      <c r="J10534" t="str">
        <f>HYPERLINK("https://www.boe.es/gazeta/dias/1821/07/09/pdfs/GMD-1821-194.pdf#page=3","Abrir facsímil")</f>
        <v>Abrir facsímil</v>
      </c>
      <c r="K10534" t="s">
        <v>23</v>
      </c>
    </row>
    <row r="10535" spans="1:11" ht="42" customHeight="1">
      <c r="A10535" t="s">
        <v>20380</v>
      </c>
      <c r="B10535" t="s">
        <v>20381</v>
      </c>
      <c r="C10535" t="s">
        <v>17</v>
      </c>
      <c r="D10535" t="s">
        <v>18</v>
      </c>
      <c r="E10535" s="6">
        <v>-28806</v>
      </c>
      <c r="F10535" t="s">
        <v>1201</v>
      </c>
      <c r="G10535" t="s">
        <v>3200</v>
      </c>
      <c r="H10535" t="s">
        <v>21</v>
      </c>
      <c r="I10535" t="s">
        <v>20382</v>
      </c>
      <c r="J10535" t="str">
        <f>HYPERLINK("https://www.boe.es/gazeta/dias/1821/02/16/pdfs/GGB-1821-47.pdf#page=3","Abrir facsímil")</f>
        <v>Abrir facsímil</v>
      </c>
      <c r="K10535" t="s">
        <v>23</v>
      </c>
    </row>
    <row r="10536" spans="1:11" ht="42" customHeight="1">
      <c r="A10536" t="s">
        <v>20380</v>
      </c>
      <c r="B10536" t="s">
        <v>20381</v>
      </c>
      <c r="C10536" t="s">
        <v>40</v>
      </c>
      <c r="D10536" t="s">
        <v>41</v>
      </c>
      <c r="E10536" s="6">
        <v>-28652</v>
      </c>
      <c r="F10536" t="s">
        <v>1314</v>
      </c>
      <c r="G10536" t="s">
        <v>52</v>
      </c>
      <c r="H10536" t="s">
        <v>21</v>
      </c>
      <c r="I10536" t="s">
        <v>20383</v>
      </c>
      <c r="J10536" t="str">
        <f>HYPERLINK("https://www.boe.es/gazeta/dias/1821/07/20/pdfs/GMD-1821-205.pdf#page=2","Abrir facsímil")</f>
        <v>Abrir facsímil</v>
      </c>
      <c r="K10536" t="s">
        <v>23</v>
      </c>
    </row>
    <row r="10537" spans="1:11" ht="42" customHeight="1">
      <c r="A10537" t="s">
        <v>20380</v>
      </c>
      <c r="B10537" t="s">
        <v>20381</v>
      </c>
      <c r="C10537" t="s">
        <v>17</v>
      </c>
      <c r="D10537" t="s">
        <v>18</v>
      </c>
      <c r="E10537" s="6">
        <v>-28648</v>
      </c>
      <c r="F10537" t="s">
        <v>1520</v>
      </c>
      <c r="G10537" t="s">
        <v>52</v>
      </c>
      <c r="H10537" t="s">
        <v>21</v>
      </c>
      <c r="I10537" t="s">
        <v>20384</v>
      </c>
      <c r="J10537" t="str">
        <f>HYPERLINK("https://www.boe.es/gazeta/dias/1821/07/24/pdfs/GMD-1821-209.pdf#page=2","Abrir facsímil")</f>
        <v>Abrir facsímil</v>
      </c>
      <c r="K10537" t="s">
        <v>23</v>
      </c>
    </row>
    <row r="10538" spans="1:11" ht="42" customHeight="1">
      <c r="A10538" t="s">
        <v>20380</v>
      </c>
      <c r="B10538" t="s">
        <v>20381</v>
      </c>
      <c r="C10538" t="s">
        <v>35</v>
      </c>
      <c r="D10538" t="s">
        <v>27</v>
      </c>
      <c r="E10538" s="6">
        <v>-28630</v>
      </c>
      <c r="F10538" t="s">
        <v>616</v>
      </c>
      <c r="G10538" t="s">
        <v>52</v>
      </c>
      <c r="H10538" t="s">
        <v>21</v>
      </c>
      <c r="I10538" t="s">
        <v>20385</v>
      </c>
      <c r="J10538" t="str">
        <f>HYPERLINK("https://www.boe.es/gazeta/dias/1821/08/11/pdfs/GMD-1821-228.pdf#page=2","Abrir facsímil")</f>
        <v>Abrir facsímil</v>
      </c>
      <c r="K10538" t="s">
        <v>23</v>
      </c>
    </row>
    <row r="10539" spans="1:11" ht="42" customHeight="1">
      <c r="A10539" t="s">
        <v>20380</v>
      </c>
      <c r="B10539" t="s">
        <v>20381</v>
      </c>
      <c r="C10539" t="s">
        <v>174</v>
      </c>
      <c r="D10539" t="s">
        <v>27</v>
      </c>
      <c r="E10539" s="6">
        <v>-28570</v>
      </c>
      <c r="F10539" t="s">
        <v>2300</v>
      </c>
      <c r="G10539" t="s">
        <v>52</v>
      </c>
      <c r="H10539" t="s">
        <v>21</v>
      </c>
      <c r="I10539" t="s">
        <v>20386</v>
      </c>
      <c r="J10539" t="str">
        <f>HYPERLINK("https://www.boe.es/gazeta/dias/1821/10/10/pdfs/GMD-1821-289.pdf#page=2","Abrir facsímil")</f>
        <v>Abrir facsímil</v>
      </c>
      <c r="K10539" t="s">
        <v>23</v>
      </c>
    </row>
    <row r="10540" spans="1:11" ht="42" customHeight="1">
      <c r="A10540" t="s">
        <v>20387</v>
      </c>
      <c r="B10540" t="s">
        <v>20388</v>
      </c>
      <c r="C10540" t="s">
        <v>26</v>
      </c>
      <c r="D10540" t="s">
        <v>27</v>
      </c>
      <c r="E10540" s="6">
        <v>-28755</v>
      </c>
      <c r="F10540" t="s">
        <v>906</v>
      </c>
      <c r="G10540" t="s">
        <v>52</v>
      </c>
      <c r="H10540" t="s">
        <v>21</v>
      </c>
      <c r="I10540" t="s">
        <v>20389</v>
      </c>
      <c r="J10540" t="str">
        <f>HYPERLINK("https://www.boe.es/gazeta/dias/1821/04/08/pdfs/GMD-1821-100.pdf#page=2","Abrir facsímil")</f>
        <v>Abrir facsímil</v>
      </c>
      <c r="K10540" t="s">
        <v>23</v>
      </c>
    </row>
    <row r="10541" spans="1:11" ht="42" customHeight="1">
      <c r="A10541" t="s">
        <v>20390</v>
      </c>
      <c r="B10541" t="s">
        <v>20391</v>
      </c>
      <c r="C10541" t="s">
        <v>40</v>
      </c>
      <c r="D10541" t="s">
        <v>41</v>
      </c>
      <c r="E10541" s="6">
        <v>-28508</v>
      </c>
      <c r="F10541" t="s">
        <v>42</v>
      </c>
      <c r="G10541" t="s">
        <v>52</v>
      </c>
      <c r="H10541" t="s">
        <v>21</v>
      </c>
      <c r="I10541" t="s">
        <v>20392</v>
      </c>
      <c r="J10541" t="str">
        <f>HYPERLINK("https://www.boe.es/gazeta/dias/1821/12/11/pdfs/GMD-1821-353.pdf#page=2","Abrir facsímil")</f>
        <v>Abrir facsímil</v>
      </c>
      <c r="K10541" t="s">
        <v>23</v>
      </c>
    </row>
    <row r="10542" spans="1:11" ht="42" customHeight="1">
      <c r="A10542" t="s">
        <v>20393</v>
      </c>
      <c r="B10542" t="s">
        <v>20393</v>
      </c>
      <c r="C10542" t="s">
        <v>70</v>
      </c>
      <c r="D10542" t="s">
        <v>27</v>
      </c>
      <c r="E10542" s="6">
        <v>-28497</v>
      </c>
      <c r="F10542" t="s">
        <v>225</v>
      </c>
      <c r="G10542" t="s">
        <v>43</v>
      </c>
      <c r="H10542" t="s">
        <v>21</v>
      </c>
      <c r="I10542" t="s">
        <v>20394</v>
      </c>
      <c r="J10542" t="str">
        <f>HYPERLINK("https://www.boe.es/gazeta/dias/1821/12/22/pdfs/GMD-1821-365.pdf#page=1","Abrir facsímil")</f>
        <v>Abrir facsímil</v>
      </c>
      <c r="K10542" t="s">
        <v>23</v>
      </c>
    </row>
    <row r="10543" spans="1:11" ht="42" customHeight="1">
      <c r="A10543" t="s">
        <v>20395</v>
      </c>
      <c r="B10543" t="s">
        <v>20396</v>
      </c>
      <c r="C10543" t="s">
        <v>174</v>
      </c>
      <c r="D10543" t="s">
        <v>27</v>
      </c>
      <c r="E10543" s="6">
        <v>-28717</v>
      </c>
      <c r="F10543" t="s">
        <v>1044</v>
      </c>
      <c r="G10543" t="s">
        <v>52</v>
      </c>
      <c r="H10543" t="s">
        <v>21</v>
      </c>
      <c r="I10543" t="s">
        <v>20397</v>
      </c>
      <c r="J10543" t="str">
        <f>HYPERLINK("https://www.boe.es/gazeta/dias/1821/05/16/pdfs/GMD-1821-138.pdf#page=2","Abrir facsímil")</f>
        <v>Abrir facsímil</v>
      </c>
      <c r="K10543" t="s">
        <v>23</v>
      </c>
    </row>
    <row r="10544" spans="1:11" ht="42" customHeight="1">
      <c r="A10544" t="s">
        <v>20398</v>
      </c>
      <c r="B10544" t="s">
        <v>20399</v>
      </c>
      <c r="C10544" t="s">
        <v>70</v>
      </c>
      <c r="D10544" t="s">
        <v>27</v>
      </c>
      <c r="E10544" s="6">
        <v>-28805</v>
      </c>
      <c r="F10544" t="s">
        <v>382</v>
      </c>
      <c r="G10544" t="s">
        <v>20</v>
      </c>
      <c r="H10544" t="s">
        <v>21</v>
      </c>
      <c r="I10544" t="s">
        <v>20400</v>
      </c>
      <c r="J10544" t="str">
        <f>HYPERLINK("https://www.boe.es/gazeta/dias/1821/02/17/pdfs/GGB-1821-48.pdf#page=3","Abrir facsímil")</f>
        <v>Abrir facsímil</v>
      </c>
      <c r="K10544" t="s">
        <v>23</v>
      </c>
    </row>
    <row r="10545" spans="1:11" ht="42" customHeight="1">
      <c r="A10545" t="s">
        <v>20398</v>
      </c>
      <c r="B10545" t="s">
        <v>20399</v>
      </c>
      <c r="C10545" t="s">
        <v>35</v>
      </c>
      <c r="D10545" t="s">
        <v>27</v>
      </c>
      <c r="E10545" s="6">
        <v>-28719</v>
      </c>
      <c r="F10545" t="s">
        <v>647</v>
      </c>
      <c r="G10545" t="s">
        <v>52</v>
      </c>
      <c r="H10545" t="s">
        <v>21</v>
      </c>
      <c r="I10545" t="s">
        <v>20401</v>
      </c>
      <c r="J10545" t="str">
        <f>HYPERLINK("https://www.boe.es/gazeta/dias/1821/05/14/pdfs/GMD-1821-136.pdf#page=2","Abrir facsímil")</f>
        <v>Abrir facsímil</v>
      </c>
      <c r="K10545" t="s">
        <v>23</v>
      </c>
    </row>
    <row r="10546" spans="1:11" ht="42" customHeight="1">
      <c r="A10546" t="s">
        <v>20402</v>
      </c>
      <c r="B10546" t="s">
        <v>20403</v>
      </c>
      <c r="C10546" t="s">
        <v>26</v>
      </c>
      <c r="D10546" t="s">
        <v>27</v>
      </c>
      <c r="E10546" s="6">
        <v>-28810</v>
      </c>
      <c r="F10546" t="s">
        <v>308</v>
      </c>
      <c r="G10546" t="s">
        <v>20</v>
      </c>
      <c r="H10546" t="s">
        <v>21</v>
      </c>
      <c r="I10546" t="s">
        <v>20404</v>
      </c>
      <c r="J10546" t="str">
        <f>HYPERLINK("https://www.boe.es/gazeta/dias/1821/02/12/pdfs/GGB-1821-43.pdf#page=3","Abrir facsímil")</f>
        <v>Abrir facsímil</v>
      </c>
      <c r="K10546" t="s">
        <v>23</v>
      </c>
    </row>
    <row r="10547" spans="1:11" ht="42" customHeight="1">
      <c r="A10547" t="s">
        <v>20402</v>
      </c>
      <c r="B10547" t="s">
        <v>20403</v>
      </c>
      <c r="C10547" t="s">
        <v>70</v>
      </c>
      <c r="D10547" t="s">
        <v>27</v>
      </c>
      <c r="E10547" s="6">
        <v>-28798</v>
      </c>
      <c r="F10547" t="s">
        <v>60</v>
      </c>
      <c r="G10547" t="s">
        <v>52</v>
      </c>
      <c r="H10547" t="s">
        <v>21</v>
      </c>
      <c r="I10547" t="s">
        <v>20405</v>
      </c>
      <c r="J10547" t="str">
        <f>HYPERLINK("https://www.boe.es/gazeta/dias/1821/02/24/pdfs/GGB-1821-55.pdf#page=2","Abrir facsímil")</f>
        <v>Abrir facsímil</v>
      </c>
      <c r="K10547" t="s">
        <v>23</v>
      </c>
    </row>
    <row r="10548" spans="1:11" ht="42" customHeight="1">
      <c r="A10548" t="s">
        <v>20402</v>
      </c>
      <c r="B10548" t="s">
        <v>20403</v>
      </c>
      <c r="C10548" t="s">
        <v>40</v>
      </c>
      <c r="D10548" t="s">
        <v>41</v>
      </c>
      <c r="E10548" s="6">
        <v>-28791</v>
      </c>
      <c r="F10548" t="s">
        <v>47</v>
      </c>
      <c r="G10548" t="s">
        <v>293</v>
      </c>
      <c r="H10548" t="s">
        <v>21</v>
      </c>
      <c r="I10548" t="s">
        <v>20406</v>
      </c>
      <c r="J10548" t="str">
        <f>HYPERLINK("https://www.boe.es/gazeta/dias/1821/03/03/pdfs/GGB-1821-62.pdf#page=2","Abrir facsímil")</f>
        <v>Abrir facsímil</v>
      </c>
      <c r="K10548" t="s">
        <v>23</v>
      </c>
    </row>
    <row r="10549" spans="1:11" ht="42" customHeight="1">
      <c r="A10549" t="s">
        <v>20402</v>
      </c>
      <c r="B10549" t="s">
        <v>20403</v>
      </c>
      <c r="C10549" t="s">
        <v>70</v>
      </c>
      <c r="D10549" t="s">
        <v>27</v>
      </c>
      <c r="E10549" s="6">
        <v>-28784</v>
      </c>
      <c r="F10549" t="s">
        <v>451</v>
      </c>
      <c r="G10549" t="s">
        <v>52</v>
      </c>
      <c r="H10549" t="s">
        <v>21</v>
      </c>
      <c r="I10549" t="s">
        <v>20407</v>
      </c>
      <c r="J10549" t="str">
        <f>HYPERLINK("https://www.boe.es/gazeta/dias/1821/03/10/pdfs/GGB-1821-69.pdf#page=2","Abrir facsímil")</f>
        <v>Abrir facsímil</v>
      </c>
      <c r="K10549" t="s">
        <v>23</v>
      </c>
    </row>
    <row r="10550" spans="1:11" ht="42" customHeight="1">
      <c r="A10550" t="s">
        <v>20408</v>
      </c>
      <c r="B10550" t="s">
        <v>20409</v>
      </c>
      <c r="C10550" t="s">
        <v>17</v>
      </c>
      <c r="D10550" t="s">
        <v>18</v>
      </c>
      <c r="E10550" s="6">
        <v>-28743</v>
      </c>
      <c r="F10550" t="s">
        <v>51</v>
      </c>
      <c r="G10550" t="s">
        <v>52</v>
      </c>
      <c r="H10550" t="s">
        <v>21</v>
      </c>
      <c r="I10550" t="s">
        <v>20410</v>
      </c>
      <c r="J10550" t="str">
        <f>HYPERLINK("https://www.boe.es/gazeta/dias/1821/04/20/pdfs/GMD-1821-112.pdf#page=2","Abrir facsímil")</f>
        <v>Abrir facsímil</v>
      </c>
      <c r="K10550" t="s">
        <v>23</v>
      </c>
    </row>
    <row r="10551" spans="1:11" ht="42" customHeight="1">
      <c r="A10551" t="s">
        <v>20411</v>
      </c>
      <c r="B10551" t="s">
        <v>20411</v>
      </c>
      <c r="C10551" t="s">
        <v>17</v>
      </c>
      <c r="D10551" t="s">
        <v>18</v>
      </c>
      <c r="E10551" s="6">
        <v>-28810</v>
      </c>
      <c r="F10551" t="s">
        <v>308</v>
      </c>
      <c r="G10551" t="s">
        <v>52</v>
      </c>
      <c r="H10551" t="s">
        <v>21</v>
      </c>
      <c r="I10551" t="s">
        <v>20412</v>
      </c>
      <c r="J10551" t="str">
        <f>HYPERLINK("https://www.boe.es/gazeta/dias/1821/02/12/pdfs/GGB-1821-43.pdf#page=2","Abrir facsímil")</f>
        <v>Abrir facsímil</v>
      </c>
      <c r="K10551" t="s">
        <v>23</v>
      </c>
    </row>
    <row r="10552" spans="1:11" ht="42" customHeight="1">
      <c r="A10552" t="s">
        <v>20413</v>
      </c>
      <c r="B10552" t="s">
        <v>20413</v>
      </c>
      <c r="C10552" t="s">
        <v>70</v>
      </c>
      <c r="D10552" t="s">
        <v>27</v>
      </c>
      <c r="E10552" s="6">
        <v>-28726</v>
      </c>
      <c r="F10552" t="s">
        <v>347</v>
      </c>
      <c r="G10552" t="s">
        <v>20</v>
      </c>
      <c r="H10552" t="s">
        <v>21</v>
      </c>
      <c r="I10552" t="s">
        <v>20414</v>
      </c>
      <c r="J10552" t="str">
        <f>HYPERLINK("https://www.boe.es/gazeta/dias/1821/05/07/pdfs/GMD-1821-129.pdf#page=3","Abrir facsímil")</f>
        <v>Abrir facsímil</v>
      </c>
      <c r="K10552" t="s">
        <v>23</v>
      </c>
    </row>
    <row r="10553" spans="1:11" ht="42" customHeight="1">
      <c r="A10553" t="s">
        <v>20415</v>
      </c>
      <c r="B10553" t="s">
        <v>20415</v>
      </c>
      <c r="C10553" t="s">
        <v>17</v>
      </c>
      <c r="D10553" t="s">
        <v>18</v>
      </c>
      <c r="E10553" s="6">
        <v>-28778</v>
      </c>
      <c r="F10553" t="s">
        <v>1301</v>
      </c>
      <c r="G10553" t="s">
        <v>88</v>
      </c>
      <c r="H10553" t="s">
        <v>21</v>
      </c>
      <c r="I10553" t="s">
        <v>20416</v>
      </c>
      <c r="J10553" t="str">
        <f>HYPERLINK("https://www.boe.es/gazeta/dias/1821/03/16/pdfs/GMD-1821-75.pdf#page=4","Abrir facsímil")</f>
        <v>Abrir facsímil</v>
      </c>
      <c r="K10553" t="s">
        <v>23</v>
      </c>
    </row>
    <row r="10554" spans="1:11" ht="42" customHeight="1">
      <c r="A10554" t="s">
        <v>20417</v>
      </c>
      <c r="B10554" t="s">
        <v>20417</v>
      </c>
      <c r="C10554" t="s">
        <v>40</v>
      </c>
      <c r="D10554" t="s">
        <v>41</v>
      </c>
      <c r="E10554" s="6">
        <v>-28789</v>
      </c>
      <c r="F10554" t="s">
        <v>36</v>
      </c>
      <c r="G10554" t="s">
        <v>20</v>
      </c>
      <c r="H10554" t="s">
        <v>21</v>
      </c>
      <c r="I10554" t="s">
        <v>20418</v>
      </c>
      <c r="J10554" t="str">
        <f>HYPERLINK("https://www.boe.es/gazeta/dias/1821/03/05/pdfs/GGB-1821-64.pdf#page=3","Abrir facsímil")</f>
        <v>Abrir facsímil</v>
      </c>
      <c r="K10554" t="s">
        <v>23</v>
      </c>
    </row>
    <row r="10555" spans="1:11" ht="42" customHeight="1">
      <c r="A10555" t="s">
        <v>20419</v>
      </c>
      <c r="B10555" t="s">
        <v>20419</v>
      </c>
      <c r="C10555" t="s">
        <v>35</v>
      </c>
      <c r="D10555" t="s">
        <v>27</v>
      </c>
      <c r="E10555" s="6">
        <v>-28785</v>
      </c>
      <c r="F10555" t="s">
        <v>1935</v>
      </c>
      <c r="G10555" t="s">
        <v>20</v>
      </c>
      <c r="H10555" t="s">
        <v>21</v>
      </c>
      <c r="I10555" t="s">
        <v>20420</v>
      </c>
      <c r="J10555" t="str">
        <f>HYPERLINK("https://www.boe.es/gazeta/dias/1821/03/09/pdfs/GGB-1821-68.pdf#page=3","Abrir facsímil")</f>
        <v>Abrir facsímil</v>
      </c>
      <c r="K10555" t="s">
        <v>23</v>
      </c>
    </row>
    <row r="10556" spans="1:11" ht="42" customHeight="1">
      <c r="A10556" t="s">
        <v>20417</v>
      </c>
      <c r="B10556" t="s">
        <v>20417</v>
      </c>
      <c r="C10556" t="s">
        <v>17</v>
      </c>
      <c r="D10556" t="s">
        <v>18</v>
      </c>
      <c r="E10556" s="6">
        <v>-28785</v>
      </c>
      <c r="F10556" t="s">
        <v>1935</v>
      </c>
      <c r="G10556" t="s">
        <v>88</v>
      </c>
      <c r="H10556" t="s">
        <v>21</v>
      </c>
      <c r="I10556" t="s">
        <v>20421</v>
      </c>
      <c r="J10556" t="str">
        <f>HYPERLINK("https://www.boe.es/gazeta/dias/1821/03/09/pdfs/GGB-1821-68.pdf#page=4","Abrir facsímil")</f>
        <v>Abrir facsímil</v>
      </c>
      <c r="K10556" t="s">
        <v>23</v>
      </c>
    </row>
    <row r="10557" spans="1:11" ht="42" customHeight="1">
      <c r="A10557" t="s">
        <v>20417</v>
      </c>
      <c r="B10557" t="s">
        <v>20417</v>
      </c>
      <c r="C10557" t="s">
        <v>17</v>
      </c>
      <c r="D10557" t="s">
        <v>18</v>
      </c>
      <c r="E10557" s="6">
        <v>-28782</v>
      </c>
      <c r="F10557" t="s">
        <v>508</v>
      </c>
      <c r="G10557" t="s">
        <v>88</v>
      </c>
      <c r="H10557" t="s">
        <v>21</v>
      </c>
      <c r="I10557" t="s">
        <v>20422</v>
      </c>
      <c r="J10557" t="str">
        <f>HYPERLINK("https://www.boe.es/gazeta/dias/1821/03/12/pdfs/GMD-1821-71.pdf#page=4","Abrir facsímil")</f>
        <v>Abrir facsímil</v>
      </c>
      <c r="K10557" t="s">
        <v>23</v>
      </c>
    </row>
    <row r="10558" spans="1:11" ht="42" customHeight="1">
      <c r="A10558" t="s">
        <v>20417</v>
      </c>
      <c r="B10558" t="s">
        <v>20417</v>
      </c>
      <c r="C10558" t="s">
        <v>494</v>
      </c>
      <c r="D10558" t="s">
        <v>18</v>
      </c>
      <c r="E10558" s="6">
        <v>-28779</v>
      </c>
      <c r="F10558" t="s">
        <v>1002</v>
      </c>
      <c r="G10558" t="s">
        <v>20</v>
      </c>
      <c r="H10558" t="s">
        <v>21</v>
      </c>
      <c r="I10558" t="s">
        <v>20423</v>
      </c>
      <c r="J10558" t="str">
        <f>HYPERLINK("https://www.boe.es/gazeta/dias/1821/03/15/pdfs/GMD-1821-74.pdf#page=3","Abrir facsímil")</f>
        <v>Abrir facsímil</v>
      </c>
      <c r="K10558" t="s">
        <v>23</v>
      </c>
    </row>
    <row r="10559" spans="1:11" ht="42" customHeight="1">
      <c r="A10559" t="s">
        <v>20417</v>
      </c>
      <c r="B10559" t="s">
        <v>20417</v>
      </c>
      <c r="C10559" t="s">
        <v>40</v>
      </c>
      <c r="D10559" t="s">
        <v>41</v>
      </c>
      <c r="E10559" s="6">
        <v>-28778</v>
      </c>
      <c r="F10559" t="s">
        <v>1301</v>
      </c>
      <c r="G10559" t="s">
        <v>88</v>
      </c>
      <c r="H10559" t="s">
        <v>21</v>
      </c>
      <c r="I10559" t="s">
        <v>20424</v>
      </c>
      <c r="J10559" t="str">
        <f>HYPERLINK("https://www.boe.es/gazeta/dias/1821/03/16/pdfs/GMD-1821-75.pdf#page=4","Abrir facsímil")</f>
        <v>Abrir facsímil</v>
      </c>
      <c r="K10559" t="s">
        <v>23</v>
      </c>
    </row>
    <row r="10560" spans="1:11" ht="42" customHeight="1">
      <c r="A10560" t="s">
        <v>20417</v>
      </c>
      <c r="B10560" t="s">
        <v>20417</v>
      </c>
      <c r="C10560" t="s">
        <v>17</v>
      </c>
      <c r="D10560" t="s">
        <v>18</v>
      </c>
      <c r="E10560" s="6">
        <v>-28776</v>
      </c>
      <c r="F10560" t="s">
        <v>312</v>
      </c>
      <c r="G10560" t="s">
        <v>88</v>
      </c>
      <c r="H10560" t="s">
        <v>21</v>
      </c>
      <c r="I10560" t="s">
        <v>20425</v>
      </c>
      <c r="J10560" t="str">
        <f>HYPERLINK("https://www.boe.es/gazeta/dias/1821/03/18/pdfs/GMD-1821-77.pdf#page=4","Abrir facsímil")</f>
        <v>Abrir facsímil</v>
      </c>
      <c r="K10560" t="s">
        <v>23</v>
      </c>
    </row>
    <row r="10561" spans="1:11" ht="42" customHeight="1">
      <c r="A10561" t="s">
        <v>20417</v>
      </c>
      <c r="B10561" t="s">
        <v>20417</v>
      </c>
      <c r="C10561" t="s">
        <v>40</v>
      </c>
      <c r="D10561" t="s">
        <v>41</v>
      </c>
      <c r="E10561" s="6">
        <v>-28771</v>
      </c>
      <c r="F10561" t="s">
        <v>110</v>
      </c>
      <c r="G10561" t="s">
        <v>88</v>
      </c>
      <c r="H10561" t="s">
        <v>21</v>
      </c>
      <c r="I10561" t="s">
        <v>20426</v>
      </c>
      <c r="J10561" t="str">
        <f>HYPERLINK("https://www.boe.es/gazeta/dias/1821/03/23/pdfs/GMD-1821-83.pdf#page=4","Abrir facsímil")</f>
        <v>Abrir facsímil</v>
      </c>
      <c r="K10561" t="s">
        <v>23</v>
      </c>
    </row>
    <row r="10562" spans="1:11" ht="42" customHeight="1">
      <c r="A10562" t="s">
        <v>20417</v>
      </c>
      <c r="B10562" t="s">
        <v>20417</v>
      </c>
      <c r="C10562" t="s">
        <v>17</v>
      </c>
      <c r="D10562" t="s">
        <v>18</v>
      </c>
      <c r="E10562" s="6">
        <v>-28757</v>
      </c>
      <c r="F10562" t="s">
        <v>472</v>
      </c>
      <c r="G10562" t="s">
        <v>52</v>
      </c>
      <c r="H10562" t="s">
        <v>21</v>
      </c>
      <c r="I10562" t="s">
        <v>20427</v>
      </c>
      <c r="J10562" t="str">
        <f>HYPERLINK("https://www.boe.es/gazeta/dias/1821/04/06/pdfs/GMD-1821-98.pdf#page=2","Abrir facsímil")</f>
        <v>Abrir facsímil</v>
      </c>
      <c r="K10562" t="s">
        <v>23</v>
      </c>
    </row>
    <row r="10563" spans="1:11" ht="42" customHeight="1">
      <c r="A10563" t="s">
        <v>20417</v>
      </c>
      <c r="B10563" t="s">
        <v>20417</v>
      </c>
      <c r="C10563" t="s">
        <v>26</v>
      </c>
      <c r="D10563" t="s">
        <v>27</v>
      </c>
      <c r="E10563" s="6">
        <v>-28757</v>
      </c>
      <c r="F10563" t="s">
        <v>472</v>
      </c>
      <c r="G10563" t="s">
        <v>20</v>
      </c>
      <c r="H10563" t="s">
        <v>21</v>
      </c>
      <c r="I10563" t="s">
        <v>20428</v>
      </c>
      <c r="J10563" t="str">
        <f>HYPERLINK("https://www.boe.es/gazeta/dias/1821/04/06/pdfs/GMD-1821-98.pdf#page=3","Abrir facsímil")</f>
        <v>Abrir facsímil</v>
      </c>
      <c r="K10563" t="s">
        <v>23</v>
      </c>
    </row>
    <row r="10564" spans="1:11" ht="42" customHeight="1">
      <c r="A10564" t="s">
        <v>20417</v>
      </c>
      <c r="B10564" t="s">
        <v>20417</v>
      </c>
      <c r="C10564" t="s">
        <v>40</v>
      </c>
      <c r="D10564" t="s">
        <v>41</v>
      </c>
      <c r="E10564" s="6">
        <v>-28754</v>
      </c>
      <c r="F10564" t="s">
        <v>1942</v>
      </c>
      <c r="G10564" t="s">
        <v>20</v>
      </c>
      <c r="H10564" t="s">
        <v>21</v>
      </c>
      <c r="I10564" t="s">
        <v>20429</v>
      </c>
      <c r="J10564" t="str">
        <f>HYPERLINK("https://www.boe.es/gazeta/dias/1821/04/09/pdfs/GMD-1821-101.pdf#page=3","Abrir facsímil")</f>
        <v>Abrir facsímil</v>
      </c>
      <c r="K10564" t="s">
        <v>23</v>
      </c>
    </row>
    <row r="10565" spans="1:11" ht="42" customHeight="1">
      <c r="A10565" t="s">
        <v>20417</v>
      </c>
      <c r="B10565" t="s">
        <v>20417</v>
      </c>
      <c r="C10565" t="s">
        <v>174</v>
      </c>
      <c r="D10565" t="s">
        <v>27</v>
      </c>
      <c r="E10565" s="6">
        <v>-28752</v>
      </c>
      <c r="F10565" t="s">
        <v>1012</v>
      </c>
      <c r="G10565" t="s">
        <v>1013</v>
      </c>
      <c r="H10565" t="s">
        <v>21</v>
      </c>
      <c r="I10565" t="s">
        <v>20430</v>
      </c>
      <c r="J10565" t="str">
        <f>HYPERLINK("https://www.boe.es/gazeta/dias/1821/04/11/pdfs/GMD-1821-103.pdf#page=3","Abrir facsímil")</f>
        <v>Abrir facsímil</v>
      </c>
      <c r="K10565" t="s">
        <v>23</v>
      </c>
    </row>
    <row r="10566" spans="1:11" ht="42" customHeight="1">
      <c r="A10566" t="s">
        <v>20417</v>
      </c>
      <c r="B10566" t="s">
        <v>20417</v>
      </c>
      <c r="C10566" t="s">
        <v>35</v>
      </c>
      <c r="D10566" t="s">
        <v>27</v>
      </c>
      <c r="E10566" s="6">
        <v>-28751</v>
      </c>
      <c r="F10566" t="s">
        <v>356</v>
      </c>
      <c r="G10566" t="s">
        <v>52</v>
      </c>
      <c r="H10566" t="s">
        <v>21</v>
      </c>
      <c r="I10566" t="s">
        <v>20431</v>
      </c>
      <c r="J10566" t="str">
        <f>HYPERLINK("https://www.boe.es/gazeta/dias/1821/04/12/pdfs/GMD-1821-104.pdf#page=2","Abrir facsímil")</f>
        <v>Abrir facsímil</v>
      </c>
      <c r="K10566" t="s">
        <v>23</v>
      </c>
    </row>
    <row r="10567" spans="1:11" ht="42" customHeight="1">
      <c r="A10567" t="s">
        <v>20417</v>
      </c>
      <c r="B10567" t="s">
        <v>20417</v>
      </c>
      <c r="C10567" t="s">
        <v>26</v>
      </c>
      <c r="D10567" t="s">
        <v>27</v>
      </c>
      <c r="E10567" s="6">
        <v>-28739</v>
      </c>
      <c r="F10567" t="s">
        <v>1024</v>
      </c>
      <c r="G10567" t="s">
        <v>1025</v>
      </c>
      <c r="H10567" t="s">
        <v>21</v>
      </c>
      <c r="I10567" t="s">
        <v>20432</v>
      </c>
      <c r="J10567" t="str">
        <f>HYPERLINK("https://www.boe.es/gazeta/dias/1821/04/24/pdfs/GMD-1821-116.pdf#page=3","Abrir facsímil")</f>
        <v>Abrir facsímil</v>
      </c>
      <c r="K10567" t="s">
        <v>23</v>
      </c>
    </row>
    <row r="10568" spans="1:11" ht="42" customHeight="1">
      <c r="A10568" t="s">
        <v>20417</v>
      </c>
      <c r="B10568" t="s">
        <v>20417</v>
      </c>
      <c r="C10568" t="s">
        <v>17</v>
      </c>
      <c r="D10568" t="s">
        <v>18</v>
      </c>
      <c r="E10568" s="6">
        <v>-28727</v>
      </c>
      <c r="F10568" t="s">
        <v>200</v>
      </c>
      <c r="G10568" t="s">
        <v>20</v>
      </c>
      <c r="H10568" t="s">
        <v>21</v>
      </c>
      <c r="I10568" t="s">
        <v>20433</v>
      </c>
      <c r="J10568" t="str">
        <f>HYPERLINK("https://www.boe.es/gazeta/dias/1821/05/06/pdfs/GMD-1821-128.pdf#page=3","Abrir facsímil")</f>
        <v>Abrir facsímil</v>
      </c>
      <c r="K10568" t="s">
        <v>23</v>
      </c>
    </row>
    <row r="10569" spans="1:11" ht="42" customHeight="1">
      <c r="A10569" t="s">
        <v>20417</v>
      </c>
      <c r="B10569" t="s">
        <v>20417</v>
      </c>
      <c r="C10569" t="s">
        <v>40</v>
      </c>
      <c r="D10569" t="s">
        <v>41</v>
      </c>
      <c r="E10569" s="6">
        <v>-28713</v>
      </c>
      <c r="F10569" t="s">
        <v>1976</v>
      </c>
      <c r="G10569" t="s">
        <v>1977</v>
      </c>
      <c r="H10569" t="s">
        <v>21</v>
      </c>
      <c r="I10569" t="s">
        <v>20434</v>
      </c>
      <c r="J10569" t="str">
        <f>HYPERLINK("https://www.boe.es/gazeta/dias/1821/05/20/pdfs/GMD-1821-142.pdf#page=3","Abrir facsímil")</f>
        <v>Abrir facsímil</v>
      </c>
      <c r="K10569" t="s">
        <v>23</v>
      </c>
    </row>
    <row r="10570" spans="1:11" ht="42" customHeight="1">
      <c r="A10570" t="s">
        <v>20417</v>
      </c>
      <c r="B10570" t="s">
        <v>20417</v>
      </c>
      <c r="C10570" t="s">
        <v>40</v>
      </c>
      <c r="D10570" t="s">
        <v>41</v>
      </c>
      <c r="E10570" s="6">
        <v>-28711</v>
      </c>
      <c r="F10570" t="s">
        <v>1048</v>
      </c>
      <c r="G10570" t="s">
        <v>20</v>
      </c>
      <c r="H10570" t="s">
        <v>21</v>
      </c>
      <c r="I10570" t="s">
        <v>20435</v>
      </c>
      <c r="J10570" t="str">
        <f>HYPERLINK("https://www.boe.es/gazeta/dias/1821/05/22/pdfs/GMD-1821-144.pdf#page=3","Abrir facsímil")</f>
        <v>Abrir facsímil</v>
      </c>
      <c r="K10570" t="s">
        <v>23</v>
      </c>
    </row>
    <row r="10571" spans="1:11" ht="42" customHeight="1">
      <c r="A10571" t="s">
        <v>20417</v>
      </c>
      <c r="B10571" t="s">
        <v>20417</v>
      </c>
      <c r="C10571" t="s">
        <v>26</v>
      </c>
      <c r="D10571" t="s">
        <v>27</v>
      </c>
      <c r="E10571" s="6">
        <v>-28696</v>
      </c>
      <c r="F10571" t="s">
        <v>497</v>
      </c>
      <c r="G10571" t="s">
        <v>88</v>
      </c>
      <c r="H10571" t="s">
        <v>21</v>
      </c>
      <c r="I10571" t="s">
        <v>20436</v>
      </c>
      <c r="J10571" t="str">
        <f>HYPERLINK("https://www.boe.es/gazeta/dias/1821/06/06/pdfs/GMD-1821-159.pdf#page=4","Abrir facsímil")</f>
        <v>Abrir facsímil</v>
      </c>
      <c r="K10571" t="s">
        <v>23</v>
      </c>
    </row>
    <row r="10572" spans="1:11" ht="42" customHeight="1">
      <c r="A10572" t="s">
        <v>20417</v>
      </c>
      <c r="B10572" t="s">
        <v>20417</v>
      </c>
      <c r="C10572" t="s">
        <v>40</v>
      </c>
      <c r="D10572" t="s">
        <v>41</v>
      </c>
      <c r="E10572" s="6">
        <v>-28683</v>
      </c>
      <c r="F10572" t="s">
        <v>332</v>
      </c>
      <c r="G10572" t="s">
        <v>88</v>
      </c>
      <c r="H10572" t="s">
        <v>21</v>
      </c>
      <c r="I10572" t="s">
        <v>20437</v>
      </c>
      <c r="J10572" t="str">
        <f>HYPERLINK("https://www.boe.es/gazeta/dias/1821/06/19/pdfs/GMD-1821-172.pdf#page=4","Abrir facsímil")</f>
        <v>Abrir facsímil</v>
      </c>
      <c r="K10572" t="s">
        <v>23</v>
      </c>
    </row>
    <row r="10573" spans="1:11" ht="42" customHeight="1">
      <c r="A10573" t="s">
        <v>20417</v>
      </c>
      <c r="B10573" t="s">
        <v>20417</v>
      </c>
      <c r="C10573" t="s">
        <v>70</v>
      </c>
      <c r="D10573" t="s">
        <v>27</v>
      </c>
      <c r="E10573" s="6">
        <v>-28559</v>
      </c>
      <c r="F10573" t="s">
        <v>1078</v>
      </c>
      <c r="G10573" t="s">
        <v>20</v>
      </c>
      <c r="H10573" t="s">
        <v>21</v>
      </c>
      <c r="I10573" t="s">
        <v>20438</v>
      </c>
      <c r="J10573" t="str">
        <f>HYPERLINK("https://www.boe.es/gazeta/dias/1821/10/21/pdfs/GMD-1821-300.pdf#page=3","Abrir facsímil")</f>
        <v>Abrir facsímil</v>
      </c>
      <c r="K10573" t="s">
        <v>23</v>
      </c>
    </row>
    <row r="10574" spans="1:11" ht="42" customHeight="1">
      <c r="A10574" t="s">
        <v>20417</v>
      </c>
      <c r="B10574" t="s">
        <v>20417</v>
      </c>
      <c r="C10574" t="s">
        <v>26</v>
      </c>
      <c r="D10574" t="s">
        <v>27</v>
      </c>
      <c r="E10574" s="6">
        <v>-28542</v>
      </c>
      <c r="F10574" t="s">
        <v>221</v>
      </c>
      <c r="G10574" t="s">
        <v>162</v>
      </c>
      <c r="H10574" t="s">
        <v>21</v>
      </c>
      <c r="I10574" t="s">
        <v>20439</v>
      </c>
      <c r="J10574" t="str">
        <f>HYPERLINK("https://www.boe.es/gazeta/dias/1821/11/07/pdfs/GMD-1821-318.pdf#page=5","Abrir facsímil")</f>
        <v>Abrir facsímil</v>
      </c>
      <c r="K10574" t="s">
        <v>23</v>
      </c>
    </row>
    <row r="10575" spans="1:11" ht="42" customHeight="1">
      <c r="A10575" t="s">
        <v>20417</v>
      </c>
      <c r="B10575" t="s">
        <v>20417</v>
      </c>
      <c r="C10575" t="s">
        <v>26</v>
      </c>
      <c r="D10575" t="s">
        <v>27</v>
      </c>
      <c r="E10575" s="6">
        <v>-28537</v>
      </c>
      <c r="F10575" t="s">
        <v>56</v>
      </c>
      <c r="G10575" t="s">
        <v>88</v>
      </c>
      <c r="H10575" t="s">
        <v>21</v>
      </c>
      <c r="I10575" t="s">
        <v>20440</v>
      </c>
      <c r="J10575" t="str">
        <f>HYPERLINK("https://www.boe.es/gazeta/dias/1821/11/12/pdfs/GMD-1821-323.pdf#page=4","Abrir facsímil")</f>
        <v>Abrir facsímil</v>
      </c>
      <c r="K10575" t="s">
        <v>23</v>
      </c>
    </row>
    <row r="10576" spans="1:11" ht="42" customHeight="1">
      <c r="A10576" t="s">
        <v>20417</v>
      </c>
      <c r="B10576" t="s">
        <v>20417</v>
      </c>
      <c r="C10576" t="s">
        <v>26</v>
      </c>
      <c r="D10576" t="s">
        <v>27</v>
      </c>
      <c r="E10576" s="6">
        <v>-28536</v>
      </c>
      <c r="F10576" t="s">
        <v>553</v>
      </c>
      <c r="G10576" t="s">
        <v>162</v>
      </c>
      <c r="H10576" t="s">
        <v>21</v>
      </c>
      <c r="I10576" t="s">
        <v>20441</v>
      </c>
      <c r="J10576" t="str">
        <f>HYPERLINK("https://www.boe.es/gazeta/dias/1821/11/13/pdfs/GMD-1821-324.pdf#page=5","Abrir facsímil")</f>
        <v>Abrir facsímil</v>
      </c>
      <c r="K10576" t="s">
        <v>23</v>
      </c>
    </row>
    <row r="10577" spans="1:11" ht="42" customHeight="1">
      <c r="A10577" t="s">
        <v>20417</v>
      </c>
      <c r="B10577" t="s">
        <v>20417</v>
      </c>
      <c r="C10577" t="s">
        <v>26</v>
      </c>
      <c r="D10577" t="s">
        <v>27</v>
      </c>
      <c r="E10577" s="6">
        <v>-28535</v>
      </c>
      <c r="F10577" t="s">
        <v>96</v>
      </c>
      <c r="G10577" t="s">
        <v>20</v>
      </c>
      <c r="H10577" t="s">
        <v>21</v>
      </c>
      <c r="I10577" t="s">
        <v>20442</v>
      </c>
      <c r="J10577" t="str">
        <f>HYPERLINK("https://www.boe.es/gazeta/dias/1821/11/14/pdfs/GMD-1821-325.pdf#page=3","Abrir facsímil")</f>
        <v>Abrir facsímil</v>
      </c>
      <c r="K10577" t="s">
        <v>23</v>
      </c>
    </row>
    <row r="10578" spans="1:11" ht="42" customHeight="1">
      <c r="A10578" t="s">
        <v>20417</v>
      </c>
      <c r="B10578" t="s">
        <v>20417</v>
      </c>
      <c r="C10578" t="s">
        <v>114</v>
      </c>
      <c r="D10578" t="s">
        <v>27</v>
      </c>
      <c r="E10578" s="6">
        <v>-28535</v>
      </c>
      <c r="F10578" t="s">
        <v>96</v>
      </c>
      <c r="G10578" t="s">
        <v>88</v>
      </c>
      <c r="H10578" t="s">
        <v>21</v>
      </c>
      <c r="I10578" t="s">
        <v>20443</v>
      </c>
      <c r="J10578" t="str">
        <f>HYPERLINK("https://www.boe.es/gazeta/dias/1821/11/14/pdfs/GMD-1821-325.pdf#page=4","Abrir facsímil")</f>
        <v>Abrir facsímil</v>
      </c>
      <c r="K10578" t="s">
        <v>23</v>
      </c>
    </row>
    <row r="10579" spans="1:11" ht="42" customHeight="1">
      <c r="A10579" t="s">
        <v>20417</v>
      </c>
      <c r="B10579" t="s">
        <v>20417</v>
      </c>
      <c r="C10579" t="s">
        <v>17</v>
      </c>
      <c r="D10579" t="s">
        <v>18</v>
      </c>
      <c r="E10579" s="6">
        <v>-28522</v>
      </c>
      <c r="F10579" t="s">
        <v>1083</v>
      </c>
      <c r="G10579" t="s">
        <v>162</v>
      </c>
      <c r="H10579" t="s">
        <v>21</v>
      </c>
      <c r="I10579" t="s">
        <v>20444</v>
      </c>
      <c r="J10579" t="str">
        <f>HYPERLINK("https://www.boe.es/gazeta/dias/1821/11/27/pdfs/GMD-1821-339.pdf#page=5","Abrir facsímil")</f>
        <v>Abrir facsímil</v>
      </c>
      <c r="K10579" t="s">
        <v>23</v>
      </c>
    </row>
    <row r="10580" spans="1:11" ht="42" customHeight="1">
      <c r="A10580" t="s">
        <v>20417</v>
      </c>
      <c r="B10580" t="s">
        <v>20417</v>
      </c>
      <c r="C10580" t="s">
        <v>17</v>
      </c>
      <c r="D10580" t="s">
        <v>18</v>
      </c>
      <c r="E10580" s="6">
        <v>-28522</v>
      </c>
      <c r="F10580" t="s">
        <v>1083</v>
      </c>
      <c r="G10580" t="s">
        <v>29</v>
      </c>
      <c r="H10580" t="s">
        <v>21</v>
      </c>
      <c r="I10580" t="s">
        <v>20445</v>
      </c>
      <c r="J10580" t="str">
        <f>HYPERLINK("https://www.boe.es/gazeta/dias/1821/11/27/pdfs/GMD-1821-339.pdf#page=6","Abrir facsímil")</f>
        <v>Abrir facsímil</v>
      </c>
      <c r="K10580" t="s">
        <v>23</v>
      </c>
    </row>
    <row r="10581" spans="1:11" ht="42" customHeight="1">
      <c r="A10581" t="s">
        <v>20446</v>
      </c>
      <c r="B10581" t="s">
        <v>20446</v>
      </c>
      <c r="C10581" t="s">
        <v>26</v>
      </c>
      <c r="D10581" t="s">
        <v>27</v>
      </c>
      <c r="E10581" s="6">
        <v>-28785</v>
      </c>
      <c r="F10581" t="s">
        <v>1935</v>
      </c>
      <c r="G10581" t="s">
        <v>20</v>
      </c>
      <c r="H10581" t="s">
        <v>21</v>
      </c>
      <c r="I10581" t="s">
        <v>20447</v>
      </c>
      <c r="J10581" t="str">
        <f>HYPERLINK("https://www.boe.es/gazeta/dias/1821/03/09/pdfs/GGB-1821-68.pdf#page=3","Abrir facsímil")</f>
        <v>Abrir facsímil</v>
      </c>
      <c r="K10581" t="s">
        <v>23</v>
      </c>
    </row>
    <row r="10582" spans="1:11" ht="42" customHeight="1">
      <c r="A10582" t="s">
        <v>20448</v>
      </c>
      <c r="B10582" t="s">
        <v>20449</v>
      </c>
      <c r="C10582" t="s">
        <v>17</v>
      </c>
      <c r="D10582" t="s">
        <v>18</v>
      </c>
      <c r="E10582" s="6">
        <v>-28702</v>
      </c>
      <c r="F10582" t="s">
        <v>1176</v>
      </c>
      <c r="G10582" t="s">
        <v>1177</v>
      </c>
      <c r="H10582" t="s">
        <v>21</v>
      </c>
      <c r="I10582" t="s">
        <v>20450</v>
      </c>
      <c r="J10582" t="str">
        <f>HYPERLINK("https://www.boe.es/gazeta/dias/1821/05/31/pdfs/GMD-1821-153.pdf#page=2","Abrir facsímil")</f>
        <v>Abrir facsímil</v>
      </c>
      <c r="K10582" t="s">
        <v>23</v>
      </c>
    </row>
    <row r="10583" spans="1:11" ht="42" customHeight="1">
      <c r="A10583" t="s">
        <v>20451</v>
      </c>
      <c r="B10583" t="s">
        <v>20452</v>
      </c>
      <c r="C10583" t="s">
        <v>174</v>
      </c>
      <c r="D10583" t="s">
        <v>27</v>
      </c>
      <c r="E10583" s="6">
        <v>-28629</v>
      </c>
      <c r="F10583" t="s">
        <v>235</v>
      </c>
      <c r="G10583" t="s">
        <v>88</v>
      </c>
      <c r="H10583" t="s">
        <v>21</v>
      </c>
      <c r="I10583" t="s">
        <v>20453</v>
      </c>
      <c r="J10583" t="str">
        <f>HYPERLINK("https://www.boe.es/gazeta/dias/1821/08/12/pdfs/GMD-1821-229.pdf#page=4","Abrir facsímil")</f>
        <v>Abrir facsímil</v>
      </c>
      <c r="K10583" t="s">
        <v>23</v>
      </c>
    </row>
    <row r="10584" spans="1:11" ht="42" customHeight="1">
      <c r="A10584" t="s">
        <v>20454</v>
      </c>
      <c r="B10584" t="s">
        <v>20455</v>
      </c>
      <c r="C10584" t="s">
        <v>26</v>
      </c>
      <c r="D10584" t="s">
        <v>27</v>
      </c>
      <c r="E10584" s="6">
        <v>-28704</v>
      </c>
      <c r="F10584" t="s">
        <v>1050</v>
      </c>
      <c r="G10584" t="s">
        <v>52</v>
      </c>
      <c r="H10584" t="s">
        <v>30</v>
      </c>
      <c r="I10584" t="s">
        <v>20456</v>
      </c>
      <c r="J10584" t="str">
        <f>HYPERLINK("https://www.boe.es/gazeta/dias/1821/05/29/pdfs/GMD-1821-151.pdf#page=2","Abrir facsímil")</f>
        <v>Abrir facsímil</v>
      </c>
      <c r="K10584" t="s">
        <v>32</v>
      </c>
    </row>
    <row r="10585" spans="1:11" ht="42" customHeight="1">
      <c r="A10585" t="s">
        <v>20457</v>
      </c>
      <c r="B10585" t="s">
        <v>20458</v>
      </c>
      <c r="C10585" t="s">
        <v>17</v>
      </c>
      <c r="D10585" t="s">
        <v>18</v>
      </c>
      <c r="E10585" s="6">
        <v>-28650</v>
      </c>
      <c r="F10585" t="s">
        <v>3285</v>
      </c>
      <c r="G10585" t="s">
        <v>88</v>
      </c>
      <c r="H10585" t="s">
        <v>21</v>
      </c>
      <c r="I10585" t="s">
        <v>20459</v>
      </c>
      <c r="J10585" t="str">
        <f>HYPERLINK("https://www.boe.es/gazeta/dias/1821/07/22/pdfs/GMD-1821-207.pdf#page=4","Abrir facsímil")</f>
        <v>Abrir facsímil</v>
      </c>
      <c r="K10585" t="s">
        <v>23</v>
      </c>
    </row>
    <row r="10586" spans="1:11" ht="42" customHeight="1">
      <c r="A10586" t="s">
        <v>20460</v>
      </c>
      <c r="B10586" t="s">
        <v>20461</v>
      </c>
      <c r="C10586" t="s">
        <v>26</v>
      </c>
      <c r="D10586" t="s">
        <v>27</v>
      </c>
      <c r="E10586" s="6">
        <v>-28818</v>
      </c>
      <c r="F10586" t="s">
        <v>2337</v>
      </c>
      <c r="G10586" t="s">
        <v>88</v>
      </c>
      <c r="H10586" t="s">
        <v>21</v>
      </c>
      <c r="I10586" t="s">
        <v>20462</v>
      </c>
      <c r="J10586" t="str">
        <f>HYPERLINK("https://www.boe.es/gazeta/dias/1821/02/04/pdfs/GGB-1821-35.pdf#page=4","Abrir facsímil")</f>
        <v>Abrir facsímil</v>
      </c>
      <c r="K10586" t="s">
        <v>23</v>
      </c>
    </row>
    <row r="10587" spans="1:11" ht="42" customHeight="1">
      <c r="A10587" t="s">
        <v>20463</v>
      </c>
      <c r="B10587" t="s">
        <v>20464</v>
      </c>
      <c r="C10587" t="s">
        <v>17</v>
      </c>
      <c r="D10587" t="s">
        <v>18</v>
      </c>
      <c r="E10587" s="6">
        <v>-28817</v>
      </c>
      <c r="F10587" t="s">
        <v>2703</v>
      </c>
      <c r="G10587" t="s">
        <v>52</v>
      </c>
      <c r="H10587" t="s">
        <v>21</v>
      </c>
      <c r="I10587" t="s">
        <v>20465</v>
      </c>
      <c r="J10587" t="str">
        <f>HYPERLINK("https://www.boe.es/gazeta/dias/1821/02/05/pdfs/GGB-1821-36.pdf#page=2","Abrir facsímil")</f>
        <v>Abrir facsímil</v>
      </c>
      <c r="K10587" t="s">
        <v>23</v>
      </c>
    </row>
    <row r="10588" spans="1:11" ht="42" customHeight="1">
      <c r="A10588" t="s">
        <v>20463</v>
      </c>
      <c r="B10588" t="s">
        <v>20464</v>
      </c>
      <c r="C10588" t="s">
        <v>40</v>
      </c>
      <c r="D10588" t="s">
        <v>41</v>
      </c>
      <c r="E10588" s="6">
        <v>-28817</v>
      </c>
      <c r="F10588" t="s">
        <v>2703</v>
      </c>
      <c r="G10588" t="s">
        <v>20</v>
      </c>
      <c r="H10588" t="s">
        <v>21</v>
      </c>
      <c r="I10588" t="s">
        <v>20466</v>
      </c>
      <c r="J10588" t="str">
        <f>HYPERLINK("https://www.boe.es/gazeta/dias/1821/02/05/pdfs/GGB-1821-36.pdf#page=3","Abrir facsímil")</f>
        <v>Abrir facsímil</v>
      </c>
      <c r="K10588" t="s">
        <v>23</v>
      </c>
    </row>
    <row r="10589" spans="1:11" ht="42" customHeight="1">
      <c r="A10589" t="s">
        <v>20467</v>
      </c>
      <c r="B10589" t="s">
        <v>20468</v>
      </c>
      <c r="C10589" t="s">
        <v>26</v>
      </c>
      <c r="D10589" t="s">
        <v>27</v>
      </c>
      <c r="E10589" s="6">
        <v>-28739</v>
      </c>
      <c r="F10589" t="s">
        <v>1024</v>
      </c>
      <c r="G10589" t="s">
        <v>52</v>
      </c>
      <c r="H10589" t="s">
        <v>21</v>
      </c>
      <c r="I10589" t="s">
        <v>20469</v>
      </c>
      <c r="J10589" t="str">
        <f>HYPERLINK("https://www.boe.es/gazeta/dias/1821/04/24/pdfs/GMD-1821-116.pdf#page=2","Abrir facsímil")</f>
        <v>Abrir facsímil</v>
      </c>
      <c r="K10589" t="s">
        <v>23</v>
      </c>
    </row>
    <row r="10590" spans="1:11" ht="42" customHeight="1">
      <c r="A10590" t="s">
        <v>20470</v>
      </c>
      <c r="B10590" t="s">
        <v>20471</v>
      </c>
      <c r="C10590" t="s">
        <v>17</v>
      </c>
      <c r="D10590" t="s">
        <v>18</v>
      </c>
      <c r="E10590" s="6">
        <v>-28675</v>
      </c>
      <c r="F10590" t="s">
        <v>943</v>
      </c>
      <c r="G10590" t="s">
        <v>333</v>
      </c>
      <c r="H10590" t="s">
        <v>21</v>
      </c>
      <c r="I10590" t="s">
        <v>20472</v>
      </c>
      <c r="J10590" t="str">
        <f>HYPERLINK("https://www.boe.es/gazeta/dias/1821/06/27/pdfs/GMD-1821-180.pdf#page=8","Abrir facsímil")</f>
        <v>Abrir facsímil</v>
      </c>
      <c r="K10590" t="s">
        <v>23</v>
      </c>
    </row>
    <row r="10591" spans="1:11" ht="42" customHeight="1">
      <c r="A10591" t="s">
        <v>20473</v>
      </c>
      <c r="B10591" t="s">
        <v>20474</v>
      </c>
      <c r="C10591" t="s">
        <v>114</v>
      </c>
      <c r="D10591" t="s">
        <v>27</v>
      </c>
      <c r="E10591" s="6">
        <v>-28718</v>
      </c>
      <c r="F10591" t="s">
        <v>583</v>
      </c>
      <c r="G10591" t="s">
        <v>88</v>
      </c>
      <c r="H10591" t="s">
        <v>21</v>
      </c>
      <c r="I10591" t="s">
        <v>20475</v>
      </c>
      <c r="J10591" t="str">
        <f>HYPERLINK("https://www.boe.es/gazeta/dias/1821/05/15/pdfs/GMD-1821-137.pdf#page=4","Abrir facsímil")</f>
        <v>Abrir facsímil</v>
      </c>
      <c r="K10591" t="s">
        <v>23</v>
      </c>
    </row>
    <row r="10592" spans="1:11" ht="42" customHeight="1">
      <c r="A10592" t="s">
        <v>20476</v>
      </c>
      <c r="B10592" t="s">
        <v>20477</v>
      </c>
      <c r="C10592" t="s">
        <v>40</v>
      </c>
      <c r="D10592" t="s">
        <v>41</v>
      </c>
      <c r="E10592" s="6">
        <v>-28737</v>
      </c>
      <c r="F10592" t="s">
        <v>732</v>
      </c>
      <c r="G10592" t="s">
        <v>88</v>
      </c>
      <c r="H10592" t="s">
        <v>21</v>
      </c>
      <c r="I10592" t="s">
        <v>20478</v>
      </c>
      <c r="J10592" t="str">
        <f>HYPERLINK("https://www.boe.es/gazeta/dias/1821/04/26/pdfs/GMD-1821-118.pdf#page=4","Abrir facsímil")</f>
        <v>Abrir facsímil</v>
      </c>
      <c r="K10592" t="s">
        <v>23</v>
      </c>
    </row>
    <row r="10593" spans="1:11" ht="42" customHeight="1">
      <c r="A10593" t="s">
        <v>20479</v>
      </c>
      <c r="B10593" t="s">
        <v>20480</v>
      </c>
      <c r="C10593" t="s">
        <v>17</v>
      </c>
      <c r="D10593" t="s">
        <v>18</v>
      </c>
      <c r="E10593" s="6">
        <v>-28674</v>
      </c>
      <c r="F10593" t="s">
        <v>536</v>
      </c>
      <c r="G10593" t="s">
        <v>29</v>
      </c>
      <c r="H10593" t="s">
        <v>21</v>
      </c>
      <c r="I10593" t="s">
        <v>20481</v>
      </c>
      <c r="J10593" t="str">
        <f>HYPERLINK("https://www.boe.es/gazeta/dias/1821/06/28/pdfs/GMD-1821-181.pdf#page=6","Abrir facsímil")</f>
        <v>Abrir facsímil</v>
      </c>
      <c r="K10593" t="s">
        <v>23</v>
      </c>
    </row>
    <row r="10594" spans="1:11" ht="42" customHeight="1">
      <c r="A10594" t="s">
        <v>20482</v>
      </c>
      <c r="B10594" t="s">
        <v>20483</v>
      </c>
      <c r="C10594" t="s">
        <v>40</v>
      </c>
      <c r="D10594" t="s">
        <v>41</v>
      </c>
      <c r="E10594" s="6">
        <v>-28801</v>
      </c>
      <c r="F10594" t="s">
        <v>378</v>
      </c>
      <c r="G10594" t="s">
        <v>20</v>
      </c>
      <c r="H10594" t="s">
        <v>21</v>
      </c>
      <c r="I10594" t="s">
        <v>20484</v>
      </c>
      <c r="J10594" t="str">
        <f>HYPERLINK("https://www.boe.es/gazeta/dias/1821/02/21/pdfs/GGB-1821-52.pdf#page=3","Abrir facsímil")</f>
        <v>Abrir facsímil</v>
      </c>
      <c r="K10594" t="s">
        <v>23</v>
      </c>
    </row>
    <row r="10595" spans="1:11" ht="42" customHeight="1">
      <c r="A10595" t="s">
        <v>20482</v>
      </c>
      <c r="B10595" t="s">
        <v>20483</v>
      </c>
      <c r="C10595" t="s">
        <v>17</v>
      </c>
      <c r="D10595" t="s">
        <v>18</v>
      </c>
      <c r="E10595" s="6">
        <v>-28757</v>
      </c>
      <c r="F10595" t="s">
        <v>472</v>
      </c>
      <c r="G10595" t="s">
        <v>20</v>
      </c>
      <c r="H10595" t="s">
        <v>21</v>
      </c>
      <c r="I10595" t="s">
        <v>20485</v>
      </c>
      <c r="J10595" t="str">
        <f>HYPERLINK("https://www.boe.es/gazeta/dias/1821/04/06/pdfs/GMD-1821-98.pdf#page=3","Abrir facsímil")</f>
        <v>Abrir facsímil</v>
      </c>
      <c r="K10595" t="s">
        <v>23</v>
      </c>
    </row>
    <row r="10596" spans="1:11" ht="42" customHeight="1">
      <c r="A10596" t="s">
        <v>20482</v>
      </c>
      <c r="B10596" t="s">
        <v>20483</v>
      </c>
      <c r="C10596" t="s">
        <v>17</v>
      </c>
      <c r="D10596" t="s">
        <v>18</v>
      </c>
      <c r="E10596" s="6">
        <v>-28749</v>
      </c>
      <c r="F10596" t="s">
        <v>832</v>
      </c>
      <c r="G10596" t="s">
        <v>20</v>
      </c>
      <c r="H10596" t="s">
        <v>21</v>
      </c>
      <c r="I10596" t="s">
        <v>20486</v>
      </c>
      <c r="J10596" t="str">
        <f>HYPERLINK("https://www.boe.es/gazeta/dias/1821/04/14/pdfs/GMD-1821-106.pdf#page=3","Abrir facsímil")</f>
        <v>Abrir facsímil</v>
      </c>
      <c r="K10596" t="s">
        <v>23</v>
      </c>
    </row>
    <row r="10597" spans="1:11" ht="42" customHeight="1">
      <c r="A10597" t="s">
        <v>20482</v>
      </c>
      <c r="B10597" t="s">
        <v>20483</v>
      </c>
      <c r="C10597" t="s">
        <v>26</v>
      </c>
      <c r="D10597" t="s">
        <v>27</v>
      </c>
      <c r="E10597" s="6">
        <v>-28740</v>
      </c>
      <c r="F10597" t="s">
        <v>2800</v>
      </c>
      <c r="G10597" t="s">
        <v>20</v>
      </c>
      <c r="H10597" t="s">
        <v>21</v>
      </c>
      <c r="I10597" t="s">
        <v>20487</v>
      </c>
      <c r="J10597" t="str">
        <f>HYPERLINK("https://www.boe.es/gazeta/dias/1821/04/23/pdfs/GMD-1821-115.pdf#page=3","Abrir facsímil")</f>
        <v>Abrir facsímil</v>
      </c>
      <c r="K10597" t="s">
        <v>23</v>
      </c>
    </row>
    <row r="10598" spans="1:11" ht="42" customHeight="1">
      <c r="A10598" t="s">
        <v>20482</v>
      </c>
      <c r="B10598" t="s">
        <v>20483</v>
      </c>
      <c r="C10598" t="s">
        <v>35</v>
      </c>
      <c r="D10598" t="s">
        <v>27</v>
      </c>
      <c r="E10598" s="6">
        <v>-28694</v>
      </c>
      <c r="F10598" t="s">
        <v>1057</v>
      </c>
      <c r="G10598" t="s">
        <v>20</v>
      </c>
      <c r="H10598" t="s">
        <v>21</v>
      </c>
      <c r="I10598" t="s">
        <v>20488</v>
      </c>
      <c r="J10598" t="str">
        <f>HYPERLINK("https://www.boe.es/gazeta/dias/1821/06/08/pdfs/GMD-1821-161.pdf#page=3","Abrir facsímil")</f>
        <v>Abrir facsímil</v>
      </c>
      <c r="K10598" t="s">
        <v>23</v>
      </c>
    </row>
    <row r="10599" spans="1:11" ht="42" customHeight="1">
      <c r="A10599" t="s">
        <v>20482</v>
      </c>
      <c r="B10599" t="s">
        <v>20483</v>
      </c>
      <c r="C10599" t="s">
        <v>26</v>
      </c>
      <c r="D10599" t="s">
        <v>27</v>
      </c>
      <c r="E10599" s="6">
        <v>-28686</v>
      </c>
      <c r="F10599" t="s">
        <v>115</v>
      </c>
      <c r="G10599" t="s">
        <v>20</v>
      </c>
      <c r="H10599" t="s">
        <v>21</v>
      </c>
      <c r="I10599" t="s">
        <v>20489</v>
      </c>
      <c r="J10599" t="str">
        <f>HYPERLINK("https://www.boe.es/gazeta/dias/1821/06/16/pdfs/GMD-1821-169.pdf#page=3","Abrir facsímil")</f>
        <v>Abrir facsímil</v>
      </c>
      <c r="K10599" t="s">
        <v>23</v>
      </c>
    </row>
    <row r="10600" spans="1:11" ht="42" customHeight="1">
      <c r="A10600" t="s">
        <v>20482</v>
      </c>
      <c r="B10600" t="s">
        <v>20483</v>
      </c>
      <c r="C10600" t="s">
        <v>279</v>
      </c>
      <c r="D10600" t="s">
        <v>27</v>
      </c>
      <c r="E10600" s="6">
        <v>-28686</v>
      </c>
      <c r="F10600" t="s">
        <v>115</v>
      </c>
      <c r="G10600" t="s">
        <v>88</v>
      </c>
      <c r="H10600" t="s">
        <v>21</v>
      </c>
      <c r="I10600" t="s">
        <v>20490</v>
      </c>
      <c r="J10600" t="str">
        <f>HYPERLINK("https://www.boe.es/gazeta/dias/1821/06/16/pdfs/GMD-1821-169.pdf#page=4","Abrir facsímil")</f>
        <v>Abrir facsímil</v>
      </c>
      <c r="K10600" t="s">
        <v>23</v>
      </c>
    </row>
    <row r="10601" spans="1:11" ht="42" customHeight="1">
      <c r="A10601" t="s">
        <v>20482</v>
      </c>
      <c r="B10601" t="s">
        <v>20483</v>
      </c>
      <c r="C10601" t="s">
        <v>17</v>
      </c>
      <c r="D10601" t="s">
        <v>18</v>
      </c>
      <c r="E10601" s="6">
        <v>-28681</v>
      </c>
      <c r="F10601" t="s">
        <v>210</v>
      </c>
      <c r="G10601" t="s">
        <v>88</v>
      </c>
      <c r="H10601" t="s">
        <v>21</v>
      </c>
      <c r="I10601" t="s">
        <v>20491</v>
      </c>
      <c r="J10601" t="str">
        <f>HYPERLINK("https://www.boe.es/gazeta/dias/1821/06/21/pdfs/GMD-1821-174.pdf#page=4","Abrir facsímil")</f>
        <v>Abrir facsímil</v>
      </c>
      <c r="K10601" t="s">
        <v>23</v>
      </c>
    </row>
    <row r="10602" spans="1:11" ht="42" customHeight="1">
      <c r="A10602" t="s">
        <v>20482</v>
      </c>
      <c r="B10602" t="s">
        <v>20483</v>
      </c>
      <c r="C10602" t="s">
        <v>17</v>
      </c>
      <c r="D10602" t="s">
        <v>18</v>
      </c>
      <c r="E10602" s="6">
        <v>-28524</v>
      </c>
      <c r="F10602" t="s">
        <v>874</v>
      </c>
      <c r="G10602" t="s">
        <v>162</v>
      </c>
      <c r="H10602" t="s">
        <v>21</v>
      </c>
      <c r="I10602" t="s">
        <v>20492</v>
      </c>
      <c r="J10602" t="str">
        <f>HYPERLINK("https://www.boe.es/gazeta/dias/1821/11/25/pdfs/GMD-1821-336.pdf#page=5","Abrir facsímil")</f>
        <v>Abrir facsímil</v>
      </c>
      <c r="K10602" t="s">
        <v>23</v>
      </c>
    </row>
    <row r="10603" spans="1:11" ht="42" customHeight="1">
      <c r="A10603" t="s">
        <v>20482</v>
      </c>
      <c r="B10603" t="s">
        <v>20483</v>
      </c>
      <c r="C10603" t="s">
        <v>17</v>
      </c>
      <c r="D10603" t="s">
        <v>18</v>
      </c>
      <c r="E10603" s="6">
        <v>-28506</v>
      </c>
      <c r="F10603" t="s">
        <v>1095</v>
      </c>
      <c r="G10603" t="s">
        <v>20</v>
      </c>
      <c r="H10603" t="s">
        <v>21</v>
      </c>
      <c r="I10603" t="s">
        <v>20493</v>
      </c>
      <c r="J10603" t="str">
        <f>HYPERLINK("https://www.boe.es/gazeta/dias/1821/12/13/pdfs/GMD-1821-356.pdf#page=3","Abrir facsímil")</f>
        <v>Abrir facsímil</v>
      </c>
      <c r="K10603" t="s">
        <v>23</v>
      </c>
    </row>
    <row r="10604" spans="1:11" ht="42" customHeight="1">
      <c r="A10604" t="s">
        <v>20482</v>
      </c>
      <c r="B10604" t="s">
        <v>20483</v>
      </c>
      <c r="C10604" t="s">
        <v>17</v>
      </c>
      <c r="D10604" t="s">
        <v>18</v>
      </c>
      <c r="E10604" s="6">
        <v>-28504</v>
      </c>
      <c r="F10604" t="s">
        <v>1098</v>
      </c>
      <c r="G10604" t="s">
        <v>88</v>
      </c>
      <c r="H10604" t="s">
        <v>21</v>
      </c>
      <c r="I10604" t="s">
        <v>20494</v>
      </c>
      <c r="J10604" t="str">
        <f>HYPERLINK("https://www.boe.es/gazeta/dias/1821/12/15/pdfs/GMD-1821-358.pdf#page=4","Abrir facsímil")</f>
        <v>Abrir facsímil</v>
      </c>
      <c r="K10604" t="s">
        <v>23</v>
      </c>
    </row>
    <row r="10605" spans="1:11" ht="42" customHeight="1">
      <c r="A10605" t="s">
        <v>20495</v>
      </c>
      <c r="B10605" t="s">
        <v>20495</v>
      </c>
      <c r="C10605" t="s">
        <v>35</v>
      </c>
      <c r="D10605" t="s">
        <v>27</v>
      </c>
      <c r="E10605" s="6">
        <v>-28776</v>
      </c>
      <c r="F10605" t="s">
        <v>312</v>
      </c>
      <c r="G10605" t="s">
        <v>88</v>
      </c>
      <c r="H10605" t="s">
        <v>21</v>
      </c>
      <c r="I10605" t="s">
        <v>20496</v>
      </c>
      <c r="J10605" t="str">
        <f>HYPERLINK("https://www.boe.es/gazeta/dias/1821/03/18/pdfs/GMD-1821-77.pdf#page=4","Abrir facsímil")</f>
        <v>Abrir facsímil</v>
      </c>
      <c r="K10605" t="s">
        <v>23</v>
      </c>
    </row>
    <row r="10606" spans="1:11" ht="42" customHeight="1">
      <c r="A10606" t="s">
        <v>20495</v>
      </c>
      <c r="B10606" t="s">
        <v>20495</v>
      </c>
      <c r="C10606" t="s">
        <v>70</v>
      </c>
      <c r="D10606" t="s">
        <v>27</v>
      </c>
      <c r="E10606" s="6">
        <v>-28772</v>
      </c>
      <c r="F10606" t="s">
        <v>62</v>
      </c>
      <c r="G10606" t="s">
        <v>88</v>
      </c>
      <c r="H10606" t="s">
        <v>21</v>
      </c>
      <c r="I10606" t="s">
        <v>20497</v>
      </c>
      <c r="J10606" t="str">
        <f>HYPERLINK("https://www.boe.es/gazeta/dias/1821/03/22/pdfs/GMD-1821-81.pdf#page=4","Abrir facsímil")</f>
        <v>Abrir facsímil</v>
      </c>
      <c r="K10606" t="s">
        <v>23</v>
      </c>
    </row>
    <row r="10607" spans="1:11" ht="42" customHeight="1">
      <c r="A10607" t="s">
        <v>20495</v>
      </c>
      <c r="B10607" t="s">
        <v>20495</v>
      </c>
      <c r="C10607" t="s">
        <v>35</v>
      </c>
      <c r="D10607" t="s">
        <v>27</v>
      </c>
      <c r="E10607" s="6">
        <v>-28770</v>
      </c>
      <c r="F10607" t="s">
        <v>1009</v>
      </c>
      <c r="G10607" t="s">
        <v>20</v>
      </c>
      <c r="H10607" t="s">
        <v>21</v>
      </c>
      <c r="I10607" t="s">
        <v>20498</v>
      </c>
      <c r="J10607" t="str">
        <f>HYPERLINK("https://www.boe.es/gazeta/dias/1821/03/24/pdfs/GMD-1821-84.pdf#page=3","Abrir facsímil")</f>
        <v>Abrir facsímil</v>
      </c>
      <c r="K10607" t="s">
        <v>23</v>
      </c>
    </row>
    <row r="10608" spans="1:11" ht="42" customHeight="1">
      <c r="A10608" t="s">
        <v>20495</v>
      </c>
      <c r="B10608" t="s">
        <v>20495</v>
      </c>
      <c r="C10608" t="s">
        <v>17</v>
      </c>
      <c r="D10608" t="s">
        <v>18</v>
      </c>
      <c r="E10608" s="6">
        <v>-28759</v>
      </c>
      <c r="F10608" t="s">
        <v>71</v>
      </c>
      <c r="G10608" t="s">
        <v>52</v>
      </c>
      <c r="H10608" t="s">
        <v>21</v>
      </c>
      <c r="I10608" t="s">
        <v>20499</v>
      </c>
      <c r="J10608" t="str">
        <f>HYPERLINK("https://www.boe.es/gazeta/dias/1821/04/04/pdfs/GMD-1821-96.pdf#page=2","Abrir facsímil")</f>
        <v>Abrir facsímil</v>
      </c>
      <c r="K10608" t="s">
        <v>23</v>
      </c>
    </row>
    <row r="10609" spans="1:11" ht="42" customHeight="1">
      <c r="A10609" t="s">
        <v>20495</v>
      </c>
      <c r="B10609" t="s">
        <v>20495</v>
      </c>
      <c r="C10609" t="s">
        <v>17</v>
      </c>
      <c r="D10609" t="s">
        <v>18</v>
      </c>
      <c r="E10609" s="6">
        <v>-28751</v>
      </c>
      <c r="F10609" t="s">
        <v>356</v>
      </c>
      <c r="G10609" t="s">
        <v>52</v>
      </c>
      <c r="H10609" t="s">
        <v>21</v>
      </c>
      <c r="I10609" t="s">
        <v>20500</v>
      </c>
      <c r="J10609" t="str">
        <f>HYPERLINK("https://www.boe.es/gazeta/dias/1821/04/12/pdfs/GMD-1821-104.pdf#page=2","Abrir facsímil")</f>
        <v>Abrir facsímil</v>
      </c>
      <c r="K10609" t="s">
        <v>23</v>
      </c>
    </row>
    <row r="10610" spans="1:11" ht="42" customHeight="1">
      <c r="A10610" t="s">
        <v>20495</v>
      </c>
      <c r="B10610" t="s">
        <v>20495</v>
      </c>
      <c r="C10610" t="s">
        <v>26</v>
      </c>
      <c r="D10610" t="s">
        <v>27</v>
      </c>
      <c r="E10610" s="6">
        <v>-28749</v>
      </c>
      <c r="F10610" t="s">
        <v>832</v>
      </c>
      <c r="G10610" t="s">
        <v>88</v>
      </c>
      <c r="H10610" t="s">
        <v>21</v>
      </c>
      <c r="I10610" t="s">
        <v>20501</v>
      </c>
      <c r="J10610" t="str">
        <f>HYPERLINK("https://www.boe.es/gazeta/dias/1821/04/14/pdfs/GMD-1821-106.pdf#page=4","Abrir facsímil")</f>
        <v>Abrir facsímil</v>
      </c>
      <c r="K10610" t="s">
        <v>23</v>
      </c>
    </row>
    <row r="10611" spans="1:11" ht="42" customHeight="1">
      <c r="A10611" t="s">
        <v>20495</v>
      </c>
      <c r="B10611" t="s">
        <v>20495</v>
      </c>
      <c r="C10611" t="s">
        <v>35</v>
      </c>
      <c r="D10611" t="s">
        <v>27</v>
      </c>
      <c r="E10611" s="6">
        <v>-28490</v>
      </c>
      <c r="F10611" t="s">
        <v>801</v>
      </c>
      <c r="G10611" t="s">
        <v>52</v>
      </c>
      <c r="H10611" t="s">
        <v>21</v>
      </c>
      <c r="I10611" t="s">
        <v>20502</v>
      </c>
      <c r="J10611" t="str">
        <f>HYPERLINK("https://www.boe.es/gazeta/dias/1821/12/29/pdfs/GMD-1821-372.pdf#page=2","Abrir facsímil")</f>
        <v>Abrir facsímil</v>
      </c>
      <c r="K10611" t="s">
        <v>23</v>
      </c>
    </row>
    <row r="10612" spans="1:11" ht="42" customHeight="1">
      <c r="A10612" t="s">
        <v>20503</v>
      </c>
      <c r="B10612" t="s">
        <v>20504</v>
      </c>
      <c r="C10612" t="s">
        <v>17</v>
      </c>
      <c r="D10612" t="s">
        <v>18</v>
      </c>
      <c r="E10612" s="6">
        <v>-28798</v>
      </c>
      <c r="F10612" t="s">
        <v>60</v>
      </c>
      <c r="G10612" t="s">
        <v>20</v>
      </c>
      <c r="H10612" t="s">
        <v>21</v>
      </c>
      <c r="I10612" t="s">
        <v>20505</v>
      </c>
      <c r="J10612" t="str">
        <f>HYPERLINK("https://www.boe.es/gazeta/dias/1821/02/24/pdfs/GGB-1821-55.pdf#page=3","Abrir facsímil")</f>
        <v>Abrir facsímil</v>
      </c>
      <c r="K10612" t="s">
        <v>23</v>
      </c>
    </row>
    <row r="10613" spans="1:11" ht="42" customHeight="1">
      <c r="A10613" t="s">
        <v>20506</v>
      </c>
      <c r="B10613" t="s">
        <v>20507</v>
      </c>
      <c r="C10613" t="s">
        <v>40</v>
      </c>
      <c r="D10613" t="s">
        <v>41</v>
      </c>
      <c r="E10613" s="6">
        <v>-28731</v>
      </c>
      <c r="F10613" t="s">
        <v>577</v>
      </c>
      <c r="G10613" t="s">
        <v>20</v>
      </c>
      <c r="H10613" t="s">
        <v>21</v>
      </c>
      <c r="I10613" t="s">
        <v>20508</v>
      </c>
      <c r="J10613" t="str">
        <f>HYPERLINK("https://www.boe.es/gazeta/dias/1821/05/02/pdfs/GMD-1821-124.pdf#page=3","Abrir facsímil")</f>
        <v>Abrir facsímil</v>
      </c>
      <c r="K10613" t="s">
        <v>23</v>
      </c>
    </row>
    <row r="10614" spans="1:11" ht="42" customHeight="1">
      <c r="A10614" t="s">
        <v>20506</v>
      </c>
      <c r="B10614" t="s">
        <v>20507</v>
      </c>
      <c r="C10614" t="s">
        <v>40</v>
      </c>
      <c r="D10614" t="s">
        <v>41</v>
      </c>
      <c r="E10614" s="6">
        <v>-28725</v>
      </c>
      <c r="F10614" t="s">
        <v>440</v>
      </c>
      <c r="G10614" t="s">
        <v>52</v>
      </c>
      <c r="H10614" t="s">
        <v>21</v>
      </c>
      <c r="I10614" t="s">
        <v>20509</v>
      </c>
      <c r="J10614" t="str">
        <f>HYPERLINK("https://www.boe.es/gazeta/dias/1821/05/08/pdfs/GMD-1821-130.pdf#page=2","Abrir facsímil")</f>
        <v>Abrir facsímil</v>
      </c>
      <c r="K10614" t="s">
        <v>23</v>
      </c>
    </row>
    <row r="10615" spans="1:11" ht="42" customHeight="1">
      <c r="A10615" t="s">
        <v>20506</v>
      </c>
      <c r="B10615" t="s">
        <v>20507</v>
      </c>
      <c r="C10615" t="s">
        <v>40</v>
      </c>
      <c r="D10615" t="s">
        <v>41</v>
      </c>
      <c r="E10615" s="6">
        <v>-28718</v>
      </c>
      <c r="F10615" t="s">
        <v>583</v>
      </c>
      <c r="G10615" t="s">
        <v>88</v>
      </c>
      <c r="H10615" t="s">
        <v>21</v>
      </c>
      <c r="I10615" t="s">
        <v>20510</v>
      </c>
      <c r="J10615" t="str">
        <f>HYPERLINK("https://www.boe.es/gazeta/dias/1821/05/15/pdfs/GMD-1821-137.pdf#page=4","Abrir facsímil")</f>
        <v>Abrir facsímil</v>
      </c>
      <c r="K10615" t="s">
        <v>23</v>
      </c>
    </row>
    <row r="10616" spans="1:11" ht="42" customHeight="1">
      <c r="A10616" t="s">
        <v>20511</v>
      </c>
      <c r="B10616" t="s">
        <v>20512</v>
      </c>
      <c r="C10616" t="s">
        <v>40</v>
      </c>
      <c r="D10616" t="s">
        <v>41</v>
      </c>
      <c r="E10616" s="6">
        <v>-28667</v>
      </c>
      <c r="F10616" t="s">
        <v>107</v>
      </c>
      <c r="G10616" t="s">
        <v>3069</v>
      </c>
      <c r="H10616" t="s">
        <v>21</v>
      </c>
      <c r="I10616" t="s">
        <v>20513</v>
      </c>
      <c r="J10616" t="str">
        <f>HYPERLINK("https://www.boe.es/gazeta/dias/1821/07/05/pdfs/GMD-1821-189.pdf#page=4","Abrir facsímil")</f>
        <v>Abrir facsímil</v>
      </c>
      <c r="K10616" t="s">
        <v>23</v>
      </c>
    </row>
    <row r="10617" spans="1:11" ht="42" customHeight="1">
      <c r="A10617" t="s">
        <v>20514</v>
      </c>
      <c r="B10617" t="s">
        <v>20515</v>
      </c>
      <c r="C10617" t="s">
        <v>40</v>
      </c>
      <c r="D10617" t="s">
        <v>41</v>
      </c>
      <c r="E10617" s="6">
        <v>-28797</v>
      </c>
      <c r="F10617" t="s">
        <v>2281</v>
      </c>
      <c r="G10617" t="s">
        <v>20</v>
      </c>
      <c r="H10617" t="s">
        <v>21</v>
      </c>
      <c r="I10617" t="s">
        <v>20516</v>
      </c>
      <c r="J10617" t="str">
        <f>HYPERLINK("https://www.boe.es/gazeta/dias/1821/02/25/pdfs/GGB-1821-56.pdf#page=3","Abrir facsímil")</f>
        <v>Abrir facsímil</v>
      </c>
      <c r="K10617" t="s">
        <v>23</v>
      </c>
    </row>
    <row r="10618" spans="1:11" ht="42" customHeight="1">
      <c r="A10618" t="s">
        <v>20514</v>
      </c>
      <c r="B10618" t="s">
        <v>20515</v>
      </c>
      <c r="C10618" t="s">
        <v>26</v>
      </c>
      <c r="D10618" t="s">
        <v>27</v>
      </c>
      <c r="E10618" s="6">
        <v>-28784</v>
      </c>
      <c r="F10618" t="s">
        <v>451</v>
      </c>
      <c r="G10618" t="s">
        <v>52</v>
      </c>
      <c r="H10618" t="s">
        <v>21</v>
      </c>
      <c r="I10618" t="s">
        <v>20517</v>
      </c>
      <c r="J10618" t="str">
        <f>HYPERLINK("https://www.boe.es/gazeta/dias/1821/03/10/pdfs/GGB-1821-69.pdf#page=2","Abrir facsímil")</f>
        <v>Abrir facsímil</v>
      </c>
      <c r="K10618" t="s">
        <v>23</v>
      </c>
    </row>
    <row r="10619" spans="1:11" ht="42" customHeight="1">
      <c r="A10619" t="s">
        <v>20518</v>
      </c>
      <c r="B10619" t="s">
        <v>20519</v>
      </c>
      <c r="C10619" t="s">
        <v>17</v>
      </c>
      <c r="D10619" t="s">
        <v>18</v>
      </c>
      <c r="E10619" s="6">
        <v>-28803</v>
      </c>
      <c r="F10619" t="s">
        <v>320</v>
      </c>
      <c r="G10619" t="s">
        <v>20</v>
      </c>
      <c r="H10619" t="s">
        <v>21</v>
      </c>
      <c r="I10619" t="s">
        <v>20520</v>
      </c>
      <c r="J10619" t="str">
        <f>HYPERLINK("https://www.boe.es/gazeta/dias/1821/02/19/pdfs/GGB-1821-50.pdf#page=3","Abrir facsímil")</f>
        <v>Abrir facsímil</v>
      </c>
      <c r="K10619" t="s">
        <v>23</v>
      </c>
    </row>
    <row r="10620" spans="1:11" ht="42" customHeight="1">
      <c r="A10620" t="s">
        <v>20521</v>
      </c>
      <c r="B10620" t="s">
        <v>20522</v>
      </c>
      <c r="C10620" t="s">
        <v>26</v>
      </c>
      <c r="D10620" t="s">
        <v>27</v>
      </c>
      <c r="E10620" s="6">
        <v>-28679</v>
      </c>
      <c r="F10620" t="s">
        <v>213</v>
      </c>
      <c r="G10620" t="s">
        <v>88</v>
      </c>
      <c r="H10620" t="s">
        <v>21</v>
      </c>
      <c r="I10620" t="s">
        <v>20523</v>
      </c>
      <c r="J10620" t="str">
        <f>HYPERLINK("https://www.boe.es/gazeta/dias/1821/06/23/pdfs/GMD-1821-176.pdf#page=4","Abrir facsímil")</f>
        <v>Abrir facsímil</v>
      </c>
      <c r="K10620" t="s">
        <v>23</v>
      </c>
    </row>
    <row r="10621" spans="1:11" ht="42" customHeight="1">
      <c r="A10621" t="s">
        <v>20524</v>
      </c>
      <c r="B10621" t="s">
        <v>20525</v>
      </c>
      <c r="C10621" t="s">
        <v>174</v>
      </c>
      <c r="D10621" t="s">
        <v>27</v>
      </c>
      <c r="E10621" s="6">
        <v>-28607</v>
      </c>
      <c r="F10621" t="s">
        <v>740</v>
      </c>
      <c r="G10621" t="s">
        <v>88</v>
      </c>
      <c r="H10621" t="s">
        <v>21</v>
      </c>
      <c r="I10621" t="s">
        <v>20526</v>
      </c>
      <c r="J10621" t="str">
        <f>HYPERLINK("https://www.boe.es/gazeta/dias/1821/09/03/pdfs/GMD-1821-251.pdf#page=4","Abrir facsímil")</f>
        <v>Abrir facsímil</v>
      </c>
      <c r="K10621" t="s">
        <v>23</v>
      </c>
    </row>
    <row r="10622" spans="1:11" ht="42" customHeight="1">
      <c r="A10622" t="s">
        <v>20527</v>
      </c>
      <c r="B10622" t="s">
        <v>20528</v>
      </c>
      <c r="C10622" t="s">
        <v>17</v>
      </c>
      <c r="D10622" t="s">
        <v>18</v>
      </c>
      <c r="E10622" s="6">
        <v>-28840</v>
      </c>
      <c r="F10622" t="s">
        <v>161</v>
      </c>
      <c r="G10622" t="s">
        <v>88</v>
      </c>
      <c r="H10622" t="s">
        <v>21</v>
      </c>
      <c r="I10622" t="s">
        <v>20529</v>
      </c>
      <c r="J10622" t="str">
        <f>HYPERLINK("https://www.boe.es/gazeta/dias/1821/01/13/pdfs/GGB-1821-13.pdf#page=4","Abrir facsímil")</f>
        <v>Abrir facsímil</v>
      </c>
      <c r="K10622" t="s">
        <v>23</v>
      </c>
    </row>
    <row r="10623" spans="1:11" ht="42" customHeight="1">
      <c r="A10623" t="s">
        <v>20530</v>
      </c>
      <c r="B10623" t="s">
        <v>20531</v>
      </c>
      <c r="C10623" t="s">
        <v>17</v>
      </c>
      <c r="D10623" t="s">
        <v>18</v>
      </c>
      <c r="E10623" s="6">
        <v>-28763</v>
      </c>
      <c r="F10623" t="s">
        <v>1145</v>
      </c>
      <c r="G10623" t="s">
        <v>52</v>
      </c>
      <c r="H10623" t="s">
        <v>21</v>
      </c>
      <c r="I10623" t="s">
        <v>20532</v>
      </c>
      <c r="J10623" t="str">
        <f>HYPERLINK("https://www.boe.es/gazeta/dias/1821/03/31/pdfs/GMD-1821-92.pdf#page=2","Abrir facsímil")</f>
        <v>Abrir facsímil</v>
      </c>
      <c r="K10623" t="s">
        <v>23</v>
      </c>
    </row>
    <row r="10624" spans="1:11" ht="42" customHeight="1">
      <c r="A10624" t="s">
        <v>20533</v>
      </c>
      <c r="B10624" t="s">
        <v>20534</v>
      </c>
      <c r="C10624" t="s">
        <v>40</v>
      </c>
      <c r="D10624" t="s">
        <v>41</v>
      </c>
      <c r="E10624" s="6">
        <v>-28543</v>
      </c>
      <c r="F10624" t="s">
        <v>136</v>
      </c>
      <c r="G10624" t="s">
        <v>43</v>
      </c>
      <c r="H10624" t="s">
        <v>30</v>
      </c>
      <c r="I10624" t="s">
        <v>20535</v>
      </c>
      <c r="J10624" t="str">
        <f>HYPERLINK("https://www.boe.es/gazeta/dias/1821/11/06/pdfs/GMD-1821-317.pdf#page=1","Abrir facsímil")</f>
        <v>Abrir facsímil</v>
      </c>
      <c r="K10624" t="s">
        <v>32</v>
      </c>
    </row>
    <row r="10625" spans="1:11" ht="42" customHeight="1">
      <c r="A10625" t="s">
        <v>20536</v>
      </c>
      <c r="B10625" t="s">
        <v>20536</v>
      </c>
      <c r="C10625" t="s">
        <v>26</v>
      </c>
      <c r="D10625" t="s">
        <v>27</v>
      </c>
      <c r="E10625" s="6">
        <v>-28560</v>
      </c>
      <c r="F10625" t="s">
        <v>363</v>
      </c>
      <c r="G10625" t="s">
        <v>52</v>
      </c>
      <c r="H10625" t="s">
        <v>21</v>
      </c>
      <c r="I10625" t="s">
        <v>20537</v>
      </c>
      <c r="J10625" t="str">
        <f>HYPERLINK("https://www.boe.es/gazeta/dias/1821/10/20/pdfs/GMD-1821-299.pdf#page=2","Abrir facsímil")</f>
        <v>Abrir facsímil</v>
      </c>
      <c r="K10625" t="s">
        <v>23</v>
      </c>
    </row>
    <row r="10626" spans="1:11" ht="42" customHeight="1">
      <c r="A10626" t="s">
        <v>20538</v>
      </c>
      <c r="B10626" t="s">
        <v>20539</v>
      </c>
      <c r="C10626" t="s">
        <v>26</v>
      </c>
      <c r="D10626" t="s">
        <v>27</v>
      </c>
      <c r="E10626" s="6">
        <v>-28539</v>
      </c>
      <c r="F10626" t="s">
        <v>153</v>
      </c>
      <c r="G10626" t="s">
        <v>52</v>
      </c>
      <c r="H10626" t="s">
        <v>21</v>
      </c>
      <c r="I10626" t="s">
        <v>20540</v>
      </c>
      <c r="J10626" t="str">
        <f>HYPERLINK("https://www.boe.es/gazeta/dias/1821/11/10/pdfs/GMD-1821-321.pdf#page=2","Abrir facsímil")</f>
        <v>Abrir facsímil</v>
      </c>
      <c r="K10626" t="s">
        <v>23</v>
      </c>
    </row>
    <row r="10627" spans="1:11" ht="42" customHeight="1">
      <c r="A10627" t="s">
        <v>20541</v>
      </c>
      <c r="B10627" t="s">
        <v>20542</v>
      </c>
      <c r="C10627" t="s">
        <v>40</v>
      </c>
      <c r="D10627" t="s">
        <v>41</v>
      </c>
      <c r="E10627" s="6">
        <v>-28800</v>
      </c>
      <c r="F10627" t="s">
        <v>1753</v>
      </c>
      <c r="G10627" t="s">
        <v>3432</v>
      </c>
      <c r="H10627" t="s">
        <v>21</v>
      </c>
      <c r="I10627" t="s">
        <v>20543</v>
      </c>
      <c r="J10627" t="str">
        <f>HYPERLINK("https://www.boe.es/gazeta/dias/1821/02/22/pdfs/GGB-1821-53.pdf#page=3","Abrir facsímil")</f>
        <v>Abrir facsímil</v>
      </c>
      <c r="K10627" t="s">
        <v>23</v>
      </c>
    </row>
    <row r="10628" spans="1:11" ht="42" customHeight="1">
      <c r="A10628" t="s">
        <v>20544</v>
      </c>
      <c r="B10628" t="s">
        <v>20545</v>
      </c>
      <c r="C10628" t="s">
        <v>40</v>
      </c>
      <c r="D10628" t="s">
        <v>41</v>
      </c>
      <c r="E10628" s="6">
        <v>-28747</v>
      </c>
      <c r="F10628" t="s">
        <v>1016</v>
      </c>
      <c r="G10628" t="s">
        <v>88</v>
      </c>
      <c r="H10628" t="s">
        <v>21</v>
      </c>
      <c r="I10628" t="s">
        <v>20546</v>
      </c>
      <c r="J10628" t="str">
        <f>HYPERLINK("https://www.boe.es/gazeta/dias/1821/04/16/pdfs/GMD-1821-108.pdf#page=4","Abrir facsímil")</f>
        <v>Abrir facsímil</v>
      </c>
      <c r="K10628" t="s">
        <v>23</v>
      </c>
    </row>
    <row r="10629" spans="1:11" ht="42" customHeight="1">
      <c r="A10629" t="s">
        <v>20547</v>
      </c>
      <c r="B10629" t="s">
        <v>20548</v>
      </c>
      <c r="C10629" t="s">
        <v>40</v>
      </c>
      <c r="D10629" t="s">
        <v>41</v>
      </c>
      <c r="E10629" s="6">
        <v>-28510</v>
      </c>
      <c r="F10629" t="s">
        <v>83</v>
      </c>
      <c r="G10629" t="s">
        <v>29</v>
      </c>
      <c r="H10629" t="s">
        <v>21</v>
      </c>
      <c r="I10629" t="s">
        <v>20549</v>
      </c>
      <c r="J10629" t="str">
        <f>HYPERLINK("https://www.boe.es/gazeta/dias/1821/12/09/pdfs/GMD-1821-351.pdf#page=6","Abrir facsímil")</f>
        <v>Abrir facsímil</v>
      </c>
      <c r="K10629" t="s">
        <v>23</v>
      </c>
    </row>
    <row r="10630" spans="1:11" ht="42" customHeight="1">
      <c r="A10630" t="s">
        <v>20550</v>
      </c>
      <c r="B10630" t="s">
        <v>20550</v>
      </c>
      <c r="C10630" t="s">
        <v>35</v>
      </c>
      <c r="D10630" t="s">
        <v>27</v>
      </c>
      <c r="E10630" s="6">
        <v>-28721</v>
      </c>
      <c r="F10630" t="s">
        <v>92</v>
      </c>
      <c r="G10630" t="s">
        <v>52</v>
      </c>
      <c r="H10630" t="s">
        <v>21</v>
      </c>
      <c r="I10630" t="s">
        <v>20551</v>
      </c>
      <c r="J10630" t="str">
        <f>HYPERLINK("https://www.boe.es/gazeta/dias/1821/05/12/pdfs/GMD-1821-134.pdf#page=2","Abrir facsímil")</f>
        <v>Abrir facsímil</v>
      </c>
      <c r="K10630" t="s">
        <v>23</v>
      </c>
    </row>
    <row r="10631" spans="1:11" ht="42" customHeight="1">
      <c r="A10631" t="s">
        <v>20552</v>
      </c>
      <c r="B10631" t="s">
        <v>20553</v>
      </c>
      <c r="C10631" t="s">
        <v>35</v>
      </c>
      <c r="D10631" t="s">
        <v>27</v>
      </c>
      <c r="E10631" s="6">
        <v>-28720</v>
      </c>
      <c r="F10631" t="s">
        <v>492</v>
      </c>
      <c r="G10631" t="s">
        <v>43</v>
      </c>
      <c r="H10631" t="s">
        <v>21</v>
      </c>
      <c r="I10631" t="s">
        <v>20554</v>
      </c>
      <c r="J10631" t="str">
        <f>HYPERLINK("https://www.boe.es/gazeta/dias/1821/05/13/pdfs/GMD-1821-135.pdf#page=1","Abrir facsímil")</f>
        <v>Abrir facsímil</v>
      </c>
      <c r="K10631" t="s">
        <v>23</v>
      </c>
    </row>
    <row r="10632" spans="1:11" ht="42" customHeight="1">
      <c r="A10632" t="s">
        <v>20555</v>
      </c>
      <c r="B10632" t="s">
        <v>20555</v>
      </c>
      <c r="C10632" t="s">
        <v>70</v>
      </c>
      <c r="D10632" t="s">
        <v>27</v>
      </c>
      <c r="E10632" s="6">
        <v>-28734</v>
      </c>
      <c r="F10632" t="s">
        <v>1553</v>
      </c>
      <c r="G10632" t="s">
        <v>2625</v>
      </c>
      <c r="H10632" t="s">
        <v>21</v>
      </c>
      <c r="I10632" t="s">
        <v>20556</v>
      </c>
      <c r="J10632" t="str">
        <f>HYPERLINK("https://www.boe.es/gazeta/dias/1821/04/29/pdfs/GMD-1821-121.pdf#page=2","Abrir facsímil")</f>
        <v>Abrir facsímil</v>
      </c>
      <c r="K10632" t="s">
        <v>23</v>
      </c>
    </row>
    <row r="10633" spans="1:11" ht="42" customHeight="1">
      <c r="A10633" t="s">
        <v>20557</v>
      </c>
      <c r="B10633" t="s">
        <v>20557</v>
      </c>
      <c r="C10633" t="s">
        <v>17</v>
      </c>
      <c r="D10633" t="s">
        <v>18</v>
      </c>
      <c r="E10633" s="6">
        <v>-28806</v>
      </c>
      <c r="F10633" t="s">
        <v>1201</v>
      </c>
      <c r="G10633" t="s">
        <v>3200</v>
      </c>
      <c r="H10633" t="s">
        <v>21</v>
      </c>
      <c r="I10633" t="s">
        <v>20558</v>
      </c>
      <c r="J10633" t="str">
        <f>HYPERLINK("https://www.boe.es/gazeta/dias/1821/02/16/pdfs/GGB-1821-47.pdf#page=3","Abrir facsímil")</f>
        <v>Abrir facsímil</v>
      </c>
      <c r="K10633" t="s">
        <v>23</v>
      </c>
    </row>
    <row r="10634" spans="1:11" ht="42" customHeight="1">
      <c r="A10634" t="s">
        <v>20559</v>
      </c>
      <c r="B10634" t="s">
        <v>20559</v>
      </c>
      <c r="C10634" t="s">
        <v>17</v>
      </c>
      <c r="D10634" t="s">
        <v>18</v>
      </c>
      <c r="E10634" s="6">
        <v>-28796</v>
      </c>
      <c r="F10634" t="s">
        <v>1421</v>
      </c>
      <c r="G10634" t="s">
        <v>1422</v>
      </c>
      <c r="H10634" t="s">
        <v>21</v>
      </c>
      <c r="I10634" t="s">
        <v>20560</v>
      </c>
      <c r="J10634" t="str">
        <f>HYPERLINK("https://www.boe.es/gazeta/dias/1821/02/26/pdfs/GGB-1821-57.pdf#page=3","Abrir facsímil")</f>
        <v>Abrir facsímil</v>
      </c>
      <c r="K10634" t="s">
        <v>23</v>
      </c>
    </row>
    <row r="10635" spans="1:11" ht="42" customHeight="1">
      <c r="A10635" t="s">
        <v>20559</v>
      </c>
      <c r="B10635" t="s">
        <v>20559</v>
      </c>
      <c r="C10635" t="s">
        <v>17</v>
      </c>
      <c r="D10635" t="s">
        <v>18</v>
      </c>
      <c r="E10635" s="6">
        <v>-28779</v>
      </c>
      <c r="F10635" t="s">
        <v>1002</v>
      </c>
      <c r="G10635" t="s">
        <v>43</v>
      </c>
      <c r="H10635" t="s">
        <v>21</v>
      </c>
      <c r="I10635" t="s">
        <v>20561</v>
      </c>
      <c r="J10635" t="str">
        <f>HYPERLINK("https://www.boe.es/gazeta/dias/1821/03/15/pdfs/GMD-1821-74.pdf#page=1","Abrir facsímil")</f>
        <v>Abrir facsímil</v>
      </c>
      <c r="K10635" t="s">
        <v>23</v>
      </c>
    </row>
    <row r="10636" spans="1:11" ht="42" customHeight="1">
      <c r="A10636" t="s">
        <v>20559</v>
      </c>
      <c r="B10636" t="s">
        <v>20559</v>
      </c>
      <c r="C10636" t="s">
        <v>17</v>
      </c>
      <c r="D10636" t="s">
        <v>18</v>
      </c>
      <c r="E10636" s="6">
        <v>-28777</v>
      </c>
      <c r="F10636" t="s">
        <v>1004</v>
      </c>
      <c r="G10636" t="s">
        <v>20</v>
      </c>
      <c r="H10636" t="s">
        <v>21</v>
      </c>
      <c r="I10636" t="s">
        <v>20562</v>
      </c>
      <c r="J10636" t="str">
        <f>HYPERLINK("https://www.boe.es/gazeta/dias/1821/03/17/pdfs/GMD-1821-76.pdf#page=3","Abrir facsímil")</f>
        <v>Abrir facsímil</v>
      </c>
      <c r="K10636" t="s">
        <v>23</v>
      </c>
    </row>
    <row r="10637" spans="1:11" ht="42" customHeight="1">
      <c r="A10637" t="s">
        <v>20559</v>
      </c>
      <c r="B10637" t="s">
        <v>20559</v>
      </c>
      <c r="C10637" t="s">
        <v>35</v>
      </c>
      <c r="D10637" t="s">
        <v>27</v>
      </c>
      <c r="E10637" s="6">
        <v>-28777</v>
      </c>
      <c r="F10637" t="s">
        <v>1004</v>
      </c>
      <c r="G10637" t="s">
        <v>88</v>
      </c>
      <c r="H10637" t="s">
        <v>21</v>
      </c>
      <c r="I10637" t="s">
        <v>20563</v>
      </c>
      <c r="J10637" t="str">
        <f>HYPERLINK("https://www.boe.es/gazeta/dias/1821/03/17/pdfs/GMD-1821-76.pdf#page=4","Abrir facsímil")</f>
        <v>Abrir facsímil</v>
      </c>
      <c r="K10637" t="s">
        <v>23</v>
      </c>
    </row>
    <row r="10638" spans="1:11" ht="42" customHeight="1">
      <c r="A10638" t="s">
        <v>20559</v>
      </c>
      <c r="B10638" t="s">
        <v>20559</v>
      </c>
      <c r="C10638" t="s">
        <v>40</v>
      </c>
      <c r="D10638" t="s">
        <v>41</v>
      </c>
      <c r="E10638" s="6">
        <v>-28746</v>
      </c>
      <c r="F10638" t="s">
        <v>687</v>
      </c>
      <c r="G10638" t="s">
        <v>162</v>
      </c>
      <c r="H10638" t="s">
        <v>21</v>
      </c>
      <c r="I10638" t="s">
        <v>20564</v>
      </c>
      <c r="J10638" t="str">
        <f>HYPERLINK("https://www.boe.es/gazeta/dias/1821/04/17/pdfs/GMD-1821-109.pdf#page=5","Abrir facsímil")</f>
        <v>Abrir facsímil</v>
      </c>
      <c r="K10638" t="s">
        <v>23</v>
      </c>
    </row>
    <row r="10639" spans="1:11" ht="42" customHeight="1">
      <c r="A10639" t="s">
        <v>20559</v>
      </c>
      <c r="B10639" t="s">
        <v>20559</v>
      </c>
      <c r="C10639" t="s">
        <v>17</v>
      </c>
      <c r="D10639" t="s">
        <v>18</v>
      </c>
      <c r="E10639" s="6">
        <v>-28746</v>
      </c>
      <c r="F10639" t="s">
        <v>687</v>
      </c>
      <c r="G10639" t="s">
        <v>29</v>
      </c>
      <c r="H10639" t="s">
        <v>21</v>
      </c>
      <c r="I10639" t="s">
        <v>20565</v>
      </c>
      <c r="J10639" t="str">
        <f>HYPERLINK("https://www.boe.es/gazeta/dias/1821/04/17/pdfs/GMD-1821-109.pdf#page=6","Abrir facsímil")</f>
        <v>Abrir facsímil</v>
      </c>
      <c r="K10639" t="s">
        <v>23</v>
      </c>
    </row>
    <row r="10640" spans="1:11" ht="42" customHeight="1">
      <c r="A10640" t="s">
        <v>20559</v>
      </c>
      <c r="B10640" t="s">
        <v>20559</v>
      </c>
      <c r="C10640" t="s">
        <v>40</v>
      </c>
      <c r="D10640" t="s">
        <v>41</v>
      </c>
      <c r="E10640" s="6">
        <v>-28722</v>
      </c>
      <c r="F10640" t="s">
        <v>623</v>
      </c>
      <c r="G10640" t="s">
        <v>20</v>
      </c>
      <c r="H10640" t="s">
        <v>21</v>
      </c>
      <c r="I10640" t="s">
        <v>20566</v>
      </c>
      <c r="J10640" t="str">
        <f>HYPERLINK("https://www.boe.es/gazeta/dias/1821/05/11/pdfs/GMD-1821-133.pdf#page=3","Abrir facsímil")</f>
        <v>Abrir facsímil</v>
      </c>
      <c r="K10640" t="s">
        <v>23</v>
      </c>
    </row>
    <row r="10641" spans="1:11" ht="42" customHeight="1">
      <c r="A10641" t="s">
        <v>20559</v>
      </c>
      <c r="B10641" t="s">
        <v>20559</v>
      </c>
      <c r="C10641" t="s">
        <v>40</v>
      </c>
      <c r="D10641" t="s">
        <v>41</v>
      </c>
      <c r="E10641" s="6">
        <v>-28721</v>
      </c>
      <c r="F10641" t="s">
        <v>92</v>
      </c>
      <c r="G10641" t="s">
        <v>52</v>
      </c>
      <c r="H10641" t="s">
        <v>21</v>
      </c>
      <c r="I10641" t="s">
        <v>20567</v>
      </c>
      <c r="J10641" t="str">
        <f>HYPERLINK("https://www.boe.es/gazeta/dias/1821/05/12/pdfs/GMD-1821-134.pdf#page=2","Abrir facsímil")</f>
        <v>Abrir facsímil</v>
      </c>
      <c r="K10641" t="s">
        <v>23</v>
      </c>
    </row>
    <row r="10642" spans="1:11" ht="42" customHeight="1">
      <c r="A10642" t="s">
        <v>20559</v>
      </c>
      <c r="B10642" t="s">
        <v>20559</v>
      </c>
      <c r="C10642" t="s">
        <v>35</v>
      </c>
      <c r="D10642" t="s">
        <v>27</v>
      </c>
      <c r="E10642" s="6">
        <v>-28719</v>
      </c>
      <c r="F10642" t="s">
        <v>647</v>
      </c>
      <c r="G10642" t="s">
        <v>20</v>
      </c>
      <c r="H10642" t="s">
        <v>21</v>
      </c>
      <c r="I10642" t="s">
        <v>20568</v>
      </c>
      <c r="J10642" t="str">
        <f>HYPERLINK("https://www.boe.es/gazeta/dias/1821/05/14/pdfs/GMD-1821-136.pdf#page=3","Abrir facsímil")</f>
        <v>Abrir facsímil</v>
      </c>
      <c r="K10642" t="s">
        <v>23</v>
      </c>
    </row>
    <row r="10643" spans="1:11" ht="42" customHeight="1">
      <c r="A10643" t="s">
        <v>20559</v>
      </c>
      <c r="B10643" t="s">
        <v>20559</v>
      </c>
      <c r="C10643" t="s">
        <v>40</v>
      </c>
      <c r="D10643" t="s">
        <v>41</v>
      </c>
      <c r="E10643" s="6">
        <v>-28717</v>
      </c>
      <c r="F10643" t="s">
        <v>1044</v>
      </c>
      <c r="G10643" t="s">
        <v>52</v>
      </c>
      <c r="H10643" t="s">
        <v>21</v>
      </c>
      <c r="I10643" t="s">
        <v>20569</v>
      </c>
      <c r="J10643" t="str">
        <f>HYPERLINK("https://www.boe.es/gazeta/dias/1821/05/16/pdfs/GMD-1821-138.pdf#page=2","Abrir facsímil")</f>
        <v>Abrir facsímil</v>
      </c>
      <c r="K10643" t="s">
        <v>23</v>
      </c>
    </row>
    <row r="10644" spans="1:11" ht="42" customHeight="1">
      <c r="A10644" t="s">
        <v>20559</v>
      </c>
      <c r="B10644" t="s">
        <v>20559</v>
      </c>
      <c r="C10644" t="s">
        <v>114</v>
      </c>
      <c r="D10644" t="s">
        <v>27</v>
      </c>
      <c r="E10644" s="6">
        <v>-28707</v>
      </c>
      <c r="F10644" t="s">
        <v>495</v>
      </c>
      <c r="G10644" t="s">
        <v>20</v>
      </c>
      <c r="H10644" t="s">
        <v>21</v>
      </c>
      <c r="I10644" t="s">
        <v>20570</v>
      </c>
      <c r="J10644" t="str">
        <f>HYPERLINK("https://www.boe.es/gazeta/dias/1821/05/26/pdfs/GMD-1821-148.pdf#page=3","Abrir facsímil")</f>
        <v>Abrir facsímil</v>
      </c>
      <c r="K10644" t="s">
        <v>23</v>
      </c>
    </row>
    <row r="10645" spans="1:11" ht="42" customHeight="1">
      <c r="A10645" t="s">
        <v>20559</v>
      </c>
      <c r="B10645" t="s">
        <v>20559</v>
      </c>
      <c r="C10645" t="s">
        <v>40</v>
      </c>
      <c r="D10645" t="s">
        <v>41</v>
      </c>
      <c r="E10645" s="6">
        <v>-28697</v>
      </c>
      <c r="F10645" t="s">
        <v>166</v>
      </c>
      <c r="G10645" t="s">
        <v>52</v>
      </c>
      <c r="H10645" t="s">
        <v>21</v>
      </c>
      <c r="I10645" t="s">
        <v>20571</v>
      </c>
      <c r="J10645" t="str">
        <f>HYPERLINK("https://www.boe.es/gazeta/dias/1821/06/05/pdfs/GMD-1821-158.pdf#page=2","Abrir facsímil")</f>
        <v>Abrir facsímil</v>
      </c>
      <c r="K10645" t="s">
        <v>23</v>
      </c>
    </row>
    <row r="10646" spans="1:11" ht="42" customHeight="1">
      <c r="A10646" t="s">
        <v>20559</v>
      </c>
      <c r="B10646" t="s">
        <v>20559</v>
      </c>
      <c r="C10646" t="s">
        <v>40</v>
      </c>
      <c r="D10646" t="s">
        <v>41</v>
      </c>
      <c r="E10646" s="6">
        <v>-28694</v>
      </c>
      <c r="F10646" t="s">
        <v>1057</v>
      </c>
      <c r="G10646" t="s">
        <v>20</v>
      </c>
      <c r="H10646" t="s">
        <v>21</v>
      </c>
      <c r="I10646" t="s">
        <v>20572</v>
      </c>
      <c r="J10646" t="str">
        <f>HYPERLINK("https://www.boe.es/gazeta/dias/1821/06/08/pdfs/GMD-1821-161.pdf#page=3","Abrir facsímil")</f>
        <v>Abrir facsímil</v>
      </c>
      <c r="K10646" t="s">
        <v>23</v>
      </c>
    </row>
    <row r="10647" spans="1:11" ht="42" customHeight="1">
      <c r="A10647" t="s">
        <v>20559</v>
      </c>
      <c r="B10647" t="s">
        <v>20559</v>
      </c>
      <c r="C10647" t="s">
        <v>494</v>
      </c>
      <c r="D10647" t="s">
        <v>18</v>
      </c>
      <c r="E10647" s="6">
        <v>-28687</v>
      </c>
      <c r="F10647" t="s">
        <v>851</v>
      </c>
      <c r="G10647" t="s">
        <v>20</v>
      </c>
      <c r="H10647" t="s">
        <v>21</v>
      </c>
      <c r="I10647" t="s">
        <v>20573</v>
      </c>
      <c r="J10647" t="str">
        <f>HYPERLINK("https://www.boe.es/gazeta/dias/1821/06/15/pdfs/GMD-1821-168.pdf#page=3","Abrir facsímil")</f>
        <v>Abrir facsímil</v>
      </c>
      <c r="K10647" t="s">
        <v>23</v>
      </c>
    </row>
    <row r="10648" spans="1:11" ht="42" customHeight="1">
      <c r="A10648" t="s">
        <v>20559</v>
      </c>
      <c r="B10648" t="s">
        <v>20559</v>
      </c>
      <c r="C10648" t="s">
        <v>35</v>
      </c>
      <c r="D10648" t="s">
        <v>27</v>
      </c>
      <c r="E10648" s="6">
        <v>-28685</v>
      </c>
      <c r="F10648" t="s">
        <v>303</v>
      </c>
      <c r="G10648" t="s">
        <v>1507</v>
      </c>
      <c r="H10648" t="s">
        <v>21</v>
      </c>
      <c r="I10648" t="s">
        <v>20574</v>
      </c>
      <c r="J10648" t="str">
        <f>HYPERLINK("https://www.boe.es/gazeta/dias/1821/06/17/pdfs/GMD-1821-170.pdf#page=6","Abrir facsímil")</f>
        <v>Abrir facsímil</v>
      </c>
      <c r="K10648" t="s">
        <v>23</v>
      </c>
    </row>
    <row r="10649" spans="1:11" ht="42" customHeight="1">
      <c r="A10649" t="s">
        <v>20559</v>
      </c>
      <c r="B10649" t="s">
        <v>20559</v>
      </c>
      <c r="C10649" t="s">
        <v>26</v>
      </c>
      <c r="D10649" t="s">
        <v>27</v>
      </c>
      <c r="E10649" s="6">
        <v>-28679</v>
      </c>
      <c r="F10649" t="s">
        <v>213</v>
      </c>
      <c r="G10649" t="s">
        <v>162</v>
      </c>
      <c r="H10649" t="s">
        <v>21</v>
      </c>
      <c r="I10649" t="s">
        <v>20575</v>
      </c>
      <c r="J10649" t="str">
        <f>HYPERLINK("https://www.boe.es/gazeta/dias/1821/06/23/pdfs/GMD-1821-176.pdf#page=5","Abrir facsímil")</f>
        <v>Abrir facsímil</v>
      </c>
      <c r="K10649" t="s">
        <v>23</v>
      </c>
    </row>
    <row r="10650" spans="1:11" ht="42" customHeight="1">
      <c r="A10650" t="s">
        <v>20559</v>
      </c>
      <c r="B10650" t="s">
        <v>20559</v>
      </c>
      <c r="C10650" t="s">
        <v>40</v>
      </c>
      <c r="D10650" t="s">
        <v>41</v>
      </c>
      <c r="E10650" s="6">
        <v>-28676</v>
      </c>
      <c r="F10650" t="s">
        <v>534</v>
      </c>
      <c r="G10650" t="s">
        <v>88</v>
      </c>
      <c r="H10650" t="s">
        <v>21</v>
      </c>
      <c r="I10650" t="s">
        <v>20576</v>
      </c>
      <c r="J10650" t="str">
        <f>HYPERLINK("https://www.boe.es/gazeta/dias/1821/06/26/pdfs/GMD-1821-179.pdf#page=4","Abrir facsímil")</f>
        <v>Abrir facsímil</v>
      </c>
      <c r="K10650" t="s">
        <v>23</v>
      </c>
    </row>
    <row r="10651" spans="1:11" ht="42" customHeight="1">
      <c r="A10651" t="s">
        <v>20559</v>
      </c>
      <c r="B10651" t="s">
        <v>20559</v>
      </c>
      <c r="C10651" t="s">
        <v>40</v>
      </c>
      <c r="D10651" t="s">
        <v>41</v>
      </c>
      <c r="E10651" s="6">
        <v>-28676</v>
      </c>
      <c r="F10651" t="s">
        <v>534</v>
      </c>
      <c r="G10651" t="s">
        <v>162</v>
      </c>
      <c r="H10651" t="s">
        <v>21</v>
      </c>
      <c r="I10651" t="s">
        <v>20577</v>
      </c>
      <c r="J10651" t="str">
        <f>HYPERLINK("https://www.boe.es/gazeta/dias/1821/06/26/pdfs/GMD-1821-179.pdf#page=5","Abrir facsímil")</f>
        <v>Abrir facsímil</v>
      </c>
      <c r="K10651" t="s">
        <v>23</v>
      </c>
    </row>
    <row r="10652" spans="1:11" ht="42" customHeight="1">
      <c r="A10652" t="s">
        <v>20559</v>
      </c>
      <c r="B10652" t="s">
        <v>20559</v>
      </c>
      <c r="C10652" t="s">
        <v>26</v>
      </c>
      <c r="D10652" t="s">
        <v>27</v>
      </c>
      <c r="E10652" s="6">
        <v>-28675</v>
      </c>
      <c r="F10652" t="s">
        <v>943</v>
      </c>
      <c r="G10652" t="s">
        <v>20</v>
      </c>
      <c r="H10652" t="s">
        <v>21</v>
      </c>
      <c r="I10652" t="s">
        <v>20578</v>
      </c>
      <c r="J10652" t="str">
        <f>HYPERLINK("https://www.boe.es/gazeta/dias/1821/06/27/pdfs/GMD-1821-180.pdf#page=3","Abrir facsímil")</f>
        <v>Abrir facsímil</v>
      </c>
      <c r="K10652" t="s">
        <v>23</v>
      </c>
    </row>
    <row r="10653" spans="1:11" ht="42" customHeight="1">
      <c r="A10653" t="s">
        <v>20559</v>
      </c>
      <c r="B10653" t="s">
        <v>20559</v>
      </c>
      <c r="C10653" t="s">
        <v>40</v>
      </c>
      <c r="D10653" t="s">
        <v>41</v>
      </c>
      <c r="E10653" s="6">
        <v>-28675</v>
      </c>
      <c r="F10653" t="s">
        <v>943</v>
      </c>
      <c r="G10653" t="s">
        <v>88</v>
      </c>
      <c r="H10653" t="s">
        <v>21</v>
      </c>
      <c r="I10653" t="s">
        <v>20579</v>
      </c>
      <c r="J10653" t="str">
        <f>HYPERLINK("https://www.boe.es/gazeta/dias/1821/06/27/pdfs/GMD-1821-180.pdf#page=4","Abrir facsímil")</f>
        <v>Abrir facsímil</v>
      </c>
      <c r="K10653" t="s">
        <v>23</v>
      </c>
    </row>
    <row r="10654" spans="1:11" ht="42" customHeight="1">
      <c r="A10654" t="s">
        <v>20559</v>
      </c>
      <c r="B10654" t="s">
        <v>20559</v>
      </c>
      <c r="C10654" t="s">
        <v>35</v>
      </c>
      <c r="D10654" t="s">
        <v>27</v>
      </c>
      <c r="E10654" s="6">
        <v>-28674</v>
      </c>
      <c r="F10654" t="s">
        <v>536</v>
      </c>
      <c r="G10654" t="s">
        <v>88</v>
      </c>
      <c r="H10654" t="s">
        <v>21</v>
      </c>
      <c r="I10654" t="s">
        <v>20580</v>
      </c>
      <c r="J10654" t="str">
        <f>HYPERLINK("https://www.boe.es/gazeta/dias/1821/06/28/pdfs/GMD-1821-181.pdf#page=4","Abrir facsímil")</f>
        <v>Abrir facsímil</v>
      </c>
      <c r="K10654" t="s">
        <v>23</v>
      </c>
    </row>
    <row r="10655" spans="1:11" ht="42" customHeight="1">
      <c r="A10655" t="s">
        <v>20559</v>
      </c>
      <c r="B10655" t="s">
        <v>20559</v>
      </c>
      <c r="C10655" t="s">
        <v>26</v>
      </c>
      <c r="D10655" t="s">
        <v>27</v>
      </c>
      <c r="E10655" s="6">
        <v>-28674</v>
      </c>
      <c r="F10655" t="s">
        <v>536</v>
      </c>
      <c r="G10655" t="s">
        <v>162</v>
      </c>
      <c r="H10655" t="s">
        <v>21</v>
      </c>
      <c r="I10655" t="s">
        <v>20581</v>
      </c>
      <c r="J10655" t="str">
        <f>HYPERLINK("https://www.boe.es/gazeta/dias/1821/06/28/pdfs/GMD-1821-181.pdf#page=5","Abrir facsímil")</f>
        <v>Abrir facsímil</v>
      </c>
      <c r="K10655" t="s">
        <v>23</v>
      </c>
    </row>
    <row r="10656" spans="1:11" ht="42" customHeight="1">
      <c r="A10656" t="s">
        <v>20559</v>
      </c>
      <c r="B10656" t="s">
        <v>20559</v>
      </c>
      <c r="C10656" t="s">
        <v>26</v>
      </c>
      <c r="D10656" t="s">
        <v>27</v>
      </c>
      <c r="E10656" s="6">
        <v>-28672</v>
      </c>
      <c r="F10656" t="s">
        <v>964</v>
      </c>
      <c r="G10656" t="s">
        <v>20</v>
      </c>
      <c r="H10656" t="s">
        <v>21</v>
      </c>
      <c r="I10656" t="s">
        <v>20582</v>
      </c>
      <c r="J10656" t="str">
        <f>HYPERLINK("https://www.boe.es/gazeta/dias/1821/06/30/pdfs/GMD-1821-183.pdf#page=3","Abrir facsímil")</f>
        <v>Abrir facsímil</v>
      </c>
      <c r="K10656" t="s">
        <v>23</v>
      </c>
    </row>
    <row r="10657" spans="1:11" ht="42" customHeight="1">
      <c r="A10657" t="s">
        <v>20559</v>
      </c>
      <c r="B10657" t="s">
        <v>20559</v>
      </c>
      <c r="C10657" t="s">
        <v>35</v>
      </c>
      <c r="D10657" t="s">
        <v>27</v>
      </c>
      <c r="E10657" s="6">
        <v>-28565</v>
      </c>
      <c r="F10657" t="s">
        <v>326</v>
      </c>
      <c r="G10657" t="s">
        <v>20</v>
      </c>
      <c r="H10657" t="s">
        <v>21</v>
      </c>
      <c r="I10657" t="s">
        <v>20583</v>
      </c>
      <c r="J10657" t="str">
        <f>HYPERLINK("https://www.boe.es/gazeta/dias/1821/10/15/pdfs/GMD-1821-294.pdf#page=3","Abrir facsímil")</f>
        <v>Abrir facsímil</v>
      </c>
      <c r="K10657" t="s">
        <v>23</v>
      </c>
    </row>
    <row r="10658" spans="1:11" ht="42" customHeight="1">
      <c r="A10658" t="s">
        <v>20559</v>
      </c>
      <c r="B10658" t="s">
        <v>20559</v>
      </c>
      <c r="C10658" t="s">
        <v>174</v>
      </c>
      <c r="D10658" t="s">
        <v>27</v>
      </c>
      <c r="E10658" s="6">
        <v>-28556</v>
      </c>
      <c r="F10658" t="s">
        <v>264</v>
      </c>
      <c r="G10658" t="s">
        <v>88</v>
      </c>
      <c r="H10658" t="s">
        <v>21</v>
      </c>
      <c r="I10658" t="s">
        <v>20584</v>
      </c>
      <c r="J10658" t="str">
        <f>HYPERLINK("https://www.boe.es/gazeta/dias/1821/10/24/pdfs/GMD-1821-303.pdf#page=4","Abrir facsímil")</f>
        <v>Abrir facsímil</v>
      </c>
      <c r="K10658" t="s">
        <v>23</v>
      </c>
    </row>
    <row r="10659" spans="1:11" ht="42" customHeight="1">
      <c r="A10659" t="s">
        <v>20559</v>
      </c>
      <c r="B10659" t="s">
        <v>20559</v>
      </c>
      <c r="C10659" t="s">
        <v>70</v>
      </c>
      <c r="D10659" t="s">
        <v>27</v>
      </c>
      <c r="E10659" s="6">
        <v>-28552</v>
      </c>
      <c r="F10659" t="s">
        <v>28</v>
      </c>
      <c r="G10659" t="s">
        <v>20</v>
      </c>
      <c r="H10659" t="s">
        <v>21</v>
      </c>
      <c r="I10659" t="s">
        <v>20585</v>
      </c>
      <c r="J10659" t="str">
        <f>HYPERLINK("https://www.boe.es/gazeta/dias/1821/10/28/pdfs/GMD-1821-307.pdf#page=3","Abrir facsímil")</f>
        <v>Abrir facsímil</v>
      </c>
      <c r="K10659" t="s">
        <v>23</v>
      </c>
    </row>
    <row r="10660" spans="1:11" ht="42" customHeight="1">
      <c r="A10660" t="s">
        <v>20559</v>
      </c>
      <c r="B10660" t="s">
        <v>20559</v>
      </c>
      <c r="C10660" t="s">
        <v>26</v>
      </c>
      <c r="D10660" t="s">
        <v>27</v>
      </c>
      <c r="E10660" s="6">
        <v>-28543</v>
      </c>
      <c r="F10660" t="s">
        <v>136</v>
      </c>
      <c r="G10660" t="s">
        <v>609</v>
      </c>
      <c r="H10660" t="s">
        <v>21</v>
      </c>
      <c r="I10660" t="s">
        <v>20586</v>
      </c>
      <c r="J10660" t="str">
        <f>HYPERLINK("https://www.boe.es/gazeta/dias/1821/11/06/pdfs/GMD-1821-317.pdf#page=7","Abrir facsímil")</f>
        <v>Abrir facsímil</v>
      </c>
      <c r="K10660" t="s">
        <v>23</v>
      </c>
    </row>
    <row r="10661" spans="1:11" ht="42" customHeight="1">
      <c r="A10661" t="s">
        <v>20559</v>
      </c>
      <c r="B10661" t="s">
        <v>20559</v>
      </c>
      <c r="C10661" t="s">
        <v>26</v>
      </c>
      <c r="D10661" t="s">
        <v>27</v>
      </c>
      <c r="E10661" s="6">
        <v>-28539</v>
      </c>
      <c r="F10661" t="s">
        <v>153</v>
      </c>
      <c r="G10661" t="s">
        <v>162</v>
      </c>
      <c r="H10661" t="s">
        <v>21</v>
      </c>
      <c r="I10661" t="s">
        <v>20587</v>
      </c>
      <c r="J10661" t="str">
        <f>HYPERLINK("https://www.boe.es/gazeta/dias/1821/11/10/pdfs/GMD-1821-321.pdf#page=5","Abrir facsímil")</f>
        <v>Abrir facsímil</v>
      </c>
      <c r="K10661" t="s">
        <v>23</v>
      </c>
    </row>
    <row r="10662" spans="1:11" ht="42" customHeight="1">
      <c r="A10662" t="s">
        <v>20559</v>
      </c>
      <c r="B10662" t="s">
        <v>20559</v>
      </c>
      <c r="C10662" t="s">
        <v>35</v>
      </c>
      <c r="D10662" t="s">
        <v>27</v>
      </c>
      <c r="E10662" s="6">
        <v>-28538</v>
      </c>
      <c r="F10662" t="s">
        <v>395</v>
      </c>
      <c r="G10662" t="s">
        <v>162</v>
      </c>
      <c r="H10662" t="s">
        <v>21</v>
      </c>
      <c r="I10662" t="s">
        <v>20588</v>
      </c>
      <c r="J10662" t="str">
        <f>HYPERLINK("https://www.boe.es/gazeta/dias/1821/11/11/pdfs/GMD-1821-322.pdf#page=5","Abrir facsímil")</f>
        <v>Abrir facsímil</v>
      </c>
      <c r="K10662" t="s">
        <v>23</v>
      </c>
    </row>
    <row r="10663" spans="1:11" ht="42" customHeight="1">
      <c r="A10663" t="s">
        <v>20559</v>
      </c>
      <c r="B10663" t="s">
        <v>20559</v>
      </c>
      <c r="C10663" t="s">
        <v>40</v>
      </c>
      <c r="D10663" t="s">
        <v>41</v>
      </c>
      <c r="E10663" s="6">
        <v>-28534</v>
      </c>
      <c r="F10663" t="s">
        <v>414</v>
      </c>
      <c r="G10663" t="s">
        <v>88</v>
      </c>
      <c r="H10663" t="s">
        <v>21</v>
      </c>
      <c r="I10663" t="s">
        <v>20589</v>
      </c>
      <c r="J10663" t="str">
        <f>HYPERLINK("https://www.boe.es/gazeta/dias/1821/11/15/pdfs/GMD-1821-326.pdf#page=4","Abrir facsímil")</f>
        <v>Abrir facsímil</v>
      </c>
      <c r="K10663" t="s">
        <v>23</v>
      </c>
    </row>
    <row r="10664" spans="1:11" ht="42" customHeight="1">
      <c r="A10664" t="s">
        <v>20559</v>
      </c>
      <c r="B10664" t="s">
        <v>20559</v>
      </c>
      <c r="C10664" t="s">
        <v>35</v>
      </c>
      <c r="D10664" t="s">
        <v>27</v>
      </c>
      <c r="E10664" s="6">
        <v>-28533</v>
      </c>
      <c r="F10664" t="s">
        <v>559</v>
      </c>
      <c r="G10664" t="s">
        <v>29</v>
      </c>
      <c r="H10664" t="s">
        <v>21</v>
      </c>
      <c r="I10664" t="s">
        <v>20590</v>
      </c>
      <c r="J10664" t="str">
        <f>HYPERLINK("https://www.boe.es/gazeta/dias/1821/11/16/pdfs/GMD-1821-327.pdf#page=6","Abrir facsímil")</f>
        <v>Abrir facsímil</v>
      </c>
      <c r="K10664" t="s">
        <v>23</v>
      </c>
    </row>
    <row r="10665" spans="1:11" ht="42" customHeight="1">
      <c r="A10665" t="s">
        <v>20591</v>
      </c>
      <c r="B10665" t="s">
        <v>20591</v>
      </c>
      <c r="C10665" t="s">
        <v>26</v>
      </c>
      <c r="D10665" t="s">
        <v>27</v>
      </c>
      <c r="E10665" s="6">
        <v>-28523</v>
      </c>
      <c r="F10665" t="s">
        <v>257</v>
      </c>
      <c r="G10665" t="s">
        <v>88</v>
      </c>
      <c r="H10665" t="s">
        <v>21</v>
      </c>
      <c r="I10665" t="s">
        <v>20592</v>
      </c>
      <c r="J10665" t="str">
        <f>HYPERLINK("https://www.boe.es/gazeta/dias/1821/11/26/pdfs/GMD-1821-337.pdf#page=4","Abrir facsímil")</f>
        <v>Abrir facsímil</v>
      </c>
      <c r="K10665" t="s">
        <v>23</v>
      </c>
    </row>
    <row r="10666" spans="1:11" ht="42" customHeight="1">
      <c r="A10666" t="s">
        <v>20559</v>
      </c>
      <c r="B10666" t="s">
        <v>20559</v>
      </c>
      <c r="C10666" t="s">
        <v>17</v>
      </c>
      <c r="D10666" t="s">
        <v>18</v>
      </c>
      <c r="E10666" s="6">
        <v>-28521</v>
      </c>
      <c r="F10666" t="s">
        <v>499</v>
      </c>
      <c r="G10666" t="s">
        <v>43</v>
      </c>
      <c r="H10666" t="s">
        <v>21</v>
      </c>
      <c r="I10666" t="s">
        <v>20593</v>
      </c>
      <c r="J10666" t="str">
        <f>HYPERLINK("https://www.boe.es/gazeta/dias/1821/11/28/pdfs/GMD-1821-340.pdf#page=1","Abrir facsímil")</f>
        <v>Abrir facsímil</v>
      </c>
      <c r="K10666" t="s">
        <v>23</v>
      </c>
    </row>
    <row r="10667" spans="1:11" ht="42" customHeight="1">
      <c r="A10667" t="s">
        <v>20559</v>
      </c>
      <c r="B10667" t="s">
        <v>20559</v>
      </c>
      <c r="C10667" t="s">
        <v>26</v>
      </c>
      <c r="D10667" t="s">
        <v>27</v>
      </c>
      <c r="E10667" s="6">
        <v>-28521</v>
      </c>
      <c r="F10667" t="s">
        <v>499</v>
      </c>
      <c r="G10667" t="s">
        <v>52</v>
      </c>
      <c r="H10667" t="s">
        <v>21</v>
      </c>
      <c r="I10667" t="s">
        <v>20594</v>
      </c>
      <c r="J10667" t="str">
        <f>HYPERLINK("https://www.boe.es/gazeta/dias/1821/11/28/pdfs/GMD-1821-340.pdf#page=2","Abrir facsímil")</f>
        <v>Abrir facsímil</v>
      </c>
      <c r="K10667" t="s">
        <v>23</v>
      </c>
    </row>
    <row r="10668" spans="1:11" ht="42" customHeight="1">
      <c r="A10668" t="s">
        <v>20559</v>
      </c>
      <c r="B10668" t="s">
        <v>20559</v>
      </c>
      <c r="C10668" t="s">
        <v>26</v>
      </c>
      <c r="D10668" t="s">
        <v>27</v>
      </c>
      <c r="E10668" s="6">
        <v>-28521</v>
      </c>
      <c r="F10668" t="s">
        <v>499</v>
      </c>
      <c r="G10668" t="s">
        <v>20</v>
      </c>
      <c r="H10668" t="s">
        <v>21</v>
      </c>
      <c r="I10668" t="s">
        <v>20595</v>
      </c>
      <c r="J10668" t="str">
        <f>HYPERLINK("https://www.boe.es/gazeta/dias/1821/11/28/pdfs/GMD-1821-340.pdf#page=3","Abrir facsímil")</f>
        <v>Abrir facsímil</v>
      </c>
      <c r="K10668" t="s">
        <v>23</v>
      </c>
    </row>
    <row r="10669" spans="1:11" ht="42" customHeight="1">
      <c r="A10669" t="s">
        <v>20559</v>
      </c>
      <c r="B10669" t="s">
        <v>20559</v>
      </c>
      <c r="C10669" t="s">
        <v>40</v>
      </c>
      <c r="D10669" t="s">
        <v>41</v>
      </c>
      <c r="E10669" s="6">
        <v>-28516</v>
      </c>
      <c r="F10669" t="s">
        <v>514</v>
      </c>
      <c r="G10669" t="s">
        <v>162</v>
      </c>
      <c r="H10669" t="s">
        <v>21</v>
      </c>
      <c r="I10669" t="s">
        <v>20596</v>
      </c>
      <c r="J10669" t="str">
        <f>HYPERLINK("https://www.boe.es/gazeta/dias/1821/12/03/pdfs/GMD-1821-345.pdf#page=5","Abrir facsímil")</f>
        <v>Abrir facsímil</v>
      </c>
      <c r="K10669" t="s">
        <v>23</v>
      </c>
    </row>
    <row r="10670" spans="1:11" ht="42" customHeight="1">
      <c r="A10670" t="s">
        <v>20559</v>
      </c>
      <c r="B10670" t="s">
        <v>20559</v>
      </c>
      <c r="C10670" t="s">
        <v>26</v>
      </c>
      <c r="D10670" t="s">
        <v>27</v>
      </c>
      <c r="E10670" s="6">
        <v>-28515</v>
      </c>
      <c r="F10670" t="s">
        <v>260</v>
      </c>
      <c r="G10670" t="s">
        <v>3841</v>
      </c>
      <c r="H10670" t="s">
        <v>21</v>
      </c>
      <c r="I10670" t="s">
        <v>20597</v>
      </c>
      <c r="J10670" t="str">
        <f>HYPERLINK("https://www.boe.es/gazeta/dias/1821/12/04/pdfs/GMD-1821-346.pdf#page=6","Abrir facsímil")</f>
        <v>Abrir facsímil</v>
      </c>
      <c r="K10670" t="s">
        <v>23</v>
      </c>
    </row>
    <row r="10671" spans="1:11" ht="42" customHeight="1">
      <c r="A10671" t="s">
        <v>20598</v>
      </c>
      <c r="B10671" t="s">
        <v>20599</v>
      </c>
      <c r="C10671" t="s">
        <v>40</v>
      </c>
      <c r="D10671" t="s">
        <v>41</v>
      </c>
      <c r="E10671" s="6">
        <v>-28737</v>
      </c>
      <c r="F10671" t="s">
        <v>732</v>
      </c>
      <c r="G10671" t="s">
        <v>20</v>
      </c>
      <c r="H10671" t="s">
        <v>21</v>
      </c>
      <c r="I10671" t="s">
        <v>20600</v>
      </c>
      <c r="J10671" t="str">
        <f>HYPERLINK("https://www.boe.es/gazeta/dias/1821/04/26/pdfs/GMD-1821-118.pdf#page=3","Abrir facsímil")</f>
        <v>Abrir facsímil</v>
      </c>
      <c r="K10671" t="s">
        <v>23</v>
      </c>
    </row>
    <row r="10672" spans="1:11" ht="42" customHeight="1">
      <c r="A10672" t="s">
        <v>20601</v>
      </c>
      <c r="B10672" t="s">
        <v>20602</v>
      </c>
      <c r="C10672" t="s">
        <v>40</v>
      </c>
      <c r="D10672" t="s">
        <v>41</v>
      </c>
      <c r="E10672" s="6">
        <v>-28747</v>
      </c>
      <c r="F10672" t="s">
        <v>1016</v>
      </c>
      <c r="G10672" t="s">
        <v>52</v>
      </c>
      <c r="H10672" t="s">
        <v>21</v>
      </c>
      <c r="I10672" t="s">
        <v>20603</v>
      </c>
      <c r="J10672" t="str">
        <f>HYPERLINK("https://www.boe.es/gazeta/dias/1821/04/16/pdfs/GMD-1821-108.pdf#page=2","Abrir facsímil")</f>
        <v>Abrir facsímil</v>
      </c>
      <c r="K10672" t="s">
        <v>23</v>
      </c>
    </row>
    <row r="10673" spans="1:11" ht="42" customHeight="1">
      <c r="A10673" t="s">
        <v>20601</v>
      </c>
      <c r="B10673" t="s">
        <v>20602</v>
      </c>
      <c r="C10673" t="s">
        <v>17</v>
      </c>
      <c r="D10673" t="s">
        <v>18</v>
      </c>
      <c r="E10673" s="6">
        <v>-28676</v>
      </c>
      <c r="F10673" t="s">
        <v>534</v>
      </c>
      <c r="G10673" t="s">
        <v>88</v>
      </c>
      <c r="H10673" t="s">
        <v>21</v>
      </c>
      <c r="I10673" t="s">
        <v>20604</v>
      </c>
      <c r="J10673" t="str">
        <f>HYPERLINK("https://www.boe.es/gazeta/dias/1821/06/26/pdfs/GMD-1821-179.pdf#page=4","Abrir facsímil")</f>
        <v>Abrir facsímil</v>
      </c>
      <c r="K10673" t="s">
        <v>23</v>
      </c>
    </row>
    <row r="10674" spans="1:11" ht="42" customHeight="1">
      <c r="A10674" t="s">
        <v>20605</v>
      </c>
      <c r="B10674" t="s">
        <v>20606</v>
      </c>
      <c r="C10674" t="s">
        <v>26</v>
      </c>
      <c r="D10674" t="s">
        <v>27</v>
      </c>
      <c r="E10674" s="6">
        <v>-28547</v>
      </c>
      <c r="F10674" t="s">
        <v>247</v>
      </c>
      <c r="G10674" t="s">
        <v>248</v>
      </c>
      <c r="H10674" t="s">
        <v>21</v>
      </c>
      <c r="I10674" t="s">
        <v>20607</v>
      </c>
      <c r="J10674" t="str">
        <f>HYPERLINK("https://www.boe.es/gazeta/dias/1821/11/02/pdfs/GMD-1821-312.pdf#page=2","Abrir facsímil")</f>
        <v>Abrir facsímil</v>
      </c>
      <c r="K10674" t="s">
        <v>23</v>
      </c>
    </row>
    <row r="10675" spans="1:11" ht="42" customHeight="1">
      <c r="A10675" t="s">
        <v>20608</v>
      </c>
      <c r="B10675" t="s">
        <v>20609</v>
      </c>
      <c r="C10675" t="s">
        <v>40</v>
      </c>
      <c r="D10675" t="s">
        <v>41</v>
      </c>
      <c r="E10675" s="6">
        <v>-28699</v>
      </c>
      <c r="F10675" t="s">
        <v>280</v>
      </c>
      <c r="G10675" t="s">
        <v>20</v>
      </c>
      <c r="H10675" t="s">
        <v>21</v>
      </c>
      <c r="I10675" t="s">
        <v>20610</v>
      </c>
      <c r="J10675" t="str">
        <f>HYPERLINK("https://www.boe.es/gazeta/dias/1821/06/03/pdfs/GMD-1821-156.pdf#page=3","Abrir facsímil")</f>
        <v>Abrir facsímil</v>
      </c>
      <c r="K10675" t="s">
        <v>23</v>
      </c>
    </row>
    <row r="10676" spans="1:11" ht="42" customHeight="1">
      <c r="A10676" t="s">
        <v>20611</v>
      </c>
      <c r="B10676" t="s">
        <v>20611</v>
      </c>
      <c r="C10676" t="s">
        <v>40</v>
      </c>
      <c r="D10676" t="s">
        <v>41</v>
      </c>
      <c r="E10676" s="6">
        <v>-28731</v>
      </c>
      <c r="F10676" t="s">
        <v>577</v>
      </c>
      <c r="G10676" t="s">
        <v>88</v>
      </c>
      <c r="H10676" t="s">
        <v>21</v>
      </c>
      <c r="I10676" t="s">
        <v>20612</v>
      </c>
      <c r="J10676" t="str">
        <f>HYPERLINK("https://www.boe.es/gazeta/dias/1821/05/02/pdfs/GMD-1821-124.pdf#page=4","Abrir facsímil")</f>
        <v>Abrir facsímil</v>
      </c>
      <c r="K10676" t="s">
        <v>23</v>
      </c>
    </row>
    <row r="10677" spans="1:11" ht="42" customHeight="1">
      <c r="A10677" t="s">
        <v>20613</v>
      </c>
      <c r="B10677" t="s">
        <v>20613</v>
      </c>
      <c r="C10677" t="s">
        <v>26</v>
      </c>
      <c r="D10677" t="s">
        <v>27</v>
      </c>
      <c r="E10677" s="6">
        <v>-28726</v>
      </c>
      <c r="F10677" t="s">
        <v>347</v>
      </c>
      <c r="G10677" t="s">
        <v>20</v>
      </c>
      <c r="H10677" t="s">
        <v>21</v>
      </c>
      <c r="I10677" t="s">
        <v>20614</v>
      </c>
      <c r="J10677" t="str">
        <f>HYPERLINK("https://www.boe.es/gazeta/dias/1821/05/07/pdfs/GMD-1821-129.pdf#page=3","Abrir facsímil")</f>
        <v>Abrir facsímil</v>
      </c>
      <c r="K10677" t="s">
        <v>23</v>
      </c>
    </row>
    <row r="10678" spans="1:11" ht="42" customHeight="1">
      <c r="A10678" t="s">
        <v>20615</v>
      </c>
      <c r="B10678" t="s">
        <v>20616</v>
      </c>
      <c r="C10678" t="s">
        <v>114</v>
      </c>
      <c r="D10678" t="s">
        <v>27</v>
      </c>
      <c r="E10678" s="6">
        <v>-28650</v>
      </c>
      <c r="F10678" t="s">
        <v>3285</v>
      </c>
      <c r="G10678" t="s">
        <v>20</v>
      </c>
      <c r="H10678" t="s">
        <v>21</v>
      </c>
      <c r="I10678" t="s">
        <v>20617</v>
      </c>
      <c r="J10678" t="str">
        <f>HYPERLINK("https://www.boe.es/gazeta/dias/1821/07/22/pdfs/GMD-1821-207.pdf#page=3","Abrir facsímil")</f>
        <v>Abrir facsímil</v>
      </c>
      <c r="K10678" t="s">
        <v>23</v>
      </c>
    </row>
    <row r="10679" spans="1:11" ht="42" customHeight="1">
      <c r="A10679" t="s">
        <v>20618</v>
      </c>
      <c r="B10679" t="s">
        <v>20619</v>
      </c>
      <c r="C10679" t="s">
        <v>17</v>
      </c>
      <c r="D10679" t="s">
        <v>18</v>
      </c>
      <c r="E10679" s="6">
        <v>-28617</v>
      </c>
      <c r="F10679" t="s">
        <v>436</v>
      </c>
      <c r="G10679" t="s">
        <v>20</v>
      </c>
      <c r="H10679" t="s">
        <v>21</v>
      </c>
      <c r="I10679" t="s">
        <v>20620</v>
      </c>
      <c r="J10679" t="str">
        <f>HYPERLINK("https://www.boe.es/gazeta/dias/1821/08/24/pdfs/GMD-1821-241.pdf#page=3","Abrir facsímil")</f>
        <v>Abrir facsímil</v>
      </c>
      <c r="K10679" t="s">
        <v>23</v>
      </c>
    </row>
    <row r="10680" spans="1:11" ht="42" customHeight="1">
      <c r="A10680" t="s">
        <v>20621</v>
      </c>
      <c r="B10680" t="s">
        <v>20622</v>
      </c>
      <c r="C10680" t="s">
        <v>40</v>
      </c>
      <c r="D10680" t="s">
        <v>41</v>
      </c>
      <c r="E10680" s="6">
        <v>-28721</v>
      </c>
      <c r="F10680" t="s">
        <v>92</v>
      </c>
      <c r="G10680" t="s">
        <v>88</v>
      </c>
      <c r="H10680" t="s">
        <v>21</v>
      </c>
      <c r="I10680" t="s">
        <v>20623</v>
      </c>
      <c r="J10680" t="str">
        <f>HYPERLINK("https://www.boe.es/gazeta/dias/1821/05/12/pdfs/GMD-1821-134.pdf#page=4","Abrir facsímil")</f>
        <v>Abrir facsímil</v>
      </c>
      <c r="K10680" t="s">
        <v>23</v>
      </c>
    </row>
    <row r="10681" spans="1:11" ht="42" customHeight="1">
      <c r="A10681" t="s">
        <v>20624</v>
      </c>
      <c r="B10681" t="s">
        <v>20624</v>
      </c>
      <c r="C10681" t="s">
        <v>17</v>
      </c>
      <c r="D10681" t="s">
        <v>18</v>
      </c>
      <c r="E10681" s="6">
        <v>-28804</v>
      </c>
      <c r="F10681" t="s">
        <v>1580</v>
      </c>
      <c r="G10681" t="s">
        <v>20</v>
      </c>
      <c r="H10681" t="s">
        <v>21</v>
      </c>
      <c r="I10681" t="s">
        <v>20625</v>
      </c>
      <c r="J10681" t="str">
        <f>HYPERLINK("https://www.boe.es/gazeta/dias/1821/02/18/pdfs/GGB-1821-49.pdf#page=3","Abrir facsímil")</f>
        <v>Abrir facsímil</v>
      </c>
      <c r="K10681" t="s">
        <v>23</v>
      </c>
    </row>
    <row r="10682" spans="1:11" ht="42" customHeight="1">
      <c r="A10682" t="s">
        <v>20626</v>
      </c>
      <c r="B10682" t="s">
        <v>20626</v>
      </c>
      <c r="C10682" t="s">
        <v>40</v>
      </c>
      <c r="D10682" t="s">
        <v>41</v>
      </c>
      <c r="E10682" s="6">
        <v>-28784</v>
      </c>
      <c r="F10682" t="s">
        <v>451</v>
      </c>
      <c r="G10682" t="s">
        <v>43</v>
      </c>
      <c r="H10682" t="s">
        <v>21</v>
      </c>
      <c r="I10682" t="s">
        <v>20627</v>
      </c>
      <c r="J10682" t="str">
        <f>HYPERLINK("https://www.boe.es/gazeta/dias/1821/03/10/pdfs/GGB-1821-69.pdf#page=1","Abrir facsímil")</f>
        <v>Abrir facsímil</v>
      </c>
      <c r="K10682" t="s">
        <v>23</v>
      </c>
    </row>
    <row r="10683" spans="1:11" ht="42" customHeight="1">
      <c r="A10683" t="s">
        <v>20628</v>
      </c>
      <c r="B10683" t="s">
        <v>20628</v>
      </c>
      <c r="C10683" t="s">
        <v>40</v>
      </c>
      <c r="D10683" t="s">
        <v>41</v>
      </c>
      <c r="E10683" s="6">
        <v>-28493</v>
      </c>
      <c r="F10683" t="s">
        <v>3010</v>
      </c>
      <c r="G10683" t="s">
        <v>52</v>
      </c>
      <c r="H10683" t="s">
        <v>21</v>
      </c>
      <c r="I10683" t="s">
        <v>20629</v>
      </c>
      <c r="J10683" t="str">
        <f>HYPERLINK("https://www.boe.es/gazeta/dias/1821/12/26/pdfs/GMD-1821-369.pdf#page=2","Abrir facsímil")</f>
        <v>Abrir facsímil</v>
      </c>
      <c r="K10683" t="s">
        <v>23</v>
      </c>
    </row>
    <row r="10684" spans="1:11" ht="42" customHeight="1">
      <c r="A10684" t="s">
        <v>20630</v>
      </c>
      <c r="B10684" t="s">
        <v>20630</v>
      </c>
      <c r="C10684" t="s">
        <v>26</v>
      </c>
      <c r="D10684" t="s">
        <v>27</v>
      </c>
      <c r="E10684" s="6">
        <v>-28624</v>
      </c>
      <c r="F10684" t="s">
        <v>78</v>
      </c>
      <c r="G10684" t="s">
        <v>20</v>
      </c>
      <c r="H10684" t="s">
        <v>21</v>
      </c>
      <c r="I10684" t="s">
        <v>20631</v>
      </c>
      <c r="J10684" t="str">
        <f>HYPERLINK("https://www.boe.es/gazeta/dias/1821/08/17/pdfs/GMD-1821-234.pdf#page=3","Abrir facsímil")</f>
        <v>Abrir facsímil</v>
      </c>
      <c r="K10684" t="s">
        <v>23</v>
      </c>
    </row>
    <row r="10685" spans="1:11" ht="42" customHeight="1">
      <c r="A10685" t="s">
        <v>20630</v>
      </c>
      <c r="B10685" t="s">
        <v>20630</v>
      </c>
      <c r="C10685" t="s">
        <v>174</v>
      </c>
      <c r="D10685" t="s">
        <v>27</v>
      </c>
      <c r="E10685" s="6">
        <v>-28621</v>
      </c>
      <c r="F10685" t="s">
        <v>1317</v>
      </c>
      <c r="G10685" t="s">
        <v>20</v>
      </c>
      <c r="H10685" t="s">
        <v>21</v>
      </c>
      <c r="I10685" t="s">
        <v>20632</v>
      </c>
      <c r="J10685" t="str">
        <f>HYPERLINK("https://www.boe.es/gazeta/dias/1821/08/20/pdfs/GMD-1821-237.pdf#page=3","Abrir facsímil")</f>
        <v>Abrir facsímil</v>
      </c>
      <c r="K10685" t="s">
        <v>23</v>
      </c>
    </row>
    <row r="10686" spans="1:11" ht="42" customHeight="1">
      <c r="A10686" t="s">
        <v>20630</v>
      </c>
      <c r="B10686" t="s">
        <v>20630</v>
      </c>
      <c r="C10686" t="s">
        <v>40</v>
      </c>
      <c r="D10686" t="s">
        <v>41</v>
      </c>
      <c r="E10686" s="6">
        <v>-28574</v>
      </c>
      <c r="F10686" t="s">
        <v>779</v>
      </c>
      <c r="G10686" t="s">
        <v>88</v>
      </c>
      <c r="H10686" t="s">
        <v>21</v>
      </c>
      <c r="I10686" t="s">
        <v>20633</v>
      </c>
      <c r="J10686" t="str">
        <f>HYPERLINK("https://www.boe.es/gazeta/dias/1821/10/06/pdfs/GMD-1821-285.pdf#page=4","Abrir facsímil")</f>
        <v>Abrir facsímil</v>
      </c>
      <c r="K10686" t="s">
        <v>23</v>
      </c>
    </row>
    <row r="10687" spans="1:11" ht="42" customHeight="1">
      <c r="A10687" t="s">
        <v>20630</v>
      </c>
      <c r="B10687" t="s">
        <v>20630</v>
      </c>
      <c r="C10687" t="s">
        <v>17</v>
      </c>
      <c r="D10687" t="s">
        <v>18</v>
      </c>
      <c r="E10687" s="6">
        <v>-28539</v>
      </c>
      <c r="F10687" t="s">
        <v>153</v>
      </c>
      <c r="G10687" t="s">
        <v>52</v>
      </c>
      <c r="H10687" t="s">
        <v>21</v>
      </c>
      <c r="I10687" t="s">
        <v>20634</v>
      </c>
      <c r="J10687" t="str">
        <f>HYPERLINK("https://www.boe.es/gazeta/dias/1821/11/10/pdfs/GMD-1821-321.pdf#page=2","Abrir facsímil")</f>
        <v>Abrir facsímil</v>
      </c>
      <c r="K10687" t="s">
        <v>23</v>
      </c>
    </row>
    <row r="10688" spans="1:11" ht="42" customHeight="1">
      <c r="A10688" t="s">
        <v>20635</v>
      </c>
      <c r="B10688" t="s">
        <v>20635</v>
      </c>
      <c r="C10688" t="s">
        <v>17</v>
      </c>
      <c r="D10688" t="s">
        <v>18</v>
      </c>
      <c r="E10688" s="6">
        <v>-28535</v>
      </c>
      <c r="F10688" t="s">
        <v>96</v>
      </c>
      <c r="G10688" t="s">
        <v>52</v>
      </c>
      <c r="H10688" t="s">
        <v>21</v>
      </c>
      <c r="I10688" t="s">
        <v>20636</v>
      </c>
      <c r="J10688" t="str">
        <f>HYPERLINK("https://www.boe.es/gazeta/dias/1821/11/14/pdfs/GMD-1821-325.pdf#page=2","Abrir facsímil")</f>
        <v>Abrir facsímil</v>
      </c>
      <c r="K10688" t="s">
        <v>23</v>
      </c>
    </row>
    <row r="10689" spans="1:11" ht="42" customHeight="1">
      <c r="A10689" t="s">
        <v>20637</v>
      </c>
      <c r="B10689" t="s">
        <v>20637</v>
      </c>
      <c r="C10689" t="s">
        <v>26</v>
      </c>
      <c r="D10689" t="s">
        <v>27</v>
      </c>
      <c r="E10689" s="6">
        <v>-28728</v>
      </c>
      <c r="F10689" t="s">
        <v>1038</v>
      </c>
      <c r="G10689" t="s">
        <v>88</v>
      </c>
      <c r="H10689" t="s">
        <v>21</v>
      </c>
      <c r="I10689" t="s">
        <v>20638</v>
      </c>
      <c r="J10689" t="str">
        <f>HYPERLINK("https://www.boe.es/gazeta/dias/1821/05/05/pdfs/GMD-1821-127.pdf#page=4","Abrir facsímil")</f>
        <v>Abrir facsímil</v>
      </c>
      <c r="K10689" t="s">
        <v>23</v>
      </c>
    </row>
    <row r="10690" spans="1:11" ht="42" customHeight="1">
      <c r="A10690" t="s">
        <v>20639</v>
      </c>
      <c r="B10690" t="s">
        <v>20639</v>
      </c>
      <c r="C10690" t="s">
        <v>26</v>
      </c>
      <c r="D10690" t="s">
        <v>27</v>
      </c>
      <c r="E10690" s="6">
        <v>-28745</v>
      </c>
      <c r="F10690" t="s">
        <v>1020</v>
      </c>
      <c r="G10690" t="s">
        <v>43</v>
      </c>
      <c r="H10690" t="s">
        <v>21</v>
      </c>
      <c r="I10690" t="s">
        <v>20640</v>
      </c>
      <c r="J10690" t="str">
        <f>HYPERLINK("https://www.boe.es/gazeta/dias/1821/04/18/pdfs/GMD-1821-110.pdf#page=1","Abrir facsímil")</f>
        <v>Abrir facsímil</v>
      </c>
      <c r="K10690" t="s">
        <v>23</v>
      </c>
    </row>
    <row r="10691" spans="1:11" ht="42" customHeight="1">
      <c r="A10691" t="s">
        <v>20641</v>
      </c>
      <c r="B10691" t="s">
        <v>20642</v>
      </c>
      <c r="C10691" t="s">
        <v>40</v>
      </c>
      <c r="D10691" t="s">
        <v>41</v>
      </c>
      <c r="E10691" s="6">
        <v>-28511</v>
      </c>
      <c r="F10691" t="s">
        <v>340</v>
      </c>
      <c r="G10691" t="s">
        <v>52</v>
      </c>
      <c r="H10691" t="s">
        <v>21</v>
      </c>
      <c r="I10691" t="s">
        <v>20643</v>
      </c>
      <c r="J10691" t="str">
        <f>HYPERLINK("https://www.boe.es/gazeta/dias/1821/12/08/pdfs/GMD-1821-350.pdf#page=2","Abrir facsímil")</f>
        <v>Abrir facsímil</v>
      </c>
      <c r="K10691" t="s">
        <v>23</v>
      </c>
    </row>
    <row r="10692" spans="1:11" ht="42" customHeight="1">
      <c r="A10692" t="s">
        <v>20644</v>
      </c>
      <c r="B10692" t="s">
        <v>20645</v>
      </c>
      <c r="C10692" t="s">
        <v>26</v>
      </c>
      <c r="D10692" t="s">
        <v>27</v>
      </c>
      <c r="E10692" s="6">
        <v>-28641</v>
      </c>
      <c r="F10692" t="s">
        <v>398</v>
      </c>
      <c r="G10692" t="s">
        <v>88</v>
      </c>
      <c r="H10692" t="s">
        <v>21</v>
      </c>
      <c r="I10692" t="s">
        <v>20646</v>
      </c>
      <c r="J10692" t="str">
        <f>HYPERLINK("https://www.boe.es/gazeta/dias/1821/07/31/pdfs/GMD-1821-216.pdf#page=4","Abrir facsímil")</f>
        <v>Abrir facsímil</v>
      </c>
      <c r="K10692" t="s">
        <v>23</v>
      </c>
    </row>
    <row r="10693" spans="1:11" ht="42" customHeight="1">
      <c r="A10693" t="s">
        <v>20647</v>
      </c>
      <c r="B10693" t="s">
        <v>20647</v>
      </c>
      <c r="C10693" t="s">
        <v>17</v>
      </c>
      <c r="D10693" t="s">
        <v>18</v>
      </c>
      <c r="E10693" s="6">
        <v>-28747</v>
      </c>
      <c r="F10693" t="s">
        <v>1016</v>
      </c>
      <c r="G10693" t="s">
        <v>43</v>
      </c>
      <c r="H10693" t="s">
        <v>21</v>
      </c>
      <c r="I10693" t="s">
        <v>20648</v>
      </c>
      <c r="J10693" t="str">
        <f>HYPERLINK("https://www.boe.es/gazeta/dias/1821/04/16/pdfs/GMD-1821-108.pdf#page=1","Abrir facsímil")</f>
        <v>Abrir facsímil</v>
      </c>
      <c r="K10693" t="s">
        <v>23</v>
      </c>
    </row>
    <row r="10694" spans="1:11" ht="42" customHeight="1">
      <c r="A10694" t="s">
        <v>20647</v>
      </c>
      <c r="B10694" t="s">
        <v>20647</v>
      </c>
      <c r="C10694" t="s">
        <v>26</v>
      </c>
      <c r="D10694" t="s">
        <v>27</v>
      </c>
      <c r="E10694" s="6">
        <v>-28693</v>
      </c>
      <c r="F10694" t="s">
        <v>74</v>
      </c>
      <c r="G10694" t="s">
        <v>20</v>
      </c>
      <c r="H10694" t="s">
        <v>21</v>
      </c>
      <c r="I10694" t="s">
        <v>20649</v>
      </c>
      <c r="J10694" t="str">
        <f>HYPERLINK("https://www.boe.es/gazeta/dias/1821/06/09/pdfs/GMD-1821-162.pdf#page=3","Abrir facsímil")</f>
        <v>Abrir facsímil</v>
      </c>
      <c r="K10694" t="s">
        <v>23</v>
      </c>
    </row>
    <row r="10695" spans="1:11" ht="42" customHeight="1">
      <c r="A10695" t="s">
        <v>20650</v>
      </c>
      <c r="B10695" t="s">
        <v>20650</v>
      </c>
      <c r="C10695" t="s">
        <v>40</v>
      </c>
      <c r="D10695" t="s">
        <v>41</v>
      </c>
      <c r="E10695" s="6">
        <v>-28831</v>
      </c>
      <c r="F10695" t="s">
        <v>3179</v>
      </c>
      <c r="G10695" t="s">
        <v>43</v>
      </c>
      <c r="H10695" t="s">
        <v>21</v>
      </c>
      <c r="I10695" t="s">
        <v>20651</v>
      </c>
      <c r="J10695" t="str">
        <f>HYPERLINK("https://www.boe.es/gazeta/dias/1821/01/22/pdfs/GGB-1821-22.pdf#page=1","Abrir facsímil")</f>
        <v>Abrir facsímil</v>
      </c>
      <c r="K10695" t="s">
        <v>23</v>
      </c>
    </row>
    <row r="10696" spans="1:11" ht="42" customHeight="1">
      <c r="A10696" t="s">
        <v>20652</v>
      </c>
      <c r="B10696" t="s">
        <v>20653</v>
      </c>
      <c r="C10696" t="s">
        <v>40</v>
      </c>
      <c r="D10696" t="s">
        <v>41</v>
      </c>
      <c r="E10696" s="6">
        <v>-28655</v>
      </c>
      <c r="F10696" t="s">
        <v>2530</v>
      </c>
      <c r="G10696" t="s">
        <v>52</v>
      </c>
      <c r="H10696" t="s">
        <v>21</v>
      </c>
      <c r="I10696" t="s">
        <v>20654</v>
      </c>
      <c r="J10696" t="str">
        <f>HYPERLINK("https://www.boe.es/gazeta/dias/1821/07/17/pdfs/GMD-1821-202.pdf#page=2","Abrir facsímil")</f>
        <v>Abrir facsímil</v>
      </c>
      <c r="K10696" t="s">
        <v>23</v>
      </c>
    </row>
    <row r="10697" spans="1:11" ht="42" customHeight="1">
      <c r="A10697" t="s">
        <v>20655</v>
      </c>
      <c r="B10697" t="s">
        <v>20655</v>
      </c>
      <c r="C10697" t="s">
        <v>40</v>
      </c>
      <c r="D10697" t="s">
        <v>41</v>
      </c>
      <c r="E10697" s="6">
        <v>-28811</v>
      </c>
      <c r="F10697" t="s">
        <v>5734</v>
      </c>
      <c r="G10697" t="s">
        <v>88</v>
      </c>
      <c r="H10697" t="s">
        <v>21</v>
      </c>
      <c r="I10697" t="s">
        <v>20656</v>
      </c>
      <c r="J10697" t="str">
        <f>HYPERLINK("https://www.boe.es/gazeta/dias/1821/02/11/pdfs/GGB-1821-42.pdf#page=4","Abrir facsímil")</f>
        <v>Abrir facsímil</v>
      </c>
      <c r="K10697" t="s">
        <v>23</v>
      </c>
    </row>
    <row r="10698" spans="1:11" ht="42" customHeight="1">
      <c r="A10698" t="s">
        <v>20657</v>
      </c>
      <c r="B10698" t="s">
        <v>20657</v>
      </c>
      <c r="C10698" t="s">
        <v>40</v>
      </c>
      <c r="D10698" t="s">
        <v>41</v>
      </c>
      <c r="E10698" s="6">
        <v>-28811</v>
      </c>
      <c r="F10698" t="s">
        <v>5734</v>
      </c>
      <c r="G10698" t="s">
        <v>88</v>
      </c>
      <c r="H10698" t="s">
        <v>21</v>
      </c>
      <c r="I10698" t="s">
        <v>20658</v>
      </c>
      <c r="J10698" t="str">
        <f>HYPERLINK("https://www.boe.es/gazeta/dias/1821/02/11/pdfs/GGB-1821-42.pdf#page=4","Abrir facsímil")</f>
        <v>Abrir facsímil</v>
      </c>
      <c r="K10698" t="s">
        <v>23</v>
      </c>
    </row>
    <row r="10699" spans="1:11" ht="42" customHeight="1">
      <c r="A10699" t="s">
        <v>20659</v>
      </c>
      <c r="B10699" t="s">
        <v>20660</v>
      </c>
      <c r="C10699" t="s">
        <v>40</v>
      </c>
      <c r="D10699" t="s">
        <v>41</v>
      </c>
      <c r="E10699" s="6">
        <v>-28528</v>
      </c>
      <c r="F10699" t="s">
        <v>1872</v>
      </c>
      <c r="G10699" t="s">
        <v>52</v>
      </c>
      <c r="H10699" t="s">
        <v>21</v>
      </c>
      <c r="I10699" t="s">
        <v>20661</v>
      </c>
      <c r="J10699" t="str">
        <f>HYPERLINK("https://www.boe.es/gazeta/dias/1821/11/21/pdfs/GMD-1821-332.pdf#page=2","Abrir facsímil")</f>
        <v>Abrir facsímil</v>
      </c>
      <c r="K10699" t="s">
        <v>23</v>
      </c>
    </row>
    <row r="10700" spans="1:11" ht="42" customHeight="1">
      <c r="A10700" t="s">
        <v>20662</v>
      </c>
      <c r="B10700" t="s">
        <v>20663</v>
      </c>
      <c r="C10700" t="s">
        <v>26</v>
      </c>
      <c r="D10700" t="s">
        <v>27</v>
      </c>
      <c r="E10700" s="6">
        <v>-28764</v>
      </c>
      <c r="F10700" t="s">
        <v>924</v>
      </c>
      <c r="G10700" t="s">
        <v>52</v>
      </c>
      <c r="H10700" t="s">
        <v>21</v>
      </c>
      <c r="I10700" t="s">
        <v>20664</v>
      </c>
      <c r="J10700" t="str">
        <f>HYPERLINK("https://www.boe.es/gazeta/dias/1821/03/30/pdfs/GMD-1821-91.pdf#page=2","Abrir facsímil")</f>
        <v>Abrir facsímil</v>
      </c>
      <c r="K10700" t="s">
        <v>23</v>
      </c>
    </row>
    <row r="10701" spans="1:11" ht="42" customHeight="1">
      <c r="A10701" t="s">
        <v>20665</v>
      </c>
      <c r="B10701" t="s">
        <v>20666</v>
      </c>
      <c r="C10701" t="s">
        <v>17</v>
      </c>
      <c r="D10701" t="s">
        <v>18</v>
      </c>
      <c r="E10701" s="6">
        <v>-28647</v>
      </c>
      <c r="F10701" t="s">
        <v>1295</v>
      </c>
      <c r="G10701" t="s">
        <v>88</v>
      </c>
      <c r="H10701" t="s">
        <v>21</v>
      </c>
      <c r="I10701" t="s">
        <v>20667</v>
      </c>
      <c r="J10701" t="str">
        <f>HYPERLINK("https://www.boe.es/gazeta/dias/1821/07/25/pdfs/GMD-1821-210.pdf#page=4","Abrir facsímil")</f>
        <v>Abrir facsímil</v>
      </c>
      <c r="K10701" t="s">
        <v>23</v>
      </c>
    </row>
    <row r="10702" spans="1:11" ht="42" customHeight="1">
      <c r="A10702" t="s">
        <v>20668</v>
      </c>
      <c r="B10702" t="s">
        <v>20669</v>
      </c>
      <c r="C10702" t="s">
        <v>17</v>
      </c>
      <c r="D10702" t="s">
        <v>18</v>
      </c>
      <c r="E10702" s="6">
        <v>-28727</v>
      </c>
      <c r="F10702" t="s">
        <v>200</v>
      </c>
      <c r="G10702" t="s">
        <v>20</v>
      </c>
      <c r="H10702" t="s">
        <v>21</v>
      </c>
      <c r="I10702" t="s">
        <v>20670</v>
      </c>
      <c r="J10702" t="str">
        <f>HYPERLINK("https://www.boe.es/gazeta/dias/1821/05/06/pdfs/GMD-1821-128.pdf#page=3","Abrir facsímil")</f>
        <v>Abrir facsímil</v>
      </c>
      <c r="K10702" t="s">
        <v>23</v>
      </c>
    </row>
    <row r="10703" spans="1:11" ht="42" customHeight="1">
      <c r="A10703" t="s">
        <v>20671</v>
      </c>
      <c r="B10703" t="s">
        <v>20672</v>
      </c>
      <c r="C10703" t="s">
        <v>40</v>
      </c>
      <c r="D10703" t="s">
        <v>41</v>
      </c>
      <c r="E10703" s="6">
        <v>-28738</v>
      </c>
      <c r="F10703" t="s">
        <v>359</v>
      </c>
      <c r="G10703" t="s">
        <v>88</v>
      </c>
      <c r="H10703" t="s">
        <v>21</v>
      </c>
      <c r="I10703" t="s">
        <v>20673</v>
      </c>
      <c r="J10703" t="str">
        <f>HYPERLINK("https://www.boe.es/gazeta/dias/1821/04/25/pdfs/GMD-1821-117.pdf#page=4","Abrir facsímil")</f>
        <v>Abrir facsímil</v>
      </c>
      <c r="K10703" t="s">
        <v>23</v>
      </c>
    </row>
    <row r="10704" spans="1:11" ht="42" customHeight="1">
      <c r="A10704" t="s">
        <v>20674</v>
      </c>
      <c r="B10704" t="s">
        <v>20675</v>
      </c>
      <c r="C10704" t="s">
        <v>40</v>
      </c>
      <c r="D10704" t="s">
        <v>41</v>
      </c>
      <c r="E10704" s="6">
        <v>-28847</v>
      </c>
      <c r="F10704" t="s">
        <v>288</v>
      </c>
      <c r="G10704" t="s">
        <v>289</v>
      </c>
      <c r="H10704" t="s">
        <v>30</v>
      </c>
      <c r="I10704" t="s">
        <v>20676</v>
      </c>
      <c r="J10704" t="str">
        <f>HYPERLINK("https://www.boe.es/gazeta/dias/1821/01/06/pdfs/GGB-1821-6.pdf#page=4","Abrir facsímil")</f>
        <v>Abrir facsímil</v>
      </c>
      <c r="K10704" t="s">
        <v>32</v>
      </c>
    </row>
    <row r="10705" spans="1:11" ht="42" customHeight="1">
      <c r="A10705" t="s">
        <v>20677</v>
      </c>
      <c r="B10705" t="s">
        <v>20677</v>
      </c>
      <c r="C10705" t="s">
        <v>26</v>
      </c>
      <c r="D10705" t="s">
        <v>27</v>
      </c>
      <c r="E10705" s="6">
        <v>-28598</v>
      </c>
      <c r="F10705" t="s">
        <v>1206</v>
      </c>
      <c r="G10705" t="s">
        <v>43</v>
      </c>
      <c r="H10705" t="s">
        <v>21</v>
      </c>
      <c r="I10705" t="s">
        <v>20678</v>
      </c>
      <c r="J10705" t="str">
        <f>HYPERLINK("https://www.boe.es/gazeta/dias/1821/09/12/pdfs/GMD-1821-260.pdf#page=1","Abrir facsímil")</f>
        <v>Abrir facsímil</v>
      </c>
      <c r="K10705" t="s">
        <v>23</v>
      </c>
    </row>
    <row r="10706" spans="1:11" ht="42" customHeight="1">
      <c r="A10706" t="s">
        <v>20679</v>
      </c>
      <c r="B10706" t="s">
        <v>20679</v>
      </c>
      <c r="C10706" t="s">
        <v>40</v>
      </c>
      <c r="D10706" t="s">
        <v>41</v>
      </c>
      <c r="E10706" s="6">
        <v>-28654</v>
      </c>
      <c r="F10706" t="s">
        <v>674</v>
      </c>
      <c r="G10706" t="s">
        <v>52</v>
      </c>
      <c r="H10706" t="s">
        <v>21</v>
      </c>
      <c r="I10706" t="s">
        <v>20680</v>
      </c>
      <c r="J10706" t="str">
        <f>HYPERLINK("https://www.boe.es/gazeta/dias/1821/07/18/pdfs/GMD-1821-203.pdf#page=2","Abrir facsímil")</f>
        <v>Abrir facsímil</v>
      </c>
      <c r="K10706" t="s">
        <v>23</v>
      </c>
    </row>
    <row r="10707" spans="1:11" ht="42" customHeight="1">
      <c r="A10707" t="s">
        <v>20681</v>
      </c>
      <c r="B10707" t="s">
        <v>20681</v>
      </c>
      <c r="C10707" t="s">
        <v>40</v>
      </c>
      <c r="D10707" t="s">
        <v>41</v>
      </c>
      <c r="E10707" s="6">
        <v>-28513</v>
      </c>
      <c r="F10707" t="s">
        <v>502</v>
      </c>
      <c r="G10707" t="s">
        <v>20</v>
      </c>
      <c r="H10707" t="s">
        <v>21</v>
      </c>
      <c r="I10707" t="s">
        <v>20682</v>
      </c>
      <c r="J10707" t="str">
        <f>HYPERLINK("https://www.boe.es/gazeta/dias/1821/12/06/pdfs/GMD-1821-348.pdf#page=3","Abrir facsímil")</f>
        <v>Abrir facsímil</v>
      </c>
      <c r="K10707" t="s">
        <v>23</v>
      </c>
    </row>
    <row r="10708" spans="1:11" ht="42" customHeight="1">
      <c r="A10708" t="s">
        <v>20683</v>
      </c>
      <c r="B10708" t="s">
        <v>20683</v>
      </c>
      <c r="C10708" t="s">
        <v>26</v>
      </c>
      <c r="D10708" t="s">
        <v>27</v>
      </c>
      <c r="E10708" s="6">
        <v>-28578</v>
      </c>
      <c r="F10708" t="s">
        <v>899</v>
      </c>
      <c r="G10708" t="s">
        <v>52</v>
      </c>
      <c r="H10708" t="s">
        <v>21</v>
      </c>
      <c r="I10708" t="s">
        <v>20684</v>
      </c>
      <c r="J10708" t="str">
        <f>HYPERLINK("https://www.boe.es/gazeta/dias/1821/10/02/pdfs/GMD-1821-281.pdf#page=2","Abrir facsímil")</f>
        <v>Abrir facsímil</v>
      </c>
      <c r="K10708" t="s">
        <v>23</v>
      </c>
    </row>
    <row r="10709" spans="1:11" ht="42" customHeight="1">
      <c r="A10709" t="s">
        <v>20683</v>
      </c>
      <c r="B10709" t="s">
        <v>20683</v>
      </c>
      <c r="C10709" t="s">
        <v>35</v>
      </c>
      <c r="D10709" t="s">
        <v>27</v>
      </c>
      <c r="E10709" s="6">
        <v>-28578</v>
      </c>
      <c r="F10709" t="s">
        <v>899</v>
      </c>
      <c r="G10709" t="s">
        <v>20</v>
      </c>
      <c r="H10709" t="s">
        <v>21</v>
      </c>
      <c r="I10709" t="s">
        <v>20685</v>
      </c>
      <c r="J10709" t="str">
        <f>HYPERLINK("https://www.boe.es/gazeta/dias/1821/10/02/pdfs/GMD-1821-281.pdf#page=3","Abrir facsímil")</f>
        <v>Abrir facsímil</v>
      </c>
      <c r="K10709" t="s">
        <v>23</v>
      </c>
    </row>
    <row r="10710" spans="1:11" ht="42" customHeight="1">
      <c r="A10710" t="s">
        <v>20686</v>
      </c>
      <c r="B10710" t="s">
        <v>20687</v>
      </c>
      <c r="C10710" t="s">
        <v>40</v>
      </c>
      <c r="D10710" t="s">
        <v>41</v>
      </c>
      <c r="E10710" s="6">
        <v>-28721</v>
      </c>
      <c r="F10710" t="s">
        <v>92</v>
      </c>
      <c r="G10710" t="s">
        <v>88</v>
      </c>
      <c r="H10710" t="s">
        <v>21</v>
      </c>
      <c r="I10710" t="s">
        <v>20688</v>
      </c>
      <c r="J10710" t="str">
        <f>HYPERLINK("https://www.boe.es/gazeta/dias/1821/05/12/pdfs/GMD-1821-134.pdf#page=4","Abrir facsímil")</f>
        <v>Abrir facsímil</v>
      </c>
      <c r="K10710" t="s">
        <v>23</v>
      </c>
    </row>
    <row r="10711" spans="1:11" ht="42" customHeight="1">
      <c r="A10711" t="s">
        <v>20689</v>
      </c>
      <c r="B10711" t="s">
        <v>20689</v>
      </c>
      <c r="C10711" t="s">
        <v>174</v>
      </c>
      <c r="D10711" t="s">
        <v>27</v>
      </c>
      <c r="E10711" s="6">
        <v>-28577</v>
      </c>
      <c r="F10711" t="s">
        <v>858</v>
      </c>
      <c r="G10711" t="s">
        <v>88</v>
      </c>
      <c r="H10711" t="s">
        <v>21</v>
      </c>
      <c r="I10711" t="s">
        <v>20690</v>
      </c>
      <c r="J10711" t="str">
        <f>HYPERLINK("https://www.boe.es/gazeta/dias/1821/10/03/pdfs/GMD-1821-282.pdf#page=4","Abrir facsímil")</f>
        <v>Abrir facsímil</v>
      </c>
      <c r="K10711" t="s">
        <v>23</v>
      </c>
    </row>
    <row r="10712" spans="1:11" ht="42" customHeight="1">
      <c r="A10712" t="s">
        <v>20691</v>
      </c>
      <c r="B10712" t="s">
        <v>20692</v>
      </c>
      <c r="C10712" t="s">
        <v>40</v>
      </c>
      <c r="D10712" t="s">
        <v>41</v>
      </c>
      <c r="E10712" s="6">
        <v>-28509</v>
      </c>
      <c r="F10712" t="s">
        <v>388</v>
      </c>
      <c r="G10712" t="s">
        <v>333</v>
      </c>
      <c r="H10712" t="s">
        <v>21</v>
      </c>
      <c r="I10712" t="s">
        <v>20693</v>
      </c>
      <c r="J10712" t="str">
        <f>HYPERLINK("https://www.boe.es/gazeta/dias/1821/12/10/pdfs/GMD-1821-352.pdf#page=8","Abrir facsímil")</f>
        <v>Abrir facsímil</v>
      </c>
      <c r="K10712" t="s">
        <v>23</v>
      </c>
    </row>
    <row r="10713" spans="1:11" ht="42" customHeight="1">
      <c r="A10713" t="s">
        <v>20694</v>
      </c>
      <c r="B10713" t="s">
        <v>20694</v>
      </c>
      <c r="C10713" t="s">
        <v>35</v>
      </c>
      <c r="D10713" t="s">
        <v>27</v>
      </c>
      <c r="E10713" s="6">
        <v>-28534</v>
      </c>
      <c r="F10713" t="s">
        <v>414</v>
      </c>
      <c r="G10713" t="s">
        <v>43</v>
      </c>
      <c r="H10713" t="s">
        <v>21</v>
      </c>
      <c r="I10713" t="s">
        <v>20695</v>
      </c>
      <c r="J10713" t="str">
        <f>HYPERLINK("https://www.boe.es/gazeta/dias/1821/11/15/pdfs/GMD-1821-326.pdf#page=1","Abrir facsímil")</f>
        <v>Abrir facsímil</v>
      </c>
      <c r="K10713" t="s">
        <v>23</v>
      </c>
    </row>
    <row r="10714" spans="1:11" ht="42" customHeight="1">
      <c r="A10714" t="s">
        <v>20696</v>
      </c>
      <c r="B10714" t="s">
        <v>20697</v>
      </c>
      <c r="C10714" t="s">
        <v>17</v>
      </c>
      <c r="D10714" t="s">
        <v>18</v>
      </c>
      <c r="E10714" s="6">
        <v>-28586</v>
      </c>
      <c r="F10714" t="s">
        <v>587</v>
      </c>
      <c r="G10714" t="s">
        <v>52</v>
      </c>
      <c r="H10714" t="s">
        <v>21</v>
      </c>
      <c r="I10714" t="s">
        <v>20698</v>
      </c>
      <c r="J10714" t="str">
        <f>HYPERLINK("https://www.boe.es/gazeta/dias/1821/09/24/pdfs/GMD-1821-272.pdf#page=2","Abrir facsímil")</f>
        <v>Abrir facsímil</v>
      </c>
      <c r="K10714" t="s">
        <v>23</v>
      </c>
    </row>
    <row r="10715" spans="1:11" ht="42" customHeight="1">
      <c r="A10715" t="s">
        <v>20699</v>
      </c>
      <c r="B10715" t="s">
        <v>20700</v>
      </c>
      <c r="C10715" t="s">
        <v>17</v>
      </c>
      <c r="D10715" t="s">
        <v>18</v>
      </c>
      <c r="E10715" s="6">
        <v>-28518</v>
      </c>
      <c r="F10715" t="s">
        <v>410</v>
      </c>
      <c r="G10715" t="s">
        <v>52</v>
      </c>
      <c r="H10715" t="s">
        <v>21</v>
      </c>
      <c r="I10715" t="s">
        <v>20701</v>
      </c>
      <c r="J10715" t="str">
        <f>HYPERLINK("https://www.boe.es/gazeta/dias/1821/12/01/pdfs/GMD-1821-343.pdf#page=2","Abrir facsímil")</f>
        <v>Abrir facsímil</v>
      </c>
      <c r="K10715" t="s">
        <v>23</v>
      </c>
    </row>
    <row r="10716" spans="1:11" ht="42" customHeight="1">
      <c r="A10716" t="s">
        <v>20702</v>
      </c>
      <c r="B10716" t="s">
        <v>20703</v>
      </c>
      <c r="C10716" t="s">
        <v>26</v>
      </c>
      <c r="D10716" t="s">
        <v>27</v>
      </c>
      <c r="E10716" s="6">
        <v>-28547</v>
      </c>
      <c r="F10716" t="s">
        <v>247</v>
      </c>
      <c r="G10716" t="s">
        <v>248</v>
      </c>
      <c r="H10716" t="s">
        <v>21</v>
      </c>
      <c r="I10716" t="s">
        <v>20704</v>
      </c>
      <c r="J10716" t="str">
        <f>HYPERLINK("https://www.boe.es/gazeta/dias/1821/11/02/pdfs/GMD-1821-312.pdf#page=2","Abrir facsímil")</f>
        <v>Abrir facsímil</v>
      </c>
      <c r="K10716" t="s">
        <v>23</v>
      </c>
    </row>
    <row r="10717" spans="1:11" ht="42" customHeight="1">
      <c r="A10717" t="s">
        <v>20705</v>
      </c>
      <c r="B10717" t="s">
        <v>20706</v>
      </c>
      <c r="C10717" t="s">
        <v>114</v>
      </c>
      <c r="D10717" t="s">
        <v>27</v>
      </c>
      <c r="E10717" s="6">
        <v>-28836</v>
      </c>
      <c r="F10717" t="s">
        <v>601</v>
      </c>
      <c r="G10717" t="s">
        <v>20</v>
      </c>
      <c r="H10717" t="s">
        <v>21</v>
      </c>
      <c r="I10717" t="s">
        <v>20707</v>
      </c>
      <c r="J10717" t="str">
        <f>HYPERLINK("https://www.boe.es/gazeta/dias/1821/01/17/pdfs/GGB-1821-17.pdf#page=3","Abrir facsímil")</f>
        <v>Abrir facsímil</v>
      </c>
      <c r="K10717" t="s">
        <v>23</v>
      </c>
    </row>
    <row r="10718" spans="1:11" ht="42" customHeight="1">
      <c r="A10718" t="s">
        <v>20708</v>
      </c>
      <c r="B10718" t="s">
        <v>20709</v>
      </c>
      <c r="C10718" t="s">
        <v>40</v>
      </c>
      <c r="D10718" t="s">
        <v>41</v>
      </c>
      <c r="E10718" s="6">
        <v>-28813</v>
      </c>
      <c r="F10718" t="s">
        <v>268</v>
      </c>
      <c r="G10718" t="s">
        <v>52</v>
      </c>
      <c r="H10718" t="s">
        <v>21</v>
      </c>
      <c r="I10718" t="s">
        <v>20710</v>
      </c>
      <c r="J10718" t="str">
        <f>HYPERLINK("https://www.boe.es/gazeta/dias/1821/02/09/pdfs/GGB-1821-40.pdf#page=2","Abrir facsímil")</f>
        <v>Abrir facsímil</v>
      </c>
      <c r="K10718" t="s">
        <v>23</v>
      </c>
    </row>
    <row r="10719" spans="1:11" ht="42" customHeight="1">
      <c r="A10719" t="s">
        <v>20711</v>
      </c>
      <c r="B10719" t="s">
        <v>20712</v>
      </c>
      <c r="C10719" t="s">
        <v>26</v>
      </c>
      <c r="D10719" t="s">
        <v>27</v>
      </c>
      <c r="E10719" s="6">
        <v>-28629</v>
      </c>
      <c r="F10719" t="s">
        <v>235</v>
      </c>
      <c r="G10719" t="s">
        <v>88</v>
      </c>
      <c r="H10719" t="s">
        <v>21</v>
      </c>
      <c r="I10719" t="s">
        <v>20713</v>
      </c>
      <c r="J10719" t="str">
        <f>HYPERLINK("https://www.boe.es/gazeta/dias/1821/08/12/pdfs/GMD-1821-229.pdf#page=4","Abrir facsímil")</f>
        <v>Abrir facsímil</v>
      </c>
      <c r="K10719" t="s">
        <v>23</v>
      </c>
    </row>
    <row r="10720" spans="1:11" ht="42" customHeight="1">
      <c r="A10720" t="s">
        <v>20714</v>
      </c>
      <c r="B10720" t="s">
        <v>20715</v>
      </c>
      <c r="C10720" t="s">
        <v>40</v>
      </c>
      <c r="D10720" t="s">
        <v>41</v>
      </c>
      <c r="E10720" s="6">
        <v>-28616</v>
      </c>
      <c r="F10720" t="s">
        <v>1912</v>
      </c>
      <c r="G10720" t="s">
        <v>1913</v>
      </c>
      <c r="H10720" t="s">
        <v>21</v>
      </c>
      <c r="I10720" t="s">
        <v>20716</v>
      </c>
      <c r="J10720" t="str">
        <f>HYPERLINK("https://www.boe.es/gazeta/dias/1821/08/25/pdfs/GMD-1821-242.pdf#page=3","Abrir facsímil")</f>
        <v>Abrir facsímil</v>
      </c>
      <c r="K10720" t="s">
        <v>23</v>
      </c>
    </row>
    <row r="10721" spans="1:11" ht="42" customHeight="1">
      <c r="A10721" t="s">
        <v>20717</v>
      </c>
      <c r="B10721" t="s">
        <v>20717</v>
      </c>
      <c r="C10721" t="s">
        <v>40</v>
      </c>
      <c r="D10721" t="s">
        <v>41</v>
      </c>
      <c r="E10721" s="6">
        <v>-28571</v>
      </c>
      <c r="F10721" t="s">
        <v>482</v>
      </c>
      <c r="G10721" t="s">
        <v>43</v>
      </c>
      <c r="H10721" t="s">
        <v>21</v>
      </c>
      <c r="I10721" t="s">
        <v>20718</v>
      </c>
      <c r="J10721" t="str">
        <f>HYPERLINK("https://www.boe.es/gazeta/dias/1821/10/09/pdfs/GMD-1821-288.pdf#page=1","Abrir facsímil")</f>
        <v>Abrir facsímil</v>
      </c>
      <c r="K10721" t="s">
        <v>23</v>
      </c>
    </row>
    <row r="10722" spans="1:11" ht="42" customHeight="1">
      <c r="A10722" t="s">
        <v>20719</v>
      </c>
      <c r="B10722" t="s">
        <v>20719</v>
      </c>
      <c r="C10722" t="s">
        <v>26</v>
      </c>
      <c r="D10722" t="s">
        <v>27</v>
      </c>
      <c r="E10722" s="6">
        <v>-28488</v>
      </c>
      <c r="F10722" t="s">
        <v>1563</v>
      </c>
      <c r="G10722" t="s">
        <v>52</v>
      </c>
      <c r="H10722" t="s">
        <v>21</v>
      </c>
      <c r="I10722" t="s">
        <v>20720</v>
      </c>
      <c r="J10722" t="str">
        <f>HYPERLINK("https://www.boe.es/gazeta/dias/1821/12/31/pdfs/GMD-1821-374.pdf#page=2","Abrir facsímil")</f>
        <v>Abrir facsímil</v>
      </c>
      <c r="K10722" t="s">
        <v>23</v>
      </c>
    </row>
    <row r="10723" spans="1:11" ht="42" customHeight="1">
      <c r="A10723" t="s">
        <v>20721</v>
      </c>
      <c r="B10723" t="s">
        <v>20721</v>
      </c>
      <c r="C10723" t="s">
        <v>40</v>
      </c>
      <c r="D10723" t="s">
        <v>41</v>
      </c>
      <c r="E10723" s="6">
        <v>-28675</v>
      </c>
      <c r="F10723" t="s">
        <v>943</v>
      </c>
      <c r="G10723" t="s">
        <v>29</v>
      </c>
      <c r="H10723" t="s">
        <v>21</v>
      </c>
      <c r="I10723" t="s">
        <v>20722</v>
      </c>
      <c r="J10723" t="str">
        <f>HYPERLINK("https://www.boe.es/gazeta/dias/1821/06/27/pdfs/GMD-1821-180.pdf#page=6","Abrir facsímil")</f>
        <v>Abrir facsímil</v>
      </c>
      <c r="K10723" t="s">
        <v>23</v>
      </c>
    </row>
    <row r="10724" spans="1:11" ht="42" customHeight="1">
      <c r="A10724" t="s">
        <v>20723</v>
      </c>
      <c r="B10724" t="s">
        <v>20723</v>
      </c>
      <c r="C10724" t="s">
        <v>26</v>
      </c>
      <c r="D10724" t="s">
        <v>27</v>
      </c>
      <c r="E10724" s="6">
        <v>-28516</v>
      </c>
      <c r="F10724" t="s">
        <v>514</v>
      </c>
      <c r="G10724" t="s">
        <v>162</v>
      </c>
      <c r="H10724" t="s">
        <v>21</v>
      </c>
      <c r="I10724" t="s">
        <v>20724</v>
      </c>
      <c r="J10724" t="str">
        <f>HYPERLINK("https://www.boe.es/gazeta/dias/1821/12/03/pdfs/GMD-1821-345.pdf#page=5","Abrir facsímil")</f>
        <v>Abrir facsímil</v>
      </c>
      <c r="K10724" t="s">
        <v>23</v>
      </c>
    </row>
    <row r="10725" spans="1:11" ht="42" customHeight="1">
      <c r="A10725" t="s">
        <v>20721</v>
      </c>
      <c r="B10725" t="s">
        <v>20721</v>
      </c>
      <c r="C10725" t="s">
        <v>40</v>
      </c>
      <c r="D10725" t="s">
        <v>41</v>
      </c>
      <c r="E10725" s="6">
        <v>-28509</v>
      </c>
      <c r="F10725" t="s">
        <v>388</v>
      </c>
      <c r="G10725" t="s">
        <v>52</v>
      </c>
      <c r="H10725" t="s">
        <v>21</v>
      </c>
      <c r="I10725" t="s">
        <v>20725</v>
      </c>
      <c r="J10725" t="str">
        <f>HYPERLINK("https://www.boe.es/gazeta/dias/1821/12/10/pdfs/GMD-1821-352.pdf#page=2","Abrir facsímil")</f>
        <v>Abrir facsímil</v>
      </c>
      <c r="K10725" t="s">
        <v>23</v>
      </c>
    </row>
    <row r="10726" spans="1:11" ht="42" customHeight="1">
      <c r="A10726" t="s">
        <v>20721</v>
      </c>
      <c r="B10726" t="s">
        <v>20721</v>
      </c>
      <c r="C10726" t="s">
        <v>26</v>
      </c>
      <c r="D10726" t="s">
        <v>27</v>
      </c>
      <c r="E10726" s="6">
        <v>-28488</v>
      </c>
      <c r="F10726" t="s">
        <v>1563</v>
      </c>
      <c r="G10726" t="s">
        <v>52</v>
      </c>
      <c r="H10726" t="s">
        <v>21</v>
      </c>
      <c r="I10726" t="s">
        <v>20726</v>
      </c>
      <c r="J10726" t="str">
        <f>HYPERLINK("https://www.boe.es/gazeta/dias/1821/12/31/pdfs/GMD-1821-374.pdf#page=2","Abrir facsímil")</f>
        <v>Abrir facsímil</v>
      </c>
      <c r="K10726" t="s">
        <v>23</v>
      </c>
    </row>
    <row r="10727" spans="1:11" ht="42" customHeight="1">
      <c r="A10727" t="s">
        <v>20727</v>
      </c>
      <c r="B10727" t="s">
        <v>20728</v>
      </c>
      <c r="C10727" t="s">
        <v>40</v>
      </c>
      <c r="D10727" t="s">
        <v>41</v>
      </c>
      <c r="E10727" s="6">
        <v>-28750</v>
      </c>
      <c r="F10727" t="s">
        <v>917</v>
      </c>
      <c r="G10727" t="s">
        <v>52</v>
      </c>
      <c r="H10727" t="s">
        <v>21</v>
      </c>
      <c r="I10727" t="s">
        <v>20729</v>
      </c>
      <c r="J10727" t="str">
        <f>HYPERLINK("https://www.boe.es/gazeta/dias/1821/04/13/pdfs/GMD-1821-105.pdf#page=2","Abrir facsímil")</f>
        <v>Abrir facsímil</v>
      </c>
      <c r="K10727" t="s">
        <v>23</v>
      </c>
    </row>
    <row r="10728" spans="1:11" ht="42" customHeight="1">
      <c r="A10728" t="s">
        <v>20730</v>
      </c>
      <c r="B10728" t="s">
        <v>20731</v>
      </c>
      <c r="C10728" t="s">
        <v>26</v>
      </c>
      <c r="D10728" t="s">
        <v>27</v>
      </c>
      <c r="E10728" s="6">
        <v>-28691</v>
      </c>
      <c r="F10728" t="s">
        <v>716</v>
      </c>
      <c r="G10728" t="s">
        <v>43</v>
      </c>
      <c r="H10728" t="s">
        <v>30</v>
      </c>
      <c r="I10728" t="s">
        <v>20732</v>
      </c>
      <c r="J10728" t="str">
        <f>HYPERLINK("https://www.boe.es/gazeta/dias/1821/06/11/pdfs/GMD-1821-164.pdf#page=1","Abrir facsímil")</f>
        <v>Abrir facsímil</v>
      </c>
      <c r="K10728" t="s">
        <v>32</v>
      </c>
    </row>
    <row r="10729" spans="1:11" ht="42" customHeight="1">
      <c r="A10729" t="s">
        <v>20733</v>
      </c>
      <c r="B10729" t="s">
        <v>20734</v>
      </c>
      <c r="C10729" t="s">
        <v>35</v>
      </c>
      <c r="D10729" t="s">
        <v>27</v>
      </c>
      <c r="E10729" s="6">
        <v>-28746</v>
      </c>
      <c r="F10729" t="s">
        <v>687</v>
      </c>
      <c r="G10729" t="s">
        <v>162</v>
      </c>
      <c r="H10729" t="s">
        <v>21</v>
      </c>
      <c r="I10729" t="s">
        <v>20735</v>
      </c>
      <c r="J10729" t="str">
        <f>HYPERLINK("https://www.boe.es/gazeta/dias/1821/04/17/pdfs/GMD-1821-109.pdf#page=5","Abrir facsímil")</f>
        <v>Abrir facsímil</v>
      </c>
      <c r="K10729" t="s">
        <v>23</v>
      </c>
    </row>
    <row r="10730" spans="1:11" ht="42" customHeight="1">
      <c r="A10730" t="s">
        <v>20736</v>
      </c>
      <c r="B10730" t="s">
        <v>20737</v>
      </c>
      <c r="C10730" t="s">
        <v>26</v>
      </c>
      <c r="D10730" t="s">
        <v>27</v>
      </c>
      <c r="E10730" s="6">
        <v>-28763</v>
      </c>
      <c r="F10730" t="s">
        <v>1145</v>
      </c>
      <c r="G10730" t="s">
        <v>52</v>
      </c>
      <c r="H10730" t="s">
        <v>21</v>
      </c>
      <c r="I10730" t="s">
        <v>20738</v>
      </c>
      <c r="J10730" t="str">
        <f>HYPERLINK("https://www.boe.es/gazeta/dias/1821/03/31/pdfs/GMD-1821-92.pdf#page=2","Abrir facsímil")</f>
        <v>Abrir facsímil</v>
      </c>
      <c r="K10730" t="s">
        <v>23</v>
      </c>
    </row>
    <row r="10731" spans="1:11" ht="42" customHeight="1">
      <c r="A10731" t="s">
        <v>20739</v>
      </c>
      <c r="B10731" t="s">
        <v>20740</v>
      </c>
      <c r="C10731" t="s">
        <v>17</v>
      </c>
      <c r="D10731" t="s">
        <v>18</v>
      </c>
      <c r="E10731" s="6">
        <v>-28718</v>
      </c>
      <c r="F10731" t="s">
        <v>583</v>
      </c>
      <c r="G10731" t="s">
        <v>52</v>
      </c>
      <c r="H10731" t="s">
        <v>21</v>
      </c>
      <c r="I10731" t="s">
        <v>20741</v>
      </c>
      <c r="J10731" t="str">
        <f>HYPERLINK("https://www.boe.es/gazeta/dias/1821/05/15/pdfs/GMD-1821-137.pdf#page=2","Abrir facsímil")</f>
        <v>Abrir facsímil</v>
      </c>
      <c r="K10731" t="s">
        <v>23</v>
      </c>
    </row>
    <row r="10732" spans="1:11" ht="42" customHeight="1">
      <c r="A10732" t="s">
        <v>20742</v>
      </c>
      <c r="B10732" t="s">
        <v>20743</v>
      </c>
      <c r="C10732" t="s">
        <v>40</v>
      </c>
      <c r="D10732" t="s">
        <v>41</v>
      </c>
      <c r="E10732" s="6">
        <v>-28725</v>
      </c>
      <c r="F10732" t="s">
        <v>440</v>
      </c>
      <c r="G10732" t="s">
        <v>20</v>
      </c>
      <c r="H10732" t="s">
        <v>21</v>
      </c>
      <c r="I10732" t="s">
        <v>20744</v>
      </c>
      <c r="J10732" t="str">
        <f>HYPERLINK("https://www.boe.es/gazeta/dias/1821/05/08/pdfs/GMD-1821-130.pdf#page=3","Abrir facsímil")</f>
        <v>Abrir facsímil</v>
      </c>
      <c r="K10732" t="s">
        <v>23</v>
      </c>
    </row>
    <row r="10733" spans="1:11" ht="42" customHeight="1">
      <c r="A10733" t="s">
        <v>20745</v>
      </c>
      <c r="B10733" t="s">
        <v>20746</v>
      </c>
      <c r="C10733" t="s">
        <v>279</v>
      </c>
      <c r="D10733" t="s">
        <v>27</v>
      </c>
      <c r="E10733" s="6">
        <v>-28615</v>
      </c>
      <c r="F10733" t="s">
        <v>427</v>
      </c>
      <c r="G10733" t="s">
        <v>88</v>
      </c>
      <c r="H10733" t="s">
        <v>21</v>
      </c>
      <c r="I10733" t="s">
        <v>20747</v>
      </c>
      <c r="J10733" t="str">
        <f>HYPERLINK("https://www.boe.es/gazeta/dias/1821/08/26/pdfs/GMD-1821-243.pdf#page=4","Abrir facsímil")</f>
        <v>Abrir facsímil</v>
      </c>
      <c r="K10733" t="s">
        <v>23</v>
      </c>
    </row>
    <row r="10734" spans="1:11" ht="42" customHeight="1">
      <c r="A10734" t="s">
        <v>20748</v>
      </c>
      <c r="B10734" t="s">
        <v>20749</v>
      </c>
      <c r="C10734" t="s">
        <v>26</v>
      </c>
      <c r="D10734" t="s">
        <v>27</v>
      </c>
      <c r="E10734" s="6">
        <v>-28547</v>
      </c>
      <c r="F10734" t="s">
        <v>247</v>
      </c>
      <c r="G10734" t="s">
        <v>248</v>
      </c>
      <c r="H10734" t="s">
        <v>21</v>
      </c>
      <c r="I10734" t="s">
        <v>20750</v>
      </c>
      <c r="J10734" t="str">
        <f>HYPERLINK("https://www.boe.es/gazeta/dias/1821/11/02/pdfs/GMD-1821-312.pdf#page=2","Abrir facsímil")</f>
        <v>Abrir facsímil</v>
      </c>
      <c r="K10734" t="s">
        <v>23</v>
      </c>
    </row>
    <row r="10735" spans="1:11" ht="42" customHeight="1">
      <c r="A10735" t="s">
        <v>20751</v>
      </c>
      <c r="B10735" t="s">
        <v>20752</v>
      </c>
      <c r="C10735" t="s">
        <v>17</v>
      </c>
      <c r="D10735" t="s">
        <v>18</v>
      </c>
      <c r="E10735" s="6">
        <v>-28674</v>
      </c>
      <c r="F10735" t="s">
        <v>536</v>
      </c>
      <c r="G10735" t="s">
        <v>537</v>
      </c>
      <c r="H10735" t="s">
        <v>21</v>
      </c>
      <c r="I10735" t="s">
        <v>20753</v>
      </c>
      <c r="J10735" t="str">
        <f>HYPERLINK("https://www.boe.es/gazeta/dias/1821/06/28/pdfs/GMD-1821-181.pdf#page=2","Abrir facsímil")</f>
        <v>Abrir facsímil</v>
      </c>
      <c r="K10735" t="s">
        <v>23</v>
      </c>
    </row>
    <row r="10736" spans="1:11" ht="42" customHeight="1">
      <c r="A10736" t="s">
        <v>20754</v>
      </c>
      <c r="B10736" t="s">
        <v>20755</v>
      </c>
      <c r="C10736" t="s">
        <v>40</v>
      </c>
      <c r="D10736" t="s">
        <v>41</v>
      </c>
      <c r="E10736" s="6">
        <v>-28509</v>
      </c>
      <c r="F10736" t="s">
        <v>388</v>
      </c>
      <c r="G10736" t="s">
        <v>333</v>
      </c>
      <c r="H10736" t="s">
        <v>21</v>
      </c>
      <c r="I10736" t="s">
        <v>20756</v>
      </c>
      <c r="J10736" t="str">
        <f>HYPERLINK("https://www.boe.es/gazeta/dias/1821/12/10/pdfs/GMD-1821-352.pdf#page=8","Abrir facsímil")</f>
        <v>Abrir facsímil</v>
      </c>
      <c r="K10736" t="s">
        <v>23</v>
      </c>
    </row>
    <row r="10737" spans="1:11" ht="42" customHeight="1">
      <c r="A10737" t="s">
        <v>20757</v>
      </c>
      <c r="B10737" t="s">
        <v>20758</v>
      </c>
      <c r="C10737" t="s">
        <v>40</v>
      </c>
      <c r="D10737" t="s">
        <v>41</v>
      </c>
      <c r="E10737" s="6">
        <v>-28812</v>
      </c>
      <c r="F10737" t="s">
        <v>2610</v>
      </c>
      <c r="G10737" t="s">
        <v>20</v>
      </c>
      <c r="H10737" t="s">
        <v>21</v>
      </c>
      <c r="I10737" t="s">
        <v>20759</v>
      </c>
      <c r="J10737" t="str">
        <f>HYPERLINK("https://www.boe.es/gazeta/dias/1821/02/10/pdfs/GGB-1821-41.pdf#page=3","Abrir facsímil")</f>
        <v>Abrir facsímil</v>
      </c>
      <c r="K10737" t="s">
        <v>23</v>
      </c>
    </row>
    <row r="10738" spans="1:11" ht="42" customHeight="1">
      <c r="A10738" t="s">
        <v>20760</v>
      </c>
      <c r="B10738" t="s">
        <v>20761</v>
      </c>
      <c r="C10738" t="s">
        <v>35</v>
      </c>
      <c r="D10738" t="s">
        <v>27</v>
      </c>
      <c r="E10738" s="6">
        <v>-28530</v>
      </c>
      <c r="F10738" t="s">
        <v>237</v>
      </c>
      <c r="G10738" t="s">
        <v>52</v>
      </c>
      <c r="H10738" t="s">
        <v>21</v>
      </c>
      <c r="I10738" t="s">
        <v>20762</v>
      </c>
      <c r="J10738" t="str">
        <f>HYPERLINK("https://www.boe.es/gazeta/dias/1821/11/19/pdfs/GMD-1821-330.pdf#page=2","Abrir facsímil")</f>
        <v>Abrir facsímil</v>
      </c>
      <c r="K10738" t="s">
        <v>23</v>
      </c>
    </row>
    <row r="10739" spans="1:11" ht="42" customHeight="1">
      <c r="A10739" t="s">
        <v>20763</v>
      </c>
      <c r="B10739" t="s">
        <v>20763</v>
      </c>
      <c r="C10739" t="s">
        <v>40</v>
      </c>
      <c r="D10739" t="s">
        <v>41</v>
      </c>
      <c r="E10739" s="6">
        <v>-28560</v>
      </c>
      <c r="F10739" t="s">
        <v>363</v>
      </c>
      <c r="G10739" t="s">
        <v>162</v>
      </c>
      <c r="H10739" t="s">
        <v>21</v>
      </c>
      <c r="I10739" t="s">
        <v>20764</v>
      </c>
      <c r="J10739" t="str">
        <f>HYPERLINK("https://www.boe.es/gazeta/dias/1821/10/20/pdfs/GMD-1821-299.pdf#page=5","Abrir facsímil")</f>
        <v>Abrir facsímil</v>
      </c>
      <c r="K10739" t="s">
        <v>23</v>
      </c>
    </row>
    <row r="10740" spans="1:11" ht="42" customHeight="1">
      <c r="A10740" t="s">
        <v>20765</v>
      </c>
      <c r="B10740" t="s">
        <v>20765</v>
      </c>
      <c r="C10740" t="s">
        <v>174</v>
      </c>
      <c r="D10740" t="s">
        <v>27</v>
      </c>
      <c r="E10740" s="6">
        <v>-28690</v>
      </c>
      <c r="F10740" t="s">
        <v>846</v>
      </c>
      <c r="G10740" t="s">
        <v>20</v>
      </c>
      <c r="H10740" t="s">
        <v>21</v>
      </c>
      <c r="I10740" t="s">
        <v>20766</v>
      </c>
      <c r="J10740" t="str">
        <f>HYPERLINK("https://www.boe.es/gazeta/dias/1821/06/12/pdfs/GMD-1821-165.pdf#page=3","Abrir facsímil")</f>
        <v>Abrir facsímil</v>
      </c>
      <c r="K10740" t="s">
        <v>23</v>
      </c>
    </row>
    <row r="10741" spans="1:11" ht="42" customHeight="1">
      <c r="A10741" t="s">
        <v>20767</v>
      </c>
      <c r="B10741" t="s">
        <v>20767</v>
      </c>
      <c r="C10741" t="s">
        <v>494</v>
      </c>
      <c r="D10741" t="s">
        <v>18</v>
      </c>
      <c r="E10741" s="6">
        <v>-28687</v>
      </c>
      <c r="F10741" t="s">
        <v>851</v>
      </c>
      <c r="G10741" t="s">
        <v>20</v>
      </c>
      <c r="H10741" t="s">
        <v>21</v>
      </c>
      <c r="I10741" t="s">
        <v>20768</v>
      </c>
      <c r="J10741" t="str">
        <f>HYPERLINK("https://www.boe.es/gazeta/dias/1821/06/15/pdfs/GMD-1821-168.pdf#page=3","Abrir facsímil")</f>
        <v>Abrir facsímil</v>
      </c>
      <c r="K10741" t="s">
        <v>23</v>
      </c>
    </row>
    <row r="10742" spans="1:11" ht="42" customHeight="1">
      <c r="A10742" t="s">
        <v>20767</v>
      </c>
      <c r="B10742" t="s">
        <v>20767</v>
      </c>
      <c r="C10742" t="s">
        <v>26</v>
      </c>
      <c r="D10742" t="s">
        <v>27</v>
      </c>
      <c r="E10742" s="6">
        <v>-28686</v>
      </c>
      <c r="F10742" t="s">
        <v>115</v>
      </c>
      <c r="G10742" t="s">
        <v>52</v>
      </c>
      <c r="H10742" t="s">
        <v>21</v>
      </c>
      <c r="I10742" t="s">
        <v>20769</v>
      </c>
      <c r="J10742" t="str">
        <f>HYPERLINK("https://www.boe.es/gazeta/dias/1821/06/16/pdfs/GMD-1821-169.pdf#page=2","Abrir facsímil")</f>
        <v>Abrir facsímil</v>
      </c>
      <c r="K10742" t="s">
        <v>23</v>
      </c>
    </row>
    <row r="10743" spans="1:11" ht="42" customHeight="1">
      <c r="A10743" t="s">
        <v>20770</v>
      </c>
      <c r="B10743" t="s">
        <v>20771</v>
      </c>
      <c r="C10743" t="s">
        <v>17</v>
      </c>
      <c r="D10743" t="s">
        <v>18</v>
      </c>
      <c r="E10743" s="6">
        <v>-28517</v>
      </c>
      <c r="F10743" t="s">
        <v>563</v>
      </c>
      <c r="G10743" t="s">
        <v>43</v>
      </c>
      <c r="H10743" t="s">
        <v>21</v>
      </c>
      <c r="I10743" t="s">
        <v>20772</v>
      </c>
      <c r="J10743" t="str">
        <f>HYPERLINK("https://www.boe.es/gazeta/dias/1821/12/02/pdfs/GMD-1821-344.pdf#page=1","Abrir facsímil")</f>
        <v>Abrir facsímil</v>
      </c>
      <c r="K10743" t="s">
        <v>23</v>
      </c>
    </row>
    <row r="10744" spans="1:11" ht="42" customHeight="1">
      <c r="A10744" t="s">
        <v>20773</v>
      </c>
      <c r="B10744" t="s">
        <v>20774</v>
      </c>
      <c r="C10744" t="s">
        <v>40</v>
      </c>
      <c r="D10744" t="s">
        <v>41</v>
      </c>
      <c r="E10744" s="6">
        <v>-28788</v>
      </c>
      <c r="F10744" t="s">
        <v>996</v>
      </c>
      <c r="G10744" t="s">
        <v>20</v>
      </c>
      <c r="H10744" t="s">
        <v>21</v>
      </c>
      <c r="I10744" t="s">
        <v>20775</v>
      </c>
      <c r="J10744" t="str">
        <f>HYPERLINK("https://www.boe.es/gazeta/dias/1821/03/06/pdfs/GGB-1821-65.pdf#page=3","Abrir facsímil")</f>
        <v>Abrir facsímil</v>
      </c>
      <c r="K10744" t="s">
        <v>23</v>
      </c>
    </row>
    <row r="10745" spans="1:11" ht="42" customHeight="1">
      <c r="A10745" t="s">
        <v>20776</v>
      </c>
      <c r="B10745" t="s">
        <v>20777</v>
      </c>
      <c r="C10745" t="s">
        <v>26</v>
      </c>
      <c r="D10745" t="s">
        <v>27</v>
      </c>
      <c r="E10745" s="6">
        <v>-28704</v>
      </c>
      <c r="F10745" t="s">
        <v>1050</v>
      </c>
      <c r="G10745" t="s">
        <v>52</v>
      </c>
      <c r="H10745" t="s">
        <v>21</v>
      </c>
      <c r="I10745" t="s">
        <v>20778</v>
      </c>
      <c r="J10745" t="str">
        <f>HYPERLINK("https://www.boe.es/gazeta/dias/1821/05/29/pdfs/GMD-1821-151.pdf#page=2","Abrir facsímil")</f>
        <v>Abrir facsímil</v>
      </c>
      <c r="K10745" t="s">
        <v>23</v>
      </c>
    </row>
    <row r="10746" spans="1:11" ht="42" customHeight="1">
      <c r="A10746" t="s">
        <v>20779</v>
      </c>
      <c r="B10746" t="s">
        <v>20780</v>
      </c>
      <c r="C10746" t="s">
        <v>26</v>
      </c>
      <c r="D10746" t="s">
        <v>27</v>
      </c>
      <c r="E10746" s="6">
        <v>-28547</v>
      </c>
      <c r="F10746" t="s">
        <v>247</v>
      </c>
      <c r="G10746" t="s">
        <v>248</v>
      </c>
      <c r="H10746" t="s">
        <v>21</v>
      </c>
      <c r="I10746" t="s">
        <v>20781</v>
      </c>
      <c r="J10746" t="str">
        <f>HYPERLINK("https://www.boe.es/gazeta/dias/1821/11/02/pdfs/GMD-1821-312.pdf#page=2","Abrir facsímil")</f>
        <v>Abrir facsímil</v>
      </c>
      <c r="K10746" t="s">
        <v>23</v>
      </c>
    </row>
    <row r="10747" spans="1:11" ht="42" customHeight="1">
      <c r="A10747" t="s">
        <v>20782</v>
      </c>
      <c r="B10747" t="s">
        <v>20782</v>
      </c>
      <c r="C10747" t="s">
        <v>17</v>
      </c>
      <c r="D10747" t="s">
        <v>18</v>
      </c>
      <c r="E10747" s="6">
        <v>-28706</v>
      </c>
      <c r="F10747" t="s">
        <v>4791</v>
      </c>
      <c r="G10747" t="s">
        <v>52</v>
      </c>
      <c r="H10747" t="s">
        <v>21</v>
      </c>
      <c r="I10747" t="s">
        <v>20783</v>
      </c>
      <c r="J10747" t="str">
        <f>HYPERLINK("https://www.boe.es/gazeta/dias/1821/05/27/pdfs/GMD-1821-149.pdf#page=2","Abrir facsímil")</f>
        <v>Abrir facsímil</v>
      </c>
      <c r="K10747" t="s">
        <v>23</v>
      </c>
    </row>
    <row r="10748" spans="1:11" ht="42" customHeight="1">
      <c r="A10748" t="s">
        <v>20784</v>
      </c>
      <c r="B10748" t="s">
        <v>20785</v>
      </c>
      <c r="C10748" t="s">
        <v>17</v>
      </c>
      <c r="D10748" t="s">
        <v>18</v>
      </c>
      <c r="E10748" s="6">
        <v>-28595</v>
      </c>
      <c r="F10748" t="s">
        <v>1621</v>
      </c>
      <c r="G10748" t="s">
        <v>88</v>
      </c>
      <c r="H10748" t="s">
        <v>21</v>
      </c>
      <c r="I10748" t="s">
        <v>20786</v>
      </c>
      <c r="J10748" t="str">
        <f>HYPERLINK("https://www.boe.es/gazeta/dias/1821/09/15/pdfs/GMD-1821-263.pdf#page=4","Abrir facsímil")</f>
        <v>Abrir facsímil</v>
      </c>
      <c r="K10748" t="s">
        <v>23</v>
      </c>
    </row>
    <row r="10749" spans="1:11" ht="42" customHeight="1">
      <c r="A10749" t="s">
        <v>20787</v>
      </c>
      <c r="B10749" t="s">
        <v>20787</v>
      </c>
      <c r="C10749" t="s">
        <v>17</v>
      </c>
      <c r="D10749" t="s">
        <v>18</v>
      </c>
      <c r="E10749" s="6">
        <v>-28600</v>
      </c>
      <c r="F10749" t="s">
        <v>99</v>
      </c>
      <c r="G10749" t="s">
        <v>43</v>
      </c>
      <c r="H10749" t="s">
        <v>21</v>
      </c>
      <c r="I10749" t="s">
        <v>20788</v>
      </c>
      <c r="J10749" t="str">
        <f>HYPERLINK("https://www.boe.es/gazeta/dias/1821/09/10/pdfs/GMD-1821-258.pdf#page=1","Abrir facsímil")</f>
        <v>Abrir facsímil</v>
      </c>
      <c r="K10749" t="s">
        <v>23</v>
      </c>
    </row>
    <row r="10750" spans="1:11" ht="42" customHeight="1">
      <c r="A10750" t="s">
        <v>20789</v>
      </c>
      <c r="B10750" t="s">
        <v>20789</v>
      </c>
      <c r="C10750" t="s">
        <v>35</v>
      </c>
      <c r="D10750" t="s">
        <v>27</v>
      </c>
      <c r="E10750" s="6">
        <v>-28489</v>
      </c>
      <c r="F10750" t="s">
        <v>3894</v>
      </c>
      <c r="G10750" t="s">
        <v>20</v>
      </c>
      <c r="H10750" t="s">
        <v>21</v>
      </c>
      <c r="I10750" t="s">
        <v>20790</v>
      </c>
      <c r="J10750" t="str">
        <f>HYPERLINK("https://www.boe.es/gazeta/dias/1821/12/30/pdfs/GMD-1821-373.pdf#page=3","Abrir facsímil")</f>
        <v>Abrir facsímil</v>
      </c>
      <c r="K10750" t="s">
        <v>23</v>
      </c>
    </row>
    <row r="10751" spans="1:11" ht="42" customHeight="1">
      <c r="A10751" t="s">
        <v>20791</v>
      </c>
      <c r="B10751" t="s">
        <v>20792</v>
      </c>
      <c r="C10751" t="s">
        <v>40</v>
      </c>
      <c r="D10751" t="s">
        <v>41</v>
      </c>
      <c r="E10751" s="6">
        <v>-28650</v>
      </c>
      <c r="F10751" t="s">
        <v>3285</v>
      </c>
      <c r="G10751" t="s">
        <v>52</v>
      </c>
      <c r="H10751" t="s">
        <v>30</v>
      </c>
      <c r="I10751" t="s">
        <v>20793</v>
      </c>
      <c r="J10751" t="str">
        <f>HYPERLINK("https://www.boe.es/gazeta/dias/1821/07/22/pdfs/GMD-1821-207.pdf#page=2","Abrir facsímil")</f>
        <v>Abrir facsímil</v>
      </c>
      <c r="K10751" t="s">
        <v>32</v>
      </c>
    </row>
    <row r="10752" spans="1:11" ht="42" customHeight="1">
      <c r="A10752" t="s">
        <v>20794</v>
      </c>
      <c r="B10752" t="s">
        <v>20795</v>
      </c>
      <c r="C10752" t="s">
        <v>17</v>
      </c>
      <c r="D10752" t="s">
        <v>18</v>
      </c>
      <c r="E10752" s="6">
        <v>-28624</v>
      </c>
      <c r="F10752" t="s">
        <v>78</v>
      </c>
      <c r="G10752" t="s">
        <v>79</v>
      </c>
      <c r="H10752" t="s">
        <v>30</v>
      </c>
      <c r="I10752" t="s">
        <v>20796</v>
      </c>
      <c r="J10752" t="str">
        <f>HYPERLINK("https://www.boe.es/gazeta/dias/1821/08/17/pdfs/GMD-1821-234.pdf#page=4","Abrir facsímil")</f>
        <v>Abrir facsímil</v>
      </c>
      <c r="K10752" t="s">
        <v>32</v>
      </c>
    </row>
    <row r="10753" spans="1:11" ht="42" customHeight="1">
      <c r="A10753" t="s">
        <v>20797</v>
      </c>
      <c r="B10753" t="s">
        <v>20798</v>
      </c>
      <c r="C10753" t="s">
        <v>26</v>
      </c>
      <c r="D10753" t="s">
        <v>27</v>
      </c>
      <c r="E10753" s="6">
        <v>-28755</v>
      </c>
      <c r="F10753" t="s">
        <v>906</v>
      </c>
      <c r="G10753" t="s">
        <v>907</v>
      </c>
      <c r="H10753" t="s">
        <v>30</v>
      </c>
      <c r="I10753" t="s">
        <v>20799</v>
      </c>
      <c r="J10753" t="str">
        <f>HYPERLINK("https://www.boe.es/gazeta/dias/1821/04/08/pdfs/GMD-1821-100.pdf#page=4","Abrir facsímil")</f>
        <v>Abrir facsímil</v>
      </c>
      <c r="K10753" t="s">
        <v>32</v>
      </c>
    </row>
    <row r="10754" spans="1:11" ht="42" customHeight="1">
      <c r="A10754" t="s">
        <v>20800</v>
      </c>
      <c r="B10754" t="s">
        <v>20801</v>
      </c>
      <c r="C10754" t="s">
        <v>35</v>
      </c>
      <c r="D10754" t="s">
        <v>27</v>
      </c>
      <c r="E10754" s="6">
        <v>-28531</v>
      </c>
      <c r="F10754" t="s">
        <v>365</v>
      </c>
      <c r="G10754" t="s">
        <v>162</v>
      </c>
      <c r="H10754" t="s">
        <v>30</v>
      </c>
      <c r="I10754" t="s">
        <v>20802</v>
      </c>
      <c r="J10754" t="str">
        <f>HYPERLINK("https://www.boe.es/gazeta/dias/1821/11/18/pdfs/GMD-1821-329.pdf#page=5","Abrir facsímil")</f>
        <v>Abrir facsímil</v>
      </c>
      <c r="K10754" t="s">
        <v>32</v>
      </c>
    </row>
    <row r="10755" spans="1:11" ht="42" customHeight="1">
      <c r="A10755" t="s">
        <v>20803</v>
      </c>
      <c r="B10755" t="s">
        <v>20804</v>
      </c>
      <c r="C10755" t="s">
        <v>279</v>
      </c>
      <c r="D10755" t="s">
        <v>27</v>
      </c>
      <c r="E10755" s="6">
        <v>-28847</v>
      </c>
      <c r="F10755" t="s">
        <v>288</v>
      </c>
      <c r="G10755" t="s">
        <v>289</v>
      </c>
      <c r="H10755" t="s">
        <v>21</v>
      </c>
      <c r="I10755" t="s">
        <v>20805</v>
      </c>
      <c r="J10755" t="str">
        <f>HYPERLINK("https://www.boe.es/gazeta/dias/1821/01/06/pdfs/GGB-1821-6.pdf#page=4","Abrir facsímil")</f>
        <v>Abrir facsímil</v>
      </c>
      <c r="K10755" t="s">
        <v>23</v>
      </c>
    </row>
    <row r="10756" spans="1:11" ht="42" customHeight="1">
      <c r="A10756" t="s">
        <v>20806</v>
      </c>
      <c r="B10756" t="s">
        <v>20807</v>
      </c>
      <c r="C10756" t="s">
        <v>17</v>
      </c>
      <c r="D10756" t="s">
        <v>18</v>
      </c>
      <c r="E10756" s="6">
        <v>-28742</v>
      </c>
      <c r="F10756" t="s">
        <v>324</v>
      </c>
      <c r="G10756" t="s">
        <v>20</v>
      </c>
      <c r="H10756" t="s">
        <v>21</v>
      </c>
      <c r="I10756" t="s">
        <v>20808</v>
      </c>
      <c r="J10756" t="str">
        <f>HYPERLINK("https://www.boe.es/gazeta/dias/1821/04/21/pdfs/GMD-1821-113.pdf#page=3","Abrir facsímil")</f>
        <v>Abrir facsímil</v>
      </c>
      <c r="K10756" t="s">
        <v>23</v>
      </c>
    </row>
    <row r="10757" spans="1:11" ht="42" customHeight="1">
      <c r="A10757" t="s">
        <v>20809</v>
      </c>
      <c r="B10757" t="s">
        <v>20810</v>
      </c>
      <c r="C10757" t="s">
        <v>17</v>
      </c>
      <c r="D10757" t="s">
        <v>18</v>
      </c>
      <c r="E10757" s="6">
        <v>-28779</v>
      </c>
      <c r="F10757" t="s">
        <v>1002</v>
      </c>
      <c r="G10757" t="s">
        <v>52</v>
      </c>
      <c r="H10757" t="s">
        <v>21</v>
      </c>
      <c r="I10757" t="s">
        <v>20811</v>
      </c>
      <c r="J10757" t="str">
        <f>HYPERLINK("https://www.boe.es/gazeta/dias/1821/03/15/pdfs/GMD-1821-74.pdf#page=2","Abrir facsímil")</f>
        <v>Abrir facsímil</v>
      </c>
      <c r="K10757" t="s">
        <v>23</v>
      </c>
    </row>
    <row r="10758" spans="1:11" ht="42" customHeight="1">
      <c r="A10758" t="s">
        <v>20812</v>
      </c>
      <c r="B10758" t="s">
        <v>20813</v>
      </c>
      <c r="C10758" t="s">
        <v>114</v>
      </c>
      <c r="D10758" t="s">
        <v>27</v>
      </c>
      <c r="E10758" s="6">
        <v>-28746</v>
      </c>
      <c r="F10758" t="s">
        <v>687</v>
      </c>
      <c r="G10758" t="s">
        <v>333</v>
      </c>
      <c r="H10758" t="s">
        <v>21</v>
      </c>
      <c r="I10758" t="s">
        <v>20814</v>
      </c>
      <c r="J10758" t="str">
        <f>HYPERLINK("https://www.boe.es/gazeta/dias/1821/04/17/pdfs/GMD-1821-109.pdf#page=8","Abrir facsímil")</f>
        <v>Abrir facsímil</v>
      </c>
      <c r="K10758" t="s">
        <v>23</v>
      </c>
    </row>
    <row r="10759" spans="1:11" ht="42" customHeight="1">
      <c r="A10759" t="s">
        <v>20815</v>
      </c>
      <c r="B10759" t="s">
        <v>20816</v>
      </c>
      <c r="C10759" t="s">
        <v>35</v>
      </c>
      <c r="D10759" t="s">
        <v>27</v>
      </c>
      <c r="E10759" s="6">
        <v>-28705</v>
      </c>
      <c r="F10759" t="s">
        <v>1844</v>
      </c>
      <c r="G10759" t="s">
        <v>88</v>
      </c>
      <c r="H10759" t="s">
        <v>21</v>
      </c>
      <c r="I10759" t="s">
        <v>20817</v>
      </c>
      <c r="J10759" t="str">
        <f>HYPERLINK("https://www.boe.es/gazeta/dias/1821/05/28/pdfs/GMD-1821-150.pdf#page=4","Abrir facsímil")</f>
        <v>Abrir facsímil</v>
      </c>
      <c r="K10759" t="s">
        <v>23</v>
      </c>
    </row>
    <row r="10760" spans="1:11" ht="42" customHeight="1">
      <c r="A10760" t="s">
        <v>20818</v>
      </c>
      <c r="B10760" t="s">
        <v>20818</v>
      </c>
      <c r="C10760" t="s">
        <v>279</v>
      </c>
      <c r="D10760" t="s">
        <v>27</v>
      </c>
      <c r="E10760" s="6">
        <v>-28787</v>
      </c>
      <c r="F10760" t="s">
        <v>486</v>
      </c>
      <c r="G10760" t="s">
        <v>52</v>
      </c>
      <c r="H10760" t="s">
        <v>21</v>
      </c>
      <c r="I10760" t="s">
        <v>20819</v>
      </c>
      <c r="J10760" t="str">
        <f>HYPERLINK("https://www.boe.es/gazeta/dias/1821/03/07/pdfs/GGB-1821-66.pdf#page=2","Abrir facsímil")</f>
        <v>Abrir facsímil</v>
      </c>
      <c r="K10760" t="s">
        <v>23</v>
      </c>
    </row>
    <row r="10761" spans="1:11" ht="42" customHeight="1">
      <c r="A10761" t="s">
        <v>20818</v>
      </c>
      <c r="B10761" t="s">
        <v>20818</v>
      </c>
      <c r="C10761" t="s">
        <v>35</v>
      </c>
      <c r="D10761" t="s">
        <v>27</v>
      </c>
      <c r="E10761" s="6">
        <v>-28495</v>
      </c>
      <c r="F10761" t="s">
        <v>227</v>
      </c>
      <c r="G10761" t="s">
        <v>333</v>
      </c>
      <c r="H10761" t="s">
        <v>21</v>
      </c>
      <c r="I10761" t="s">
        <v>20820</v>
      </c>
      <c r="J10761" t="str">
        <f>HYPERLINK("https://www.boe.es/gazeta/dias/1821/12/24/pdfs/GMD-1821-367.pdf#page=8","Abrir facsímil")</f>
        <v>Abrir facsímil</v>
      </c>
      <c r="K10761" t="s">
        <v>23</v>
      </c>
    </row>
    <row r="10762" spans="1:11" ht="42" customHeight="1">
      <c r="A10762" t="s">
        <v>20821</v>
      </c>
      <c r="B10762" t="s">
        <v>20822</v>
      </c>
      <c r="C10762" t="s">
        <v>40</v>
      </c>
      <c r="D10762" t="s">
        <v>41</v>
      </c>
      <c r="E10762" s="6">
        <v>-28561</v>
      </c>
      <c r="F10762" t="s">
        <v>240</v>
      </c>
      <c r="G10762" t="s">
        <v>29</v>
      </c>
      <c r="H10762" t="s">
        <v>21</v>
      </c>
      <c r="I10762" t="s">
        <v>20823</v>
      </c>
      <c r="J10762" t="str">
        <f>HYPERLINK("https://www.boe.es/gazeta/dias/1821/10/19/pdfs/GMD-1821-298.pdf#page=6","Abrir facsímil")</f>
        <v>Abrir facsímil</v>
      </c>
      <c r="K10762" t="s">
        <v>23</v>
      </c>
    </row>
    <row r="10763" spans="1:11" ht="42" customHeight="1">
      <c r="A10763" t="s">
        <v>20824</v>
      </c>
      <c r="B10763" t="s">
        <v>20825</v>
      </c>
      <c r="C10763" t="s">
        <v>26</v>
      </c>
      <c r="D10763" t="s">
        <v>27</v>
      </c>
      <c r="E10763" s="6">
        <v>-28849</v>
      </c>
      <c r="F10763" t="s">
        <v>1989</v>
      </c>
      <c r="G10763" t="s">
        <v>20</v>
      </c>
      <c r="H10763" t="s">
        <v>21</v>
      </c>
      <c r="I10763" t="s">
        <v>20826</v>
      </c>
      <c r="J10763" t="str">
        <f>HYPERLINK("https://www.boe.es/gazeta/dias/1821/01/04/pdfs/GGB-1821-4.pdf#page=3","Abrir facsímil")</f>
        <v>Abrir facsímil</v>
      </c>
      <c r="K10763" t="s">
        <v>23</v>
      </c>
    </row>
    <row r="10764" spans="1:11" ht="42" customHeight="1">
      <c r="A10764" t="s">
        <v>20827</v>
      </c>
      <c r="B10764" t="s">
        <v>20827</v>
      </c>
      <c r="C10764" t="s">
        <v>40</v>
      </c>
      <c r="D10764" t="s">
        <v>41</v>
      </c>
      <c r="E10764" s="6">
        <v>-28684</v>
      </c>
      <c r="F10764" t="s">
        <v>208</v>
      </c>
      <c r="G10764" t="s">
        <v>20</v>
      </c>
      <c r="H10764" t="s">
        <v>21</v>
      </c>
      <c r="I10764" t="s">
        <v>20828</v>
      </c>
      <c r="J10764" t="str">
        <f>HYPERLINK("https://www.boe.es/gazeta/dias/1821/06/18/pdfs/GMD-1821-171.pdf#page=3","Abrir facsímil")</f>
        <v>Abrir facsímil</v>
      </c>
      <c r="K10764" t="s">
        <v>23</v>
      </c>
    </row>
    <row r="10765" spans="1:11" ht="42" customHeight="1">
      <c r="A10765" t="s">
        <v>20829</v>
      </c>
      <c r="B10765" t="s">
        <v>20829</v>
      </c>
      <c r="C10765" t="s">
        <v>26</v>
      </c>
      <c r="D10765" t="s">
        <v>27</v>
      </c>
      <c r="E10765" s="6">
        <v>-28510</v>
      </c>
      <c r="F10765" t="s">
        <v>83</v>
      </c>
      <c r="G10765" t="s">
        <v>20</v>
      </c>
      <c r="H10765" t="s">
        <v>21</v>
      </c>
      <c r="I10765" t="s">
        <v>20830</v>
      </c>
      <c r="J10765" t="str">
        <f>HYPERLINK("https://www.boe.es/gazeta/dias/1821/12/09/pdfs/GMD-1821-351.pdf#page=3","Abrir facsímil")</f>
        <v>Abrir facsímil</v>
      </c>
      <c r="K10765" t="s">
        <v>23</v>
      </c>
    </row>
    <row r="10766" spans="1:11" ht="42" customHeight="1">
      <c r="A10766" t="s">
        <v>20831</v>
      </c>
      <c r="B10766" t="s">
        <v>20831</v>
      </c>
      <c r="C10766" t="s">
        <v>26</v>
      </c>
      <c r="D10766" t="s">
        <v>27</v>
      </c>
      <c r="E10766" s="6">
        <v>-28526</v>
      </c>
      <c r="F10766" t="s">
        <v>223</v>
      </c>
      <c r="G10766" t="s">
        <v>88</v>
      </c>
      <c r="H10766" t="s">
        <v>21</v>
      </c>
      <c r="I10766" t="s">
        <v>20832</v>
      </c>
      <c r="J10766" t="str">
        <f>HYPERLINK("https://www.boe.es/gazeta/dias/1821/11/23/pdfs/GMD-1821-334.pdf#page=4","Abrir facsímil")</f>
        <v>Abrir facsímil</v>
      </c>
      <c r="K10766" t="s">
        <v>23</v>
      </c>
    </row>
    <row r="10767" spans="1:11" ht="42" customHeight="1">
      <c r="A10767" t="s">
        <v>20833</v>
      </c>
      <c r="B10767" t="s">
        <v>20833</v>
      </c>
      <c r="C10767" t="s">
        <v>174</v>
      </c>
      <c r="D10767" t="s">
        <v>27</v>
      </c>
      <c r="E10767" s="6">
        <v>-28514</v>
      </c>
      <c r="F10767" t="s">
        <v>103</v>
      </c>
      <c r="G10767" t="s">
        <v>20</v>
      </c>
      <c r="H10767" t="s">
        <v>21</v>
      </c>
      <c r="I10767" t="s">
        <v>20834</v>
      </c>
      <c r="J10767" t="str">
        <f>HYPERLINK("https://www.boe.es/gazeta/dias/1821/12/05/pdfs/GMD-1821-347.pdf#page=3","Abrir facsímil")</f>
        <v>Abrir facsímil</v>
      </c>
      <c r="K10767" t="s">
        <v>23</v>
      </c>
    </row>
    <row r="10768" spans="1:11" ht="42" customHeight="1">
      <c r="A10768" t="s">
        <v>20835</v>
      </c>
      <c r="B10768" t="s">
        <v>20835</v>
      </c>
      <c r="C10768" t="s">
        <v>26</v>
      </c>
      <c r="D10768" t="s">
        <v>27</v>
      </c>
      <c r="E10768" s="6">
        <v>-28764</v>
      </c>
      <c r="F10768" t="s">
        <v>924</v>
      </c>
      <c r="G10768" t="s">
        <v>20</v>
      </c>
      <c r="H10768" t="s">
        <v>21</v>
      </c>
      <c r="I10768" t="s">
        <v>20836</v>
      </c>
      <c r="J10768" t="str">
        <f>HYPERLINK("https://www.boe.es/gazeta/dias/1821/03/30/pdfs/GMD-1821-91.pdf#page=3","Abrir facsímil")</f>
        <v>Abrir facsímil</v>
      </c>
      <c r="K10768" t="s">
        <v>23</v>
      </c>
    </row>
    <row r="10769" spans="1:11" ht="42" customHeight="1">
      <c r="A10769" t="s">
        <v>20835</v>
      </c>
      <c r="B10769" t="s">
        <v>20835</v>
      </c>
      <c r="C10769" t="s">
        <v>40</v>
      </c>
      <c r="D10769" t="s">
        <v>41</v>
      </c>
      <c r="E10769" s="6">
        <v>-28682</v>
      </c>
      <c r="F10769" t="s">
        <v>1064</v>
      </c>
      <c r="G10769" t="s">
        <v>9461</v>
      </c>
      <c r="H10769" t="s">
        <v>21</v>
      </c>
      <c r="I10769" t="s">
        <v>20837</v>
      </c>
      <c r="J10769" t="str">
        <f>HYPERLINK("https://www.boe.es/gazeta/dias/1821/06/20/pdfs/GMD-1821-173.pdf#page=3","Abrir facsímil")</f>
        <v>Abrir facsímil</v>
      </c>
      <c r="K10769" t="s">
        <v>23</v>
      </c>
    </row>
    <row r="10770" spans="1:11" ht="42" customHeight="1">
      <c r="A10770" t="s">
        <v>20838</v>
      </c>
      <c r="B10770" t="s">
        <v>20838</v>
      </c>
      <c r="C10770" t="s">
        <v>26</v>
      </c>
      <c r="D10770" t="s">
        <v>27</v>
      </c>
      <c r="E10770" s="6">
        <v>-28512</v>
      </c>
      <c r="F10770" t="s">
        <v>66</v>
      </c>
      <c r="G10770" t="s">
        <v>88</v>
      </c>
      <c r="H10770" t="s">
        <v>21</v>
      </c>
      <c r="I10770" t="s">
        <v>20839</v>
      </c>
      <c r="J10770" t="str">
        <f>HYPERLINK("https://www.boe.es/gazeta/dias/1821/12/07/pdfs/GMD-1821-349.pdf#page=4","Abrir facsímil")</f>
        <v>Abrir facsímil</v>
      </c>
      <c r="K10770" t="s">
        <v>23</v>
      </c>
    </row>
    <row r="10771" spans="1:11" ht="42" customHeight="1">
      <c r="A10771" t="s">
        <v>20838</v>
      </c>
      <c r="B10771" t="s">
        <v>20838</v>
      </c>
      <c r="C10771" t="s">
        <v>26</v>
      </c>
      <c r="D10771" t="s">
        <v>27</v>
      </c>
      <c r="E10771" s="6">
        <v>-28497</v>
      </c>
      <c r="F10771" t="s">
        <v>225</v>
      </c>
      <c r="G10771" t="s">
        <v>20</v>
      </c>
      <c r="H10771" t="s">
        <v>21</v>
      </c>
      <c r="I10771" t="s">
        <v>20840</v>
      </c>
      <c r="J10771" t="str">
        <f>HYPERLINK("https://www.boe.es/gazeta/dias/1821/12/22/pdfs/GMD-1821-365.pdf#page=3","Abrir facsímil")</f>
        <v>Abrir facsímil</v>
      </c>
      <c r="K10771" t="s">
        <v>23</v>
      </c>
    </row>
    <row r="10772" spans="1:11" ht="42" customHeight="1">
      <c r="A10772" t="s">
        <v>20841</v>
      </c>
      <c r="B10772" t="s">
        <v>20841</v>
      </c>
      <c r="C10772" t="s">
        <v>35</v>
      </c>
      <c r="D10772" t="s">
        <v>27</v>
      </c>
      <c r="E10772" s="6">
        <v>-28499</v>
      </c>
      <c r="F10772" t="s">
        <v>954</v>
      </c>
      <c r="G10772" t="s">
        <v>20</v>
      </c>
      <c r="H10772" t="s">
        <v>21</v>
      </c>
      <c r="I10772" t="s">
        <v>20842</v>
      </c>
      <c r="J10772" t="str">
        <f>HYPERLINK("https://www.boe.es/gazeta/dias/1821/12/20/pdfs/GMD-1821-363.pdf#page=3","Abrir facsímil")</f>
        <v>Abrir facsímil</v>
      </c>
      <c r="K10772" t="s">
        <v>23</v>
      </c>
    </row>
    <row r="10773" spans="1:11" ht="42" customHeight="1">
      <c r="A10773" t="s">
        <v>20843</v>
      </c>
      <c r="B10773" t="s">
        <v>20843</v>
      </c>
      <c r="C10773" t="s">
        <v>35</v>
      </c>
      <c r="D10773" t="s">
        <v>27</v>
      </c>
      <c r="E10773" s="6">
        <v>-28692</v>
      </c>
      <c r="F10773" t="s">
        <v>3807</v>
      </c>
      <c r="G10773" t="s">
        <v>52</v>
      </c>
      <c r="H10773" t="s">
        <v>21</v>
      </c>
      <c r="I10773" t="s">
        <v>20844</v>
      </c>
      <c r="J10773" t="str">
        <f>HYPERLINK("https://www.boe.es/gazeta/dias/1821/06/10/pdfs/GMD-1821-163.pdf#page=2","Abrir facsímil")</f>
        <v>Abrir facsímil</v>
      </c>
      <c r="K10773" t="s">
        <v>23</v>
      </c>
    </row>
    <row r="10774" spans="1:11" ht="42" customHeight="1">
      <c r="A10774" t="s">
        <v>20845</v>
      </c>
      <c r="B10774" t="s">
        <v>20845</v>
      </c>
      <c r="C10774" t="s">
        <v>26</v>
      </c>
      <c r="D10774" t="s">
        <v>27</v>
      </c>
      <c r="E10774" s="6">
        <v>-28785</v>
      </c>
      <c r="F10774" t="s">
        <v>1935</v>
      </c>
      <c r="G10774" t="s">
        <v>88</v>
      </c>
      <c r="H10774" t="s">
        <v>21</v>
      </c>
      <c r="I10774" t="s">
        <v>20846</v>
      </c>
      <c r="J10774" t="str">
        <f>HYPERLINK("https://www.boe.es/gazeta/dias/1821/03/09/pdfs/GGB-1821-68.pdf#page=4","Abrir facsímil")</f>
        <v>Abrir facsímil</v>
      </c>
      <c r="K10774" t="s">
        <v>23</v>
      </c>
    </row>
    <row r="10775" spans="1:11" ht="42" customHeight="1">
      <c r="A10775" t="s">
        <v>20845</v>
      </c>
      <c r="B10775" t="s">
        <v>20845</v>
      </c>
      <c r="C10775" t="s">
        <v>17</v>
      </c>
      <c r="D10775" t="s">
        <v>18</v>
      </c>
      <c r="E10775" s="6">
        <v>-28755</v>
      </c>
      <c r="F10775" t="s">
        <v>906</v>
      </c>
      <c r="G10775" t="s">
        <v>52</v>
      </c>
      <c r="H10775" t="s">
        <v>21</v>
      </c>
      <c r="I10775" t="s">
        <v>20847</v>
      </c>
      <c r="J10775" t="str">
        <f>HYPERLINK("https://www.boe.es/gazeta/dias/1821/04/08/pdfs/GMD-1821-100.pdf#page=2","Abrir facsímil")</f>
        <v>Abrir facsímil</v>
      </c>
      <c r="K10775" t="s">
        <v>23</v>
      </c>
    </row>
    <row r="10776" spans="1:11" ht="42" customHeight="1">
      <c r="A10776" t="s">
        <v>20845</v>
      </c>
      <c r="B10776" t="s">
        <v>20845</v>
      </c>
      <c r="C10776" t="s">
        <v>70</v>
      </c>
      <c r="D10776" t="s">
        <v>27</v>
      </c>
      <c r="E10776" s="6">
        <v>-28746</v>
      </c>
      <c r="F10776" t="s">
        <v>687</v>
      </c>
      <c r="G10776" t="s">
        <v>88</v>
      </c>
      <c r="H10776" t="s">
        <v>21</v>
      </c>
      <c r="I10776" t="s">
        <v>20848</v>
      </c>
      <c r="J10776" t="str">
        <f>HYPERLINK("https://www.boe.es/gazeta/dias/1821/04/17/pdfs/GMD-1821-109.pdf#page=4","Abrir facsímil")</f>
        <v>Abrir facsímil</v>
      </c>
      <c r="K10776" t="s">
        <v>23</v>
      </c>
    </row>
    <row r="10777" spans="1:11" ht="42" customHeight="1">
      <c r="A10777" t="s">
        <v>20845</v>
      </c>
      <c r="B10777" t="s">
        <v>20845</v>
      </c>
      <c r="C10777" t="s">
        <v>70</v>
      </c>
      <c r="D10777" t="s">
        <v>27</v>
      </c>
      <c r="E10777" s="6">
        <v>-28744</v>
      </c>
      <c r="F10777" t="s">
        <v>834</v>
      </c>
      <c r="G10777" t="s">
        <v>88</v>
      </c>
      <c r="H10777" t="s">
        <v>21</v>
      </c>
      <c r="I10777" t="s">
        <v>20849</v>
      </c>
      <c r="J10777" t="str">
        <f>HYPERLINK("https://www.boe.es/gazeta/dias/1821/04/19/pdfs/GMD-1821-111.pdf#page=4","Abrir facsímil")</f>
        <v>Abrir facsímil</v>
      </c>
      <c r="K10777" t="s">
        <v>23</v>
      </c>
    </row>
    <row r="10778" spans="1:11" ht="42" customHeight="1">
      <c r="A10778" t="s">
        <v>20845</v>
      </c>
      <c r="B10778" t="s">
        <v>20845</v>
      </c>
      <c r="C10778" t="s">
        <v>35</v>
      </c>
      <c r="D10778" t="s">
        <v>27</v>
      </c>
      <c r="E10778" s="6">
        <v>-28735</v>
      </c>
      <c r="F10778" t="s">
        <v>836</v>
      </c>
      <c r="G10778" t="s">
        <v>52</v>
      </c>
      <c r="H10778" t="s">
        <v>21</v>
      </c>
      <c r="I10778" t="s">
        <v>20850</v>
      </c>
      <c r="J10778" t="str">
        <f>HYPERLINK("https://www.boe.es/gazeta/dias/1821/04/28/pdfs/GMD-1821-120.pdf#page=2","Abrir facsímil")</f>
        <v>Abrir facsímil</v>
      </c>
      <c r="K10778" t="s">
        <v>23</v>
      </c>
    </row>
    <row r="10779" spans="1:11" ht="42" customHeight="1">
      <c r="A10779" t="s">
        <v>20845</v>
      </c>
      <c r="B10779" t="s">
        <v>20845</v>
      </c>
      <c r="C10779" t="s">
        <v>114</v>
      </c>
      <c r="D10779" t="s">
        <v>27</v>
      </c>
      <c r="E10779" s="6">
        <v>-28704</v>
      </c>
      <c r="F10779" t="s">
        <v>1050</v>
      </c>
      <c r="G10779" t="s">
        <v>20</v>
      </c>
      <c r="H10779" t="s">
        <v>21</v>
      </c>
      <c r="I10779" t="s">
        <v>20851</v>
      </c>
      <c r="J10779" t="str">
        <f>HYPERLINK("https://www.boe.es/gazeta/dias/1821/05/29/pdfs/GMD-1821-151.pdf#page=3","Abrir facsímil")</f>
        <v>Abrir facsímil</v>
      </c>
      <c r="K10779" t="s">
        <v>23</v>
      </c>
    </row>
    <row r="10780" spans="1:11" ht="42" customHeight="1">
      <c r="A10780" t="s">
        <v>20845</v>
      </c>
      <c r="B10780" t="s">
        <v>20845</v>
      </c>
      <c r="C10780" t="s">
        <v>35</v>
      </c>
      <c r="D10780" t="s">
        <v>27</v>
      </c>
      <c r="E10780" s="6">
        <v>-28702</v>
      </c>
      <c r="F10780" t="s">
        <v>1176</v>
      </c>
      <c r="G10780" t="s">
        <v>20</v>
      </c>
      <c r="H10780" t="s">
        <v>21</v>
      </c>
      <c r="I10780" t="s">
        <v>20852</v>
      </c>
      <c r="J10780" t="str">
        <f>HYPERLINK("https://www.boe.es/gazeta/dias/1821/05/31/pdfs/GMD-1821-153.pdf#page=3","Abrir facsímil")</f>
        <v>Abrir facsímil</v>
      </c>
      <c r="K10780" t="s">
        <v>23</v>
      </c>
    </row>
    <row r="10781" spans="1:11" ht="42" customHeight="1">
      <c r="A10781" t="s">
        <v>20845</v>
      </c>
      <c r="B10781" t="s">
        <v>20845</v>
      </c>
      <c r="C10781" t="s">
        <v>17</v>
      </c>
      <c r="D10781" t="s">
        <v>18</v>
      </c>
      <c r="E10781" s="6">
        <v>-28697</v>
      </c>
      <c r="F10781" t="s">
        <v>166</v>
      </c>
      <c r="G10781" t="s">
        <v>20</v>
      </c>
      <c r="H10781" t="s">
        <v>21</v>
      </c>
      <c r="I10781" t="s">
        <v>20853</v>
      </c>
      <c r="J10781" t="str">
        <f>HYPERLINK("https://www.boe.es/gazeta/dias/1821/06/05/pdfs/GMD-1821-158.pdf#page=3","Abrir facsímil")</f>
        <v>Abrir facsímil</v>
      </c>
      <c r="K10781" t="s">
        <v>23</v>
      </c>
    </row>
    <row r="10782" spans="1:11" ht="42" customHeight="1">
      <c r="A10782" t="s">
        <v>20845</v>
      </c>
      <c r="B10782" t="s">
        <v>20845</v>
      </c>
      <c r="C10782" t="s">
        <v>17</v>
      </c>
      <c r="D10782" t="s">
        <v>18</v>
      </c>
      <c r="E10782" s="6">
        <v>-28696</v>
      </c>
      <c r="F10782" t="s">
        <v>497</v>
      </c>
      <c r="G10782" t="s">
        <v>20</v>
      </c>
      <c r="H10782" t="s">
        <v>21</v>
      </c>
      <c r="I10782" t="s">
        <v>20854</v>
      </c>
      <c r="J10782" t="str">
        <f>HYPERLINK("https://www.boe.es/gazeta/dias/1821/06/06/pdfs/GMD-1821-159.pdf#page=3","Abrir facsímil")</f>
        <v>Abrir facsímil</v>
      </c>
      <c r="K10782" t="s">
        <v>23</v>
      </c>
    </row>
    <row r="10783" spans="1:11" ht="42" customHeight="1">
      <c r="A10783" t="s">
        <v>20845</v>
      </c>
      <c r="B10783" t="s">
        <v>20845</v>
      </c>
      <c r="C10783" t="s">
        <v>40</v>
      </c>
      <c r="D10783" t="s">
        <v>41</v>
      </c>
      <c r="E10783" s="6">
        <v>-28692</v>
      </c>
      <c r="F10783" t="s">
        <v>3807</v>
      </c>
      <c r="G10783" t="s">
        <v>3808</v>
      </c>
      <c r="H10783" t="s">
        <v>21</v>
      </c>
      <c r="I10783" t="s">
        <v>20855</v>
      </c>
      <c r="J10783" t="str">
        <f>HYPERLINK("https://www.boe.es/gazeta/dias/1821/06/10/pdfs/GMD-1821-163.pdf#page=3","Abrir facsímil")</f>
        <v>Abrir facsímil</v>
      </c>
      <c r="K10783" t="s">
        <v>23</v>
      </c>
    </row>
    <row r="10784" spans="1:11" ht="42" customHeight="1">
      <c r="A10784" t="s">
        <v>20845</v>
      </c>
      <c r="B10784" t="s">
        <v>20845</v>
      </c>
      <c r="C10784" t="s">
        <v>26</v>
      </c>
      <c r="D10784" t="s">
        <v>27</v>
      </c>
      <c r="E10784" s="6">
        <v>-28689</v>
      </c>
      <c r="F10784" t="s">
        <v>194</v>
      </c>
      <c r="G10784" t="s">
        <v>205</v>
      </c>
      <c r="H10784" t="s">
        <v>21</v>
      </c>
      <c r="I10784" t="s">
        <v>20856</v>
      </c>
      <c r="J10784" t="str">
        <f>HYPERLINK("https://www.boe.es/gazeta/dias/1821/06/13/pdfs/GMD-1821-166.pdf#page=6","Abrir facsímil")</f>
        <v>Abrir facsímil</v>
      </c>
      <c r="K10784" t="s">
        <v>23</v>
      </c>
    </row>
    <row r="10785" spans="1:11" ht="42" customHeight="1">
      <c r="A10785" t="s">
        <v>20857</v>
      </c>
      <c r="B10785" t="s">
        <v>20857</v>
      </c>
      <c r="C10785" t="s">
        <v>70</v>
      </c>
      <c r="D10785" t="s">
        <v>27</v>
      </c>
      <c r="E10785" s="6">
        <v>-28686</v>
      </c>
      <c r="F10785" t="s">
        <v>115</v>
      </c>
      <c r="G10785" t="s">
        <v>52</v>
      </c>
      <c r="H10785" t="s">
        <v>21</v>
      </c>
      <c r="I10785" t="s">
        <v>20858</v>
      </c>
      <c r="J10785" t="str">
        <f>HYPERLINK("https://www.boe.es/gazeta/dias/1821/06/16/pdfs/GMD-1821-169.pdf#page=2","Abrir facsímil")</f>
        <v>Abrir facsímil</v>
      </c>
      <c r="K10785" t="s">
        <v>23</v>
      </c>
    </row>
    <row r="10786" spans="1:11" ht="42" customHeight="1">
      <c r="A10786" t="s">
        <v>20845</v>
      </c>
      <c r="B10786" t="s">
        <v>20845</v>
      </c>
      <c r="C10786" t="s">
        <v>174</v>
      </c>
      <c r="D10786" t="s">
        <v>27</v>
      </c>
      <c r="E10786" s="6">
        <v>-28678</v>
      </c>
      <c r="F10786" t="s">
        <v>215</v>
      </c>
      <c r="G10786" t="s">
        <v>88</v>
      </c>
      <c r="H10786" t="s">
        <v>21</v>
      </c>
      <c r="I10786" t="s">
        <v>20859</v>
      </c>
      <c r="J10786" t="str">
        <f>HYPERLINK("https://www.boe.es/gazeta/dias/1821/06/24/pdfs/GMD-1821-177.pdf#page=4","Abrir facsímil")</f>
        <v>Abrir facsímil</v>
      </c>
      <c r="K10786" t="s">
        <v>23</v>
      </c>
    </row>
    <row r="10787" spans="1:11" ht="42" customHeight="1">
      <c r="A10787" t="s">
        <v>20845</v>
      </c>
      <c r="B10787" t="s">
        <v>20845</v>
      </c>
      <c r="C10787" t="s">
        <v>40</v>
      </c>
      <c r="D10787" t="s">
        <v>41</v>
      </c>
      <c r="E10787" s="6">
        <v>-28674</v>
      </c>
      <c r="F10787" t="s">
        <v>536</v>
      </c>
      <c r="G10787" t="s">
        <v>20</v>
      </c>
      <c r="H10787" t="s">
        <v>21</v>
      </c>
      <c r="I10787" t="s">
        <v>20860</v>
      </c>
      <c r="J10787" t="str">
        <f>HYPERLINK("https://www.boe.es/gazeta/dias/1821/06/28/pdfs/GMD-1821-181.pdf#page=3","Abrir facsímil")</f>
        <v>Abrir facsímil</v>
      </c>
      <c r="K10787" t="s">
        <v>23</v>
      </c>
    </row>
    <row r="10788" spans="1:11" ht="42" customHeight="1">
      <c r="A10788" t="s">
        <v>20845</v>
      </c>
      <c r="B10788" t="s">
        <v>20845</v>
      </c>
      <c r="C10788" t="s">
        <v>35</v>
      </c>
      <c r="D10788" t="s">
        <v>27</v>
      </c>
      <c r="E10788" s="6">
        <v>-28565</v>
      </c>
      <c r="F10788" t="s">
        <v>326</v>
      </c>
      <c r="G10788" t="s">
        <v>20</v>
      </c>
      <c r="H10788" t="s">
        <v>21</v>
      </c>
      <c r="I10788" t="s">
        <v>20861</v>
      </c>
      <c r="J10788" t="str">
        <f>HYPERLINK("https://www.boe.es/gazeta/dias/1821/10/15/pdfs/GMD-1821-294.pdf#page=3","Abrir facsímil")</f>
        <v>Abrir facsímil</v>
      </c>
      <c r="K10788" t="s">
        <v>23</v>
      </c>
    </row>
    <row r="10789" spans="1:11" ht="42" customHeight="1">
      <c r="A10789" t="s">
        <v>20845</v>
      </c>
      <c r="B10789" t="s">
        <v>20845</v>
      </c>
      <c r="C10789" t="s">
        <v>26</v>
      </c>
      <c r="D10789" t="s">
        <v>27</v>
      </c>
      <c r="E10789" s="6">
        <v>-28551</v>
      </c>
      <c r="F10789" t="s">
        <v>542</v>
      </c>
      <c r="G10789" t="s">
        <v>543</v>
      </c>
      <c r="H10789" t="s">
        <v>21</v>
      </c>
      <c r="I10789" t="s">
        <v>20862</v>
      </c>
      <c r="J10789" t="str">
        <f>HYPERLINK("https://www.boe.es/gazeta/dias/1821/10/29/pdfs/GMD-1821-308.pdf#page=3","Abrir facsímil")</f>
        <v>Abrir facsímil</v>
      </c>
      <c r="K10789" t="s">
        <v>23</v>
      </c>
    </row>
    <row r="10790" spans="1:11" ht="42" customHeight="1">
      <c r="A10790" t="s">
        <v>20845</v>
      </c>
      <c r="B10790" t="s">
        <v>20845</v>
      </c>
      <c r="C10790" t="s">
        <v>35</v>
      </c>
      <c r="D10790" t="s">
        <v>27</v>
      </c>
      <c r="E10790" s="6">
        <v>-28550</v>
      </c>
      <c r="F10790" t="s">
        <v>546</v>
      </c>
      <c r="G10790" t="s">
        <v>88</v>
      </c>
      <c r="H10790" t="s">
        <v>21</v>
      </c>
      <c r="I10790" t="s">
        <v>20863</v>
      </c>
      <c r="J10790" t="str">
        <f>HYPERLINK("https://www.boe.es/gazeta/dias/1821/10/30/pdfs/GMD-1821-309.pdf#page=4","Abrir facsímil")</f>
        <v>Abrir facsímil</v>
      </c>
      <c r="K10790" t="s">
        <v>23</v>
      </c>
    </row>
    <row r="10791" spans="1:11" ht="42" customHeight="1">
      <c r="A10791" t="s">
        <v>20845</v>
      </c>
      <c r="B10791" t="s">
        <v>20845</v>
      </c>
      <c r="C10791" t="s">
        <v>40</v>
      </c>
      <c r="D10791" t="s">
        <v>41</v>
      </c>
      <c r="E10791" s="6">
        <v>-28550</v>
      </c>
      <c r="F10791" t="s">
        <v>546</v>
      </c>
      <c r="G10791" t="s">
        <v>162</v>
      </c>
      <c r="H10791" t="s">
        <v>21</v>
      </c>
      <c r="I10791" t="s">
        <v>20864</v>
      </c>
      <c r="J10791" t="str">
        <f>HYPERLINK("https://www.boe.es/gazeta/dias/1821/10/30/pdfs/GMD-1821-309.pdf#page=5","Abrir facsímil")</f>
        <v>Abrir facsímil</v>
      </c>
      <c r="K10791" t="s">
        <v>23</v>
      </c>
    </row>
    <row r="10792" spans="1:11" ht="42" customHeight="1">
      <c r="A10792" t="s">
        <v>20845</v>
      </c>
      <c r="B10792" t="s">
        <v>20845</v>
      </c>
      <c r="C10792" t="s">
        <v>70</v>
      </c>
      <c r="D10792" t="s">
        <v>27</v>
      </c>
      <c r="E10792" s="6">
        <v>-28548</v>
      </c>
      <c r="F10792" t="s">
        <v>782</v>
      </c>
      <c r="G10792" t="s">
        <v>162</v>
      </c>
      <c r="H10792" t="s">
        <v>21</v>
      </c>
      <c r="I10792" t="s">
        <v>20865</v>
      </c>
      <c r="J10792" t="str">
        <f>HYPERLINK("https://www.boe.es/gazeta/dias/1821/11/01/pdfs/GMD-1821-311.pdf#page=5","Abrir facsímil")</f>
        <v>Abrir facsímil</v>
      </c>
      <c r="K10792" t="s">
        <v>23</v>
      </c>
    </row>
    <row r="10793" spans="1:11" ht="42" customHeight="1">
      <c r="A10793" t="s">
        <v>20845</v>
      </c>
      <c r="B10793" t="s">
        <v>20845</v>
      </c>
      <c r="C10793" t="s">
        <v>40</v>
      </c>
      <c r="D10793" t="s">
        <v>41</v>
      </c>
      <c r="E10793" s="6">
        <v>-28547</v>
      </c>
      <c r="F10793" t="s">
        <v>247</v>
      </c>
      <c r="G10793" t="s">
        <v>20</v>
      </c>
      <c r="H10793" t="s">
        <v>21</v>
      </c>
      <c r="I10793" t="s">
        <v>20866</v>
      </c>
      <c r="J10793" t="str">
        <f>HYPERLINK("https://www.boe.es/gazeta/dias/1821/11/02/pdfs/GMD-1821-312.pdf#page=3","Abrir facsímil")</f>
        <v>Abrir facsímil</v>
      </c>
      <c r="K10793" t="s">
        <v>23</v>
      </c>
    </row>
    <row r="10794" spans="1:11" ht="42" customHeight="1">
      <c r="A10794" t="s">
        <v>20845</v>
      </c>
      <c r="B10794" t="s">
        <v>20845</v>
      </c>
      <c r="C10794" t="s">
        <v>40</v>
      </c>
      <c r="D10794" t="s">
        <v>41</v>
      </c>
      <c r="E10794" s="6">
        <v>-28544</v>
      </c>
      <c r="F10794" t="s">
        <v>139</v>
      </c>
      <c r="G10794" t="s">
        <v>20</v>
      </c>
      <c r="H10794" t="s">
        <v>21</v>
      </c>
      <c r="I10794" t="s">
        <v>20867</v>
      </c>
      <c r="J10794" t="str">
        <f>HYPERLINK("https://www.boe.es/gazeta/dias/1821/11/05/pdfs/GMD-1821-316.pdf#page=3","Abrir facsímil")</f>
        <v>Abrir facsímil</v>
      </c>
      <c r="K10794" t="s">
        <v>23</v>
      </c>
    </row>
    <row r="10795" spans="1:11" ht="42" customHeight="1">
      <c r="A10795" t="s">
        <v>20845</v>
      </c>
      <c r="B10795" t="s">
        <v>20845</v>
      </c>
      <c r="C10795" t="s">
        <v>70</v>
      </c>
      <c r="D10795" t="s">
        <v>27</v>
      </c>
      <c r="E10795" s="6">
        <v>-28531</v>
      </c>
      <c r="F10795" t="s">
        <v>365</v>
      </c>
      <c r="G10795" t="s">
        <v>88</v>
      </c>
      <c r="H10795" t="s">
        <v>21</v>
      </c>
      <c r="I10795" t="s">
        <v>20868</v>
      </c>
      <c r="J10795" t="str">
        <f>HYPERLINK("https://www.boe.es/gazeta/dias/1821/11/18/pdfs/GMD-1821-329.pdf#page=4","Abrir facsímil")</f>
        <v>Abrir facsímil</v>
      </c>
      <c r="K10795" t="s">
        <v>23</v>
      </c>
    </row>
    <row r="10796" spans="1:11" ht="42" customHeight="1">
      <c r="A10796" t="s">
        <v>20845</v>
      </c>
      <c r="B10796" t="s">
        <v>20845</v>
      </c>
      <c r="C10796" t="s">
        <v>40</v>
      </c>
      <c r="D10796" t="s">
        <v>41</v>
      </c>
      <c r="E10796" s="6">
        <v>-28528</v>
      </c>
      <c r="F10796" t="s">
        <v>1872</v>
      </c>
      <c r="G10796" t="s">
        <v>88</v>
      </c>
      <c r="H10796" t="s">
        <v>21</v>
      </c>
      <c r="I10796" t="s">
        <v>20869</v>
      </c>
      <c r="J10796" t="str">
        <f>HYPERLINK("https://www.boe.es/gazeta/dias/1821/11/21/pdfs/GMD-1821-332.pdf#page=4","Abrir facsímil")</f>
        <v>Abrir facsímil</v>
      </c>
      <c r="K10796" t="s">
        <v>23</v>
      </c>
    </row>
    <row r="10797" spans="1:11" ht="42" customHeight="1">
      <c r="A10797" t="s">
        <v>20845</v>
      </c>
      <c r="B10797" t="s">
        <v>20845</v>
      </c>
      <c r="C10797" t="s">
        <v>40</v>
      </c>
      <c r="D10797" t="s">
        <v>41</v>
      </c>
      <c r="E10797" s="6">
        <v>-28525</v>
      </c>
      <c r="F10797" t="s">
        <v>186</v>
      </c>
      <c r="G10797" t="s">
        <v>52</v>
      </c>
      <c r="H10797" t="s">
        <v>21</v>
      </c>
      <c r="I10797" t="s">
        <v>20870</v>
      </c>
      <c r="J10797" t="str">
        <f>HYPERLINK("https://www.boe.es/gazeta/dias/1821/11/24/pdfs/GMD-1821-335.pdf#page=2","Abrir facsímil")</f>
        <v>Abrir facsímil</v>
      </c>
      <c r="K10797" t="s">
        <v>23</v>
      </c>
    </row>
    <row r="10798" spans="1:11" ht="42" customHeight="1">
      <c r="A10798" t="s">
        <v>20845</v>
      </c>
      <c r="B10798" t="s">
        <v>20845</v>
      </c>
      <c r="C10798" t="s">
        <v>279</v>
      </c>
      <c r="D10798" t="s">
        <v>27</v>
      </c>
      <c r="E10798" s="6">
        <v>-28524</v>
      </c>
      <c r="F10798" t="s">
        <v>874</v>
      </c>
      <c r="G10798" t="s">
        <v>88</v>
      </c>
      <c r="H10798" t="s">
        <v>21</v>
      </c>
      <c r="I10798" t="s">
        <v>20871</v>
      </c>
      <c r="J10798" t="str">
        <f>HYPERLINK("https://www.boe.es/gazeta/dias/1821/11/25/pdfs/GMD-1821-336.pdf#page=4","Abrir facsímil")</f>
        <v>Abrir facsímil</v>
      </c>
      <c r="K10798" t="s">
        <v>23</v>
      </c>
    </row>
    <row r="10799" spans="1:11" ht="42" customHeight="1">
      <c r="A10799" t="s">
        <v>20845</v>
      </c>
      <c r="B10799" t="s">
        <v>20845</v>
      </c>
      <c r="C10799" t="s">
        <v>40</v>
      </c>
      <c r="D10799" t="s">
        <v>41</v>
      </c>
      <c r="E10799" s="6">
        <v>-28522</v>
      </c>
      <c r="F10799" t="s">
        <v>1083</v>
      </c>
      <c r="G10799" t="s">
        <v>1288</v>
      </c>
      <c r="H10799" t="s">
        <v>21</v>
      </c>
      <c r="I10799" t="s">
        <v>20872</v>
      </c>
      <c r="J10799" t="str">
        <f>HYPERLINK("https://www.boe.es/gazeta/dias/1821/11/27/pdfs/GMD-1821-339.pdf#page=4","Abrir facsímil")</f>
        <v>Abrir facsímil</v>
      </c>
      <c r="K10799" t="s">
        <v>23</v>
      </c>
    </row>
    <row r="10800" spans="1:11" ht="42" customHeight="1">
      <c r="A10800" t="s">
        <v>20845</v>
      </c>
      <c r="B10800" t="s">
        <v>20845</v>
      </c>
      <c r="C10800" t="s">
        <v>35</v>
      </c>
      <c r="D10800" t="s">
        <v>27</v>
      </c>
      <c r="E10800" s="6">
        <v>-28521</v>
      </c>
      <c r="F10800" t="s">
        <v>499</v>
      </c>
      <c r="G10800" t="s">
        <v>52</v>
      </c>
      <c r="H10800" t="s">
        <v>21</v>
      </c>
      <c r="I10800" t="s">
        <v>20873</v>
      </c>
      <c r="J10800" t="str">
        <f>HYPERLINK("https://www.boe.es/gazeta/dias/1821/11/28/pdfs/GMD-1821-340.pdf#page=2","Abrir facsímil")</f>
        <v>Abrir facsímil</v>
      </c>
      <c r="K10800" t="s">
        <v>23</v>
      </c>
    </row>
    <row r="10801" spans="1:11" ht="42" customHeight="1">
      <c r="A10801" t="s">
        <v>20845</v>
      </c>
      <c r="B10801" t="s">
        <v>20845</v>
      </c>
      <c r="C10801" t="s">
        <v>35</v>
      </c>
      <c r="D10801" t="s">
        <v>27</v>
      </c>
      <c r="E10801" s="6">
        <v>-28521</v>
      </c>
      <c r="F10801" t="s">
        <v>499</v>
      </c>
      <c r="G10801" t="s">
        <v>20</v>
      </c>
      <c r="H10801" t="s">
        <v>21</v>
      </c>
      <c r="I10801" t="s">
        <v>20874</v>
      </c>
      <c r="J10801" t="str">
        <f>HYPERLINK("https://www.boe.es/gazeta/dias/1821/11/28/pdfs/GMD-1821-340.pdf#page=3","Abrir facsímil")</f>
        <v>Abrir facsímil</v>
      </c>
      <c r="K10801" t="s">
        <v>23</v>
      </c>
    </row>
    <row r="10802" spans="1:11" ht="42" customHeight="1">
      <c r="A10802" t="s">
        <v>20845</v>
      </c>
      <c r="B10802" t="s">
        <v>20845</v>
      </c>
      <c r="C10802" t="s">
        <v>26</v>
      </c>
      <c r="D10802" t="s">
        <v>27</v>
      </c>
      <c r="E10802" s="6">
        <v>-28516</v>
      </c>
      <c r="F10802" t="s">
        <v>514</v>
      </c>
      <c r="G10802" t="s">
        <v>162</v>
      </c>
      <c r="H10802" t="s">
        <v>21</v>
      </c>
      <c r="I10802" t="s">
        <v>20875</v>
      </c>
      <c r="J10802" t="str">
        <f>HYPERLINK("https://www.boe.es/gazeta/dias/1821/12/03/pdfs/GMD-1821-345.pdf#page=5","Abrir facsímil")</f>
        <v>Abrir facsímil</v>
      </c>
      <c r="K10802" t="s">
        <v>23</v>
      </c>
    </row>
    <row r="10803" spans="1:11" ht="42" customHeight="1">
      <c r="A10803" t="s">
        <v>20845</v>
      </c>
      <c r="B10803" t="s">
        <v>20845</v>
      </c>
      <c r="C10803" t="s">
        <v>26</v>
      </c>
      <c r="D10803" t="s">
        <v>27</v>
      </c>
      <c r="E10803" s="6">
        <v>-28516</v>
      </c>
      <c r="F10803" t="s">
        <v>514</v>
      </c>
      <c r="G10803" t="s">
        <v>29</v>
      </c>
      <c r="H10803" t="s">
        <v>21</v>
      </c>
      <c r="I10803" t="s">
        <v>20876</v>
      </c>
      <c r="J10803" t="str">
        <f>HYPERLINK("https://www.boe.es/gazeta/dias/1821/12/03/pdfs/GMD-1821-345.pdf#page=6","Abrir facsímil")</f>
        <v>Abrir facsímil</v>
      </c>
      <c r="K10803" t="s">
        <v>23</v>
      </c>
    </row>
    <row r="10804" spans="1:11" ht="42" customHeight="1">
      <c r="A10804" t="s">
        <v>20845</v>
      </c>
      <c r="B10804" t="s">
        <v>20845</v>
      </c>
      <c r="C10804" t="s">
        <v>70</v>
      </c>
      <c r="D10804" t="s">
        <v>27</v>
      </c>
      <c r="E10804" s="6">
        <v>-28514</v>
      </c>
      <c r="F10804" t="s">
        <v>103</v>
      </c>
      <c r="G10804" t="s">
        <v>88</v>
      </c>
      <c r="H10804" t="s">
        <v>21</v>
      </c>
      <c r="I10804" t="s">
        <v>20877</v>
      </c>
      <c r="J10804" t="str">
        <f>HYPERLINK("https://www.boe.es/gazeta/dias/1821/12/05/pdfs/GMD-1821-347.pdf#page=4","Abrir facsímil")</f>
        <v>Abrir facsímil</v>
      </c>
      <c r="K10804" t="s">
        <v>23</v>
      </c>
    </row>
    <row r="10805" spans="1:11" ht="42" customHeight="1">
      <c r="A10805" t="s">
        <v>20845</v>
      </c>
      <c r="B10805" t="s">
        <v>20845</v>
      </c>
      <c r="C10805" t="s">
        <v>17</v>
      </c>
      <c r="D10805" t="s">
        <v>18</v>
      </c>
      <c r="E10805" s="6">
        <v>-28512</v>
      </c>
      <c r="F10805" t="s">
        <v>66</v>
      </c>
      <c r="G10805" t="s">
        <v>20</v>
      </c>
      <c r="H10805" t="s">
        <v>21</v>
      </c>
      <c r="I10805" t="s">
        <v>20878</v>
      </c>
      <c r="J10805" t="str">
        <f>HYPERLINK("https://www.boe.es/gazeta/dias/1821/12/07/pdfs/GMD-1821-349.pdf#page=3","Abrir facsímil")</f>
        <v>Abrir facsímil</v>
      </c>
      <c r="K10805" t="s">
        <v>23</v>
      </c>
    </row>
    <row r="10806" spans="1:11" ht="42" customHeight="1">
      <c r="A10806" t="s">
        <v>20879</v>
      </c>
      <c r="B10806" t="s">
        <v>20879</v>
      </c>
      <c r="C10806" t="s">
        <v>26</v>
      </c>
      <c r="D10806" t="s">
        <v>27</v>
      </c>
      <c r="E10806" s="6">
        <v>-28510</v>
      </c>
      <c r="F10806" t="s">
        <v>83</v>
      </c>
      <c r="G10806" t="s">
        <v>88</v>
      </c>
      <c r="H10806" t="s">
        <v>21</v>
      </c>
      <c r="I10806" t="s">
        <v>20880</v>
      </c>
      <c r="J10806" t="str">
        <f>HYPERLINK("https://www.boe.es/gazeta/dias/1821/12/09/pdfs/GMD-1821-351.pdf#page=4","Abrir facsímil")</f>
        <v>Abrir facsímil</v>
      </c>
      <c r="K10806" t="s">
        <v>23</v>
      </c>
    </row>
    <row r="10807" spans="1:11" ht="42" customHeight="1">
      <c r="A10807" t="s">
        <v>20881</v>
      </c>
      <c r="B10807" t="s">
        <v>20881</v>
      </c>
      <c r="C10807" t="s">
        <v>17</v>
      </c>
      <c r="D10807" t="s">
        <v>18</v>
      </c>
      <c r="E10807" s="6">
        <v>-28509</v>
      </c>
      <c r="F10807" t="s">
        <v>388</v>
      </c>
      <c r="G10807" t="s">
        <v>333</v>
      </c>
      <c r="H10807" t="s">
        <v>21</v>
      </c>
      <c r="I10807" t="s">
        <v>20882</v>
      </c>
      <c r="J10807" t="str">
        <f>HYPERLINK("https://www.boe.es/gazeta/dias/1821/12/10/pdfs/GMD-1821-352.pdf#page=8","Abrir facsímil")</f>
        <v>Abrir facsímil</v>
      </c>
      <c r="K10807" t="s">
        <v>23</v>
      </c>
    </row>
    <row r="10808" spans="1:11" ht="42" customHeight="1">
      <c r="A10808" t="s">
        <v>20845</v>
      </c>
      <c r="B10808" t="s">
        <v>20845</v>
      </c>
      <c r="C10808" t="s">
        <v>70</v>
      </c>
      <c r="D10808" t="s">
        <v>27</v>
      </c>
      <c r="E10808" s="6">
        <v>-28501</v>
      </c>
      <c r="F10808" t="s">
        <v>456</v>
      </c>
      <c r="G10808" t="s">
        <v>457</v>
      </c>
      <c r="H10808" t="s">
        <v>21</v>
      </c>
      <c r="I10808" t="s">
        <v>20883</v>
      </c>
      <c r="J10808" t="str">
        <f>HYPERLINK("https://www.boe.es/gazeta/dias/1821/12/18/pdfs/GMD-1821-361.pdf#page=5","Abrir facsímil")</f>
        <v>Abrir facsímil</v>
      </c>
      <c r="K10808" t="s">
        <v>23</v>
      </c>
    </row>
    <row r="10809" spans="1:11" ht="42" customHeight="1">
      <c r="A10809" t="s">
        <v>20845</v>
      </c>
      <c r="B10809" t="s">
        <v>20845</v>
      </c>
      <c r="C10809" t="s">
        <v>26</v>
      </c>
      <c r="D10809" t="s">
        <v>27</v>
      </c>
      <c r="E10809" s="6">
        <v>-28500</v>
      </c>
      <c r="F10809" t="s">
        <v>298</v>
      </c>
      <c r="G10809" t="s">
        <v>299</v>
      </c>
      <c r="H10809" t="s">
        <v>21</v>
      </c>
      <c r="I10809" t="s">
        <v>20884</v>
      </c>
      <c r="J10809" t="str">
        <f>HYPERLINK("https://www.boe.es/gazeta/dias/1821/12/19/pdfs/GMD-1821-362.pdf#page=4","Abrir facsímil")</f>
        <v>Abrir facsímil</v>
      </c>
      <c r="K10809" t="s">
        <v>23</v>
      </c>
    </row>
    <row r="10810" spans="1:11" ht="42" customHeight="1">
      <c r="A10810" t="s">
        <v>20845</v>
      </c>
      <c r="B10810" t="s">
        <v>20845</v>
      </c>
      <c r="C10810" t="s">
        <v>17</v>
      </c>
      <c r="D10810" t="s">
        <v>18</v>
      </c>
      <c r="E10810" s="6">
        <v>-28500</v>
      </c>
      <c r="F10810" t="s">
        <v>298</v>
      </c>
      <c r="G10810" t="s">
        <v>20</v>
      </c>
      <c r="H10810" t="s">
        <v>21</v>
      </c>
      <c r="I10810" t="s">
        <v>20885</v>
      </c>
      <c r="J10810" t="str">
        <f>HYPERLINK("https://www.boe.es/gazeta/dias/1821/12/19/pdfs/GMD-1821-362.pdf#page=3","Abrir facsímil")</f>
        <v>Abrir facsímil</v>
      </c>
      <c r="K10810" t="s">
        <v>23</v>
      </c>
    </row>
    <row r="10811" spans="1:11" ht="42" customHeight="1">
      <c r="A10811" t="s">
        <v>20845</v>
      </c>
      <c r="B10811" t="s">
        <v>20845</v>
      </c>
      <c r="C10811" t="s">
        <v>17</v>
      </c>
      <c r="D10811" t="s">
        <v>18</v>
      </c>
      <c r="E10811" s="6">
        <v>-28499</v>
      </c>
      <c r="F10811" t="s">
        <v>954</v>
      </c>
      <c r="G10811" t="s">
        <v>20</v>
      </c>
      <c r="H10811" t="s">
        <v>21</v>
      </c>
      <c r="I10811" t="s">
        <v>20886</v>
      </c>
      <c r="J10811" t="str">
        <f>HYPERLINK("https://www.boe.es/gazeta/dias/1821/12/20/pdfs/GMD-1821-363.pdf#page=3","Abrir facsímil")</f>
        <v>Abrir facsímil</v>
      </c>
      <c r="K10811" t="s">
        <v>23</v>
      </c>
    </row>
    <row r="10812" spans="1:11" ht="42" customHeight="1">
      <c r="A10812" t="s">
        <v>20845</v>
      </c>
      <c r="B10812" t="s">
        <v>20845</v>
      </c>
      <c r="C10812" t="s">
        <v>26</v>
      </c>
      <c r="D10812" t="s">
        <v>27</v>
      </c>
      <c r="E10812" s="6">
        <v>-28490</v>
      </c>
      <c r="F10812" t="s">
        <v>801</v>
      </c>
      <c r="G10812" t="s">
        <v>802</v>
      </c>
      <c r="H10812" t="s">
        <v>21</v>
      </c>
      <c r="I10812" t="s">
        <v>20887</v>
      </c>
      <c r="J10812" t="str">
        <f>HYPERLINK("https://www.boe.es/gazeta/dias/1821/12/29/pdfs/GMD-1821-372.pdf#page=3","Abrir facsímil")</f>
        <v>Abrir facsímil</v>
      </c>
      <c r="K10812" t="s">
        <v>23</v>
      </c>
    </row>
    <row r="10813" spans="1:11" ht="42" customHeight="1">
      <c r="A10813" t="s">
        <v>20845</v>
      </c>
      <c r="B10813" t="s">
        <v>20845</v>
      </c>
      <c r="C10813" t="s">
        <v>35</v>
      </c>
      <c r="D10813" t="s">
        <v>27</v>
      </c>
      <c r="E10813" s="6">
        <v>-28489</v>
      </c>
      <c r="F10813" t="s">
        <v>3894</v>
      </c>
      <c r="G10813" t="s">
        <v>20</v>
      </c>
      <c r="H10813" t="s">
        <v>21</v>
      </c>
      <c r="I10813" t="s">
        <v>20888</v>
      </c>
      <c r="J10813" t="str">
        <f>HYPERLINK("https://www.boe.es/gazeta/dias/1821/12/30/pdfs/GMD-1821-373.pdf#page=3","Abrir facsímil")</f>
        <v>Abrir facsímil</v>
      </c>
      <c r="K10813" t="s">
        <v>23</v>
      </c>
    </row>
    <row r="10814" spans="1:11" ht="42" customHeight="1">
      <c r="A10814" t="s">
        <v>20889</v>
      </c>
      <c r="B10814" t="s">
        <v>20890</v>
      </c>
      <c r="C10814" t="s">
        <v>35</v>
      </c>
      <c r="D10814" t="s">
        <v>27</v>
      </c>
      <c r="E10814" s="6">
        <v>-28532</v>
      </c>
      <c r="F10814" t="s">
        <v>1415</v>
      </c>
      <c r="G10814" t="s">
        <v>29</v>
      </c>
      <c r="H10814" t="s">
        <v>21</v>
      </c>
      <c r="I10814" t="s">
        <v>20891</v>
      </c>
      <c r="J10814" t="str">
        <f>HYPERLINK("https://www.boe.es/gazeta/dias/1821/11/17/pdfs/GMD-1821-328.pdf#page=6","Abrir facsímil")</f>
        <v>Abrir facsímil</v>
      </c>
      <c r="K10814" t="s">
        <v>23</v>
      </c>
    </row>
    <row r="10815" spans="1:11" ht="42" customHeight="1">
      <c r="A10815" t="s">
        <v>20892</v>
      </c>
      <c r="B10815" t="s">
        <v>20892</v>
      </c>
      <c r="C10815" t="s">
        <v>40</v>
      </c>
      <c r="D10815" t="s">
        <v>41</v>
      </c>
      <c r="E10815" s="6">
        <v>-28497</v>
      </c>
      <c r="F10815" t="s">
        <v>225</v>
      </c>
      <c r="G10815" t="s">
        <v>88</v>
      </c>
      <c r="H10815" t="s">
        <v>21</v>
      </c>
      <c r="I10815" t="s">
        <v>20893</v>
      </c>
      <c r="J10815" t="str">
        <f>HYPERLINK("https://www.boe.es/gazeta/dias/1821/12/22/pdfs/GMD-1821-365.pdf#page=4","Abrir facsímil")</f>
        <v>Abrir facsímil</v>
      </c>
      <c r="K10815" t="s">
        <v>23</v>
      </c>
    </row>
    <row r="10816" spans="1:11" ht="42" customHeight="1">
      <c r="A10816" t="s">
        <v>20894</v>
      </c>
      <c r="B10816" t="s">
        <v>20895</v>
      </c>
      <c r="C10816" t="s">
        <v>17</v>
      </c>
      <c r="D10816" t="s">
        <v>18</v>
      </c>
      <c r="E10816" s="6">
        <v>-28776</v>
      </c>
      <c r="F10816" t="s">
        <v>312</v>
      </c>
      <c r="G10816" t="s">
        <v>162</v>
      </c>
      <c r="H10816" t="s">
        <v>21</v>
      </c>
      <c r="I10816" t="s">
        <v>20896</v>
      </c>
      <c r="J10816" t="str">
        <f>HYPERLINK("https://www.boe.es/gazeta/dias/1821/03/18/pdfs/GMD-1821-77.pdf#page=5","Abrir facsímil")</f>
        <v>Abrir facsímil</v>
      </c>
      <c r="K10816" t="s">
        <v>23</v>
      </c>
    </row>
    <row r="10817" spans="1:11" ht="42" customHeight="1">
      <c r="A10817" t="s">
        <v>20897</v>
      </c>
      <c r="B10817" t="s">
        <v>20897</v>
      </c>
      <c r="C10817" t="s">
        <v>40</v>
      </c>
      <c r="D10817" t="s">
        <v>41</v>
      </c>
      <c r="E10817" s="6">
        <v>-28709</v>
      </c>
      <c r="F10817" t="s">
        <v>1434</v>
      </c>
      <c r="G10817" t="s">
        <v>43</v>
      </c>
      <c r="H10817" t="s">
        <v>21</v>
      </c>
      <c r="I10817" t="s">
        <v>20898</v>
      </c>
      <c r="J10817" t="str">
        <f>HYPERLINK("https://www.boe.es/gazeta/dias/1821/05/24/pdfs/GMD-1821-146.pdf#page=1","Abrir facsímil")</f>
        <v>Abrir facsímil</v>
      </c>
      <c r="K10817" t="s">
        <v>23</v>
      </c>
    </row>
    <row r="10818" spans="1:11" ht="42" customHeight="1">
      <c r="A10818" t="s">
        <v>20899</v>
      </c>
      <c r="B10818" t="s">
        <v>20900</v>
      </c>
      <c r="C10818" t="s">
        <v>35</v>
      </c>
      <c r="D10818" t="s">
        <v>27</v>
      </c>
      <c r="E10818" s="6">
        <v>-28548</v>
      </c>
      <c r="F10818" t="s">
        <v>782</v>
      </c>
      <c r="G10818" t="s">
        <v>162</v>
      </c>
      <c r="H10818" t="s">
        <v>21</v>
      </c>
      <c r="I10818" t="s">
        <v>20901</v>
      </c>
      <c r="J10818" t="str">
        <f>HYPERLINK("https://www.boe.es/gazeta/dias/1821/11/01/pdfs/GMD-1821-311.pdf#page=5","Abrir facsímil")</f>
        <v>Abrir facsímil</v>
      </c>
      <c r="K10818" t="s">
        <v>23</v>
      </c>
    </row>
    <row r="10819" spans="1:11" ht="42" customHeight="1">
      <c r="A10819" t="s">
        <v>20902</v>
      </c>
      <c r="B10819" t="s">
        <v>20903</v>
      </c>
      <c r="C10819" t="s">
        <v>17</v>
      </c>
      <c r="D10819" t="s">
        <v>18</v>
      </c>
      <c r="E10819" s="6">
        <v>-28693</v>
      </c>
      <c r="F10819" t="s">
        <v>74</v>
      </c>
      <c r="G10819" t="s">
        <v>20</v>
      </c>
      <c r="H10819" t="s">
        <v>21</v>
      </c>
      <c r="I10819" t="s">
        <v>20904</v>
      </c>
      <c r="J10819" t="str">
        <f>HYPERLINK("https://www.boe.es/gazeta/dias/1821/06/09/pdfs/GMD-1821-162.pdf#page=3","Abrir facsímil")</f>
        <v>Abrir facsímil</v>
      </c>
      <c r="K10819" t="s">
        <v>23</v>
      </c>
    </row>
    <row r="10820" spans="1:11" ht="42" customHeight="1">
      <c r="A10820" t="s">
        <v>20905</v>
      </c>
      <c r="B10820" t="s">
        <v>20906</v>
      </c>
      <c r="C10820" t="s">
        <v>174</v>
      </c>
      <c r="D10820" t="s">
        <v>27</v>
      </c>
      <c r="E10820" s="6">
        <v>-28616</v>
      </c>
      <c r="F10820" t="s">
        <v>1912</v>
      </c>
      <c r="G10820" t="s">
        <v>6462</v>
      </c>
      <c r="H10820" t="s">
        <v>21</v>
      </c>
      <c r="I10820" t="s">
        <v>20907</v>
      </c>
      <c r="J10820" t="str">
        <f>HYPERLINK("https://www.boe.es/gazeta/dias/1821/08/25/pdfs/GMD-1821-242.pdf#page=4","Abrir facsímil")</f>
        <v>Abrir facsímil</v>
      </c>
      <c r="K10820" t="s">
        <v>23</v>
      </c>
    </row>
    <row r="10821" spans="1:11" ht="42" customHeight="1">
      <c r="A10821" t="s">
        <v>20908</v>
      </c>
      <c r="B10821" t="s">
        <v>20909</v>
      </c>
      <c r="C10821" t="s">
        <v>17</v>
      </c>
      <c r="D10821" t="s">
        <v>18</v>
      </c>
      <c r="E10821" s="6">
        <v>-28693</v>
      </c>
      <c r="F10821" t="s">
        <v>74</v>
      </c>
      <c r="G10821" t="s">
        <v>20</v>
      </c>
      <c r="H10821" t="s">
        <v>21</v>
      </c>
      <c r="I10821" t="s">
        <v>20910</v>
      </c>
      <c r="J10821" t="str">
        <f>HYPERLINK("https://www.boe.es/gazeta/dias/1821/06/09/pdfs/GMD-1821-162.pdf#page=3","Abrir facsímil")</f>
        <v>Abrir facsímil</v>
      </c>
      <c r="K10821" t="s">
        <v>23</v>
      </c>
    </row>
    <row r="10822" spans="1:11" ht="42" customHeight="1">
      <c r="A10822" t="s">
        <v>20908</v>
      </c>
      <c r="B10822" t="s">
        <v>20909</v>
      </c>
      <c r="C10822" t="s">
        <v>114</v>
      </c>
      <c r="D10822" t="s">
        <v>27</v>
      </c>
      <c r="E10822" s="6">
        <v>-28684</v>
      </c>
      <c r="F10822" t="s">
        <v>208</v>
      </c>
      <c r="G10822" t="s">
        <v>20</v>
      </c>
      <c r="H10822" t="s">
        <v>21</v>
      </c>
      <c r="I10822" t="s">
        <v>20911</v>
      </c>
      <c r="J10822" t="str">
        <f>HYPERLINK("https://www.boe.es/gazeta/dias/1821/06/18/pdfs/GMD-1821-171.pdf#page=3","Abrir facsímil")</f>
        <v>Abrir facsímil</v>
      </c>
      <c r="K10822" t="s">
        <v>23</v>
      </c>
    </row>
    <row r="10823" spans="1:11" ht="42" customHeight="1">
      <c r="A10823" t="s">
        <v>20912</v>
      </c>
      <c r="B10823" t="s">
        <v>20913</v>
      </c>
      <c r="C10823" t="s">
        <v>17</v>
      </c>
      <c r="D10823" t="s">
        <v>18</v>
      </c>
      <c r="E10823" s="6">
        <v>-28812</v>
      </c>
      <c r="F10823" t="s">
        <v>2610</v>
      </c>
      <c r="G10823" t="s">
        <v>88</v>
      </c>
      <c r="H10823" t="s">
        <v>21</v>
      </c>
      <c r="I10823" t="s">
        <v>20914</v>
      </c>
      <c r="J10823" t="str">
        <f>HYPERLINK("https://www.boe.es/gazeta/dias/1821/02/10/pdfs/GGB-1821-41.pdf#page=4","Abrir facsímil")</f>
        <v>Abrir facsímil</v>
      </c>
      <c r="K10823" t="s">
        <v>23</v>
      </c>
    </row>
    <row r="10824" spans="1:11" ht="42" customHeight="1">
      <c r="A10824" t="s">
        <v>20915</v>
      </c>
      <c r="B10824" t="s">
        <v>20915</v>
      </c>
      <c r="C10824" t="s">
        <v>26</v>
      </c>
      <c r="D10824" t="s">
        <v>27</v>
      </c>
      <c r="E10824" s="6">
        <v>-28558</v>
      </c>
      <c r="F10824" t="s">
        <v>758</v>
      </c>
      <c r="G10824" t="s">
        <v>20</v>
      </c>
      <c r="H10824" t="s">
        <v>21</v>
      </c>
      <c r="I10824" t="s">
        <v>20916</v>
      </c>
      <c r="J10824" t="str">
        <f>HYPERLINK("https://www.boe.es/gazeta/dias/1821/10/22/pdfs/GMD-1821-301.pdf#page=3","Abrir facsímil")</f>
        <v>Abrir facsímil</v>
      </c>
      <c r="K10824" t="s">
        <v>23</v>
      </c>
    </row>
    <row r="10825" spans="1:11" ht="42" customHeight="1">
      <c r="A10825" t="s">
        <v>20917</v>
      </c>
      <c r="B10825" t="s">
        <v>20918</v>
      </c>
      <c r="C10825" t="s">
        <v>17</v>
      </c>
      <c r="D10825" t="s">
        <v>18</v>
      </c>
      <c r="E10825" s="6">
        <v>-28778</v>
      </c>
      <c r="F10825" t="s">
        <v>1301</v>
      </c>
      <c r="G10825" t="s">
        <v>29</v>
      </c>
      <c r="H10825" t="s">
        <v>21</v>
      </c>
      <c r="I10825" t="s">
        <v>20919</v>
      </c>
      <c r="J10825" t="str">
        <f>HYPERLINK("https://www.boe.es/gazeta/dias/1821/03/16/pdfs/GMD-1821-75.pdf#page=6","Abrir facsímil")</f>
        <v>Abrir facsímil</v>
      </c>
      <c r="K10825" t="s">
        <v>23</v>
      </c>
    </row>
    <row r="10826" spans="1:11" ht="42" customHeight="1">
      <c r="A10826" t="s">
        <v>20917</v>
      </c>
      <c r="B10826" t="s">
        <v>20918</v>
      </c>
      <c r="C10826" t="s">
        <v>40</v>
      </c>
      <c r="D10826" t="s">
        <v>41</v>
      </c>
      <c r="E10826" s="6">
        <v>-28761</v>
      </c>
      <c r="F10826" t="s">
        <v>771</v>
      </c>
      <c r="G10826" t="s">
        <v>52</v>
      </c>
      <c r="H10826" t="s">
        <v>21</v>
      </c>
      <c r="I10826" t="s">
        <v>20920</v>
      </c>
      <c r="J10826" t="str">
        <f>HYPERLINK("https://www.boe.es/gazeta/dias/1821/04/02/pdfs/GMD-1821-94.pdf#page=2","Abrir facsímil")</f>
        <v>Abrir facsímil</v>
      </c>
      <c r="K10826" t="s">
        <v>23</v>
      </c>
    </row>
    <row r="10827" spans="1:11" ht="42" customHeight="1">
      <c r="A10827" t="s">
        <v>20921</v>
      </c>
      <c r="B10827" t="s">
        <v>20922</v>
      </c>
      <c r="C10827" t="s">
        <v>40</v>
      </c>
      <c r="D10827" t="s">
        <v>41</v>
      </c>
      <c r="E10827" s="6">
        <v>-28793</v>
      </c>
      <c r="F10827" t="s">
        <v>157</v>
      </c>
      <c r="G10827" t="s">
        <v>29</v>
      </c>
      <c r="H10827" t="s">
        <v>21</v>
      </c>
      <c r="I10827" t="s">
        <v>20923</v>
      </c>
      <c r="J10827" t="str">
        <f>HYPERLINK("https://www.boe.es/gazeta/dias/1821/03/01/pdfs/GGB-1821-60.pdf#page=6","Abrir facsímil")</f>
        <v>Abrir facsímil</v>
      </c>
      <c r="K10827" t="s">
        <v>23</v>
      </c>
    </row>
    <row r="10828" spans="1:11" ht="42" customHeight="1">
      <c r="A10828" t="s">
        <v>20924</v>
      </c>
      <c r="B10828" t="s">
        <v>20925</v>
      </c>
      <c r="C10828" t="s">
        <v>40</v>
      </c>
      <c r="D10828" t="s">
        <v>41</v>
      </c>
      <c r="E10828" s="6">
        <v>-28788</v>
      </c>
      <c r="F10828" t="s">
        <v>996</v>
      </c>
      <c r="G10828" t="s">
        <v>20</v>
      </c>
      <c r="H10828" t="s">
        <v>21</v>
      </c>
      <c r="I10828" t="s">
        <v>20926</v>
      </c>
      <c r="J10828" t="str">
        <f>HYPERLINK("https://www.boe.es/gazeta/dias/1821/03/06/pdfs/GGB-1821-65.pdf#page=3","Abrir facsímil")</f>
        <v>Abrir facsímil</v>
      </c>
      <c r="K10828" t="s">
        <v>23</v>
      </c>
    </row>
    <row r="10829" spans="1:11" ht="42" customHeight="1">
      <c r="A10829" t="s">
        <v>20924</v>
      </c>
      <c r="B10829" t="s">
        <v>20925</v>
      </c>
      <c r="C10829" t="s">
        <v>40</v>
      </c>
      <c r="D10829" t="s">
        <v>41</v>
      </c>
      <c r="E10829" s="6">
        <v>-28787</v>
      </c>
      <c r="F10829" t="s">
        <v>486</v>
      </c>
      <c r="G10829" t="s">
        <v>20</v>
      </c>
      <c r="H10829" t="s">
        <v>21</v>
      </c>
      <c r="I10829" t="s">
        <v>20927</v>
      </c>
      <c r="J10829" t="str">
        <f>HYPERLINK("https://www.boe.es/gazeta/dias/1821/03/07/pdfs/GGB-1821-66.pdf#page=3","Abrir facsímil")</f>
        <v>Abrir facsímil</v>
      </c>
      <c r="K10829" t="s">
        <v>23</v>
      </c>
    </row>
    <row r="10830" spans="1:11" ht="42" customHeight="1">
      <c r="A10830" t="s">
        <v>20924</v>
      </c>
      <c r="B10830" t="s">
        <v>20925</v>
      </c>
      <c r="C10830" t="s">
        <v>17</v>
      </c>
      <c r="D10830" t="s">
        <v>18</v>
      </c>
      <c r="E10830" s="6">
        <v>-28783</v>
      </c>
      <c r="F10830" t="s">
        <v>198</v>
      </c>
      <c r="G10830" t="s">
        <v>88</v>
      </c>
      <c r="H10830" t="s">
        <v>21</v>
      </c>
      <c r="I10830" t="s">
        <v>20928</v>
      </c>
      <c r="J10830" t="str">
        <f>HYPERLINK("https://www.boe.es/gazeta/dias/1821/03/11/pdfs/GGB-1821-70.pdf#page=4","Abrir facsímil")</f>
        <v>Abrir facsímil</v>
      </c>
      <c r="K10830" t="s">
        <v>23</v>
      </c>
    </row>
    <row r="10831" spans="1:11" ht="42" customHeight="1">
      <c r="A10831" t="s">
        <v>20924</v>
      </c>
      <c r="B10831" t="s">
        <v>20925</v>
      </c>
      <c r="C10831" t="s">
        <v>17</v>
      </c>
      <c r="D10831" t="s">
        <v>18</v>
      </c>
      <c r="E10831" s="6">
        <v>-28772</v>
      </c>
      <c r="F10831" t="s">
        <v>62</v>
      </c>
      <c r="G10831" t="s">
        <v>88</v>
      </c>
      <c r="H10831" t="s">
        <v>21</v>
      </c>
      <c r="I10831" t="s">
        <v>20929</v>
      </c>
      <c r="J10831" t="str">
        <f>HYPERLINK("https://www.boe.es/gazeta/dias/1821/03/22/pdfs/GMD-1821-81.pdf#page=4","Abrir facsímil")</f>
        <v>Abrir facsímil</v>
      </c>
      <c r="K10831" t="s">
        <v>23</v>
      </c>
    </row>
    <row r="10832" spans="1:11" ht="42" customHeight="1">
      <c r="A10832" t="s">
        <v>20930</v>
      </c>
      <c r="B10832" t="s">
        <v>20931</v>
      </c>
      <c r="C10832" t="s">
        <v>70</v>
      </c>
      <c r="D10832" t="s">
        <v>27</v>
      </c>
      <c r="E10832" s="6">
        <v>-28729</v>
      </c>
      <c r="F10832" t="s">
        <v>838</v>
      </c>
      <c r="G10832" t="s">
        <v>52</v>
      </c>
      <c r="H10832" t="s">
        <v>21</v>
      </c>
      <c r="I10832" t="s">
        <v>20932</v>
      </c>
      <c r="J10832" t="str">
        <f>HYPERLINK("https://www.boe.es/gazeta/dias/1821/05/04/pdfs/GMD-1821-126.pdf#page=2","Abrir facsímil")</f>
        <v>Abrir facsímil</v>
      </c>
      <c r="K10832" t="s">
        <v>23</v>
      </c>
    </row>
    <row r="10833" spans="1:11" ht="42" customHeight="1">
      <c r="A10833" t="s">
        <v>20933</v>
      </c>
      <c r="B10833" t="s">
        <v>20934</v>
      </c>
      <c r="C10833" t="s">
        <v>26</v>
      </c>
      <c r="D10833" t="s">
        <v>27</v>
      </c>
      <c r="E10833" s="6">
        <v>-28565</v>
      </c>
      <c r="F10833" t="s">
        <v>326</v>
      </c>
      <c r="G10833" t="s">
        <v>162</v>
      </c>
      <c r="H10833" t="s">
        <v>21</v>
      </c>
      <c r="I10833" t="s">
        <v>20935</v>
      </c>
      <c r="J10833" t="str">
        <f>HYPERLINK("https://www.boe.es/gazeta/dias/1821/10/15/pdfs/GMD-1821-294.pdf#page=5","Abrir facsímil")</f>
        <v>Abrir facsímil</v>
      </c>
      <c r="K10833" t="s">
        <v>23</v>
      </c>
    </row>
    <row r="10834" spans="1:11" ht="42" customHeight="1">
      <c r="A10834" t="s">
        <v>20936</v>
      </c>
      <c r="B10834" t="s">
        <v>20937</v>
      </c>
      <c r="C10834" t="s">
        <v>40</v>
      </c>
      <c r="D10834" t="s">
        <v>41</v>
      </c>
      <c r="E10834" s="6">
        <v>-28595</v>
      </c>
      <c r="F10834" t="s">
        <v>1621</v>
      </c>
      <c r="G10834" t="s">
        <v>20</v>
      </c>
      <c r="H10834" t="s">
        <v>21</v>
      </c>
      <c r="I10834" t="s">
        <v>20938</v>
      </c>
      <c r="J10834" t="str">
        <f>HYPERLINK("https://www.boe.es/gazeta/dias/1821/09/15/pdfs/GMD-1821-263.pdf#page=3","Abrir facsímil")</f>
        <v>Abrir facsímil</v>
      </c>
      <c r="K10834" t="s">
        <v>23</v>
      </c>
    </row>
    <row r="10835" spans="1:11" ht="42" customHeight="1">
      <c r="A10835" t="s">
        <v>20939</v>
      </c>
      <c r="B10835" t="s">
        <v>20939</v>
      </c>
      <c r="C10835" t="s">
        <v>17</v>
      </c>
      <c r="D10835" t="s">
        <v>18</v>
      </c>
      <c r="E10835" s="6">
        <v>-28788</v>
      </c>
      <c r="F10835" t="s">
        <v>996</v>
      </c>
      <c r="G10835" t="s">
        <v>52</v>
      </c>
      <c r="H10835" t="s">
        <v>21</v>
      </c>
      <c r="I10835" t="s">
        <v>20940</v>
      </c>
      <c r="J10835" t="str">
        <f>HYPERLINK("https://www.boe.es/gazeta/dias/1821/03/06/pdfs/GGB-1821-65.pdf#page=2","Abrir facsímil")</f>
        <v>Abrir facsímil</v>
      </c>
      <c r="K10835" t="s">
        <v>23</v>
      </c>
    </row>
    <row r="10836" spans="1:11" ht="42" customHeight="1">
      <c r="A10836" t="s">
        <v>20941</v>
      </c>
      <c r="B10836" t="s">
        <v>20942</v>
      </c>
      <c r="C10836" t="s">
        <v>26</v>
      </c>
      <c r="D10836" t="s">
        <v>27</v>
      </c>
      <c r="E10836" s="6">
        <v>-28729</v>
      </c>
      <c r="F10836" t="s">
        <v>838</v>
      </c>
      <c r="G10836" t="s">
        <v>52</v>
      </c>
      <c r="H10836" t="s">
        <v>21</v>
      </c>
      <c r="I10836" t="s">
        <v>20943</v>
      </c>
      <c r="J10836" t="str">
        <f>HYPERLINK("https://www.boe.es/gazeta/dias/1821/05/04/pdfs/GMD-1821-126.pdf#page=2","Abrir facsímil")</f>
        <v>Abrir facsímil</v>
      </c>
      <c r="K10836" t="s">
        <v>23</v>
      </c>
    </row>
    <row r="10837" spans="1:11" ht="42" customHeight="1">
      <c r="A10837" t="s">
        <v>20944</v>
      </c>
      <c r="B10837" t="s">
        <v>20945</v>
      </c>
      <c r="C10837" t="s">
        <v>40</v>
      </c>
      <c r="D10837" t="s">
        <v>41</v>
      </c>
      <c r="E10837" s="6">
        <v>-28512</v>
      </c>
      <c r="F10837" t="s">
        <v>66</v>
      </c>
      <c r="G10837" t="s">
        <v>43</v>
      </c>
      <c r="H10837" t="s">
        <v>21</v>
      </c>
      <c r="I10837" t="s">
        <v>20946</v>
      </c>
      <c r="J10837" t="str">
        <f>HYPERLINK("https://www.boe.es/gazeta/dias/1821/12/07/pdfs/GMD-1821-349.pdf#page=1","Abrir facsímil")</f>
        <v>Abrir facsímil</v>
      </c>
      <c r="K10837" t="s">
        <v>23</v>
      </c>
    </row>
    <row r="10838" spans="1:11" ht="42" customHeight="1">
      <c r="A10838" t="s">
        <v>20944</v>
      </c>
      <c r="B10838" t="s">
        <v>20945</v>
      </c>
      <c r="C10838" t="s">
        <v>40</v>
      </c>
      <c r="D10838" t="s">
        <v>41</v>
      </c>
      <c r="E10838" s="6">
        <v>-28508</v>
      </c>
      <c r="F10838" t="s">
        <v>42</v>
      </c>
      <c r="G10838" t="s">
        <v>43</v>
      </c>
      <c r="H10838" t="s">
        <v>21</v>
      </c>
      <c r="I10838" t="s">
        <v>20947</v>
      </c>
      <c r="J10838" t="str">
        <f>HYPERLINK("https://www.boe.es/gazeta/dias/1821/12/11/pdfs/GMD-1821-353.pdf#page=1","Abrir facsímil")</f>
        <v>Abrir facsímil</v>
      </c>
      <c r="K10838" t="s">
        <v>23</v>
      </c>
    </row>
    <row r="10839" spans="1:11" ht="42" customHeight="1">
      <c r="A10839" t="s">
        <v>20948</v>
      </c>
      <c r="B10839" t="s">
        <v>20949</v>
      </c>
      <c r="C10839" t="s">
        <v>174</v>
      </c>
      <c r="D10839" t="s">
        <v>27</v>
      </c>
      <c r="E10839" s="6">
        <v>-28515</v>
      </c>
      <c r="F10839" t="s">
        <v>260</v>
      </c>
      <c r="G10839" t="s">
        <v>52</v>
      </c>
      <c r="H10839" t="s">
        <v>21</v>
      </c>
      <c r="I10839" t="s">
        <v>20950</v>
      </c>
      <c r="J10839" t="str">
        <f>HYPERLINK("https://www.boe.es/gazeta/dias/1821/12/04/pdfs/GMD-1821-346.pdf#page=2","Abrir facsímil")</f>
        <v>Abrir facsímil</v>
      </c>
      <c r="K10839" t="s">
        <v>23</v>
      </c>
    </row>
    <row r="10840" spans="1:11" ht="42" customHeight="1">
      <c r="A10840" t="s">
        <v>20951</v>
      </c>
      <c r="B10840" t="s">
        <v>20952</v>
      </c>
      <c r="C10840" t="s">
        <v>40</v>
      </c>
      <c r="D10840" t="s">
        <v>41</v>
      </c>
      <c r="E10840" s="6">
        <v>-28531</v>
      </c>
      <c r="F10840" t="s">
        <v>365</v>
      </c>
      <c r="G10840" t="s">
        <v>20</v>
      </c>
      <c r="H10840" t="s">
        <v>21</v>
      </c>
      <c r="I10840" t="s">
        <v>20953</v>
      </c>
      <c r="J10840" t="str">
        <f>HYPERLINK("https://www.boe.es/gazeta/dias/1821/11/18/pdfs/GMD-1821-329.pdf#page=3","Abrir facsímil")</f>
        <v>Abrir facsímil</v>
      </c>
      <c r="K10840" t="s">
        <v>23</v>
      </c>
    </row>
    <row r="10841" spans="1:11" ht="42" customHeight="1">
      <c r="A10841" t="s">
        <v>20954</v>
      </c>
      <c r="B10841" t="s">
        <v>20955</v>
      </c>
      <c r="C10841" t="s">
        <v>17</v>
      </c>
      <c r="D10841" t="s">
        <v>18</v>
      </c>
      <c r="E10841" s="6">
        <v>-28710</v>
      </c>
      <c r="F10841" t="s">
        <v>375</v>
      </c>
      <c r="G10841" t="s">
        <v>52</v>
      </c>
      <c r="H10841" t="s">
        <v>21</v>
      </c>
      <c r="I10841" t="s">
        <v>20956</v>
      </c>
      <c r="J10841" t="str">
        <f>HYPERLINK("https://www.boe.es/gazeta/dias/1821/05/23/pdfs/GMD-1821-145.pdf#page=2","Abrir facsímil")</f>
        <v>Abrir facsímil</v>
      </c>
      <c r="K10841" t="s">
        <v>23</v>
      </c>
    </row>
    <row r="10842" spans="1:11" ht="42" customHeight="1">
      <c r="A10842" t="s">
        <v>20957</v>
      </c>
      <c r="B10842" t="s">
        <v>20958</v>
      </c>
      <c r="C10842" t="s">
        <v>40</v>
      </c>
      <c r="D10842" t="s">
        <v>41</v>
      </c>
      <c r="E10842" s="6">
        <v>-28762</v>
      </c>
      <c r="F10842" t="s">
        <v>608</v>
      </c>
      <c r="G10842" t="s">
        <v>162</v>
      </c>
      <c r="H10842" t="s">
        <v>21</v>
      </c>
      <c r="I10842" t="s">
        <v>20959</v>
      </c>
      <c r="J10842" t="str">
        <f>HYPERLINK("https://www.boe.es/gazeta/dias/1821/04/01/pdfs/GMD-1821-93.pdf#page=5","Abrir facsímil")</f>
        <v>Abrir facsímil</v>
      </c>
      <c r="K10842" t="s">
        <v>23</v>
      </c>
    </row>
    <row r="10843" spans="1:11" ht="42" customHeight="1">
      <c r="A10843" t="s">
        <v>20960</v>
      </c>
      <c r="B10843" t="s">
        <v>20961</v>
      </c>
      <c r="C10843" t="s">
        <v>174</v>
      </c>
      <c r="D10843" t="s">
        <v>27</v>
      </c>
      <c r="E10843" s="6">
        <v>-28574</v>
      </c>
      <c r="F10843" t="s">
        <v>779</v>
      </c>
      <c r="G10843" t="s">
        <v>333</v>
      </c>
      <c r="H10843" t="s">
        <v>21</v>
      </c>
      <c r="I10843" t="s">
        <v>20962</v>
      </c>
      <c r="J10843" t="str">
        <f>HYPERLINK("https://www.boe.es/gazeta/dias/1821/10/06/pdfs/GMD-1821-285.pdf#page=8","Abrir facsímil")</f>
        <v>Abrir facsímil</v>
      </c>
      <c r="K10843" t="s">
        <v>23</v>
      </c>
    </row>
    <row r="10844" spans="1:11" ht="42" customHeight="1">
      <c r="A10844" t="s">
        <v>20963</v>
      </c>
      <c r="B10844" t="s">
        <v>20964</v>
      </c>
      <c r="C10844" t="s">
        <v>17</v>
      </c>
      <c r="D10844" t="s">
        <v>18</v>
      </c>
      <c r="E10844" s="6">
        <v>-28715</v>
      </c>
      <c r="F10844" t="s">
        <v>1046</v>
      </c>
      <c r="G10844" t="s">
        <v>43</v>
      </c>
      <c r="H10844" t="s">
        <v>21</v>
      </c>
      <c r="I10844" t="s">
        <v>20965</v>
      </c>
      <c r="J10844" t="str">
        <f>HYPERLINK("https://www.boe.es/gazeta/dias/1821/05/18/pdfs/GMD-1821-140.pdf#page=1","Abrir facsímil")</f>
        <v>Abrir facsímil</v>
      </c>
      <c r="K10844" t="s">
        <v>23</v>
      </c>
    </row>
    <row r="10845" spans="1:11" ht="42" customHeight="1">
      <c r="A10845" t="s">
        <v>20966</v>
      </c>
      <c r="B10845" t="s">
        <v>20967</v>
      </c>
      <c r="C10845" t="s">
        <v>174</v>
      </c>
      <c r="D10845" t="s">
        <v>27</v>
      </c>
      <c r="E10845" s="6">
        <v>-28677</v>
      </c>
      <c r="F10845" t="s">
        <v>361</v>
      </c>
      <c r="G10845" t="s">
        <v>29</v>
      </c>
      <c r="H10845" t="s">
        <v>21</v>
      </c>
      <c r="I10845" t="s">
        <v>20968</v>
      </c>
      <c r="J10845" t="str">
        <f>HYPERLINK("https://www.boe.es/gazeta/dias/1821/06/25/pdfs/GMD-1821-178.pdf#page=6","Abrir facsímil")</f>
        <v>Abrir facsímil</v>
      </c>
      <c r="K10845" t="s">
        <v>23</v>
      </c>
    </row>
    <row r="10846" spans="1:11" ht="42" customHeight="1">
      <c r="A10846" t="s">
        <v>20969</v>
      </c>
      <c r="B10846" t="s">
        <v>20970</v>
      </c>
      <c r="C10846" t="s">
        <v>17</v>
      </c>
      <c r="D10846" t="s">
        <v>18</v>
      </c>
      <c r="E10846" s="6">
        <v>-28790</v>
      </c>
      <c r="F10846" t="s">
        <v>991</v>
      </c>
      <c r="G10846" t="s">
        <v>20</v>
      </c>
      <c r="H10846" t="s">
        <v>21</v>
      </c>
      <c r="I10846" t="s">
        <v>20971</v>
      </c>
      <c r="J10846" t="str">
        <f>HYPERLINK("https://www.boe.es/gazeta/dias/1821/03/04/pdfs/GGB-1821-63.pdf#page=3","Abrir facsímil")</f>
        <v>Abrir facsímil</v>
      </c>
      <c r="K10846" t="s">
        <v>23</v>
      </c>
    </row>
    <row r="10847" spans="1:11" ht="42" customHeight="1">
      <c r="A10847" t="s">
        <v>20972</v>
      </c>
      <c r="B10847" t="s">
        <v>20973</v>
      </c>
      <c r="C10847" t="s">
        <v>17</v>
      </c>
      <c r="D10847" t="s">
        <v>18</v>
      </c>
      <c r="E10847" s="6">
        <v>-28762</v>
      </c>
      <c r="F10847" t="s">
        <v>608</v>
      </c>
      <c r="G10847" t="s">
        <v>162</v>
      </c>
      <c r="H10847" t="s">
        <v>21</v>
      </c>
      <c r="I10847" t="s">
        <v>20974</v>
      </c>
      <c r="J10847" t="str">
        <f>HYPERLINK("https://www.boe.es/gazeta/dias/1821/04/01/pdfs/GMD-1821-93.pdf#page=5","Abrir facsímil")</f>
        <v>Abrir facsímil</v>
      </c>
      <c r="K10847" t="s">
        <v>23</v>
      </c>
    </row>
    <row r="10848" spans="1:11" ht="42" customHeight="1">
      <c r="A10848" t="s">
        <v>20975</v>
      </c>
      <c r="B10848" t="s">
        <v>20976</v>
      </c>
      <c r="C10848" t="s">
        <v>35</v>
      </c>
      <c r="D10848" t="s">
        <v>27</v>
      </c>
      <c r="E10848" s="6">
        <v>-28574</v>
      </c>
      <c r="F10848" t="s">
        <v>779</v>
      </c>
      <c r="G10848" t="s">
        <v>333</v>
      </c>
      <c r="H10848" t="s">
        <v>21</v>
      </c>
      <c r="I10848" t="s">
        <v>20977</v>
      </c>
      <c r="J10848" t="str">
        <f>HYPERLINK("https://www.boe.es/gazeta/dias/1821/10/06/pdfs/GMD-1821-285.pdf#page=8","Abrir facsímil")</f>
        <v>Abrir facsímil</v>
      </c>
      <c r="K10848" t="s">
        <v>23</v>
      </c>
    </row>
    <row r="10849" spans="1:11" ht="42" customHeight="1">
      <c r="A10849" t="s">
        <v>20978</v>
      </c>
      <c r="B10849" t="s">
        <v>20979</v>
      </c>
      <c r="C10849" t="s">
        <v>26</v>
      </c>
      <c r="D10849" t="s">
        <v>27</v>
      </c>
      <c r="E10849" s="6">
        <v>-28718</v>
      </c>
      <c r="F10849" t="s">
        <v>583</v>
      </c>
      <c r="G10849" t="s">
        <v>88</v>
      </c>
      <c r="H10849" t="s">
        <v>21</v>
      </c>
      <c r="I10849" t="s">
        <v>20980</v>
      </c>
      <c r="J10849" t="str">
        <f>HYPERLINK("https://www.boe.es/gazeta/dias/1821/05/15/pdfs/GMD-1821-137.pdf#page=4","Abrir facsímil")</f>
        <v>Abrir facsímil</v>
      </c>
      <c r="K10849" t="s">
        <v>23</v>
      </c>
    </row>
    <row r="10850" spans="1:11" ht="42" customHeight="1">
      <c r="A10850" t="s">
        <v>20981</v>
      </c>
      <c r="B10850" t="s">
        <v>20982</v>
      </c>
      <c r="C10850" t="s">
        <v>40</v>
      </c>
      <c r="D10850" t="s">
        <v>41</v>
      </c>
      <c r="E10850" s="6">
        <v>-28695</v>
      </c>
      <c r="F10850" t="s">
        <v>1309</v>
      </c>
      <c r="G10850" t="s">
        <v>52</v>
      </c>
      <c r="H10850" t="s">
        <v>21</v>
      </c>
      <c r="I10850" t="s">
        <v>20983</v>
      </c>
      <c r="J10850" t="str">
        <f>HYPERLINK("https://www.boe.es/gazeta/dias/1821/06/07/pdfs/GMD-1821-160.pdf#page=2","Abrir facsímil")</f>
        <v>Abrir facsímil</v>
      </c>
      <c r="K10850" t="s">
        <v>23</v>
      </c>
    </row>
    <row r="10851" spans="1:11" ht="42" customHeight="1">
      <c r="A10851" t="s">
        <v>20984</v>
      </c>
      <c r="B10851" t="s">
        <v>20984</v>
      </c>
      <c r="C10851" t="s">
        <v>17</v>
      </c>
      <c r="D10851" t="s">
        <v>18</v>
      </c>
      <c r="E10851" s="6">
        <v>-28799</v>
      </c>
      <c r="F10851" t="s">
        <v>3158</v>
      </c>
      <c r="G10851" t="s">
        <v>20</v>
      </c>
      <c r="H10851" t="s">
        <v>21</v>
      </c>
      <c r="I10851" t="s">
        <v>20985</v>
      </c>
      <c r="J10851" t="str">
        <f>HYPERLINK("https://www.boe.es/gazeta/dias/1821/02/23/pdfs/GGB-1821-54.pdf#page=3","Abrir facsímil")</f>
        <v>Abrir facsímil</v>
      </c>
      <c r="K10851" t="s">
        <v>23</v>
      </c>
    </row>
    <row r="10852" spans="1:11" ht="42" customHeight="1">
      <c r="A10852" t="s">
        <v>20986</v>
      </c>
      <c r="B10852" t="s">
        <v>20987</v>
      </c>
      <c r="C10852" t="s">
        <v>17</v>
      </c>
      <c r="D10852" t="s">
        <v>18</v>
      </c>
      <c r="E10852" s="6">
        <v>-28772</v>
      </c>
      <c r="F10852" t="s">
        <v>62</v>
      </c>
      <c r="G10852" t="s">
        <v>52</v>
      </c>
      <c r="H10852" t="s">
        <v>21</v>
      </c>
      <c r="I10852" t="s">
        <v>20988</v>
      </c>
      <c r="J10852" t="str">
        <f>HYPERLINK("https://www.boe.es/gazeta/dias/1821/03/22/pdfs/GMD-1821-81.pdf#page=2","Abrir facsímil")</f>
        <v>Abrir facsímil</v>
      </c>
      <c r="K10852" t="s">
        <v>23</v>
      </c>
    </row>
    <row r="10853" spans="1:11" ht="42" customHeight="1">
      <c r="A10853" t="s">
        <v>20989</v>
      </c>
      <c r="B10853" t="s">
        <v>20990</v>
      </c>
      <c r="C10853" t="s">
        <v>17</v>
      </c>
      <c r="D10853" t="s">
        <v>18</v>
      </c>
      <c r="E10853" s="6">
        <v>-28709</v>
      </c>
      <c r="F10853" t="s">
        <v>1434</v>
      </c>
      <c r="G10853" t="s">
        <v>1435</v>
      </c>
      <c r="H10853" t="s">
        <v>21</v>
      </c>
      <c r="I10853" t="s">
        <v>20991</v>
      </c>
      <c r="J10853" t="str">
        <f>HYPERLINK("https://www.boe.es/gazeta/dias/1821/05/24/pdfs/GMD-1821-146.pdf#page=2","Abrir facsímil")</f>
        <v>Abrir facsímil</v>
      </c>
      <c r="K10853" t="s">
        <v>23</v>
      </c>
    </row>
    <row r="10854" spans="1:11" ht="42" customHeight="1">
      <c r="A10854" t="s">
        <v>20992</v>
      </c>
      <c r="B10854" t="s">
        <v>20993</v>
      </c>
      <c r="C10854" t="s">
        <v>26</v>
      </c>
      <c r="D10854" t="s">
        <v>27</v>
      </c>
      <c r="E10854" s="6">
        <v>-28547</v>
      </c>
      <c r="F10854" t="s">
        <v>247</v>
      </c>
      <c r="G10854" t="s">
        <v>248</v>
      </c>
      <c r="H10854" t="s">
        <v>21</v>
      </c>
      <c r="I10854" t="s">
        <v>20994</v>
      </c>
      <c r="J10854" t="str">
        <f>HYPERLINK("https://www.boe.es/gazeta/dias/1821/11/02/pdfs/GMD-1821-312.pdf#page=2","Abrir facsímil")</f>
        <v>Abrir facsímil</v>
      </c>
      <c r="K10854" t="s">
        <v>23</v>
      </c>
    </row>
    <row r="10855" spans="1:11" ht="42" customHeight="1">
      <c r="A10855" t="s">
        <v>20995</v>
      </c>
      <c r="B10855" t="s">
        <v>20995</v>
      </c>
      <c r="C10855" t="s">
        <v>40</v>
      </c>
      <c r="D10855" t="s">
        <v>41</v>
      </c>
      <c r="E10855" s="6">
        <v>-28541</v>
      </c>
      <c r="F10855" t="s">
        <v>275</v>
      </c>
      <c r="G10855" t="s">
        <v>52</v>
      </c>
      <c r="H10855" t="s">
        <v>21</v>
      </c>
      <c r="I10855" t="s">
        <v>20996</v>
      </c>
      <c r="J10855" t="str">
        <f>HYPERLINK("https://www.boe.es/gazeta/dias/1821/11/08/pdfs/GMD-1821-319.pdf#page=2","Abrir facsímil")</f>
        <v>Abrir facsímil</v>
      </c>
      <c r="K10855" t="s">
        <v>23</v>
      </c>
    </row>
    <row r="10856" spans="1:11" ht="42" customHeight="1">
      <c r="A10856" t="s">
        <v>20997</v>
      </c>
      <c r="B10856" t="s">
        <v>20998</v>
      </c>
      <c r="C10856" t="s">
        <v>26</v>
      </c>
      <c r="D10856" t="s">
        <v>27</v>
      </c>
      <c r="E10856" s="6">
        <v>-28565</v>
      </c>
      <c r="F10856" t="s">
        <v>326</v>
      </c>
      <c r="G10856" t="s">
        <v>162</v>
      </c>
      <c r="H10856" t="s">
        <v>21</v>
      </c>
      <c r="I10856" t="s">
        <v>20999</v>
      </c>
      <c r="J10856" t="str">
        <f>HYPERLINK("https://www.boe.es/gazeta/dias/1821/10/15/pdfs/GMD-1821-294.pdf#page=5","Abrir facsímil")</f>
        <v>Abrir facsímil</v>
      </c>
      <c r="K10856" t="s">
        <v>23</v>
      </c>
    </row>
    <row r="10857" spans="1:11" ht="42" customHeight="1">
      <c r="A10857" t="s">
        <v>21000</v>
      </c>
      <c r="B10857" t="s">
        <v>21001</v>
      </c>
      <c r="C10857" t="s">
        <v>26</v>
      </c>
      <c r="D10857" t="s">
        <v>27</v>
      </c>
      <c r="E10857" s="6">
        <v>-28620</v>
      </c>
      <c r="F10857" t="s">
        <v>87</v>
      </c>
      <c r="G10857" t="s">
        <v>88</v>
      </c>
      <c r="H10857" t="s">
        <v>21</v>
      </c>
      <c r="I10857" t="s">
        <v>21002</v>
      </c>
      <c r="J10857" t="str">
        <f>HYPERLINK("https://www.boe.es/gazeta/dias/1821/08/21/pdfs/GMD-1821-238.pdf#page=4","Abrir facsímil")</f>
        <v>Abrir facsímil</v>
      </c>
      <c r="K10857" t="s">
        <v>23</v>
      </c>
    </row>
    <row r="10858" spans="1:11" ht="42" customHeight="1">
      <c r="A10858" t="s">
        <v>21003</v>
      </c>
      <c r="B10858" t="s">
        <v>21004</v>
      </c>
      <c r="C10858" t="s">
        <v>70</v>
      </c>
      <c r="D10858" t="s">
        <v>27</v>
      </c>
      <c r="E10858" s="6">
        <v>-28743</v>
      </c>
      <c r="F10858" t="s">
        <v>51</v>
      </c>
      <c r="G10858" t="s">
        <v>88</v>
      </c>
      <c r="H10858" t="s">
        <v>21</v>
      </c>
      <c r="I10858" t="s">
        <v>21005</v>
      </c>
      <c r="J10858" t="str">
        <f>HYPERLINK("https://www.boe.es/gazeta/dias/1821/04/20/pdfs/GMD-1821-112.pdf#page=4","Abrir facsímil")</f>
        <v>Abrir facsímil</v>
      </c>
      <c r="K10858" t="s">
        <v>23</v>
      </c>
    </row>
    <row r="10859" spans="1:11" ht="42" customHeight="1">
      <c r="A10859" t="s">
        <v>21006</v>
      </c>
      <c r="B10859" t="s">
        <v>21007</v>
      </c>
      <c r="C10859" t="s">
        <v>17</v>
      </c>
      <c r="D10859" t="s">
        <v>18</v>
      </c>
      <c r="E10859" s="6">
        <v>-28693</v>
      </c>
      <c r="F10859" t="s">
        <v>74</v>
      </c>
      <c r="G10859" t="s">
        <v>1846</v>
      </c>
      <c r="H10859" t="s">
        <v>21</v>
      </c>
      <c r="I10859" t="s">
        <v>21008</v>
      </c>
      <c r="J10859" t="str">
        <f>HYPERLINK("https://www.boe.es/gazeta/dias/1821/06/09/pdfs/GMD-1821-162.pdf#page=6","Abrir facsímil")</f>
        <v>Abrir facsímil</v>
      </c>
      <c r="K10859" t="s">
        <v>23</v>
      </c>
    </row>
    <row r="10860" spans="1:11" ht="42" customHeight="1">
      <c r="A10860" t="s">
        <v>21009</v>
      </c>
      <c r="B10860" t="s">
        <v>21010</v>
      </c>
      <c r="C10860" t="s">
        <v>40</v>
      </c>
      <c r="D10860" t="s">
        <v>41</v>
      </c>
      <c r="E10860" s="6">
        <v>-28494</v>
      </c>
      <c r="F10860" t="s">
        <v>1665</v>
      </c>
      <c r="G10860" t="s">
        <v>1666</v>
      </c>
      <c r="H10860" t="s">
        <v>21</v>
      </c>
      <c r="I10860" t="s">
        <v>21011</v>
      </c>
      <c r="J10860" t="str">
        <f>HYPERLINK("https://www.boe.es/gazeta/dias/1821/12/25/pdfs/GMD-1821-368.pdf#page=3","Abrir facsímil")</f>
        <v>Abrir facsímil</v>
      </c>
      <c r="K10860" t="s">
        <v>23</v>
      </c>
    </row>
    <row r="10861" spans="1:11" ht="42" customHeight="1">
      <c r="A10861" t="s">
        <v>21012</v>
      </c>
      <c r="B10861" t="s">
        <v>21013</v>
      </c>
      <c r="C10861" t="s">
        <v>17</v>
      </c>
      <c r="D10861" t="s">
        <v>18</v>
      </c>
      <c r="E10861" s="6">
        <v>-28667</v>
      </c>
      <c r="F10861" t="s">
        <v>107</v>
      </c>
      <c r="G10861" t="s">
        <v>20</v>
      </c>
      <c r="H10861" t="s">
        <v>30</v>
      </c>
      <c r="I10861" t="s">
        <v>21014</v>
      </c>
      <c r="J10861" t="str">
        <f>HYPERLINK("https://www.boe.es/gazeta/dias/1821/07/05/pdfs/GMD-1821-189.pdf#page=3","Abrir facsímil")</f>
        <v>Abrir facsímil</v>
      </c>
      <c r="K10861" t="s">
        <v>32</v>
      </c>
    </row>
    <row r="10862" spans="1:11" ht="42" customHeight="1">
      <c r="A10862" t="s">
        <v>21015</v>
      </c>
      <c r="B10862" t="s">
        <v>21016</v>
      </c>
      <c r="C10862" t="s">
        <v>26</v>
      </c>
      <c r="D10862" t="s">
        <v>27</v>
      </c>
      <c r="E10862" s="6">
        <v>-28531</v>
      </c>
      <c r="F10862" t="s">
        <v>365</v>
      </c>
      <c r="G10862" t="s">
        <v>20</v>
      </c>
      <c r="H10862" t="s">
        <v>21</v>
      </c>
      <c r="I10862" t="s">
        <v>21017</v>
      </c>
      <c r="J10862" t="str">
        <f>HYPERLINK("https://www.boe.es/gazeta/dias/1821/11/18/pdfs/GMD-1821-329.pdf#page=3","Abrir facsímil")</f>
        <v>Abrir facsímil</v>
      </c>
      <c r="K10862" t="s">
        <v>23</v>
      </c>
    </row>
    <row r="10863" spans="1:11" ht="42" customHeight="1">
      <c r="A10863" t="s">
        <v>21018</v>
      </c>
      <c r="B10863" t="s">
        <v>21019</v>
      </c>
      <c r="C10863" t="s">
        <v>17</v>
      </c>
      <c r="D10863" t="s">
        <v>18</v>
      </c>
      <c r="E10863" s="6">
        <v>-28726</v>
      </c>
      <c r="F10863" t="s">
        <v>347</v>
      </c>
      <c r="G10863" t="s">
        <v>20</v>
      </c>
      <c r="H10863" t="s">
        <v>21</v>
      </c>
      <c r="I10863" t="s">
        <v>21020</v>
      </c>
      <c r="J10863" t="str">
        <f>HYPERLINK("https://www.boe.es/gazeta/dias/1821/05/07/pdfs/GMD-1821-129.pdf#page=3","Abrir facsímil")</f>
        <v>Abrir facsímil</v>
      </c>
      <c r="K10863" t="s">
        <v>23</v>
      </c>
    </row>
    <row r="10864" spans="1:11" ht="42" customHeight="1">
      <c r="A10864" t="s">
        <v>21021</v>
      </c>
      <c r="B10864" t="s">
        <v>21022</v>
      </c>
      <c r="C10864" t="s">
        <v>40</v>
      </c>
      <c r="D10864" t="s">
        <v>41</v>
      </c>
      <c r="E10864" s="6">
        <v>-28586</v>
      </c>
      <c r="F10864" t="s">
        <v>587</v>
      </c>
      <c r="G10864" t="s">
        <v>52</v>
      </c>
      <c r="H10864" t="s">
        <v>21</v>
      </c>
      <c r="I10864" t="s">
        <v>21023</v>
      </c>
      <c r="J10864" t="str">
        <f>HYPERLINK("https://www.boe.es/gazeta/dias/1821/09/24/pdfs/GMD-1821-272.pdf#page=2","Abrir facsímil")</f>
        <v>Abrir facsímil</v>
      </c>
      <c r="K10864" t="s">
        <v>23</v>
      </c>
    </row>
    <row r="10865" spans="1:11" ht="42" customHeight="1">
      <c r="A10865" t="s">
        <v>21024</v>
      </c>
      <c r="B10865" t="s">
        <v>21024</v>
      </c>
      <c r="C10865" t="s">
        <v>40</v>
      </c>
      <c r="D10865" t="s">
        <v>41</v>
      </c>
      <c r="E10865" s="6">
        <v>-28786</v>
      </c>
      <c r="F10865" t="s">
        <v>1933</v>
      </c>
      <c r="G10865" t="s">
        <v>88</v>
      </c>
      <c r="H10865" t="s">
        <v>21</v>
      </c>
      <c r="I10865" t="s">
        <v>21025</v>
      </c>
      <c r="J10865" t="str">
        <f>HYPERLINK("https://www.boe.es/gazeta/dias/1821/03/08/pdfs/GGB-1821-67.pdf#page=4","Abrir facsímil")</f>
        <v>Abrir facsímil</v>
      </c>
      <c r="K10865" t="s">
        <v>23</v>
      </c>
    </row>
    <row r="10866" spans="1:11" ht="42" customHeight="1">
      <c r="A10866" t="s">
        <v>21026</v>
      </c>
      <c r="B10866" t="s">
        <v>21026</v>
      </c>
      <c r="C10866" t="s">
        <v>26</v>
      </c>
      <c r="D10866" t="s">
        <v>27</v>
      </c>
      <c r="E10866" s="6">
        <v>-28735</v>
      </c>
      <c r="F10866" t="s">
        <v>836</v>
      </c>
      <c r="G10866" t="s">
        <v>20</v>
      </c>
      <c r="H10866" t="s">
        <v>21</v>
      </c>
      <c r="I10866" t="s">
        <v>21027</v>
      </c>
      <c r="J10866" t="str">
        <f>HYPERLINK("https://www.boe.es/gazeta/dias/1821/04/28/pdfs/GMD-1821-120.pdf#page=3","Abrir facsímil")</f>
        <v>Abrir facsímil</v>
      </c>
      <c r="K10866" t="s">
        <v>23</v>
      </c>
    </row>
    <row r="10867" spans="1:11" ht="42" customHeight="1">
      <c r="A10867" t="s">
        <v>21026</v>
      </c>
      <c r="B10867" t="s">
        <v>21026</v>
      </c>
      <c r="C10867" t="s">
        <v>40</v>
      </c>
      <c r="D10867" t="s">
        <v>41</v>
      </c>
      <c r="E10867" s="6">
        <v>-28735</v>
      </c>
      <c r="F10867" t="s">
        <v>836</v>
      </c>
      <c r="G10867" t="s">
        <v>88</v>
      </c>
      <c r="H10867" t="s">
        <v>21</v>
      </c>
      <c r="I10867" t="s">
        <v>21028</v>
      </c>
      <c r="J10867" t="str">
        <f>HYPERLINK("https://www.boe.es/gazeta/dias/1821/04/28/pdfs/GMD-1821-120.pdf#page=4","Abrir facsímil")</f>
        <v>Abrir facsímil</v>
      </c>
      <c r="K10867" t="s">
        <v>23</v>
      </c>
    </row>
    <row r="10868" spans="1:11" ht="42" customHeight="1">
      <c r="A10868" t="s">
        <v>21026</v>
      </c>
      <c r="B10868" t="s">
        <v>21026</v>
      </c>
      <c r="C10868" t="s">
        <v>17</v>
      </c>
      <c r="D10868" t="s">
        <v>18</v>
      </c>
      <c r="E10868" s="6">
        <v>-28731</v>
      </c>
      <c r="F10868" t="s">
        <v>577</v>
      </c>
      <c r="G10868" t="s">
        <v>20</v>
      </c>
      <c r="H10868" t="s">
        <v>21</v>
      </c>
      <c r="I10868" t="s">
        <v>21029</v>
      </c>
      <c r="J10868" t="str">
        <f>HYPERLINK("https://www.boe.es/gazeta/dias/1821/05/02/pdfs/GMD-1821-124.pdf#page=3","Abrir facsímil")</f>
        <v>Abrir facsímil</v>
      </c>
      <c r="K10868" t="s">
        <v>23</v>
      </c>
    </row>
    <row r="10869" spans="1:11" ht="42" customHeight="1">
      <c r="A10869" t="s">
        <v>21026</v>
      </c>
      <c r="B10869" t="s">
        <v>21026</v>
      </c>
      <c r="C10869" t="s">
        <v>17</v>
      </c>
      <c r="D10869" t="s">
        <v>18</v>
      </c>
      <c r="E10869" s="6">
        <v>-28730</v>
      </c>
      <c r="F10869" t="s">
        <v>747</v>
      </c>
      <c r="G10869" t="s">
        <v>20</v>
      </c>
      <c r="H10869" t="s">
        <v>21</v>
      </c>
      <c r="I10869" t="s">
        <v>21030</v>
      </c>
      <c r="J10869" t="str">
        <f>HYPERLINK("https://www.boe.es/gazeta/dias/1821/05/03/pdfs/GMD-1821-125.pdf#page=3","Abrir facsímil")</f>
        <v>Abrir facsímil</v>
      </c>
      <c r="K10869" t="s">
        <v>23</v>
      </c>
    </row>
    <row r="10870" spans="1:11" ht="42" customHeight="1">
      <c r="A10870" t="s">
        <v>21026</v>
      </c>
      <c r="B10870" t="s">
        <v>21026</v>
      </c>
      <c r="C10870" t="s">
        <v>17</v>
      </c>
      <c r="D10870" t="s">
        <v>18</v>
      </c>
      <c r="E10870" s="6">
        <v>-28726</v>
      </c>
      <c r="F10870" t="s">
        <v>347</v>
      </c>
      <c r="G10870" t="s">
        <v>52</v>
      </c>
      <c r="H10870" t="s">
        <v>21</v>
      </c>
      <c r="I10870" t="s">
        <v>21031</v>
      </c>
      <c r="J10870" t="str">
        <f>HYPERLINK("https://www.boe.es/gazeta/dias/1821/05/07/pdfs/GMD-1821-129.pdf#page=2","Abrir facsímil")</f>
        <v>Abrir facsímil</v>
      </c>
      <c r="K10870" t="s">
        <v>23</v>
      </c>
    </row>
    <row r="10871" spans="1:11" ht="42" customHeight="1">
      <c r="A10871" t="s">
        <v>21026</v>
      </c>
      <c r="B10871" t="s">
        <v>21026</v>
      </c>
      <c r="C10871" t="s">
        <v>17</v>
      </c>
      <c r="D10871" t="s">
        <v>18</v>
      </c>
      <c r="E10871" s="6">
        <v>-28712</v>
      </c>
      <c r="F10871" t="s">
        <v>695</v>
      </c>
      <c r="G10871" t="s">
        <v>20</v>
      </c>
      <c r="H10871" t="s">
        <v>21</v>
      </c>
      <c r="I10871" t="s">
        <v>21032</v>
      </c>
      <c r="J10871" t="str">
        <f>HYPERLINK("https://www.boe.es/gazeta/dias/1821/05/21/pdfs/GMD-1821-143.pdf#page=3","Abrir facsímil")</f>
        <v>Abrir facsímil</v>
      </c>
      <c r="K10871" t="s">
        <v>23</v>
      </c>
    </row>
    <row r="10872" spans="1:11" ht="42" customHeight="1">
      <c r="A10872" t="s">
        <v>21026</v>
      </c>
      <c r="B10872" t="s">
        <v>21026</v>
      </c>
      <c r="C10872" t="s">
        <v>35</v>
      </c>
      <c r="D10872" t="s">
        <v>27</v>
      </c>
      <c r="E10872" s="6">
        <v>-28705</v>
      </c>
      <c r="F10872" t="s">
        <v>1844</v>
      </c>
      <c r="G10872" t="s">
        <v>52</v>
      </c>
      <c r="H10872" t="s">
        <v>21</v>
      </c>
      <c r="I10872" t="s">
        <v>21033</v>
      </c>
      <c r="J10872" t="str">
        <f>HYPERLINK("https://www.boe.es/gazeta/dias/1821/05/28/pdfs/GMD-1821-150.pdf#page=2","Abrir facsímil")</f>
        <v>Abrir facsímil</v>
      </c>
      <c r="K10872" t="s">
        <v>23</v>
      </c>
    </row>
    <row r="10873" spans="1:11" ht="42" customHeight="1">
      <c r="A10873" t="s">
        <v>21026</v>
      </c>
      <c r="B10873" t="s">
        <v>21026</v>
      </c>
      <c r="C10873" t="s">
        <v>70</v>
      </c>
      <c r="D10873" t="s">
        <v>27</v>
      </c>
      <c r="E10873" s="6">
        <v>-28681</v>
      </c>
      <c r="F10873" t="s">
        <v>210</v>
      </c>
      <c r="G10873" t="s">
        <v>52</v>
      </c>
      <c r="H10873" t="s">
        <v>21</v>
      </c>
      <c r="I10873" t="s">
        <v>21034</v>
      </c>
      <c r="J10873" t="str">
        <f>HYPERLINK("https://www.boe.es/gazeta/dias/1821/06/21/pdfs/GMD-1821-174.pdf#page=2","Abrir facsímil")</f>
        <v>Abrir facsímil</v>
      </c>
      <c r="K10873" t="s">
        <v>23</v>
      </c>
    </row>
    <row r="10874" spans="1:11" ht="42" customHeight="1">
      <c r="A10874" t="s">
        <v>21026</v>
      </c>
      <c r="B10874" t="s">
        <v>21026</v>
      </c>
      <c r="C10874" t="s">
        <v>17</v>
      </c>
      <c r="D10874" t="s">
        <v>18</v>
      </c>
      <c r="E10874" s="6">
        <v>-28675</v>
      </c>
      <c r="F10874" t="s">
        <v>943</v>
      </c>
      <c r="G10874" t="s">
        <v>88</v>
      </c>
      <c r="H10874" t="s">
        <v>21</v>
      </c>
      <c r="I10874" t="s">
        <v>21035</v>
      </c>
      <c r="J10874" t="str">
        <f>HYPERLINK("https://www.boe.es/gazeta/dias/1821/06/27/pdfs/GMD-1821-180.pdf#page=4","Abrir facsímil")</f>
        <v>Abrir facsímil</v>
      </c>
      <c r="K10874" t="s">
        <v>23</v>
      </c>
    </row>
    <row r="10875" spans="1:11" ht="42" customHeight="1">
      <c r="A10875" t="s">
        <v>21026</v>
      </c>
      <c r="B10875" t="s">
        <v>21026</v>
      </c>
      <c r="C10875" t="s">
        <v>17</v>
      </c>
      <c r="D10875" t="s">
        <v>18</v>
      </c>
      <c r="E10875" s="6">
        <v>-28517</v>
      </c>
      <c r="F10875" t="s">
        <v>563</v>
      </c>
      <c r="G10875" t="s">
        <v>43</v>
      </c>
      <c r="H10875" t="s">
        <v>21</v>
      </c>
      <c r="I10875" t="s">
        <v>21036</v>
      </c>
      <c r="J10875" t="str">
        <f>HYPERLINK("https://www.boe.es/gazeta/dias/1821/12/02/pdfs/GMD-1821-344.pdf#page=1","Abrir facsímil")</f>
        <v>Abrir facsímil</v>
      </c>
      <c r="K10875" t="s">
        <v>23</v>
      </c>
    </row>
    <row r="10876" spans="1:11" ht="42" customHeight="1">
      <c r="A10876" t="s">
        <v>21037</v>
      </c>
      <c r="B10876" t="s">
        <v>21038</v>
      </c>
      <c r="C10876" t="s">
        <v>70</v>
      </c>
      <c r="D10876" t="s">
        <v>27</v>
      </c>
      <c r="E10876" s="6">
        <v>-28785</v>
      </c>
      <c r="F10876" t="s">
        <v>1935</v>
      </c>
      <c r="G10876" t="s">
        <v>20</v>
      </c>
      <c r="H10876" t="s">
        <v>21</v>
      </c>
      <c r="I10876" t="s">
        <v>21039</v>
      </c>
      <c r="J10876" t="str">
        <f>HYPERLINK("https://www.boe.es/gazeta/dias/1821/03/09/pdfs/GGB-1821-68.pdf#page=3","Abrir facsímil")</f>
        <v>Abrir facsímil</v>
      </c>
      <c r="K10876" t="s">
        <v>23</v>
      </c>
    </row>
    <row r="10877" spans="1:11" ht="42" customHeight="1">
      <c r="A10877" t="s">
        <v>21040</v>
      </c>
      <c r="B10877" t="s">
        <v>21041</v>
      </c>
      <c r="C10877" t="s">
        <v>114</v>
      </c>
      <c r="D10877" t="s">
        <v>27</v>
      </c>
      <c r="E10877" s="6">
        <v>-28646</v>
      </c>
      <c r="F10877" t="s">
        <v>1457</v>
      </c>
      <c r="G10877" t="s">
        <v>79</v>
      </c>
      <c r="H10877" t="s">
        <v>21</v>
      </c>
      <c r="I10877" t="s">
        <v>21042</v>
      </c>
      <c r="J10877" t="str">
        <f>HYPERLINK("https://www.boe.es/gazeta/dias/1821/07/26/pdfs/GMD-1821-211.pdf#page=4","Abrir facsímil")</f>
        <v>Abrir facsímil</v>
      </c>
      <c r="K10877" t="s">
        <v>23</v>
      </c>
    </row>
    <row r="10878" spans="1:11" ht="42" customHeight="1">
      <c r="A10878" t="s">
        <v>21043</v>
      </c>
      <c r="B10878" t="s">
        <v>21044</v>
      </c>
      <c r="C10878" t="s">
        <v>17</v>
      </c>
      <c r="D10878" t="s">
        <v>18</v>
      </c>
      <c r="E10878" s="6">
        <v>-28518</v>
      </c>
      <c r="F10878" t="s">
        <v>410</v>
      </c>
      <c r="G10878" t="s">
        <v>20</v>
      </c>
      <c r="H10878" t="s">
        <v>21</v>
      </c>
      <c r="I10878" t="s">
        <v>21045</v>
      </c>
      <c r="J10878" t="str">
        <f>HYPERLINK("https://www.boe.es/gazeta/dias/1821/12/01/pdfs/GMD-1821-343.pdf#page=3","Abrir facsímil")</f>
        <v>Abrir facsímil</v>
      </c>
      <c r="K10878" t="s">
        <v>23</v>
      </c>
    </row>
    <row r="10879" spans="1:11" ht="42" customHeight="1">
      <c r="A10879" t="s">
        <v>21046</v>
      </c>
      <c r="B10879" t="s">
        <v>21047</v>
      </c>
      <c r="C10879" t="s">
        <v>40</v>
      </c>
      <c r="D10879" t="s">
        <v>41</v>
      </c>
      <c r="E10879" s="6">
        <v>-28810</v>
      </c>
      <c r="F10879" t="s">
        <v>308</v>
      </c>
      <c r="G10879" t="s">
        <v>88</v>
      </c>
      <c r="H10879" t="s">
        <v>21</v>
      </c>
      <c r="I10879" t="s">
        <v>21048</v>
      </c>
      <c r="J10879" t="str">
        <f>HYPERLINK("https://www.boe.es/gazeta/dias/1821/02/12/pdfs/GGB-1821-43.pdf#page=4","Abrir facsímil")</f>
        <v>Abrir facsímil</v>
      </c>
      <c r="K10879" t="s">
        <v>23</v>
      </c>
    </row>
    <row r="10880" spans="1:11" ht="42" customHeight="1">
      <c r="A10880" t="s">
        <v>21049</v>
      </c>
      <c r="B10880" t="s">
        <v>21050</v>
      </c>
      <c r="C10880" t="s">
        <v>17</v>
      </c>
      <c r="D10880" t="s">
        <v>18</v>
      </c>
      <c r="E10880" s="6">
        <v>-28731</v>
      </c>
      <c r="F10880" t="s">
        <v>577</v>
      </c>
      <c r="G10880" t="s">
        <v>88</v>
      </c>
      <c r="H10880" t="s">
        <v>21</v>
      </c>
      <c r="I10880" t="s">
        <v>21051</v>
      </c>
      <c r="J10880" t="str">
        <f>HYPERLINK("https://www.boe.es/gazeta/dias/1821/05/02/pdfs/GMD-1821-124.pdf#page=4","Abrir facsímil")</f>
        <v>Abrir facsímil</v>
      </c>
      <c r="K10880" t="s">
        <v>23</v>
      </c>
    </row>
    <row r="10881" spans="1:11" ht="42" customHeight="1">
      <c r="A10881" t="s">
        <v>21049</v>
      </c>
      <c r="B10881" t="s">
        <v>21050</v>
      </c>
      <c r="C10881" t="s">
        <v>40</v>
      </c>
      <c r="D10881" t="s">
        <v>41</v>
      </c>
      <c r="E10881" s="6">
        <v>-28500</v>
      </c>
      <c r="F10881" t="s">
        <v>298</v>
      </c>
      <c r="G10881" t="s">
        <v>43</v>
      </c>
      <c r="H10881" t="s">
        <v>21</v>
      </c>
      <c r="I10881" t="s">
        <v>21052</v>
      </c>
      <c r="J10881" t="str">
        <f>HYPERLINK("https://www.boe.es/gazeta/dias/1821/12/19/pdfs/GMD-1821-362.pdf#page=1","Abrir facsímil")</f>
        <v>Abrir facsímil</v>
      </c>
      <c r="K10881" t="s">
        <v>23</v>
      </c>
    </row>
    <row r="10882" spans="1:11" ht="42" customHeight="1">
      <c r="A10882" t="s">
        <v>21053</v>
      </c>
      <c r="B10882" t="s">
        <v>21054</v>
      </c>
      <c r="C10882" t="s">
        <v>17</v>
      </c>
      <c r="D10882" t="s">
        <v>18</v>
      </c>
      <c r="E10882" s="6">
        <v>-28543</v>
      </c>
      <c r="F10882" t="s">
        <v>136</v>
      </c>
      <c r="G10882" t="s">
        <v>333</v>
      </c>
      <c r="H10882" t="s">
        <v>21</v>
      </c>
      <c r="I10882" t="s">
        <v>21055</v>
      </c>
      <c r="J10882" t="str">
        <f>HYPERLINK("https://www.boe.es/gazeta/dias/1821/11/06/pdfs/GMD-1821-317.pdf#page=8","Abrir facsímil")</f>
        <v>Abrir facsímil</v>
      </c>
      <c r="K10882" t="s">
        <v>23</v>
      </c>
    </row>
    <row r="10883" spans="1:11" ht="42" customHeight="1">
      <c r="A10883" t="s">
        <v>21056</v>
      </c>
      <c r="B10883" t="s">
        <v>21057</v>
      </c>
      <c r="C10883" t="s">
        <v>174</v>
      </c>
      <c r="D10883" t="s">
        <v>27</v>
      </c>
      <c r="E10883" s="6">
        <v>-28504</v>
      </c>
      <c r="F10883" t="s">
        <v>1098</v>
      </c>
      <c r="G10883" t="s">
        <v>333</v>
      </c>
      <c r="H10883" t="s">
        <v>21</v>
      </c>
      <c r="I10883" t="s">
        <v>21058</v>
      </c>
      <c r="J10883" t="str">
        <f>HYPERLINK("https://www.boe.es/gazeta/dias/1821/12/15/pdfs/GMD-1821-358.pdf#page=8","Abrir facsímil")</f>
        <v>Abrir facsímil</v>
      </c>
      <c r="K10883" t="s">
        <v>23</v>
      </c>
    </row>
    <row r="10884" spans="1:11" ht="42" customHeight="1">
      <c r="A10884" t="s">
        <v>21059</v>
      </c>
      <c r="B10884" t="s">
        <v>21060</v>
      </c>
      <c r="C10884" t="s">
        <v>35</v>
      </c>
      <c r="D10884" t="s">
        <v>27</v>
      </c>
      <c r="E10884" s="6">
        <v>-28651</v>
      </c>
      <c r="F10884" t="s">
        <v>1518</v>
      </c>
      <c r="G10884" t="s">
        <v>1917</v>
      </c>
      <c r="H10884" t="s">
        <v>21</v>
      </c>
      <c r="I10884" t="s">
        <v>21061</v>
      </c>
      <c r="J10884" t="str">
        <f>HYPERLINK("https://www.boe.es/gazeta/dias/1821/07/21/pdfs/GMD-1821-206.pdf#page=3","Abrir facsímil")</f>
        <v>Abrir facsímil</v>
      </c>
      <c r="K10884" t="s">
        <v>23</v>
      </c>
    </row>
    <row r="10885" spans="1:11" ht="42" customHeight="1">
      <c r="A10885" t="s">
        <v>21062</v>
      </c>
      <c r="B10885" t="s">
        <v>21062</v>
      </c>
      <c r="C10885" t="s">
        <v>17</v>
      </c>
      <c r="D10885" t="s">
        <v>18</v>
      </c>
      <c r="E10885" s="6">
        <v>-28781</v>
      </c>
      <c r="F10885" t="s">
        <v>149</v>
      </c>
      <c r="G10885" t="s">
        <v>88</v>
      </c>
      <c r="H10885" t="s">
        <v>21</v>
      </c>
      <c r="I10885" t="s">
        <v>21063</v>
      </c>
      <c r="J10885" t="str">
        <f>HYPERLINK("https://www.boe.es/gazeta/dias/1821/03/13/pdfs/GMD-1821-72.pdf#page=4","Abrir facsímil")</f>
        <v>Abrir facsímil</v>
      </c>
      <c r="K10885" t="s">
        <v>23</v>
      </c>
    </row>
    <row r="10886" spans="1:11" ht="42" customHeight="1">
      <c r="A10886" t="s">
        <v>21064</v>
      </c>
      <c r="B10886" t="s">
        <v>21065</v>
      </c>
      <c r="C10886" t="s">
        <v>17</v>
      </c>
      <c r="D10886" t="s">
        <v>18</v>
      </c>
      <c r="E10886" s="6">
        <v>-28548</v>
      </c>
      <c r="F10886" t="s">
        <v>782</v>
      </c>
      <c r="G10886" t="s">
        <v>162</v>
      </c>
      <c r="H10886" t="s">
        <v>21</v>
      </c>
      <c r="I10886" t="s">
        <v>21066</v>
      </c>
      <c r="J10886" t="str">
        <f>HYPERLINK("https://www.boe.es/gazeta/dias/1821/11/01/pdfs/GMD-1821-311.pdf#page=5","Abrir facsímil")</f>
        <v>Abrir facsímil</v>
      </c>
      <c r="K10886" t="s">
        <v>23</v>
      </c>
    </row>
    <row r="10887" spans="1:11" ht="42" customHeight="1">
      <c r="A10887" t="s">
        <v>21064</v>
      </c>
      <c r="B10887" t="s">
        <v>21065</v>
      </c>
      <c r="C10887" t="s">
        <v>26</v>
      </c>
      <c r="D10887" t="s">
        <v>27</v>
      </c>
      <c r="E10887" s="6">
        <v>-28532</v>
      </c>
      <c r="F10887" t="s">
        <v>1415</v>
      </c>
      <c r="G10887" t="s">
        <v>162</v>
      </c>
      <c r="H10887" t="s">
        <v>21</v>
      </c>
      <c r="I10887" t="s">
        <v>21067</v>
      </c>
      <c r="J10887" t="str">
        <f>HYPERLINK("https://www.boe.es/gazeta/dias/1821/11/17/pdfs/GMD-1821-328.pdf#page=5","Abrir facsímil")</f>
        <v>Abrir facsímil</v>
      </c>
      <c r="K10887" t="s">
        <v>23</v>
      </c>
    </row>
    <row r="10888" spans="1:11" ht="42" customHeight="1">
      <c r="A10888" t="s">
        <v>21064</v>
      </c>
      <c r="B10888" t="s">
        <v>21065</v>
      </c>
      <c r="C10888" t="s">
        <v>17</v>
      </c>
      <c r="D10888" t="s">
        <v>18</v>
      </c>
      <c r="E10888" s="6">
        <v>-28525</v>
      </c>
      <c r="F10888" t="s">
        <v>186</v>
      </c>
      <c r="G10888" t="s">
        <v>88</v>
      </c>
      <c r="H10888" t="s">
        <v>21</v>
      </c>
      <c r="I10888" t="s">
        <v>21068</v>
      </c>
      <c r="J10888" t="str">
        <f>HYPERLINK("https://www.boe.es/gazeta/dias/1821/11/24/pdfs/GMD-1821-335.pdf#page=4","Abrir facsímil")</f>
        <v>Abrir facsímil</v>
      </c>
      <c r="K10888" t="s">
        <v>23</v>
      </c>
    </row>
    <row r="10889" spans="1:11" ht="42" customHeight="1">
      <c r="A10889" t="s">
        <v>21064</v>
      </c>
      <c r="B10889" t="s">
        <v>21065</v>
      </c>
      <c r="C10889" t="s">
        <v>114</v>
      </c>
      <c r="D10889" t="s">
        <v>27</v>
      </c>
      <c r="E10889" s="6">
        <v>-28521</v>
      </c>
      <c r="F10889" t="s">
        <v>499</v>
      </c>
      <c r="G10889" t="s">
        <v>88</v>
      </c>
      <c r="H10889" t="s">
        <v>21</v>
      </c>
      <c r="I10889" t="s">
        <v>21069</v>
      </c>
      <c r="J10889" t="str">
        <f>HYPERLINK("https://www.boe.es/gazeta/dias/1821/11/28/pdfs/GMD-1821-340.pdf#page=4","Abrir facsímil")</f>
        <v>Abrir facsímil</v>
      </c>
      <c r="K10889" t="s">
        <v>23</v>
      </c>
    </row>
    <row r="10890" spans="1:11" ht="42" customHeight="1">
      <c r="A10890" t="s">
        <v>21064</v>
      </c>
      <c r="B10890" t="s">
        <v>21065</v>
      </c>
      <c r="C10890" t="s">
        <v>35</v>
      </c>
      <c r="D10890" t="s">
        <v>27</v>
      </c>
      <c r="E10890" s="6">
        <v>-28510</v>
      </c>
      <c r="F10890" t="s">
        <v>83</v>
      </c>
      <c r="G10890" t="s">
        <v>162</v>
      </c>
      <c r="H10890" t="s">
        <v>21</v>
      </c>
      <c r="I10890" t="s">
        <v>21070</v>
      </c>
      <c r="J10890" t="str">
        <f>HYPERLINK("https://www.boe.es/gazeta/dias/1821/12/09/pdfs/GMD-1821-351.pdf#page=5","Abrir facsímil")</f>
        <v>Abrir facsímil</v>
      </c>
      <c r="K10890" t="s">
        <v>23</v>
      </c>
    </row>
    <row r="10891" spans="1:11" ht="42" customHeight="1">
      <c r="A10891" t="s">
        <v>21064</v>
      </c>
      <c r="B10891" t="s">
        <v>21065</v>
      </c>
      <c r="C10891" t="s">
        <v>17</v>
      </c>
      <c r="D10891" t="s">
        <v>18</v>
      </c>
      <c r="E10891" s="6">
        <v>-28503</v>
      </c>
      <c r="F10891" t="s">
        <v>947</v>
      </c>
      <c r="G10891" t="s">
        <v>29</v>
      </c>
      <c r="H10891" t="s">
        <v>21</v>
      </c>
      <c r="I10891" t="s">
        <v>21071</v>
      </c>
      <c r="J10891" t="str">
        <f>HYPERLINK("https://www.boe.es/gazeta/dias/1821/12/16/pdfs/GMD-1821-359.pdf#page=6","Abrir facsímil")</f>
        <v>Abrir facsímil</v>
      </c>
      <c r="K10891" t="s">
        <v>23</v>
      </c>
    </row>
    <row r="10892" spans="1:11" ht="42" customHeight="1">
      <c r="A10892" t="s">
        <v>21064</v>
      </c>
      <c r="B10892" t="s">
        <v>21065</v>
      </c>
      <c r="C10892" t="s">
        <v>26</v>
      </c>
      <c r="D10892" t="s">
        <v>27</v>
      </c>
      <c r="E10892" s="6">
        <v>-28498</v>
      </c>
      <c r="F10892" t="s">
        <v>447</v>
      </c>
      <c r="G10892" t="s">
        <v>88</v>
      </c>
      <c r="H10892" t="s">
        <v>21</v>
      </c>
      <c r="I10892" t="s">
        <v>21072</v>
      </c>
      <c r="J10892" t="str">
        <f>HYPERLINK("https://www.boe.es/gazeta/dias/1821/12/21/pdfs/GMD-1821-364.pdf#page=4","Abrir facsímil")</f>
        <v>Abrir facsímil</v>
      </c>
      <c r="K10892" t="s">
        <v>23</v>
      </c>
    </row>
    <row r="10893" spans="1:11" ht="42" customHeight="1">
      <c r="A10893" t="s">
        <v>21064</v>
      </c>
      <c r="B10893" t="s">
        <v>21065</v>
      </c>
      <c r="C10893" t="s">
        <v>17</v>
      </c>
      <c r="D10893" t="s">
        <v>18</v>
      </c>
      <c r="E10893" s="6">
        <v>-28495</v>
      </c>
      <c r="F10893" t="s">
        <v>227</v>
      </c>
      <c r="G10893" t="s">
        <v>333</v>
      </c>
      <c r="H10893" t="s">
        <v>21</v>
      </c>
      <c r="I10893" t="s">
        <v>21073</v>
      </c>
      <c r="J10893" t="str">
        <f>HYPERLINK("https://www.boe.es/gazeta/dias/1821/12/24/pdfs/GMD-1821-367.pdf#page=8","Abrir facsímil")</f>
        <v>Abrir facsímil</v>
      </c>
      <c r="K10893" t="s">
        <v>23</v>
      </c>
    </row>
    <row r="10894" spans="1:11" ht="42" customHeight="1">
      <c r="A10894" t="s">
        <v>21074</v>
      </c>
      <c r="B10894" t="s">
        <v>21075</v>
      </c>
      <c r="C10894" t="s">
        <v>40</v>
      </c>
      <c r="D10894" t="s">
        <v>41</v>
      </c>
      <c r="E10894" s="6">
        <v>-28532</v>
      </c>
      <c r="F10894" t="s">
        <v>1415</v>
      </c>
      <c r="G10894" t="s">
        <v>162</v>
      </c>
      <c r="H10894" t="s">
        <v>21</v>
      </c>
      <c r="I10894" t="s">
        <v>21076</v>
      </c>
      <c r="J10894" t="str">
        <f>HYPERLINK("https://www.boe.es/gazeta/dias/1821/11/17/pdfs/GMD-1821-328.pdf#page=5","Abrir facsímil")</f>
        <v>Abrir facsímil</v>
      </c>
      <c r="K10894" t="s">
        <v>23</v>
      </c>
    </row>
    <row r="10895" spans="1:11" ht="42" customHeight="1">
      <c r="A10895" t="s">
        <v>21077</v>
      </c>
      <c r="B10895" t="s">
        <v>21078</v>
      </c>
      <c r="C10895" t="s">
        <v>40</v>
      </c>
      <c r="D10895" t="s">
        <v>41</v>
      </c>
      <c r="E10895" s="6">
        <v>-28679</v>
      </c>
      <c r="F10895" t="s">
        <v>213</v>
      </c>
      <c r="G10895" t="s">
        <v>88</v>
      </c>
      <c r="H10895" t="s">
        <v>21</v>
      </c>
      <c r="I10895" t="s">
        <v>21079</v>
      </c>
      <c r="J10895" t="str">
        <f>HYPERLINK("https://www.boe.es/gazeta/dias/1821/06/23/pdfs/GMD-1821-176.pdf#page=4","Abrir facsímil")</f>
        <v>Abrir facsímil</v>
      </c>
      <c r="K10895" t="s">
        <v>23</v>
      </c>
    </row>
    <row r="10896" spans="1:11" ht="42" customHeight="1">
      <c r="A10896" t="s">
        <v>21080</v>
      </c>
      <c r="B10896" t="s">
        <v>21081</v>
      </c>
      <c r="C10896" t="s">
        <v>40</v>
      </c>
      <c r="D10896" t="s">
        <v>41</v>
      </c>
      <c r="E10896" s="6">
        <v>-28547</v>
      </c>
      <c r="F10896" t="s">
        <v>247</v>
      </c>
      <c r="G10896" t="s">
        <v>248</v>
      </c>
      <c r="H10896" t="s">
        <v>21</v>
      </c>
      <c r="I10896" t="s">
        <v>21082</v>
      </c>
      <c r="J10896" t="str">
        <f>HYPERLINK("https://www.boe.es/gazeta/dias/1821/11/02/pdfs/GMD-1821-312.pdf#page=2","Abrir facsímil")</f>
        <v>Abrir facsímil</v>
      </c>
      <c r="K10896" t="s">
        <v>23</v>
      </c>
    </row>
    <row r="10897" spans="1:11" ht="42" customHeight="1">
      <c r="A10897" t="s">
        <v>21083</v>
      </c>
      <c r="B10897" t="s">
        <v>21084</v>
      </c>
      <c r="C10897" t="s">
        <v>17</v>
      </c>
      <c r="D10897" t="s">
        <v>18</v>
      </c>
      <c r="E10897" s="6">
        <v>-28563</v>
      </c>
      <c r="F10897" t="s">
        <v>118</v>
      </c>
      <c r="G10897" t="s">
        <v>20</v>
      </c>
      <c r="H10897" t="s">
        <v>21</v>
      </c>
      <c r="I10897" t="s">
        <v>21085</v>
      </c>
      <c r="J10897" t="str">
        <f>HYPERLINK("https://www.boe.es/gazeta/dias/1821/10/17/pdfs/GMD-1821-296.pdf#page=3","Abrir facsímil")</f>
        <v>Abrir facsímil</v>
      </c>
      <c r="K10897" t="s">
        <v>23</v>
      </c>
    </row>
    <row r="10898" spans="1:11" ht="42" customHeight="1">
      <c r="A10898" t="s">
        <v>21086</v>
      </c>
      <c r="B10898" t="s">
        <v>21087</v>
      </c>
      <c r="C10898" t="s">
        <v>17</v>
      </c>
      <c r="D10898" t="s">
        <v>18</v>
      </c>
      <c r="E10898" s="6">
        <v>-28711</v>
      </c>
      <c r="F10898" t="s">
        <v>1048</v>
      </c>
      <c r="G10898" t="s">
        <v>43</v>
      </c>
      <c r="H10898" t="s">
        <v>21</v>
      </c>
      <c r="I10898" t="s">
        <v>21088</v>
      </c>
      <c r="J10898" t="str">
        <f>HYPERLINK("https://www.boe.es/gazeta/dias/1821/05/22/pdfs/GMD-1821-144.pdf#page=1","Abrir facsímil")</f>
        <v>Abrir facsímil</v>
      </c>
      <c r="K10898" t="s">
        <v>23</v>
      </c>
    </row>
    <row r="10899" spans="1:11" ht="42" customHeight="1">
      <c r="A10899" t="s">
        <v>21089</v>
      </c>
      <c r="B10899" t="s">
        <v>21090</v>
      </c>
      <c r="C10899" t="s">
        <v>17</v>
      </c>
      <c r="D10899" t="s">
        <v>18</v>
      </c>
      <c r="E10899" s="6">
        <v>-28703</v>
      </c>
      <c r="F10899" t="s">
        <v>231</v>
      </c>
      <c r="G10899" t="s">
        <v>88</v>
      </c>
      <c r="H10899" t="s">
        <v>21</v>
      </c>
      <c r="I10899" t="s">
        <v>21091</v>
      </c>
      <c r="J10899" t="str">
        <f>HYPERLINK("https://www.boe.es/gazeta/dias/1821/05/30/pdfs/GMD-1821-152.pdf#page=4","Abrir facsímil")</f>
        <v>Abrir facsímil</v>
      </c>
      <c r="K10899" t="s">
        <v>23</v>
      </c>
    </row>
    <row r="10900" spans="1:11" ht="42" customHeight="1">
      <c r="A10900" t="s">
        <v>21092</v>
      </c>
      <c r="B10900" t="s">
        <v>21093</v>
      </c>
      <c r="C10900" t="s">
        <v>26</v>
      </c>
      <c r="D10900" t="s">
        <v>27</v>
      </c>
      <c r="E10900" s="6">
        <v>-28667</v>
      </c>
      <c r="F10900" t="s">
        <v>107</v>
      </c>
      <c r="G10900" t="s">
        <v>52</v>
      </c>
      <c r="H10900" t="s">
        <v>21</v>
      </c>
      <c r="I10900" t="s">
        <v>21094</v>
      </c>
      <c r="J10900" t="str">
        <f>HYPERLINK("https://www.boe.es/gazeta/dias/1821/07/05/pdfs/GMD-1821-189.pdf#page=2","Abrir facsímil")</f>
        <v>Abrir facsímil</v>
      </c>
      <c r="K10900" t="s">
        <v>23</v>
      </c>
    </row>
    <row r="10901" spans="1:11" ht="42" customHeight="1">
      <c r="A10901" t="s">
        <v>21095</v>
      </c>
      <c r="B10901" t="s">
        <v>21096</v>
      </c>
      <c r="C10901" t="s">
        <v>279</v>
      </c>
      <c r="D10901" t="s">
        <v>27</v>
      </c>
      <c r="E10901" s="6">
        <v>-28650</v>
      </c>
      <c r="F10901" t="s">
        <v>3285</v>
      </c>
      <c r="G10901" t="s">
        <v>88</v>
      </c>
      <c r="H10901" t="s">
        <v>21</v>
      </c>
      <c r="I10901" t="s">
        <v>21097</v>
      </c>
      <c r="J10901" t="str">
        <f>HYPERLINK("https://www.boe.es/gazeta/dias/1821/07/22/pdfs/GMD-1821-207.pdf#page=4","Abrir facsímil")</f>
        <v>Abrir facsímil</v>
      </c>
      <c r="K10901" t="s">
        <v>23</v>
      </c>
    </row>
    <row r="10902" spans="1:11" ht="42" customHeight="1">
      <c r="A10902" t="s">
        <v>21098</v>
      </c>
      <c r="B10902" t="s">
        <v>21098</v>
      </c>
      <c r="C10902" t="s">
        <v>17</v>
      </c>
      <c r="D10902" t="s">
        <v>18</v>
      </c>
      <c r="E10902" s="6">
        <v>-28796</v>
      </c>
      <c r="F10902" t="s">
        <v>1421</v>
      </c>
      <c r="G10902" t="s">
        <v>1422</v>
      </c>
      <c r="H10902" t="s">
        <v>21</v>
      </c>
      <c r="I10902" t="s">
        <v>21099</v>
      </c>
      <c r="J10902" t="str">
        <f>HYPERLINK("https://www.boe.es/gazeta/dias/1821/02/26/pdfs/GGB-1821-57.pdf#page=3","Abrir facsímil")</f>
        <v>Abrir facsímil</v>
      </c>
      <c r="K10902" t="s">
        <v>23</v>
      </c>
    </row>
    <row r="10903" spans="1:11" ht="42" customHeight="1">
      <c r="A10903" t="s">
        <v>21098</v>
      </c>
      <c r="B10903" t="s">
        <v>21098</v>
      </c>
      <c r="C10903" t="s">
        <v>17</v>
      </c>
      <c r="D10903" t="s">
        <v>18</v>
      </c>
      <c r="E10903" s="6">
        <v>-28784</v>
      </c>
      <c r="F10903" t="s">
        <v>451</v>
      </c>
      <c r="G10903" t="s">
        <v>52</v>
      </c>
      <c r="H10903" t="s">
        <v>21</v>
      </c>
      <c r="I10903" t="s">
        <v>21100</v>
      </c>
      <c r="J10903" t="str">
        <f>HYPERLINK("https://www.boe.es/gazeta/dias/1821/03/10/pdfs/GGB-1821-69.pdf#page=2","Abrir facsímil")</f>
        <v>Abrir facsímil</v>
      </c>
      <c r="K10903" t="s">
        <v>23</v>
      </c>
    </row>
    <row r="10904" spans="1:11" ht="42" customHeight="1">
      <c r="A10904" t="s">
        <v>21098</v>
      </c>
      <c r="B10904" t="s">
        <v>21098</v>
      </c>
      <c r="C10904" t="s">
        <v>17</v>
      </c>
      <c r="D10904" t="s">
        <v>18</v>
      </c>
      <c r="E10904" s="6">
        <v>-28694</v>
      </c>
      <c r="F10904" t="s">
        <v>1057</v>
      </c>
      <c r="G10904" t="s">
        <v>52</v>
      </c>
      <c r="H10904" t="s">
        <v>21</v>
      </c>
      <c r="I10904" t="s">
        <v>21101</v>
      </c>
      <c r="J10904" t="str">
        <f>HYPERLINK("https://www.boe.es/gazeta/dias/1821/06/08/pdfs/GMD-1821-161.pdf#page=2","Abrir facsímil")</f>
        <v>Abrir facsímil</v>
      </c>
      <c r="K10904" t="s">
        <v>23</v>
      </c>
    </row>
    <row r="10905" spans="1:11" ht="42" customHeight="1">
      <c r="A10905" t="s">
        <v>21102</v>
      </c>
      <c r="B10905" t="s">
        <v>21103</v>
      </c>
      <c r="C10905" t="s">
        <v>35</v>
      </c>
      <c r="D10905" t="s">
        <v>27</v>
      </c>
      <c r="E10905" s="6">
        <v>-28777</v>
      </c>
      <c r="F10905" t="s">
        <v>1004</v>
      </c>
      <c r="G10905" t="s">
        <v>1005</v>
      </c>
      <c r="H10905" t="s">
        <v>21</v>
      </c>
      <c r="I10905" t="s">
        <v>21104</v>
      </c>
      <c r="J10905" t="str">
        <f>HYPERLINK("https://www.boe.es/gazeta/dias/1821/03/17/pdfs/GMD-1821-76.pdf#page=2","Abrir facsímil")</f>
        <v>Abrir facsímil</v>
      </c>
      <c r="K10905" t="s">
        <v>23</v>
      </c>
    </row>
    <row r="10906" spans="1:11" ht="42" customHeight="1">
      <c r="A10906" t="s">
        <v>21105</v>
      </c>
      <c r="B10906" t="s">
        <v>21106</v>
      </c>
      <c r="C10906" t="s">
        <v>17</v>
      </c>
      <c r="D10906" t="s">
        <v>18</v>
      </c>
      <c r="E10906" s="6">
        <v>-28679</v>
      </c>
      <c r="F10906" t="s">
        <v>213</v>
      </c>
      <c r="G10906" t="s">
        <v>29</v>
      </c>
      <c r="H10906" t="s">
        <v>21</v>
      </c>
      <c r="I10906" t="s">
        <v>21107</v>
      </c>
      <c r="J10906" t="str">
        <f>HYPERLINK("https://www.boe.es/gazeta/dias/1821/06/23/pdfs/GMD-1821-176.pdf#page=6","Abrir facsímil")</f>
        <v>Abrir facsímil</v>
      </c>
      <c r="K10906" t="s">
        <v>23</v>
      </c>
    </row>
    <row r="10907" spans="1:11" ht="42" customHeight="1">
      <c r="A10907" t="s">
        <v>21108</v>
      </c>
      <c r="B10907" t="s">
        <v>21108</v>
      </c>
      <c r="C10907" t="s">
        <v>26</v>
      </c>
      <c r="D10907" t="s">
        <v>27</v>
      </c>
      <c r="E10907" s="6">
        <v>-28638</v>
      </c>
      <c r="F10907" t="s">
        <v>736</v>
      </c>
      <c r="G10907" t="s">
        <v>52</v>
      </c>
      <c r="H10907" t="s">
        <v>21</v>
      </c>
      <c r="I10907" t="s">
        <v>21109</v>
      </c>
      <c r="J10907" t="str">
        <f>HYPERLINK("https://www.boe.es/gazeta/dias/1821/08/03/pdfs/GMD-1821-219.pdf#page=2","Abrir facsímil")</f>
        <v>Abrir facsímil</v>
      </c>
      <c r="K10907" t="s">
        <v>23</v>
      </c>
    </row>
    <row r="10908" spans="1:11" ht="42" customHeight="1">
      <c r="A10908" t="s">
        <v>21110</v>
      </c>
      <c r="B10908" t="s">
        <v>21111</v>
      </c>
      <c r="C10908" t="s">
        <v>40</v>
      </c>
      <c r="D10908" t="s">
        <v>41</v>
      </c>
      <c r="E10908" s="6">
        <v>-28712</v>
      </c>
      <c r="F10908" t="s">
        <v>695</v>
      </c>
      <c r="G10908" t="s">
        <v>88</v>
      </c>
      <c r="H10908" t="s">
        <v>21</v>
      </c>
      <c r="I10908" t="s">
        <v>21112</v>
      </c>
      <c r="J10908" t="str">
        <f>HYPERLINK("https://www.boe.es/gazeta/dias/1821/05/21/pdfs/GMD-1821-143.pdf#page=4","Abrir facsímil")</f>
        <v>Abrir facsímil</v>
      </c>
      <c r="K10908" t="s">
        <v>23</v>
      </c>
    </row>
    <row r="10909" spans="1:11" ht="42" customHeight="1">
      <c r="A10909" t="s">
        <v>21113</v>
      </c>
      <c r="B10909" t="s">
        <v>21114</v>
      </c>
      <c r="C10909" t="s">
        <v>17</v>
      </c>
      <c r="D10909" t="s">
        <v>18</v>
      </c>
      <c r="E10909" s="6">
        <v>-28508</v>
      </c>
      <c r="F10909" t="s">
        <v>42</v>
      </c>
      <c r="G10909" t="s">
        <v>52</v>
      </c>
      <c r="H10909" t="s">
        <v>21</v>
      </c>
      <c r="I10909" t="s">
        <v>21115</v>
      </c>
      <c r="J10909" t="str">
        <f>HYPERLINK("https://www.boe.es/gazeta/dias/1821/12/11/pdfs/GMD-1821-353.pdf#page=2","Abrir facsímil")</f>
        <v>Abrir facsímil</v>
      </c>
      <c r="K10909" t="s">
        <v>23</v>
      </c>
    </row>
    <row r="10910" spans="1:11" ht="42" customHeight="1">
      <c r="A10910" t="s">
        <v>21116</v>
      </c>
      <c r="B10910" t="s">
        <v>21117</v>
      </c>
      <c r="C10910" t="s">
        <v>17</v>
      </c>
      <c r="D10910" t="s">
        <v>18</v>
      </c>
      <c r="E10910" s="6">
        <v>-28586</v>
      </c>
      <c r="F10910" t="s">
        <v>587</v>
      </c>
      <c r="G10910" t="s">
        <v>588</v>
      </c>
      <c r="H10910" t="s">
        <v>21</v>
      </c>
      <c r="I10910" t="s">
        <v>21118</v>
      </c>
      <c r="J10910" t="str">
        <f>HYPERLINK("https://www.boe.es/gazeta/dias/1821/09/24/pdfs/GMD-1821-272.pdf#page=3","Abrir facsímil")</f>
        <v>Abrir facsímil</v>
      </c>
      <c r="K10910" t="s">
        <v>23</v>
      </c>
    </row>
    <row r="10911" spans="1:11" ht="42" customHeight="1">
      <c r="A10911" t="s">
        <v>21119</v>
      </c>
      <c r="B10911" t="s">
        <v>21120</v>
      </c>
      <c r="C10911" t="s">
        <v>26</v>
      </c>
      <c r="D10911" t="s">
        <v>27</v>
      </c>
      <c r="E10911" s="6">
        <v>-28620</v>
      </c>
      <c r="F10911" t="s">
        <v>87</v>
      </c>
      <c r="G10911" t="s">
        <v>88</v>
      </c>
      <c r="H10911" t="s">
        <v>21</v>
      </c>
      <c r="I10911" t="s">
        <v>21121</v>
      </c>
      <c r="J10911" t="str">
        <f>HYPERLINK("https://www.boe.es/gazeta/dias/1821/08/21/pdfs/GMD-1821-238.pdf#page=4","Abrir facsímil")</f>
        <v>Abrir facsímil</v>
      </c>
      <c r="K10911" t="s">
        <v>23</v>
      </c>
    </row>
    <row r="10912" spans="1:11" ht="42" customHeight="1">
      <c r="A10912" t="s">
        <v>21122</v>
      </c>
      <c r="B10912" t="s">
        <v>21122</v>
      </c>
      <c r="C10912" t="s">
        <v>17</v>
      </c>
      <c r="D10912" t="s">
        <v>18</v>
      </c>
      <c r="E10912" s="6">
        <v>-28790</v>
      </c>
      <c r="F10912" t="s">
        <v>991</v>
      </c>
      <c r="G10912" t="s">
        <v>88</v>
      </c>
      <c r="H10912" t="s">
        <v>21</v>
      </c>
      <c r="I10912" t="s">
        <v>21123</v>
      </c>
      <c r="J10912" t="str">
        <f>HYPERLINK("https://www.boe.es/gazeta/dias/1821/03/04/pdfs/GGB-1821-63.pdf#page=4","Abrir facsímil")</f>
        <v>Abrir facsímil</v>
      </c>
      <c r="K10912" t="s">
        <v>23</v>
      </c>
    </row>
    <row r="10913" spans="1:11" ht="42" customHeight="1">
      <c r="A10913" t="s">
        <v>21124</v>
      </c>
      <c r="B10913" t="s">
        <v>21125</v>
      </c>
      <c r="C10913" t="s">
        <v>174</v>
      </c>
      <c r="D10913" t="s">
        <v>27</v>
      </c>
      <c r="E10913" s="6">
        <v>-28489</v>
      </c>
      <c r="F10913" t="s">
        <v>3894</v>
      </c>
      <c r="G10913" t="s">
        <v>88</v>
      </c>
      <c r="H10913" t="s">
        <v>21</v>
      </c>
      <c r="I10913" t="s">
        <v>21126</v>
      </c>
      <c r="J10913" t="str">
        <f>HYPERLINK("https://www.boe.es/gazeta/dias/1821/12/30/pdfs/GMD-1821-373.pdf#page=4","Abrir facsímil")</f>
        <v>Abrir facsímil</v>
      </c>
      <c r="K10913" t="s">
        <v>23</v>
      </c>
    </row>
    <row r="10914" spans="1:11" ht="42" customHeight="1">
      <c r="A10914" t="s">
        <v>21127</v>
      </c>
      <c r="B10914" t="s">
        <v>21128</v>
      </c>
      <c r="C10914" t="s">
        <v>40</v>
      </c>
      <c r="D10914" t="s">
        <v>41</v>
      </c>
      <c r="E10914" s="6">
        <v>-28749</v>
      </c>
      <c r="F10914" t="s">
        <v>832</v>
      </c>
      <c r="G10914" t="s">
        <v>52</v>
      </c>
      <c r="H10914" t="s">
        <v>21</v>
      </c>
      <c r="I10914" t="s">
        <v>21129</v>
      </c>
      <c r="J10914" t="str">
        <f>HYPERLINK("https://www.boe.es/gazeta/dias/1821/04/14/pdfs/GMD-1821-106.pdf#page=2","Abrir facsímil")</f>
        <v>Abrir facsímil</v>
      </c>
      <c r="K10914" t="s">
        <v>23</v>
      </c>
    </row>
    <row r="10915" spans="1:11" ht="42" customHeight="1">
      <c r="A10915" t="s">
        <v>21130</v>
      </c>
      <c r="B10915" t="s">
        <v>21131</v>
      </c>
      <c r="C10915" t="s">
        <v>35</v>
      </c>
      <c r="D10915" t="s">
        <v>27</v>
      </c>
      <c r="E10915" s="6">
        <v>-28755</v>
      </c>
      <c r="F10915" t="s">
        <v>906</v>
      </c>
      <c r="G10915" t="s">
        <v>52</v>
      </c>
      <c r="H10915" t="s">
        <v>21</v>
      </c>
      <c r="I10915" t="s">
        <v>21132</v>
      </c>
      <c r="J10915" t="str">
        <f>HYPERLINK("https://www.boe.es/gazeta/dias/1821/04/08/pdfs/GMD-1821-100.pdf#page=2","Abrir facsímil")</f>
        <v>Abrir facsímil</v>
      </c>
      <c r="K10915" t="s">
        <v>23</v>
      </c>
    </row>
    <row r="10916" spans="1:11" ht="42" customHeight="1">
      <c r="A10916" t="s">
        <v>21133</v>
      </c>
      <c r="B10916" t="s">
        <v>21134</v>
      </c>
      <c r="C10916" t="s">
        <v>35</v>
      </c>
      <c r="D10916" t="s">
        <v>27</v>
      </c>
      <c r="E10916" s="6">
        <v>-28776</v>
      </c>
      <c r="F10916" t="s">
        <v>312</v>
      </c>
      <c r="G10916" t="s">
        <v>20</v>
      </c>
      <c r="H10916" t="s">
        <v>21</v>
      </c>
      <c r="I10916" t="s">
        <v>21135</v>
      </c>
      <c r="J10916" t="str">
        <f>HYPERLINK("https://www.boe.es/gazeta/dias/1821/03/18/pdfs/GMD-1821-77.pdf#page=3","Abrir facsímil")</f>
        <v>Abrir facsímil</v>
      </c>
      <c r="K10916" t="s">
        <v>23</v>
      </c>
    </row>
    <row r="10917" spans="1:11" ht="42" customHeight="1">
      <c r="A10917" t="s">
        <v>21136</v>
      </c>
      <c r="B10917" t="s">
        <v>21137</v>
      </c>
      <c r="C10917" t="s">
        <v>17</v>
      </c>
      <c r="D10917" t="s">
        <v>18</v>
      </c>
      <c r="E10917" s="6">
        <v>-28718</v>
      </c>
      <c r="F10917" t="s">
        <v>583</v>
      </c>
      <c r="G10917" t="s">
        <v>52</v>
      </c>
      <c r="H10917" t="s">
        <v>21</v>
      </c>
      <c r="I10917" t="s">
        <v>21138</v>
      </c>
      <c r="J10917" t="str">
        <f>HYPERLINK("https://www.boe.es/gazeta/dias/1821/05/15/pdfs/GMD-1821-137.pdf#page=2","Abrir facsímil")</f>
        <v>Abrir facsímil</v>
      </c>
      <c r="K10917" t="s">
        <v>23</v>
      </c>
    </row>
    <row r="10918" spans="1:11" ht="42" customHeight="1">
      <c r="A10918" t="s">
        <v>21139</v>
      </c>
      <c r="B10918" t="s">
        <v>21139</v>
      </c>
      <c r="C10918" t="s">
        <v>40</v>
      </c>
      <c r="D10918" t="s">
        <v>41</v>
      </c>
      <c r="E10918" s="6">
        <v>-28538</v>
      </c>
      <c r="F10918" t="s">
        <v>395</v>
      </c>
      <c r="G10918" t="s">
        <v>29</v>
      </c>
      <c r="H10918" t="s">
        <v>21</v>
      </c>
      <c r="I10918" t="s">
        <v>21140</v>
      </c>
      <c r="J10918" t="str">
        <f>HYPERLINK("https://www.boe.es/gazeta/dias/1821/11/11/pdfs/GMD-1821-322.pdf#page=6","Abrir facsímil")</f>
        <v>Abrir facsímil</v>
      </c>
      <c r="K10918" t="s">
        <v>23</v>
      </c>
    </row>
    <row r="10919" spans="1:11" ht="42" customHeight="1">
      <c r="A10919" t="s">
        <v>21141</v>
      </c>
      <c r="B10919" t="s">
        <v>21142</v>
      </c>
      <c r="C10919" t="s">
        <v>174</v>
      </c>
      <c r="D10919" t="s">
        <v>27</v>
      </c>
      <c r="E10919" s="6">
        <v>-28793</v>
      </c>
      <c r="F10919" t="s">
        <v>157</v>
      </c>
      <c r="G10919" t="s">
        <v>29</v>
      </c>
      <c r="H10919" t="s">
        <v>21</v>
      </c>
      <c r="I10919" t="s">
        <v>21143</v>
      </c>
      <c r="J10919" t="str">
        <f>HYPERLINK("https://www.boe.es/gazeta/dias/1821/03/01/pdfs/GGB-1821-60.pdf#page=6","Abrir facsímil")</f>
        <v>Abrir facsímil</v>
      </c>
      <c r="K10919" t="s">
        <v>23</v>
      </c>
    </row>
    <row r="10920" spans="1:11" ht="42" customHeight="1">
      <c r="A10920" t="s">
        <v>21144</v>
      </c>
      <c r="B10920" t="s">
        <v>21145</v>
      </c>
      <c r="C10920" t="s">
        <v>17</v>
      </c>
      <c r="D10920" t="s">
        <v>18</v>
      </c>
      <c r="E10920" s="6">
        <v>-28809</v>
      </c>
      <c r="F10920" t="s">
        <v>1173</v>
      </c>
      <c r="G10920" t="s">
        <v>88</v>
      </c>
      <c r="H10920" t="s">
        <v>21</v>
      </c>
      <c r="I10920" t="s">
        <v>21146</v>
      </c>
      <c r="J10920" t="str">
        <f>HYPERLINK("https://www.boe.es/gazeta/dias/1821/02/13/pdfs/GGB-1821-44.pdf#page=4","Abrir facsímil")</f>
        <v>Abrir facsímil</v>
      </c>
      <c r="K10920" t="s">
        <v>23</v>
      </c>
    </row>
    <row r="10921" spans="1:11" ht="42" customHeight="1">
      <c r="A10921" t="s">
        <v>21147</v>
      </c>
      <c r="B10921" t="s">
        <v>21147</v>
      </c>
      <c r="C10921" t="s">
        <v>17</v>
      </c>
      <c r="D10921" t="s">
        <v>18</v>
      </c>
      <c r="E10921" s="6">
        <v>-28605</v>
      </c>
      <c r="F10921" t="s">
        <v>3173</v>
      </c>
      <c r="G10921" t="s">
        <v>52</v>
      </c>
      <c r="H10921" t="s">
        <v>21</v>
      </c>
      <c r="I10921" t="s">
        <v>21148</v>
      </c>
      <c r="J10921" t="str">
        <f>HYPERLINK("https://www.boe.es/gazeta/dias/1821/09/05/pdfs/GMD-1821-253.pdf#page=2","Abrir facsímil")</f>
        <v>Abrir facsímil</v>
      </c>
      <c r="K10921" t="s">
        <v>23</v>
      </c>
    </row>
    <row r="10922" spans="1:11" ht="42" customHeight="1">
      <c r="A10922" t="s">
        <v>21149</v>
      </c>
      <c r="B10922" t="s">
        <v>21149</v>
      </c>
      <c r="C10922" t="s">
        <v>40</v>
      </c>
      <c r="D10922" t="s">
        <v>41</v>
      </c>
      <c r="E10922" s="6">
        <v>-28652</v>
      </c>
      <c r="F10922" t="s">
        <v>1314</v>
      </c>
      <c r="G10922" t="s">
        <v>52</v>
      </c>
      <c r="H10922" t="s">
        <v>21</v>
      </c>
      <c r="I10922" t="s">
        <v>21150</v>
      </c>
      <c r="J10922" t="str">
        <f>HYPERLINK("https://www.boe.es/gazeta/dias/1821/07/20/pdfs/GMD-1821-205.pdf#page=2","Abrir facsímil")</f>
        <v>Abrir facsímil</v>
      </c>
      <c r="K10922" t="s">
        <v>23</v>
      </c>
    </row>
    <row r="10923" spans="1:11" ht="42" customHeight="1">
      <c r="A10923" t="s">
        <v>21149</v>
      </c>
      <c r="B10923" t="s">
        <v>21149</v>
      </c>
      <c r="C10923" t="s">
        <v>40</v>
      </c>
      <c r="D10923" t="s">
        <v>41</v>
      </c>
      <c r="E10923" s="6">
        <v>-28648</v>
      </c>
      <c r="F10923" t="s">
        <v>1520</v>
      </c>
      <c r="G10923" t="s">
        <v>52</v>
      </c>
      <c r="H10923" t="s">
        <v>21</v>
      </c>
      <c r="I10923" t="s">
        <v>21151</v>
      </c>
      <c r="J10923" t="str">
        <f>HYPERLINK("https://www.boe.es/gazeta/dias/1821/07/24/pdfs/GMD-1821-209.pdf#page=2","Abrir facsímil")</f>
        <v>Abrir facsímil</v>
      </c>
      <c r="K10923" t="s">
        <v>23</v>
      </c>
    </row>
    <row r="10924" spans="1:11" ht="42" customHeight="1">
      <c r="A10924" t="s">
        <v>21149</v>
      </c>
      <c r="B10924" t="s">
        <v>21149</v>
      </c>
      <c r="C10924" t="s">
        <v>26</v>
      </c>
      <c r="D10924" t="s">
        <v>27</v>
      </c>
      <c r="E10924" s="6">
        <v>-28632</v>
      </c>
      <c r="F10924" t="s">
        <v>6572</v>
      </c>
      <c r="G10924" t="s">
        <v>52</v>
      </c>
      <c r="H10924" t="s">
        <v>21</v>
      </c>
      <c r="I10924" t="s">
        <v>21152</v>
      </c>
      <c r="J10924" t="str">
        <f>HYPERLINK("https://www.boe.es/gazeta/dias/1821/08/09/pdfs/GMD-1821-225.pdf#page=2","Abrir facsímil")</f>
        <v>Abrir facsímil</v>
      </c>
      <c r="K10924" t="s">
        <v>23</v>
      </c>
    </row>
    <row r="10925" spans="1:11" ht="42" customHeight="1">
      <c r="A10925" t="s">
        <v>21149</v>
      </c>
      <c r="B10925" t="s">
        <v>21149</v>
      </c>
      <c r="C10925" t="s">
        <v>26</v>
      </c>
      <c r="D10925" t="s">
        <v>27</v>
      </c>
      <c r="E10925" s="6">
        <v>-28628</v>
      </c>
      <c r="F10925" t="s">
        <v>4257</v>
      </c>
      <c r="G10925" t="s">
        <v>20</v>
      </c>
      <c r="H10925" t="s">
        <v>21</v>
      </c>
      <c r="I10925" t="s">
        <v>21153</v>
      </c>
      <c r="J10925" t="str">
        <f>HYPERLINK("https://www.boe.es/gazeta/dias/1821/08/13/pdfs/GMD-1821-230.pdf#page=3","Abrir facsímil")</f>
        <v>Abrir facsímil</v>
      </c>
      <c r="K10925" t="s">
        <v>23</v>
      </c>
    </row>
    <row r="10926" spans="1:11" ht="42" customHeight="1">
      <c r="A10926" t="s">
        <v>21149</v>
      </c>
      <c r="B10926" t="s">
        <v>21149</v>
      </c>
      <c r="C10926" t="s">
        <v>40</v>
      </c>
      <c r="D10926" t="s">
        <v>41</v>
      </c>
      <c r="E10926" s="6">
        <v>-28557</v>
      </c>
      <c r="F10926" t="s">
        <v>316</v>
      </c>
      <c r="G10926" t="s">
        <v>20</v>
      </c>
      <c r="H10926" t="s">
        <v>21</v>
      </c>
      <c r="I10926" t="s">
        <v>21154</v>
      </c>
      <c r="J10926" t="str">
        <f>HYPERLINK("https://www.boe.es/gazeta/dias/1821/10/23/pdfs/GMD-1821-302.pdf#page=3","Abrir facsímil")</f>
        <v>Abrir facsímil</v>
      </c>
      <c r="K10926" t="s">
        <v>23</v>
      </c>
    </row>
    <row r="10927" spans="1:11" ht="42" customHeight="1">
      <c r="A10927" t="s">
        <v>21155</v>
      </c>
      <c r="B10927" t="s">
        <v>21155</v>
      </c>
      <c r="C10927" t="s">
        <v>40</v>
      </c>
      <c r="D10927" t="s">
        <v>41</v>
      </c>
      <c r="E10927" s="6">
        <v>-28773</v>
      </c>
      <c r="F10927" t="s">
        <v>1755</v>
      </c>
      <c r="G10927" t="s">
        <v>52</v>
      </c>
      <c r="H10927" t="s">
        <v>21</v>
      </c>
      <c r="I10927" t="s">
        <v>21156</v>
      </c>
      <c r="J10927" t="str">
        <f>HYPERLINK("https://www.boe.es/gazeta/dias/1821/03/21/pdfs/GMD-1821-80.pdf#page=2","Abrir facsímil")</f>
        <v>Abrir facsímil</v>
      </c>
      <c r="K10927" t="s">
        <v>23</v>
      </c>
    </row>
    <row r="10928" spans="1:11" ht="42" customHeight="1">
      <c r="A10928" t="s">
        <v>21155</v>
      </c>
      <c r="B10928" t="s">
        <v>21155</v>
      </c>
      <c r="C10928" t="s">
        <v>35</v>
      </c>
      <c r="D10928" t="s">
        <v>27</v>
      </c>
      <c r="E10928" s="6">
        <v>-28595</v>
      </c>
      <c r="F10928" t="s">
        <v>1621</v>
      </c>
      <c r="G10928" t="s">
        <v>52</v>
      </c>
      <c r="H10928" t="s">
        <v>21</v>
      </c>
      <c r="I10928" t="s">
        <v>21157</v>
      </c>
      <c r="J10928" t="str">
        <f>HYPERLINK("https://www.boe.es/gazeta/dias/1821/09/15/pdfs/GMD-1821-263.pdf#page=2","Abrir facsímil")</f>
        <v>Abrir facsímil</v>
      </c>
      <c r="K10928" t="s">
        <v>23</v>
      </c>
    </row>
    <row r="10929" spans="1:11" ht="42" customHeight="1">
      <c r="A10929" t="s">
        <v>21155</v>
      </c>
      <c r="B10929" t="s">
        <v>21155</v>
      </c>
      <c r="C10929" t="s">
        <v>17</v>
      </c>
      <c r="D10929" t="s">
        <v>18</v>
      </c>
      <c r="E10929" s="6">
        <v>-28570</v>
      </c>
      <c r="F10929" t="s">
        <v>2300</v>
      </c>
      <c r="G10929" t="s">
        <v>52</v>
      </c>
      <c r="H10929" t="s">
        <v>21</v>
      </c>
      <c r="I10929" t="s">
        <v>21158</v>
      </c>
      <c r="J10929" t="str">
        <f>HYPERLINK("https://www.boe.es/gazeta/dias/1821/10/10/pdfs/GMD-1821-289.pdf#page=2","Abrir facsímil")</f>
        <v>Abrir facsímil</v>
      </c>
      <c r="K10929" t="s">
        <v>23</v>
      </c>
    </row>
    <row r="10930" spans="1:11" ht="42" customHeight="1">
      <c r="A10930" t="s">
        <v>21155</v>
      </c>
      <c r="B10930" t="s">
        <v>21155</v>
      </c>
      <c r="C10930" t="s">
        <v>279</v>
      </c>
      <c r="D10930" t="s">
        <v>27</v>
      </c>
      <c r="E10930" s="6">
        <v>-28548</v>
      </c>
      <c r="F10930" t="s">
        <v>782</v>
      </c>
      <c r="G10930" t="s">
        <v>52</v>
      </c>
      <c r="H10930" t="s">
        <v>21</v>
      </c>
      <c r="I10930" t="s">
        <v>21159</v>
      </c>
      <c r="J10930" t="str">
        <f>HYPERLINK("https://www.boe.es/gazeta/dias/1821/11/01/pdfs/GMD-1821-311.pdf#page=2","Abrir facsímil")</f>
        <v>Abrir facsímil</v>
      </c>
      <c r="K10930" t="s">
        <v>23</v>
      </c>
    </row>
    <row r="10931" spans="1:11" ht="42" customHeight="1">
      <c r="A10931" t="s">
        <v>21160</v>
      </c>
      <c r="B10931" t="s">
        <v>21160</v>
      </c>
      <c r="C10931" t="s">
        <v>17</v>
      </c>
      <c r="D10931" t="s">
        <v>18</v>
      </c>
      <c r="E10931" s="6">
        <v>-28535</v>
      </c>
      <c r="F10931" t="s">
        <v>96</v>
      </c>
      <c r="G10931" t="s">
        <v>52</v>
      </c>
      <c r="H10931" t="s">
        <v>21</v>
      </c>
      <c r="I10931" t="s">
        <v>21161</v>
      </c>
      <c r="J10931" t="str">
        <f>HYPERLINK("https://www.boe.es/gazeta/dias/1821/11/14/pdfs/GMD-1821-325.pdf#page=2","Abrir facsímil")</f>
        <v>Abrir facsímil</v>
      </c>
      <c r="K10931" t="s">
        <v>23</v>
      </c>
    </row>
    <row r="10932" spans="1:11" ht="42" customHeight="1">
      <c r="A10932" t="s">
        <v>21162</v>
      </c>
      <c r="B10932" t="s">
        <v>21162</v>
      </c>
      <c r="C10932" t="s">
        <v>26</v>
      </c>
      <c r="D10932" t="s">
        <v>27</v>
      </c>
      <c r="E10932" s="6">
        <v>-28611</v>
      </c>
      <c r="F10932" t="s">
        <v>5777</v>
      </c>
      <c r="G10932" t="s">
        <v>43</v>
      </c>
      <c r="H10932" t="s">
        <v>21</v>
      </c>
      <c r="I10932" t="s">
        <v>21163</v>
      </c>
      <c r="J10932" t="str">
        <f>HYPERLINK("https://www.boe.es/gazeta/dias/1821/08/30/pdfs/GMD-1821-247.pdf#page=1","Abrir facsímil")</f>
        <v>Abrir facsímil</v>
      </c>
      <c r="K10932" t="s">
        <v>23</v>
      </c>
    </row>
    <row r="10933" spans="1:11" ht="42" customHeight="1">
      <c r="A10933" t="s">
        <v>21164</v>
      </c>
      <c r="B10933" t="s">
        <v>21164</v>
      </c>
      <c r="C10933" t="s">
        <v>40</v>
      </c>
      <c r="D10933" t="s">
        <v>41</v>
      </c>
      <c r="E10933" s="6">
        <v>-28782</v>
      </c>
      <c r="F10933" t="s">
        <v>508</v>
      </c>
      <c r="G10933" t="s">
        <v>52</v>
      </c>
      <c r="H10933" t="s">
        <v>21</v>
      </c>
      <c r="I10933" t="s">
        <v>21165</v>
      </c>
      <c r="J10933" t="str">
        <f>HYPERLINK("https://www.boe.es/gazeta/dias/1821/03/12/pdfs/GMD-1821-71.pdf#page=2","Abrir facsímil")</f>
        <v>Abrir facsímil</v>
      </c>
      <c r="K10933" t="s">
        <v>23</v>
      </c>
    </row>
    <row r="10934" spans="1:11" ht="42" customHeight="1">
      <c r="A10934" t="s">
        <v>21166</v>
      </c>
      <c r="B10934" t="s">
        <v>21167</v>
      </c>
      <c r="C10934" t="s">
        <v>40</v>
      </c>
      <c r="D10934" t="s">
        <v>41</v>
      </c>
      <c r="E10934" s="6">
        <v>-28677</v>
      </c>
      <c r="F10934" t="s">
        <v>361</v>
      </c>
      <c r="G10934" t="s">
        <v>88</v>
      </c>
      <c r="H10934" t="s">
        <v>21</v>
      </c>
      <c r="I10934" t="s">
        <v>21168</v>
      </c>
      <c r="J10934" t="str">
        <f>HYPERLINK("https://www.boe.es/gazeta/dias/1821/06/25/pdfs/GMD-1821-178.pdf#page=4","Abrir facsímil")</f>
        <v>Abrir facsímil</v>
      </c>
      <c r="K10934" t="s">
        <v>23</v>
      </c>
    </row>
    <row r="10935" spans="1:11" ht="42" customHeight="1">
      <c r="A10935" t="s">
        <v>21169</v>
      </c>
      <c r="B10935" t="s">
        <v>21170</v>
      </c>
      <c r="C10935" t="s">
        <v>26</v>
      </c>
      <c r="D10935" t="s">
        <v>27</v>
      </c>
      <c r="E10935" s="6">
        <v>-28776</v>
      </c>
      <c r="F10935" t="s">
        <v>312</v>
      </c>
      <c r="G10935" t="s">
        <v>162</v>
      </c>
      <c r="H10935" t="s">
        <v>21</v>
      </c>
      <c r="I10935" t="s">
        <v>21171</v>
      </c>
      <c r="J10935" t="str">
        <f>HYPERLINK("https://www.boe.es/gazeta/dias/1821/03/18/pdfs/GMD-1821-77.pdf#page=5","Abrir facsímil")</f>
        <v>Abrir facsímil</v>
      </c>
      <c r="K10935" t="s">
        <v>23</v>
      </c>
    </row>
    <row r="10936" spans="1:11" ht="42" customHeight="1">
      <c r="A10936" t="s">
        <v>21172</v>
      </c>
      <c r="B10936" t="s">
        <v>21173</v>
      </c>
      <c r="C10936" t="s">
        <v>17</v>
      </c>
      <c r="D10936" t="s">
        <v>18</v>
      </c>
      <c r="E10936" s="6">
        <v>-28818</v>
      </c>
      <c r="F10936" t="s">
        <v>2337</v>
      </c>
      <c r="G10936" t="s">
        <v>4055</v>
      </c>
      <c r="H10936" t="s">
        <v>21</v>
      </c>
      <c r="I10936" t="s">
        <v>21174</v>
      </c>
      <c r="J10936" t="str">
        <f>HYPERLINK("https://www.boe.es/gazeta/dias/1821/02/04/pdfs/GGB-1821-35.pdf#page=6","Abrir facsímil")</f>
        <v>Abrir facsímil</v>
      </c>
      <c r="K10936" t="s">
        <v>23</v>
      </c>
    </row>
    <row r="10937" spans="1:11" ht="42" customHeight="1">
      <c r="A10937" t="s">
        <v>21175</v>
      </c>
      <c r="B10937" t="s">
        <v>21175</v>
      </c>
      <c r="C10937" t="s">
        <v>17</v>
      </c>
      <c r="D10937" t="s">
        <v>18</v>
      </c>
      <c r="E10937" s="6">
        <v>-28634</v>
      </c>
      <c r="F10937" t="s">
        <v>2533</v>
      </c>
      <c r="G10937" t="s">
        <v>52</v>
      </c>
      <c r="H10937" t="s">
        <v>21</v>
      </c>
      <c r="I10937" t="s">
        <v>21176</v>
      </c>
      <c r="J10937" t="str">
        <f>HYPERLINK("https://www.boe.es/gazeta/dias/1821/08/07/pdfs/GMD-1821-223.pdf#page=2","Abrir facsímil")</f>
        <v>Abrir facsímil</v>
      </c>
      <c r="K10937" t="s">
        <v>23</v>
      </c>
    </row>
    <row r="10938" spans="1:11" ht="42" customHeight="1">
      <c r="A10938" t="s">
        <v>21177</v>
      </c>
      <c r="B10938" t="s">
        <v>21177</v>
      </c>
      <c r="C10938" t="s">
        <v>40</v>
      </c>
      <c r="D10938" t="s">
        <v>41</v>
      </c>
      <c r="E10938" s="6">
        <v>-28599</v>
      </c>
      <c r="F10938" t="s">
        <v>902</v>
      </c>
      <c r="G10938" t="s">
        <v>20</v>
      </c>
      <c r="H10938" t="s">
        <v>21</v>
      </c>
      <c r="I10938" t="s">
        <v>21178</v>
      </c>
      <c r="J10938" t="str">
        <f>HYPERLINK("https://www.boe.es/gazeta/dias/1821/09/11/pdfs/GMD-1821-259.pdf#page=3","Abrir facsímil")</f>
        <v>Abrir facsímil</v>
      </c>
      <c r="K10938" t="s">
        <v>23</v>
      </c>
    </row>
    <row r="10939" spans="1:11" ht="42" customHeight="1">
      <c r="A10939" t="s">
        <v>21179</v>
      </c>
      <c r="B10939" t="s">
        <v>21179</v>
      </c>
      <c r="C10939" t="s">
        <v>26</v>
      </c>
      <c r="D10939" t="s">
        <v>27</v>
      </c>
      <c r="E10939" s="6">
        <v>-28781</v>
      </c>
      <c r="F10939" t="s">
        <v>149</v>
      </c>
      <c r="G10939" t="s">
        <v>20</v>
      </c>
      <c r="H10939" t="s">
        <v>21</v>
      </c>
      <c r="I10939" t="s">
        <v>21180</v>
      </c>
      <c r="J10939" t="str">
        <f>HYPERLINK("https://www.boe.es/gazeta/dias/1821/03/13/pdfs/GMD-1821-72.pdf#page=3","Abrir facsímil")</f>
        <v>Abrir facsímil</v>
      </c>
      <c r="K10939" t="s">
        <v>23</v>
      </c>
    </row>
    <row r="10940" spans="1:11" ht="42" customHeight="1">
      <c r="A10940" t="s">
        <v>21181</v>
      </c>
      <c r="B10940" t="s">
        <v>21181</v>
      </c>
      <c r="C10940" t="s">
        <v>35</v>
      </c>
      <c r="D10940" t="s">
        <v>27</v>
      </c>
      <c r="E10940" s="6">
        <v>-28685</v>
      </c>
      <c r="F10940" t="s">
        <v>303</v>
      </c>
      <c r="G10940" t="s">
        <v>162</v>
      </c>
      <c r="H10940" t="s">
        <v>21</v>
      </c>
      <c r="I10940" t="s">
        <v>21182</v>
      </c>
      <c r="J10940" t="str">
        <f>HYPERLINK("https://www.boe.es/gazeta/dias/1821/06/17/pdfs/GMD-1821-170.pdf#page=5","Abrir facsímil")</f>
        <v>Abrir facsímil</v>
      </c>
      <c r="K10940" t="s">
        <v>23</v>
      </c>
    </row>
    <row r="10941" spans="1:11" ht="42" customHeight="1">
      <c r="A10941" t="s">
        <v>21181</v>
      </c>
      <c r="B10941" t="s">
        <v>21181</v>
      </c>
      <c r="C10941" t="s">
        <v>26</v>
      </c>
      <c r="D10941" t="s">
        <v>27</v>
      </c>
      <c r="E10941" s="6">
        <v>-28684</v>
      </c>
      <c r="F10941" t="s">
        <v>208</v>
      </c>
      <c r="G10941" t="s">
        <v>88</v>
      </c>
      <c r="H10941" t="s">
        <v>21</v>
      </c>
      <c r="I10941" t="s">
        <v>21183</v>
      </c>
      <c r="J10941" t="str">
        <f>HYPERLINK("https://www.boe.es/gazeta/dias/1821/06/18/pdfs/GMD-1821-171.pdf#page=4","Abrir facsímil")</f>
        <v>Abrir facsímil</v>
      </c>
      <c r="K10941" t="s">
        <v>23</v>
      </c>
    </row>
    <row r="10942" spans="1:11" ht="42" customHeight="1">
      <c r="A10942" t="s">
        <v>21184</v>
      </c>
      <c r="B10942" t="s">
        <v>21185</v>
      </c>
      <c r="C10942" t="s">
        <v>279</v>
      </c>
      <c r="D10942" t="s">
        <v>27</v>
      </c>
      <c r="E10942" s="6">
        <v>-28841</v>
      </c>
      <c r="F10942" t="s">
        <v>765</v>
      </c>
      <c r="G10942" t="s">
        <v>20</v>
      </c>
      <c r="H10942" t="s">
        <v>21</v>
      </c>
      <c r="I10942" t="s">
        <v>21186</v>
      </c>
      <c r="J10942" t="str">
        <f>HYPERLINK("https://www.boe.es/gazeta/dias/1821/01/12/pdfs/GGB-1821-12.pdf#page=3","Abrir facsímil")</f>
        <v>Abrir facsímil</v>
      </c>
      <c r="K10942" t="s">
        <v>23</v>
      </c>
    </row>
    <row r="10943" spans="1:11" ht="42" customHeight="1">
      <c r="A10943" t="s">
        <v>21187</v>
      </c>
      <c r="B10943" t="s">
        <v>21188</v>
      </c>
      <c r="C10943" t="s">
        <v>17</v>
      </c>
      <c r="D10943" t="s">
        <v>18</v>
      </c>
      <c r="E10943" s="6">
        <v>-28750</v>
      </c>
      <c r="F10943" t="s">
        <v>917</v>
      </c>
      <c r="G10943" t="s">
        <v>52</v>
      </c>
      <c r="H10943" t="s">
        <v>21</v>
      </c>
      <c r="I10943" t="s">
        <v>21189</v>
      </c>
      <c r="J10943" t="str">
        <f>HYPERLINK("https://www.boe.es/gazeta/dias/1821/04/13/pdfs/GMD-1821-105.pdf#page=2","Abrir facsímil")</f>
        <v>Abrir facsímil</v>
      </c>
      <c r="K10943" t="s">
        <v>23</v>
      </c>
    </row>
    <row r="10944" spans="1:11" ht="42" customHeight="1">
      <c r="A10944" t="s">
        <v>21190</v>
      </c>
      <c r="B10944" t="s">
        <v>21191</v>
      </c>
      <c r="C10944" t="s">
        <v>17</v>
      </c>
      <c r="D10944" t="s">
        <v>18</v>
      </c>
      <c r="E10944" s="6">
        <v>-28565</v>
      </c>
      <c r="F10944" t="s">
        <v>326</v>
      </c>
      <c r="G10944" t="s">
        <v>162</v>
      </c>
      <c r="H10944" t="s">
        <v>21</v>
      </c>
      <c r="I10944" t="s">
        <v>21192</v>
      </c>
      <c r="J10944" t="str">
        <f>HYPERLINK("https://www.boe.es/gazeta/dias/1821/10/15/pdfs/GMD-1821-294.pdf#page=5","Abrir facsímil")</f>
        <v>Abrir facsímil</v>
      </c>
      <c r="K10944" t="s">
        <v>23</v>
      </c>
    </row>
    <row r="10945" spans="1:11" ht="42" customHeight="1">
      <c r="A10945" t="s">
        <v>21193</v>
      </c>
      <c r="B10945" t="s">
        <v>21194</v>
      </c>
      <c r="C10945" t="s">
        <v>17</v>
      </c>
      <c r="D10945" t="s">
        <v>18</v>
      </c>
      <c r="E10945" s="6">
        <v>-28760</v>
      </c>
      <c r="F10945" t="s">
        <v>170</v>
      </c>
      <c r="G10945" t="s">
        <v>88</v>
      </c>
      <c r="H10945" t="s">
        <v>21</v>
      </c>
      <c r="I10945" t="s">
        <v>21195</v>
      </c>
      <c r="J10945" t="str">
        <f>HYPERLINK("https://www.boe.es/gazeta/dias/1821/04/03/pdfs/GMD-1821-95.pdf#page=4","Abrir facsímil")</f>
        <v>Abrir facsímil</v>
      </c>
      <c r="K10945" t="s">
        <v>23</v>
      </c>
    </row>
    <row r="10946" spans="1:11" ht="42" customHeight="1">
      <c r="A10946" t="s">
        <v>21196</v>
      </c>
      <c r="B10946" t="s">
        <v>21197</v>
      </c>
      <c r="C10946" t="s">
        <v>17</v>
      </c>
      <c r="D10946" t="s">
        <v>18</v>
      </c>
      <c r="E10946" s="6">
        <v>-28784</v>
      </c>
      <c r="F10946" t="s">
        <v>451</v>
      </c>
      <c r="G10946" t="s">
        <v>52</v>
      </c>
      <c r="H10946" t="s">
        <v>21</v>
      </c>
      <c r="I10946" t="s">
        <v>21198</v>
      </c>
      <c r="J10946" t="str">
        <f>HYPERLINK("https://www.boe.es/gazeta/dias/1821/03/10/pdfs/GGB-1821-69.pdf#page=2","Abrir facsímil")</f>
        <v>Abrir facsímil</v>
      </c>
      <c r="K10946" t="s">
        <v>23</v>
      </c>
    </row>
    <row r="10947" spans="1:11" ht="42" customHeight="1">
      <c r="A10947" t="s">
        <v>21199</v>
      </c>
      <c r="B10947" t="s">
        <v>21200</v>
      </c>
      <c r="C10947" t="s">
        <v>26</v>
      </c>
      <c r="D10947" t="s">
        <v>27</v>
      </c>
      <c r="E10947" s="6">
        <v>-28722</v>
      </c>
      <c r="F10947" t="s">
        <v>623</v>
      </c>
      <c r="G10947" t="s">
        <v>20</v>
      </c>
      <c r="H10947" t="s">
        <v>21</v>
      </c>
      <c r="I10947" t="s">
        <v>21201</v>
      </c>
      <c r="J10947" t="str">
        <f>HYPERLINK("https://www.boe.es/gazeta/dias/1821/05/11/pdfs/GMD-1821-133.pdf#page=3","Abrir facsímil")</f>
        <v>Abrir facsímil</v>
      </c>
      <c r="K10947" t="s">
        <v>23</v>
      </c>
    </row>
    <row r="10948" spans="1:11" ht="42" customHeight="1">
      <c r="A10948" t="s">
        <v>21202</v>
      </c>
      <c r="B10948" t="s">
        <v>21203</v>
      </c>
      <c r="C10948" t="s">
        <v>26</v>
      </c>
      <c r="D10948" t="s">
        <v>27</v>
      </c>
      <c r="E10948" s="6">
        <v>-28649</v>
      </c>
      <c r="F10948" t="s">
        <v>4688</v>
      </c>
      <c r="G10948" t="s">
        <v>20</v>
      </c>
      <c r="H10948" t="s">
        <v>21</v>
      </c>
      <c r="I10948" t="s">
        <v>21204</v>
      </c>
      <c r="J10948" t="str">
        <f>HYPERLINK("https://www.boe.es/gazeta/dias/1821/07/23/pdfs/GMD-1821-208.pdf#page=3","Abrir facsímil")</f>
        <v>Abrir facsímil</v>
      </c>
      <c r="K10948" t="s">
        <v>23</v>
      </c>
    </row>
    <row r="10949" spans="1:11" ht="42" customHeight="1">
      <c r="A10949" t="s">
        <v>21205</v>
      </c>
      <c r="B10949" t="s">
        <v>21206</v>
      </c>
      <c r="C10949" t="s">
        <v>70</v>
      </c>
      <c r="D10949" t="s">
        <v>27</v>
      </c>
      <c r="E10949" s="6">
        <v>-28825</v>
      </c>
      <c r="F10949" t="s">
        <v>1199</v>
      </c>
      <c r="G10949" t="s">
        <v>88</v>
      </c>
      <c r="H10949" t="s">
        <v>30</v>
      </c>
      <c r="I10949" t="s">
        <v>21207</v>
      </c>
      <c r="J10949" t="str">
        <f>HYPERLINK("https://www.boe.es/gazeta/dias/1821/01/28/pdfs/GGB-1821-28.pdf#page=4","Abrir facsímil")</f>
        <v>Abrir facsímil</v>
      </c>
      <c r="K10949" t="s">
        <v>32</v>
      </c>
    </row>
    <row r="10950" spans="1:11" ht="42" customHeight="1">
      <c r="A10950" t="s">
        <v>21205</v>
      </c>
      <c r="B10950" t="s">
        <v>21206</v>
      </c>
      <c r="C10950" t="s">
        <v>17</v>
      </c>
      <c r="D10950" t="s">
        <v>18</v>
      </c>
      <c r="E10950" s="6">
        <v>-28733</v>
      </c>
      <c r="F10950" t="s">
        <v>1033</v>
      </c>
      <c r="G10950" t="s">
        <v>7434</v>
      </c>
      <c r="H10950" t="s">
        <v>30</v>
      </c>
      <c r="I10950" t="s">
        <v>21208</v>
      </c>
      <c r="J10950" t="str">
        <f>HYPERLINK("https://www.boe.es/gazeta/dias/1821/04/30/pdfs/GMD-1821-122.pdf#page=4","Abrir facsímil")</f>
        <v>Abrir facsímil</v>
      </c>
      <c r="K10950" t="s">
        <v>32</v>
      </c>
    </row>
    <row r="10951" spans="1:11" ht="42" customHeight="1">
      <c r="A10951" t="s">
        <v>21205</v>
      </c>
      <c r="B10951" t="s">
        <v>21206</v>
      </c>
      <c r="C10951" t="s">
        <v>40</v>
      </c>
      <c r="D10951" t="s">
        <v>41</v>
      </c>
      <c r="E10951" s="6">
        <v>-28693</v>
      </c>
      <c r="F10951" t="s">
        <v>74</v>
      </c>
      <c r="G10951" t="s">
        <v>1846</v>
      </c>
      <c r="H10951" t="s">
        <v>30</v>
      </c>
      <c r="I10951" t="s">
        <v>21209</v>
      </c>
      <c r="J10951" t="str">
        <f>HYPERLINK("https://www.boe.es/gazeta/dias/1821/06/09/pdfs/GMD-1821-162.pdf#page=6","Abrir facsímil")</f>
        <v>Abrir facsímil</v>
      </c>
      <c r="K10951" t="s">
        <v>32</v>
      </c>
    </row>
    <row r="10952" spans="1:11" ht="42" customHeight="1">
      <c r="A10952" t="s">
        <v>21205</v>
      </c>
      <c r="B10952" t="s">
        <v>21206</v>
      </c>
      <c r="C10952" t="s">
        <v>26</v>
      </c>
      <c r="D10952" t="s">
        <v>27</v>
      </c>
      <c r="E10952" s="6">
        <v>-28690</v>
      </c>
      <c r="F10952" t="s">
        <v>846</v>
      </c>
      <c r="G10952" t="s">
        <v>1243</v>
      </c>
      <c r="H10952" t="s">
        <v>30</v>
      </c>
      <c r="I10952" t="s">
        <v>21210</v>
      </c>
      <c r="J10952" t="str">
        <f>HYPERLINK("https://www.boe.es/gazeta/dias/1821/06/12/pdfs/GMD-1821-165.pdf#page=4","Abrir facsímil")</f>
        <v>Abrir facsímil</v>
      </c>
      <c r="K10952" t="s">
        <v>32</v>
      </c>
    </row>
    <row r="10953" spans="1:11" ht="42" customHeight="1">
      <c r="A10953" t="s">
        <v>21205</v>
      </c>
      <c r="B10953" t="s">
        <v>21206</v>
      </c>
      <c r="C10953" t="s">
        <v>17</v>
      </c>
      <c r="D10953" t="s">
        <v>18</v>
      </c>
      <c r="E10953" s="6">
        <v>-28679</v>
      </c>
      <c r="F10953" t="s">
        <v>213</v>
      </c>
      <c r="G10953" t="s">
        <v>29</v>
      </c>
      <c r="H10953" t="s">
        <v>30</v>
      </c>
      <c r="I10953" t="s">
        <v>21211</v>
      </c>
      <c r="J10953" t="str">
        <f>HYPERLINK("https://www.boe.es/gazeta/dias/1821/06/23/pdfs/GMD-1821-176.pdf#page=6","Abrir facsímil")</f>
        <v>Abrir facsímil</v>
      </c>
      <c r="K10953" t="s">
        <v>32</v>
      </c>
    </row>
    <row r="10954" spans="1:11" ht="42" customHeight="1">
      <c r="A10954" t="s">
        <v>21205</v>
      </c>
      <c r="B10954" t="s">
        <v>21206</v>
      </c>
      <c r="C10954" t="s">
        <v>174</v>
      </c>
      <c r="D10954" t="s">
        <v>27</v>
      </c>
      <c r="E10954" s="6">
        <v>-28545</v>
      </c>
      <c r="F10954" t="s">
        <v>284</v>
      </c>
      <c r="G10954" t="s">
        <v>29</v>
      </c>
      <c r="H10954" t="s">
        <v>30</v>
      </c>
      <c r="I10954" t="s">
        <v>21212</v>
      </c>
      <c r="J10954" t="str">
        <f>HYPERLINK("https://www.boe.es/gazeta/dias/1821/11/04/pdfs/GMD-1821-315.pdf#page=6","Abrir facsímil")</f>
        <v>Abrir facsímil</v>
      </c>
      <c r="K10954" t="s">
        <v>32</v>
      </c>
    </row>
    <row r="10955" spans="1:11" ht="42" customHeight="1">
      <c r="A10955" t="s">
        <v>21213</v>
      </c>
      <c r="B10955" t="s">
        <v>21214</v>
      </c>
      <c r="C10955" t="s">
        <v>40</v>
      </c>
      <c r="D10955" t="s">
        <v>41</v>
      </c>
      <c r="E10955" s="6">
        <v>-28704</v>
      </c>
      <c r="F10955" t="s">
        <v>1050</v>
      </c>
      <c r="G10955" t="s">
        <v>88</v>
      </c>
      <c r="H10955" t="s">
        <v>21</v>
      </c>
      <c r="I10955" t="s">
        <v>21215</v>
      </c>
      <c r="J10955" t="str">
        <f>HYPERLINK("https://www.boe.es/gazeta/dias/1821/05/29/pdfs/GMD-1821-151.pdf#page=4","Abrir facsímil")</f>
        <v>Abrir facsímil</v>
      </c>
      <c r="K10955" t="s">
        <v>23</v>
      </c>
    </row>
    <row r="10956" spans="1:11" ht="42" customHeight="1">
      <c r="A10956" t="s">
        <v>21216</v>
      </c>
      <c r="B10956" t="s">
        <v>21217</v>
      </c>
      <c r="C10956" t="s">
        <v>40</v>
      </c>
      <c r="D10956" t="s">
        <v>41</v>
      </c>
      <c r="E10956" s="6">
        <v>-28497</v>
      </c>
      <c r="F10956" t="s">
        <v>225</v>
      </c>
      <c r="G10956" t="s">
        <v>162</v>
      </c>
      <c r="H10956" t="s">
        <v>21</v>
      </c>
      <c r="I10956" t="s">
        <v>21218</v>
      </c>
      <c r="J10956" t="str">
        <f>HYPERLINK("https://www.boe.es/gazeta/dias/1821/12/22/pdfs/GMD-1821-365.pdf#page=5","Abrir facsímil")</f>
        <v>Abrir facsímil</v>
      </c>
      <c r="K10956" t="s">
        <v>23</v>
      </c>
    </row>
    <row r="10957" spans="1:11" ht="42" customHeight="1">
      <c r="A10957" t="s">
        <v>21219</v>
      </c>
      <c r="B10957" t="s">
        <v>21220</v>
      </c>
      <c r="C10957" t="s">
        <v>17</v>
      </c>
      <c r="D10957" t="s">
        <v>18</v>
      </c>
      <c r="E10957" s="6">
        <v>-28755</v>
      </c>
      <c r="F10957" t="s">
        <v>906</v>
      </c>
      <c r="G10957" t="s">
        <v>52</v>
      </c>
      <c r="H10957" t="s">
        <v>30</v>
      </c>
      <c r="I10957" t="s">
        <v>21221</v>
      </c>
      <c r="J10957" t="str">
        <f>HYPERLINK("https://www.boe.es/gazeta/dias/1821/04/08/pdfs/GMD-1821-100.pdf#page=2","Abrir facsímil")</f>
        <v>Abrir facsímil</v>
      </c>
      <c r="K10957" t="s">
        <v>32</v>
      </c>
    </row>
    <row r="10958" spans="1:11" ht="42" customHeight="1">
      <c r="A10958" t="s">
        <v>21222</v>
      </c>
      <c r="B10958" t="s">
        <v>21223</v>
      </c>
      <c r="C10958" t="s">
        <v>26</v>
      </c>
      <c r="D10958" t="s">
        <v>27</v>
      </c>
      <c r="E10958" s="6">
        <v>-28528</v>
      </c>
      <c r="F10958" t="s">
        <v>1872</v>
      </c>
      <c r="G10958" t="s">
        <v>52</v>
      </c>
      <c r="H10958" t="s">
        <v>21</v>
      </c>
      <c r="I10958" t="s">
        <v>21224</v>
      </c>
      <c r="J10958" t="str">
        <f>HYPERLINK("https://www.boe.es/gazeta/dias/1821/11/21/pdfs/GMD-1821-332.pdf#page=2","Abrir facsímil")</f>
        <v>Abrir facsímil</v>
      </c>
      <c r="K10958" t="s">
        <v>23</v>
      </c>
    </row>
    <row r="10959" spans="1:11" ht="42" customHeight="1">
      <c r="A10959" t="s">
        <v>21225</v>
      </c>
      <c r="B10959" t="s">
        <v>21226</v>
      </c>
      <c r="C10959" t="s">
        <v>26</v>
      </c>
      <c r="D10959" t="s">
        <v>27</v>
      </c>
      <c r="E10959" s="6">
        <v>-28847</v>
      </c>
      <c r="F10959" t="s">
        <v>288</v>
      </c>
      <c r="G10959" t="s">
        <v>289</v>
      </c>
      <c r="H10959" t="s">
        <v>21</v>
      </c>
      <c r="I10959" t="s">
        <v>21227</v>
      </c>
      <c r="J10959" t="str">
        <f>HYPERLINK("https://www.boe.es/gazeta/dias/1821/01/06/pdfs/GGB-1821-6.pdf#page=4","Abrir facsímil")</f>
        <v>Abrir facsímil</v>
      </c>
      <c r="K10959" t="s">
        <v>23</v>
      </c>
    </row>
    <row r="10960" spans="1:11" ht="42" customHeight="1">
      <c r="A10960" t="s">
        <v>21228</v>
      </c>
      <c r="B10960" t="s">
        <v>21229</v>
      </c>
      <c r="C10960" t="s">
        <v>174</v>
      </c>
      <c r="D10960" t="s">
        <v>27</v>
      </c>
      <c r="E10960" s="6">
        <v>-28817</v>
      </c>
      <c r="F10960" t="s">
        <v>2703</v>
      </c>
      <c r="G10960" t="s">
        <v>88</v>
      </c>
      <c r="H10960" t="s">
        <v>21</v>
      </c>
      <c r="I10960" t="s">
        <v>21230</v>
      </c>
      <c r="J10960" t="str">
        <f>HYPERLINK("https://www.boe.es/gazeta/dias/1821/02/05/pdfs/GGB-1821-36.pdf#page=4","Abrir facsímil")</f>
        <v>Abrir facsímil</v>
      </c>
      <c r="K10960" t="s">
        <v>23</v>
      </c>
    </row>
    <row r="10961" spans="1:11" ht="42" customHeight="1">
      <c r="A10961" t="s">
        <v>21231</v>
      </c>
      <c r="B10961" t="s">
        <v>21232</v>
      </c>
      <c r="C10961" t="s">
        <v>40</v>
      </c>
      <c r="D10961" t="s">
        <v>41</v>
      </c>
      <c r="E10961" s="6">
        <v>-28764</v>
      </c>
      <c r="F10961" t="s">
        <v>924</v>
      </c>
      <c r="G10961" t="s">
        <v>43</v>
      </c>
      <c r="H10961" t="s">
        <v>21</v>
      </c>
      <c r="I10961" t="s">
        <v>21233</v>
      </c>
      <c r="J10961" t="str">
        <f>HYPERLINK("https://www.boe.es/gazeta/dias/1821/03/30/pdfs/GMD-1821-91.pdf#page=1","Abrir facsímil")</f>
        <v>Abrir facsímil</v>
      </c>
      <c r="K10961" t="s">
        <v>23</v>
      </c>
    </row>
    <row r="10962" spans="1:11" ht="42" customHeight="1">
      <c r="A10962" t="s">
        <v>21234</v>
      </c>
      <c r="B10962" t="s">
        <v>21235</v>
      </c>
      <c r="C10962" t="s">
        <v>26</v>
      </c>
      <c r="D10962" t="s">
        <v>27</v>
      </c>
      <c r="E10962" s="6">
        <v>-28554</v>
      </c>
      <c r="F10962" t="s">
        <v>433</v>
      </c>
      <c r="G10962" t="s">
        <v>52</v>
      </c>
      <c r="H10962" t="s">
        <v>21</v>
      </c>
      <c r="I10962" t="s">
        <v>21236</v>
      </c>
      <c r="J10962" t="str">
        <f>HYPERLINK("https://www.boe.es/gazeta/dias/1821/10/26/pdfs/GMD-1821-305.pdf#page=2","Abrir facsímil")</f>
        <v>Abrir facsímil</v>
      </c>
      <c r="K10962" t="s">
        <v>23</v>
      </c>
    </row>
    <row r="10963" spans="1:11" ht="42" customHeight="1">
      <c r="A10963" t="s">
        <v>21237</v>
      </c>
      <c r="B10963" t="s">
        <v>21237</v>
      </c>
      <c r="C10963" t="s">
        <v>40</v>
      </c>
      <c r="D10963" t="s">
        <v>41</v>
      </c>
      <c r="E10963" s="6">
        <v>-28673</v>
      </c>
      <c r="F10963" t="s">
        <v>1069</v>
      </c>
      <c r="G10963" t="s">
        <v>88</v>
      </c>
      <c r="H10963" t="s">
        <v>21</v>
      </c>
      <c r="I10963" t="s">
        <v>21238</v>
      </c>
      <c r="J10963" t="str">
        <f>HYPERLINK("https://www.boe.es/gazeta/dias/1821/06/29/pdfs/GMD-1821-182.pdf#page=4","Abrir facsímil")</f>
        <v>Abrir facsímil</v>
      </c>
      <c r="K10963" t="s">
        <v>23</v>
      </c>
    </row>
    <row r="10964" spans="1:11" ht="42" customHeight="1">
      <c r="A10964" t="s">
        <v>21239</v>
      </c>
      <c r="B10964" t="s">
        <v>21239</v>
      </c>
      <c r="C10964" t="s">
        <v>40</v>
      </c>
      <c r="D10964" t="s">
        <v>41</v>
      </c>
      <c r="E10964" s="6">
        <v>-28777</v>
      </c>
      <c r="F10964" t="s">
        <v>1004</v>
      </c>
      <c r="G10964" t="s">
        <v>20</v>
      </c>
      <c r="H10964" t="s">
        <v>21</v>
      </c>
      <c r="I10964" t="s">
        <v>21240</v>
      </c>
      <c r="J10964" t="str">
        <f>HYPERLINK("https://www.boe.es/gazeta/dias/1821/03/17/pdfs/GMD-1821-76.pdf#page=3","Abrir facsímil")</f>
        <v>Abrir facsímil</v>
      </c>
      <c r="K10964" t="s">
        <v>23</v>
      </c>
    </row>
    <row r="10965" spans="1:11" ht="42" customHeight="1">
      <c r="A10965" t="s">
        <v>21239</v>
      </c>
      <c r="B10965" t="s">
        <v>21239</v>
      </c>
      <c r="C10965" t="s">
        <v>70</v>
      </c>
      <c r="D10965" t="s">
        <v>27</v>
      </c>
      <c r="E10965" s="6">
        <v>-28746</v>
      </c>
      <c r="F10965" t="s">
        <v>687</v>
      </c>
      <c r="G10965" t="s">
        <v>29</v>
      </c>
      <c r="H10965" t="s">
        <v>21</v>
      </c>
      <c r="I10965" t="s">
        <v>21241</v>
      </c>
      <c r="J10965" t="str">
        <f>HYPERLINK("https://www.boe.es/gazeta/dias/1821/04/17/pdfs/GMD-1821-109.pdf#page=6","Abrir facsímil")</f>
        <v>Abrir facsímil</v>
      </c>
      <c r="K10965" t="s">
        <v>23</v>
      </c>
    </row>
    <row r="10966" spans="1:11" ht="42" customHeight="1">
      <c r="A10966" t="s">
        <v>21239</v>
      </c>
      <c r="B10966" t="s">
        <v>21239</v>
      </c>
      <c r="C10966" t="s">
        <v>26</v>
      </c>
      <c r="D10966" t="s">
        <v>27</v>
      </c>
      <c r="E10966" s="6">
        <v>-28738</v>
      </c>
      <c r="F10966" t="s">
        <v>359</v>
      </c>
      <c r="G10966" t="s">
        <v>20</v>
      </c>
      <c r="H10966" t="s">
        <v>21</v>
      </c>
      <c r="I10966" t="s">
        <v>21242</v>
      </c>
      <c r="J10966" t="str">
        <f>HYPERLINK("https://www.boe.es/gazeta/dias/1821/04/25/pdfs/GMD-1821-117.pdf#page=3","Abrir facsímil")</f>
        <v>Abrir facsímil</v>
      </c>
      <c r="K10966" t="s">
        <v>23</v>
      </c>
    </row>
    <row r="10967" spans="1:11" ht="42" customHeight="1">
      <c r="A10967" t="s">
        <v>21239</v>
      </c>
      <c r="B10967" t="s">
        <v>21239</v>
      </c>
      <c r="C10967" t="s">
        <v>174</v>
      </c>
      <c r="D10967" t="s">
        <v>27</v>
      </c>
      <c r="E10967" s="6">
        <v>-28681</v>
      </c>
      <c r="F10967" t="s">
        <v>210</v>
      </c>
      <c r="G10967" t="s">
        <v>88</v>
      </c>
      <c r="H10967" t="s">
        <v>21</v>
      </c>
      <c r="I10967" t="s">
        <v>21243</v>
      </c>
      <c r="J10967" t="str">
        <f>HYPERLINK("https://www.boe.es/gazeta/dias/1821/06/21/pdfs/GMD-1821-174.pdf#page=4","Abrir facsímil")</f>
        <v>Abrir facsímil</v>
      </c>
      <c r="K10967" t="s">
        <v>23</v>
      </c>
    </row>
    <row r="10968" spans="1:11" ht="42" customHeight="1">
      <c r="A10968" t="s">
        <v>21244</v>
      </c>
      <c r="B10968" t="s">
        <v>21244</v>
      </c>
      <c r="C10968" t="s">
        <v>26</v>
      </c>
      <c r="D10968" t="s">
        <v>27</v>
      </c>
      <c r="E10968" s="6">
        <v>-28558</v>
      </c>
      <c r="F10968" t="s">
        <v>758</v>
      </c>
      <c r="G10968" t="s">
        <v>52</v>
      </c>
      <c r="H10968" t="s">
        <v>21</v>
      </c>
      <c r="I10968" t="s">
        <v>21245</v>
      </c>
      <c r="J10968" t="str">
        <f>HYPERLINK("https://www.boe.es/gazeta/dias/1821/10/22/pdfs/GMD-1821-301.pdf#page=2","Abrir facsímil")</f>
        <v>Abrir facsímil</v>
      </c>
      <c r="K10968" t="s">
        <v>23</v>
      </c>
    </row>
    <row r="10969" spans="1:11" ht="42" customHeight="1">
      <c r="A10969" t="s">
        <v>21246</v>
      </c>
      <c r="B10969" t="s">
        <v>21247</v>
      </c>
      <c r="C10969" t="s">
        <v>40</v>
      </c>
      <c r="D10969" t="s">
        <v>41</v>
      </c>
      <c r="E10969" s="6">
        <v>-28490</v>
      </c>
      <c r="F10969" t="s">
        <v>801</v>
      </c>
      <c r="G10969" t="s">
        <v>88</v>
      </c>
      <c r="H10969" t="s">
        <v>21</v>
      </c>
      <c r="I10969" t="s">
        <v>21248</v>
      </c>
      <c r="J10969" t="str">
        <f>HYPERLINK("https://www.boe.es/gazeta/dias/1821/12/29/pdfs/GMD-1821-372.pdf#page=4","Abrir facsímil")</f>
        <v>Abrir facsímil</v>
      </c>
      <c r="K10969" t="s">
        <v>23</v>
      </c>
    </row>
    <row r="10970" spans="1:11" ht="42" customHeight="1">
      <c r="A10970" t="s">
        <v>21249</v>
      </c>
      <c r="B10970" t="s">
        <v>21250</v>
      </c>
      <c r="C10970" t="s">
        <v>40</v>
      </c>
      <c r="D10970" t="s">
        <v>41</v>
      </c>
      <c r="E10970" s="6">
        <v>-28711</v>
      </c>
      <c r="F10970" t="s">
        <v>1048</v>
      </c>
      <c r="G10970" t="s">
        <v>88</v>
      </c>
      <c r="H10970" t="s">
        <v>21</v>
      </c>
      <c r="I10970" t="s">
        <v>21251</v>
      </c>
      <c r="J10970" t="str">
        <f>HYPERLINK("https://www.boe.es/gazeta/dias/1821/05/22/pdfs/GMD-1821-144.pdf#page=4","Abrir facsímil")</f>
        <v>Abrir facsímil</v>
      </c>
      <c r="K10970" t="s">
        <v>23</v>
      </c>
    </row>
    <row r="10971" spans="1:11" ht="42" customHeight="1">
      <c r="A10971" t="s">
        <v>21252</v>
      </c>
      <c r="B10971" t="s">
        <v>21253</v>
      </c>
      <c r="C10971" t="s">
        <v>494</v>
      </c>
      <c r="D10971" t="s">
        <v>18</v>
      </c>
      <c r="E10971" s="6">
        <v>-28782</v>
      </c>
      <c r="F10971" t="s">
        <v>508</v>
      </c>
      <c r="G10971" t="s">
        <v>20</v>
      </c>
      <c r="H10971" t="s">
        <v>21</v>
      </c>
      <c r="I10971" t="s">
        <v>21254</v>
      </c>
      <c r="J10971" t="str">
        <f>HYPERLINK("https://www.boe.es/gazeta/dias/1821/03/12/pdfs/GMD-1821-71.pdf#page=3","Abrir facsímil")</f>
        <v>Abrir facsímil</v>
      </c>
      <c r="K10971" t="s">
        <v>23</v>
      </c>
    </row>
    <row r="10972" spans="1:11" ht="42" customHeight="1">
      <c r="A10972" t="s">
        <v>21255</v>
      </c>
      <c r="B10972" t="s">
        <v>21256</v>
      </c>
      <c r="C10972" t="s">
        <v>26</v>
      </c>
      <c r="D10972" t="s">
        <v>27</v>
      </c>
      <c r="E10972" s="6">
        <v>-28494</v>
      </c>
      <c r="F10972" t="s">
        <v>1665</v>
      </c>
      <c r="G10972" t="s">
        <v>1666</v>
      </c>
      <c r="H10972" t="s">
        <v>21</v>
      </c>
      <c r="I10972" t="s">
        <v>21257</v>
      </c>
      <c r="J10972" t="str">
        <f>HYPERLINK("https://www.boe.es/gazeta/dias/1821/12/25/pdfs/GMD-1821-368.pdf#page=3","Abrir facsímil")</f>
        <v>Abrir facsímil</v>
      </c>
      <c r="K10972" t="s">
        <v>23</v>
      </c>
    </row>
    <row r="10973" spans="1:11" ht="42" customHeight="1">
      <c r="A10973" t="s">
        <v>21258</v>
      </c>
      <c r="B10973" t="s">
        <v>21259</v>
      </c>
      <c r="C10973" t="s">
        <v>40</v>
      </c>
      <c r="D10973" t="s">
        <v>41</v>
      </c>
      <c r="E10973" s="6">
        <v>-28793</v>
      </c>
      <c r="F10973" t="s">
        <v>157</v>
      </c>
      <c r="G10973" t="s">
        <v>29</v>
      </c>
      <c r="H10973" t="s">
        <v>21</v>
      </c>
      <c r="I10973" t="s">
        <v>21260</v>
      </c>
      <c r="J10973" t="str">
        <f>HYPERLINK("https://www.boe.es/gazeta/dias/1821/03/01/pdfs/GGB-1821-60.pdf#page=6","Abrir facsímil")</f>
        <v>Abrir facsímil</v>
      </c>
      <c r="K10973" t="s">
        <v>23</v>
      </c>
    </row>
    <row r="10974" spans="1:11" ht="42" customHeight="1">
      <c r="A10974" t="s">
        <v>21261</v>
      </c>
      <c r="B10974" t="s">
        <v>21262</v>
      </c>
      <c r="C10974" t="s">
        <v>35</v>
      </c>
      <c r="D10974" t="s">
        <v>27</v>
      </c>
      <c r="E10974" s="6">
        <v>-28666</v>
      </c>
      <c r="F10974" t="s">
        <v>1263</v>
      </c>
      <c r="G10974" t="s">
        <v>88</v>
      </c>
      <c r="H10974" t="s">
        <v>21</v>
      </c>
      <c r="I10974" t="s">
        <v>21263</v>
      </c>
      <c r="J10974" t="str">
        <f>HYPERLINK("https://www.boe.es/gazeta/dias/1821/07/06/pdfs/GMD-1821-190.pdf#page=4","Abrir facsímil")</f>
        <v>Abrir facsímil</v>
      </c>
      <c r="K10974" t="s">
        <v>23</v>
      </c>
    </row>
    <row r="10975" spans="1:11" ht="42" customHeight="1">
      <c r="A10975" t="s">
        <v>21264</v>
      </c>
      <c r="B10975" t="s">
        <v>21265</v>
      </c>
      <c r="C10975" t="s">
        <v>17</v>
      </c>
      <c r="D10975" t="s">
        <v>18</v>
      </c>
      <c r="E10975" s="6">
        <v>-28781</v>
      </c>
      <c r="F10975" t="s">
        <v>149</v>
      </c>
      <c r="G10975" t="s">
        <v>29</v>
      </c>
      <c r="H10975" t="s">
        <v>21</v>
      </c>
      <c r="I10975" t="s">
        <v>21266</v>
      </c>
      <c r="J10975" t="str">
        <f>HYPERLINK("https://www.boe.es/gazeta/dias/1821/03/13/pdfs/GMD-1821-72.pdf#page=6","Abrir facsímil")</f>
        <v>Abrir facsímil</v>
      </c>
      <c r="K10975" t="s">
        <v>23</v>
      </c>
    </row>
    <row r="10976" spans="1:11" ht="42" customHeight="1">
      <c r="A10976" t="s">
        <v>21264</v>
      </c>
      <c r="B10976" t="s">
        <v>21265</v>
      </c>
      <c r="C10976" t="s">
        <v>17</v>
      </c>
      <c r="D10976" t="s">
        <v>18</v>
      </c>
      <c r="E10976" s="6">
        <v>-28733</v>
      </c>
      <c r="F10976" t="s">
        <v>1033</v>
      </c>
      <c r="G10976" t="s">
        <v>7434</v>
      </c>
      <c r="H10976" t="s">
        <v>21</v>
      </c>
      <c r="I10976" t="s">
        <v>21267</v>
      </c>
      <c r="J10976" t="str">
        <f>HYPERLINK("https://www.boe.es/gazeta/dias/1821/04/30/pdfs/GMD-1821-122.pdf#page=4","Abrir facsímil")</f>
        <v>Abrir facsímil</v>
      </c>
      <c r="K10976" t="s">
        <v>23</v>
      </c>
    </row>
    <row r="10977" spans="1:11" ht="42" customHeight="1">
      <c r="A10977" t="s">
        <v>21268</v>
      </c>
      <c r="B10977" t="s">
        <v>21269</v>
      </c>
      <c r="C10977" t="s">
        <v>40</v>
      </c>
      <c r="D10977" t="s">
        <v>41</v>
      </c>
      <c r="E10977" s="6">
        <v>-28716</v>
      </c>
      <c r="F10977" t="s">
        <v>842</v>
      </c>
      <c r="G10977" t="s">
        <v>88</v>
      </c>
      <c r="H10977" t="s">
        <v>21</v>
      </c>
      <c r="I10977" t="s">
        <v>21270</v>
      </c>
      <c r="J10977" t="str">
        <f>HYPERLINK("https://www.boe.es/gazeta/dias/1821/05/17/pdfs/GMD-1821-139.pdf#page=4","Abrir facsímil")</f>
        <v>Abrir facsímil</v>
      </c>
      <c r="K10977" t="s">
        <v>23</v>
      </c>
    </row>
    <row r="10978" spans="1:11" ht="42" customHeight="1">
      <c r="A10978" t="s">
        <v>21271</v>
      </c>
      <c r="B10978" t="s">
        <v>21272</v>
      </c>
      <c r="C10978" t="s">
        <v>35</v>
      </c>
      <c r="D10978" t="s">
        <v>27</v>
      </c>
      <c r="E10978" s="6">
        <v>-28732</v>
      </c>
      <c r="F10978" t="s">
        <v>2628</v>
      </c>
      <c r="G10978" t="s">
        <v>43</v>
      </c>
      <c r="H10978" t="s">
        <v>21</v>
      </c>
      <c r="I10978" t="s">
        <v>21273</v>
      </c>
      <c r="J10978" t="str">
        <f>HYPERLINK("https://www.boe.es/gazeta/dias/1821/05/01/pdfs/GMD-1821-123.pdf#page=1","Abrir facsímil")</f>
        <v>Abrir facsímil</v>
      </c>
      <c r="K10978" t="s">
        <v>23</v>
      </c>
    </row>
    <row r="10979" spans="1:11" ht="42" customHeight="1">
      <c r="A10979" t="s">
        <v>21274</v>
      </c>
      <c r="B10979" t="s">
        <v>21275</v>
      </c>
      <c r="C10979" t="s">
        <v>26</v>
      </c>
      <c r="D10979" t="s">
        <v>27</v>
      </c>
      <c r="E10979" s="6">
        <v>-28574</v>
      </c>
      <c r="F10979" t="s">
        <v>779</v>
      </c>
      <c r="G10979" t="s">
        <v>333</v>
      </c>
      <c r="H10979" t="s">
        <v>21</v>
      </c>
      <c r="I10979" t="s">
        <v>21276</v>
      </c>
      <c r="J10979" t="str">
        <f>HYPERLINK("https://www.boe.es/gazeta/dias/1821/10/06/pdfs/GMD-1821-285.pdf#page=8","Abrir facsímil")</f>
        <v>Abrir facsímil</v>
      </c>
      <c r="K10979" t="s">
        <v>23</v>
      </c>
    </row>
    <row r="10980" spans="1:11" ht="42" customHeight="1">
      <c r="A10980" t="s">
        <v>21277</v>
      </c>
      <c r="B10980" t="s">
        <v>21278</v>
      </c>
      <c r="C10980" t="s">
        <v>26</v>
      </c>
      <c r="D10980" t="s">
        <v>27</v>
      </c>
      <c r="E10980" s="6">
        <v>-28641</v>
      </c>
      <c r="F10980" t="s">
        <v>398</v>
      </c>
      <c r="G10980" t="s">
        <v>88</v>
      </c>
      <c r="H10980" t="s">
        <v>30</v>
      </c>
      <c r="I10980" t="s">
        <v>21279</v>
      </c>
      <c r="J10980" t="str">
        <f>HYPERLINK("https://www.boe.es/gazeta/dias/1821/07/31/pdfs/GMD-1821-216.pdf#page=4","Abrir facsímil")</f>
        <v>Abrir facsímil</v>
      </c>
      <c r="K10980" t="s">
        <v>32</v>
      </c>
    </row>
    <row r="10981" spans="1:11" ht="42" customHeight="1">
      <c r="A10981" t="s">
        <v>21280</v>
      </c>
      <c r="B10981" t="s">
        <v>21281</v>
      </c>
      <c r="C10981" t="s">
        <v>26</v>
      </c>
      <c r="D10981" t="s">
        <v>27</v>
      </c>
      <c r="E10981" s="6">
        <v>-28684</v>
      </c>
      <c r="F10981" t="s">
        <v>208</v>
      </c>
      <c r="G10981" t="s">
        <v>52</v>
      </c>
      <c r="H10981" t="s">
        <v>30</v>
      </c>
      <c r="I10981" t="s">
        <v>21282</v>
      </c>
      <c r="J10981" t="str">
        <f>HYPERLINK("https://www.boe.es/gazeta/dias/1821/06/18/pdfs/GMD-1821-171.pdf#page=2","Abrir facsímil")</f>
        <v>Abrir facsímil</v>
      </c>
      <c r="K10981" t="s">
        <v>32</v>
      </c>
    </row>
    <row r="10982" spans="1:11" ht="42" customHeight="1">
      <c r="A10982" t="s">
        <v>21283</v>
      </c>
      <c r="B10982" t="s">
        <v>21284</v>
      </c>
      <c r="C10982" t="s">
        <v>174</v>
      </c>
      <c r="D10982" t="s">
        <v>27</v>
      </c>
      <c r="E10982" s="6">
        <v>-28547</v>
      </c>
      <c r="F10982" t="s">
        <v>247</v>
      </c>
      <c r="G10982" t="s">
        <v>248</v>
      </c>
      <c r="H10982" t="s">
        <v>21</v>
      </c>
      <c r="I10982" t="s">
        <v>21285</v>
      </c>
      <c r="J10982" t="str">
        <f>HYPERLINK("https://www.boe.es/gazeta/dias/1821/11/02/pdfs/GMD-1821-312.pdf#page=2","Abrir facsímil")</f>
        <v>Abrir facsímil</v>
      </c>
      <c r="K10982" t="s">
        <v>23</v>
      </c>
    </row>
    <row r="10983" spans="1:11" ht="42" customHeight="1">
      <c r="A10983" t="s">
        <v>21286</v>
      </c>
      <c r="B10983" t="s">
        <v>21287</v>
      </c>
      <c r="C10983" t="s">
        <v>40</v>
      </c>
      <c r="D10983" t="s">
        <v>41</v>
      </c>
      <c r="E10983" s="6">
        <v>-28683</v>
      </c>
      <c r="F10983" t="s">
        <v>332</v>
      </c>
      <c r="G10983" t="s">
        <v>88</v>
      </c>
      <c r="H10983" t="s">
        <v>21</v>
      </c>
      <c r="I10983" t="s">
        <v>21288</v>
      </c>
      <c r="J10983" t="str">
        <f>HYPERLINK("https://www.boe.es/gazeta/dias/1821/06/19/pdfs/GMD-1821-172.pdf#page=4","Abrir facsímil")</f>
        <v>Abrir facsímil</v>
      </c>
      <c r="K10983" t="s">
        <v>23</v>
      </c>
    </row>
    <row r="10984" spans="1:11" ht="42" customHeight="1">
      <c r="A10984" t="s">
        <v>21289</v>
      </c>
      <c r="B10984" t="s">
        <v>21290</v>
      </c>
      <c r="C10984" t="s">
        <v>40</v>
      </c>
      <c r="D10984" t="s">
        <v>41</v>
      </c>
      <c r="E10984" s="6">
        <v>-28694</v>
      </c>
      <c r="F10984" t="s">
        <v>1057</v>
      </c>
      <c r="G10984" t="s">
        <v>20</v>
      </c>
      <c r="H10984" t="s">
        <v>21</v>
      </c>
      <c r="I10984" t="s">
        <v>21291</v>
      </c>
      <c r="J10984" t="str">
        <f>HYPERLINK("https://www.boe.es/gazeta/dias/1821/06/08/pdfs/GMD-1821-161.pdf#page=3","Abrir facsímil")</f>
        <v>Abrir facsímil</v>
      </c>
      <c r="K10984" t="s">
        <v>23</v>
      </c>
    </row>
    <row r="10985" spans="1:11" ht="42" customHeight="1">
      <c r="A10985" t="s">
        <v>21292</v>
      </c>
      <c r="B10985" t="s">
        <v>21293</v>
      </c>
      <c r="C10985" t="s">
        <v>40</v>
      </c>
      <c r="D10985" t="s">
        <v>41</v>
      </c>
      <c r="E10985" s="6">
        <v>-28728</v>
      </c>
      <c r="F10985" t="s">
        <v>1038</v>
      </c>
      <c r="G10985" t="s">
        <v>20</v>
      </c>
      <c r="H10985" t="s">
        <v>21</v>
      </c>
      <c r="I10985" t="s">
        <v>21294</v>
      </c>
      <c r="J10985" t="str">
        <f>HYPERLINK("https://www.boe.es/gazeta/dias/1821/05/05/pdfs/GMD-1821-127.pdf#page=3","Abrir facsímil")</f>
        <v>Abrir facsímil</v>
      </c>
      <c r="K10985" t="s">
        <v>23</v>
      </c>
    </row>
    <row r="10986" spans="1:11" ht="42" customHeight="1">
      <c r="A10986" t="s">
        <v>21295</v>
      </c>
      <c r="B10986" t="s">
        <v>21296</v>
      </c>
      <c r="C10986" t="s">
        <v>17</v>
      </c>
      <c r="D10986" t="s">
        <v>18</v>
      </c>
      <c r="E10986" s="6">
        <v>-28696</v>
      </c>
      <c r="F10986" t="s">
        <v>497</v>
      </c>
      <c r="G10986" t="s">
        <v>88</v>
      </c>
      <c r="H10986" t="s">
        <v>21</v>
      </c>
      <c r="I10986" t="s">
        <v>21297</v>
      </c>
      <c r="J10986" t="str">
        <f>HYPERLINK("https://www.boe.es/gazeta/dias/1821/06/06/pdfs/GMD-1821-159.pdf#page=4","Abrir facsímil")</f>
        <v>Abrir facsímil</v>
      </c>
      <c r="K10986" t="s">
        <v>23</v>
      </c>
    </row>
    <row r="10987" spans="1:11" ht="42" customHeight="1">
      <c r="A10987" t="s">
        <v>21298</v>
      </c>
      <c r="B10987" t="s">
        <v>21299</v>
      </c>
      <c r="C10987" t="s">
        <v>26</v>
      </c>
      <c r="D10987" t="s">
        <v>27</v>
      </c>
      <c r="E10987" s="6">
        <v>-28536</v>
      </c>
      <c r="F10987" t="s">
        <v>553</v>
      </c>
      <c r="G10987" t="s">
        <v>52</v>
      </c>
      <c r="H10987" t="s">
        <v>21</v>
      </c>
      <c r="I10987" t="s">
        <v>21300</v>
      </c>
      <c r="J10987" t="str">
        <f>HYPERLINK("https://www.boe.es/gazeta/dias/1821/11/13/pdfs/GMD-1821-324.pdf#page=2","Abrir facsímil")</f>
        <v>Abrir facsímil</v>
      </c>
      <c r="K10987" t="s">
        <v>23</v>
      </c>
    </row>
    <row r="10988" spans="1:11" ht="42" customHeight="1">
      <c r="A10988" t="s">
        <v>21301</v>
      </c>
      <c r="B10988" t="s">
        <v>21302</v>
      </c>
      <c r="C10988" t="s">
        <v>40</v>
      </c>
      <c r="D10988" t="s">
        <v>41</v>
      </c>
      <c r="E10988" s="6">
        <v>-28676</v>
      </c>
      <c r="F10988" t="s">
        <v>534</v>
      </c>
      <c r="G10988" t="s">
        <v>29</v>
      </c>
      <c r="H10988" t="s">
        <v>21</v>
      </c>
      <c r="I10988" t="s">
        <v>21303</v>
      </c>
      <c r="J10988" t="str">
        <f>HYPERLINK("https://www.boe.es/gazeta/dias/1821/06/26/pdfs/GMD-1821-179.pdf#page=6","Abrir facsímil")</f>
        <v>Abrir facsímil</v>
      </c>
      <c r="K10988" t="s">
        <v>23</v>
      </c>
    </row>
    <row r="10989" spans="1:11" ht="42" customHeight="1">
      <c r="A10989" t="s">
        <v>21304</v>
      </c>
      <c r="B10989" t="s">
        <v>21305</v>
      </c>
      <c r="C10989" t="s">
        <v>40</v>
      </c>
      <c r="D10989" t="s">
        <v>41</v>
      </c>
      <c r="E10989" s="6">
        <v>-28509</v>
      </c>
      <c r="F10989" t="s">
        <v>388</v>
      </c>
      <c r="G10989" t="s">
        <v>20</v>
      </c>
      <c r="H10989" t="s">
        <v>21</v>
      </c>
      <c r="I10989" t="s">
        <v>21306</v>
      </c>
      <c r="J10989" t="str">
        <f>HYPERLINK("https://www.boe.es/gazeta/dias/1821/12/10/pdfs/GMD-1821-352.pdf#page=3","Abrir facsímil")</f>
        <v>Abrir facsímil</v>
      </c>
      <c r="K10989" t="s">
        <v>23</v>
      </c>
    </row>
    <row r="10990" spans="1:11" ht="42" customHeight="1">
      <c r="A10990" t="s">
        <v>21301</v>
      </c>
      <c r="B10990" t="s">
        <v>21302</v>
      </c>
      <c r="C10990" t="s">
        <v>35</v>
      </c>
      <c r="D10990" t="s">
        <v>27</v>
      </c>
      <c r="E10990" s="6">
        <v>-28509</v>
      </c>
      <c r="F10990" t="s">
        <v>388</v>
      </c>
      <c r="G10990" t="s">
        <v>162</v>
      </c>
      <c r="H10990" t="s">
        <v>21</v>
      </c>
      <c r="I10990" t="s">
        <v>21307</v>
      </c>
      <c r="J10990" t="str">
        <f>HYPERLINK("https://www.boe.es/gazeta/dias/1821/12/10/pdfs/GMD-1821-352.pdf#page=5","Abrir facsímil")</f>
        <v>Abrir facsímil</v>
      </c>
      <c r="K10990" t="s">
        <v>23</v>
      </c>
    </row>
    <row r="10991" spans="1:11" ht="42" customHeight="1">
      <c r="A10991" t="s">
        <v>21301</v>
      </c>
      <c r="B10991" t="s">
        <v>21302</v>
      </c>
      <c r="C10991" t="s">
        <v>40</v>
      </c>
      <c r="D10991" t="s">
        <v>41</v>
      </c>
      <c r="E10991" s="6">
        <v>-28495</v>
      </c>
      <c r="F10991" t="s">
        <v>227</v>
      </c>
      <c r="G10991" t="s">
        <v>20</v>
      </c>
      <c r="H10991" t="s">
        <v>21</v>
      </c>
      <c r="I10991" t="s">
        <v>21308</v>
      </c>
      <c r="J10991" t="str">
        <f>HYPERLINK("https://www.boe.es/gazeta/dias/1821/12/24/pdfs/GMD-1821-367.pdf#page=3","Abrir facsímil")</f>
        <v>Abrir facsímil</v>
      </c>
      <c r="K10991" t="s">
        <v>23</v>
      </c>
    </row>
    <row r="10992" spans="1:11" ht="42" customHeight="1">
      <c r="A10992" t="s">
        <v>21309</v>
      </c>
      <c r="B10992" t="s">
        <v>21310</v>
      </c>
      <c r="C10992" t="s">
        <v>17</v>
      </c>
      <c r="D10992" t="s">
        <v>18</v>
      </c>
      <c r="E10992" s="6">
        <v>-28492</v>
      </c>
      <c r="F10992" t="s">
        <v>1550</v>
      </c>
      <c r="G10992" t="s">
        <v>88</v>
      </c>
      <c r="H10992" t="s">
        <v>21</v>
      </c>
      <c r="I10992" t="s">
        <v>21311</v>
      </c>
      <c r="J10992" t="str">
        <f>HYPERLINK("https://www.boe.es/gazeta/dias/1821/12/27/pdfs/GMD-1821-370.pdf#page=4","Abrir facsímil")</f>
        <v>Abrir facsímil</v>
      </c>
      <c r="K10992" t="s">
        <v>23</v>
      </c>
    </row>
    <row r="10993" spans="1:11" ht="42" customHeight="1">
      <c r="A10993" t="s">
        <v>21312</v>
      </c>
      <c r="B10993" t="s">
        <v>21313</v>
      </c>
      <c r="C10993" t="s">
        <v>279</v>
      </c>
      <c r="D10993" t="s">
        <v>27</v>
      </c>
      <c r="E10993" s="6">
        <v>-28832</v>
      </c>
      <c r="F10993" t="s">
        <v>353</v>
      </c>
      <c r="G10993" t="s">
        <v>29</v>
      </c>
      <c r="H10993" t="s">
        <v>21</v>
      </c>
      <c r="I10993" t="s">
        <v>21314</v>
      </c>
      <c r="J10993" t="str">
        <f>HYPERLINK("https://www.boe.es/gazeta/dias/1821/01/21/pdfs/GGB-1821-21.pdf#page=6","Abrir facsímil")</f>
        <v>Abrir facsímil</v>
      </c>
      <c r="K10993" t="s">
        <v>23</v>
      </c>
    </row>
    <row r="10994" spans="1:11" ht="42" customHeight="1">
      <c r="A10994" t="s">
        <v>21315</v>
      </c>
      <c r="B10994" t="s">
        <v>21316</v>
      </c>
      <c r="C10994" t="s">
        <v>40</v>
      </c>
      <c r="D10994" t="s">
        <v>41</v>
      </c>
      <c r="E10994" s="6">
        <v>-28786</v>
      </c>
      <c r="F10994" t="s">
        <v>1933</v>
      </c>
      <c r="G10994" t="s">
        <v>20</v>
      </c>
      <c r="H10994" t="s">
        <v>21</v>
      </c>
      <c r="I10994" t="s">
        <v>21317</v>
      </c>
      <c r="J10994" t="str">
        <f>HYPERLINK("https://www.boe.es/gazeta/dias/1821/03/08/pdfs/GGB-1821-67.pdf#page=3","Abrir facsímil")</f>
        <v>Abrir facsímil</v>
      </c>
      <c r="K10994" t="s">
        <v>23</v>
      </c>
    </row>
    <row r="10995" spans="1:11" ht="42" customHeight="1">
      <c r="A10995" t="s">
        <v>21318</v>
      </c>
      <c r="B10995" t="s">
        <v>21319</v>
      </c>
      <c r="C10995" t="s">
        <v>35</v>
      </c>
      <c r="D10995" t="s">
        <v>27</v>
      </c>
      <c r="E10995" s="6">
        <v>-28495</v>
      </c>
      <c r="F10995" t="s">
        <v>227</v>
      </c>
      <c r="G10995" t="s">
        <v>20</v>
      </c>
      <c r="H10995" t="s">
        <v>21</v>
      </c>
      <c r="I10995" t="s">
        <v>21320</v>
      </c>
      <c r="J10995" t="str">
        <f>HYPERLINK("https://www.boe.es/gazeta/dias/1821/12/24/pdfs/GMD-1821-367.pdf#page=3","Abrir facsímil")</f>
        <v>Abrir facsímil</v>
      </c>
      <c r="K10995" t="s">
        <v>23</v>
      </c>
    </row>
    <row r="10996" spans="1:11" ht="42" customHeight="1">
      <c r="A10996" t="s">
        <v>21321</v>
      </c>
      <c r="B10996" t="s">
        <v>21322</v>
      </c>
      <c r="C10996" t="s">
        <v>174</v>
      </c>
      <c r="D10996" t="s">
        <v>27</v>
      </c>
      <c r="E10996" s="6">
        <v>-28495</v>
      </c>
      <c r="F10996" t="s">
        <v>227</v>
      </c>
      <c r="G10996" t="s">
        <v>20</v>
      </c>
      <c r="H10996" t="s">
        <v>21</v>
      </c>
      <c r="I10996" t="s">
        <v>21323</v>
      </c>
      <c r="J10996" t="str">
        <f>HYPERLINK("https://www.boe.es/gazeta/dias/1821/12/24/pdfs/GMD-1821-367.pdf#page=3","Abrir facsímil")</f>
        <v>Abrir facsímil</v>
      </c>
      <c r="K10996" t="s">
        <v>23</v>
      </c>
    </row>
    <row r="10997" spans="1:11" ht="42" customHeight="1">
      <c r="A10997" t="s">
        <v>21324</v>
      </c>
      <c r="B10997" t="s">
        <v>21325</v>
      </c>
      <c r="C10997" t="s">
        <v>114</v>
      </c>
      <c r="D10997" t="s">
        <v>27</v>
      </c>
      <c r="E10997" s="6">
        <v>-28675</v>
      </c>
      <c r="F10997" t="s">
        <v>943</v>
      </c>
      <c r="G10997" t="s">
        <v>333</v>
      </c>
      <c r="H10997" t="s">
        <v>21</v>
      </c>
      <c r="I10997" t="s">
        <v>21326</v>
      </c>
      <c r="J10997" t="str">
        <f>HYPERLINK("https://www.boe.es/gazeta/dias/1821/06/27/pdfs/GMD-1821-180.pdf#page=8","Abrir facsímil")</f>
        <v>Abrir facsímil</v>
      </c>
      <c r="K10997" t="s">
        <v>23</v>
      </c>
    </row>
    <row r="10998" spans="1:11" ht="42" customHeight="1">
      <c r="A10998" t="s">
        <v>21327</v>
      </c>
      <c r="B10998" t="s">
        <v>21328</v>
      </c>
      <c r="C10998" t="s">
        <v>17</v>
      </c>
      <c r="D10998" t="s">
        <v>18</v>
      </c>
      <c r="E10998" s="6">
        <v>-28606</v>
      </c>
      <c r="F10998" t="s">
        <v>1799</v>
      </c>
      <c r="G10998" t="s">
        <v>88</v>
      </c>
      <c r="H10998" t="s">
        <v>21</v>
      </c>
      <c r="I10998" t="s">
        <v>21329</v>
      </c>
      <c r="J10998" t="str">
        <f>HYPERLINK("https://www.boe.es/gazeta/dias/1821/09/04/pdfs/GMD-1821-252.pdf#page=4","Abrir facsímil")</f>
        <v>Abrir facsímil</v>
      </c>
      <c r="K10998" t="s">
        <v>23</v>
      </c>
    </row>
    <row r="10999" spans="1:11" ht="42" customHeight="1">
      <c r="A10999" t="s">
        <v>21330</v>
      </c>
      <c r="B10999" t="s">
        <v>21331</v>
      </c>
      <c r="C10999" t="s">
        <v>26</v>
      </c>
      <c r="D10999" t="s">
        <v>27</v>
      </c>
      <c r="E10999" s="6">
        <v>-28781</v>
      </c>
      <c r="F10999" t="s">
        <v>149</v>
      </c>
      <c r="G10999" t="s">
        <v>20</v>
      </c>
      <c r="H10999" t="s">
        <v>21</v>
      </c>
      <c r="I10999" t="s">
        <v>21332</v>
      </c>
      <c r="J10999" t="str">
        <f>HYPERLINK("https://www.boe.es/gazeta/dias/1821/03/13/pdfs/GMD-1821-72.pdf#page=3","Abrir facsímil")</f>
        <v>Abrir facsímil</v>
      </c>
      <c r="K10999" t="s">
        <v>23</v>
      </c>
    </row>
    <row r="11000" spans="1:11" ht="42" customHeight="1">
      <c r="A11000" t="s">
        <v>21333</v>
      </c>
      <c r="B11000" t="s">
        <v>21334</v>
      </c>
      <c r="C11000" t="s">
        <v>17</v>
      </c>
      <c r="D11000" t="s">
        <v>18</v>
      </c>
      <c r="E11000" s="6">
        <v>-28664</v>
      </c>
      <c r="F11000" t="s">
        <v>1365</v>
      </c>
      <c r="G11000" t="s">
        <v>20</v>
      </c>
      <c r="H11000" t="s">
        <v>21</v>
      </c>
      <c r="I11000" t="s">
        <v>21335</v>
      </c>
      <c r="J11000" t="str">
        <f>HYPERLINK("https://www.boe.es/gazeta/dias/1821/07/08/pdfs/GMD-1821-193.pdf#page=3","Abrir facsímil")</f>
        <v>Abrir facsímil</v>
      </c>
      <c r="K11000" t="s">
        <v>23</v>
      </c>
    </row>
    <row r="11001" spans="1:11" ht="42" customHeight="1">
      <c r="A11001" t="s">
        <v>21336</v>
      </c>
      <c r="B11001" t="s">
        <v>21337</v>
      </c>
      <c r="C11001" t="s">
        <v>40</v>
      </c>
      <c r="D11001" t="s">
        <v>41</v>
      </c>
      <c r="E11001" s="6">
        <v>-28766</v>
      </c>
      <c r="F11001" t="s">
        <v>1481</v>
      </c>
      <c r="G11001" t="s">
        <v>88</v>
      </c>
      <c r="H11001" t="s">
        <v>21</v>
      </c>
      <c r="I11001" t="s">
        <v>21338</v>
      </c>
      <c r="J11001" t="str">
        <f>HYPERLINK("https://www.boe.es/gazeta/dias/1821/03/28/pdfs/GMD-1821-88.pdf#page=4","Abrir facsímil")</f>
        <v>Abrir facsímil</v>
      </c>
      <c r="K11001" t="s">
        <v>23</v>
      </c>
    </row>
    <row r="11002" spans="1:11" ht="42" customHeight="1">
      <c r="A11002" t="s">
        <v>21339</v>
      </c>
      <c r="B11002" t="s">
        <v>21339</v>
      </c>
      <c r="C11002" t="s">
        <v>40</v>
      </c>
      <c r="D11002" t="s">
        <v>41</v>
      </c>
      <c r="E11002" s="6">
        <v>-28522</v>
      </c>
      <c r="F11002" t="s">
        <v>1083</v>
      </c>
      <c r="G11002" t="s">
        <v>1288</v>
      </c>
      <c r="H11002" t="s">
        <v>21</v>
      </c>
      <c r="I11002" t="s">
        <v>21340</v>
      </c>
      <c r="J11002" t="str">
        <f>HYPERLINK("https://www.boe.es/gazeta/dias/1821/11/27/pdfs/GMD-1821-339.pdf#page=4","Abrir facsímil")</f>
        <v>Abrir facsímil</v>
      </c>
      <c r="K11002" t="s">
        <v>23</v>
      </c>
    </row>
    <row r="11003" spans="1:11" ht="42" customHeight="1">
      <c r="A11003" t="s">
        <v>21339</v>
      </c>
      <c r="B11003" t="s">
        <v>21339</v>
      </c>
      <c r="C11003" t="s">
        <v>40</v>
      </c>
      <c r="D11003" t="s">
        <v>41</v>
      </c>
      <c r="E11003" s="6">
        <v>-28516</v>
      </c>
      <c r="F11003" t="s">
        <v>514</v>
      </c>
      <c r="G11003" t="s">
        <v>52</v>
      </c>
      <c r="H11003" t="s">
        <v>21</v>
      </c>
      <c r="I11003" t="s">
        <v>21341</v>
      </c>
      <c r="J11003" t="str">
        <f>HYPERLINK("https://www.boe.es/gazeta/dias/1821/12/03/pdfs/GMD-1821-345.pdf#page=2","Abrir facsímil")</f>
        <v>Abrir facsímil</v>
      </c>
      <c r="K11003" t="s">
        <v>23</v>
      </c>
    </row>
    <row r="11004" spans="1:11" ht="42" customHeight="1">
      <c r="A11004" t="s">
        <v>21342</v>
      </c>
      <c r="B11004" t="s">
        <v>21343</v>
      </c>
      <c r="C11004" t="s">
        <v>40</v>
      </c>
      <c r="D11004" t="s">
        <v>41</v>
      </c>
      <c r="E11004" s="6">
        <v>-28793</v>
      </c>
      <c r="F11004" t="s">
        <v>157</v>
      </c>
      <c r="G11004" t="s">
        <v>162</v>
      </c>
      <c r="H11004" t="s">
        <v>21</v>
      </c>
      <c r="I11004" t="s">
        <v>21344</v>
      </c>
      <c r="J11004" t="str">
        <f>HYPERLINK("https://www.boe.es/gazeta/dias/1821/03/01/pdfs/GGB-1821-60.pdf#page=5","Abrir facsímil")</f>
        <v>Abrir facsímil</v>
      </c>
      <c r="K11004" t="s">
        <v>23</v>
      </c>
    </row>
    <row r="11005" spans="1:11" ht="42" customHeight="1">
      <c r="A11005" t="s">
        <v>21345</v>
      </c>
      <c r="B11005" t="s">
        <v>21345</v>
      </c>
      <c r="C11005" t="s">
        <v>40</v>
      </c>
      <c r="D11005" t="s">
        <v>41</v>
      </c>
      <c r="E11005" s="6">
        <v>-28731</v>
      </c>
      <c r="F11005" t="s">
        <v>577</v>
      </c>
      <c r="G11005" t="s">
        <v>88</v>
      </c>
      <c r="H11005" t="s">
        <v>21</v>
      </c>
      <c r="I11005" t="s">
        <v>21346</v>
      </c>
      <c r="J11005" t="str">
        <f>HYPERLINK("https://www.boe.es/gazeta/dias/1821/05/02/pdfs/GMD-1821-124.pdf#page=4","Abrir facsímil")</f>
        <v>Abrir facsímil</v>
      </c>
      <c r="K11005" t="s">
        <v>23</v>
      </c>
    </row>
    <row r="11006" spans="1:11" ht="42" customHeight="1">
      <c r="A11006" t="s">
        <v>21347</v>
      </c>
      <c r="B11006" t="s">
        <v>21348</v>
      </c>
      <c r="C11006" t="s">
        <v>114</v>
      </c>
      <c r="D11006" t="s">
        <v>27</v>
      </c>
      <c r="E11006" s="6">
        <v>-28620</v>
      </c>
      <c r="F11006" t="s">
        <v>87</v>
      </c>
      <c r="G11006" t="s">
        <v>88</v>
      </c>
      <c r="H11006" t="s">
        <v>21</v>
      </c>
      <c r="I11006" t="s">
        <v>21349</v>
      </c>
      <c r="J11006" t="str">
        <f>HYPERLINK("https://www.boe.es/gazeta/dias/1821/08/21/pdfs/GMD-1821-238.pdf#page=4","Abrir facsímil")</f>
        <v>Abrir facsímil</v>
      </c>
      <c r="K11006" t="s">
        <v>23</v>
      </c>
    </row>
    <row r="11007" spans="1:11" ht="42" customHeight="1">
      <c r="A11007" t="s">
        <v>21350</v>
      </c>
      <c r="B11007" t="s">
        <v>21351</v>
      </c>
      <c r="C11007" t="s">
        <v>40</v>
      </c>
      <c r="D11007" t="s">
        <v>41</v>
      </c>
      <c r="E11007" s="6">
        <v>-28767</v>
      </c>
      <c r="F11007" t="s">
        <v>1439</v>
      </c>
      <c r="G11007" t="s">
        <v>1440</v>
      </c>
      <c r="H11007" t="s">
        <v>21</v>
      </c>
      <c r="I11007" t="s">
        <v>21352</v>
      </c>
      <c r="J11007" t="str">
        <f>HYPERLINK("https://www.boe.es/gazeta/dias/1821/03/27/pdfs/GMD-1821-87.pdf#page=3","Abrir facsímil")</f>
        <v>Abrir facsímil</v>
      </c>
      <c r="K11007" t="s">
        <v>23</v>
      </c>
    </row>
    <row r="11008" spans="1:11" ht="42" customHeight="1">
      <c r="A11008" t="s">
        <v>21353</v>
      </c>
      <c r="B11008" t="s">
        <v>21354</v>
      </c>
      <c r="C11008" t="s">
        <v>17</v>
      </c>
      <c r="D11008" t="s">
        <v>18</v>
      </c>
      <c r="E11008" s="6">
        <v>-28719</v>
      </c>
      <c r="F11008" t="s">
        <v>647</v>
      </c>
      <c r="G11008" t="s">
        <v>20</v>
      </c>
      <c r="H11008" t="s">
        <v>21</v>
      </c>
      <c r="I11008" t="s">
        <v>21355</v>
      </c>
      <c r="J11008" t="str">
        <f>HYPERLINK("https://www.boe.es/gazeta/dias/1821/05/14/pdfs/GMD-1821-136.pdf#page=3","Abrir facsímil")</f>
        <v>Abrir facsímil</v>
      </c>
      <c r="K11008" t="s">
        <v>23</v>
      </c>
    </row>
    <row r="11009" spans="1:11" ht="42" customHeight="1">
      <c r="A11009" t="s">
        <v>21356</v>
      </c>
      <c r="B11009" t="s">
        <v>21357</v>
      </c>
      <c r="C11009" t="s">
        <v>40</v>
      </c>
      <c r="D11009" t="s">
        <v>41</v>
      </c>
      <c r="E11009" s="6">
        <v>-28707</v>
      </c>
      <c r="F11009" t="s">
        <v>495</v>
      </c>
      <c r="G11009" t="s">
        <v>18311</v>
      </c>
      <c r="H11009" t="s">
        <v>21</v>
      </c>
      <c r="I11009" t="s">
        <v>21358</v>
      </c>
      <c r="J11009" t="str">
        <f>HYPERLINK("https://www.boe.es/gazeta/dias/1821/05/26/pdfs/GMD-1821-148.pdf#page=1","Abrir facsímil")</f>
        <v>Abrir facsímil</v>
      </c>
      <c r="K11009" t="s">
        <v>23</v>
      </c>
    </row>
    <row r="11010" spans="1:11" ht="42" customHeight="1">
      <c r="A11010" t="s">
        <v>21359</v>
      </c>
      <c r="B11010" t="s">
        <v>21360</v>
      </c>
      <c r="C11010" t="s">
        <v>26</v>
      </c>
      <c r="D11010" t="s">
        <v>27</v>
      </c>
      <c r="E11010" s="6">
        <v>-28547</v>
      </c>
      <c r="F11010" t="s">
        <v>247</v>
      </c>
      <c r="G11010" t="s">
        <v>248</v>
      </c>
      <c r="H11010" t="s">
        <v>21</v>
      </c>
      <c r="I11010" t="s">
        <v>21361</v>
      </c>
      <c r="J11010" t="str">
        <f>HYPERLINK("https://www.boe.es/gazeta/dias/1821/11/02/pdfs/GMD-1821-312.pdf#page=2","Abrir facsímil")</f>
        <v>Abrir facsímil</v>
      </c>
      <c r="K11010" t="s">
        <v>23</v>
      </c>
    </row>
    <row r="11011" spans="1:11" ht="42" customHeight="1">
      <c r="A11011" t="s">
        <v>21362</v>
      </c>
      <c r="B11011" t="s">
        <v>21363</v>
      </c>
      <c r="C11011" t="s">
        <v>35</v>
      </c>
      <c r="D11011" t="s">
        <v>27</v>
      </c>
      <c r="E11011" s="6">
        <v>-28841</v>
      </c>
      <c r="F11011" t="s">
        <v>765</v>
      </c>
      <c r="G11011" t="s">
        <v>20</v>
      </c>
      <c r="H11011" t="s">
        <v>21</v>
      </c>
      <c r="I11011" t="s">
        <v>21364</v>
      </c>
      <c r="J11011" t="str">
        <f>HYPERLINK("https://www.boe.es/gazeta/dias/1821/01/12/pdfs/GGB-1821-12.pdf#page=3","Abrir facsímil")</f>
        <v>Abrir facsímil</v>
      </c>
      <c r="K11011" t="s">
        <v>23</v>
      </c>
    </row>
    <row r="11012" spans="1:11" ht="42" customHeight="1">
      <c r="A11012" t="s">
        <v>21365</v>
      </c>
      <c r="B11012" t="s">
        <v>21365</v>
      </c>
      <c r="C11012" t="s">
        <v>17</v>
      </c>
      <c r="D11012" t="s">
        <v>18</v>
      </c>
      <c r="E11012" s="6">
        <v>-28760</v>
      </c>
      <c r="F11012" t="s">
        <v>170</v>
      </c>
      <c r="G11012" t="s">
        <v>52</v>
      </c>
      <c r="H11012" t="s">
        <v>21</v>
      </c>
      <c r="I11012" t="s">
        <v>21366</v>
      </c>
      <c r="J11012" t="str">
        <f>HYPERLINK("https://www.boe.es/gazeta/dias/1821/04/03/pdfs/GMD-1821-95.pdf#page=2","Abrir facsímil")</f>
        <v>Abrir facsímil</v>
      </c>
      <c r="K11012" t="s">
        <v>23</v>
      </c>
    </row>
    <row r="11013" spans="1:11" ht="42" customHeight="1">
      <c r="A11013" t="s">
        <v>21367</v>
      </c>
      <c r="B11013" t="s">
        <v>21367</v>
      </c>
      <c r="C11013" t="s">
        <v>35</v>
      </c>
      <c r="D11013" t="s">
        <v>27</v>
      </c>
      <c r="E11013" s="6">
        <v>-28566</v>
      </c>
      <c r="F11013" t="s">
        <v>1529</v>
      </c>
      <c r="G11013" t="s">
        <v>52</v>
      </c>
      <c r="H11013" t="s">
        <v>21</v>
      </c>
      <c r="I11013" t="s">
        <v>21368</v>
      </c>
      <c r="J11013" t="str">
        <f>HYPERLINK("https://www.boe.es/gazeta/dias/1821/10/14/pdfs/GMD-1821-293.pdf#page=2","Abrir facsímil")</f>
        <v>Abrir facsímil</v>
      </c>
      <c r="K11013" t="s">
        <v>23</v>
      </c>
    </row>
    <row r="11014" spans="1:11" ht="42" customHeight="1">
      <c r="A11014" t="s">
        <v>21369</v>
      </c>
      <c r="B11014" t="s">
        <v>21369</v>
      </c>
      <c r="C11014" t="s">
        <v>35</v>
      </c>
      <c r="D11014" t="s">
        <v>27</v>
      </c>
      <c r="E11014" s="6">
        <v>-28706</v>
      </c>
      <c r="F11014" t="s">
        <v>4791</v>
      </c>
      <c r="G11014" t="s">
        <v>88</v>
      </c>
      <c r="H11014" t="s">
        <v>21</v>
      </c>
      <c r="I11014" t="s">
        <v>21370</v>
      </c>
      <c r="J11014" t="str">
        <f>HYPERLINK("https://www.boe.es/gazeta/dias/1821/05/27/pdfs/GMD-1821-149.pdf#page=4","Abrir facsímil")</f>
        <v>Abrir facsímil</v>
      </c>
      <c r="K11014" t="s">
        <v>23</v>
      </c>
    </row>
    <row r="11015" spans="1:11" ht="42" customHeight="1">
      <c r="A11015" t="s">
        <v>21371</v>
      </c>
      <c r="B11015" t="s">
        <v>21371</v>
      </c>
      <c r="C11015" t="s">
        <v>26</v>
      </c>
      <c r="D11015" t="s">
        <v>27</v>
      </c>
      <c r="E11015" s="6">
        <v>-28571</v>
      </c>
      <c r="F11015" t="s">
        <v>482</v>
      </c>
      <c r="G11015" t="s">
        <v>162</v>
      </c>
      <c r="H11015" t="s">
        <v>21</v>
      </c>
      <c r="I11015" t="s">
        <v>21372</v>
      </c>
      <c r="J11015" t="str">
        <f>HYPERLINK("https://www.boe.es/gazeta/dias/1821/10/09/pdfs/GMD-1821-288.pdf#page=5","Abrir facsímil")</f>
        <v>Abrir facsímil</v>
      </c>
      <c r="K11015" t="s">
        <v>23</v>
      </c>
    </row>
    <row r="11016" spans="1:11" ht="42" customHeight="1">
      <c r="A11016" t="s">
        <v>21373</v>
      </c>
      <c r="B11016" t="s">
        <v>21373</v>
      </c>
      <c r="C11016" t="s">
        <v>17</v>
      </c>
      <c r="D11016" t="s">
        <v>18</v>
      </c>
      <c r="E11016" s="6">
        <v>-28574</v>
      </c>
      <c r="F11016" t="s">
        <v>779</v>
      </c>
      <c r="G11016" t="s">
        <v>609</v>
      </c>
      <c r="H11016" t="s">
        <v>21</v>
      </c>
      <c r="I11016" t="s">
        <v>21374</v>
      </c>
      <c r="J11016" t="str">
        <f>HYPERLINK("https://www.boe.es/gazeta/dias/1821/10/06/pdfs/GMD-1821-285.pdf#page=7","Abrir facsímil")</f>
        <v>Abrir facsímil</v>
      </c>
      <c r="K11016" t="s">
        <v>23</v>
      </c>
    </row>
    <row r="11017" spans="1:11" ht="42" customHeight="1">
      <c r="A11017" t="s">
        <v>21375</v>
      </c>
      <c r="B11017" t="s">
        <v>21376</v>
      </c>
      <c r="C11017" t="s">
        <v>17</v>
      </c>
      <c r="D11017" t="s">
        <v>18</v>
      </c>
      <c r="E11017" s="6">
        <v>-28696</v>
      </c>
      <c r="F11017" t="s">
        <v>497</v>
      </c>
      <c r="G11017" t="s">
        <v>88</v>
      </c>
      <c r="H11017" t="s">
        <v>21</v>
      </c>
      <c r="I11017" t="s">
        <v>21377</v>
      </c>
      <c r="J11017" t="str">
        <f>HYPERLINK("https://www.boe.es/gazeta/dias/1821/06/06/pdfs/GMD-1821-159.pdf#page=4","Abrir facsímil")</f>
        <v>Abrir facsímil</v>
      </c>
      <c r="K11017" t="s">
        <v>23</v>
      </c>
    </row>
    <row r="11018" spans="1:11" ht="42" customHeight="1">
      <c r="A11018" t="s">
        <v>21378</v>
      </c>
      <c r="B11018" t="s">
        <v>21379</v>
      </c>
      <c r="C11018" t="s">
        <v>40</v>
      </c>
      <c r="D11018" t="s">
        <v>41</v>
      </c>
      <c r="E11018" s="6">
        <v>-28793</v>
      </c>
      <c r="F11018" t="s">
        <v>157</v>
      </c>
      <c r="G11018" t="s">
        <v>162</v>
      </c>
      <c r="H11018" t="s">
        <v>21</v>
      </c>
      <c r="I11018" t="s">
        <v>21380</v>
      </c>
      <c r="J11018" t="str">
        <f>HYPERLINK("https://www.boe.es/gazeta/dias/1821/03/01/pdfs/GGB-1821-60.pdf#page=5","Abrir facsímil")</f>
        <v>Abrir facsímil</v>
      </c>
      <c r="K11018" t="s">
        <v>23</v>
      </c>
    </row>
    <row r="11019" spans="1:11" ht="42" customHeight="1">
      <c r="A11019" t="s">
        <v>21378</v>
      </c>
      <c r="B11019" t="s">
        <v>21379</v>
      </c>
      <c r="C11019" t="s">
        <v>26</v>
      </c>
      <c r="D11019" t="s">
        <v>27</v>
      </c>
      <c r="E11019" s="6">
        <v>-28503</v>
      </c>
      <c r="F11019" t="s">
        <v>947</v>
      </c>
      <c r="G11019" t="s">
        <v>43</v>
      </c>
      <c r="H11019" t="s">
        <v>21</v>
      </c>
      <c r="I11019" t="s">
        <v>21381</v>
      </c>
      <c r="J11019" t="str">
        <f>HYPERLINK("https://www.boe.es/gazeta/dias/1821/12/16/pdfs/GMD-1821-359.pdf#page=1","Abrir facsímil")</f>
        <v>Abrir facsímil</v>
      </c>
      <c r="K11019" t="s">
        <v>23</v>
      </c>
    </row>
    <row r="11020" spans="1:11" ht="42" customHeight="1">
      <c r="A11020" t="s">
        <v>21382</v>
      </c>
      <c r="B11020" t="s">
        <v>21382</v>
      </c>
      <c r="C11020" t="s">
        <v>40</v>
      </c>
      <c r="D11020" t="s">
        <v>41</v>
      </c>
      <c r="E11020" s="6">
        <v>-28654</v>
      </c>
      <c r="F11020" t="s">
        <v>674</v>
      </c>
      <c r="G11020" t="s">
        <v>88</v>
      </c>
      <c r="H11020" t="s">
        <v>21</v>
      </c>
      <c r="I11020" t="s">
        <v>21383</v>
      </c>
      <c r="J11020" t="str">
        <f>HYPERLINK("https://www.boe.es/gazeta/dias/1821/07/18/pdfs/GMD-1821-203.pdf#page=4","Abrir facsímil")</f>
        <v>Abrir facsímil</v>
      </c>
      <c r="K11020" t="s">
        <v>23</v>
      </c>
    </row>
    <row r="11021" spans="1:11" ht="42" customHeight="1">
      <c r="A11021" t="s">
        <v>21384</v>
      </c>
      <c r="B11021" t="s">
        <v>21385</v>
      </c>
      <c r="C11021" t="s">
        <v>26</v>
      </c>
      <c r="D11021" t="s">
        <v>27</v>
      </c>
      <c r="E11021" s="6">
        <v>-28654</v>
      </c>
      <c r="F11021" t="s">
        <v>674</v>
      </c>
      <c r="G11021" t="s">
        <v>88</v>
      </c>
      <c r="H11021" t="s">
        <v>21</v>
      </c>
      <c r="I11021" t="s">
        <v>21386</v>
      </c>
      <c r="J11021" t="str">
        <f>HYPERLINK("https://www.boe.es/gazeta/dias/1821/07/18/pdfs/GMD-1821-203.pdf#page=4","Abrir facsímil")</f>
        <v>Abrir facsímil</v>
      </c>
      <c r="K11021" t="s">
        <v>23</v>
      </c>
    </row>
    <row r="11022" spans="1:11" ht="42" customHeight="1">
      <c r="A11022" t="s">
        <v>21387</v>
      </c>
      <c r="B11022" t="s">
        <v>21387</v>
      </c>
      <c r="C11022" t="s">
        <v>17</v>
      </c>
      <c r="D11022" t="s">
        <v>18</v>
      </c>
      <c r="E11022" s="6">
        <v>-28532</v>
      </c>
      <c r="F11022" t="s">
        <v>1415</v>
      </c>
      <c r="G11022" t="s">
        <v>29</v>
      </c>
      <c r="H11022" t="s">
        <v>21</v>
      </c>
      <c r="I11022" t="s">
        <v>21388</v>
      </c>
      <c r="J11022" t="str">
        <f>HYPERLINK("https://www.boe.es/gazeta/dias/1821/11/17/pdfs/GMD-1821-328.pdf#page=6","Abrir facsímil")</f>
        <v>Abrir facsímil</v>
      </c>
      <c r="K11022" t="s">
        <v>23</v>
      </c>
    </row>
    <row r="11023" spans="1:11" ht="42" customHeight="1">
      <c r="A11023" t="s">
        <v>21389</v>
      </c>
      <c r="B11023" t="s">
        <v>21390</v>
      </c>
      <c r="C11023" t="s">
        <v>35</v>
      </c>
      <c r="D11023" t="s">
        <v>27</v>
      </c>
      <c r="E11023" s="6">
        <v>-28685</v>
      </c>
      <c r="F11023" t="s">
        <v>303</v>
      </c>
      <c r="G11023" t="s">
        <v>52</v>
      </c>
      <c r="H11023" t="s">
        <v>21</v>
      </c>
      <c r="I11023" t="s">
        <v>21391</v>
      </c>
      <c r="J11023" t="str">
        <f>HYPERLINK("https://www.boe.es/gazeta/dias/1821/06/17/pdfs/GMD-1821-170.pdf#page=2","Abrir facsímil")</f>
        <v>Abrir facsímil</v>
      </c>
      <c r="K11023" t="s">
        <v>23</v>
      </c>
    </row>
    <row r="11024" spans="1:11" ht="42" customHeight="1">
      <c r="A11024" t="s">
        <v>21392</v>
      </c>
      <c r="B11024" t="s">
        <v>21392</v>
      </c>
      <c r="C11024" t="s">
        <v>17</v>
      </c>
      <c r="D11024" t="s">
        <v>18</v>
      </c>
      <c r="E11024" s="6">
        <v>-28774</v>
      </c>
      <c r="F11024" t="s">
        <v>1221</v>
      </c>
      <c r="G11024" t="s">
        <v>20</v>
      </c>
      <c r="H11024" t="s">
        <v>21</v>
      </c>
      <c r="I11024" t="s">
        <v>21393</v>
      </c>
      <c r="J11024" t="str">
        <f>HYPERLINK("https://www.boe.es/gazeta/dias/1821/03/20/pdfs/GMD-1821-79.pdf#page=3","Abrir facsímil")</f>
        <v>Abrir facsímil</v>
      </c>
      <c r="K11024" t="s">
        <v>23</v>
      </c>
    </row>
    <row r="11025" spans="1:11" ht="42" customHeight="1">
      <c r="A11025" t="s">
        <v>21392</v>
      </c>
      <c r="B11025" t="s">
        <v>21392</v>
      </c>
      <c r="C11025" t="s">
        <v>70</v>
      </c>
      <c r="D11025" t="s">
        <v>27</v>
      </c>
      <c r="E11025" s="6">
        <v>-28733</v>
      </c>
      <c r="F11025" t="s">
        <v>1033</v>
      </c>
      <c r="G11025" t="s">
        <v>20</v>
      </c>
      <c r="H11025" t="s">
        <v>21</v>
      </c>
      <c r="I11025" t="s">
        <v>21394</v>
      </c>
      <c r="J11025" t="str">
        <f>HYPERLINK("https://www.boe.es/gazeta/dias/1821/04/30/pdfs/GMD-1821-122.pdf#page=3","Abrir facsímil")</f>
        <v>Abrir facsímil</v>
      </c>
      <c r="K11025" t="s">
        <v>23</v>
      </c>
    </row>
    <row r="11026" spans="1:11" ht="42" customHeight="1">
      <c r="A11026" t="s">
        <v>21392</v>
      </c>
      <c r="B11026" t="s">
        <v>21392</v>
      </c>
      <c r="C11026" t="s">
        <v>35</v>
      </c>
      <c r="D11026" t="s">
        <v>27</v>
      </c>
      <c r="E11026" s="6">
        <v>-28678</v>
      </c>
      <c r="F11026" t="s">
        <v>215</v>
      </c>
      <c r="G11026" t="s">
        <v>1445</v>
      </c>
      <c r="H11026" t="s">
        <v>21</v>
      </c>
      <c r="I11026" t="s">
        <v>21395</v>
      </c>
      <c r="J11026" t="str">
        <f>HYPERLINK("https://www.boe.es/gazeta/dias/1821/06/24/pdfs/GMD-1821-177.pdf#page=3","Abrir facsímil")</f>
        <v>Abrir facsímil</v>
      </c>
      <c r="K11026" t="s">
        <v>23</v>
      </c>
    </row>
    <row r="11027" spans="1:11" ht="42" customHeight="1">
      <c r="A11027" t="s">
        <v>21392</v>
      </c>
      <c r="B11027" t="s">
        <v>21392</v>
      </c>
      <c r="C11027" t="s">
        <v>174</v>
      </c>
      <c r="D11027" t="s">
        <v>27</v>
      </c>
      <c r="E11027" s="6">
        <v>-28527</v>
      </c>
      <c r="F11027" t="s">
        <v>328</v>
      </c>
      <c r="G11027" t="s">
        <v>88</v>
      </c>
      <c r="H11027" t="s">
        <v>21</v>
      </c>
      <c r="I11027" t="s">
        <v>21396</v>
      </c>
      <c r="J11027" t="str">
        <f>HYPERLINK("https://www.boe.es/gazeta/dias/1821/11/22/pdfs/GMD-1821-333.pdf#page=4","Abrir facsímil")</f>
        <v>Abrir facsímil</v>
      </c>
      <c r="K11027" t="s">
        <v>23</v>
      </c>
    </row>
    <row r="11028" spans="1:11" ht="42" customHeight="1">
      <c r="A11028" t="s">
        <v>21397</v>
      </c>
      <c r="B11028" t="s">
        <v>21398</v>
      </c>
      <c r="C11028" t="s">
        <v>17</v>
      </c>
      <c r="D11028" t="s">
        <v>18</v>
      </c>
      <c r="E11028" s="6">
        <v>-28578</v>
      </c>
      <c r="F11028" t="s">
        <v>899</v>
      </c>
      <c r="G11028" t="s">
        <v>43</v>
      </c>
      <c r="H11028" t="s">
        <v>21</v>
      </c>
      <c r="I11028" t="s">
        <v>21399</v>
      </c>
      <c r="J11028" t="str">
        <f>HYPERLINK("https://www.boe.es/gazeta/dias/1821/10/02/pdfs/GMD-1821-281.pdf#page=1","Abrir facsímil")</f>
        <v>Abrir facsímil</v>
      </c>
      <c r="K11028" t="s">
        <v>23</v>
      </c>
    </row>
    <row r="11029" spans="1:11" ht="42" customHeight="1">
      <c r="A11029" t="s">
        <v>21397</v>
      </c>
      <c r="B11029" t="s">
        <v>21398</v>
      </c>
      <c r="C11029" t="s">
        <v>40</v>
      </c>
      <c r="D11029" t="s">
        <v>41</v>
      </c>
      <c r="E11029" s="6">
        <v>-28531</v>
      </c>
      <c r="F11029" t="s">
        <v>365</v>
      </c>
      <c r="G11029" t="s">
        <v>20</v>
      </c>
      <c r="H11029" t="s">
        <v>21</v>
      </c>
      <c r="I11029" t="s">
        <v>21400</v>
      </c>
      <c r="J11029" t="str">
        <f>HYPERLINK("https://www.boe.es/gazeta/dias/1821/11/18/pdfs/GMD-1821-329.pdf#page=3","Abrir facsímil")</f>
        <v>Abrir facsímil</v>
      </c>
      <c r="K11029" t="s">
        <v>23</v>
      </c>
    </row>
    <row r="11030" spans="1:11" ht="42" customHeight="1">
      <c r="A11030" t="s">
        <v>21401</v>
      </c>
      <c r="B11030" t="s">
        <v>21402</v>
      </c>
      <c r="C11030" t="s">
        <v>26</v>
      </c>
      <c r="D11030" t="s">
        <v>27</v>
      </c>
      <c r="E11030" s="6">
        <v>-28682</v>
      </c>
      <c r="F11030" t="s">
        <v>1064</v>
      </c>
      <c r="G11030" t="s">
        <v>29</v>
      </c>
      <c r="H11030" t="s">
        <v>21</v>
      </c>
      <c r="I11030" t="s">
        <v>21403</v>
      </c>
      <c r="J11030" t="str">
        <f>HYPERLINK("https://www.boe.es/gazeta/dias/1821/06/20/pdfs/GMD-1821-173.pdf#page=6","Abrir facsímil")</f>
        <v>Abrir facsímil</v>
      </c>
      <c r="K11030" t="s">
        <v>23</v>
      </c>
    </row>
    <row r="11031" spans="1:11" ht="42" customHeight="1">
      <c r="A11031" t="s">
        <v>21404</v>
      </c>
      <c r="B11031" t="s">
        <v>21405</v>
      </c>
      <c r="C11031" t="s">
        <v>35</v>
      </c>
      <c r="D11031" t="s">
        <v>27</v>
      </c>
      <c r="E11031" s="6">
        <v>-28830</v>
      </c>
      <c r="F11031" t="s">
        <v>3230</v>
      </c>
      <c r="G11031" t="s">
        <v>20</v>
      </c>
      <c r="H11031" t="s">
        <v>21</v>
      </c>
      <c r="I11031" t="s">
        <v>21406</v>
      </c>
      <c r="J11031" t="str">
        <f>HYPERLINK("https://www.boe.es/gazeta/dias/1821/01/23/pdfs/GGB-1821-23.pdf#page=3","Abrir facsímil")</f>
        <v>Abrir facsímil</v>
      </c>
      <c r="K11031" t="s">
        <v>23</v>
      </c>
    </row>
    <row r="11032" spans="1:11" ht="42" customHeight="1">
      <c r="A11032" t="s">
        <v>21407</v>
      </c>
      <c r="B11032" t="s">
        <v>21408</v>
      </c>
      <c r="C11032" t="s">
        <v>174</v>
      </c>
      <c r="D11032" t="s">
        <v>27</v>
      </c>
      <c r="E11032" s="6">
        <v>-28530</v>
      </c>
      <c r="F11032" t="s">
        <v>237</v>
      </c>
      <c r="G11032" t="s">
        <v>52</v>
      </c>
      <c r="H11032" t="s">
        <v>21</v>
      </c>
      <c r="I11032" t="s">
        <v>21409</v>
      </c>
      <c r="J11032" t="str">
        <f>HYPERLINK("https://www.boe.es/gazeta/dias/1821/11/19/pdfs/GMD-1821-330.pdf#page=2","Abrir facsímil")</f>
        <v>Abrir facsímil</v>
      </c>
      <c r="K11032" t="s">
        <v>23</v>
      </c>
    </row>
    <row r="11033" spans="1:11" ht="42" customHeight="1">
      <c r="A11033" t="s">
        <v>21410</v>
      </c>
      <c r="B11033" t="s">
        <v>21410</v>
      </c>
      <c r="C11033" t="s">
        <v>40</v>
      </c>
      <c r="D11033" t="s">
        <v>41</v>
      </c>
      <c r="E11033" s="6">
        <v>-28735</v>
      </c>
      <c r="F11033" t="s">
        <v>836</v>
      </c>
      <c r="G11033" t="s">
        <v>88</v>
      </c>
      <c r="H11033" t="s">
        <v>21</v>
      </c>
      <c r="I11033" t="s">
        <v>21411</v>
      </c>
      <c r="J11033" t="str">
        <f>HYPERLINK("https://www.boe.es/gazeta/dias/1821/04/28/pdfs/GMD-1821-120.pdf#page=4","Abrir facsímil")</f>
        <v>Abrir facsímil</v>
      </c>
      <c r="K11033" t="s">
        <v>23</v>
      </c>
    </row>
    <row r="11034" spans="1:11" ht="42" customHeight="1">
      <c r="A11034" t="s">
        <v>21412</v>
      </c>
      <c r="B11034" t="s">
        <v>21412</v>
      </c>
      <c r="C11034" t="s">
        <v>26</v>
      </c>
      <c r="D11034" t="s">
        <v>27</v>
      </c>
      <c r="E11034" s="6">
        <v>-28626</v>
      </c>
      <c r="F11034" t="s">
        <v>468</v>
      </c>
      <c r="G11034" t="s">
        <v>88</v>
      </c>
      <c r="H11034" t="s">
        <v>21</v>
      </c>
      <c r="I11034" t="s">
        <v>21413</v>
      </c>
      <c r="J11034" t="str">
        <f>HYPERLINK("https://www.boe.es/gazeta/dias/1821/08/15/pdfs/GMD-1821-232.pdf#page=4","Abrir facsímil")</f>
        <v>Abrir facsímil</v>
      </c>
      <c r="K11034" t="s">
        <v>23</v>
      </c>
    </row>
    <row r="11035" spans="1:11" ht="42" customHeight="1">
      <c r="A11035" t="s">
        <v>21412</v>
      </c>
      <c r="B11035" t="s">
        <v>21412</v>
      </c>
      <c r="C11035" t="s">
        <v>40</v>
      </c>
      <c r="D11035" t="s">
        <v>41</v>
      </c>
      <c r="E11035" s="6">
        <v>-28607</v>
      </c>
      <c r="F11035" t="s">
        <v>740</v>
      </c>
      <c r="G11035" t="s">
        <v>88</v>
      </c>
      <c r="H11035" t="s">
        <v>21</v>
      </c>
      <c r="I11035" t="s">
        <v>21414</v>
      </c>
      <c r="J11035" t="str">
        <f>HYPERLINK("https://www.boe.es/gazeta/dias/1821/09/03/pdfs/GMD-1821-251.pdf#page=4","Abrir facsímil")</f>
        <v>Abrir facsímil</v>
      </c>
      <c r="K11035" t="s">
        <v>23</v>
      </c>
    </row>
    <row r="11036" spans="1:11" ht="42" customHeight="1">
      <c r="A11036" t="s">
        <v>21412</v>
      </c>
      <c r="B11036" t="s">
        <v>21412</v>
      </c>
      <c r="C11036" t="s">
        <v>174</v>
      </c>
      <c r="D11036" t="s">
        <v>27</v>
      </c>
      <c r="E11036" s="6">
        <v>-28602</v>
      </c>
      <c r="F11036" t="s">
        <v>1526</v>
      </c>
      <c r="G11036" t="s">
        <v>20</v>
      </c>
      <c r="H11036" t="s">
        <v>21</v>
      </c>
      <c r="I11036" t="s">
        <v>21415</v>
      </c>
      <c r="J11036" t="str">
        <f>HYPERLINK("https://www.boe.es/gazeta/dias/1821/09/08/pdfs/GMD-1821-256.pdf#page=3","Abrir facsímil")</f>
        <v>Abrir facsímil</v>
      </c>
      <c r="K11036" t="s">
        <v>23</v>
      </c>
    </row>
    <row r="11037" spans="1:11" ht="42" customHeight="1">
      <c r="A11037" t="s">
        <v>21416</v>
      </c>
      <c r="B11037" t="s">
        <v>21416</v>
      </c>
      <c r="C11037" t="s">
        <v>35</v>
      </c>
      <c r="D11037" t="s">
        <v>27</v>
      </c>
      <c r="E11037" s="6">
        <v>-28706</v>
      </c>
      <c r="F11037" t="s">
        <v>4791</v>
      </c>
      <c r="G11037" t="s">
        <v>52</v>
      </c>
      <c r="H11037" t="s">
        <v>21</v>
      </c>
      <c r="I11037" t="s">
        <v>21417</v>
      </c>
      <c r="J11037" t="str">
        <f>HYPERLINK("https://www.boe.es/gazeta/dias/1821/05/27/pdfs/GMD-1821-149.pdf#page=2","Abrir facsímil")</f>
        <v>Abrir facsímil</v>
      </c>
      <c r="K11037" t="s">
        <v>23</v>
      </c>
    </row>
    <row r="11038" spans="1:11" ht="42" customHeight="1">
      <c r="A11038" t="s">
        <v>21418</v>
      </c>
      <c r="B11038" t="s">
        <v>21418</v>
      </c>
      <c r="C11038" t="s">
        <v>17</v>
      </c>
      <c r="D11038" t="s">
        <v>18</v>
      </c>
      <c r="E11038" s="6">
        <v>-28818</v>
      </c>
      <c r="F11038" t="s">
        <v>2337</v>
      </c>
      <c r="G11038" t="s">
        <v>4055</v>
      </c>
      <c r="H11038" t="s">
        <v>21</v>
      </c>
      <c r="I11038" t="s">
        <v>21419</v>
      </c>
      <c r="J11038" t="str">
        <f>HYPERLINK("https://www.boe.es/gazeta/dias/1821/02/04/pdfs/GGB-1821-35.pdf#page=6","Abrir facsímil")</f>
        <v>Abrir facsímil</v>
      </c>
      <c r="K11038" t="s">
        <v>23</v>
      </c>
    </row>
    <row r="11039" spans="1:11" ht="42" customHeight="1">
      <c r="A11039" t="s">
        <v>21418</v>
      </c>
      <c r="B11039" t="s">
        <v>21418</v>
      </c>
      <c r="C11039" t="s">
        <v>40</v>
      </c>
      <c r="D11039" t="s">
        <v>41</v>
      </c>
      <c r="E11039" s="6">
        <v>-28788</v>
      </c>
      <c r="F11039" t="s">
        <v>996</v>
      </c>
      <c r="G11039" t="s">
        <v>20</v>
      </c>
      <c r="H11039" t="s">
        <v>21</v>
      </c>
      <c r="I11039" t="s">
        <v>21420</v>
      </c>
      <c r="J11039" t="str">
        <f>HYPERLINK("https://www.boe.es/gazeta/dias/1821/03/06/pdfs/GGB-1821-65.pdf#page=3","Abrir facsímil")</f>
        <v>Abrir facsímil</v>
      </c>
      <c r="K11039" t="s">
        <v>23</v>
      </c>
    </row>
    <row r="11040" spans="1:11" ht="42" customHeight="1">
      <c r="A11040" t="s">
        <v>21418</v>
      </c>
      <c r="B11040" t="s">
        <v>21418</v>
      </c>
      <c r="C11040" t="s">
        <v>26</v>
      </c>
      <c r="D11040" t="s">
        <v>27</v>
      </c>
      <c r="E11040" s="6">
        <v>-28744</v>
      </c>
      <c r="F11040" t="s">
        <v>834</v>
      </c>
      <c r="G11040" t="s">
        <v>52</v>
      </c>
      <c r="H11040" t="s">
        <v>21</v>
      </c>
      <c r="I11040" t="s">
        <v>21421</v>
      </c>
      <c r="J11040" t="str">
        <f>HYPERLINK("https://www.boe.es/gazeta/dias/1821/04/19/pdfs/GMD-1821-111.pdf#page=2","Abrir facsímil")</f>
        <v>Abrir facsímil</v>
      </c>
      <c r="K11040" t="s">
        <v>23</v>
      </c>
    </row>
    <row r="11041" spans="1:11" ht="42" customHeight="1">
      <c r="A11041" t="s">
        <v>21418</v>
      </c>
      <c r="B11041" t="s">
        <v>21418</v>
      </c>
      <c r="C11041" t="s">
        <v>26</v>
      </c>
      <c r="D11041" t="s">
        <v>27</v>
      </c>
      <c r="E11041" s="6">
        <v>-28738</v>
      </c>
      <c r="F11041" t="s">
        <v>359</v>
      </c>
      <c r="G11041" t="s">
        <v>88</v>
      </c>
      <c r="H11041" t="s">
        <v>21</v>
      </c>
      <c r="I11041" t="s">
        <v>21422</v>
      </c>
      <c r="J11041" t="str">
        <f>HYPERLINK("https://www.boe.es/gazeta/dias/1821/04/25/pdfs/GMD-1821-117.pdf#page=4","Abrir facsímil")</f>
        <v>Abrir facsímil</v>
      </c>
      <c r="K11041" t="s">
        <v>23</v>
      </c>
    </row>
    <row r="11042" spans="1:11" ht="42" customHeight="1">
      <c r="A11042" t="s">
        <v>21418</v>
      </c>
      <c r="B11042" t="s">
        <v>21418</v>
      </c>
      <c r="C11042" t="s">
        <v>40</v>
      </c>
      <c r="D11042" t="s">
        <v>41</v>
      </c>
      <c r="E11042" s="6">
        <v>-28733</v>
      </c>
      <c r="F11042" t="s">
        <v>1033</v>
      </c>
      <c r="G11042" t="s">
        <v>7434</v>
      </c>
      <c r="H11042" t="s">
        <v>21</v>
      </c>
      <c r="I11042" t="s">
        <v>21423</v>
      </c>
      <c r="J11042" t="str">
        <f>HYPERLINK("https://www.boe.es/gazeta/dias/1821/04/30/pdfs/GMD-1821-122.pdf#page=4","Abrir facsímil")</f>
        <v>Abrir facsímil</v>
      </c>
      <c r="K11042" t="s">
        <v>23</v>
      </c>
    </row>
    <row r="11043" spans="1:11" ht="42" customHeight="1">
      <c r="A11043" t="s">
        <v>21418</v>
      </c>
      <c r="B11043" t="s">
        <v>21418</v>
      </c>
      <c r="C11043" t="s">
        <v>35</v>
      </c>
      <c r="D11043" t="s">
        <v>27</v>
      </c>
      <c r="E11043" s="6">
        <v>-28724</v>
      </c>
      <c r="F11043" t="s">
        <v>1305</v>
      </c>
      <c r="G11043" t="s">
        <v>20</v>
      </c>
      <c r="H11043" t="s">
        <v>21</v>
      </c>
      <c r="I11043" t="s">
        <v>21424</v>
      </c>
      <c r="J11043" t="str">
        <f>HYPERLINK("https://www.boe.es/gazeta/dias/1821/05/09/pdfs/GMD-1821-131.pdf#page=3","Abrir facsímil")</f>
        <v>Abrir facsímil</v>
      </c>
      <c r="K11043" t="s">
        <v>23</v>
      </c>
    </row>
    <row r="11044" spans="1:11" ht="42" customHeight="1">
      <c r="A11044" t="s">
        <v>21418</v>
      </c>
      <c r="B11044" t="s">
        <v>21418</v>
      </c>
      <c r="C11044" t="s">
        <v>40</v>
      </c>
      <c r="D11044" t="s">
        <v>41</v>
      </c>
      <c r="E11044" s="6">
        <v>-28716</v>
      </c>
      <c r="F11044" t="s">
        <v>842</v>
      </c>
      <c r="G11044" t="s">
        <v>52</v>
      </c>
      <c r="H11044" t="s">
        <v>21</v>
      </c>
      <c r="I11044" t="s">
        <v>21425</v>
      </c>
      <c r="J11044" t="str">
        <f>HYPERLINK("https://www.boe.es/gazeta/dias/1821/05/17/pdfs/GMD-1821-139.pdf#page=2","Abrir facsímil")</f>
        <v>Abrir facsímil</v>
      </c>
      <c r="K11044" t="s">
        <v>23</v>
      </c>
    </row>
    <row r="11045" spans="1:11" ht="42" customHeight="1">
      <c r="A11045" t="s">
        <v>21418</v>
      </c>
      <c r="B11045" t="s">
        <v>21418</v>
      </c>
      <c r="C11045" t="s">
        <v>26</v>
      </c>
      <c r="D11045" t="s">
        <v>27</v>
      </c>
      <c r="E11045" s="6">
        <v>-28711</v>
      </c>
      <c r="F11045" t="s">
        <v>1048</v>
      </c>
      <c r="G11045" t="s">
        <v>20</v>
      </c>
      <c r="H11045" t="s">
        <v>21</v>
      </c>
      <c r="I11045" t="s">
        <v>21426</v>
      </c>
      <c r="J11045" t="str">
        <f>HYPERLINK("https://www.boe.es/gazeta/dias/1821/05/22/pdfs/GMD-1821-144.pdf#page=3","Abrir facsímil")</f>
        <v>Abrir facsímil</v>
      </c>
      <c r="K11045" t="s">
        <v>23</v>
      </c>
    </row>
    <row r="11046" spans="1:11" ht="42" customHeight="1">
      <c r="A11046" t="s">
        <v>21418</v>
      </c>
      <c r="B11046" t="s">
        <v>21418</v>
      </c>
      <c r="C11046" t="s">
        <v>40</v>
      </c>
      <c r="D11046" t="s">
        <v>41</v>
      </c>
      <c r="E11046" s="6">
        <v>-28662</v>
      </c>
      <c r="F11046" t="s">
        <v>3289</v>
      </c>
      <c r="G11046" t="s">
        <v>20</v>
      </c>
      <c r="H11046" t="s">
        <v>21</v>
      </c>
      <c r="I11046" t="s">
        <v>21427</v>
      </c>
      <c r="J11046" t="str">
        <f>HYPERLINK("https://www.boe.es/gazeta/dias/1821/07/10/pdfs/GMD-1821-195.pdf#page=3","Abrir facsímil")</f>
        <v>Abrir facsímil</v>
      </c>
      <c r="K11046" t="s">
        <v>23</v>
      </c>
    </row>
    <row r="11047" spans="1:11" ht="42" customHeight="1">
      <c r="A11047" t="s">
        <v>21418</v>
      </c>
      <c r="B11047" t="s">
        <v>21418</v>
      </c>
      <c r="C11047" t="s">
        <v>17</v>
      </c>
      <c r="D11047" t="s">
        <v>18</v>
      </c>
      <c r="E11047" s="6">
        <v>-28602</v>
      </c>
      <c r="F11047" t="s">
        <v>1526</v>
      </c>
      <c r="G11047" t="s">
        <v>20</v>
      </c>
      <c r="H11047" t="s">
        <v>21</v>
      </c>
      <c r="I11047" t="s">
        <v>21428</v>
      </c>
      <c r="J11047" t="str">
        <f>HYPERLINK("https://www.boe.es/gazeta/dias/1821/09/08/pdfs/GMD-1821-256.pdf#page=3","Abrir facsímil")</f>
        <v>Abrir facsímil</v>
      </c>
      <c r="K11047" t="s">
        <v>23</v>
      </c>
    </row>
    <row r="11048" spans="1:11" ht="42" customHeight="1">
      <c r="A11048" t="s">
        <v>21418</v>
      </c>
      <c r="B11048" t="s">
        <v>21418</v>
      </c>
      <c r="C11048" t="s">
        <v>40</v>
      </c>
      <c r="D11048" t="s">
        <v>41</v>
      </c>
      <c r="E11048" s="6">
        <v>-28581</v>
      </c>
      <c r="F11048" t="s">
        <v>254</v>
      </c>
      <c r="G11048" t="s">
        <v>20</v>
      </c>
      <c r="H11048" t="s">
        <v>21</v>
      </c>
      <c r="I11048" t="s">
        <v>21429</v>
      </c>
      <c r="J11048" t="str">
        <f>HYPERLINK("https://www.boe.es/gazeta/dias/1821/09/29/pdfs/GMD-1821-278.pdf#page=3","Abrir facsímil")</f>
        <v>Abrir facsímil</v>
      </c>
      <c r="K11048" t="s">
        <v>23</v>
      </c>
    </row>
    <row r="11049" spans="1:11" ht="42" customHeight="1">
      <c r="A11049" t="s">
        <v>21418</v>
      </c>
      <c r="B11049" t="s">
        <v>21418</v>
      </c>
      <c r="C11049" t="s">
        <v>26</v>
      </c>
      <c r="D11049" t="s">
        <v>27</v>
      </c>
      <c r="E11049" s="6">
        <v>-28574</v>
      </c>
      <c r="F11049" t="s">
        <v>779</v>
      </c>
      <c r="G11049" t="s">
        <v>333</v>
      </c>
      <c r="H11049" t="s">
        <v>21</v>
      </c>
      <c r="I11049" t="s">
        <v>21430</v>
      </c>
      <c r="J11049" t="str">
        <f>HYPERLINK("https://www.boe.es/gazeta/dias/1821/10/06/pdfs/GMD-1821-285.pdf#page=8","Abrir facsímil")</f>
        <v>Abrir facsímil</v>
      </c>
      <c r="K11049" t="s">
        <v>23</v>
      </c>
    </row>
    <row r="11050" spans="1:11" ht="42" customHeight="1">
      <c r="A11050" t="s">
        <v>21418</v>
      </c>
      <c r="B11050" t="s">
        <v>21418</v>
      </c>
      <c r="C11050" t="s">
        <v>40</v>
      </c>
      <c r="D11050" t="s">
        <v>41</v>
      </c>
      <c r="E11050" s="6">
        <v>-28569</v>
      </c>
      <c r="F11050" t="s">
        <v>512</v>
      </c>
      <c r="G11050" t="s">
        <v>29</v>
      </c>
      <c r="H11050" t="s">
        <v>21</v>
      </c>
      <c r="I11050" t="s">
        <v>21431</v>
      </c>
      <c r="J11050" t="str">
        <f>HYPERLINK("https://www.boe.es/gazeta/dias/1821/10/11/pdfs/GMD-1821-290.pdf#page=6","Abrir facsímil")</f>
        <v>Abrir facsímil</v>
      </c>
      <c r="K11050" t="s">
        <v>23</v>
      </c>
    </row>
    <row r="11051" spans="1:11" ht="42" customHeight="1">
      <c r="A11051" t="s">
        <v>21418</v>
      </c>
      <c r="B11051" t="s">
        <v>21418</v>
      </c>
      <c r="C11051" t="s">
        <v>35</v>
      </c>
      <c r="D11051" t="s">
        <v>27</v>
      </c>
      <c r="E11051" s="6">
        <v>-28559</v>
      </c>
      <c r="F11051" t="s">
        <v>1078</v>
      </c>
      <c r="G11051" t="s">
        <v>20</v>
      </c>
      <c r="H11051" t="s">
        <v>21</v>
      </c>
      <c r="I11051" t="s">
        <v>21432</v>
      </c>
      <c r="J11051" t="str">
        <f>HYPERLINK("https://www.boe.es/gazeta/dias/1821/10/21/pdfs/GMD-1821-300.pdf#page=3","Abrir facsímil")</f>
        <v>Abrir facsímil</v>
      </c>
      <c r="K11051" t="s">
        <v>23</v>
      </c>
    </row>
    <row r="11052" spans="1:11" ht="42" customHeight="1">
      <c r="A11052" t="s">
        <v>21418</v>
      </c>
      <c r="B11052" t="s">
        <v>21418</v>
      </c>
      <c r="C11052" t="s">
        <v>26</v>
      </c>
      <c r="D11052" t="s">
        <v>27</v>
      </c>
      <c r="E11052" s="6">
        <v>-28509</v>
      </c>
      <c r="F11052" t="s">
        <v>388</v>
      </c>
      <c r="G11052" t="s">
        <v>609</v>
      </c>
      <c r="H11052" t="s">
        <v>21</v>
      </c>
      <c r="I11052" t="s">
        <v>21433</v>
      </c>
      <c r="J11052" t="str">
        <f>HYPERLINK("https://www.boe.es/gazeta/dias/1821/12/10/pdfs/GMD-1821-352.pdf#page=7","Abrir facsímil")</f>
        <v>Abrir facsímil</v>
      </c>
      <c r="K11052" t="s">
        <v>23</v>
      </c>
    </row>
    <row r="11053" spans="1:11" ht="42" customHeight="1">
      <c r="A11053" t="s">
        <v>21418</v>
      </c>
      <c r="B11053" t="s">
        <v>21418</v>
      </c>
      <c r="C11053" t="s">
        <v>40</v>
      </c>
      <c r="D11053" t="s">
        <v>41</v>
      </c>
      <c r="E11053" s="6">
        <v>-28503</v>
      </c>
      <c r="F11053" t="s">
        <v>947</v>
      </c>
      <c r="G11053" t="s">
        <v>29</v>
      </c>
      <c r="H11053" t="s">
        <v>21</v>
      </c>
      <c r="I11053" t="s">
        <v>21434</v>
      </c>
      <c r="J11053" t="str">
        <f>HYPERLINK("https://www.boe.es/gazeta/dias/1821/12/16/pdfs/GMD-1821-359.pdf#page=6","Abrir facsímil")</f>
        <v>Abrir facsímil</v>
      </c>
      <c r="K11053" t="s">
        <v>23</v>
      </c>
    </row>
    <row r="11054" spans="1:11" ht="42" customHeight="1">
      <c r="A11054" t="s">
        <v>21418</v>
      </c>
      <c r="B11054" t="s">
        <v>21418</v>
      </c>
      <c r="C11054" t="s">
        <v>26</v>
      </c>
      <c r="D11054" t="s">
        <v>27</v>
      </c>
      <c r="E11054" s="6">
        <v>-28495</v>
      </c>
      <c r="F11054" t="s">
        <v>227</v>
      </c>
      <c r="G11054" t="s">
        <v>333</v>
      </c>
      <c r="H11054" t="s">
        <v>21</v>
      </c>
      <c r="I11054" t="s">
        <v>21435</v>
      </c>
      <c r="J11054" t="str">
        <f>HYPERLINK("https://www.boe.es/gazeta/dias/1821/12/24/pdfs/GMD-1821-367.pdf#page=8","Abrir facsímil")</f>
        <v>Abrir facsímil</v>
      </c>
      <c r="K11054" t="s">
        <v>23</v>
      </c>
    </row>
    <row r="11055" spans="1:11" ht="42" customHeight="1">
      <c r="A11055" t="s">
        <v>21436</v>
      </c>
      <c r="B11055" t="s">
        <v>21437</v>
      </c>
      <c r="C11055" t="s">
        <v>35</v>
      </c>
      <c r="D11055" t="s">
        <v>27</v>
      </c>
      <c r="E11055" s="6">
        <v>-28718</v>
      </c>
      <c r="F11055" t="s">
        <v>583</v>
      </c>
      <c r="G11055" t="s">
        <v>88</v>
      </c>
      <c r="H11055" t="s">
        <v>21</v>
      </c>
      <c r="I11055" t="s">
        <v>21438</v>
      </c>
      <c r="J11055" t="str">
        <f>HYPERLINK("https://www.boe.es/gazeta/dias/1821/05/15/pdfs/GMD-1821-137.pdf#page=4","Abrir facsímil")</f>
        <v>Abrir facsímil</v>
      </c>
      <c r="K11055" t="s">
        <v>23</v>
      </c>
    </row>
    <row r="11056" spans="1:11" ht="42" customHeight="1">
      <c r="A11056" t="s">
        <v>21439</v>
      </c>
      <c r="B11056" t="s">
        <v>21440</v>
      </c>
      <c r="C11056" t="s">
        <v>26</v>
      </c>
      <c r="D11056" t="s">
        <v>27</v>
      </c>
      <c r="E11056" s="6">
        <v>-28718</v>
      </c>
      <c r="F11056" t="s">
        <v>583</v>
      </c>
      <c r="G11056" t="s">
        <v>88</v>
      </c>
      <c r="H11056" t="s">
        <v>21</v>
      </c>
      <c r="I11056" t="s">
        <v>21441</v>
      </c>
      <c r="J11056" t="str">
        <f>HYPERLINK("https://www.boe.es/gazeta/dias/1821/05/15/pdfs/GMD-1821-137.pdf#page=4","Abrir facsímil")</f>
        <v>Abrir facsímil</v>
      </c>
      <c r="K11056" t="s">
        <v>23</v>
      </c>
    </row>
    <row r="11057" spans="1:11" ht="42" customHeight="1">
      <c r="A11057" t="s">
        <v>21439</v>
      </c>
      <c r="B11057" t="s">
        <v>21440</v>
      </c>
      <c r="C11057" t="s">
        <v>494</v>
      </c>
      <c r="D11057" t="s">
        <v>18</v>
      </c>
      <c r="E11057" s="6">
        <v>-28715</v>
      </c>
      <c r="F11057" t="s">
        <v>1046</v>
      </c>
      <c r="G11057" t="s">
        <v>88</v>
      </c>
      <c r="H11057" t="s">
        <v>21</v>
      </c>
      <c r="I11057" t="s">
        <v>21442</v>
      </c>
      <c r="J11057" t="str">
        <f>HYPERLINK("https://www.boe.es/gazeta/dias/1821/05/18/pdfs/GMD-1821-140.pdf#page=4","Abrir facsímil")</f>
        <v>Abrir facsímil</v>
      </c>
      <c r="K11057" t="s">
        <v>23</v>
      </c>
    </row>
    <row r="11058" spans="1:11" ht="42" customHeight="1">
      <c r="A11058" t="s">
        <v>21443</v>
      </c>
      <c r="B11058" t="s">
        <v>21444</v>
      </c>
      <c r="C11058" t="s">
        <v>26</v>
      </c>
      <c r="D11058" t="s">
        <v>27</v>
      </c>
      <c r="E11058" s="6">
        <v>-28620</v>
      </c>
      <c r="F11058" t="s">
        <v>87</v>
      </c>
      <c r="G11058" t="s">
        <v>88</v>
      </c>
      <c r="H11058" t="s">
        <v>21</v>
      </c>
      <c r="I11058" t="s">
        <v>21445</v>
      </c>
      <c r="J11058" t="str">
        <f>HYPERLINK("https://www.boe.es/gazeta/dias/1821/08/21/pdfs/GMD-1821-238.pdf#page=4","Abrir facsímil")</f>
        <v>Abrir facsímil</v>
      </c>
      <c r="K11058" t="s">
        <v>23</v>
      </c>
    </row>
    <row r="11059" spans="1:11" ht="42" customHeight="1">
      <c r="A11059" t="s">
        <v>21446</v>
      </c>
      <c r="B11059" t="s">
        <v>21447</v>
      </c>
      <c r="C11059" t="s">
        <v>40</v>
      </c>
      <c r="D11059" t="s">
        <v>41</v>
      </c>
      <c r="E11059" s="6">
        <v>-28541</v>
      </c>
      <c r="F11059" t="s">
        <v>275</v>
      </c>
      <c r="G11059" t="s">
        <v>52</v>
      </c>
      <c r="H11059" t="s">
        <v>21</v>
      </c>
      <c r="I11059" t="s">
        <v>21448</v>
      </c>
      <c r="J11059" t="str">
        <f>HYPERLINK("https://www.boe.es/gazeta/dias/1821/11/08/pdfs/GMD-1821-319.pdf#page=2","Abrir facsímil")</f>
        <v>Abrir facsímil</v>
      </c>
      <c r="K11059" t="s">
        <v>23</v>
      </c>
    </row>
    <row r="11060" spans="1:11" ht="42" customHeight="1">
      <c r="A11060" t="s">
        <v>21449</v>
      </c>
      <c r="B11060" t="s">
        <v>21449</v>
      </c>
      <c r="C11060" t="s">
        <v>17</v>
      </c>
      <c r="D11060" t="s">
        <v>18</v>
      </c>
      <c r="E11060" s="6">
        <v>-28680</v>
      </c>
      <c r="F11060" t="s">
        <v>531</v>
      </c>
      <c r="G11060" t="s">
        <v>88</v>
      </c>
      <c r="H11060" t="s">
        <v>21</v>
      </c>
      <c r="I11060" t="s">
        <v>21450</v>
      </c>
      <c r="J11060" t="str">
        <f>HYPERLINK("https://www.boe.es/gazeta/dias/1821/06/22/pdfs/GMD-1821-175.pdf#page=4","Abrir facsímil")</f>
        <v>Abrir facsímil</v>
      </c>
      <c r="K11060" t="s">
        <v>23</v>
      </c>
    </row>
    <row r="11061" spans="1:11" ht="42" customHeight="1">
      <c r="A11061" t="s">
        <v>21451</v>
      </c>
      <c r="B11061" t="s">
        <v>21452</v>
      </c>
      <c r="C11061" t="s">
        <v>40</v>
      </c>
      <c r="D11061" t="s">
        <v>41</v>
      </c>
      <c r="E11061" s="6">
        <v>-28766</v>
      </c>
      <c r="F11061" t="s">
        <v>1481</v>
      </c>
      <c r="G11061" t="s">
        <v>52</v>
      </c>
      <c r="H11061" t="s">
        <v>21</v>
      </c>
      <c r="I11061" t="s">
        <v>21453</v>
      </c>
      <c r="J11061" t="str">
        <f>HYPERLINK("https://www.boe.es/gazeta/dias/1821/03/28/pdfs/GMD-1821-88.pdf#page=2","Abrir facsímil")</f>
        <v>Abrir facsímil</v>
      </c>
      <c r="K11061" t="s">
        <v>23</v>
      </c>
    </row>
    <row r="11062" spans="1:11" ht="42" customHeight="1">
      <c r="A11062" t="s">
        <v>21454</v>
      </c>
      <c r="B11062" t="s">
        <v>21455</v>
      </c>
      <c r="C11062" t="s">
        <v>40</v>
      </c>
      <c r="D11062" t="s">
        <v>41</v>
      </c>
      <c r="E11062" s="6">
        <v>-28783</v>
      </c>
      <c r="F11062" t="s">
        <v>198</v>
      </c>
      <c r="G11062" t="s">
        <v>20</v>
      </c>
      <c r="H11062" t="s">
        <v>21</v>
      </c>
      <c r="I11062" t="s">
        <v>21456</v>
      </c>
      <c r="J11062" t="str">
        <f>HYPERLINK("https://www.boe.es/gazeta/dias/1821/03/11/pdfs/GGB-1821-70.pdf#page=3","Abrir facsímil")</f>
        <v>Abrir facsímil</v>
      </c>
      <c r="K11062" t="s">
        <v>23</v>
      </c>
    </row>
    <row r="11063" spans="1:11" ht="42" customHeight="1">
      <c r="A11063" t="s">
        <v>21457</v>
      </c>
      <c r="B11063" t="s">
        <v>21458</v>
      </c>
      <c r="C11063" t="s">
        <v>17</v>
      </c>
      <c r="D11063" t="s">
        <v>18</v>
      </c>
      <c r="E11063" s="6">
        <v>-28821</v>
      </c>
      <c r="F11063" t="s">
        <v>371</v>
      </c>
      <c r="G11063" t="s">
        <v>88</v>
      </c>
      <c r="H11063" t="s">
        <v>21</v>
      </c>
      <c r="I11063" t="s">
        <v>21459</v>
      </c>
      <c r="J11063" t="str">
        <f>HYPERLINK("https://www.boe.es/gazeta/dias/1821/02/01/pdfs/GGB-1821-32.pdf#page=4","Abrir facsímil")</f>
        <v>Abrir facsímil</v>
      </c>
      <c r="K11063" t="s">
        <v>23</v>
      </c>
    </row>
    <row r="11064" spans="1:11" ht="42" customHeight="1">
      <c r="A11064" t="s">
        <v>21457</v>
      </c>
      <c r="B11064" t="s">
        <v>21458</v>
      </c>
      <c r="C11064" t="s">
        <v>17</v>
      </c>
      <c r="D11064" t="s">
        <v>18</v>
      </c>
      <c r="E11064" s="6">
        <v>-28667</v>
      </c>
      <c r="F11064" t="s">
        <v>107</v>
      </c>
      <c r="G11064" t="s">
        <v>3069</v>
      </c>
      <c r="H11064" t="s">
        <v>21</v>
      </c>
      <c r="I11064" t="s">
        <v>21460</v>
      </c>
      <c r="J11064" t="str">
        <f>HYPERLINK("https://www.boe.es/gazeta/dias/1821/07/05/pdfs/GMD-1821-189.pdf#page=4","Abrir facsímil")</f>
        <v>Abrir facsímil</v>
      </c>
      <c r="K11064" t="s">
        <v>23</v>
      </c>
    </row>
    <row r="11065" spans="1:11" ht="42" customHeight="1">
      <c r="A11065" t="s">
        <v>21457</v>
      </c>
      <c r="B11065" t="s">
        <v>21458</v>
      </c>
      <c r="C11065" t="s">
        <v>17</v>
      </c>
      <c r="D11065" t="s">
        <v>18</v>
      </c>
      <c r="E11065" s="6">
        <v>-28606</v>
      </c>
      <c r="F11065" t="s">
        <v>1799</v>
      </c>
      <c r="G11065" t="s">
        <v>88</v>
      </c>
      <c r="H11065" t="s">
        <v>21</v>
      </c>
      <c r="I11065" t="s">
        <v>21461</v>
      </c>
      <c r="J11065" t="str">
        <f>HYPERLINK("https://www.boe.es/gazeta/dias/1821/09/04/pdfs/GMD-1821-252.pdf#page=4","Abrir facsímil")</f>
        <v>Abrir facsímil</v>
      </c>
      <c r="K11065" t="s">
        <v>23</v>
      </c>
    </row>
    <row r="11066" spans="1:11" ht="42" customHeight="1">
      <c r="A11066" t="s">
        <v>21457</v>
      </c>
      <c r="B11066" t="s">
        <v>21458</v>
      </c>
      <c r="C11066" t="s">
        <v>17</v>
      </c>
      <c r="D11066" t="s">
        <v>18</v>
      </c>
      <c r="E11066" s="6">
        <v>-28515</v>
      </c>
      <c r="F11066" t="s">
        <v>260</v>
      </c>
      <c r="G11066" t="s">
        <v>333</v>
      </c>
      <c r="H11066" t="s">
        <v>21</v>
      </c>
      <c r="I11066" t="s">
        <v>21462</v>
      </c>
      <c r="J11066" t="str">
        <f>HYPERLINK("https://www.boe.es/gazeta/dias/1821/12/04/pdfs/GMD-1821-346.pdf#page=8","Abrir facsímil")</f>
        <v>Abrir facsímil</v>
      </c>
      <c r="K11066" t="s">
        <v>23</v>
      </c>
    </row>
    <row r="11067" spans="1:11" ht="42" customHeight="1">
      <c r="A11067" t="s">
        <v>21463</v>
      </c>
      <c r="B11067" t="s">
        <v>21464</v>
      </c>
      <c r="C11067" t="s">
        <v>35</v>
      </c>
      <c r="D11067" t="s">
        <v>27</v>
      </c>
      <c r="E11067" s="6">
        <v>-28541</v>
      </c>
      <c r="F11067" t="s">
        <v>275</v>
      </c>
      <c r="G11067" t="s">
        <v>52</v>
      </c>
      <c r="H11067" t="s">
        <v>21</v>
      </c>
      <c r="I11067" t="s">
        <v>21465</v>
      </c>
      <c r="J11067" t="str">
        <f>HYPERLINK("https://www.boe.es/gazeta/dias/1821/11/08/pdfs/GMD-1821-319.pdf#page=2","Abrir facsímil")</f>
        <v>Abrir facsímil</v>
      </c>
      <c r="K11067" t="s">
        <v>23</v>
      </c>
    </row>
    <row r="11068" spans="1:11" ht="42" customHeight="1">
      <c r="A11068" t="s">
        <v>21466</v>
      </c>
      <c r="B11068" t="s">
        <v>21467</v>
      </c>
      <c r="C11068" t="s">
        <v>70</v>
      </c>
      <c r="D11068" t="s">
        <v>27</v>
      </c>
      <c r="E11068" s="6">
        <v>-28629</v>
      </c>
      <c r="F11068" t="s">
        <v>235</v>
      </c>
      <c r="G11068" t="s">
        <v>88</v>
      </c>
      <c r="H11068" t="s">
        <v>21</v>
      </c>
      <c r="I11068" t="s">
        <v>21468</v>
      </c>
      <c r="J11068" t="str">
        <f>HYPERLINK("https://www.boe.es/gazeta/dias/1821/08/12/pdfs/GMD-1821-229.pdf#page=4","Abrir facsímil")</f>
        <v>Abrir facsímil</v>
      </c>
      <c r="K11068" t="s">
        <v>23</v>
      </c>
    </row>
    <row r="11069" spans="1:11" ht="42" customHeight="1">
      <c r="A11069" t="s">
        <v>21469</v>
      </c>
      <c r="B11069" t="s">
        <v>21470</v>
      </c>
      <c r="C11069" t="s">
        <v>26</v>
      </c>
      <c r="D11069" t="s">
        <v>27</v>
      </c>
      <c r="E11069" s="6">
        <v>-28629</v>
      </c>
      <c r="F11069" t="s">
        <v>235</v>
      </c>
      <c r="G11069" t="s">
        <v>88</v>
      </c>
      <c r="H11069" t="s">
        <v>21</v>
      </c>
      <c r="I11069" t="s">
        <v>21471</v>
      </c>
      <c r="J11069" t="str">
        <f>HYPERLINK("https://www.boe.es/gazeta/dias/1821/08/12/pdfs/GMD-1821-229.pdf#page=4","Abrir facsímil")</f>
        <v>Abrir facsímil</v>
      </c>
      <c r="K11069" t="s">
        <v>23</v>
      </c>
    </row>
    <row r="11070" spans="1:11" ht="42" customHeight="1">
      <c r="A11070" t="s">
        <v>21472</v>
      </c>
      <c r="B11070" t="s">
        <v>21473</v>
      </c>
      <c r="C11070" t="s">
        <v>70</v>
      </c>
      <c r="D11070" t="s">
        <v>27</v>
      </c>
      <c r="E11070" s="6">
        <v>-28823</v>
      </c>
      <c r="F11070" t="s">
        <v>1890</v>
      </c>
      <c r="G11070" t="s">
        <v>1891</v>
      </c>
      <c r="H11070" t="s">
        <v>21</v>
      </c>
      <c r="I11070" t="s">
        <v>21474</v>
      </c>
      <c r="J11070" t="str">
        <f>HYPERLINK("https://www.boe.es/gazeta/dias/1821/01/30/pdfs/GGB-1821-30.pdf#page=4","Abrir facsímil")</f>
        <v>Abrir facsímil</v>
      </c>
      <c r="K11070" t="s">
        <v>23</v>
      </c>
    </row>
    <row r="11071" spans="1:11" ht="42" customHeight="1">
      <c r="A11071" t="s">
        <v>21475</v>
      </c>
      <c r="B11071" t="s">
        <v>21476</v>
      </c>
      <c r="C11071" t="s">
        <v>70</v>
      </c>
      <c r="D11071" t="s">
        <v>27</v>
      </c>
      <c r="E11071" s="6">
        <v>-28683</v>
      </c>
      <c r="F11071" t="s">
        <v>332</v>
      </c>
      <c r="G11071" t="s">
        <v>29</v>
      </c>
      <c r="H11071" t="s">
        <v>21</v>
      </c>
      <c r="I11071" t="s">
        <v>21477</v>
      </c>
      <c r="J11071" t="str">
        <f>HYPERLINK("https://www.boe.es/gazeta/dias/1821/06/19/pdfs/GMD-1821-172.pdf#page=6","Abrir facsímil")</f>
        <v>Abrir facsímil</v>
      </c>
      <c r="K11071" t="s">
        <v>23</v>
      </c>
    </row>
    <row r="11072" spans="1:11" ht="42" customHeight="1">
      <c r="A11072" t="s">
        <v>21478</v>
      </c>
      <c r="B11072" t="s">
        <v>21478</v>
      </c>
      <c r="C11072" t="s">
        <v>26</v>
      </c>
      <c r="D11072" t="s">
        <v>27</v>
      </c>
      <c r="E11072" s="6">
        <v>-28757</v>
      </c>
      <c r="F11072" t="s">
        <v>472</v>
      </c>
      <c r="G11072" t="s">
        <v>43</v>
      </c>
      <c r="H11072" t="s">
        <v>21</v>
      </c>
      <c r="I11072" t="s">
        <v>21479</v>
      </c>
      <c r="J11072" t="str">
        <f>HYPERLINK("https://www.boe.es/gazeta/dias/1821/04/06/pdfs/GMD-1821-98.pdf#page=1","Abrir facsímil")</f>
        <v>Abrir facsímil</v>
      </c>
      <c r="K11072" t="s">
        <v>23</v>
      </c>
    </row>
    <row r="11073" spans="1:11" ht="42" customHeight="1">
      <c r="A11073" t="s">
        <v>21478</v>
      </c>
      <c r="B11073" t="s">
        <v>21478</v>
      </c>
      <c r="C11073" t="s">
        <v>35</v>
      </c>
      <c r="D11073" t="s">
        <v>27</v>
      </c>
      <c r="E11073" s="6">
        <v>-28743</v>
      </c>
      <c r="F11073" t="s">
        <v>51</v>
      </c>
      <c r="G11073" t="s">
        <v>43</v>
      </c>
      <c r="H11073" t="s">
        <v>21</v>
      </c>
      <c r="I11073" t="s">
        <v>21480</v>
      </c>
      <c r="J11073" t="str">
        <f>HYPERLINK("https://www.boe.es/gazeta/dias/1821/04/20/pdfs/GMD-1821-112.pdf#page=1","Abrir facsímil")</f>
        <v>Abrir facsímil</v>
      </c>
      <c r="K11073" t="s">
        <v>23</v>
      </c>
    </row>
    <row r="11074" spans="1:11" ht="42" customHeight="1">
      <c r="A11074" t="s">
        <v>21478</v>
      </c>
      <c r="B11074" t="s">
        <v>21478</v>
      </c>
      <c r="C11074" t="s">
        <v>26</v>
      </c>
      <c r="D11074" t="s">
        <v>27</v>
      </c>
      <c r="E11074" s="6">
        <v>-28729</v>
      </c>
      <c r="F11074" t="s">
        <v>838</v>
      </c>
      <c r="G11074" t="s">
        <v>43</v>
      </c>
      <c r="H11074" t="s">
        <v>21</v>
      </c>
      <c r="I11074" t="s">
        <v>21481</v>
      </c>
      <c r="J11074" t="str">
        <f>HYPERLINK("https://www.boe.es/gazeta/dias/1821/05/04/pdfs/GMD-1821-126.pdf#page=1","Abrir facsímil")</f>
        <v>Abrir facsímil</v>
      </c>
      <c r="K11074" t="s">
        <v>23</v>
      </c>
    </row>
    <row r="11075" spans="1:11" ht="42" customHeight="1">
      <c r="A11075" t="s">
        <v>21478</v>
      </c>
      <c r="B11075" t="s">
        <v>21478</v>
      </c>
      <c r="C11075" t="s">
        <v>40</v>
      </c>
      <c r="D11075" t="s">
        <v>41</v>
      </c>
      <c r="E11075" s="6">
        <v>-28708</v>
      </c>
      <c r="F11075" t="s">
        <v>528</v>
      </c>
      <c r="G11075" t="s">
        <v>43</v>
      </c>
      <c r="H11075" t="s">
        <v>21</v>
      </c>
      <c r="I11075" t="s">
        <v>21482</v>
      </c>
      <c r="J11075" t="str">
        <f>HYPERLINK("https://www.boe.es/gazeta/dias/1821/05/25/pdfs/GMD-1821-147.pdf#page=1","Abrir facsímil")</f>
        <v>Abrir facsímil</v>
      </c>
      <c r="K11075" t="s">
        <v>23</v>
      </c>
    </row>
    <row r="11076" spans="1:11" ht="42" customHeight="1">
      <c r="A11076" t="s">
        <v>21478</v>
      </c>
      <c r="B11076" t="s">
        <v>21478</v>
      </c>
      <c r="C11076" t="s">
        <v>40</v>
      </c>
      <c r="D11076" t="s">
        <v>41</v>
      </c>
      <c r="E11076" s="6">
        <v>-28687</v>
      </c>
      <c r="F11076" t="s">
        <v>851</v>
      </c>
      <c r="G11076" t="s">
        <v>43</v>
      </c>
      <c r="H11076" t="s">
        <v>21</v>
      </c>
      <c r="I11076" t="s">
        <v>21483</v>
      </c>
      <c r="J11076" t="str">
        <f>HYPERLINK("https://www.boe.es/gazeta/dias/1821/06/15/pdfs/GMD-1821-168.pdf#page=1","Abrir facsímil")</f>
        <v>Abrir facsímil</v>
      </c>
      <c r="K11076" t="s">
        <v>23</v>
      </c>
    </row>
    <row r="11077" spans="1:11" ht="42" customHeight="1">
      <c r="A11077" t="s">
        <v>21478</v>
      </c>
      <c r="B11077" t="s">
        <v>21478</v>
      </c>
      <c r="C11077" t="s">
        <v>40</v>
      </c>
      <c r="D11077" t="s">
        <v>41</v>
      </c>
      <c r="E11077" s="6">
        <v>-28680</v>
      </c>
      <c r="F11077" t="s">
        <v>531</v>
      </c>
      <c r="G11077" t="s">
        <v>43</v>
      </c>
      <c r="H11077" t="s">
        <v>21</v>
      </c>
      <c r="I11077" t="s">
        <v>21484</v>
      </c>
      <c r="J11077" t="str">
        <f>HYPERLINK("https://www.boe.es/gazeta/dias/1821/06/22/pdfs/GMD-1821-175.pdf#page=1","Abrir facsímil")</f>
        <v>Abrir facsímil</v>
      </c>
      <c r="K11077" t="s">
        <v>23</v>
      </c>
    </row>
    <row r="11078" spans="1:11" ht="42" customHeight="1">
      <c r="A11078" t="s">
        <v>21478</v>
      </c>
      <c r="B11078" t="s">
        <v>21478</v>
      </c>
      <c r="C11078" t="s">
        <v>17</v>
      </c>
      <c r="D11078" t="s">
        <v>18</v>
      </c>
      <c r="E11078" s="6">
        <v>-28603</v>
      </c>
      <c r="F11078" t="s">
        <v>2928</v>
      </c>
      <c r="G11078" t="s">
        <v>43</v>
      </c>
      <c r="H11078" t="s">
        <v>21</v>
      </c>
      <c r="I11078" t="s">
        <v>21485</v>
      </c>
      <c r="J11078" t="str">
        <f>HYPERLINK("https://www.boe.es/gazeta/dias/1821/09/07/pdfs/GMD-1821-255.pdf#page=1","Abrir facsímil")</f>
        <v>Abrir facsímil</v>
      </c>
      <c r="K11078" t="s">
        <v>23</v>
      </c>
    </row>
    <row r="11079" spans="1:11" ht="42" customHeight="1">
      <c r="A11079" t="s">
        <v>21478</v>
      </c>
      <c r="B11079" t="s">
        <v>21478</v>
      </c>
      <c r="C11079" t="s">
        <v>26</v>
      </c>
      <c r="D11079" t="s">
        <v>27</v>
      </c>
      <c r="E11079" s="6">
        <v>-28589</v>
      </c>
      <c r="F11079" t="s">
        <v>3130</v>
      </c>
      <c r="G11079" t="s">
        <v>43</v>
      </c>
      <c r="H11079" t="s">
        <v>21</v>
      </c>
      <c r="I11079" t="s">
        <v>21486</v>
      </c>
      <c r="J11079" t="str">
        <f>HYPERLINK("https://www.boe.es/gazeta/dias/1821/09/21/pdfs/GMD-1821-269.pdf#page=1","Abrir facsímil")</f>
        <v>Abrir facsímil</v>
      </c>
      <c r="K11079" t="s">
        <v>23</v>
      </c>
    </row>
    <row r="11080" spans="1:11" ht="42" customHeight="1">
      <c r="A11080" t="s">
        <v>21478</v>
      </c>
      <c r="B11080" t="s">
        <v>21478</v>
      </c>
      <c r="C11080" t="s">
        <v>26</v>
      </c>
      <c r="D11080" t="s">
        <v>27</v>
      </c>
      <c r="E11080" s="6">
        <v>-28547</v>
      </c>
      <c r="F11080" t="s">
        <v>247</v>
      </c>
      <c r="G11080" t="s">
        <v>43</v>
      </c>
      <c r="H11080" t="s">
        <v>21</v>
      </c>
      <c r="I11080" t="s">
        <v>21487</v>
      </c>
      <c r="J11080" t="str">
        <f>HYPERLINK("https://www.boe.es/gazeta/dias/1821/11/02/pdfs/GMD-1821-312.pdf#page=1","Abrir facsímil")</f>
        <v>Abrir facsímil</v>
      </c>
      <c r="K11080" t="s">
        <v>23</v>
      </c>
    </row>
    <row r="11081" spans="1:11" ht="42" customHeight="1">
      <c r="A11081" t="s">
        <v>21478</v>
      </c>
      <c r="B11081" t="s">
        <v>21478</v>
      </c>
      <c r="C11081" t="s">
        <v>26</v>
      </c>
      <c r="D11081" t="s">
        <v>27</v>
      </c>
      <c r="E11081" s="6">
        <v>-28505</v>
      </c>
      <c r="F11081" t="s">
        <v>567</v>
      </c>
      <c r="G11081" t="s">
        <v>43</v>
      </c>
      <c r="H11081" t="s">
        <v>21</v>
      </c>
      <c r="I11081" t="s">
        <v>21488</v>
      </c>
      <c r="J11081" t="str">
        <f>HYPERLINK("https://www.boe.es/gazeta/dias/1821/12/14/pdfs/GMD-1821-357.pdf#page=1","Abrir facsímil")</f>
        <v>Abrir facsímil</v>
      </c>
      <c r="K11081" t="s">
        <v>23</v>
      </c>
    </row>
    <row r="11082" spans="1:11" ht="42" customHeight="1">
      <c r="A11082" t="s">
        <v>21489</v>
      </c>
      <c r="B11082" t="s">
        <v>21490</v>
      </c>
      <c r="C11082" t="s">
        <v>40</v>
      </c>
      <c r="D11082" t="s">
        <v>41</v>
      </c>
      <c r="E11082" s="6">
        <v>-28793</v>
      </c>
      <c r="F11082" t="s">
        <v>157</v>
      </c>
      <c r="G11082" t="s">
        <v>162</v>
      </c>
      <c r="H11082" t="s">
        <v>21</v>
      </c>
      <c r="I11082" t="s">
        <v>21491</v>
      </c>
      <c r="J11082" t="str">
        <f>HYPERLINK("https://www.boe.es/gazeta/dias/1821/03/01/pdfs/GGB-1821-60.pdf#page=5","Abrir facsímil")</f>
        <v>Abrir facsímil</v>
      </c>
      <c r="K11082" t="s">
        <v>23</v>
      </c>
    </row>
    <row r="11083" spans="1:11" ht="42" customHeight="1">
      <c r="A11083" t="s">
        <v>21492</v>
      </c>
      <c r="B11083" t="s">
        <v>21492</v>
      </c>
      <c r="C11083" t="s">
        <v>40</v>
      </c>
      <c r="D11083" t="s">
        <v>41</v>
      </c>
      <c r="E11083" s="6">
        <v>-28735</v>
      </c>
      <c r="F11083" t="s">
        <v>836</v>
      </c>
      <c r="G11083" t="s">
        <v>88</v>
      </c>
      <c r="H11083" t="s">
        <v>21</v>
      </c>
      <c r="I11083" t="s">
        <v>21493</v>
      </c>
      <c r="J11083" t="str">
        <f>HYPERLINK("https://www.boe.es/gazeta/dias/1821/04/28/pdfs/GMD-1821-120.pdf#page=4","Abrir facsímil")</f>
        <v>Abrir facsímil</v>
      </c>
      <c r="K11083" t="s">
        <v>23</v>
      </c>
    </row>
    <row r="11084" spans="1:11" ht="42" customHeight="1">
      <c r="A11084" t="s">
        <v>21494</v>
      </c>
      <c r="B11084" t="s">
        <v>21495</v>
      </c>
      <c r="C11084" t="s">
        <v>26</v>
      </c>
      <c r="D11084" t="s">
        <v>27</v>
      </c>
      <c r="E11084" s="6">
        <v>-28650</v>
      </c>
      <c r="F11084" t="s">
        <v>3285</v>
      </c>
      <c r="G11084" t="s">
        <v>20</v>
      </c>
      <c r="H11084" t="s">
        <v>21</v>
      </c>
      <c r="I11084" t="s">
        <v>21496</v>
      </c>
      <c r="J11084" t="str">
        <f>HYPERLINK("https://www.boe.es/gazeta/dias/1821/07/22/pdfs/GMD-1821-207.pdf#page=3","Abrir facsímil")</f>
        <v>Abrir facsímil</v>
      </c>
      <c r="K11084" t="s">
        <v>23</v>
      </c>
    </row>
    <row r="11085" spans="1:11" ht="42" customHeight="1">
      <c r="A11085" t="s">
        <v>21497</v>
      </c>
      <c r="B11085" t="s">
        <v>21498</v>
      </c>
      <c r="C11085" t="s">
        <v>26</v>
      </c>
      <c r="D11085" t="s">
        <v>27</v>
      </c>
      <c r="E11085" s="6">
        <v>-28850</v>
      </c>
      <c r="F11085" t="s">
        <v>664</v>
      </c>
      <c r="G11085" t="s">
        <v>52</v>
      </c>
      <c r="H11085" t="s">
        <v>21</v>
      </c>
      <c r="I11085" t="s">
        <v>21499</v>
      </c>
      <c r="J11085" t="str">
        <f>HYPERLINK("https://www.boe.es/gazeta/dias/1821/01/03/pdfs/GGB-1821-3.pdf#page=2","Abrir facsímil")</f>
        <v>Abrir facsímil</v>
      </c>
      <c r="K11085" t="s">
        <v>23</v>
      </c>
    </row>
    <row r="11086" spans="1:11" ht="42" customHeight="1">
      <c r="A11086" t="s">
        <v>21500</v>
      </c>
      <c r="B11086" t="s">
        <v>21501</v>
      </c>
      <c r="C11086" t="s">
        <v>40</v>
      </c>
      <c r="D11086" t="s">
        <v>41</v>
      </c>
      <c r="E11086" s="6">
        <v>-28620</v>
      </c>
      <c r="F11086" t="s">
        <v>87</v>
      </c>
      <c r="G11086" t="s">
        <v>52</v>
      </c>
      <c r="H11086" t="s">
        <v>21</v>
      </c>
      <c r="I11086" t="s">
        <v>21502</v>
      </c>
      <c r="J11086" t="str">
        <f>HYPERLINK("https://www.boe.es/gazeta/dias/1821/08/21/pdfs/GMD-1821-238.pdf#page=2","Abrir facsímil")</f>
        <v>Abrir facsímil</v>
      </c>
      <c r="K11086" t="s">
        <v>23</v>
      </c>
    </row>
    <row r="11087" spans="1:11" ht="42" customHeight="1">
      <c r="A11087" t="s">
        <v>21503</v>
      </c>
      <c r="B11087" t="s">
        <v>21503</v>
      </c>
      <c r="C11087" t="s">
        <v>17</v>
      </c>
      <c r="D11087" t="s">
        <v>18</v>
      </c>
      <c r="E11087" s="6">
        <v>-28709</v>
      </c>
      <c r="F11087" t="s">
        <v>1434</v>
      </c>
      <c r="G11087" t="s">
        <v>1435</v>
      </c>
      <c r="H11087" t="s">
        <v>21</v>
      </c>
      <c r="I11087" t="s">
        <v>21504</v>
      </c>
      <c r="J11087" t="str">
        <f>HYPERLINK("https://www.boe.es/gazeta/dias/1821/05/24/pdfs/GMD-1821-146.pdf#page=2","Abrir facsímil")</f>
        <v>Abrir facsímil</v>
      </c>
      <c r="K11087" t="s">
        <v>23</v>
      </c>
    </row>
    <row r="11088" spans="1:11" ht="42" customHeight="1">
      <c r="A11088" t="s">
        <v>21505</v>
      </c>
      <c r="B11088" t="s">
        <v>21505</v>
      </c>
      <c r="C11088" t="s">
        <v>174</v>
      </c>
      <c r="D11088" t="s">
        <v>27</v>
      </c>
      <c r="E11088" s="6">
        <v>-28719</v>
      </c>
      <c r="F11088" t="s">
        <v>647</v>
      </c>
      <c r="G11088" t="s">
        <v>20</v>
      </c>
      <c r="H11088" t="s">
        <v>21</v>
      </c>
      <c r="I11088" t="s">
        <v>21506</v>
      </c>
      <c r="J11088" t="str">
        <f>HYPERLINK("https://www.boe.es/gazeta/dias/1821/05/14/pdfs/GMD-1821-136.pdf#page=3","Abrir facsímil")</f>
        <v>Abrir facsímil</v>
      </c>
      <c r="K11088" t="s">
        <v>23</v>
      </c>
    </row>
    <row r="11089" spans="1:11" ht="42" customHeight="1">
      <c r="A11089" t="s">
        <v>21507</v>
      </c>
      <c r="B11089" t="s">
        <v>21508</v>
      </c>
      <c r="C11089" t="s">
        <v>26</v>
      </c>
      <c r="D11089" t="s">
        <v>27</v>
      </c>
      <c r="E11089" s="6">
        <v>-28755</v>
      </c>
      <c r="F11089" t="s">
        <v>906</v>
      </c>
      <c r="G11089" t="s">
        <v>907</v>
      </c>
      <c r="H11089" t="s">
        <v>21</v>
      </c>
      <c r="I11089" t="s">
        <v>21509</v>
      </c>
      <c r="J11089" t="str">
        <f>HYPERLINK("https://www.boe.es/gazeta/dias/1821/04/08/pdfs/GMD-1821-100.pdf#page=4","Abrir facsímil")</f>
        <v>Abrir facsímil</v>
      </c>
      <c r="K11089" t="s">
        <v>23</v>
      </c>
    </row>
    <row r="11090" spans="1:11" ht="42" customHeight="1">
      <c r="A11090" t="s">
        <v>21510</v>
      </c>
      <c r="B11090" t="s">
        <v>21511</v>
      </c>
      <c r="C11090" t="s">
        <v>40</v>
      </c>
      <c r="D11090" t="s">
        <v>41</v>
      </c>
      <c r="E11090" s="6">
        <v>-28543</v>
      </c>
      <c r="F11090" t="s">
        <v>136</v>
      </c>
      <c r="G11090" t="s">
        <v>52</v>
      </c>
      <c r="H11090" t="s">
        <v>21</v>
      </c>
      <c r="I11090" t="s">
        <v>21512</v>
      </c>
      <c r="J11090" t="str">
        <f>HYPERLINK("https://www.boe.es/gazeta/dias/1821/11/06/pdfs/GMD-1821-317.pdf#page=2","Abrir facsímil")</f>
        <v>Abrir facsímil</v>
      </c>
      <c r="K11090" t="s">
        <v>23</v>
      </c>
    </row>
    <row r="11091" spans="1:11" ht="42" customHeight="1">
      <c r="A11091" t="s">
        <v>21513</v>
      </c>
      <c r="B11091" t="s">
        <v>21514</v>
      </c>
      <c r="C11091" t="s">
        <v>40</v>
      </c>
      <c r="D11091" t="s">
        <v>41</v>
      </c>
      <c r="E11091" s="6">
        <v>-28518</v>
      </c>
      <c r="F11091" t="s">
        <v>410</v>
      </c>
      <c r="G11091" t="s">
        <v>162</v>
      </c>
      <c r="H11091" t="s">
        <v>21</v>
      </c>
      <c r="I11091" t="s">
        <v>21515</v>
      </c>
      <c r="J11091" t="str">
        <f>HYPERLINK("https://www.boe.es/gazeta/dias/1821/12/01/pdfs/GMD-1821-343.pdf#page=5","Abrir facsímil")</f>
        <v>Abrir facsímil</v>
      </c>
      <c r="K11091" t="s">
        <v>23</v>
      </c>
    </row>
    <row r="11092" spans="1:11" ht="42" customHeight="1">
      <c r="A11092" t="s">
        <v>21516</v>
      </c>
      <c r="B11092" t="s">
        <v>21517</v>
      </c>
      <c r="C11092" t="s">
        <v>17</v>
      </c>
      <c r="D11092" t="s">
        <v>18</v>
      </c>
      <c r="E11092" s="6">
        <v>-28617</v>
      </c>
      <c r="F11092" t="s">
        <v>436</v>
      </c>
      <c r="G11092" t="s">
        <v>20</v>
      </c>
      <c r="H11092" t="s">
        <v>21</v>
      </c>
      <c r="I11092" t="s">
        <v>21518</v>
      </c>
      <c r="J11092" t="str">
        <f>HYPERLINK("https://www.boe.es/gazeta/dias/1821/08/24/pdfs/GMD-1821-241.pdf#page=3","Abrir facsímil")</f>
        <v>Abrir facsímil</v>
      </c>
      <c r="K11092" t="s">
        <v>23</v>
      </c>
    </row>
    <row r="11093" spans="1:11" ht="42" customHeight="1">
      <c r="A11093" t="s">
        <v>21519</v>
      </c>
      <c r="B11093" t="s">
        <v>21520</v>
      </c>
      <c r="C11093" t="s">
        <v>279</v>
      </c>
      <c r="D11093" t="s">
        <v>27</v>
      </c>
      <c r="E11093" s="6">
        <v>-28841</v>
      </c>
      <c r="F11093" t="s">
        <v>765</v>
      </c>
      <c r="G11093" t="s">
        <v>20</v>
      </c>
      <c r="H11093" t="s">
        <v>21</v>
      </c>
      <c r="I11093" t="s">
        <v>21521</v>
      </c>
      <c r="J11093" t="str">
        <f>HYPERLINK("https://www.boe.es/gazeta/dias/1821/01/12/pdfs/GGB-1821-12.pdf#page=3","Abrir facsímil")</f>
        <v>Abrir facsímil</v>
      </c>
      <c r="K11093" t="s">
        <v>23</v>
      </c>
    </row>
    <row r="11094" spans="1:11" ht="42" customHeight="1">
      <c r="A11094" t="s">
        <v>21522</v>
      </c>
      <c r="B11094" t="s">
        <v>21523</v>
      </c>
      <c r="C11094" t="s">
        <v>26</v>
      </c>
      <c r="D11094" t="s">
        <v>27</v>
      </c>
      <c r="E11094" s="6">
        <v>-28776</v>
      </c>
      <c r="F11094" t="s">
        <v>312</v>
      </c>
      <c r="G11094" t="s">
        <v>162</v>
      </c>
      <c r="H11094" t="s">
        <v>21</v>
      </c>
      <c r="I11094" t="s">
        <v>21524</v>
      </c>
      <c r="J11094" t="str">
        <f>HYPERLINK("https://www.boe.es/gazeta/dias/1821/03/18/pdfs/GMD-1821-77.pdf#page=5","Abrir facsímil")</f>
        <v>Abrir facsímil</v>
      </c>
      <c r="K11094" t="s">
        <v>23</v>
      </c>
    </row>
    <row r="11095" spans="1:11" ht="42" customHeight="1">
      <c r="A11095" t="s">
        <v>21525</v>
      </c>
      <c r="B11095" t="s">
        <v>21525</v>
      </c>
      <c r="C11095" t="s">
        <v>40</v>
      </c>
      <c r="D11095" t="s">
        <v>41</v>
      </c>
      <c r="E11095" s="6">
        <v>-28554</v>
      </c>
      <c r="F11095" t="s">
        <v>433</v>
      </c>
      <c r="G11095" t="s">
        <v>18539</v>
      </c>
      <c r="H11095" t="s">
        <v>21</v>
      </c>
      <c r="I11095" t="s">
        <v>21526</v>
      </c>
      <c r="J11095" t="str">
        <f>HYPERLINK("https://www.boe.es/gazeta/dias/1821/10/26/pdfs/GMD-1821-305.pdf#page=5","Abrir facsímil")</f>
        <v>Abrir facsímil</v>
      </c>
      <c r="K11095" t="s">
        <v>23</v>
      </c>
    </row>
    <row r="11096" spans="1:11" ht="42" customHeight="1">
      <c r="A11096" t="s">
        <v>21527</v>
      </c>
      <c r="B11096" t="s">
        <v>21528</v>
      </c>
      <c r="C11096" t="s">
        <v>40</v>
      </c>
      <c r="D11096" t="s">
        <v>41</v>
      </c>
      <c r="E11096" s="6">
        <v>-28564</v>
      </c>
      <c r="F11096" t="s">
        <v>861</v>
      </c>
      <c r="G11096" t="s">
        <v>162</v>
      </c>
      <c r="H11096" t="s">
        <v>21</v>
      </c>
      <c r="I11096" t="s">
        <v>21529</v>
      </c>
      <c r="J11096" t="str">
        <f>HYPERLINK("https://www.boe.es/gazeta/dias/1821/10/16/pdfs/GMD-1821-295.pdf#page=5","Abrir facsímil")</f>
        <v>Abrir facsímil</v>
      </c>
      <c r="K11096" t="s">
        <v>23</v>
      </c>
    </row>
    <row r="11097" spans="1:11" ht="42" customHeight="1">
      <c r="A11097" t="s">
        <v>21530</v>
      </c>
      <c r="B11097" t="s">
        <v>21530</v>
      </c>
      <c r="C11097" t="s">
        <v>40</v>
      </c>
      <c r="D11097" t="s">
        <v>41</v>
      </c>
      <c r="E11097" s="6">
        <v>-28844</v>
      </c>
      <c r="F11097" t="s">
        <v>1743</v>
      </c>
      <c r="G11097" t="s">
        <v>20</v>
      </c>
      <c r="H11097" t="s">
        <v>21</v>
      </c>
      <c r="I11097" t="s">
        <v>21531</v>
      </c>
      <c r="J11097" t="str">
        <f>HYPERLINK("https://www.boe.es/gazeta/dias/1821/01/09/pdfs/GGB-1821-9.pdf#page=3","Abrir facsímil")</f>
        <v>Abrir facsímil</v>
      </c>
      <c r="K11097" t="s">
        <v>23</v>
      </c>
    </row>
    <row r="11098" spans="1:11" ht="42" customHeight="1">
      <c r="A11098" t="s">
        <v>21532</v>
      </c>
      <c r="B11098" t="s">
        <v>21532</v>
      </c>
      <c r="C11098" t="s">
        <v>17</v>
      </c>
      <c r="D11098" t="s">
        <v>18</v>
      </c>
      <c r="E11098" s="6">
        <v>-28519</v>
      </c>
      <c r="F11098" t="s">
        <v>880</v>
      </c>
      <c r="G11098" t="s">
        <v>88</v>
      </c>
      <c r="H11098" t="s">
        <v>21</v>
      </c>
      <c r="I11098" t="s">
        <v>21533</v>
      </c>
      <c r="J11098" t="str">
        <f>HYPERLINK("https://www.boe.es/gazeta/dias/1821/11/30/pdfs/GMD-1821-342.pdf#page=4","Abrir facsímil")</f>
        <v>Abrir facsímil</v>
      </c>
      <c r="K11098" t="s">
        <v>23</v>
      </c>
    </row>
    <row r="11099" spans="1:11" ht="42" customHeight="1">
      <c r="A11099" t="s">
        <v>21534</v>
      </c>
      <c r="B11099" t="s">
        <v>21534</v>
      </c>
      <c r="C11099" t="s">
        <v>70</v>
      </c>
      <c r="D11099" t="s">
        <v>27</v>
      </c>
      <c r="E11099" s="6">
        <v>-28759</v>
      </c>
      <c r="F11099" t="s">
        <v>71</v>
      </c>
      <c r="G11099" t="s">
        <v>52</v>
      </c>
      <c r="H11099" t="s">
        <v>21</v>
      </c>
      <c r="I11099" t="s">
        <v>21535</v>
      </c>
      <c r="J11099" t="str">
        <f>HYPERLINK("https://www.boe.es/gazeta/dias/1821/04/04/pdfs/GMD-1821-96.pdf#page=2","Abrir facsímil")</f>
        <v>Abrir facsímil</v>
      </c>
      <c r="K11099" t="s">
        <v>23</v>
      </c>
    </row>
    <row r="11100" spans="1:11" ht="42" customHeight="1">
      <c r="A11100" t="s">
        <v>21534</v>
      </c>
      <c r="B11100" t="s">
        <v>21534</v>
      </c>
      <c r="C11100" t="s">
        <v>40</v>
      </c>
      <c r="D11100" t="s">
        <v>41</v>
      </c>
      <c r="E11100" s="6">
        <v>-28677</v>
      </c>
      <c r="F11100" t="s">
        <v>361</v>
      </c>
      <c r="G11100" t="s">
        <v>20</v>
      </c>
      <c r="H11100" t="s">
        <v>21</v>
      </c>
      <c r="I11100" t="s">
        <v>21536</v>
      </c>
      <c r="J11100" t="str">
        <f>HYPERLINK("https://www.boe.es/gazeta/dias/1821/06/25/pdfs/GMD-1821-178.pdf#page=3","Abrir facsímil")</f>
        <v>Abrir facsímil</v>
      </c>
      <c r="K11100" t="s">
        <v>23</v>
      </c>
    </row>
    <row r="11101" spans="1:11" ht="42" customHeight="1">
      <c r="A11101" t="s">
        <v>21537</v>
      </c>
      <c r="B11101" t="s">
        <v>21537</v>
      </c>
      <c r="C11101" t="s">
        <v>17</v>
      </c>
      <c r="D11101" t="s">
        <v>18</v>
      </c>
      <c r="E11101" s="6">
        <v>-28745</v>
      </c>
      <c r="F11101" t="s">
        <v>1020</v>
      </c>
      <c r="G11101" t="s">
        <v>20</v>
      </c>
      <c r="H11101" t="s">
        <v>21</v>
      </c>
      <c r="I11101" t="s">
        <v>21538</v>
      </c>
      <c r="J11101" t="str">
        <f>HYPERLINK("https://www.boe.es/gazeta/dias/1821/04/18/pdfs/GMD-1821-110.pdf#page=3","Abrir facsímil")</f>
        <v>Abrir facsímil</v>
      </c>
      <c r="K11101" t="s">
        <v>23</v>
      </c>
    </row>
    <row r="11102" spans="1:11" ht="42" customHeight="1">
      <c r="A11102" t="s">
        <v>21537</v>
      </c>
      <c r="B11102" t="s">
        <v>21537</v>
      </c>
      <c r="C11102" t="s">
        <v>40</v>
      </c>
      <c r="D11102" t="s">
        <v>41</v>
      </c>
      <c r="E11102" s="6">
        <v>-28740</v>
      </c>
      <c r="F11102" t="s">
        <v>2800</v>
      </c>
      <c r="G11102" t="s">
        <v>52</v>
      </c>
      <c r="H11102" t="s">
        <v>21</v>
      </c>
      <c r="I11102" t="s">
        <v>21539</v>
      </c>
      <c r="J11102" t="str">
        <f>HYPERLINK("https://www.boe.es/gazeta/dias/1821/04/23/pdfs/GMD-1821-115.pdf#page=2","Abrir facsímil")</f>
        <v>Abrir facsímil</v>
      </c>
      <c r="K11102" t="s">
        <v>23</v>
      </c>
    </row>
    <row r="11103" spans="1:11" ht="42" customHeight="1">
      <c r="A11103" t="s">
        <v>21537</v>
      </c>
      <c r="B11103" t="s">
        <v>21537</v>
      </c>
      <c r="C11103" t="s">
        <v>40</v>
      </c>
      <c r="D11103" t="s">
        <v>41</v>
      </c>
      <c r="E11103" s="6">
        <v>-28740</v>
      </c>
      <c r="F11103" t="s">
        <v>2800</v>
      </c>
      <c r="G11103" t="s">
        <v>20</v>
      </c>
      <c r="H11103" t="s">
        <v>21</v>
      </c>
      <c r="I11103" t="s">
        <v>21540</v>
      </c>
      <c r="J11103" t="str">
        <f>HYPERLINK("https://www.boe.es/gazeta/dias/1821/04/23/pdfs/GMD-1821-115.pdf#page=3","Abrir facsímil")</f>
        <v>Abrir facsímil</v>
      </c>
      <c r="K11103" t="s">
        <v>23</v>
      </c>
    </row>
    <row r="11104" spans="1:11" ht="42" customHeight="1">
      <c r="A11104" t="s">
        <v>21537</v>
      </c>
      <c r="B11104" t="s">
        <v>21537</v>
      </c>
      <c r="C11104" t="s">
        <v>40</v>
      </c>
      <c r="D11104" t="s">
        <v>41</v>
      </c>
      <c r="E11104" s="6">
        <v>-28722</v>
      </c>
      <c r="F11104" t="s">
        <v>623</v>
      </c>
      <c r="G11104" t="s">
        <v>20</v>
      </c>
      <c r="H11104" t="s">
        <v>21</v>
      </c>
      <c r="I11104" t="s">
        <v>21541</v>
      </c>
      <c r="J11104" t="str">
        <f>HYPERLINK("https://www.boe.es/gazeta/dias/1821/05/11/pdfs/GMD-1821-133.pdf#page=3","Abrir facsímil")</f>
        <v>Abrir facsímil</v>
      </c>
      <c r="K11104" t="s">
        <v>23</v>
      </c>
    </row>
    <row r="11105" spans="1:11" ht="42" customHeight="1">
      <c r="A11105" t="s">
        <v>21537</v>
      </c>
      <c r="B11105" t="s">
        <v>21537</v>
      </c>
      <c r="C11105" t="s">
        <v>26</v>
      </c>
      <c r="D11105" t="s">
        <v>27</v>
      </c>
      <c r="E11105" s="6">
        <v>-28580</v>
      </c>
      <c r="F11105" t="s">
        <v>175</v>
      </c>
      <c r="G11105" t="s">
        <v>20</v>
      </c>
      <c r="H11105" t="s">
        <v>21</v>
      </c>
      <c r="I11105" t="s">
        <v>21542</v>
      </c>
      <c r="J11105" t="str">
        <f>HYPERLINK("https://www.boe.es/gazeta/dias/1821/09/30/pdfs/GMD-1821-279.pdf#page=3","Abrir facsímil")</f>
        <v>Abrir facsímil</v>
      </c>
      <c r="K11105" t="s">
        <v>23</v>
      </c>
    </row>
    <row r="11106" spans="1:11" ht="42" customHeight="1">
      <c r="A11106" t="s">
        <v>21537</v>
      </c>
      <c r="B11106" t="s">
        <v>21537</v>
      </c>
      <c r="C11106" t="s">
        <v>17</v>
      </c>
      <c r="D11106" t="s">
        <v>18</v>
      </c>
      <c r="E11106" s="6">
        <v>-28579</v>
      </c>
      <c r="F11106" t="s">
        <v>743</v>
      </c>
      <c r="G11106" t="s">
        <v>7128</v>
      </c>
      <c r="H11106" t="s">
        <v>21</v>
      </c>
      <c r="I11106" t="s">
        <v>21543</v>
      </c>
      <c r="J11106" t="str">
        <f>HYPERLINK("https://www.boe.es/gazeta/dias/1821/10/01/pdfs/GMD-1821-280.pdf#page=3","Abrir facsímil")</f>
        <v>Abrir facsímil</v>
      </c>
      <c r="K11106" t="s">
        <v>23</v>
      </c>
    </row>
    <row r="11107" spans="1:11" ht="42" customHeight="1">
      <c r="A11107" t="s">
        <v>21537</v>
      </c>
      <c r="B11107" t="s">
        <v>21537</v>
      </c>
      <c r="C11107" t="s">
        <v>17</v>
      </c>
      <c r="D11107" t="s">
        <v>18</v>
      </c>
      <c r="E11107" s="6">
        <v>-28578</v>
      </c>
      <c r="F11107" t="s">
        <v>899</v>
      </c>
      <c r="G11107" t="s">
        <v>20</v>
      </c>
      <c r="H11107" t="s">
        <v>21</v>
      </c>
      <c r="I11107" t="s">
        <v>21544</v>
      </c>
      <c r="J11107" t="str">
        <f>HYPERLINK("https://www.boe.es/gazeta/dias/1821/10/02/pdfs/GMD-1821-281.pdf#page=3","Abrir facsímil")</f>
        <v>Abrir facsímil</v>
      </c>
      <c r="K11107" t="s">
        <v>23</v>
      </c>
    </row>
    <row r="11108" spans="1:11" ht="42" customHeight="1">
      <c r="A11108" t="s">
        <v>21537</v>
      </c>
      <c r="B11108" t="s">
        <v>21537</v>
      </c>
      <c r="C11108" t="s">
        <v>26</v>
      </c>
      <c r="D11108" t="s">
        <v>27</v>
      </c>
      <c r="E11108" s="6">
        <v>-28576</v>
      </c>
      <c r="F11108" t="s">
        <v>1924</v>
      </c>
      <c r="G11108" t="s">
        <v>52</v>
      </c>
      <c r="H11108" t="s">
        <v>21</v>
      </c>
      <c r="I11108" t="s">
        <v>21545</v>
      </c>
      <c r="J11108" t="str">
        <f>HYPERLINK("https://www.boe.es/gazeta/dias/1821/10/04/pdfs/GMD-1821-283.pdf#page=2","Abrir facsímil")</f>
        <v>Abrir facsímil</v>
      </c>
      <c r="K11108" t="s">
        <v>23</v>
      </c>
    </row>
    <row r="11109" spans="1:11" ht="42" customHeight="1">
      <c r="A11109" t="s">
        <v>21537</v>
      </c>
      <c r="B11109" t="s">
        <v>21537</v>
      </c>
      <c r="C11109" t="s">
        <v>17</v>
      </c>
      <c r="D11109" t="s">
        <v>18</v>
      </c>
      <c r="E11109" s="6">
        <v>-28575</v>
      </c>
      <c r="F11109" t="s">
        <v>2453</v>
      </c>
      <c r="G11109" t="s">
        <v>20</v>
      </c>
      <c r="H11109" t="s">
        <v>21</v>
      </c>
      <c r="I11109" t="s">
        <v>21546</v>
      </c>
      <c r="J11109" t="str">
        <f>HYPERLINK("https://www.boe.es/gazeta/dias/1821/10/05/pdfs/GMD-1821-284.pdf#page=3","Abrir facsímil")</f>
        <v>Abrir facsímil</v>
      </c>
      <c r="K11109" t="s">
        <v>23</v>
      </c>
    </row>
    <row r="11110" spans="1:11" ht="42" customHeight="1">
      <c r="A11110" t="s">
        <v>21537</v>
      </c>
      <c r="B11110" t="s">
        <v>21537</v>
      </c>
      <c r="C11110" t="s">
        <v>174</v>
      </c>
      <c r="D11110" t="s">
        <v>27</v>
      </c>
      <c r="E11110" s="6">
        <v>-28575</v>
      </c>
      <c r="F11110" t="s">
        <v>2453</v>
      </c>
      <c r="G11110" t="s">
        <v>88</v>
      </c>
      <c r="H11110" t="s">
        <v>21</v>
      </c>
      <c r="I11110" t="s">
        <v>21547</v>
      </c>
      <c r="J11110" t="str">
        <f>HYPERLINK("https://www.boe.es/gazeta/dias/1821/10/05/pdfs/GMD-1821-284.pdf#page=4","Abrir facsímil")</f>
        <v>Abrir facsímil</v>
      </c>
      <c r="K11110" t="s">
        <v>23</v>
      </c>
    </row>
    <row r="11111" spans="1:11" ht="42" customHeight="1">
      <c r="A11111" t="s">
        <v>21537</v>
      </c>
      <c r="B11111" t="s">
        <v>21537</v>
      </c>
      <c r="C11111" t="s">
        <v>17</v>
      </c>
      <c r="D11111" t="s">
        <v>18</v>
      </c>
      <c r="E11111" s="6">
        <v>-28573</v>
      </c>
      <c r="F11111" t="s">
        <v>19</v>
      </c>
      <c r="G11111" t="s">
        <v>20</v>
      </c>
      <c r="H11111" t="s">
        <v>21</v>
      </c>
      <c r="I11111" t="s">
        <v>21548</v>
      </c>
      <c r="J11111" t="str">
        <f>HYPERLINK("https://www.boe.es/gazeta/dias/1821/10/07/pdfs/GMD-1821-286.pdf#page=3","Abrir facsímil")</f>
        <v>Abrir facsímil</v>
      </c>
      <c r="K11111" t="s">
        <v>23</v>
      </c>
    </row>
    <row r="11112" spans="1:11" ht="42" customHeight="1">
      <c r="A11112" t="s">
        <v>21537</v>
      </c>
      <c r="B11112" t="s">
        <v>21537</v>
      </c>
      <c r="C11112" t="s">
        <v>35</v>
      </c>
      <c r="D11112" t="s">
        <v>27</v>
      </c>
      <c r="E11112" s="6">
        <v>-28572</v>
      </c>
      <c r="F11112" t="s">
        <v>1072</v>
      </c>
      <c r="G11112" t="s">
        <v>20</v>
      </c>
      <c r="H11112" t="s">
        <v>21</v>
      </c>
      <c r="I11112" t="s">
        <v>21549</v>
      </c>
      <c r="J11112" t="str">
        <f>HYPERLINK("https://www.boe.es/gazeta/dias/1821/10/08/pdfs/GMD-1821-287.pdf#page=3","Abrir facsímil")</f>
        <v>Abrir facsímil</v>
      </c>
      <c r="K11112" t="s">
        <v>23</v>
      </c>
    </row>
    <row r="11113" spans="1:11" ht="42" customHeight="1">
      <c r="A11113" t="s">
        <v>21537</v>
      </c>
      <c r="B11113" t="s">
        <v>21537</v>
      </c>
      <c r="C11113" t="s">
        <v>40</v>
      </c>
      <c r="D11113" t="s">
        <v>41</v>
      </c>
      <c r="E11113" s="6">
        <v>-28572</v>
      </c>
      <c r="F11113" t="s">
        <v>1072</v>
      </c>
      <c r="G11113" t="s">
        <v>88</v>
      </c>
      <c r="H11113" t="s">
        <v>21</v>
      </c>
      <c r="I11113" t="s">
        <v>21550</v>
      </c>
      <c r="J11113" t="str">
        <f>HYPERLINK("https://www.boe.es/gazeta/dias/1821/10/08/pdfs/GMD-1821-287.pdf#page=4","Abrir facsímil")</f>
        <v>Abrir facsímil</v>
      </c>
      <c r="K11113" t="s">
        <v>23</v>
      </c>
    </row>
    <row r="11114" spans="1:11" ht="42" customHeight="1">
      <c r="A11114" t="s">
        <v>21537</v>
      </c>
      <c r="B11114" t="s">
        <v>21537</v>
      </c>
      <c r="C11114" t="s">
        <v>114</v>
      </c>
      <c r="D11114" t="s">
        <v>27</v>
      </c>
      <c r="E11114" s="6">
        <v>-28569</v>
      </c>
      <c r="F11114" t="s">
        <v>512</v>
      </c>
      <c r="G11114" t="s">
        <v>162</v>
      </c>
      <c r="H11114" t="s">
        <v>21</v>
      </c>
      <c r="I11114" t="s">
        <v>21551</v>
      </c>
      <c r="J11114" t="str">
        <f>HYPERLINK("https://www.boe.es/gazeta/dias/1821/10/11/pdfs/GMD-1821-290.pdf#page=5","Abrir facsímil")</f>
        <v>Abrir facsímil</v>
      </c>
      <c r="K11114" t="s">
        <v>23</v>
      </c>
    </row>
    <row r="11115" spans="1:11" ht="42" customHeight="1">
      <c r="A11115" t="s">
        <v>21537</v>
      </c>
      <c r="B11115" t="s">
        <v>21537</v>
      </c>
      <c r="C11115" t="s">
        <v>26</v>
      </c>
      <c r="D11115" t="s">
        <v>27</v>
      </c>
      <c r="E11115" s="6">
        <v>-28564</v>
      </c>
      <c r="F11115" t="s">
        <v>861</v>
      </c>
      <c r="G11115" t="s">
        <v>20</v>
      </c>
      <c r="H11115" t="s">
        <v>21</v>
      </c>
      <c r="I11115" t="s">
        <v>21552</v>
      </c>
      <c r="J11115" t="str">
        <f>HYPERLINK("https://www.boe.es/gazeta/dias/1821/10/16/pdfs/GMD-1821-295.pdf#page=3","Abrir facsímil")</f>
        <v>Abrir facsímil</v>
      </c>
      <c r="K11115" t="s">
        <v>23</v>
      </c>
    </row>
    <row r="11116" spans="1:11" ht="42" customHeight="1">
      <c r="A11116" t="s">
        <v>21537</v>
      </c>
      <c r="B11116" t="s">
        <v>21537</v>
      </c>
      <c r="C11116" t="s">
        <v>114</v>
      </c>
      <c r="D11116" t="s">
        <v>27</v>
      </c>
      <c r="E11116" s="6">
        <v>-28564</v>
      </c>
      <c r="F11116" t="s">
        <v>861</v>
      </c>
      <c r="G11116" t="s">
        <v>88</v>
      </c>
      <c r="H11116" t="s">
        <v>21</v>
      </c>
      <c r="I11116" t="s">
        <v>21553</v>
      </c>
      <c r="J11116" t="str">
        <f>HYPERLINK("https://www.boe.es/gazeta/dias/1821/10/16/pdfs/GMD-1821-295.pdf#page=4","Abrir facsímil")</f>
        <v>Abrir facsímil</v>
      </c>
      <c r="K11116" t="s">
        <v>23</v>
      </c>
    </row>
    <row r="11117" spans="1:11" ht="42" customHeight="1">
      <c r="A11117" t="s">
        <v>21537</v>
      </c>
      <c r="B11117" t="s">
        <v>21537</v>
      </c>
      <c r="C11117" t="s">
        <v>35</v>
      </c>
      <c r="D11117" t="s">
        <v>27</v>
      </c>
      <c r="E11117" s="6">
        <v>-28561</v>
      </c>
      <c r="F11117" t="s">
        <v>240</v>
      </c>
      <c r="G11117" t="s">
        <v>29</v>
      </c>
      <c r="H11117" t="s">
        <v>21</v>
      </c>
      <c r="I11117" t="s">
        <v>21554</v>
      </c>
      <c r="J11117" t="str">
        <f>HYPERLINK("https://www.boe.es/gazeta/dias/1821/10/19/pdfs/GMD-1821-298.pdf#page=6","Abrir facsímil")</f>
        <v>Abrir facsímil</v>
      </c>
      <c r="K11117" t="s">
        <v>23</v>
      </c>
    </row>
    <row r="11118" spans="1:11" ht="42" customHeight="1">
      <c r="A11118" t="s">
        <v>21537</v>
      </c>
      <c r="B11118" t="s">
        <v>21537</v>
      </c>
      <c r="C11118" t="s">
        <v>35</v>
      </c>
      <c r="D11118" t="s">
        <v>27</v>
      </c>
      <c r="E11118" s="6">
        <v>-28559</v>
      </c>
      <c r="F11118" t="s">
        <v>1078</v>
      </c>
      <c r="G11118" t="s">
        <v>162</v>
      </c>
      <c r="H11118" t="s">
        <v>21</v>
      </c>
      <c r="I11118" t="s">
        <v>21555</v>
      </c>
      <c r="J11118" t="str">
        <f>HYPERLINK("https://www.boe.es/gazeta/dias/1821/10/21/pdfs/GMD-1821-300.pdf#page=5","Abrir facsímil")</f>
        <v>Abrir facsímil</v>
      </c>
      <c r="K11118" t="s">
        <v>23</v>
      </c>
    </row>
    <row r="11119" spans="1:11" ht="42" customHeight="1">
      <c r="A11119" t="s">
        <v>21537</v>
      </c>
      <c r="B11119" t="s">
        <v>21537</v>
      </c>
      <c r="C11119" t="s">
        <v>35</v>
      </c>
      <c r="D11119" t="s">
        <v>27</v>
      </c>
      <c r="E11119" s="6">
        <v>-28558</v>
      </c>
      <c r="F11119" t="s">
        <v>758</v>
      </c>
      <c r="G11119" t="s">
        <v>20</v>
      </c>
      <c r="H11119" t="s">
        <v>21</v>
      </c>
      <c r="I11119" t="s">
        <v>21556</v>
      </c>
      <c r="J11119" t="str">
        <f>HYPERLINK("https://www.boe.es/gazeta/dias/1821/10/22/pdfs/GMD-1821-301.pdf#page=3","Abrir facsímil")</f>
        <v>Abrir facsímil</v>
      </c>
      <c r="K11119" t="s">
        <v>23</v>
      </c>
    </row>
    <row r="11120" spans="1:11" ht="42" customHeight="1">
      <c r="A11120" t="s">
        <v>21537</v>
      </c>
      <c r="B11120" t="s">
        <v>21537</v>
      </c>
      <c r="C11120" t="s">
        <v>174</v>
      </c>
      <c r="D11120" t="s">
        <v>27</v>
      </c>
      <c r="E11120" s="6">
        <v>-28492</v>
      </c>
      <c r="F11120" t="s">
        <v>1550</v>
      </c>
      <c r="G11120" t="s">
        <v>20</v>
      </c>
      <c r="H11120" t="s">
        <v>21</v>
      </c>
      <c r="I11120" t="s">
        <v>21557</v>
      </c>
      <c r="J11120" t="str">
        <f>HYPERLINK("https://www.boe.es/gazeta/dias/1821/12/27/pdfs/GMD-1821-370.pdf#page=3","Abrir facsímil")</f>
        <v>Abrir facsímil</v>
      </c>
      <c r="K11120" t="s">
        <v>23</v>
      </c>
    </row>
    <row r="11121" spans="1:11" ht="42" customHeight="1">
      <c r="A11121" t="s">
        <v>21537</v>
      </c>
      <c r="B11121" t="s">
        <v>21537</v>
      </c>
      <c r="C11121" t="s">
        <v>40</v>
      </c>
      <c r="D11121" t="s">
        <v>41</v>
      </c>
      <c r="E11121" s="6">
        <v>-28491</v>
      </c>
      <c r="F11121" t="s">
        <v>573</v>
      </c>
      <c r="G11121" t="s">
        <v>20</v>
      </c>
      <c r="H11121" t="s">
        <v>21</v>
      </c>
      <c r="I11121" t="s">
        <v>21558</v>
      </c>
      <c r="J11121" t="str">
        <f>HYPERLINK("https://www.boe.es/gazeta/dias/1821/12/28/pdfs/GMD-1821-371.pdf#page=3","Abrir facsímil")</f>
        <v>Abrir facsímil</v>
      </c>
      <c r="K11121" t="s">
        <v>23</v>
      </c>
    </row>
    <row r="11122" spans="1:11" ht="42" customHeight="1">
      <c r="A11122" t="s">
        <v>21537</v>
      </c>
      <c r="B11122" t="s">
        <v>21537</v>
      </c>
      <c r="C11122" t="s">
        <v>70</v>
      </c>
      <c r="D11122" t="s">
        <v>27</v>
      </c>
      <c r="E11122" s="6">
        <v>-28490</v>
      </c>
      <c r="F11122" t="s">
        <v>801</v>
      </c>
      <c r="G11122" t="s">
        <v>802</v>
      </c>
      <c r="H11122" t="s">
        <v>21</v>
      </c>
      <c r="I11122" t="s">
        <v>21559</v>
      </c>
      <c r="J11122" t="str">
        <f>HYPERLINK("https://www.boe.es/gazeta/dias/1821/12/29/pdfs/GMD-1821-372.pdf#page=3","Abrir facsímil")</f>
        <v>Abrir facsímil</v>
      </c>
      <c r="K11122" t="s">
        <v>23</v>
      </c>
    </row>
    <row r="11123" spans="1:11" ht="42" customHeight="1">
      <c r="A11123" t="s">
        <v>21537</v>
      </c>
      <c r="B11123" t="s">
        <v>21537</v>
      </c>
      <c r="C11123" t="s">
        <v>17</v>
      </c>
      <c r="D11123" t="s">
        <v>18</v>
      </c>
      <c r="E11123" s="6">
        <v>-28490</v>
      </c>
      <c r="F11123" t="s">
        <v>801</v>
      </c>
      <c r="G11123" t="s">
        <v>52</v>
      </c>
      <c r="H11123" t="s">
        <v>21</v>
      </c>
      <c r="I11123" t="s">
        <v>21560</v>
      </c>
      <c r="J11123" t="str">
        <f>HYPERLINK("https://www.boe.es/gazeta/dias/1821/12/29/pdfs/GMD-1821-372.pdf#page=2","Abrir facsímil")</f>
        <v>Abrir facsímil</v>
      </c>
      <c r="K11123" t="s">
        <v>23</v>
      </c>
    </row>
    <row r="11124" spans="1:11" ht="42" customHeight="1">
      <c r="A11124" t="s">
        <v>21537</v>
      </c>
      <c r="B11124" t="s">
        <v>21537</v>
      </c>
      <c r="C11124" t="s">
        <v>17</v>
      </c>
      <c r="D11124" t="s">
        <v>18</v>
      </c>
      <c r="E11124" s="6">
        <v>-28489</v>
      </c>
      <c r="F11124" t="s">
        <v>3894</v>
      </c>
      <c r="G11124" t="s">
        <v>52</v>
      </c>
      <c r="H11124" t="s">
        <v>21</v>
      </c>
      <c r="I11124" t="s">
        <v>21561</v>
      </c>
      <c r="J11124" t="str">
        <f>HYPERLINK("https://www.boe.es/gazeta/dias/1821/12/30/pdfs/GMD-1821-373.pdf#page=2","Abrir facsímil")</f>
        <v>Abrir facsímil</v>
      </c>
      <c r="K11124" t="s">
        <v>23</v>
      </c>
    </row>
    <row r="11125" spans="1:11" ht="42" customHeight="1">
      <c r="A11125" t="s">
        <v>21562</v>
      </c>
      <c r="B11125" t="s">
        <v>21563</v>
      </c>
      <c r="C11125" t="s">
        <v>17</v>
      </c>
      <c r="D11125" t="s">
        <v>18</v>
      </c>
      <c r="E11125" s="6">
        <v>-28641</v>
      </c>
      <c r="F11125" t="s">
        <v>398</v>
      </c>
      <c r="G11125" t="s">
        <v>20</v>
      </c>
      <c r="H11125" t="s">
        <v>30</v>
      </c>
      <c r="I11125" t="s">
        <v>21564</v>
      </c>
      <c r="J11125" t="str">
        <f>HYPERLINK("https://www.boe.es/gazeta/dias/1821/07/31/pdfs/GMD-1821-216.pdf#page=3","Abrir facsímil")</f>
        <v>Abrir facsímil</v>
      </c>
      <c r="K11125" t="s">
        <v>32</v>
      </c>
    </row>
    <row r="11126" spans="1:11" ht="42" customHeight="1">
      <c r="A11126" t="s">
        <v>21565</v>
      </c>
      <c r="B11126" t="s">
        <v>21566</v>
      </c>
      <c r="C11126" t="s">
        <v>40</v>
      </c>
      <c r="D11126" t="s">
        <v>41</v>
      </c>
      <c r="E11126" s="6">
        <v>-28545</v>
      </c>
      <c r="F11126" t="s">
        <v>284</v>
      </c>
      <c r="G11126" t="s">
        <v>29</v>
      </c>
      <c r="H11126" t="s">
        <v>21</v>
      </c>
      <c r="I11126" t="s">
        <v>21567</v>
      </c>
      <c r="J11126" t="str">
        <f>HYPERLINK("https://www.boe.es/gazeta/dias/1821/11/04/pdfs/GMD-1821-315.pdf#page=6","Abrir facsímil")</f>
        <v>Abrir facsímil</v>
      </c>
      <c r="K11126" t="s">
        <v>23</v>
      </c>
    </row>
    <row r="11127" spans="1:11" ht="42" customHeight="1">
      <c r="A11127" t="s">
        <v>21568</v>
      </c>
      <c r="B11127" t="s">
        <v>21569</v>
      </c>
      <c r="C11127" t="s">
        <v>35</v>
      </c>
      <c r="D11127" t="s">
        <v>27</v>
      </c>
      <c r="E11127" s="6">
        <v>-28694</v>
      </c>
      <c r="F11127" t="s">
        <v>1057</v>
      </c>
      <c r="G11127" t="s">
        <v>20</v>
      </c>
      <c r="H11127" t="s">
        <v>21</v>
      </c>
      <c r="I11127" t="s">
        <v>21570</v>
      </c>
      <c r="J11127" t="str">
        <f>HYPERLINK("https://www.boe.es/gazeta/dias/1821/06/08/pdfs/GMD-1821-161.pdf#page=3","Abrir facsímil")</f>
        <v>Abrir facsímil</v>
      </c>
      <c r="K11127" t="s">
        <v>23</v>
      </c>
    </row>
    <row r="11128" spans="1:11" ht="42" customHeight="1">
      <c r="A11128" t="s">
        <v>21571</v>
      </c>
      <c r="B11128" t="s">
        <v>21572</v>
      </c>
      <c r="C11128" t="s">
        <v>40</v>
      </c>
      <c r="D11128" t="s">
        <v>41</v>
      </c>
      <c r="E11128" s="6">
        <v>-28490</v>
      </c>
      <c r="F11128" t="s">
        <v>801</v>
      </c>
      <c r="G11128" t="s">
        <v>88</v>
      </c>
      <c r="H11128" t="s">
        <v>21</v>
      </c>
      <c r="I11128" t="s">
        <v>21573</v>
      </c>
      <c r="J11128" t="str">
        <f>HYPERLINK("https://www.boe.es/gazeta/dias/1821/12/29/pdfs/GMD-1821-372.pdf#page=4","Abrir facsímil")</f>
        <v>Abrir facsímil</v>
      </c>
      <c r="K11128" t="s">
        <v>23</v>
      </c>
    </row>
    <row r="11129" spans="1:11" ht="42" customHeight="1">
      <c r="A11129" t="s">
        <v>21574</v>
      </c>
      <c r="B11129" t="s">
        <v>21575</v>
      </c>
      <c r="C11129" t="s">
        <v>26</v>
      </c>
      <c r="D11129" t="s">
        <v>27</v>
      </c>
      <c r="E11129" s="6">
        <v>-28654</v>
      </c>
      <c r="F11129" t="s">
        <v>674</v>
      </c>
      <c r="G11129" t="s">
        <v>88</v>
      </c>
      <c r="H11129" t="s">
        <v>21</v>
      </c>
      <c r="I11129" t="s">
        <v>21576</v>
      </c>
      <c r="J11129" t="str">
        <f>HYPERLINK("https://www.boe.es/gazeta/dias/1821/07/18/pdfs/GMD-1821-203.pdf#page=4","Abrir facsímil")</f>
        <v>Abrir facsímil</v>
      </c>
      <c r="K11129" t="s">
        <v>23</v>
      </c>
    </row>
    <row r="11130" spans="1:11" ht="42" customHeight="1">
      <c r="A11130" t="s">
        <v>21577</v>
      </c>
      <c r="B11130" t="s">
        <v>21578</v>
      </c>
      <c r="C11130" t="s">
        <v>40</v>
      </c>
      <c r="D11130" t="s">
        <v>41</v>
      </c>
      <c r="E11130" s="6">
        <v>-28599</v>
      </c>
      <c r="F11130" t="s">
        <v>902</v>
      </c>
      <c r="G11130" t="s">
        <v>88</v>
      </c>
      <c r="H11130" t="s">
        <v>21</v>
      </c>
      <c r="I11130" t="s">
        <v>21579</v>
      </c>
      <c r="J11130" t="str">
        <f>HYPERLINK("https://www.boe.es/gazeta/dias/1821/09/11/pdfs/GMD-1821-259.pdf#page=4","Abrir facsímil")</f>
        <v>Abrir facsímil</v>
      </c>
      <c r="K11130" t="s">
        <v>23</v>
      </c>
    </row>
    <row r="11131" spans="1:11" ht="42" customHeight="1">
      <c r="A11131" t="s">
        <v>21577</v>
      </c>
      <c r="B11131" t="s">
        <v>21578</v>
      </c>
      <c r="C11131" t="s">
        <v>40</v>
      </c>
      <c r="D11131" t="s">
        <v>41</v>
      </c>
      <c r="E11131" s="6">
        <v>-28501</v>
      </c>
      <c r="F11131" t="s">
        <v>456</v>
      </c>
      <c r="G11131" t="s">
        <v>20</v>
      </c>
      <c r="H11131" t="s">
        <v>21</v>
      </c>
      <c r="I11131" t="s">
        <v>21580</v>
      </c>
      <c r="J11131" t="str">
        <f>HYPERLINK("https://www.boe.es/gazeta/dias/1821/12/18/pdfs/GMD-1821-361.pdf#page=3","Abrir facsímil")</f>
        <v>Abrir facsímil</v>
      </c>
      <c r="K11131" t="s">
        <v>23</v>
      </c>
    </row>
    <row r="11132" spans="1:11" ht="42" customHeight="1">
      <c r="A11132" t="s">
        <v>21581</v>
      </c>
      <c r="B11132" t="s">
        <v>21582</v>
      </c>
      <c r="C11132" t="s">
        <v>17</v>
      </c>
      <c r="D11132" t="s">
        <v>18</v>
      </c>
      <c r="E11132" s="6">
        <v>-28609</v>
      </c>
      <c r="F11132" t="s">
        <v>2184</v>
      </c>
      <c r="G11132" t="s">
        <v>88</v>
      </c>
      <c r="H11132" t="s">
        <v>21</v>
      </c>
      <c r="I11132" t="s">
        <v>21583</v>
      </c>
      <c r="J11132" t="str">
        <f>HYPERLINK("https://www.boe.es/gazeta/dias/1821/09/01/pdfs/GMD-1821-249.pdf#page=4","Abrir facsímil")</f>
        <v>Abrir facsímil</v>
      </c>
      <c r="K11132" t="s">
        <v>23</v>
      </c>
    </row>
    <row r="11133" spans="1:11" ht="42" customHeight="1">
      <c r="A11133" t="s">
        <v>21584</v>
      </c>
      <c r="B11133" t="s">
        <v>21585</v>
      </c>
      <c r="C11133" t="s">
        <v>26</v>
      </c>
      <c r="D11133" t="s">
        <v>27</v>
      </c>
      <c r="E11133" s="6">
        <v>-28547</v>
      </c>
      <c r="F11133" t="s">
        <v>247</v>
      </c>
      <c r="G11133" t="s">
        <v>248</v>
      </c>
      <c r="H11133" t="s">
        <v>21</v>
      </c>
      <c r="I11133" t="s">
        <v>21586</v>
      </c>
      <c r="J11133" t="str">
        <f>HYPERLINK("https://www.boe.es/gazeta/dias/1821/11/02/pdfs/GMD-1821-312.pdf#page=2","Abrir facsímil")</f>
        <v>Abrir facsímil</v>
      </c>
      <c r="K11133" t="s">
        <v>23</v>
      </c>
    </row>
    <row r="11134" spans="1:11" ht="42" customHeight="1">
      <c r="A11134" t="s">
        <v>21587</v>
      </c>
      <c r="B11134" t="s">
        <v>21588</v>
      </c>
      <c r="C11134" t="s">
        <v>17</v>
      </c>
      <c r="D11134" t="s">
        <v>18</v>
      </c>
      <c r="E11134" s="6">
        <v>-28539</v>
      </c>
      <c r="F11134" t="s">
        <v>153</v>
      </c>
      <c r="G11134" t="s">
        <v>52</v>
      </c>
      <c r="H11134" t="s">
        <v>21</v>
      </c>
      <c r="I11134" t="s">
        <v>21589</v>
      </c>
      <c r="J11134" t="str">
        <f>HYPERLINK("https://www.boe.es/gazeta/dias/1821/11/10/pdfs/GMD-1821-321.pdf#page=2","Abrir facsímil")</f>
        <v>Abrir facsímil</v>
      </c>
      <c r="K11134" t="s">
        <v>23</v>
      </c>
    </row>
    <row r="11135" spans="1:11" ht="42" customHeight="1">
      <c r="A11135" t="s">
        <v>21590</v>
      </c>
      <c r="B11135" t="s">
        <v>21591</v>
      </c>
      <c r="C11135" t="s">
        <v>40</v>
      </c>
      <c r="D11135" t="s">
        <v>41</v>
      </c>
      <c r="E11135" s="6">
        <v>-28667</v>
      </c>
      <c r="F11135" t="s">
        <v>107</v>
      </c>
      <c r="G11135" t="s">
        <v>52</v>
      </c>
      <c r="H11135" t="s">
        <v>21</v>
      </c>
      <c r="I11135" t="s">
        <v>21592</v>
      </c>
      <c r="J11135" t="str">
        <f>HYPERLINK("https://www.boe.es/gazeta/dias/1821/07/05/pdfs/GMD-1821-189.pdf#page=2","Abrir facsímil")</f>
        <v>Abrir facsímil</v>
      </c>
      <c r="K11135" t="s">
        <v>23</v>
      </c>
    </row>
    <row r="11136" spans="1:11" ht="42" customHeight="1">
      <c r="A11136" t="s">
        <v>21593</v>
      </c>
      <c r="B11136" t="s">
        <v>21594</v>
      </c>
      <c r="C11136" t="s">
        <v>40</v>
      </c>
      <c r="D11136" t="s">
        <v>41</v>
      </c>
      <c r="E11136" s="6">
        <v>-28728</v>
      </c>
      <c r="F11136" t="s">
        <v>1038</v>
      </c>
      <c r="G11136" t="s">
        <v>88</v>
      </c>
      <c r="H11136" t="s">
        <v>21</v>
      </c>
      <c r="I11136" t="s">
        <v>21595</v>
      </c>
      <c r="J11136" t="str">
        <f>HYPERLINK("https://www.boe.es/gazeta/dias/1821/05/05/pdfs/GMD-1821-127.pdf#page=4","Abrir facsímil")</f>
        <v>Abrir facsímil</v>
      </c>
      <c r="K11136" t="s">
        <v>23</v>
      </c>
    </row>
    <row r="11137" spans="1:11" ht="42" customHeight="1">
      <c r="A11137" t="s">
        <v>21596</v>
      </c>
      <c r="B11137" t="s">
        <v>21597</v>
      </c>
      <c r="C11137" t="s">
        <v>26</v>
      </c>
      <c r="D11137" t="s">
        <v>27</v>
      </c>
      <c r="E11137" s="6">
        <v>-28496</v>
      </c>
      <c r="F11137" t="s">
        <v>785</v>
      </c>
      <c r="G11137" t="s">
        <v>52</v>
      </c>
      <c r="H11137" t="s">
        <v>21</v>
      </c>
      <c r="I11137" t="s">
        <v>21598</v>
      </c>
      <c r="J11137" t="str">
        <f>HYPERLINK("https://www.boe.es/gazeta/dias/1821/12/23/pdfs/GMD-1821-366.pdf#page=2","Abrir facsímil")</f>
        <v>Abrir facsímil</v>
      </c>
      <c r="K11137" t="s">
        <v>23</v>
      </c>
    </row>
    <row r="11138" spans="1:11" ht="42" customHeight="1">
      <c r="A11138" t="s">
        <v>21599</v>
      </c>
      <c r="B11138" t="s">
        <v>21600</v>
      </c>
      <c r="C11138" t="s">
        <v>114</v>
      </c>
      <c r="D11138" t="s">
        <v>27</v>
      </c>
      <c r="E11138" s="6">
        <v>-28578</v>
      </c>
      <c r="F11138" t="s">
        <v>899</v>
      </c>
      <c r="G11138" t="s">
        <v>52</v>
      </c>
      <c r="H11138" t="s">
        <v>21</v>
      </c>
      <c r="I11138" t="s">
        <v>21601</v>
      </c>
      <c r="J11138" t="str">
        <f>HYPERLINK("https://www.boe.es/gazeta/dias/1821/10/02/pdfs/GMD-1821-281.pdf#page=2","Abrir facsímil")</f>
        <v>Abrir facsímil</v>
      </c>
      <c r="K11138" t="s">
        <v>23</v>
      </c>
    </row>
    <row r="11139" spans="1:11" ht="42" customHeight="1">
      <c r="A11139" t="s">
        <v>21602</v>
      </c>
      <c r="B11139" t="s">
        <v>21603</v>
      </c>
      <c r="C11139" t="s">
        <v>279</v>
      </c>
      <c r="D11139" t="s">
        <v>27</v>
      </c>
      <c r="E11139" s="6">
        <v>-28754</v>
      </c>
      <c r="F11139" t="s">
        <v>1942</v>
      </c>
      <c r="G11139" t="s">
        <v>52</v>
      </c>
      <c r="H11139" t="s">
        <v>21</v>
      </c>
      <c r="I11139" t="s">
        <v>21604</v>
      </c>
      <c r="J11139" t="str">
        <f>HYPERLINK("https://www.boe.es/gazeta/dias/1821/04/09/pdfs/GMD-1821-101.pdf#page=2","Abrir facsímil")</f>
        <v>Abrir facsímil</v>
      </c>
      <c r="K11139" t="s">
        <v>23</v>
      </c>
    </row>
    <row r="11140" spans="1:11" ht="42" customHeight="1">
      <c r="A11140" t="s">
        <v>21605</v>
      </c>
      <c r="B11140" t="s">
        <v>21606</v>
      </c>
      <c r="C11140" t="s">
        <v>40</v>
      </c>
      <c r="D11140" t="s">
        <v>41</v>
      </c>
      <c r="E11140" s="6">
        <v>-28673</v>
      </c>
      <c r="F11140" t="s">
        <v>1069</v>
      </c>
      <c r="G11140" t="s">
        <v>88</v>
      </c>
      <c r="H11140" t="s">
        <v>21</v>
      </c>
      <c r="I11140" t="s">
        <v>21607</v>
      </c>
      <c r="J11140" t="str">
        <f>HYPERLINK("https://www.boe.es/gazeta/dias/1821/06/29/pdfs/GMD-1821-182.pdf#page=4","Abrir facsímil")</f>
        <v>Abrir facsímil</v>
      </c>
      <c r="K11140" t="s">
        <v>23</v>
      </c>
    </row>
    <row r="11141" spans="1:11" ht="42" customHeight="1">
      <c r="A11141" t="s">
        <v>21608</v>
      </c>
      <c r="B11141" t="s">
        <v>21608</v>
      </c>
      <c r="C11141" t="s">
        <v>35</v>
      </c>
      <c r="D11141" t="s">
        <v>27</v>
      </c>
      <c r="E11141" s="6">
        <v>-28781</v>
      </c>
      <c r="F11141" t="s">
        <v>149</v>
      </c>
      <c r="G11141" t="s">
        <v>88</v>
      </c>
      <c r="H11141" t="s">
        <v>21</v>
      </c>
      <c r="I11141" t="s">
        <v>21609</v>
      </c>
      <c r="J11141" t="str">
        <f>HYPERLINK("https://www.boe.es/gazeta/dias/1821/03/13/pdfs/GMD-1821-72.pdf#page=4","Abrir facsímil")</f>
        <v>Abrir facsímil</v>
      </c>
      <c r="K11141" t="s">
        <v>23</v>
      </c>
    </row>
    <row r="11142" spans="1:11" ht="42" customHeight="1">
      <c r="A11142" t="s">
        <v>21608</v>
      </c>
      <c r="B11142" t="s">
        <v>21608</v>
      </c>
      <c r="C11142" t="s">
        <v>40</v>
      </c>
      <c r="D11142" t="s">
        <v>41</v>
      </c>
      <c r="E11142" s="6">
        <v>-28765</v>
      </c>
      <c r="F11142" t="s">
        <v>974</v>
      </c>
      <c r="G11142" t="s">
        <v>52</v>
      </c>
      <c r="H11142" t="s">
        <v>21</v>
      </c>
      <c r="I11142" t="s">
        <v>21610</v>
      </c>
      <c r="J11142" t="str">
        <f>HYPERLINK("https://www.boe.es/gazeta/dias/1821/03/29/pdfs/GMD-1821-90.pdf#page=2","Abrir facsímil")</f>
        <v>Abrir facsímil</v>
      </c>
      <c r="K11142" t="s">
        <v>23</v>
      </c>
    </row>
    <row r="11143" spans="1:11" ht="42" customHeight="1">
      <c r="A11143" t="s">
        <v>21608</v>
      </c>
      <c r="B11143" t="s">
        <v>21608</v>
      </c>
      <c r="C11143" t="s">
        <v>40</v>
      </c>
      <c r="D11143" t="s">
        <v>41</v>
      </c>
      <c r="E11143" s="6">
        <v>-28762</v>
      </c>
      <c r="F11143" t="s">
        <v>608</v>
      </c>
      <c r="G11143" t="s">
        <v>162</v>
      </c>
      <c r="H11143" t="s">
        <v>21</v>
      </c>
      <c r="I11143" t="s">
        <v>21611</v>
      </c>
      <c r="J11143" t="str">
        <f>HYPERLINK("https://www.boe.es/gazeta/dias/1821/04/01/pdfs/GMD-1821-93.pdf#page=5","Abrir facsímil")</f>
        <v>Abrir facsímil</v>
      </c>
      <c r="K11143" t="s">
        <v>23</v>
      </c>
    </row>
    <row r="11144" spans="1:11" ht="42" customHeight="1">
      <c r="A11144" t="s">
        <v>21608</v>
      </c>
      <c r="B11144" t="s">
        <v>21608</v>
      </c>
      <c r="C11144" t="s">
        <v>17</v>
      </c>
      <c r="D11144" t="s">
        <v>18</v>
      </c>
      <c r="E11144" s="6">
        <v>-28757</v>
      </c>
      <c r="F11144" t="s">
        <v>472</v>
      </c>
      <c r="G11144" t="s">
        <v>52</v>
      </c>
      <c r="H11144" t="s">
        <v>21</v>
      </c>
      <c r="I11144" t="s">
        <v>21612</v>
      </c>
      <c r="J11144" t="str">
        <f>HYPERLINK("https://www.boe.es/gazeta/dias/1821/04/06/pdfs/GMD-1821-98.pdf#page=2","Abrir facsímil")</f>
        <v>Abrir facsímil</v>
      </c>
      <c r="K11144" t="s">
        <v>23</v>
      </c>
    </row>
    <row r="11145" spans="1:11" ht="42" customHeight="1">
      <c r="A11145" t="s">
        <v>21608</v>
      </c>
      <c r="B11145" t="s">
        <v>21608</v>
      </c>
      <c r="C11145" t="s">
        <v>26</v>
      </c>
      <c r="D11145" t="s">
        <v>27</v>
      </c>
      <c r="E11145" s="6">
        <v>-28754</v>
      </c>
      <c r="F11145" t="s">
        <v>1942</v>
      </c>
      <c r="G11145" t="s">
        <v>52</v>
      </c>
      <c r="H11145" t="s">
        <v>21</v>
      </c>
      <c r="I11145" t="s">
        <v>21613</v>
      </c>
      <c r="J11145" t="str">
        <f>HYPERLINK("https://www.boe.es/gazeta/dias/1821/04/09/pdfs/GMD-1821-101.pdf#page=2","Abrir facsímil")</f>
        <v>Abrir facsímil</v>
      </c>
      <c r="K11145" t="s">
        <v>23</v>
      </c>
    </row>
    <row r="11146" spans="1:11" ht="42" customHeight="1">
      <c r="A11146" t="s">
        <v>21608</v>
      </c>
      <c r="B11146" t="s">
        <v>21608</v>
      </c>
      <c r="C11146" t="s">
        <v>35</v>
      </c>
      <c r="D11146" t="s">
        <v>27</v>
      </c>
      <c r="E11146" s="6">
        <v>-28748</v>
      </c>
      <c r="F11146" t="s">
        <v>634</v>
      </c>
      <c r="G11146" t="s">
        <v>20</v>
      </c>
      <c r="H11146" t="s">
        <v>21</v>
      </c>
      <c r="I11146" t="s">
        <v>21614</v>
      </c>
      <c r="J11146" t="str">
        <f>HYPERLINK("https://www.boe.es/gazeta/dias/1821/04/15/pdfs/GMD-1821-107.pdf#page=3","Abrir facsímil")</f>
        <v>Abrir facsímil</v>
      </c>
      <c r="K11146" t="s">
        <v>23</v>
      </c>
    </row>
    <row r="11147" spans="1:11" ht="42" customHeight="1">
      <c r="A11147" t="s">
        <v>21608</v>
      </c>
      <c r="B11147" t="s">
        <v>21608</v>
      </c>
      <c r="C11147" t="s">
        <v>17</v>
      </c>
      <c r="D11147" t="s">
        <v>18</v>
      </c>
      <c r="E11147" s="6">
        <v>-28744</v>
      </c>
      <c r="F11147" t="s">
        <v>834</v>
      </c>
      <c r="G11147" t="s">
        <v>20</v>
      </c>
      <c r="H11147" t="s">
        <v>21</v>
      </c>
      <c r="I11147" t="s">
        <v>21615</v>
      </c>
      <c r="J11147" t="str">
        <f>HYPERLINK("https://www.boe.es/gazeta/dias/1821/04/19/pdfs/GMD-1821-111.pdf#page=3","Abrir facsímil")</f>
        <v>Abrir facsímil</v>
      </c>
      <c r="K11147" t="s">
        <v>23</v>
      </c>
    </row>
    <row r="11148" spans="1:11" ht="42" customHeight="1">
      <c r="A11148" t="s">
        <v>21608</v>
      </c>
      <c r="B11148" t="s">
        <v>21608</v>
      </c>
      <c r="C11148" t="s">
        <v>17</v>
      </c>
      <c r="D11148" t="s">
        <v>18</v>
      </c>
      <c r="E11148" s="6">
        <v>-28741</v>
      </c>
      <c r="F11148" t="s">
        <v>1841</v>
      </c>
      <c r="G11148" t="s">
        <v>52</v>
      </c>
      <c r="H11148" t="s">
        <v>21</v>
      </c>
      <c r="I11148" t="s">
        <v>21616</v>
      </c>
      <c r="J11148" t="str">
        <f>HYPERLINK("https://www.boe.es/gazeta/dias/1821/04/22/pdfs/GMD-1821-114.pdf#page=2","Abrir facsímil")</f>
        <v>Abrir facsímil</v>
      </c>
      <c r="K11148" t="s">
        <v>23</v>
      </c>
    </row>
    <row r="11149" spans="1:11" ht="42" customHeight="1">
      <c r="A11149" t="s">
        <v>21608</v>
      </c>
      <c r="B11149" t="s">
        <v>21608</v>
      </c>
      <c r="C11149" t="s">
        <v>26</v>
      </c>
      <c r="D11149" t="s">
        <v>27</v>
      </c>
      <c r="E11149" s="6">
        <v>-28734</v>
      </c>
      <c r="F11149" t="s">
        <v>1553</v>
      </c>
      <c r="G11149" t="s">
        <v>88</v>
      </c>
      <c r="H11149" t="s">
        <v>21</v>
      </c>
      <c r="I11149" t="s">
        <v>21617</v>
      </c>
      <c r="J11149" t="str">
        <f>HYPERLINK("https://www.boe.es/gazeta/dias/1821/04/29/pdfs/GMD-1821-121.pdf#page=4","Abrir facsímil")</f>
        <v>Abrir facsímil</v>
      </c>
      <c r="K11149" t="s">
        <v>23</v>
      </c>
    </row>
    <row r="11150" spans="1:11" ht="42" customHeight="1">
      <c r="A11150" t="s">
        <v>21608</v>
      </c>
      <c r="B11150" t="s">
        <v>21608</v>
      </c>
      <c r="C11150" t="s">
        <v>17</v>
      </c>
      <c r="D11150" t="s">
        <v>18</v>
      </c>
      <c r="E11150" s="6">
        <v>-28732</v>
      </c>
      <c r="F11150" t="s">
        <v>2628</v>
      </c>
      <c r="G11150" t="s">
        <v>52</v>
      </c>
      <c r="H11150" t="s">
        <v>21</v>
      </c>
      <c r="I11150" t="s">
        <v>21618</v>
      </c>
      <c r="J11150" t="str">
        <f>HYPERLINK("https://www.boe.es/gazeta/dias/1821/05/01/pdfs/GMD-1821-123.pdf#page=2","Abrir facsímil")</f>
        <v>Abrir facsímil</v>
      </c>
      <c r="K11150" t="s">
        <v>23</v>
      </c>
    </row>
    <row r="11151" spans="1:11" ht="42" customHeight="1">
      <c r="A11151" t="s">
        <v>21608</v>
      </c>
      <c r="B11151" t="s">
        <v>21608</v>
      </c>
      <c r="C11151" t="s">
        <v>40</v>
      </c>
      <c r="D11151" t="s">
        <v>41</v>
      </c>
      <c r="E11151" s="6">
        <v>-28723</v>
      </c>
      <c r="F11151" t="s">
        <v>840</v>
      </c>
      <c r="G11151" t="s">
        <v>52</v>
      </c>
      <c r="H11151" t="s">
        <v>21</v>
      </c>
      <c r="I11151" t="s">
        <v>21619</v>
      </c>
      <c r="J11151" t="str">
        <f>HYPERLINK("https://www.boe.es/gazeta/dias/1821/05/10/pdfs/GMD-1821-132.pdf#page=2","Abrir facsímil")</f>
        <v>Abrir facsímil</v>
      </c>
      <c r="K11151" t="s">
        <v>23</v>
      </c>
    </row>
    <row r="11152" spans="1:11" ht="42" customHeight="1">
      <c r="A11152" t="s">
        <v>21608</v>
      </c>
      <c r="B11152" t="s">
        <v>21608</v>
      </c>
      <c r="C11152" t="s">
        <v>70</v>
      </c>
      <c r="D11152" t="s">
        <v>27</v>
      </c>
      <c r="E11152" s="6">
        <v>-28718</v>
      </c>
      <c r="F11152" t="s">
        <v>583</v>
      </c>
      <c r="G11152" t="s">
        <v>52</v>
      </c>
      <c r="H11152" t="s">
        <v>21</v>
      </c>
      <c r="I11152" t="s">
        <v>21620</v>
      </c>
      <c r="J11152" t="str">
        <f>HYPERLINK("https://www.boe.es/gazeta/dias/1821/05/15/pdfs/GMD-1821-137.pdf#page=2","Abrir facsímil")</f>
        <v>Abrir facsímil</v>
      </c>
      <c r="K11152" t="s">
        <v>23</v>
      </c>
    </row>
    <row r="11153" spans="1:11" ht="42" customHeight="1">
      <c r="A11153" t="s">
        <v>21608</v>
      </c>
      <c r="B11153" t="s">
        <v>21608</v>
      </c>
      <c r="C11153" t="s">
        <v>40</v>
      </c>
      <c r="D11153" t="s">
        <v>41</v>
      </c>
      <c r="E11153" s="6">
        <v>-28713</v>
      </c>
      <c r="F11153" t="s">
        <v>1976</v>
      </c>
      <c r="G11153" t="s">
        <v>52</v>
      </c>
      <c r="H11153" t="s">
        <v>21</v>
      </c>
      <c r="I11153" t="s">
        <v>21621</v>
      </c>
      <c r="J11153" t="str">
        <f>HYPERLINK("https://www.boe.es/gazeta/dias/1821/05/20/pdfs/GMD-1821-142.pdf#page=2","Abrir facsímil")</f>
        <v>Abrir facsímil</v>
      </c>
      <c r="K11153" t="s">
        <v>23</v>
      </c>
    </row>
    <row r="11154" spans="1:11" ht="42" customHeight="1">
      <c r="A11154" t="s">
        <v>21608</v>
      </c>
      <c r="B11154" t="s">
        <v>21608</v>
      </c>
      <c r="C11154" t="s">
        <v>174</v>
      </c>
      <c r="D11154" t="s">
        <v>27</v>
      </c>
      <c r="E11154" s="6">
        <v>-28703</v>
      </c>
      <c r="F11154" t="s">
        <v>231</v>
      </c>
      <c r="G11154" t="s">
        <v>88</v>
      </c>
      <c r="H11154" t="s">
        <v>21</v>
      </c>
      <c r="I11154" t="s">
        <v>21622</v>
      </c>
      <c r="J11154" t="str">
        <f>HYPERLINK("https://www.boe.es/gazeta/dias/1821/05/30/pdfs/GMD-1821-152.pdf#page=4","Abrir facsímil")</f>
        <v>Abrir facsímil</v>
      </c>
      <c r="K11154" t="s">
        <v>23</v>
      </c>
    </row>
    <row r="11155" spans="1:11" ht="42" customHeight="1">
      <c r="A11155" t="s">
        <v>21608</v>
      </c>
      <c r="B11155" t="s">
        <v>21608</v>
      </c>
      <c r="C11155" t="s">
        <v>40</v>
      </c>
      <c r="D11155" t="s">
        <v>41</v>
      </c>
      <c r="E11155" s="6">
        <v>-28688</v>
      </c>
      <c r="F11155" t="s">
        <v>1504</v>
      </c>
      <c r="G11155" t="s">
        <v>88</v>
      </c>
      <c r="H11155" t="s">
        <v>21</v>
      </c>
      <c r="I11155" t="s">
        <v>21623</v>
      </c>
      <c r="J11155" t="str">
        <f>HYPERLINK("https://www.boe.es/gazeta/dias/1821/06/14/pdfs/GMD-1821-167.pdf#page=4","Abrir facsímil")</f>
        <v>Abrir facsímil</v>
      </c>
      <c r="K11155" t="s">
        <v>23</v>
      </c>
    </row>
    <row r="11156" spans="1:11" ht="42" customHeight="1">
      <c r="A11156" t="s">
        <v>21608</v>
      </c>
      <c r="B11156" t="s">
        <v>21608</v>
      </c>
      <c r="C11156" t="s">
        <v>174</v>
      </c>
      <c r="D11156" t="s">
        <v>27</v>
      </c>
      <c r="E11156" s="6">
        <v>-28682</v>
      </c>
      <c r="F11156" t="s">
        <v>1064</v>
      </c>
      <c r="G11156" t="s">
        <v>162</v>
      </c>
      <c r="H11156" t="s">
        <v>21</v>
      </c>
      <c r="I11156" t="s">
        <v>21624</v>
      </c>
      <c r="J11156" t="str">
        <f>HYPERLINK("https://www.boe.es/gazeta/dias/1821/06/20/pdfs/GMD-1821-173.pdf#page=5","Abrir facsímil")</f>
        <v>Abrir facsímil</v>
      </c>
      <c r="K11156" t="s">
        <v>23</v>
      </c>
    </row>
    <row r="11157" spans="1:11" ht="42" customHeight="1">
      <c r="A11157" t="s">
        <v>21608</v>
      </c>
      <c r="B11157" t="s">
        <v>21608</v>
      </c>
      <c r="C11157" t="s">
        <v>17</v>
      </c>
      <c r="D11157" t="s">
        <v>18</v>
      </c>
      <c r="E11157" s="6">
        <v>-28670</v>
      </c>
      <c r="F11157" t="s">
        <v>243</v>
      </c>
      <c r="G11157" t="s">
        <v>88</v>
      </c>
      <c r="H11157" t="s">
        <v>21</v>
      </c>
      <c r="I11157" t="s">
        <v>21625</v>
      </c>
      <c r="J11157" t="str">
        <f>HYPERLINK("https://www.boe.es/gazeta/dias/1821/07/02/pdfs/GMD-1821-186.pdf#page=4","Abrir facsímil")</f>
        <v>Abrir facsímil</v>
      </c>
      <c r="K11157" t="s">
        <v>23</v>
      </c>
    </row>
    <row r="11158" spans="1:11" ht="42" customHeight="1">
      <c r="A11158" t="s">
        <v>21608</v>
      </c>
      <c r="B11158" t="s">
        <v>21608</v>
      </c>
      <c r="C11158" t="s">
        <v>17</v>
      </c>
      <c r="D11158" t="s">
        <v>18</v>
      </c>
      <c r="E11158" s="6">
        <v>-28532</v>
      </c>
      <c r="F11158" t="s">
        <v>1415</v>
      </c>
      <c r="G11158" t="s">
        <v>29</v>
      </c>
      <c r="H11158" t="s">
        <v>21</v>
      </c>
      <c r="I11158" t="s">
        <v>21626</v>
      </c>
      <c r="J11158" t="str">
        <f>HYPERLINK("https://www.boe.es/gazeta/dias/1821/11/17/pdfs/GMD-1821-328.pdf#page=6","Abrir facsímil")</f>
        <v>Abrir facsímil</v>
      </c>
      <c r="K11158" t="s">
        <v>23</v>
      </c>
    </row>
    <row r="11159" spans="1:11" ht="42" customHeight="1">
      <c r="A11159" t="s">
        <v>21608</v>
      </c>
      <c r="B11159" t="s">
        <v>21608</v>
      </c>
      <c r="C11159" t="s">
        <v>26</v>
      </c>
      <c r="D11159" t="s">
        <v>27</v>
      </c>
      <c r="E11159" s="6">
        <v>-28520</v>
      </c>
      <c r="F11159" t="s">
        <v>878</v>
      </c>
      <c r="G11159" t="s">
        <v>20</v>
      </c>
      <c r="H11159" t="s">
        <v>21</v>
      </c>
      <c r="I11159" t="s">
        <v>21627</v>
      </c>
      <c r="J11159" t="str">
        <f>HYPERLINK("https://www.boe.es/gazeta/dias/1821/11/29/pdfs/GMD-1821-341.pdf#page=3","Abrir facsímil")</f>
        <v>Abrir facsímil</v>
      </c>
      <c r="K11159" t="s">
        <v>23</v>
      </c>
    </row>
    <row r="11160" spans="1:11" ht="42" customHeight="1">
      <c r="A11160" t="s">
        <v>21608</v>
      </c>
      <c r="B11160" t="s">
        <v>21608</v>
      </c>
      <c r="C11160" t="s">
        <v>17</v>
      </c>
      <c r="D11160" t="s">
        <v>18</v>
      </c>
      <c r="E11160" s="6">
        <v>-28501</v>
      </c>
      <c r="F11160" t="s">
        <v>456</v>
      </c>
      <c r="G11160" t="s">
        <v>1253</v>
      </c>
      <c r="H11160" t="s">
        <v>21</v>
      </c>
      <c r="I11160" t="s">
        <v>21628</v>
      </c>
      <c r="J11160" t="str">
        <f>HYPERLINK("https://www.boe.es/gazeta/dias/1821/12/18/pdfs/GMD-1821-361.pdf#page=6","Abrir facsímil")</f>
        <v>Abrir facsímil</v>
      </c>
      <c r="K11160" t="s">
        <v>23</v>
      </c>
    </row>
    <row r="11161" spans="1:11" ht="42" customHeight="1">
      <c r="A11161" t="s">
        <v>21608</v>
      </c>
      <c r="B11161" t="s">
        <v>21608</v>
      </c>
      <c r="C11161" t="s">
        <v>40</v>
      </c>
      <c r="D11161" t="s">
        <v>41</v>
      </c>
      <c r="E11161" s="6">
        <v>-28490</v>
      </c>
      <c r="F11161" t="s">
        <v>801</v>
      </c>
      <c r="G11161" t="s">
        <v>88</v>
      </c>
      <c r="H11161" t="s">
        <v>21</v>
      </c>
      <c r="I11161" t="s">
        <v>21629</v>
      </c>
      <c r="J11161" t="str">
        <f>HYPERLINK("https://www.boe.es/gazeta/dias/1821/12/29/pdfs/GMD-1821-372.pdf#page=4","Abrir facsímil")</f>
        <v>Abrir facsímil</v>
      </c>
      <c r="K11161" t="s">
        <v>23</v>
      </c>
    </row>
    <row r="11162" spans="1:11" ht="42" customHeight="1">
      <c r="A11162" t="s">
        <v>21630</v>
      </c>
      <c r="B11162" t="s">
        <v>21631</v>
      </c>
      <c r="C11162" t="s">
        <v>17</v>
      </c>
      <c r="D11162" t="s">
        <v>18</v>
      </c>
      <c r="E11162" s="6">
        <v>-28547</v>
      </c>
      <c r="F11162" t="s">
        <v>247</v>
      </c>
      <c r="G11162" t="s">
        <v>248</v>
      </c>
      <c r="H11162" t="s">
        <v>21</v>
      </c>
      <c r="I11162" t="s">
        <v>21632</v>
      </c>
      <c r="J11162" t="str">
        <f>HYPERLINK("https://www.boe.es/gazeta/dias/1821/11/02/pdfs/GMD-1821-312.pdf#page=2","Abrir facsímil")</f>
        <v>Abrir facsímil</v>
      </c>
      <c r="K11162" t="s">
        <v>23</v>
      </c>
    </row>
    <row r="11163" spans="1:11" ht="42" customHeight="1">
      <c r="A11163" t="s">
        <v>21630</v>
      </c>
      <c r="B11163" t="s">
        <v>21631</v>
      </c>
      <c r="C11163" t="s">
        <v>70</v>
      </c>
      <c r="D11163" t="s">
        <v>27</v>
      </c>
      <c r="E11163" s="6">
        <v>-28512</v>
      </c>
      <c r="F11163" t="s">
        <v>66</v>
      </c>
      <c r="G11163" t="s">
        <v>43</v>
      </c>
      <c r="H11163" t="s">
        <v>21</v>
      </c>
      <c r="I11163" t="s">
        <v>21633</v>
      </c>
      <c r="J11163" t="str">
        <f>HYPERLINK("https://www.boe.es/gazeta/dias/1821/12/07/pdfs/GMD-1821-349.pdf#page=1","Abrir facsímil")</f>
        <v>Abrir facsímil</v>
      </c>
      <c r="K11163" t="s">
        <v>23</v>
      </c>
    </row>
    <row r="11164" spans="1:11" ht="42" customHeight="1">
      <c r="A11164" t="s">
        <v>21634</v>
      </c>
      <c r="B11164" t="s">
        <v>21635</v>
      </c>
      <c r="C11164" t="s">
        <v>17</v>
      </c>
      <c r="D11164" t="s">
        <v>18</v>
      </c>
      <c r="E11164" s="6">
        <v>-28749</v>
      </c>
      <c r="F11164" t="s">
        <v>832</v>
      </c>
      <c r="G11164" t="s">
        <v>52</v>
      </c>
      <c r="H11164" t="s">
        <v>21</v>
      </c>
      <c r="I11164" t="s">
        <v>21636</v>
      </c>
      <c r="J11164" t="str">
        <f>HYPERLINK("https://www.boe.es/gazeta/dias/1821/04/14/pdfs/GMD-1821-106.pdf#page=2","Abrir facsímil")</f>
        <v>Abrir facsímil</v>
      </c>
      <c r="K11164" t="s">
        <v>23</v>
      </c>
    </row>
    <row r="11165" spans="1:11" ht="42" customHeight="1">
      <c r="A11165" t="s">
        <v>21637</v>
      </c>
      <c r="B11165" t="s">
        <v>21638</v>
      </c>
      <c r="C11165" t="s">
        <v>17</v>
      </c>
      <c r="D11165" t="s">
        <v>18</v>
      </c>
      <c r="E11165" s="6">
        <v>-28496</v>
      </c>
      <c r="F11165" t="s">
        <v>785</v>
      </c>
      <c r="G11165" t="s">
        <v>29</v>
      </c>
      <c r="H11165" t="s">
        <v>30</v>
      </c>
      <c r="I11165" t="s">
        <v>21639</v>
      </c>
      <c r="J11165" t="str">
        <f>HYPERLINK("https://www.boe.es/gazeta/dias/1821/12/23/pdfs/GMD-1821-366.pdf#page=6","Abrir facsímil")</f>
        <v>Abrir facsímil</v>
      </c>
      <c r="K11165" t="s">
        <v>32</v>
      </c>
    </row>
    <row r="11166" spans="1:11" ht="42" customHeight="1">
      <c r="A11166" t="s">
        <v>21640</v>
      </c>
      <c r="B11166" t="s">
        <v>21641</v>
      </c>
      <c r="C11166" t="s">
        <v>17</v>
      </c>
      <c r="D11166" t="s">
        <v>18</v>
      </c>
      <c r="E11166" s="6">
        <v>-28547</v>
      </c>
      <c r="F11166" t="s">
        <v>247</v>
      </c>
      <c r="G11166" t="s">
        <v>248</v>
      </c>
      <c r="H11166" t="s">
        <v>21</v>
      </c>
      <c r="I11166" t="s">
        <v>21642</v>
      </c>
      <c r="J11166" t="str">
        <f>HYPERLINK("https://www.boe.es/gazeta/dias/1821/11/02/pdfs/GMD-1821-312.pdf#page=2","Abrir facsímil")</f>
        <v>Abrir facsímil</v>
      </c>
      <c r="K11166" t="s">
        <v>23</v>
      </c>
    </row>
    <row r="11167" spans="1:11" ht="42" customHeight="1">
      <c r="A11167" t="s">
        <v>21643</v>
      </c>
      <c r="B11167" t="s">
        <v>21643</v>
      </c>
      <c r="C11167" t="s">
        <v>26</v>
      </c>
      <c r="D11167" t="s">
        <v>27</v>
      </c>
      <c r="E11167" s="6">
        <v>-28765</v>
      </c>
      <c r="F11167" t="s">
        <v>974</v>
      </c>
      <c r="G11167" t="s">
        <v>20</v>
      </c>
      <c r="H11167" t="s">
        <v>21</v>
      </c>
      <c r="I11167" t="s">
        <v>21644</v>
      </c>
      <c r="J11167" t="str">
        <f>HYPERLINK("https://www.boe.es/gazeta/dias/1821/03/29/pdfs/GMD-1821-90.pdf#page=3","Abrir facsímil")</f>
        <v>Abrir facsímil</v>
      </c>
      <c r="K11167" t="s">
        <v>23</v>
      </c>
    </row>
    <row r="11168" spans="1:11" ht="42" customHeight="1">
      <c r="A11168" t="s">
        <v>21645</v>
      </c>
      <c r="B11168" t="s">
        <v>21646</v>
      </c>
      <c r="C11168" t="s">
        <v>26</v>
      </c>
      <c r="D11168" t="s">
        <v>27</v>
      </c>
      <c r="E11168" s="6">
        <v>-28629</v>
      </c>
      <c r="F11168" t="s">
        <v>235</v>
      </c>
      <c r="G11168" t="s">
        <v>88</v>
      </c>
      <c r="H11168" t="s">
        <v>21</v>
      </c>
      <c r="I11168" t="s">
        <v>21647</v>
      </c>
      <c r="J11168" t="str">
        <f>HYPERLINK("https://www.boe.es/gazeta/dias/1821/08/12/pdfs/GMD-1821-229.pdf#page=4","Abrir facsímil")</f>
        <v>Abrir facsímil</v>
      </c>
      <c r="K11168" t="s">
        <v>23</v>
      </c>
    </row>
    <row r="11169" spans="1:11" ht="42" customHeight="1">
      <c r="A11169" t="s">
        <v>21648</v>
      </c>
      <c r="B11169" t="s">
        <v>21648</v>
      </c>
      <c r="C11169" t="s">
        <v>40</v>
      </c>
      <c r="D11169" t="s">
        <v>41</v>
      </c>
      <c r="E11169" s="6">
        <v>-28759</v>
      </c>
      <c r="F11169" t="s">
        <v>71</v>
      </c>
      <c r="G11169" t="s">
        <v>20</v>
      </c>
      <c r="H11169" t="s">
        <v>21</v>
      </c>
      <c r="I11169" t="s">
        <v>21649</v>
      </c>
      <c r="J11169" t="str">
        <f>HYPERLINK("https://www.boe.es/gazeta/dias/1821/04/04/pdfs/GMD-1821-96.pdf#page=3","Abrir facsímil")</f>
        <v>Abrir facsímil</v>
      </c>
      <c r="K11169" t="s">
        <v>23</v>
      </c>
    </row>
    <row r="11170" spans="1:11" ht="42" customHeight="1">
      <c r="A11170" t="s">
        <v>21650</v>
      </c>
      <c r="B11170" t="s">
        <v>21651</v>
      </c>
      <c r="C11170" t="s">
        <v>70</v>
      </c>
      <c r="D11170" t="s">
        <v>27</v>
      </c>
      <c r="E11170" s="6">
        <v>-28641</v>
      </c>
      <c r="F11170" t="s">
        <v>398</v>
      </c>
      <c r="G11170" t="s">
        <v>20</v>
      </c>
      <c r="H11170" t="s">
        <v>21</v>
      </c>
      <c r="I11170" t="s">
        <v>21652</v>
      </c>
      <c r="J11170" t="str">
        <f>HYPERLINK("https://www.boe.es/gazeta/dias/1821/07/31/pdfs/GMD-1821-216.pdf#page=3","Abrir facsímil")</f>
        <v>Abrir facsímil</v>
      </c>
      <c r="K11170" t="s">
        <v>23</v>
      </c>
    </row>
    <row r="11171" spans="1:11" ht="42" customHeight="1">
      <c r="A11171" t="s">
        <v>21653</v>
      </c>
      <c r="B11171" t="s">
        <v>21654</v>
      </c>
      <c r="C11171" t="s">
        <v>114</v>
      </c>
      <c r="D11171" t="s">
        <v>27</v>
      </c>
      <c r="E11171" s="6">
        <v>-28666</v>
      </c>
      <c r="F11171" t="s">
        <v>1263</v>
      </c>
      <c r="G11171" t="s">
        <v>88</v>
      </c>
      <c r="H11171" t="s">
        <v>21</v>
      </c>
      <c r="I11171" t="s">
        <v>21655</v>
      </c>
      <c r="J11171" t="str">
        <f>HYPERLINK("https://www.boe.es/gazeta/dias/1821/07/06/pdfs/GMD-1821-190.pdf#page=4","Abrir facsímil")</f>
        <v>Abrir facsímil</v>
      </c>
      <c r="K11171" t="s">
        <v>23</v>
      </c>
    </row>
    <row r="11172" spans="1:11" ht="42" customHeight="1">
      <c r="A11172" t="s">
        <v>21656</v>
      </c>
      <c r="B11172" t="s">
        <v>21657</v>
      </c>
      <c r="C11172" t="s">
        <v>40</v>
      </c>
      <c r="D11172" t="s">
        <v>41</v>
      </c>
      <c r="E11172" s="6">
        <v>-28629</v>
      </c>
      <c r="F11172" t="s">
        <v>235</v>
      </c>
      <c r="G11172" t="s">
        <v>88</v>
      </c>
      <c r="H11172" t="s">
        <v>21</v>
      </c>
      <c r="I11172" t="s">
        <v>21658</v>
      </c>
      <c r="J11172" t="str">
        <f>HYPERLINK("https://www.boe.es/gazeta/dias/1821/08/12/pdfs/GMD-1821-229.pdf#page=4","Abrir facsímil")</f>
        <v>Abrir facsímil</v>
      </c>
      <c r="K11172" t="s">
        <v>23</v>
      </c>
    </row>
    <row r="11173" spans="1:11" ht="42" customHeight="1">
      <c r="A11173" t="s">
        <v>21659</v>
      </c>
      <c r="B11173" t="s">
        <v>21660</v>
      </c>
      <c r="C11173" t="s">
        <v>17</v>
      </c>
      <c r="D11173" t="s">
        <v>18</v>
      </c>
      <c r="E11173" s="6">
        <v>-28553</v>
      </c>
      <c r="F11173" t="s">
        <v>182</v>
      </c>
      <c r="G11173" t="s">
        <v>29</v>
      </c>
      <c r="H11173" t="s">
        <v>21</v>
      </c>
      <c r="I11173" t="s">
        <v>21661</v>
      </c>
      <c r="J11173" t="str">
        <f>HYPERLINK("https://www.boe.es/gazeta/dias/1821/10/27/pdfs/GMD-1821-306.pdf#page=6","Abrir facsímil")</f>
        <v>Abrir facsímil</v>
      </c>
      <c r="K11173" t="s">
        <v>23</v>
      </c>
    </row>
    <row r="11174" spans="1:11" ht="42" customHeight="1">
      <c r="A11174" t="s">
        <v>21662</v>
      </c>
      <c r="B11174" t="s">
        <v>21663</v>
      </c>
      <c r="C11174" t="s">
        <v>26</v>
      </c>
      <c r="D11174" t="s">
        <v>27</v>
      </c>
      <c r="E11174" s="6">
        <v>-28547</v>
      </c>
      <c r="F11174" t="s">
        <v>247</v>
      </c>
      <c r="G11174" t="s">
        <v>248</v>
      </c>
      <c r="H11174" t="s">
        <v>21</v>
      </c>
      <c r="I11174" t="s">
        <v>21664</v>
      </c>
      <c r="J11174" t="str">
        <f>HYPERLINK("https://www.boe.es/gazeta/dias/1821/11/02/pdfs/GMD-1821-312.pdf#page=2","Abrir facsímil")</f>
        <v>Abrir facsímil</v>
      </c>
      <c r="K11174" t="s">
        <v>23</v>
      </c>
    </row>
    <row r="11175" spans="1:11" ht="42" customHeight="1">
      <c r="A11175" t="s">
        <v>21665</v>
      </c>
      <c r="B11175" t="s">
        <v>21666</v>
      </c>
      <c r="C11175" t="s">
        <v>35</v>
      </c>
      <c r="D11175" t="s">
        <v>27</v>
      </c>
      <c r="E11175" s="6">
        <v>-28515</v>
      </c>
      <c r="F11175" t="s">
        <v>260</v>
      </c>
      <c r="G11175" t="s">
        <v>52</v>
      </c>
      <c r="H11175" t="s">
        <v>21</v>
      </c>
      <c r="I11175" t="s">
        <v>21667</v>
      </c>
      <c r="J11175" t="str">
        <f>HYPERLINK("https://www.boe.es/gazeta/dias/1821/12/04/pdfs/GMD-1821-346.pdf#page=2","Abrir facsímil")</f>
        <v>Abrir facsímil</v>
      </c>
      <c r="K11175" t="s">
        <v>23</v>
      </c>
    </row>
    <row r="11176" spans="1:11" ht="42" customHeight="1">
      <c r="A11176" t="s">
        <v>21668</v>
      </c>
      <c r="B11176" t="s">
        <v>21669</v>
      </c>
      <c r="C11176" t="s">
        <v>26</v>
      </c>
      <c r="D11176" t="s">
        <v>27</v>
      </c>
      <c r="E11176" s="6">
        <v>-28842</v>
      </c>
      <c r="F11176" t="s">
        <v>660</v>
      </c>
      <c r="G11176" t="s">
        <v>88</v>
      </c>
      <c r="H11176" t="s">
        <v>30</v>
      </c>
      <c r="I11176" t="s">
        <v>21670</v>
      </c>
      <c r="J11176" t="str">
        <f>HYPERLINK("https://www.boe.es/gazeta/dias/1821/01/11/pdfs/GGB-1821-11.pdf#page=4","Abrir facsímil")</f>
        <v>Abrir facsímil</v>
      </c>
      <c r="K11176" t="s">
        <v>32</v>
      </c>
    </row>
    <row r="11177" spans="1:11" ht="42" customHeight="1">
      <c r="A11177" t="s">
        <v>21671</v>
      </c>
      <c r="B11177" t="s">
        <v>21672</v>
      </c>
      <c r="C11177" t="s">
        <v>26</v>
      </c>
      <c r="D11177" t="s">
        <v>27</v>
      </c>
      <c r="E11177" s="6">
        <v>-28776</v>
      </c>
      <c r="F11177" t="s">
        <v>312</v>
      </c>
      <c r="G11177" t="s">
        <v>162</v>
      </c>
      <c r="H11177" t="s">
        <v>21</v>
      </c>
      <c r="I11177" t="s">
        <v>21673</v>
      </c>
      <c r="J11177" t="str">
        <f>HYPERLINK("https://www.boe.es/gazeta/dias/1821/03/18/pdfs/GMD-1821-77.pdf#page=5","Abrir facsímil")</f>
        <v>Abrir facsímil</v>
      </c>
      <c r="K11177" t="s">
        <v>23</v>
      </c>
    </row>
    <row r="11178" spans="1:11" ht="42" customHeight="1">
      <c r="A11178" t="s">
        <v>21674</v>
      </c>
      <c r="B11178" t="s">
        <v>21674</v>
      </c>
      <c r="C11178" t="s">
        <v>40</v>
      </c>
      <c r="D11178" t="s">
        <v>41</v>
      </c>
      <c r="E11178" s="6">
        <v>-28491</v>
      </c>
      <c r="F11178" t="s">
        <v>573</v>
      </c>
      <c r="G11178" t="s">
        <v>3891</v>
      </c>
      <c r="H11178" t="s">
        <v>21</v>
      </c>
      <c r="I11178" t="s">
        <v>21675</v>
      </c>
      <c r="J11178" t="str">
        <f>HYPERLINK("https://www.boe.es/gazeta/dias/1821/12/28/pdfs/GMD-1821-371.pdf#page=2","Abrir facsímil")</f>
        <v>Abrir facsímil</v>
      </c>
      <c r="K11178" t="s">
        <v>23</v>
      </c>
    </row>
    <row r="11179" spans="1:11" ht="42" customHeight="1">
      <c r="A11179" t="s">
        <v>21676</v>
      </c>
      <c r="B11179" t="s">
        <v>21677</v>
      </c>
      <c r="C11179" t="s">
        <v>17</v>
      </c>
      <c r="D11179" t="s">
        <v>18</v>
      </c>
      <c r="E11179" s="6">
        <v>-28531</v>
      </c>
      <c r="F11179" t="s">
        <v>365</v>
      </c>
      <c r="G11179" t="s">
        <v>20</v>
      </c>
      <c r="H11179" t="s">
        <v>21</v>
      </c>
      <c r="I11179" t="s">
        <v>21678</v>
      </c>
      <c r="J11179" t="str">
        <f>HYPERLINK("https://www.boe.es/gazeta/dias/1821/11/18/pdfs/GMD-1821-329.pdf#page=3","Abrir facsímil")</f>
        <v>Abrir facsímil</v>
      </c>
      <c r="K11179" t="s">
        <v>23</v>
      </c>
    </row>
    <row r="11180" spans="1:11" ht="42" customHeight="1">
      <c r="A11180" t="s">
        <v>21679</v>
      </c>
      <c r="B11180" t="s">
        <v>21680</v>
      </c>
      <c r="C11180" t="s">
        <v>279</v>
      </c>
      <c r="D11180" t="s">
        <v>27</v>
      </c>
      <c r="E11180" s="6">
        <v>-28686</v>
      </c>
      <c r="F11180" t="s">
        <v>115</v>
      </c>
      <c r="G11180" t="s">
        <v>88</v>
      </c>
      <c r="H11180" t="s">
        <v>21</v>
      </c>
      <c r="I11180" t="s">
        <v>21681</v>
      </c>
      <c r="J11180" t="str">
        <f>HYPERLINK("https://www.boe.es/gazeta/dias/1821/06/16/pdfs/GMD-1821-169.pdf#page=4","Abrir facsímil")</f>
        <v>Abrir facsímil</v>
      </c>
      <c r="K11180" t="s">
        <v>23</v>
      </c>
    </row>
    <row r="11181" spans="1:11" ht="42" customHeight="1">
      <c r="A11181" t="s">
        <v>21679</v>
      </c>
      <c r="B11181" t="s">
        <v>21680</v>
      </c>
      <c r="C11181" t="s">
        <v>279</v>
      </c>
      <c r="D11181" t="s">
        <v>27</v>
      </c>
      <c r="E11181" s="6">
        <v>-28608</v>
      </c>
      <c r="F11181" t="s">
        <v>805</v>
      </c>
      <c r="G11181" t="s">
        <v>88</v>
      </c>
      <c r="H11181" t="s">
        <v>21</v>
      </c>
      <c r="I11181" t="s">
        <v>21682</v>
      </c>
      <c r="J11181" t="str">
        <f>HYPERLINK("https://www.boe.es/gazeta/dias/1821/09/02/pdfs/GMD-1821-250.pdf#page=4","Abrir facsímil")</f>
        <v>Abrir facsímil</v>
      </c>
      <c r="K11181" t="s">
        <v>23</v>
      </c>
    </row>
    <row r="11182" spans="1:11" ht="42" customHeight="1">
      <c r="A11182" t="s">
        <v>21679</v>
      </c>
      <c r="B11182" t="s">
        <v>21680</v>
      </c>
      <c r="C11182" t="s">
        <v>279</v>
      </c>
      <c r="D11182" t="s">
        <v>27</v>
      </c>
      <c r="E11182" s="6">
        <v>-28527</v>
      </c>
      <c r="F11182" t="s">
        <v>328</v>
      </c>
      <c r="G11182" t="s">
        <v>88</v>
      </c>
      <c r="H11182" t="s">
        <v>21</v>
      </c>
      <c r="I11182" t="s">
        <v>21683</v>
      </c>
      <c r="J11182" t="str">
        <f>HYPERLINK("https://www.boe.es/gazeta/dias/1821/11/22/pdfs/GMD-1821-333.pdf#page=4","Abrir facsímil")</f>
        <v>Abrir facsímil</v>
      </c>
      <c r="K11182" t="s">
        <v>23</v>
      </c>
    </row>
    <row r="11183" spans="1:11" ht="42" customHeight="1">
      <c r="A11183" t="s">
        <v>21679</v>
      </c>
      <c r="B11183" t="s">
        <v>21680</v>
      </c>
      <c r="C11183" t="s">
        <v>40</v>
      </c>
      <c r="D11183" t="s">
        <v>41</v>
      </c>
      <c r="E11183" s="6">
        <v>-28499</v>
      </c>
      <c r="F11183" t="s">
        <v>954</v>
      </c>
      <c r="G11183" t="s">
        <v>88</v>
      </c>
      <c r="H11183" t="s">
        <v>21</v>
      </c>
      <c r="I11183" t="s">
        <v>21684</v>
      </c>
      <c r="J11183" t="str">
        <f>HYPERLINK("https://www.boe.es/gazeta/dias/1821/12/20/pdfs/GMD-1821-363.pdf#page=4","Abrir facsímil")</f>
        <v>Abrir facsímil</v>
      </c>
      <c r="K11183" t="s">
        <v>23</v>
      </c>
    </row>
    <row r="11184" spans="1:11" ht="42" customHeight="1">
      <c r="A11184" t="s">
        <v>21685</v>
      </c>
      <c r="B11184" t="s">
        <v>21686</v>
      </c>
      <c r="C11184" t="s">
        <v>26</v>
      </c>
      <c r="D11184" t="s">
        <v>27</v>
      </c>
      <c r="E11184" s="6">
        <v>-28535</v>
      </c>
      <c r="F11184" t="s">
        <v>96</v>
      </c>
      <c r="G11184" t="s">
        <v>52</v>
      </c>
      <c r="H11184" t="s">
        <v>21</v>
      </c>
      <c r="I11184" t="s">
        <v>21687</v>
      </c>
      <c r="J11184" t="str">
        <f>HYPERLINK("https://www.boe.es/gazeta/dias/1821/11/14/pdfs/GMD-1821-325.pdf#page=2","Abrir facsímil")</f>
        <v>Abrir facsímil</v>
      </c>
      <c r="K11184" t="s">
        <v>23</v>
      </c>
    </row>
    <row r="11185" spans="1:11" ht="42" customHeight="1">
      <c r="A11185" t="s">
        <v>21688</v>
      </c>
      <c r="B11185" t="s">
        <v>21688</v>
      </c>
      <c r="C11185" t="s">
        <v>40</v>
      </c>
      <c r="D11185" t="s">
        <v>41</v>
      </c>
      <c r="E11185" s="6">
        <v>-28702</v>
      </c>
      <c r="F11185" t="s">
        <v>1176</v>
      </c>
      <c r="G11185" t="s">
        <v>43</v>
      </c>
      <c r="H11185" t="s">
        <v>21</v>
      </c>
      <c r="I11185" t="s">
        <v>21689</v>
      </c>
      <c r="J11185" t="str">
        <f>HYPERLINK("https://www.boe.es/gazeta/dias/1821/05/31/pdfs/GMD-1821-153.pdf#page=1","Abrir facsímil")</f>
        <v>Abrir facsímil</v>
      </c>
      <c r="K11185" t="s">
        <v>23</v>
      </c>
    </row>
    <row r="11186" spans="1:11" ht="42" customHeight="1">
      <c r="A11186" t="s">
        <v>21690</v>
      </c>
      <c r="B11186" t="s">
        <v>21690</v>
      </c>
      <c r="C11186" t="s">
        <v>40</v>
      </c>
      <c r="D11186" t="s">
        <v>41</v>
      </c>
      <c r="E11186" s="6">
        <v>-28735</v>
      </c>
      <c r="F11186" t="s">
        <v>836</v>
      </c>
      <c r="G11186" t="s">
        <v>88</v>
      </c>
      <c r="H11186" t="s">
        <v>21</v>
      </c>
      <c r="I11186" t="s">
        <v>21691</v>
      </c>
      <c r="J11186" t="str">
        <f>HYPERLINK("https://www.boe.es/gazeta/dias/1821/04/28/pdfs/GMD-1821-120.pdf#page=4","Abrir facsímil")</f>
        <v>Abrir facsímil</v>
      </c>
      <c r="K11186" t="s">
        <v>23</v>
      </c>
    </row>
    <row r="11187" spans="1:11" ht="42" customHeight="1">
      <c r="A11187" t="s">
        <v>21692</v>
      </c>
      <c r="B11187" t="s">
        <v>21693</v>
      </c>
      <c r="C11187" t="s">
        <v>17</v>
      </c>
      <c r="D11187" t="s">
        <v>18</v>
      </c>
      <c r="E11187" s="6">
        <v>-28746</v>
      </c>
      <c r="F11187" t="s">
        <v>687</v>
      </c>
      <c r="G11187" t="s">
        <v>333</v>
      </c>
      <c r="H11187" t="s">
        <v>21</v>
      </c>
      <c r="I11187" t="s">
        <v>21694</v>
      </c>
      <c r="J11187" t="str">
        <f>HYPERLINK("https://www.boe.es/gazeta/dias/1821/04/17/pdfs/GMD-1821-109.pdf#page=8","Abrir facsímil")</f>
        <v>Abrir facsímil</v>
      </c>
      <c r="K11187" t="s">
        <v>23</v>
      </c>
    </row>
    <row r="11188" spans="1:11" ht="42" customHeight="1">
      <c r="A11188" t="s">
        <v>21692</v>
      </c>
      <c r="B11188" t="s">
        <v>21693</v>
      </c>
      <c r="C11188" t="s">
        <v>26</v>
      </c>
      <c r="D11188" t="s">
        <v>27</v>
      </c>
      <c r="E11188" s="6">
        <v>-28743</v>
      </c>
      <c r="F11188" t="s">
        <v>51</v>
      </c>
      <c r="G11188" t="s">
        <v>88</v>
      </c>
      <c r="H11188" t="s">
        <v>21</v>
      </c>
      <c r="I11188" t="s">
        <v>21695</v>
      </c>
      <c r="J11188" t="str">
        <f>HYPERLINK("https://www.boe.es/gazeta/dias/1821/04/20/pdfs/GMD-1821-112.pdf#page=4","Abrir facsímil")</f>
        <v>Abrir facsímil</v>
      </c>
      <c r="K11188" t="s">
        <v>23</v>
      </c>
    </row>
    <row r="11189" spans="1:11" ht="42" customHeight="1">
      <c r="A11189" t="s">
        <v>21696</v>
      </c>
      <c r="B11189" t="s">
        <v>21697</v>
      </c>
      <c r="C11189" t="s">
        <v>40</v>
      </c>
      <c r="D11189" t="s">
        <v>41</v>
      </c>
      <c r="E11189" s="6">
        <v>-28727</v>
      </c>
      <c r="F11189" t="s">
        <v>200</v>
      </c>
      <c r="G11189" t="s">
        <v>88</v>
      </c>
      <c r="H11189" t="s">
        <v>21</v>
      </c>
      <c r="I11189" t="s">
        <v>21698</v>
      </c>
      <c r="J11189" t="str">
        <f>HYPERLINK("https://www.boe.es/gazeta/dias/1821/05/06/pdfs/GMD-1821-128.pdf#page=4","Abrir facsímil")</f>
        <v>Abrir facsímil</v>
      </c>
      <c r="K11189" t="s">
        <v>23</v>
      </c>
    </row>
    <row r="11190" spans="1:11" ht="42" customHeight="1">
      <c r="A11190" t="s">
        <v>21699</v>
      </c>
      <c r="B11190" t="s">
        <v>21700</v>
      </c>
      <c r="C11190" t="s">
        <v>40</v>
      </c>
      <c r="D11190" t="s">
        <v>41</v>
      </c>
      <c r="E11190" s="6">
        <v>-28727</v>
      </c>
      <c r="F11190" t="s">
        <v>200</v>
      </c>
      <c r="G11190" t="s">
        <v>20</v>
      </c>
      <c r="H11190" t="s">
        <v>21</v>
      </c>
      <c r="I11190" t="s">
        <v>21701</v>
      </c>
      <c r="J11190" t="str">
        <f>HYPERLINK("https://www.boe.es/gazeta/dias/1821/05/06/pdfs/GMD-1821-128.pdf#page=3","Abrir facsímil")</f>
        <v>Abrir facsímil</v>
      </c>
      <c r="K11190" t="s">
        <v>23</v>
      </c>
    </row>
    <row r="11191" spans="1:11" ht="42" customHeight="1">
      <c r="A11191" t="s">
        <v>21702</v>
      </c>
      <c r="B11191" t="s">
        <v>21703</v>
      </c>
      <c r="C11191" t="s">
        <v>40</v>
      </c>
      <c r="D11191" t="s">
        <v>41</v>
      </c>
      <c r="E11191" s="6">
        <v>-28539</v>
      </c>
      <c r="F11191" t="s">
        <v>153</v>
      </c>
      <c r="G11191" t="s">
        <v>52</v>
      </c>
      <c r="H11191" t="s">
        <v>21</v>
      </c>
      <c r="I11191" t="s">
        <v>21704</v>
      </c>
      <c r="J11191" t="str">
        <f>HYPERLINK("https://www.boe.es/gazeta/dias/1821/11/10/pdfs/GMD-1821-321.pdf#page=2","Abrir facsímil")</f>
        <v>Abrir facsímil</v>
      </c>
      <c r="K11191" t="s">
        <v>23</v>
      </c>
    </row>
    <row r="11192" spans="1:11" ht="42" customHeight="1">
      <c r="A11192" t="s">
        <v>21705</v>
      </c>
      <c r="B11192" t="s">
        <v>21705</v>
      </c>
      <c r="C11192" t="s">
        <v>174</v>
      </c>
      <c r="D11192" t="s">
        <v>27</v>
      </c>
      <c r="E11192" s="6">
        <v>-28534</v>
      </c>
      <c r="F11192" t="s">
        <v>414</v>
      </c>
      <c r="G11192" t="s">
        <v>88</v>
      </c>
      <c r="H11192" t="s">
        <v>21</v>
      </c>
      <c r="I11192" t="s">
        <v>21706</v>
      </c>
      <c r="J11192" t="str">
        <f>HYPERLINK("https://www.boe.es/gazeta/dias/1821/11/15/pdfs/GMD-1821-326.pdf#page=4","Abrir facsímil")</f>
        <v>Abrir facsímil</v>
      </c>
      <c r="K11192" t="s">
        <v>23</v>
      </c>
    </row>
    <row r="11193" spans="1:11" ht="42" customHeight="1">
      <c r="A11193" t="s">
        <v>21707</v>
      </c>
      <c r="B11193" t="s">
        <v>21708</v>
      </c>
      <c r="C11193" t="s">
        <v>26</v>
      </c>
      <c r="D11193" t="s">
        <v>27</v>
      </c>
      <c r="E11193" s="6">
        <v>-28547</v>
      </c>
      <c r="F11193" t="s">
        <v>247</v>
      </c>
      <c r="G11193" t="s">
        <v>248</v>
      </c>
      <c r="H11193" t="s">
        <v>21</v>
      </c>
      <c r="I11193" t="s">
        <v>21709</v>
      </c>
      <c r="J11193" t="str">
        <f>HYPERLINK("https://www.boe.es/gazeta/dias/1821/11/02/pdfs/GMD-1821-312.pdf#page=2","Abrir facsímil")</f>
        <v>Abrir facsímil</v>
      </c>
      <c r="K11193" t="s">
        <v>23</v>
      </c>
    </row>
    <row r="11194" spans="1:11" ht="42" customHeight="1">
      <c r="A11194" t="s">
        <v>21710</v>
      </c>
      <c r="B11194" t="s">
        <v>21710</v>
      </c>
      <c r="C11194" t="s">
        <v>26</v>
      </c>
      <c r="D11194" t="s">
        <v>27</v>
      </c>
      <c r="E11194" s="6">
        <v>-28557</v>
      </c>
      <c r="F11194" t="s">
        <v>316</v>
      </c>
      <c r="G11194" t="s">
        <v>20</v>
      </c>
      <c r="H11194" t="s">
        <v>21</v>
      </c>
      <c r="I11194" t="s">
        <v>21711</v>
      </c>
      <c r="J11194" t="str">
        <f>HYPERLINK("https://www.boe.es/gazeta/dias/1821/10/23/pdfs/GMD-1821-302.pdf#page=3","Abrir facsímil")</f>
        <v>Abrir facsímil</v>
      </c>
      <c r="K11194" t="s">
        <v>23</v>
      </c>
    </row>
    <row r="11195" spans="1:11" ht="42" customHeight="1">
      <c r="A11195" t="s">
        <v>21712</v>
      </c>
      <c r="B11195" t="s">
        <v>21712</v>
      </c>
      <c r="C11195" t="s">
        <v>40</v>
      </c>
      <c r="D11195" t="s">
        <v>41</v>
      </c>
      <c r="E11195" s="6">
        <v>-28842</v>
      </c>
      <c r="F11195" t="s">
        <v>660</v>
      </c>
      <c r="G11195" t="s">
        <v>20</v>
      </c>
      <c r="H11195" t="s">
        <v>21</v>
      </c>
      <c r="I11195" t="s">
        <v>21713</v>
      </c>
      <c r="J11195" t="str">
        <f>HYPERLINK("https://www.boe.es/gazeta/dias/1821/01/11/pdfs/GGB-1821-11.pdf#page=3","Abrir facsímil")</f>
        <v>Abrir facsímil</v>
      </c>
      <c r="K11195" t="s">
        <v>23</v>
      </c>
    </row>
    <row r="11196" spans="1:11" ht="42" customHeight="1">
      <c r="A11196" t="s">
        <v>21714</v>
      </c>
      <c r="B11196" t="s">
        <v>21715</v>
      </c>
      <c r="C11196" t="s">
        <v>40</v>
      </c>
      <c r="D11196" t="s">
        <v>41</v>
      </c>
      <c r="E11196" s="6">
        <v>-28735</v>
      </c>
      <c r="F11196" t="s">
        <v>836</v>
      </c>
      <c r="G11196" t="s">
        <v>88</v>
      </c>
      <c r="H11196" t="s">
        <v>21</v>
      </c>
      <c r="I11196" t="s">
        <v>21716</v>
      </c>
      <c r="J11196" t="str">
        <f>HYPERLINK("https://www.boe.es/gazeta/dias/1821/04/28/pdfs/GMD-1821-120.pdf#page=4","Abrir facsímil")</f>
        <v>Abrir facsímil</v>
      </c>
      <c r="K11196" t="s">
        <v>23</v>
      </c>
    </row>
    <row r="11197" spans="1:11" ht="42" customHeight="1">
      <c r="A11197" t="s">
        <v>21717</v>
      </c>
      <c r="B11197" t="s">
        <v>21717</v>
      </c>
      <c r="C11197" t="s">
        <v>35</v>
      </c>
      <c r="D11197" t="s">
        <v>27</v>
      </c>
      <c r="E11197" s="6">
        <v>-28778</v>
      </c>
      <c r="F11197" t="s">
        <v>1301</v>
      </c>
      <c r="G11197" t="s">
        <v>88</v>
      </c>
      <c r="H11197" t="s">
        <v>21</v>
      </c>
      <c r="I11197" t="s">
        <v>21718</v>
      </c>
      <c r="J11197" t="str">
        <f>HYPERLINK("https://www.boe.es/gazeta/dias/1821/03/16/pdfs/GMD-1821-75.pdf#page=4","Abrir facsímil")</f>
        <v>Abrir facsímil</v>
      </c>
      <c r="K11197" t="s">
        <v>23</v>
      </c>
    </row>
    <row r="11198" spans="1:11" ht="42" customHeight="1">
      <c r="A11198" t="s">
        <v>21719</v>
      </c>
      <c r="B11198" t="s">
        <v>21719</v>
      </c>
      <c r="C11198" t="s">
        <v>17</v>
      </c>
      <c r="D11198" t="s">
        <v>18</v>
      </c>
      <c r="E11198" s="6">
        <v>-28677</v>
      </c>
      <c r="F11198" t="s">
        <v>361</v>
      </c>
      <c r="G11198" t="s">
        <v>20</v>
      </c>
      <c r="H11198" t="s">
        <v>21</v>
      </c>
      <c r="I11198" t="s">
        <v>21720</v>
      </c>
      <c r="J11198" t="str">
        <f>HYPERLINK("https://www.boe.es/gazeta/dias/1821/06/25/pdfs/GMD-1821-178.pdf#page=3","Abrir facsímil")</f>
        <v>Abrir facsímil</v>
      </c>
      <c r="K11198" t="s">
        <v>23</v>
      </c>
    </row>
    <row r="11199" spans="1:11" ht="42" customHeight="1">
      <c r="A11199" t="s">
        <v>21721</v>
      </c>
      <c r="B11199" t="s">
        <v>21722</v>
      </c>
      <c r="C11199" t="s">
        <v>40</v>
      </c>
      <c r="D11199" t="s">
        <v>41</v>
      </c>
      <c r="E11199" s="6">
        <v>-28497</v>
      </c>
      <c r="F11199" t="s">
        <v>225</v>
      </c>
      <c r="G11199" t="s">
        <v>88</v>
      </c>
      <c r="H11199" t="s">
        <v>21</v>
      </c>
      <c r="I11199" t="s">
        <v>21723</v>
      </c>
      <c r="J11199" t="str">
        <f>HYPERLINK("https://www.boe.es/gazeta/dias/1821/12/22/pdfs/GMD-1821-365.pdf#page=4","Abrir facsímil")</f>
        <v>Abrir facsímil</v>
      </c>
      <c r="K11199" t="s">
        <v>23</v>
      </c>
    </row>
    <row r="11200" spans="1:11" ht="42" customHeight="1">
      <c r="A11200" t="s">
        <v>21724</v>
      </c>
      <c r="B11200" t="s">
        <v>21724</v>
      </c>
      <c r="C11200" t="s">
        <v>70</v>
      </c>
      <c r="D11200" t="s">
        <v>27</v>
      </c>
      <c r="E11200" s="6">
        <v>-28789</v>
      </c>
      <c r="F11200" t="s">
        <v>36</v>
      </c>
      <c r="G11200" t="s">
        <v>993</v>
      </c>
      <c r="H11200" t="s">
        <v>21</v>
      </c>
      <c r="I11200" t="s">
        <v>21725</v>
      </c>
      <c r="J11200" t="str">
        <f>HYPERLINK("https://www.boe.es/gazeta/dias/1821/03/05/pdfs/GGB-1821-64.pdf#page=4","Abrir facsímil")</f>
        <v>Abrir facsímil</v>
      </c>
      <c r="K11200" t="s">
        <v>23</v>
      </c>
    </row>
    <row r="11201" spans="1:11" ht="42" customHeight="1">
      <c r="A11201" t="s">
        <v>21724</v>
      </c>
      <c r="B11201" t="s">
        <v>21724</v>
      </c>
      <c r="C11201" t="s">
        <v>17</v>
      </c>
      <c r="D11201" t="s">
        <v>18</v>
      </c>
      <c r="E11201" s="6">
        <v>-28789</v>
      </c>
      <c r="F11201" t="s">
        <v>36</v>
      </c>
      <c r="G11201" t="s">
        <v>20</v>
      </c>
      <c r="H11201" t="s">
        <v>21</v>
      </c>
      <c r="I11201" t="s">
        <v>21726</v>
      </c>
      <c r="J11201" t="str">
        <f>HYPERLINK("https://www.boe.es/gazeta/dias/1821/03/05/pdfs/GGB-1821-64.pdf#page=3","Abrir facsímil")</f>
        <v>Abrir facsímil</v>
      </c>
      <c r="K11201" t="s">
        <v>23</v>
      </c>
    </row>
    <row r="11202" spans="1:11" ht="42" customHeight="1">
      <c r="A11202" t="s">
        <v>21727</v>
      </c>
      <c r="B11202" t="s">
        <v>21727</v>
      </c>
      <c r="C11202" t="s">
        <v>17</v>
      </c>
      <c r="D11202" t="s">
        <v>18</v>
      </c>
      <c r="E11202" s="6">
        <v>-28776</v>
      </c>
      <c r="F11202" t="s">
        <v>312</v>
      </c>
      <c r="G11202" t="s">
        <v>88</v>
      </c>
      <c r="H11202" t="s">
        <v>21</v>
      </c>
      <c r="I11202" t="s">
        <v>21728</v>
      </c>
      <c r="J11202" t="str">
        <f>HYPERLINK("https://www.boe.es/gazeta/dias/1821/03/18/pdfs/GMD-1821-77.pdf#page=4","Abrir facsímil")</f>
        <v>Abrir facsímil</v>
      </c>
      <c r="K11202" t="s">
        <v>23</v>
      </c>
    </row>
    <row r="11203" spans="1:11" ht="42" customHeight="1">
      <c r="A11203" t="s">
        <v>21729</v>
      </c>
      <c r="B11203" t="s">
        <v>21729</v>
      </c>
      <c r="C11203" t="s">
        <v>26</v>
      </c>
      <c r="D11203" t="s">
        <v>27</v>
      </c>
      <c r="E11203" s="6">
        <v>-28774</v>
      </c>
      <c r="F11203" t="s">
        <v>1221</v>
      </c>
      <c r="G11203" t="s">
        <v>88</v>
      </c>
      <c r="H11203" t="s">
        <v>21</v>
      </c>
      <c r="I11203" t="s">
        <v>21730</v>
      </c>
      <c r="J11203" t="str">
        <f>HYPERLINK("https://www.boe.es/gazeta/dias/1821/03/20/pdfs/GMD-1821-79.pdf#page=4","Abrir facsímil")</f>
        <v>Abrir facsímil</v>
      </c>
      <c r="K11203" t="s">
        <v>23</v>
      </c>
    </row>
    <row r="11204" spans="1:11" ht="42" customHeight="1">
      <c r="A11204" t="s">
        <v>21727</v>
      </c>
      <c r="B11204" t="s">
        <v>21727</v>
      </c>
      <c r="C11204" t="s">
        <v>35</v>
      </c>
      <c r="D11204" t="s">
        <v>27</v>
      </c>
      <c r="E11204" s="6">
        <v>-28772</v>
      </c>
      <c r="F11204" t="s">
        <v>62</v>
      </c>
      <c r="G11204" t="s">
        <v>88</v>
      </c>
      <c r="H11204" t="s">
        <v>21</v>
      </c>
      <c r="I11204" t="s">
        <v>21731</v>
      </c>
      <c r="J11204" t="str">
        <f>HYPERLINK("https://www.boe.es/gazeta/dias/1821/03/22/pdfs/GMD-1821-81.pdf#page=4","Abrir facsímil")</f>
        <v>Abrir facsímil</v>
      </c>
      <c r="K11204" t="s">
        <v>23</v>
      </c>
    </row>
    <row r="11205" spans="1:11" ht="42" customHeight="1">
      <c r="A11205" t="s">
        <v>21727</v>
      </c>
      <c r="B11205" t="s">
        <v>21727</v>
      </c>
      <c r="C11205" t="s">
        <v>26</v>
      </c>
      <c r="D11205" t="s">
        <v>27</v>
      </c>
      <c r="E11205" s="6">
        <v>-28761</v>
      </c>
      <c r="F11205" t="s">
        <v>771</v>
      </c>
      <c r="G11205" t="s">
        <v>20</v>
      </c>
      <c r="H11205" t="s">
        <v>21</v>
      </c>
      <c r="I11205" t="s">
        <v>21732</v>
      </c>
      <c r="J11205" t="str">
        <f>HYPERLINK("https://www.boe.es/gazeta/dias/1821/04/02/pdfs/GMD-1821-94.pdf#page=3","Abrir facsímil")</f>
        <v>Abrir facsímil</v>
      </c>
      <c r="K11205" t="s">
        <v>23</v>
      </c>
    </row>
    <row r="11206" spans="1:11" ht="42" customHeight="1">
      <c r="A11206" t="s">
        <v>21727</v>
      </c>
      <c r="B11206" t="s">
        <v>21727</v>
      </c>
      <c r="C11206" t="s">
        <v>40</v>
      </c>
      <c r="D11206" t="s">
        <v>41</v>
      </c>
      <c r="E11206" s="6">
        <v>-28751</v>
      </c>
      <c r="F11206" t="s">
        <v>356</v>
      </c>
      <c r="G11206" t="s">
        <v>52</v>
      </c>
      <c r="H11206" t="s">
        <v>21</v>
      </c>
      <c r="I11206" t="s">
        <v>21733</v>
      </c>
      <c r="J11206" t="str">
        <f>HYPERLINK("https://www.boe.es/gazeta/dias/1821/04/12/pdfs/GMD-1821-104.pdf#page=2","Abrir facsímil")</f>
        <v>Abrir facsímil</v>
      </c>
      <c r="K11206" t="s">
        <v>23</v>
      </c>
    </row>
    <row r="11207" spans="1:11" ht="42" customHeight="1">
      <c r="A11207" t="s">
        <v>21727</v>
      </c>
      <c r="B11207" t="s">
        <v>21727</v>
      </c>
      <c r="C11207" t="s">
        <v>17</v>
      </c>
      <c r="D11207" t="s">
        <v>18</v>
      </c>
      <c r="E11207" s="6">
        <v>-28750</v>
      </c>
      <c r="F11207" t="s">
        <v>917</v>
      </c>
      <c r="G11207" t="s">
        <v>20</v>
      </c>
      <c r="H11207" t="s">
        <v>21</v>
      </c>
      <c r="I11207" t="s">
        <v>21734</v>
      </c>
      <c r="J11207" t="str">
        <f>HYPERLINK("https://www.boe.es/gazeta/dias/1821/04/13/pdfs/GMD-1821-105.pdf#page=3","Abrir facsímil")</f>
        <v>Abrir facsímil</v>
      </c>
      <c r="K11207" t="s">
        <v>23</v>
      </c>
    </row>
    <row r="11208" spans="1:11" ht="42" customHeight="1">
      <c r="A11208" t="s">
        <v>21724</v>
      </c>
      <c r="B11208" t="s">
        <v>21724</v>
      </c>
      <c r="C11208" t="s">
        <v>35</v>
      </c>
      <c r="D11208" t="s">
        <v>27</v>
      </c>
      <c r="E11208" s="6">
        <v>-28748</v>
      </c>
      <c r="F11208" t="s">
        <v>634</v>
      </c>
      <c r="G11208" t="s">
        <v>52</v>
      </c>
      <c r="H11208" t="s">
        <v>21</v>
      </c>
      <c r="I11208" t="s">
        <v>21735</v>
      </c>
      <c r="J11208" t="str">
        <f>HYPERLINK("https://www.boe.es/gazeta/dias/1821/04/15/pdfs/GMD-1821-107.pdf#page=2","Abrir facsímil")</f>
        <v>Abrir facsímil</v>
      </c>
      <c r="K11208" t="s">
        <v>23</v>
      </c>
    </row>
    <row r="11209" spans="1:11" ht="42" customHeight="1">
      <c r="A11209" t="s">
        <v>21727</v>
      </c>
      <c r="B11209" t="s">
        <v>21727</v>
      </c>
      <c r="C11209" t="s">
        <v>17</v>
      </c>
      <c r="D11209" t="s">
        <v>18</v>
      </c>
      <c r="E11209" s="6">
        <v>-28746</v>
      </c>
      <c r="F11209" t="s">
        <v>687</v>
      </c>
      <c r="G11209" t="s">
        <v>29</v>
      </c>
      <c r="H11209" t="s">
        <v>21</v>
      </c>
      <c r="I11209" t="s">
        <v>21736</v>
      </c>
      <c r="J11209" t="str">
        <f>HYPERLINK("https://www.boe.es/gazeta/dias/1821/04/17/pdfs/GMD-1821-109.pdf#page=6","Abrir facsímil")</f>
        <v>Abrir facsímil</v>
      </c>
      <c r="K11209" t="s">
        <v>23</v>
      </c>
    </row>
    <row r="11210" spans="1:11" ht="42" customHeight="1">
      <c r="A11210" t="s">
        <v>21727</v>
      </c>
      <c r="B11210" t="s">
        <v>21727</v>
      </c>
      <c r="C11210" t="s">
        <v>40</v>
      </c>
      <c r="D11210" t="s">
        <v>41</v>
      </c>
      <c r="E11210" s="6">
        <v>-28736</v>
      </c>
      <c r="F11210" t="s">
        <v>464</v>
      </c>
      <c r="G11210" t="s">
        <v>52</v>
      </c>
      <c r="H11210" t="s">
        <v>21</v>
      </c>
      <c r="I11210" t="s">
        <v>21737</v>
      </c>
      <c r="J11210" t="str">
        <f>HYPERLINK("https://www.boe.es/gazeta/dias/1821/04/27/pdfs/GMD-1821-119.pdf#page=2","Abrir facsímil")</f>
        <v>Abrir facsímil</v>
      </c>
      <c r="K11210" t="s">
        <v>23</v>
      </c>
    </row>
    <row r="11211" spans="1:11" ht="42" customHeight="1">
      <c r="A11211" t="s">
        <v>21727</v>
      </c>
      <c r="B11211" t="s">
        <v>21727</v>
      </c>
      <c r="C11211" t="s">
        <v>26</v>
      </c>
      <c r="D11211" t="s">
        <v>27</v>
      </c>
      <c r="E11211" s="6">
        <v>-28733</v>
      </c>
      <c r="F11211" t="s">
        <v>1033</v>
      </c>
      <c r="G11211" t="s">
        <v>20</v>
      </c>
      <c r="H11211" t="s">
        <v>21</v>
      </c>
      <c r="I11211" t="s">
        <v>21738</v>
      </c>
      <c r="J11211" t="str">
        <f>HYPERLINK("https://www.boe.es/gazeta/dias/1821/04/30/pdfs/GMD-1821-122.pdf#page=3","Abrir facsímil")</f>
        <v>Abrir facsímil</v>
      </c>
      <c r="K11211" t="s">
        <v>23</v>
      </c>
    </row>
    <row r="11212" spans="1:11" ht="42" customHeight="1">
      <c r="A11212" t="s">
        <v>21727</v>
      </c>
      <c r="B11212" t="s">
        <v>21727</v>
      </c>
      <c r="C11212" t="s">
        <v>35</v>
      </c>
      <c r="D11212" t="s">
        <v>27</v>
      </c>
      <c r="E11212" s="6">
        <v>-28732</v>
      </c>
      <c r="F11212" t="s">
        <v>2628</v>
      </c>
      <c r="G11212" t="s">
        <v>52</v>
      </c>
      <c r="H11212" t="s">
        <v>21</v>
      </c>
      <c r="I11212" t="s">
        <v>21739</v>
      </c>
      <c r="J11212" t="str">
        <f>HYPERLINK("https://www.boe.es/gazeta/dias/1821/05/01/pdfs/GMD-1821-123.pdf#page=2","Abrir facsímil")</f>
        <v>Abrir facsímil</v>
      </c>
      <c r="K11212" t="s">
        <v>23</v>
      </c>
    </row>
    <row r="11213" spans="1:11" ht="42" customHeight="1">
      <c r="A11213" t="s">
        <v>21727</v>
      </c>
      <c r="B11213" t="s">
        <v>21727</v>
      </c>
      <c r="C11213" t="s">
        <v>35</v>
      </c>
      <c r="D11213" t="s">
        <v>27</v>
      </c>
      <c r="E11213" s="6">
        <v>-28684</v>
      </c>
      <c r="F11213" t="s">
        <v>208</v>
      </c>
      <c r="G11213" t="s">
        <v>88</v>
      </c>
      <c r="H11213" t="s">
        <v>21</v>
      </c>
      <c r="I11213" t="s">
        <v>21740</v>
      </c>
      <c r="J11213" t="str">
        <f>HYPERLINK("https://www.boe.es/gazeta/dias/1821/06/18/pdfs/GMD-1821-171.pdf#page=4","Abrir facsímil")</f>
        <v>Abrir facsímil</v>
      </c>
      <c r="K11213" t="s">
        <v>23</v>
      </c>
    </row>
    <row r="11214" spans="1:11" ht="42" customHeight="1">
      <c r="A11214" t="s">
        <v>21727</v>
      </c>
      <c r="B11214" t="s">
        <v>21727</v>
      </c>
      <c r="C11214" t="s">
        <v>17</v>
      </c>
      <c r="D11214" t="s">
        <v>18</v>
      </c>
      <c r="E11214" s="6">
        <v>-28683</v>
      </c>
      <c r="F11214" t="s">
        <v>332</v>
      </c>
      <c r="G11214" t="s">
        <v>88</v>
      </c>
      <c r="H11214" t="s">
        <v>21</v>
      </c>
      <c r="I11214" t="s">
        <v>21741</v>
      </c>
      <c r="J11214" t="str">
        <f>HYPERLINK("https://www.boe.es/gazeta/dias/1821/06/19/pdfs/GMD-1821-172.pdf#page=4","Abrir facsímil")</f>
        <v>Abrir facsímil</v>
      </c>
      <c r="K11214" t="s">
        <v>23</v>
      </c>
    </row>
    <row r="11215" spans="1:11" ht="42" customHeight="1">
      <c r="A11215" t="s">
        <v>21727</v>
      </c>
      <c r="B11215" t="s">
        <v>21727</v>
      </c>
      <c r="C11215" t="s">
        <v>26</v>
      </c>
      <c r="D11215" t="s">
        <v>27</v>
      </c>
      <c r="E11215" s="6">
        <v>-28566</v>
      </c>
      <c r="F11215" t="s">
        <v>1529</v>
      </c>
      <c r="G11215" t="s">
        <v>20</v>
      </c>
      <c r="H11215" t="s">
        <v>21</v>
      </c>
      <c r="I11215" t="s">
        <v>21742</v>
      </c>
      <c r="J11215" t="str">
        <f>HYPERLINK("https://www.boe.es/gazeta/dias/1821/10/14/pdfs/GMD-1821-293.pdf#page=3","Abrir facsímil")</f>
        <v>Abrir facsímil</v>
      </c>
      <c r="K11215" t="s">
        <v>23</v>
      </c>
    </row>
    <row r="11216" spans="1:11" ht="42" customHeight="1">
      <c r="A11216" t="s">
        <v>21727</v>
      </c>
      <c r="B11216" t="s">
        <v>21727</v>
      </c>
      <c r="C11216" t="s">
        <v>40</v>
      </c>
      <c r="D11216" t="s">
        <v>41</v>
      </c>
      <c r="E11216" s="6">
        <v>-28561</v>
      </c>
      <c r="F11216" t="s">
        <v>240</v>
      </c>
      <c r="G11216" t="s">
        <v>162</v>
      </c>
      <c r="H11216" t="s">
        <v>21</v>
      </c>
      <c r="I11216" t="s">
        <v>21743</v>
      </c>
      <c r="J11216" t="str">
        <f>HYPERLINK("https://www.boe.es/gazeta/dias/1821/10/19/pdfs/GMD-1821-298.pdf#page=5","Abrir facsímil")</f>
        <v>Abrir facsímil</v>
      </c>
      <c r="K11216" t="s">
        <v>23</v>
      </c>
    </row>
    <row r="11217" spans="1:11" ht="42" customHeight="1">
      <c r="A11217" t="s">
        <v>21727</v>
      </c>
      <c r="B11217" t="s">
        <v>21727</v>
      </c>
      <c r="C11217" t="s">
        <v>40</v>
      </c>
      <c r="D11217" t="s">
        <v>41</v>
      </c>
      <c r="E11217" s="6">
        <v>-28561</v>
      </c>
      <c r="F11217" t="s">
        <v>240</v>
      </c>
      <c r="G11217" t="s">
        <v>29</v>
      </c>
      <c r="H11217" t="s">
        <v>21</v>
      </c>
      <c r="I11217" t="s">
        <v>21744</v>
      </c>
      <c r="J11217" t="str">
        <f>HYPERLINK("https://www.boe.es/gazeta/dias/1821/10/19/pdfs/GMD-1821-298.pdf#page=6","Abrir facsímil")</f>
        <v>Abrir facsímil</v>
      </c>
      <c r="K11217" t="s">
        <v>23</v>
      </c>
    </row>
    <row r="11218" spans="1:11" ht="42" customHeight="1">
      <c r="A11218" t="s">
        <v>21727</v>
      </c>
      <c r="B11218" t="s">
        <v>21727</v>
      </c>
      <c r="C11218" t="s">
        <v>35</v>
      </c>
      <c r="D11218" t="s">
        <v>27</v>
      </c>
      <c r="E11218" s="6">
        <v>-28556</v>
      </c>
      <c r="F11218" t="s">
        <v>264</v>
      </c>
      <c r="G11218" t="s">
        <v>88</v>
      </c>
      <c r="H11218" t="s">
        <v>21</v>
      </c>
      <c r="I11218" t="s">
        <v>21745</v>
      </c>
      <c r="J11218" t="str">
        <f>HYPERLINK("https://www.boe.es/gazeta/dias/1821/10/24/pdfs/GMD-1821-303.pdf#page=4","Abrir facsímil")</f>
        <v>Abrir facsímil</v>
      </c>
      <c r="K11218" t="s">
        <v>23</v>
      </c>
    </row>
    <row r="11219" spans="1:11" ht="42" customHeight="1">
      <c r="A11219" t="s">
        <v>21727</v>
      </c>
      <c r="B11219" t="s">
        <v>21727</v>
      </c>
      <c r="C11219" t="s">
        <v>114</v>
      </c>
      <c r="D11219" t="s">
        <v>27</v>
      </c>
      <c r="E11219" s="6">
        <v>-28550</v>
      </c>
      <c r="F11219" t="s">
        <v>546</v>
      </c>
      <c r="G11219" t="s">
        <v>162</v>
      </c>
      <c r="H11219" t="s">
        <v>21</v>
      </c>
      <c r="I11219" t="s">
        <v>21746</v>
      </c>
      <c r="J11219" t="str">
        <f>HYPERLINK("https://www.boe.es/gazeta/dias/1821/10/30/pdfs/GMD-1821-309.pdf#page=5","Abrir facsímil")</f>
        <v>Abrir facsímil</v>
      </c>
      <c r="K11219" t="s">
        <v>23</v>
      </c>
    </row>
    <row r="11220" spans="1:11" ht="42" customHeight="1">
      <c r="A11220" t="s">
        <v>21727</v>
      </c>
      <c r="B11220" t="s">
        <v>21727</v>
      </c>
      <c r="C11220" t="s">
        <v>17</v>
      </c>
      <c r="D11220" t="s">
        <v>18</v>
      </c>
      <c r="E11220" s="6">
        <v>-28544</v>
      </c>
      <c r="F11220" t="s">
        <v>139</v>
      </c>
      <c r="G11220" t="s">
        <v>52</v>
      </c>
      <c r="H11220" t="s">
        <v>21</v>
      </c>
      <c r="I11220" t="s">
        <v>21747</v>
      </c>
      <c r="J11220" t="str">
        <f>HYPERLINK("https://www.boe.es/gazeta/dias/1821/11/05/pdfs/GMD-1821-316.pdf#page=2","Abrir facsímil")</f>
        <v>Abrir facsímil</v>
      </c>
      <c r="K11220" t="s">
        <v>23</v>
      </c>
    </row>
    <row r="11221" spans="1:11" ht="42" customHeight="1">
      <c r="A11221" t="s">
        <v>21727</v>
      </c>
      <c r="B11221" t="s">
        <v>21727</v>
      </c>
      <c r="C11221" t="s">
        <v>114</v>
      </c>
      <c r="D11221" t="s">
        <v>27</v>
      </c>
      <c r="E11221" s="6">
        <v>-28542</v>
      </c>
      <c r="F11221" t="s">
        <v>221</v>
      </c>
      <c r="G11221" t="s">
        <v>29</v>
      </c>
      <c r="H11221" t="s">
        <v>21</v>
      </c>
      <c r="I11221" t="s">
        <v>21748</v>
      </c>
      <c r="J11221" t="str">
        <f>HYPERLINK("https://www.boe.es/gazeta/dias/1821/11/07/pdfs/GMD-1821-318.pdf#page=6","Abrir facsímil")</f>
        <v>Abrir facsímil</v>
      </c>
      <c r="K11221" t="s">
        <v>23</v>
      </c>
    </row>
    <row r="11222" spans="1:11" ht="42" customHeight="1">
      <c r="A11222" t="s">
        <v>21727</v>
      </c>
      <c r="B11222" t="s">
        <v>21727</v>
      </c>
      <c r="C11222" t="s">
        <v>35</v>
      </c>
      <c r="D11222" t="s">
        <v>27</v>
      </c>
      <c r="E11222" s="6">
        <v>-28533</v>
      </c>
      <c r="F11222" t="s">
        <v>559</v>
      </c>
      <c r="G11222" t="s">
        <v>29</v>
      </c>
      <c r="H11222" t="s">
        <v>21</v>
      </c>
      <c r="I11222" t="s">
        <v>21749</v>
      </c>
      <c r="J11222" t="str">
        <f>HYPERLINK("https://www.boe.es/gazeta/dias/1821/11/16/pdfs/GMD-1821-327.pdf#page=6","Abrir facsímil")</f>
        <v>Abrir facsímil</v>
      </c>
      <c r="K11222" t="s">
        <v>23</v>
      </c>
    </row>
    <row r="11223" spans="1:11" ht="42" customHeight="1">
      <c r="A11223" t="s">
        <v>21727</v>
      </c>
      <c r="B11223" t="s">
        <v>21727</v>
      </c>
      <c r="C11223" t="s">
        <v>17</v>
      </c>
      <c r="D11223" t="s">
        <v>18</v>
      </c>
      <c r="E11223" s="6">
        <v>-28527</v>
      </c>
      <c r="F11223" t="s">
        <v>328</v>
      </c>
      <c r="G11223" t="s">
        <v>6605</v>
      </c>
      <c r="H11223" t="s">
        <v>21</v>
      </c>
      <c r="I11223" t="s">
        <v>21750</v>
      </c>
      <c r="J11223" t="str">
        <f>HYPERLINK("https://www.boe.es/gazeta/dias/1821/11/22/pdfs/GMD-1821-333.pdf#page=2","Abrir facsímil")</f>
        <v>Abrir facsímil</v>
      </c>
      <c r="K11223" t="s">
        <v>23</v>
      </c>
    </row>
    <row r="11224" spans="1:11" ht="42" customHeight="1">
      <c r="A11224" t="s">
        <v>21751</v>
      </c>
      <c r="B11224" t="s">
        <v>21751</v>
      </c>
      <c r="C11224" t="s">
        <v>35</v>
      </c>
      <c r="D11224" t="s">
        <v>27</v>
      </c>
      <c r="E11224" s="6">
        <v>-28527</v>
      </c>
      <c r="F11224" t="s">
        <v>328</v>
      </c>
      <c r="G11224" t="s">
        <v>20</v>
      </c>
      <c r="H11224" t="s">
        <v>21</v>
      </c>
      <c r="I11224" t="s">
        <v>21752</v>
      </c>
      <c r="J11224" t="str">
        <f>HYPERLINK("https://www.boe.es/gazeta/dias/1821/11/22/pdfs/GMD-1821-333.pdf#page=3","Abrir facsímil")</f>
        <v>Abrir facsímil</v>
      </c>
      <c r="K11224" t="s">
        <v>23</v>
      </c>
    </row>
    <row r="11225" spans="1:11" ht="42" customHeight="1">
      <c r="A11225" t="s">
        <v>21727</v>
      </c>
      <c r="B11225" t="s">
        <v>21727</v>
      </c>
      <c r="C11225" t="s">
        <v>17</v>
      </c>
      <c r="D11225" t="s">
        <v>18</v>
      </c>
      <c r="E11225" s="6">
        <v>-28526</v>
      </c>
      <c r="F11225" t="s">
        <v>223</v>
      </c>
      <c r="G11225" t="s">
        <v>1251</v>
      </c>
      <c r="H11225" t="s">
        <v>21</v>
      </c>
      <c r="I11225" t="s">
        <v>21753</v>
      </c>
      <c r="J11225" t="str">
        <f>HYPERLINK("https://www.boe.es/gazeta/dias/1821/11/23/pdfs/GMD-1821-334.pdf#page=3","Abrir facsímil")</f>
        <v>Abrir facsímil</v>
      </c>
      <c r="K11225" t="s">
        <v>23</v>
      </c>
    </row>
    <row r="11226" spans="1:11" ht="42" customHeight="1">
      <c r="A11226" t="s">
        <v>21727</v>
      </c>
      <c r="B11226" t="s">
        <v>21727</v>
      </c>
      <c r="C11226" t="s">
        <v>26</v>
      </c>
      <c r="D11226" t="s">
        <v>27</v>
      </c>
      <c r="E11226" s="6">
        <v>-28523</v>
      </c>
      <c r="F11226" t="s">
        <v>257</v>
      </c>
      <c r="G11226" t="s">
        <v>88</v>
      </c>
      <c r="H11226" t="s">
        <v>21</v>
      </c>
      <c r="I11226" t="s">
        <v>21754</v>
      </c>
      <c r="J11226" t="str">
        <f>HYPERLINK("https://www.boe.es/gazeta/dias/1821/11/26/pdfs/GMD-1821-337.pdf#page=4","Abrir facsímil")</f>
        <v>Abrir facsímil</v>
      </c>
      <c r="K11226" t="s">
        <v>23</v>
      </c>
    </row>
    <row r="11227" spans="1:11" ht="42" customHeight="1">
      <c r="A11227" t="s">
        <v>21727</v>
      </c>
      <c r="B11227" t="s">
        <v>21727</v>
      </c>
      <c r="C11227" t="s">
        <v>17</v>
      </c>
      <c r="D11227" t="s">
        <v>18</v>
      </c>
      <c r="E11227" s="6">
        <v>-28520</v>
      </c>
      <c r="F11227" t="s">
        <v>878</v>
      </c>
      <c r="G11227" t="s">
        <v>20</v>
      </c>
      <c r="H11227" t="s">
        <v>21</v>
      </c>
      <c r="I11227" t="s">
        <v>21755</v>
      </c>
      <c r="J11227" t="str">
        <f>HYPERLINK("https://www.boe.es/gazeta/dias/1821/11/29/pdfs/GMD-1821-341.pdf#page=3","Abrir facsímil")</f>
        <v>Abrir facsímil</v>
      </c>
      <c r="K11227" t="s">
        <v>23</v>
      </c>
    </row>
    <row r="11228" spans="1:11" ht="42" customHeight="1">
      <c r="A11228" t="s">
        <v>21724</v>
      </c>
      <c r="B11228" t="s">
        <v>21724</v>
      </c>
      <c r="C11228" t="s">
        <v>35</v>
      </c>
      <c r="D11228" t="s">
        <v>27</v>
      </c>
      <c r="E11228" s="6">
        <v>-28518</v>
      </c>
      <c r="F11228" t="s">
        <v>410</v>
      </c>
      <c r="G11228" t="s">
        <v>162</v>
      </c>
      <c r="H11228" t="s">
        <v>21</v>
      </c>
      <c r="I11228" t="s">
        <v>21756</v>
      </c>
      <c r="J11228" t="str">
        <f>HYPERLINK("https://www.boe.es/gazeta/dias/1821/12/01/pdfs/GMD-1821-343.pdf#page=5","Abrir facsímil")</f>
        <v>Abrir facsímil</v>
      </c>
      <c r="K11228" t="s">
        <v>23</v>
      </c>
    </row>
    <row r="11229" spans="1:11" ht="42" customHeight="1">
      <c r="A11229" t="s">
        <v>21727</v>
      </c>
      <c r="B11229" t="s">
        <v>21727</v>
      </c>
      <c r="C11229" t="s">
        <v>26</v>
      </c>
      <c r="D11229" t="s">
        <v>27</v>
      </c>
      <c r="E11229" s="6">
        <v>-28514</v>
      </c>
      <c r="F11229" t="s">
        <v>103</v>
      </c>
      <c r="G11229" t="s">
        <v>20</v>
      </c>
      <c r="H11229" t="s">
        <v>21</v>
      </c>
      <c r="I11229" t="s">
        <v>21757</v>
      </c>
      <c r="J11229" t="str">
        <f>HYPERLINK("https://www.boe.es/gazeta/dias/1821/12/05/pdfs/GMD-1821-347.pdf#page=3","Abrir facsímil")</f>
        <v>Abrir facsímil</v>
      </c>
      <c r="K11229" t="s">
        <v>23</v>
      </c>
    </row>
    <row r="11230" spans="1:11" ht="42" customHeight="1">
      <c r="A11230" t="s">
        <v>21758</v>
      </c>
      <c r="B11230" t="s">
        <v>21759</v>
      </c>
      <c r="C11230" t="s">
        <v>70</v>
      </c>
      <c r="D11230" t="s">
        <v>27</v>
      </c>
      <c r="E11230" s="6">
        <v>-28763</v>
      </c>
      <c r="F11230" t="s">
        <v>1145</v>
      </c>
      <c r="G11230" t="s">
        <v>20</v>
      </c>
      <c r="H11230" t="s">
        <v>21</v>
      </c>
      <c r="I11230" t="s">
        <v>21760</v>
      </c>
      <c r="J11230" t="str">
        <f>HYPERLINK("https://www.boe.es/gazeta/dias/1821/03/31/pdfs/GMD-1821-92.pdf#page=3","Abrir facsímil")</f>
        <v>Abrir facsímil</v>
      </c>
      <c r="K11230" t="s">
        <v>23</v>
      </c>
    </row>
    <row r="11231" spans="1:11" ht="42" customHeight="1">
      <c r="A11231" t="s">
        <v>21761</v>
      </c>
      <c r="B11231" t="s">
        <v>21761</v>
      </c>
      <c r="C11231" t="s">
        <v>35</v>
      </c>
      <c r="D11231" t="s">
        <v>27</v>
      </c>
      <c r="E11231" s="6">
        <v>-28721</v>
      </c>
      <c r="F11231" t="s">
        <v>92</v>
      </c>
      <c r="G11231" t="s">
        <v>3795</v>
      </c>
      <c r="H11231" t="s">
        <v>21</v>
      </c>
      <c r="I11231" t="s">
        <v>21762</v>
      </c>
      <c r="J11231" t="str">
        <f>HYPERLINK("https://www.boe.es/gazeta/dias/1821/05/12/pdfs/GMD-1821-134.pdf#page=3","Abrir facsímil")</f>
        <v>Abrir facsímil</v>
      </c>
      <c r="K11231" t="s">
        <v>23</v>
      </c>
    </row>
    <row r="11232" spans="1:11" ht="42" customHeight="1">
      <c r="A11232" t="s">
        <v>21763</v>
      </c>
      <c r="B11232" t="s">
        <v>21763</v>
      </c>
      <c r="C11232" t="s">
        <v>174</v>
      </c>
      <c r="D11232" t="s">
        <v>27</v>
      </c>
      <c r="E11232" s="6">
        <v>-28574</v>
      </c>
      <c r="F11232" t="s">
        <v>779</v>
      </c>
      <c r="G11232" t="s">
        <v>333</v>
      </c>
      <c r="H11232" t="s">
        <v>21</v>
      </c>
      <c r="I11232" t="s">
        <v>21764</v>
      </c>
      <c r="J11232" t="str">
        <f>HYPERLINK("https://www.boe.es/gazeta/dias/1821/10/06/pdfs/GMD-1821-285.pdf#page=8","Abrir facsímil")</f>
        <v>Abrir facsímil</v>
      </c>
      <c r="K11232" t="s">
        <v>23</v>
      </c>
    </row>
    <row r="11233" spans="1:11" ht="42" customHeight="1">
      <c r="A11233" t="s">
        <v>21765</v>
      </c>
      <c r="B11233" t="s">
        <v>21765</v>
      </c>
      <c r="C11233" t="s">
        <v>26</v>
      </c>
      <c r="D11233" t="s">
        <v>27</v>
      </c>
      <c r="E11233" s="6">
        <v>-28790</v>
      </c>
      <c r="F11233" t="s">
        <v>991</v>
      </c>
      <c r="G11233" t="s">
        <v>20</v>
      </c>
      <c r="H11233" t="s">
        <v>21</v>
      </c>
      <c r="I11233" t="s">
        <v>21766</v>
      </c>
      <c r="J11233" t="str">
        <f>HYPERLINK("https://www.boe.es/gazeta/dias/1821/03/04/pdfs/GGB-1821-63.pdf#page=3","Abrir facsímil")</f>
        <v>Abrir facsímil</v>
      </c>
      <c r="K11233" t="s">
        <v>23</v>
      </c>
    </row>
    <row r="11234" spans="1:11" ht="42" customHeight="1">
      <c r="A11234" t="s">
        <v>21767</v>
      </c>
      <c r="B11234" t="s">
        <v>21767</v>
      </c>
      <c r="C11234" t="s">
        <v>26</v>
      </c>
      <c r="D11234" t="s">
        <v>27</v>
      </c>
      <c r="E11234" s="6">
        <v>-28746</v>
      </c>
      <c r="F11234" t="s">
        <v>687</v>
      </c>
      <c r="G11234" t="s">
        <v>88</v>
      </c>
      <c r="H11234" t="s">
        <v>21</v>
      </c>
      <c r="I11234" t="s">
        <v>21768</v>
      </c>
      <c r="J11234" t="str">
        <f>HYPERLINK("https://www.boe.es/gazeta/dias/1821/04/17/pdfs/GMD-1821-109.pdf#page=4","Abrir facsímil")</f>
        <v>Abrir facsímil</v>
      </c>
      <c r="K11234" t="s">
        <v>23</v>
      </c>
    </row>
    <row r="11235" spans="1:11" ht="42" customHeight="1">
      <c r="A11235" t="s">
        <v>21769</v>
      </c>
      <c r="B11235" t="s">
        <v>21769</v>
      </c>
      <c r="C11235" t="s">
        <v>26</v>
      </c>
      <c r="D11235" t="s">
        <v>27</v>
      </c>
      <c r="E11235" s="6">
        <v>-28516</v>
      </c>
      <c r="F11235" t="s">
        <v>514</v>
      </c>
      <c r="G11235" t="s">
        <v>29</v>
      </c>
      <c r="H11235" t="s">
        <v>21</v>
      </c>
      <c r="I11235" t="s">
        <v>21770</v>
      </c>
      <c r="J11235" t="str">
        <f>HYPERLINK("https://www.boe.es/gazeta/dias/1821/12/03/pdfs/GMD-1821-345.pdf#page=6","Abrir facsímil")</f>
        <v>Abrir facsímil</v>
      </c>
      <c r="K11235" t="s">
        <v>23</v>
      </c>
    </row>
    <row r="11236" spans="1:11" ht="42" customHeight="1">
      <c r="A11236" t="s">
        <v>21771</v>
      </c>
      <c r="B11236" t="s">
        <v>21772</v>
      </c>
      <c r="C11236" t="s">
        <v>40</v>
      </c>
      <c r="D11236" t="s">
        <v>41</v>
      </c>
      <c r="E11236" s="6">
        <v>-28838</v>
      </c>
      <c r="F11236" t="s">
        <v>7260</v>
      </c>
      <c r="G11236" t="s">
        <v>20</v>
      </c>
      <c r="H11236" t="s">
        <v>21</v>
      </c>
      <c r="I11236" t="s">
        <v>21773</v>
      </c>
      <c r="J11236" t="str">
        <f>HYPERLINK("https://www.boe.es/gazeta/dias/1821/01/15/pdfs/GGB-1821-15.pdf#page=3","Abrir facsímil")</f>
        <v>Abrir facsímil</v>
      </c>
      <c r="K11236" t="s">
        <v>23</v>
      </c>
    </row>
    <row r="11237" spans="1:11" ht="42" customHeight="1">
      <c r="A11237" t="s">
        <v>21774</v>
      </c>
      <c r="B11237" t="s">
        <v>21775</v>
      </c>
      <c r="C11237" t="s">
        <v>174</v>
      </c>
      <c r="D11237" t="s">
        <v>27</v>
      </c>
      <c r="E11237" s="6">
        <v>-28555</v>
      </c>
      <c r="F11237" t="s">
        <v>219</v>
      </c>
      <c r="G11237" t="s">
        <v>29</v>
      </c>
      <c r="H11237" t="s">
        <v>21</v>
      </c>
      <c r="I11237" t="s">
        <v>21776</v>
      </c>
      <c r="J11237" t="str">
        <f>HYPERLINK("https://www.boe.es/gazeta/dias/1821/10/25/pdfs/GMD-1821-304.pdf#page=6","Abrir facsímil")</f>
        <v>Abrir facsímil</v>
      </c>
      <c r="K11237" t="s">
        <v>23</v>
      </c>
    </row>
    <row r="11238" spans="1:11" ht="42" customHeight="1">
      <c r="A11238" t="s">
        <v>21777</v>
      </c>
      <c r="B11238" t="s">
        <v>21777</v>
      </c>
      <c r="C11238" t="s">
        <v>26</v>
      </c>
      <c r="D11238" t="s">
        <v>27</v>
      </c>
      <c r="E11238" s="6">
        <v>-28820</v>
      </c>
      <c r="F11238" t="s">
        <v>1430</v>
      </c>
      <c r="G11238" t="s">
        <v>43</v>
      </c>
      <c r="H11238" t="s">
        <v>21</v>
      </c>
      <c r="I11238" t="s">
        <v>21778</v>
      </c>
      <c r="J11238" t="str">
        <f>HYPERLINK("https://www.boe.es/gazeta/dias/1821/02/02/pdfs/GGB-1821-33.pdf#page=1","Abrir facsímil")</f>
        <v>Abrir facsímil</v>
      </c>
      <c r="K11238" t="s">
        <v>23</v>
      </c>
    </row>
    <row r="11239" spans="1:11" ht="42" customHeight="1">
      <c r="A11239" t="s">
        <v>21779</v>
      </c>
      <c r="B11239" t="s">
        <v>21779</v>
      </c>
      <c r="C11239" t="s">
        <v>17</v>
      </c>
      <c r="D11239" t="s">
        <v>18</v>
      </c>
      <c r="E11239" s="6">
        <v>-28844</v>
      </c>
      <c r="F11239" t="s">
        <v>1743</v>
      </c>
      <c r="G11239" t="s">
        <v>52</v>
      </c>
      <c r="H11239" t="s">
        <v>21</v>
      </c>
      <c r="I11239" t="s">
        <v>21780</v>
      </c>
      <c r="J11239" t="str">
        <f>HYPERLINK("https://www.boe.es/gazeta/dias/1821/01/09/pdfs/GGB-1821-9.pdf#page=2","Abrir facsímil")</f>
        <v>Abrir facsímil</v>
      </c>
      <c r="K11239" t="s">
        <v>23</v>
      </c>
    </row>
    <row r="11240" spans="1:11" ht="42" customHeight="1">
      <c r="A11240" t="s">
        <v>21781</v>
      </c>
      <c r="B11240" t="s">
        <v>21782</v>
      </c>
      <c r="C11240" t="s">
        <v>40</v>
      </c>
      <c r="D11240" t="s">
        <v>41</v>
      </c>
      <c r="E11240" s="6">
        <v>-28675</v>
      </c>
      <c r="F11240" t="s">
        <v>943</v>
      </c>
      <c r="G11240" t="s">
        <v>52</v>
      </c>
      <c r="H11240" t="s">
        <v>21</v>
      </c>
      <c r="I11240" t="s">
        <v>21783</v>
      </c>
      <c r="J11240" t="str">
        <f>HYPERLINK("https://www.boe.es/gazeta/dias/1821/06/27/pdfs/GMD-1821-180.pdf#page=2","Abrir facsímil")</f>
        <v>Abrir facsímil</v>
      </c>
      <c r="K11240" t="s">
        <v>23</v>
      </c>
    </row>
    <row r="11241" spans="1:11" ht="42" customHeight="1">
      <c r="A11241" t="s">
        <v>21784</v>
      </c>
      <c r="B11241" t="s">
        <v>21784</v>
      </c>
      <c r="C11241" t="s">
        <v>40</v>
      </c>
      <c r="D11241" t="s">
        <v>41</v>
      </c>
      <c r="E11241" s="6">
        <v>-28770</v>
      </c>
      <c r="F11241" t="s">
        <v>1009</v>
      </c>
      <c r="G11241" t="s">
        <v>20</v>
      </c>
      <c r="H11241" t="s">
        <v>21</v>
      </c>
      <c r="I11241" t="s">
        <v>21785</v>
      </c>
      <c r="J11241" t="str">
        <f>HYPERLINK("https://www.boe.es/gazeta/dias/1821/03/24/pdfs/GMD-1821-84.pdf#page=3","Abrir facsímil")</f>
        <v>Abrir facsímil</v>
      </c>
      <c r="K11241" t="s">
        <v>23</v>
      </c>
    </row>
    <row r="11242" spans="1:11" ht="42" customHeight="1">
      <c r="A11242" t="s">
        <v>21786</v>
      </c>
      <c r="B11242" t="s">
        <v>21786</v>
      </c>
      <c r="C11242" t="s">
        <v>40</v>
      </c>
      <c r="D11242" t="s">
        <v>41</v>
      </c>
      <c r="E11242" s="6">
        <v>-28808</v>
      </c>
      <c r="F11242" t="s">
        <v>3445</v>
      </c>
      <c r="G11242" t="s">
        <v>43</v>
      </c>
      <c r="H11242" t="s">
        <v>21</v>
      </c>
      <c r="I11242" t="s">
        <v>21787</v>
      </c>
      <c r="J11242" t="str">
        <f>HYPERLINK("https://www.boe.es/gazeta/dias/1821/02/14/pdfs/GGB-1821-45.pdf#page=1","Abrir facsímil")</f>
        <v>Abrir facsímil</v>
      </c>
      <c r="K11242" t="s">
        <v>23</v>
      </c>
    </row>
    <row r="11243" spans="1:11" ht="42" customHeight="1">
      <c r="A11243" t="s">
        <v>21788</v>
      </c>
      <c r="B11243" t="s">
        <v>21789</v>
      </c>
      <c r="C11243" t="s">
        <v>114</v>
      </c>
      <c r="D11243" t="s">
        <v>27</v>
      </c>
      <c r="E11243" s="6">
        <v>-28740</v>
      </c>
      <c r="F11243" t="s">
        <v>2800</v>
      </c>
      <c r="G11243" t="s">
        <v>52</v>
      </c>
      <c r="H11243" t="s">
        <v>21</v>
      </c>
      <c r="I11243" t="s">
        <v>21790</v>
      </c>
      <c r="J11243" t="str">
        <f>HYPERLINK("https://www.boe.es/gazeta/dias/1821/04/23/pdfs/GMD-1821-115.pdf#page=2","Abrir facsímil")</f>
        <v>Abrir facsímil</v>
      </c>
      <c r="K11243" t="s">
        <v>23</v>
      </c>
    </row>
    <row r="11244" spans="1:11" ht="42" customHeight="1">
      <c r="A11244" t="s">
        <v>21791</v>
      </c>
      <c r="B11244" t="s">
        <v>21792</v>
      </c>
      <c r="C11244" t="s">
        <v>40</v>
      </c>
      <c r="D11244" t="s">
        <v>41</v>
      </c>
      <c r="E11244" s="6">
        <v>-28745</v>
      </c>
      <c r="F11244" t="s">
        <v>1020</v>
      </c>
      <c r="G11244" t="s">
        <v>43</v>
      </c>
      <c r="H11244" t="s">
        <v>21</v>
      </c>
      <c r="I11244" t="s">
        <v>21793</v>
      </c>
      <c r="J11244" t="str">
        <f>HYPERLINK("https://www.boe.es/gazeta/dias/1821/04/18/pdfs/GMD-1821-110.pdf#page=1","Abrir facsímil")</f>
        <v>Abrir facsímil</v>
      </c>
      <c r="K11244" t="s">
        <v>23</v>
      </c>
    </row>
    <row r="11245" spans="1:11" ht="42" customHeight="1">
      <c r="A11245" t="s">
        <v>21794</v>
      </c>
      <c r="B11245" t="s">
        <v>21794</v>
      </c>
      <c r="C11245" t="s">
        <v>40</v>
      </c>
      <c r="D11245" t="s">
        <v>41</v>
      </c>
      <c r="E11245" s="6">
        <v>-28544</v>
      </c>
      <c r="F11245" t="s">
        <v>139</v>
      </c>
      <c r="G11245" t="s">
        <v>43</v>
      </c>
      <c r="H11245" t="s">
        <v>21</v>
      </c>
      <c r="I11245" t="s">
        <v>21795</v>
      </c>
      <c r="J11245" t="str">
        <f>HYPERLINK("https://www.boe.es/gazeta/dias/1821/11/05/pdfs/GMD-1821-316.pdf#page=1","Abrir facsímil")</f>
        <v>Abrir facsímil</v>
      </c>
      <c r="K11245" t="s">
        <v>23</v>
      </c>
    </row>
    <row r="11246" spans="1:11" ht="42" customHeight="1">
      <c r="A11246" t="s">
        <v>21796</v>
      </c>
      <c r="B11246" t="s">
        <v>21796</v>
      </c>
      <c r="C11246" t="s">
        <v>40</v>
      </c>
      <c r="D11246" t="s">
        <v>41</v>
      </c>
      <c r="E11246" s="6">
        <v>-28526</v>
      </c>
      <c r="F11246" t="s">
        <v>223</v>
      </c>
      <c r="G11246" t="s">
        <v>1251</v>
      </c>
      <c r="H11246" t="s">
        <v>21</v>
      </c>
      <c r="I11246" t="s">
        <v>21797</v>
      </c>
      <c r="J11246" t="str">
        <f>HYPERLINK("https://www.boe.es/gazeta/dias/1821/11/23/pdfs/GMD-1821-334.pdf#page=3","Abrir facsímil")</f>
        <v>Abrir facsímil</v>
      </c>
      <c r="K11246" t="s">
        <v>23</v>
      </c>
    </row>
    <row r="11247" spans="1:11" ht="42" customHeight="1">
      <c r="A11247" t="s">
        <v>21798</v>
      </c>
      <c r="B11247" t="s">
        <v>21799</v>
      </c>
      <c r="C11247" t="s">
        <v>35</v>
      </c>
      <c r="D11247" t="s">
        <v>27</v>
      </c>
      <c r="E11247" s="6">
        <v>-28716</v>
      </c>
      <c r="F11247" t="s">
        <v>842</v>
      </c>
      <c r="G11247" t="s">
        <v>88</v>
      </c>
      <c r="H11247" t="s">
        <v>21</v>
      </c>
      <c r="I11247" t="s">
        <v>21800</v>
      </c>
      <c r="J11247" t="str">
        <f>HYPERLINK("https://www.boe.es/gazeta/dias/1821/05/17/pdfs/GMD-1821-139.pdf#page=4","Abrir facsímil")</f>
        <v>Abrir facsímil</v>
      </c>
      <c r="K11247" t="s">
        <v>23</v>
      </c>
    </row>
    <row r="11248" spans="1:11" ht="42" customHeight="1">
      <c r="A11248" t="s">
        <v>21798</v>
      </c>
      <c r="B11248" t="s">
        <v>21799</v>
      </c>
      <c r="C11248" t="s">
        <v>279</v>
      </c>
      <c r="D11248" t="s">
        <v>27</v>
      </c>
      <c r="E11248" s="6">
        <v>-28621</v>
      </c>
      <c r="F11248" t="s">
        <v>1317</v>
      </c>
      <c r="G11248" t="s">
        <v>88</v>
      </c>
      <c r="H11248" t="s">
        <v>21</v>
      </c>
      <c r="I11248" t="s">
        <v>21801</v>
      </c>
      <c r="J11248" t="str">
        <f>HYPERLINK("https://www.boe.es/gazeta/dias/1821/08/20/pdfs/GMD-1821-237.pdf#page=4","Abrir facsímil")</f>
        <v>Abrir facsímil</v>
      </c>
      <c r="K11248" t="s">
        <v>23</v>
      </c>
    </row>
    <row r="11249" spans="1:11" ht="42" customHeight="1">
      <c r="A11249" t="s">
        <v>21802</v>
      </c>
      <c r="B11249" t="s">
        <v>21802</v>
      </c>
      <c r="C11249" t="s">
        <v>26</v>
      </c>
      <c r="D11249" t="s">
        <v>27</v>
      </c>
      <c r="E11249" s="6">
        <v>-28628</v>
      </c>
      <c r="F11249" t="s">
        <v>4257</v>
      </c>
      <c r="G11249" t="s">
        <v>52</v>
      </c>
      <c r="H11249" t="s">
        <v>21</v>
      </c>
      <c r="I11249" t="s">
        <v>21803</v>
      </c>
      <c r="J11249" t="str">
        <f>HYPERLINK("https://www.boe.es/gazeta/dias/1821/08/13/pdfs/GMD-1821-230.pdf#page=2","Abrir facsímil")</f>
        <v>Abrir facsímil</v>
      </c>
      <c r="K11249" t="s">
        <v>23</v>
      </c>
    </row>
    <row r="11250" spans="1:11" ht="42" customHeight="1">
      <c r="A11250" t="s">
        <v>21804</v>
      </c>
      <c r="B11250" t="s">
        <v>21804</v>
      </c>
      <c r="C11250" t="s">
        <v>35</v>
      </c>
      <c r="D11250" t="s">
        <v>27</v>
      </c>
      <c r="E11250" s="6">
        <v>-28624</v>
      </c>
      <c r="F11250" t="s">
        <v>78</v>
      </c>
      <c r="G11250" t="s">
        <v>79</v>
      </c>
      <c r="H11250" t="s">
        <v>21</v>
      </c>
      <c r="I11250" t="s">
        <v>21805</v>
      </c>
      <c r="J11250" t="str">
        <f>HYPERLINK("https://www.boe.es/gazeta/dias/1821/08/17/pdfs/GMD-1821-234.pdf#page=4","Abrir facsímil")</f>
        <v>Abrir facsímil</v>
      </c>
      <c r="K11250" t="s">
        <v>23</v>
      </c>
    </row>
    <row r="11251" spans="1:11" ht="42" customHeight="1">
      <c r="A11251" t="s">
        <v>21806</v>
      </c>
      <c r="B11251" t="s">
        <v>21806</v>
      </c>
      <c r="C11251" t="s">
        <v>40</v>
      </c>
      <c r="D11251" t="s">
        <v>41</v>
      </c>
      <c r="E11251" s="6">
        <v>-28597</v>
      </c>
      <c r="F11251" t="s">
        <v>811</v>
      </c>
      <c r="G11251" t="s">
        <v>52</v>
      </c>
      <c r="H11251" t="s">
        <v>21</v>
      </c>
      <c r="I11251" t="s">
        <v>21807</v>
      </c>
      <c r="J11251" t="str">
        <f>HYPERLINK("https://www.boe.es/gazeta/dias/1821/09/13/pdfs/GMD-1821-261.pdf#page=2","Abrir facsímil")</f>
        <v>Abrir facsímil</v>
      </c>
      <c r="K11251" t="s">
        <v>23</v>
      </c>
    </row>
    <row r="11252" spans="1:11" ht="42" customHeight="1">
      <c r="A11252" t="s">
        <v>21808</v>
      </c>
      <c r="B11252" t="s">
        <v>21808</v>
      </c>
      <c r="C11252" t="s">
        <v>40</v>
      </c>
      <c r="D11252" t="s">
        <v>41</v>
      </c>
      <c r="E11252" s="6">
        <v>-28776</v>
      </c>
      <c r="F11252" t="s">
        <v>312</v>
      </c>
      <c r="G11252" t="s">
        <v>52</v>
      </c>
      <c r="H11252" t="s">
        <v>21</v>
      </c>
      <c r="I11252" t="s">
        <v>21809</v>
      </c>
      <c r="J11252" t="str">
        <f>HYPERLINK("https://www.boe.es/gazeta/dias/1821/03/18/pdfs/GMD-1821-77.pdf#page=2","Abrir facsímil")</f>
        <v>Abrir facsímil</v>
      </c>
      <c r="K11252" t="s">
        <v>23</v>
      </c>
    </row>
    <row r="11253" spans="1:11" ht="42" customHeight="1">
      <c r="A11253" t="s">
        <v>21808</v>
      </c>
      <c r="B11253" t="s">
        <v>21808</v>
      </c>
      <c r="C11253" t="s">
        <v>40</v>
      </c>
      <c r="D11253" t="s">
        <v>41</v>
      </c>
      <c r="E11253" s="6">
        <v>-28759</v>
      </c>
      <c r="F11253" t="s">
        <v>71</v>
      </c>
      <c r="G11253" t="s">
        <v>20</v>
      </c>
      <c r="H11253" t="s">
        <v>21</v>
      </c>
      <c r="I11253" t="s">
        <v>21810</v>
      </c>
      <c r="J11253" t="str">
        <f>HYPERLINK("https://www.boe.es/gazeta/dias/1821/04/04/pdfs/GMD-1821-96.pdf#page=3","Abrir facsímil")</f>
        <v>Abrir facsímil</v>
      </c>
      <c r="K11253" t="s">
        <v>23</v>
      </c>
    </row>
    <row r="11254" spans="1:11" ht="42" customHeight="1">
      <c r="A11254" t="s">
        <v>21808</v>
      </c>
      <c r="B11254" t="s">
        <v>21808</v>
      </c>
      <c r="C11254" t="s">
        <v>40</v>
      </c>
      <c r="D11254" t="s">
        <v>41</v>
      </c>
      <c r="E11254" s="6">
        <v>-28758</v>
      </c>
      <c r="F11254" t="s">
        <v>4115</v>
      </c>
      <c r="G11254" t="s">
        <v>43</v>
      </c>
      <c r="H11254" t="s">
        <v>21</v>
      </c>
      <c r="I11254" t="s">
        <v>21811</v>
      </c>
      <c r="J11254" t="str">
        <f>HYPERLINK("https://www.boe.es/gazeta/dias/1821/04/05/pdfs/GMD-1821-97.pdf#page=1","Abrir facsímil")</f>
        <v>Abrir facsímil</v>
      </c>
      <c r="K11254" t="s">
        <v>23</v>
      </c>
    </row>
    <row r="11255" spans="1:11" ht="42" customHeight="1">
      <c r="A11255" t="s">
        <v>21808</v>
      </c>
      <c r="B11255" t="s">
        <v>21808</v>
      </c>
      <c r="C11255" t="s">
        <v>40</v>
      </c>
      <c r="D11255" t="s">
        <v>41</v>
      </c>
      <c r="E11255" s="6">
        <v>-28669</v>
      </c>
      <c r="F11255" t="s">
        <v>2816</v>
      </c>
      <c r="G11255" t="s">
        <v>20</v>
      </c>
      <c r="H11255" t="s">
        <v>21</v>
      </c>
      <c r="I11255" t="s">
        <v>21812</v>
      </c>
      <c r="J11255" t="str">
        <f>HYPERLINK("https://www.boe.es/gazeta/dias/1821/07/03/pdfs/GMD-1821-187.pdf#page=3","Abrir facsímil")</f>
        <v>Abrir facsímil</v>
      </c>
      <c r="K11255" t="s">
        <v>23</v>
      </c>
    </row>
    <row r="11256" spans="1:11" ht="42" customHeight="1">
      <c r="A11256" t="s">
        <v>21813</v>
      </c>
      <c r="B11256" t="s">
        <v>21813</v>
      </c>
      <c r="C11256" t="s">
        <v>35</v>
      </c>
      <c r="D11256" t="s">
        <v>27</v>
      </c>
      <c r="E11256" s="6">
        <v>-28626</v>
      </c>
      <c r="F11256" t="s">
        <v>468</v>
      </c>
      <c r="G11256" t="s">
        <v>52</v>
      </c>
      <c r="H11256" t="s">
        <v>21</v>
      </c>
      <c r="I11256" t="s">
        <v>21814</v>
      </c>
      <c r="J11256" t="str">
        <f>HYPERLINK("https://www.boe.es/gazeta/dias/1821/08/15/pdfs/GMD-1821-232.pdf#page=2","Abrir facsímil")</f>
        <v>Abrir facsímil</v>
      </c>
      <c r="K11256" t="s">
        <v>23</v>
      </c>
    </row>
    <row r="11257" spans="1:11" ht="42" customHeight="1">
      <c r="A11257" t="s">
        <v>21813</v>
      </c>
      <c r="B11257" t="s">
        <v>21813</v>
      </c>
      <c r="C11257" t="s">
        <v>114</v>
      </c>
      <c r="D11257" t="s">
        <v>27</v>
      </c>
      <c r="E11257" s="6">
        <v>-28624</v>
      </c>
      <c r="F11257" t="s">
        <v>78</v>
      </c>
      <c r="G11257" t="s">
        <v>9302</v>
      </c>
      <c r="H11257" t="s">
        <v>21</v>
      </c>
      <c r="I11257" t="s">
        <v>21815</v>
      </c>
      <c r="J11257" t="str">
        <f>HYPERLINK("https://www.boe.es/gazeta/dias/1821/08/17/pdfs/GMD-1821-234.pdf#page=2","Abrir facsímil")</f>
        <v>Abrir facsímil</v>
      </c>
      <c r="K11257" t="s">
        <v>23</v>
      </c>
    </row>
    <row r="11258" spans="1:11" ht="42" customHeight="1">
      <c r="A11258" t="s">
        <v>21813</v>
      </c>
      <c r="B11258" t="s">
        <v>21813</v>
      </c>
      <c r="C11258" t="s">
        <v>17</v>
      </c>
      <c r="D11258" t="s">
        <v>18</v>
      </c>
      <c r="E11258" s="6">
        <v>-28549</v>
      </c>
      <c r="F11258" t="s">
        <v>930</v>
      </c>
      <c r="G11258" t="s">
        <v>88</v>
      </c>
      <c r="H11258" t="s">
        <v>21</v>
      </c>
      <c r="I11258" t="s">
        <v>21816</v>
      </c>
      <c r="J11258" t="str">
        <f>HYPERLINK("https://www.boe.es/gazeta/dias/1821/10/31/pdfs/GMD-1821-310.pdf#page=4","Abrir facsímil")</f>
        <v>Abrir facsímil</v>
      </c>
      <c r="K11258" t="s">
        <v>23</v>
      </c>
    </row>
    <row r="11259" spans="1:11" ht="42" customHeight="1">
      <c r="A11259" t="s">
        <v>21817</v>
      </c>
      <c r="B11259" t="s">
        <v>21818</v>
      </c>
      <c r="C11259" t="s">
        <v>17</v>
      </c>
      <c r="D11259" t="s">
        <v>18</v>
      </c>
      <c r="E11259" s="6">
        <v>-28802</v>
      </c>
      <c r="F11259" t="s">
        <v>4814</v>
      </c>
      <c r="G11259" t="s">
        <v>88</v>
      </c>
      <c r="H11259" t="s">
        <v>21</v>
      </c>
      <c r="I11259" t="s">
        <v>21819</v>
      </c>
      <c r="J11259" t="str">
        <f>HYPERLINK("https://www.boe.es/gazeta/dias/1821/02/20/pdfs/GGB-1821-51.pdf#page=4","Abrir facsímil")</f>
        <v>Abrir facsímil</v>
      </c>
      <c r="K11259" t="s">
        <v>23</v>
      </c>
    </row>
    <row r="11260" spans="1:11" ht="42" customHeight="1">
      <c r="A11260" t="s">
        <v>21820</v>
      </c>
      <c r="B11260" t="s">
        <v>21820</v>
      </c>
      <c r="C11260" t="s">
        <v>40</v>
      </c>
      <c r="D11260" t="s">
        <v>41</v>
      </c>
      <c r="E11260" s="6">
        <v>-28811</v>
      </c>
      <c r="F11260" t="s">
        <v>5734</v>
      </c>
      <c r="G11260" t="s">
        <v>88</v>
      </c>
      <c r="H11260" t="s">
        <v>21</v>
      </c>
      <c r="I11260" t="s">
        <v>21821</v>
      </c>
      <c r="J11260" t="str">
        <f>HYPERLINK("https://www.boe.es/gazeta/dias/1821/02/11/pdfs/GGB-1821-42.pdf#page=4","Abrir facsímil")</f>
        <v>Abrir facsímil</v>
      </c>
      <c r="K11260" t="s">
        <v>23</v>
      </c>
    </row>
    <row r="11261" spans="1:11" ht="42" customHeight="1">
      <c r="A11261" t="s">
        <v>21822</v>
      </c>
      <c r="B11261" t="s">
        <v>21823</v>
      </c>
      <c r="C11261" t="s">
        <v>40</v>
      </c>
      <c r="D11261" t="s">
        <v>41</v>
      </c>
      <c r="E11261" s="6">
        <v>-28737</v>
      </c>
      <c r="F11261" t="s">
        <v>732</v>
      </c>
      <c r="G11261" t="s">
        <v>20</v>
      </c>
      <c r="H11261" t="s">
        <v>21</v>
      </c>
      <c r="I11261" t="s">
        <v>21824</v>
      </c>
      <c r="J11261" t="str">
        <f>HYPERLINK("https://www.boe.es/gazeta/dias/1821/04/26/pdfs/GMD-1821-118.pdf#page=3","Abrir facsímil")</f>
        <v>Abrir facsímil</v>
      </c>
      <c r="K11261" t="s">
        <v>23</v>
      </c>
    </row>
    <row r="11262" spans="1:11" ht="42" customHeight="1">
      <c r="A11262" t="s">
        <v>21825</v>
      </c>
      <c r="B11262" t="s">
        <v>21825</v>
      </c>
      <c r="C11262" t="s">
        <v>26</v>
      </c>
      <c r="D11262" t="s">
        <v>27</v>
      </c>
      <c r="E11262" s="6">
        <v>-28536</v>
      </c>
      <c r="F11262" t="s">
        <v>553</v>
      </c>
      <c r="G11262" t="s">
        <v>29</v>
      </c>
      <c r="H11262" t="s">
        <v>21</v>
      </c>
      <c r="I11262" t="s">
        <v>21826</v>
      </c>
      <c r="J11262" t="str">
        <f>HYPERLINK("https://www.boe.es/gazeta/dias/1821/11/13/pdfs/GMD-1821-324.pdf#page=6","Abrir facsímil")</f>
        <v>Abrir facsímil</v>
      </c>
      <c r="K11262" t="s">
        <v>23</v>
      </c>
    </row>
    <row r="11263" spans="1:11" ht="42" customHeight="1">
      <c r="A11263" t="s">
        <v>21827</v>
      </c>
      <c r="B11263" t="s">
        <v>21827</v>
      </c>
      <c r="C11263" t="s">
        <v>40</v>
      </c>
      <c r="D11263" t="s">
        <v>41</v>
      </c>
      <c r="E11263" s="6">
        <v>-28609</v>
      </c>
      <c r="F11263" t="s">
        <v>2184</v>
      </c>
      <c r="G11263" t="s">
        <v>52</v>
      </c>
      <c r="H11263" t="s">
        <v>21</v>
      </c>
      <c r="I11263" t="s">
        <v>21828</v>
      </c>
      <c r="J11263" t="str">
        <f>HYPERLINK("https://www.boe.es/gazeta/dias/1821/09/01/pdfs/GMD-1821-249.pdf#page=2","Abrir facsímil")</f>
        <v>Abrir facsímil</v>
      </c>
      <c r="K11263" t="s">
        <v>23</v>
      </c>
    </row>
    <row r="11264" spans="1:11" ht="42" customHeight="1">
      <c r="A11264" t="s">
        <v>21829</v>
      </c>
      <c r="B11264" t="s">
        <v>21829</v>
      </c>
      <c r="C11264" t="s">
        <v>40</v>
      </c>
      <c r="D11264" t="s">
        <v>41</v>
      </c>
      <c r="E11264" s="6">
        <v>-28497</v>
      </c>
      <c r="F11264" t="s">
        <v>225</v>
      </c>
      <c r="G11264" t="s">
        <v>43</v>
      </c>
      <c r="H11264" t="s">
        <v>21</v>
      </c>
      <c r="I11264" t="s">
        <v>21830</v>
      </c>
      <c r="J11264" t="str">
        <f>HYPERLINK("https://www.boe.es/gazeta/dias/1821/12/22/pdfs/GMD-1821-365.pdf#page=1","Abrir facsímil")</f>
        <v>Abrir facsímil</v>
      </c>
      <c r="K11264" t="s">
        <v>23</v>
      </c>
    </row>
    <row r="11265" spans="1:11" ht="42" customHeight="1">
      <c r="A11265" t="s">
        <v>21831</v>
      </c>
      <c r="B11265" t="s">
        <v>21831</v>
      </c>
      <c r="C11265" t="s">
        <v>70</v>
      </c>
      <c r="D11265" t="s">
        <v>27</v>
      </c>
      <c r="E11265" s="6">
        <v>-28564</v>
      </c>
      <c r="F11265" t="s">
        <v>861</v>
      </c>
      <c r="G11265" t="s">
        <v>52</v>
      </c>
      <c r="H11265" t="s">
        <v>21</v>
      </c>
      <c r="I11265" t="s">
        <v>21832</v>
      </c>
      <c r="J11265" t="str">
        <f>HYPERLINK("https://www.boe.es/gazeta/dias/1821/10/16/pdfs/GMD-1821-295.pdf#page=2","Abrir facsímil")</f>
        <v>Abrir facsímil</v>
      </c>
      <c r="K11265" t="s">
        <v>23</v>
      </c>
    </row>
    <row r="11266" spans="1:11" ht="42" customHeight="1">
      <c r="A11266" t="s">
        <v>21833</v>
      </c>
      <c r="B11266" t="s">
        <v>21834</v>
      </c>
      <c r="C11266" t="s">
        <v>35</v>
      </c>
      <c r="D11266" t="s">
        <v>27</v>
      </c>
      <c r="E11266" s="6">
        <v>-28616</v>
      </c>
      <c r="F11266" t="s">
        <v>1912</v>
      </c>
      <c r="G11266" t="s">
        <v>6462</v>
      </c>
      <c r="H11266" t="s">
        <v>21</v>
      </c>
      <c r="I11266" t="s">
        <v>21835</v>
      </c>
      <c r="J11266" t="str">
        <f>HYPERLINK("https://www.boe.es/gazeta/dias/1821/08/25/pdfs/GMD-1821-242.pdf#page=4","Abrir facsímil")</f>
        <v>Abrir facsímil</v>
      </c>
      <c r="K11266" t="s">
        <v>23</v>
      </c>
    </row>
    <row r="11267" spans="1:11" ht="42" customHeight="1">
      <c r="A11267" t="s">
        <v>21836</v>
      </c>
      <c r="B11267" t="s">
        <v>21836</v>
      </c>
      <c r="C11267" t="s">
        <v>26</v>
      </c>
      <c r="D11267" t="s">
        <v>27</v>
      </c>
      <c r="E11267" s="6">
        <v>-28788</v>
      </c>
      <c r="F11267" t="s">
        <v>996</v>
      </c>
      <c r="G11267" t="s">
        <v>43</v>
      </c>
      <c r="H11267" t="s">
        <v>21</v>
      </c>
      <c r="I11267" t="s">
        <v>21837</v>
      </c>
      <c r="J11267" t="str">
        <f>HYPERLINK("https://www.boe.es/gazeta/dias/1821/03/06/pdfs/GGB-1821-65.pdf#page=1","Abrir facsímil")</f>
        <v>Abrir facsímil</v>
      </c>
      <c r="K11267" t="s">
        <v>23</v>
      </c>
    </row>
    <row r="11268" spans="1:11" ht="42" customHeight="1">
      <c r="A11268" t="s">
        <v>21838</v>
      </c>
      <c r="B11268" t="s">
        <v>21838</v>
      </c>
      <c r="C11268" t="s">
        <v>40</v>
      </c>
      <c r="D11268" t="s">
        <v>41</v>
      </c>
      <c r="E11268" s="6">
        <v>-28719</v>
      </c>
      <c r="F11268" t="s">
        <v>647</v>
      </c>
      <c r="G11268" t="s">
        <v>43</v>
      </c>
      <c r="H11268" t="s">
        <v>21</v>
      </c>
      <c r="I11268" t="s">
        <v>21839</v>
      </c>
      <c r="J11268" t="str">
        <f>HYPERLINK("https://www.boe.es/gazeta/dias/1821/05/14/pdfs/GMD-1821-136.pdf#page=1","Abrir facsímil")</f>
        <v>Abrir facsímil</v>
      </c>
      <c r="K11268" t="s">
        <v>23</v>
      </c>
    </row>
    <row r="11269" spans="1:11" ht="42" customHeight="1">
      <c r="A11269" t="s">
        <v>21840</v>
      </c>
      <c r="B11269" t="s">
        <v>21840</v>
      </c>
      <c r="C11269" t="s">
        <v>17</v>
      </c>
      <c r="D11269" t="s">
        <v>18</v>
      </c>
      <c r="E11269" s="6">
        <v>-28793</v>
      </c>
      <c r="F11269" t="s">
        <v>157</v>
      </c>
      <c r="G11269" t="s">
        <v>29</v>
      </c>
      <c r="H11269" t="s">
        <v>21</v>
      </c>
      <c r="I11269" t="s">
        <v>21841</v>
      </c>
      <c r="J11269" t="str">
        <f>HYPERLINK("https://www.boe.es/gazeta/dias/1821/03/01/pdfs/GGB-1821-60.pdf#page=6","Abrir facsímil")</f>
        <v>Abrir facsímil</v>
      </c>
      <c r="K11269" t="s">
        <v>23</v>
      </c>
    </row>
    <row r="11270" spans="1:11" ht="42" customHeight="1">
      <c r="A11270" t="s">
        <v>21842</v>
      </c>
      <c r="B11270" t="s">
        <v>21843</v>
      </c>
      <c r="C11270" t="s">
        <v>17</v>
      </c>
      <c r="D11270" t="s">
        <v>18</v>
      </c>
      <c r="E11270" s="6">
        <v>-28628</v>
      </c>
      <c r="F11270" t="s">
        <v>4257</v>
      </c>
      <c r="G11270" t="s">
        <v>88</v>
      </c>
      <c r="H11270" t="s">
        <v>21</v>
      </c>
      <c r="I11270" t="s">
        <v>21844</v>
      </c>
      <c r="J11270" t="str">
        <f>HYPERLINK("https://www.boe.es/gazeta/dias/1821/08/13/pdfs/GMD-1821-230.pdf#page=4","Abrir facsímil")</f>
        <v>Abrir facsímil</v>
      </c>
      <c r="K11270" t="s">
        <v>23</v>
      </c>
    </row>
    <row r="11271" spans="1:11" ht="42" customHeight="1">
      <c r="A11271" t="s">
        <v>21845</v>
      </c>
      <c r="B11271" t="s">
        <v>21845</v>
      </c>
      <c r="C11271" t="s">
        <v>26</v>
      </c>
      <c r="D11271" t="s">
        <v>27</v>
      </c>
      <c r="E11271" s="6">
        <v>-28599</v>
      </c>
      <c r="F11271" t="s">
        <v>902</v>
      </c>
      <c r="G11271" t="s">
        <v>52</v>
      </c>
      <c r="H11271" t="s">
        <v>21</v>
      </c>
      <c r="I11271" t="s">
        <v>21846</v>
      </c>
      <c r="J11271" t="str">
        <f>HYPERLINK("https://www.boe.es/gazeta/dias/1821/09/11/pdfs/GMD-1821-259.pdf#page=2","Abrir facsímil")</f>
        <v>Abrir facsímil</v>
      </c>
      <c r="K11271" t="s">
        <v>23</v>
      </c>
    </row>
    <row r="11272" spans="1:11" ht="42" customHeight="1">
      <c r="A11272" t="s">
        <v>21845</v>
      </c>
      <c r="B11272" t="s">
        <v>21845</v>
      </c>
      <c r="C11272" t="s">
        <v>26</v>
      </c>
      <c r="D11272" t="s">
        <v>27</v>
      </c>
      <c r="E11272" s="6">
        <v>-28596</v>
      </c>
      <c r="F11272" t="s">
        <v>1275</v>
      </c>
      <c r="G11272" t="s">
        <v>20</v>
      </c>
      <c r="H11272" t="s">
        <v>21</v>
      </c>
      <c r="I11272" t="s">
        <v>21847</v>
      </c>
      <c r="J11272" t="str">
        <f>HYPERLINK("https://www.boe.es/gazeta/dias/1821/09/14/pdfs/GMD-1821-262.pdf#page=3","Abrir facsímil")</f>
        <v>Abrir facsímil</v>
      </c>
      <c r="K11272" t="s">
        <v>23</v>
      </c>
    </row>
    <row r="11273" spans="1:11" ht="42" customHeight="1">
      <c r="A11273" t="s">
        <v>21845</v>
      </c>
      <c r="B11273" t="s">
        <v>21845</v>
      </c>
      <c r="C11273" t="s">
        <v>17</v>
      </c>
      <c r="D11273" t="s">
        <v>18</v>
      </c>
      <c r="E11273" s="6">
        <v>-28578</v>
      </c>
      <c r="F11273" t="s">
        <v>899</v>
      </c>
      <c r="G11273" t="s">
        <v>43</v>
      </c>
      <c r="H11273" t="s">
        <v>21</v>
      </c>
      <c r="I11273" t="s">
        <v>21848</v>
      </c>
      <c r="J11273" t="str">
        <f>HYPERLINK("https://www.boe.es/gazeta/dias/1821/10/02/pdfs/GMD-1821-281.pdf#page=1","Abrir facsímil")</f>
        <v>Abrir facsímil</v>
      </c>
      <c r="K11273" t="s">
        <v>23</v>
      </c>
    </row>
    <row r="11274" spans="1:11" ht="42" customHeight="1">
      <c r="A11274" t="s">
        <v>21845</v>
      </c>
      <c r="B11274" t="s">
        <v>21845</v>
      </c>
      <c r="C11274" t="s">
        <v>17</v>
      </c>
      <c r="D11274" t="s">
        <v>18</v>
      </c>
      <c r="E11274" s="6">
        <v>-28543</v>
      </c>
      <c r="F11274" t="s">
        <v>136</v>
      </c>
      <c r="G11274" t="s">
        <v>88</v>
      </c>
      <c r="H11274" t="s">
        <v>21</v>
      </c>
      <c r="I11274" t="s">
        <v>21849</v>
      </c>
      <c r="J11274" t="str">
        <f>HYPERLINK("https://www.boe.es/gazeta/dias/1821/11/06/pdfs/GMD-1821-317.pdf#page=4","Abrir facsímil")</f>
        <v>Abrir facsímil</v>
      </c>
      <c r="K11274" t="s">
        <v>23</v>
      </c>
    </row>
    <row r="11275" spans="1:11" ht="42" customHeight="1">
      <c r="A11275" t="s">
        <v>21850</v>
      </c>
      <c r="B11275" t="s">
        <v>21850</v>
      </c>
      <c r="C11275" t="s">
        <v>174</v>
      </c>
      <c r="D11275" t="s">
        <v>27</v>
      </c>
      <c r="E11275" s="6">
        <v>-28624</v>
      </c>
      <c r="F11275" t="s">
        <v>78</v>
      </c>
      <c r="G11275" t="s">
        <v>20</v>
      </c>
      <c r="H11275" t="s">
        <v>21</v>
      </c>
      <c r="I11275" t="s">
        <v>21851</v>
      </c>
      <c r="J11275" t="str">
        <f>HYPERLINK("https://www.boe.es/gazeta/dias/1821/08/17/pdfs/GMD-1821-234.pdf#page=3","Abrir facsímil")</f>
        <v>Abrir facsímil</v>
      </c>
      <c r="K11275" t="s">
        <v>23</v>
      </c>
    </row>
    <row r="11276" spans="1:11" ht="42" customHeight="1">
      <c r="A11276" t="s">
        <v>21852</v>
      </c>
      <c r="B11276" t="s">
        <v>21852</v>
      </c>
      <c r="C11276" t="s">
        <v>40</v>
      </c>
      <c r="D11276" t="s">
        <v>41</v>
      </c>
      <c r="E11276" s="6">
        <v>-28515</v>
      </c>
      <c r="F11276" t="s">
        <v>260</v>
      </c>
      <c r="G11276" t="s">
        <v>20</v>
      </c>
      <c r="H11276" t="s">
        <v>21</v>
      </c>
      <c r="I11276" t="s">
        <v>21853</v>
      </c>
      <c r="J11276" t="str">
        <f>HYPERLINK("https://www.boe.es/gazeta/dias/1821/12/04/pdfs/GMD-1821-346.pdf#page=3","Abrir facsímil")</f>
        <v>Abrir facsímil</v>
      </c>
      <c r="K11276" t="s">
        <v>23</v>
      </c>
    </row>
    <row r="11277" spans="1:11" ht="42" customHeight="1">
      <c r="A11277" t="s">
        <v>21854</v>
      </c>
      <c r="B11277" t="s">
        <v>21855</v>
      </c>
      <c r="C11277" t="s">
        <v>26</v>
      </c>
      <c r="D11277" t="s">
        <v>27</v>
      </c>
      <c r="E11277" s="6">
        <v>-28651</v>
      </c>
      <c r="F11277" t="s">
        <v>1518</v>
      </c>
      <c r="G11277" t="s">
        <v>88</v>
      </c>
      <c r="H11277" t="s">
        <v>21</v>
      </c>
      <c r="I11277" t="s">
        <v>21856</v>
      </c>
      <c r="J11277" t="str">
        <f>HYPERLINK("https://www.boe.es/gazeta/dias/1821/07/21/pdfs/GMD-1821-206.pdf#page=4","Abrir facsímil")</f>
        <v>Abrir facsímil</v>
      </c>
      <c r="K11277" t="s">
        <v>23</v>
      </c>
    </row>
    <row r="11278" spans="1:11" ht="42" customHeight="1">
      <c r="A11278" t="s">
        <v>21857</v>
      </c>
      <c r="B11278" t="s">
        <v>21858</v>
      </c>
      <c r="C11278" t="s">
        <v>17</v>
      </c>
      <c r="D11278" t="s">
        <v>18</v>
      </c>
      <c r="E11278" s="6">
        <v>-28650</v>
      </c>
      <c r="F11278" t="s">
        <v>3285</v>
      </c>
      <c r="G11278" t="s">
        <v>88</v>
      </c>
      <c r="H11278" t="s">
        <v>21</v>
      </c>
      <c r="I11278" t="s">
        <v>21859</v>
      </c>
      <c r="J11278" t="str">
        <f>HYPERLINK("https://www.boe.es/gazeta/dias/1821/07/22/pdfs/GMD-1821-207.pdf#page=4","Abrir facsímil")</f>
        <v>Abrir facsímil</v>
      </c>
      <c r="K11278" t="s">
        <v>23</v>
      </c>
    </row>
    <row r="11279" spans="1:11" ht="42" customHeight="1">
      <c r="A11279" t="s">
        <v>21860</v>
      </c>
      <c r="B11279" t="s">
        <v>21860</v>
      </c>
      <c r="C11279" t="s">
        <v>40</v>
      </c>
      <c r="D11279" t="s">
        <v>41</v>
      </c>
      <c r="E11279" s="6">
        <v>-28555</v>
      </c>
      <c r="F11279" t="s">
        <v>219</v>
      </c>
      <c r="G11279" t="s">
        <v>29</v>
      </c>
      <c r="H11279" t="s">
        <v>21</v>
      </c>
      <c r="I11279" t="s">
        <v>21861</v>
      </c>
      <c r="J11279" t="str">
        <f>HYPERLINK("https://www.boe.es/gazeta/dias/1821/10/25/pdfs/GMD-1821-304.pdf#page=6","Abrir facsímil")</f>
        <v>Abrir facsímil</v>
      </c>
      <c r="K11279" t="s">
        <v>23</v>
      </c>
    </row>
    <row r="11280" spans="1:11" ht="42" customHeight="1">
      <c r="A11280" t="s">
        <v>21862</v>
      </c>
      <c r="B11280" t="s">
        <v>21862</v>
      </c>
      <c r="C11280" t="s">
        <v>40</v>
      </c>
      <c r="D11280" t="s">
        <v>41</v>
      </c>
      <c r="E11280" s="6">
        <v>-28811</v>
      </c>
      <c r="F11280" t="s">
        <v>5734</v>
      </c>
      <c r="G11280" t="s">
        <v>43</v>
      </c>
      <c r="H11280" t="s">
        <v>21</v>
      </c>
      <c r="I11280" t="s">
        <v>21863</v>
      </c>
      <c r="J11280" t="str">
        <f>HYPERLINK("https://www.boe.es/gazeta/dias/1821/02/11/pdfs/GGB-1821-42.pdf#page=1","Abrir facsímil")</f>
        <v>Abrir facsímil</v>
      </c>
      <c r="K11280" t="s">
        <v>23</v>
      </c>
    </row>
    <row r="11281" spans="1:11" ht="42" customHeight="1">
      <c r="A11281" t="s">
        <v>21864</v>
      </c>
      <c r="B11281" t="s">
        <v>21865</v>
      </c>
      <c r="C11281" t="s">
        <v>174</v>
      </c>
      <c r="D11281" t="s">
        <v>27</v>
      </c>
      <c r="E11281" s="6">
        <v>-28663</v>
      </c>
      <c r="F11281" t="s">
        <v>3032</v>
      </c>
      <c r="G11281" t="s">
        <v>88</v>
      </c>
      <c r="H11281" t="s">
        <v>21</v>
      </c>
      <c r="I11281" t="s">
        <v>21866</v>
      </c>
      <c r="J11281" t="str">
        <f>HYPERLINK("https://www.boe.es/gazeta/dias/1821/07/09/pdfs/GMD-1821-194.pdf#page=4","Abrir facsímil")</f>
        <v>Abrir facsímil</v>
      </c>
      <c r="K11281" t="s">
        <v>23</v>
      </c>
    </row>
    <row r="11282" spans="1:11" ht="42" customHeight="1">
      <c r="A11282" t="s">
        <v>21867</v>
      </c>
      <c r="B11282" t="s">
        <v>21867</v>
      </c>
      <c r="C11282" t="s">
        <v>40</v>
      </c>
      <c r="D11282" t="s">
        <v>41</v>
      </c>
      <c r="E11282" s="6">
        <v>-28607</v>
      </c>
      <c r="F11282" t="s">
        <v>740</v>
      </c>
      <c r="G11282" t="s">
        <v>43</v>
      </c>
      <c r="H11282" t="s">
        <v>21</v>
      </c>
      <c r="I11282" t="s">
        <v>21868</v>
      </c>
      <c r="J11282" t="str">
        <f>HYPERLINK("https://www.boe.es/gazeta/dias/1821/09/03/pdfs/GMD-1821-251.pdf#page=1","Abrir facsímil")</f>
        <v>Abrir facsímil</v>
      </c>
      <c r="K11282" t="s">
        <v>23</v>
      </c>
    </row>
    <row r="11283" spans="1:11" ht="42" customHeight="1">
      <c r="A11283" t="s">
        <v>21869</v>
      </c>
      <c r="B11283" t="s">
        <v>21869</v>
      </c>
      <c r="C11283" t="s">
        <v>40</v>
      </c>
      <c r="D11283" t="s">
        <v>41</v>
      </c>
      <c r="E11283" s="6">
        <v>-28639</v>
      </c>
      <c r="F11283" t="s">
        <v>3316</v>
      </c>
      <c r="G11283" t="s">
        <v>52</v>
      </c>
      <c r="H11283" t="s">
        <v>21</v>
      </c>
      <c r="I11283" t="s">
        <v>21870</v>
      </c>
      <c r="J11283" t="str">
        <f>HYPERLINK("https://www.boe.es/gazeta/dias/1821/08/02/pdfs/GMD-1821-218.pdf#page=2","Abrir facsímil")</f>
        <v>Abrir facsímil</v>
      </c>
      <c r="K11283" t="s">
        <v>23</v>
      </c>
    </row>
    <row r="11284" spans="1:11" ht="42" customHeight="1">
      <c r="A11284" t="s">
        <v>21871</v>
      </c>
      <c r="B11284" t="s">
        <v>21871</v>
      </c>
      <c r="C11284" t="s">
        <v>40</v>
      </c>
      <c r="D11284" t="s">
        <v>41</v>
      </c>
      <c r="E11284" s="6">
        <v>-28615</v>
      </c>
      <c r="F11284" t="s">
        <v>427</v>
      </c>
      <c r="G11284" t="s">
        <v>52</v>
      </c>
      <c r="H11284" t="s">
        <v>21</v>
      </c>
      <c r="I11284" t="s">
        <v>21872</v>
      </c>
      <c r="J11284" t="str">
        <f>HYPERLINK("https://www.boe.es/gazeta/dias/1821/08/26/pdfs/GMD-1821-243.pdf#page=2","Abrir facsímil")</f>
        <v>Abrir facsímil</v>
      </c>
      <c r="K11284" t="s">
        <v>23</v>
      </c>
    </row>
    <row r="11285" spans="1:11" ht="42" customHeight="1">
      <c r="A11285" t="s">
        <v>21871</v>
      </c>
      <c r="B11285" t="s">
        <v>21871</v>
      </c>
      <c r="C11285" t="s">
        <v>40</v>
      </c>
      <c r="D11285" t="s">
        <v>41</v>
      </c>
      <c r="E11285" s="6">
        <v>-28599</v>
      </c>
      <c r="F11285" t="s">
        <v>902</v>
      </c>
      <c r="G11285" t="s">
        <v>43</v>
      </c>
      <c r="H11285" t="s">
        <v>21</v>
      </c>
      <c r="I11285" t="s">
        <v>21873</v>
      </c>
      <c r="J11285" t="str">
        <f>HYPERLINK("https://www.boe.es/gazeta/dias/1821/09/11/pdfs/GMD-1821-259.pdf#page=1","Abrir facsímil")</f>
        <v>Abrir facsímil</v>
      </c>
      <c r="K11285" t="s">
        <v>23</v>
      </c>
    </row>
    <row r="11286" spans="1:11" ht="42" customHeight="1">
      <c r="A11286" t="s">
        <v>21871</v>
      </c>
      <c r="B11286" t="s">
        <v>21871</v>
      </c>
      <c r="C11286" t="s">
        <v>40</v>
      </c>
      <c r="D11286" t="s">
        <v>41</v>
      </c>
      <c r="E11286" s="6">
        <v>-28514</v>
      </c>
      <c r="F11286" t="s">
        <v>103</v>
      </c>
      <c r="G11286" t="s">
        <v>43</v>
      </c>
      <c r="H11286" t="s">
        <v>21</v>
      </c>
      <c r="I11286" t="s">
        <v>21874</v>
      </c>
      <c r="J11286" t="str">
        <f>HYPERLINK("https://www.boe.es/gazeta/dias/1821/12/05/pdfs/GMD-1821-347.pdf#page=1","Abrir facsímil")</f>
        <v>Abrir facsímil</v>
      </c>
      <c r="K11286" t="s">
        <v>23</v>
      </c>
    </row>
    <row r="11287" spans="1:11" ht="42" customHeight="1">
      <c r="A11287" t="s">
        <v>21875</v>
      </c>
      <c r="B11287" t="s">
        <v>21875</v>
      </c>
      <c r="C11287" t="s">
        <v>40</v>
      </c>
      <c r="D11287" t="s">
        <v>41</v>
      </c>
      <c r="E11287" s="6">
        <v>-28725</v>
      </c>
      <c r="F11287" t="s">
        <v>440</v>
      </c>
      <c r="G11287" t="s">
        <v>43</v>
      </c>
      <c r="H11287" t="s">
        <v>21</v>
      </c>
      <c r="I11287" t="s">
        <v>21876</v>
      </c>
      <c r="J11287" t="str">
        <f>HYPERLINK("https://www.boe.es/gazeta/dias/1821/05/08/pdfs/GMD-1821-130.pdf#page=1","Abrir facsímil")</f>
        <v>Abrir facsímil</v>
      </c>
      <c r="K11287" t="s">
        <v>23</v>
      </c>
    </row>
    <row r="11288" spans="1:11" ht="42" customHeight="1">
      <c r="A11288" t="s">
        <v>21877</v>
      </c>
      <c r="B11288" t="s">
        <v>21877</v>
      </c>
      <c r="C11288" t="s">
        <v>40</v>
      </c>
      <c r="D11288" t="s">
        <v>41</v>
      </c>
      <c r="E11288" s="6">
        <v>-28627</v>
      </c>
      <c r="F11288" t="s">
        <v>3216</v>
      </c>
      <c r="G11288" t="s">
        <v>43</v>
      </c>
      <c r="H11288" t="s">
        <v>21</v>
      </c>
      <c r="I11288" t="s">
        <v>21878</v>
      </c>
      <c r="J11288" t="str">
        <f>HYPERLINK("https://www.boe.es/gazeta/dias/1821/08/14/pdfs/GMD-1821-231.pdf#page=1","Abrir facsímil")</f>
        <v>Abrir facsímil</v>
      </c>
      <c r="K11288" t="s">
        <v>23</v>
      </c>
    </row>
    <row r="11289" spans="1:11" ht="42" customHeight="1">
      <c r="A11289" t="s">
        <v>21879</v>
      </c>
      <c r="B11289" t="s">
        <v>21879</v>
      </c>
      <c r="C11289" t="s">
        <v>26</v>
      </c>
      <c r="D11289" t="s">
        <v>27</v>
      </c>
      <c r="E11289" s="6">
        <v>-28543</v>
      </c>
      <c r="F11289" t="s">
        <v>136</v>
      </c>
      <c r="G11289" t="s">
        <v>52</v>
      </c>
      <c r="H11289" t="s">
        <v>21</v>
      </c>
      <c r="I11289" t="s">
        <v>21880</v>
      </c>
      <c r="J11289" t="str">
        <f>HYPERLINK("https://www.boe.es/gazeta/dias/1821/11/06/pdfs/GMD-1821-317.pdf#page=2","Abrir facsímil")</f>
        <v>Abrir facsímil</v>
      </c>
      <c r="K11289" t="s">
        <v>23</v>
      </c>
    </row>
    <row r="11290" spans="1:11" ht="42" customHeight="1">
      <c r="A11290" t="s">
        <v>21881</v>
      </c>
      <c r="B11290" t="s">
        <v>21881</v>
      </c>
      <c r="C11290" t="s">
        <v>26</v>
      </c>
      <c r="D11290" t="s">
        <v>27</v>
      </c>
      <c r="E11290" s="6">
        <v>-28670</v>
      </c>
      <c r="F11290" t="s">
        <v>243</v>
      </c>
      <c r="G11290" t="s">
        <v>8049</v>
      </c>
      <c r="H11290" t="s">
        <v>21</v>
      </c>
      <c r="I11290" t="s">
        <v>21882</v>
      </c>
      <c r="J11290" t="str">
        <f>HYPERLINK("https://www.boe.es/gazeta/dias/1821/07/02/pdfs/GMD-1821-186.pdf#page=3","Abrir facsímil")</f>
        <v>Abrir facsímil</v>
      </c>
      <c r="K11290" t="s">
        <v>23</v>
      </c>
    </row>
    <row r="11291" spans="1:11" ht="42" customHeight="1">
      <c r="A11291" t="s">
        <v>21883</v>
      </c>
      <c r="B11291" t="s">
        <v>21883</v>
      </c>
      <c r="C11291" t="s">
        <v>40</v>
      </c>
      <c r="D11291" t="s">
        <v>41</v>
      </c>
      <c r="E11291" s="6">
        <v>-28669</v>
      </c>
      <c r="F11291" t="s">
        <v>2816</v>
      </c>
      <c r="G11291" t="s">
        <v>88</v>
      </c>
      <c r="H11291" t="s">
        <v>21</v>
      </c>
      <c r="I11291" t="s">
        <v>21884</v>
      </c>
      <c r="J11291" t="str">
        <f>HYPERLINK("https://www.boe.es/gazeta/dias/1821/07/03/pdfs/GMD-1821-187.pdf#page=4","Abrir facsímil")</f>
        <v>Abrir facsímil</v>
      </c>
      <c r="K11291" t="s">
        <v>23</v>
      </c>
    </row>
    <row r="11292" spans="1:11" ht="42" customHeight="1">
      <c r="A11292" t="s">
        <v>21885</v>
      </c>
      <c r="B11292" t="s">
        <v>21885</v>
      </c>
      <c r="C11292" t="s">
        <v>40</v>
      </c>
      <c r="D11292" t="s">
        <v>41</v>
      </c>
      <c r="E11292" s="6">
        <v>-28824</v>
      </c>
      <c r="F11292" t="s">
        <v>1227</v>
      </c>
      <c r="G11292" t="s">
        <v>43</v>
      </c>
      <c r="H11292" t="s">
        <v>21</v>
      </c>
      <c r="I11292" t="s">
        <v>21886</v>
      </c>
      <c r="J11292" t="str">
        <f>HYPERLINK("https://www.boe.es/gazeta/dias/1821/01/29/pdfs/GGB-1821-29.pdf#page=1","Abrir facsímil")</f>
        <v>Abrir facsímil</v>
      </c>
      <c r="K11292" t="s">
        <v>23</v>
      </c>
    </row>
    <row r="11293" spans="1:11" ht="42" customHeight="1">
      <c r="A11293" t="s">
        <v>21887</v>
      </c>
      <c r="B11293" t="s">
        <v>21887</v>
      </c>
      <c r="C11293" t="s">
        <v>40</v>
      </c>
      <c r="D11293" t="s">
        <v>41</v>
      </c>
      <c r="E11293" s="6">
        <v>-28669</v>
      </c>
      <c r="F11293" t="s">
        <v>2816</v>
      </c>
      <c r="G11293" t="s">
        <v>52</v>
      </c>
      <c r="H11293" t="s">
        <v>21</v>
      </c>
      <c r="I11293" t="s">
        <v>21888</v>
      </c>
      <c r="J11293" t="str">
        <f>HYPERLINK("https://www.boe.es/gazeta/dias/1821/07/03/pdfs/GMD-1821-187.pdf#page=2","Abrir facsímil")</f>
        <v>Abrir facsímil</v>
      </c>
      <c r="K11293" t="s">
        <v>23</v>
      </c>
    </row>
    <row r="11294" spans="1:11" ht="42" customHeight="1">
      <c r="A11294" t="s">
        <v>21889</v>
      </c>
      <c r="B11294" t="s">
        <v>21890</v>
      </c>
      <c r="C11294" t="s">
        <v>40</v>
      </c>
      <c r="D11294" t="s">
        <v>41</v>
      </c>
      <c r="E11294" s="6">
        <v>-28590</v>
      </c>
      <c r="F11294" t="s">
        <v>2787</v>
      </c>
      <c r="G11294" t="s">
        <v>52</v>
      </c>
      <c r="H11294" t="s">
        <v>21</v>
      </c>
      <c r="I11294" t="s">
        <v>21891</v>
      </c>
      <c r="J11294" t="str">
        <f>HYPERLINK("https://www.boe.es/gazeta/dias/1821/09/20/pdfs/GMD-1821-268.pdf#page=2","Abrir facsímil")</f>
        <v>Abrir facsímil</v>
      </c>
      <c r="K11294" t="s">
        <v>23</v>
      </c>
    </row>
    <row r="11295" spans="1:11" ht="42" customHeight="1">
      <c r="A11295" t="s">
        <v>21892</v>
      </c>
      <c r="B11295" t="s">
        <v>21892</v>
      </c>
      <c r="C11295" t="s">
        <v>40</v>
      </c>
      <c r="D11295" t="s">
        <v>41</v>
      </c>
      <c r="E11295" s="6">
        <v>-28599</v>
      </c>
      <c r="F11295" t="s">
        <v>902</v>
      </c>
      <c r="G11295" t="s">
        <v>43</v>
      </c>
      <c r="H11295" t="s">
        <v>21</v>
      </c>
      <c r="I11295" t="s">
        <v>21893</v>
      </c>
      <c r="J11295" t="str">
        <f>HYPERLINK("https://www.boe.es/gazeta/dias/1821/09/11/pdfs/GMD-1821-259.pdf#page=1","Abrir facsímil")</f>
        <v>Abrir facsímil</v>
      </c>
      <c r="K11295" t="s">
        <v>23</v>
      </c>
    </row>
    <row r="11296" spans="1:11" ht="42" customHeight="1">
      <c r="A11296" t="s">
        <v>21894</v>
      </c>
      <c r="B11296" t="s">
        <v>21895</v>
      </c>
      <c r="C11296" t="s">
        <v>40</v>
      </c>
      <c r="D11296" t="s">
        <v>41</v>
      </c>
      <c r="E11296" s="6">
        <v>-28536</v>
      </c>
      <c r="F11296" t="s">
        <v>553</v>
      </c>
      <c r="G11296" t="s">
        <v>29</v>
      </c>
      <c r="H11296" t="s">
        <v>30</v>
      </c>
      <c r="I11296" t="s">
        <v>21896</v>
      </c>
      <c r="J11296" t="str">
        <f>HYPERLINK("https://www.boe.es/gazeta/dias/1821/11/13/pdfs/GMD-1821-324.pdf#page=6","Abrir facsímil")</f>
        <v>Abrir facsímil</v>
      </c>
      <c r="K11296" t="s">
        <v>32</v>
      </c>
    </row>
    <row r="11297" spans="1:11" ht="42" customHeight="1">
      <c r="A11297" t="s">
        <v>21897</v>
      </c>
      <c r="B11297" t="s">
        <v>21898</v>
      </c>
      <c r="C11297" t="s">
        <v>40</v>
      </c>
      <c r="D11297" t="s">
        <v>41</v>
      </c>
      <c r="E11297" s="6">
        <v>-28847</v>
      </c>
      <c r="F11297" t="s">
        <v>288</v>
      </c>
      <c r="G11297" t="s">
        <v>289</v>
      </c>
      <c r="H11297" t="s">
        <v>30</v>
      </c>
      <c r="I11297" t="s">
        <v>21899</v>
      </c>
      <c r="J11297" t="str">
        <f>HYPERLINK("https://www.boe.es/gazeta/dias/1821/01/06/pdfs/GGB-1821-6.pdf#page=4","Abrir facsímil")</f>
        <v>Abrir facsímil</v>
      </c>
      <c r="K11297" t="s">
        <v>32</v>
      </c>
    </row>
    <row r="11298" spans="1:11" ht="42" customHeight="1">
      <c r="A11298" t="s">
        <v>21900</v>
      </c>
      <c r="B11298" t="s">
        <v>21901</v>
      </c>
      <c r="C11298" t="s">
        <v>174</v>
      </c>
      <c r="D11298" t="s">
        <v>27</v>
      </c>
      <c r="E11298" s="6">
        <v>-28847</v>
      </c>
      <c r="F11298" t="s">
        <v>288</v>
      </c>
      <c r="G11298" t="s">
        <v>289</v>
      </c>
      <c r="H11298" t="s">
        <v>21</v>
      </c>
      <c r="I11298" t="s">
        <v>21902</v>
      </c>
      <c r="J11298" t="str">
        <f>HYPERLINK("https://www.boe.es/gazeta/dias/1821/01/06/pdfs/GGB-1821-6.pdf#page=4","Abrir facsímil")</f>
        <v>Abrir facsímil</v>
      </c>
      <c r="K11298" t="s">
        <v>23</v>
      </c>
    </row>
    <row r="11299" spans="1:11" ht="42" customHeight="1">
      <c r="A11299" t="s">
        <v>21903</v>
      </c>
      <c r="B11299" t="s">
        <v>21903</v>
      </c>
      <c r="C11299" t="s">
        <v>26</v>
      </c>
      <c r="D11299" t="s">
        <v>27</v>
      </c>
      <c r="E11299" s="6">
        <v>-28563</v>
      </c>
      <c r="F11299" t="s">
        <v>118</v>
      </c>
      <c r="G11299" t="s">
        <v>162</v>
      </c>
      <c r="H11299" t="s">
        <v>21</v>
      </c>
      <c r="I11299" t="s">
        <v>21904</v>
      </c>
      <c r="J11299" t="str">
        <f>HYPERLINK("https://www.boe.es/gazeta/dias/1821/10/17/pdfs/GMD-1821-296.pdf#page=5","Abrir facsímil")</f>
        <v>Abrir facsímil</v>
      </c>
      <c r="K11299" t="s">
        <v>23</v>
      </c>
    </row>
    <row r="11300" spans="1:11" ht="42" customHeight="1">
      <c r="A11300" t="s">
        <v>21905</v>
      </c>
      <c r="B11300" t="s">
        <v>21906</v>
      </c>
      <c r="C11300" t="s">
        <v>174</v>
      </c>
      <c r="D11300" t="s">
        <v>27</v>
      </c>
      <c r="E11300" s="6">
        <v>-28742</v>
      </c>
      <c r="F11300" t="s">
        <v>324</v>
      </c>
      <c r="G11300" t="s">
        <v>88</v>
      </c>
      <c r="H11300" t="s">
        <v>21</v>
      </c>
      <c r="I11300" t="s">
        <v>21907</v>
      </c>
      <c r="J11300" t="str">
        <f>HYPERLINK("https://www.boe.es/gazeta/dias/1821/04/21/pdfs/GMD-1821-113.pdf#page=4","Abrir facsímil")</f>
        <v>Abrir facsímil</v>
      </c>
      <c r="K11300" t="s">
        <v>23</v>
      </c>
    </row>
    <row r="11301" spans="1:11" ht="42" customHeight="1">
      <c r="A11301" t="s">
        <v>21908</v>
      </c>
      <c r="B11301" t="s">
        <v>21909</v>
      </c>
      <c r="C11301" t="s">
        <v>279</v>
      </c>
      <c r="D11301" t="s">
        <v>27</v>
      </c>
      <c r="E11301" s="6">
        <v>-28758</v>
      </c>
      <c r="F11301" t="s">
        <v>4115</v>
      </c>
      <c r="G11301" t="s">
        <v>52</v>
      </c>
      <c r="H11301" t="s">
        <v>21</v>
      </c>
      <c r="I11301" t="s">
        <v>21910</v>
      </c>
      <c r="J11301" t="str">
        <f>HYPERLINK("https://www.boe.es/gazeta/dias/1821/04/05/pdfs/GMD-1821-97.pdf#page=2","Abrir facsímil")</f>
        <v>Abrir facsímil</v>
      </c>
      <c r="K11301" t="s">
        <v>23</v>
      </c>
    </row>
    <row r="11302" spans="1:11" ht="42" customHeight="1">
      <c r="A11302" t="s">
        <v>21911</v>
      </c>
      <c r="B11302" t="s">
        <v>21912</v>
      </c>
      <c r="C11302" t="s">
        <v>17</v>
      </c>
      <c r="D11302" t="s">
        <v>18</v>
      </c>
      <c r="E11302" s="6">
        <v>-28783</v>
      </c>
      <c r="F11302" t="s">
        <v>198</v>
      </c>
      <c r="G11302" t="s">
        <v>88</v>
      </c>
      <c r="H11302" t="s">
        <v>21</v>
      </c>
      <c r="I11302" t="s">
        <v>21913</v>
      </c>
      <c r="J11302" t="str">
        <f>HYPERLINK("https://www.boe.es/gazeta/dias/1821/03/11/pdfs/GGB-1821-70.pdf#page=4","Abrir facsímil")</f>
        <v>Abrir facsímil</v>
      </c>
      <c r="K11302" t="s">
        <v>23</v>
      </c>
    </row>
    <row r="11303" spans="1:11" ht="42" customHeight="1">
      <c r="A11303" t="s">
        <v>21914</v>
      </c>
      <c r="B11303" t="s">
        <v>21915</v>
      </c>
      <c r="C11303" t="s">
        <v>17</v>
      </c>
      <c r="D11303" t="s">
        <v>18</v>
      </c>
      <c r="E11303" s="6">
        <v>-28668</v>
      </c>
      <c r="F11303" t="s">
        <v>2130</v>
      </c>
      <c r="G11303" t="s">
        <v>88</v>
      </c>
      <c r="H11303" t="s">
        <v>21</v>
      </c>
      <c r="I11303" t="s">
        <v>21916</v>
      </c>
      <c r="J11303" t="str">
        <f>HYPERLINK("https://www.boe.es/gazeta/dias/1821/07/04/pdfs/GMD-1821-188.pdf#page=4","Abrir facsímil")</f>
        <v>Abrir facsímil</v>
      </c>
      <c r="K11303" t="s">
        <v>23</v>
      </c>
    </row>
    <row r="11304" spans="1:11" ht="42" customHeight="1">
      <c r="A11304" t="s">
        <v>21917</v>
      </c>
      <c r="B11304" t="s">
        <v>21918</v>
      </c>
      <c r="C11304" t="s">
        <v>26</v>
      </c>
      <c r="D11304" t="s">
        <v>27</v>
      </c>
      <c r="E11304" s="6">
        <v>-28756</v>
      </c>
      <c r="F11304" t="s">
        <v>3145</v>
      </c>
      <c r="G11304" t="s">
        <v>7553</v>
      </c>
      <c r="H11304" t="s">
        <v>21</v>
      </c>
      <c r="I11304" t="s">
        <v>21919</v>
      </c>
      <c r="J11304" t="str">
        <f>HYPERLINK("https://www.boe.es/gazeta/dias/1821/04/07/pdfs/GMD-1821-99.pdf#page=4","Abrir facsímil")</f>
        <v>Abrir facsímil</v>
      </c>
      <c r="K11304" t="s">
        <v>23</v>
      </c>
    </row>
    <row r="11305" spans="1:11" ht="42" customHeight="1">
      <c r="A11305" t="s">
        <v>21920</v>
      </c>
      <c r="B11305" t="s">
        <v>21920</v>
      </c>
      <c r="C11305" t="s">
        <v>40</v>
      </c>
      <c r="D11305" t="s">
        <v>41</v>
      </c>
      <c r="E11305" s="6">
        <v>-28552</v>
      </c>
      <c r="F11305" t="s">
        <v>28</v>
      </c>
      <c r="G11305" t="s">
        <v>20</v>
      </c>
      <c r="H11305" t="s">
        <v>21</v>
      </c>
      <c r="I11305" t="s">
        <v>21921</v>
      </c>
      <c r="J11305" t="str">
        <f>HYPERLINK("https://www.boe.es/gazeta/dias/1821/10/28/pdfs/GMD-1821-307.pdf#page=3","Abrir facsímil")</f>
        <v>Abrir facsímil</v>
      </c>
      <c r="K11305" t="s">
        <v>23</v>
      </c>
    </row>
    <row r="11306" spans="1:11" ht="42" customHeight="1">
      <c r="A11306" t="s">
        <v>21922</v>
      </c>
      <c r="B11306" t="s">
        <v>21922</v>
      </c>
      <c r="C11306" t="s">
        <v>70</v>
      </c>
      <c r="D11306" t="s">
        <v>27</v>
      </c>
      <c r="E11306" s="6">
        <v>-28714</v>
      </c>
      <c r="F11306" t="s">
        <v>522</v>
      </c>
      <c r="G11306" t="s">
        <v>20</v>
      </c>
      <c r="H11306" t="s">
        <v>21</v>
      </c>
      <c r="I11306" t="s">
        <v>21923</v>
      </c>
      <c r="J11306" t="str">
        <f>HYPERLINK("https://www.boe.es/gazeta/dias/1821/05/19/pdfs/GMD-1821-141.pdf#page=3","Abrir facsímil")</f>
        <v>Abrir facsímil</v>
      </c>
      <c r="K11306" t="s">
        <v>23</v>
      </c>
    </row>
    <row r="11307" spans="1:11" ht="42" customHeight="1">
      <c r="A11307" t="s">
        <v>21924</v>
      </c>
      <c r="B11307" t="s">
        <v>21924</v>
      </c>
      <c r="C11307" t="s">
        <v>114</v>
      </c>
      <c r="D11307" t="s">
        <v>27</v>
      </c>
      <c r="E11307" s="6">
        <v>-28702</v>
      </c>
      <c r="F11307" t="s">
        <v>1176</v>
      </c>
      <c r="G11307" t="s">
        <v>20</v>
      </c>
      <c r="H11307" t="s">
        <v>21</v>
      </c>
      <c r="I11307" t="s">
        <v>21925</v>
      </c>
      <c r="J11307" t="str">
        <f>HYPERLINK("https://www.boe.es/gazeta/dias/1821/05/31/pdfs/GMD-1821-153.pdf#page=3","Abrir facsímil")</f>
        <v>Abrir facsímil</v>
      </c>
      <c r="K11307" t="s">
        <v>23</v>
      </c>
    </row>
    <row r="11308" spans="1:11" ht="42" customHeight="1">
      <c r="A11308" t="s">
        <v>21926</v>
      </c>
      <c r="B11308" t="s">
        <v>21926</v>
      </c>
      <c r="C11308" t="s">
        <v>114</v>
      </c>
      <c r="D11308" t="s">
        <v>27</v>
      </c>
      <c r="E11308" s="6">
        <v>-28536</v>
      </c>
      <c r="F11308" t="s">
        <v>553</v>
      </c>
      <c r="G11308" t="s">
        <v>20</v>
      </c>
      <c r="H11308" t="s">
        <v>21</v>
      </c>
      <c r="I11308" t="s">
        <v>21927</v>
      </c>
      <c r="J11308" t="str">
        <f>HYPERLINK("https://www.boe.es/gazeta/dias/1821/11/13/pdfs/GMD-1821-324.pdf#page=3","Abrir facsímil")</f>
        <v>Abrir facsímil</v>
      </c>
      <c r="K11308" t="s">
        <v>23</v>
      </c>
    </row>
    <row r="11309" spans="1:11" ht="42" customHeight="1">
      <c r="A11309" t="s">
        <v>21928</v>
      </c>
      <c r="B11309" t="s">
        <v>21928</v>
      </c>
      <c r="C11309" t="s">
        <v>17</v>
      </c>
      <c r="D11309" t="s">
        <v>18</v>
      </c>
      <c r="E11309" s="6">
        <v>-28734</v>
      </c>
      <c r="F11309" t="s">
        <v>1553</v>
      </c>
      <c r="G11309" t="s">
        <v>20</v>
      </c>
      <c r="H11309" t="s">
        <v>21</v>
      </c>
      <c r="I11309" t="s">
        <v>21929</v>
      </c>
      <c r="J11309" t="str">
        <f>HYPERLINK("https://www.boe.es/gazeta/dias/1821/04/29/pdfs/GMD-1821-121.pdf#page=3","Abrir facsímil")</f>
        <v>Abrir facsímil</v>
      </c>
      <c r="K11309" t="s">
        <v>23</v>
      </c>
    </row>
    <row r="11310" spans="1:11" ht="42" customHeight="1">
      <c r="A11310" t="s">
        <v>21928</v>
      </c>
      <c r="B11310" t="s">
        <v>21928</v>
      </c>
      <c r="C11310" t="s">
        <v>114</v>
      </c>
      <c r="D11310" t="s">
        <v>27</v>
      </c>
      <c r="E11310" s="6">
        <v>-28538</v>
      </c>
      <c r="F11310" t="s">
        <v>395</v>
      </c>
      <c r="G11310" t="s">
        <v>20</v>
      </c>
      <c r="H11310" t="s">
        <v>21</v>
      </c>
      <c r="I11310" t="s">
        <v>21930</v>
      </c>
      <c r="J11310" t="str">
        <f>HYPERLINK("https://www.boe.es/gazeta/dias/1821/11/11/pdfs/GMD-1821-322.pdf#page=3","Abrir facsímil")</f>
        <v>Abrir facsímil</v>
      </c>
      <c r="K11310" t="s">
        <v>23</v>
      </c>
    </row>
    <row r="11311" spans="1:11" ht="42" customHeight="1">
      <c r="A11311" t="s">
        <v>21931</v>
      </c>
      <c r="B11311" t="s">
        <v>21931</v>
      </c>
      <c r="C11311" t="s">
        <v>114</v>
      </c>
      <c r="D11311" t="s">
        <v>27</v>
      </c>
      <c r="E11311" s="6">
        <v>-28704</v>
      </c>
      <c r="F11311" t="s">
        <v>1050</v>
      </c>
      <c r="G11311" t="s">
        <v>88</v>
      </c>
      <c r="H11311" t="s">
        <v>21</v>
      </c>
      <c r="I11311" t="s">
        <v>21932</v>
      </c>
      <c r="J11311" t="str">
        <f>HYPERLINK("https://www.boe.es/gazeta/dias/1821/05/29/pdfs/GMD-1821-151.pdf#page=4","Abrir facsímil")</f>
        <v>Abrir facsímil</v>
      </c>
      <c r="K11311" t="s">
        <v>23</v>
      </c>
    </row>
    <row r="11312" spans="1:11" ht="42" customHeight="1">
      <c r="A11312" t="s">
        <v>21933</v>
      </c>
      <c r="B11312" t="s">
        <v>21933</v>
      </c>
      <c r="C11312" t="s">
        <v>35</v>
      </c>
      <c r="D11312" t="s">
        <v>27</v>
      </c>
      <c r="E11312" s="6">
        <v>-28674</v>
      </c>
      <c r="F11312" t="s">
        <v>536</v>
      </c>
      <c r="G11312" t="s">
        <v>162</v>
      </c>
      <c r="H11312" t="s">
        <v>21</v>
      </c>
      <c r="I11312" t="s">
        <v>21934</v>
      </c>
      <c r="J11312" t="str">
        <f>HYPERLINK("https://www.boe.es/gazeta/dias/1821/06/28/pdfs/GMD-1821-181.pdf#page=5","Abrir facsímil")</f>
        <v>Abrir facsímil</v>
      </c>
      <c r="K11312" t="s">
        <v>23</v>
      </c>
    </row>
    <row r="11313" spans="1:11" ht="42" customHeight="1">
      <c r="A11313" t="s">
        <v>21935</v>
      </c>
      <c r="B11313" t="s">
        <v>21935</v>
      </c>
      <c r="C11313" t="s">
        <v>70</v>
      </c>
      <c r="D11313" t="s">
        <v>27</v>
      </c>
      <c r="E11313" s="6">
        <v>-28785</v>
      </c>
      <c r="F11313" t="s">
        <v>1935</v>
      </c>
      <c r="G11313" t="s">
        <v>20</v>
      </c>
      <c r="H11313" t="s">
        <v>21</v>
      </c>
      <c r="I11313" t="s">
        <v>21936</v>
      </c>
      <c r="J11313" t="str">
        <f>HYPERLINK("https://www.boe.es/gazeta/dias/1821/03/09/pdfs/GGB-1821-68.pdf#page=3","Abrir facsímil")</f>
        <v>Abrir facsímil</v>
      </c>
      <c r="K11313" t="s">
        <v>23</v>
      </c>
    </row>
    <row r="11314" spans="1:11" ht="42" customHeight="1">
      <c r="A11314" t="s">
        <v>21937</v>
      </c>
      <c r="B11314" t="s">
        <v>21937</v>
      </c>
      <c r="C11314" t="s">
        <v>35</v>
      </c>
      <c r="D11314" t="s">
        <v>27</v>
      </c>
      <c r="E11314" s="6">
        <v>-28778</v>
      </c>
      <c r="F11314" t="s">
        <v>1301</v>
      </c>
      <c r="G11314" t="s">
        <v>88</v>
      </c>
      <c r="H11314" t="s">
        <v>21</v>
      </c>
      <c r="I11314" t="s">
        <v>21938</v>
      </c>
      <c r="J11314" t="str">
        <f>HYPERLINK("https://www.boe.es/gazeta/dias/1821/03/16/pdfs/GMD-1821-75.pdf#page=4","Abrir facsímil")</f>
        <v>Abrir facsímil</v>
      </c>
      <c r="K11314" t="s">
        <v>23</v>
      </c>
    </row>
    <row r="11315" spans="1:11" ht="42" customHeight="1">
      <c r="A11315" t="s">
        <v>21935</v>
      </c>
      <c r="B11315" t="s">
        <v>21935</v>
      </c>
      <c r="C11315" t="s">
        <v>17</v>
      </c>
      <c r="D11315" t="s">
        <v>18</v>
      </c>
      <c r="E11315" s="6">
        <v>-28752</v>
      </c>
      <c r="F11315" t="s">
        <v>1012</v>
      </c>
      <c r="G11315" t="s">
        <v>52</v>
      </c>
      <c r="H11315" t="s">
        <v>21</v>
      </c>
      <c r="I11315" t="s">
        <v>21939</v>
      </c>
      <c r="J11315" t="str">
        <f>HYPERLINK("https://www.boe.es/gazeta/dias/1821/04/11/pdfs/GMD-1821-103.pdf#page=2","Abrir facsímil")</f>
        <v>Abrir facsímil</v>
      </c>
      <c r="K11315" t="s">
        <v>23</v>
      </c>
    </row>
    <row r="11316" spans="1:11" ht="42" customHeight="1">
      <c r="A11316" t="s">
        <v>21935</v>
      </c>
      <c r="B11316" t="s">
        <v>21935</v>
      </c>
      <c r="C11316" t="s">
        <v>40</v>
      </c>
      <c r="D11316" t="s">
        <v>41</v>
      </c>
      <c r="E11316" s="6">
        <v>-28750</v>
      </c>
      <c r="F11316" t="s">
        <v>917</v>
      </c>
      <c r="G11316" t="s">
        <v>88</v>
      </c>
      <c r="H11316" t="s">
        <v>21</v>
      </c>
      <c r="I11316" t="s">
        <v>21940</v>
      </c>
      <c r="J11316" t="str">
        <f>HYPERLINK("https://www.boe.es/gazeta/dias/1821/04/13/pdfs/GMD-1821-105.pdf#page=4","Abrir facsímil")</f>
        <v>Abrir facsímil</v>
      </c>
      <c r="K11316" t="s">
        <v>23</v>
      </c>
    </row>
    <row r="11317" spans="1:11" ht="42" customHeight="1">
      <c r="A11317" t="s">
        <v>21935</v>
      </c>
      <c r="B11317" t="s">
        <v>21935</v>
      </c>
      <c r="C11317" t="s">
        <v>17</v>
      </c>
      <c r="D11317" t="s">
        <v>18</v>
      </c>
      <c r="E11317" s="6">
        <v>-28732</v>
      </c>
      <c r="F11317" t="s">
        <v>2628</v>
      </c>
      <c r="G11317" t="s">
        <v>52</v>
      </c>
      <c r="H11317" t="s">
        <v>21</v>
      </c>
      <c r="I11317" t="s">
        <v>21941</v>
      </c>
      <c r="J11317" t="str">
        <f>HYPERLINK("https://www.boe.es/gazeta/dias/1821/05/01/pdfs/GMD-1821-123.pdf#page=2","Abrir facsímil")</f>
        <v>Abrir facsímil</v>
      </c>
      <c r="K11317" t="s">
        <v>23</v>
      </c>
    </row>
    <row r="11318" spans="1:11" ht="42" customHeight="1">
      <c r="A11318" t="s">
        <v>21935</v>
      </c>
      <c r="B11318" t="s">
        <v>21935</v>
      </c>
      <c r="C11318" t="s">
        <v>40</v>
      </c>
      <c r="D11318" t="s">
        <v>41</v>
      </c>
      <c r="E11318" s="6">
        <v>-28723</v>
      </c>
      <c r="F11318" t="s">
        <v>840</v>
      </c>
      <c r="G11318" t="s">
        <v>20</v>
      </c>
      <c r="H11318" t="s">
        <v>21</v>
      </c>
      <c r="I11318" t="s">
        <v>21942</v>
      </c>
      <c r="J11318" t="str">
        <f>HYPERLINK("https://www.boe.es/gazeta/dias/1821/05/10/pdfs/GMD-1821-132.pdf#page=3","Abrir facsímil")</f>
        <v>Abrir facsímil</v>
      </c>
      <c r="K11318" t="s">
        <v>23</v>
      </c>
    </row>
    <row r="11319" spans="1:11" ht="42" customHeight="1">
      <c r="A11319" t="s">
        <v>21935</v>
      </c>
      <c r="B11319" t="s">
        <v>21935</v>
      </c>
      <c r="C11319" t="s">
        <v>35</v>
      </c>
      <c r="D11319" t="s">
        <v>27</v>
      </c>
      <c r="E11319" s="6">
        <v>-28723</v>
      </c>
      <c r="F11319" t="s">
        <v>840</v>
      </c>
      <c r="G11319" t="s">
        <v>88</v>
      </c>
      <c r="H11319" t="s">
        <v>21</v>
      </c>
      <c r="I11319" t="s">
        <v>21943</v>
      </c>
      <c r="J11319" t="str">
        <f>HYPERLINK("https://www.boe.es/gazeta/dias/1821/05/10/pdfs/GMD-1821-132.pdf#page=4","Abrir facsímil")</f>
        <v>Abrir facsímil</v>
      </c>
      <c r="K11319" t="s">
        <v>23</v>
      </c>
    </row>
    <row r="11320" spans="1:11" ht="42" customHeight="1">
      <c r="A11320" t="s">
        <v>21935</v>
      </c>
      <c r="B11320" t="s">
        <v>21935</v>
      </c>
      <c r="C11320" t="s">
        <v>35</v>
      </c>
      <c r="D11320" t="s">
        <v>27</v>
      </c>
      <c r="E11320" s="6">
        <v>-28709</v>
      </c>
      <c r="F11320" t="s">
        <v>1434</v>
      </c>
      <c r="G11320" t="s">
        <v>20</v>
      </c>
      <c r="H11320" t="s">
        <v>21</v>
      </c>
      <c r="I11320" t="s">
        <v>21944</v>
      </c>
      <c r="J11320" t="str">
        <f>HYPERLINK("https://www.boe.es/gazeta/dias/1821/05/24/pdfs/GMD-1821-146.pdf#page=3","Abrir facsímil")</f>
        <v>Abrir facsímil</v>
      </c>
      <c r="K11320" t="s">
        <v>23</v>
      </c>
    </row>
    <row r="11321" spans="1:11" ht="42" customHeight="1">
      <c r="A11321" t="s">
        <v>21935</v>
      </c>
      <c r="B11321" t="s">
        <v>21935</v>
      </c>
      <c r="C11321" t="s">
        <v>494</v>
      </c>
      <c r="D11321" t="s">
        <v>18</v>
      </c>
      <c r="E11321" s="6">
        <v>-28706</v>
      </c>
      <c r="F11321" t="s">
        <v>4791</v>
      </c>
      <c r="G11321" t="s">
        <v>8867</v>
      </c>
      <c r="H11321" t="s">
        <v>21</v>
      </c>
      <c r="I11321" t="s">
        <v>21945</v>
      </c>
      <c r="J11321" t="str">
        <f>HYPERLINK("https://www.boe.es/gazeta/dias/1821/05/27/pdfs/GMD-1821-149.pdf#page=3","Abrir facsímil")</f>
        <v>Abrir facsímil</v>
      </c>
      <c r="K11321" t="s">
        <v>23</v>
      </c>
    </row>
    <row r="11322" spans="1:11" ht="42" customHeight="1">
      <c r="A11322" t="s">
        <v>21935</v>
      </c>
      <c r="B11322" t="s">
        <v>21935</v>
      </c>
      <c r="C11322" t="s">
        <v>17</v>
      </c>
      <c r="D11322" t="s">
        <v>18</v>
      </c>
      <c r="E11322" s="6">
        <v>-28703</v>
      </c>
      <c r="F11322" t="s">
        <v>231</v>
      </c>
      <c r="G11322" t="s">
        <v>88</v>
      </c>
      <c r="H11322" t="s">
        <v>21</v>
      </c>
      <c r="I11322" t="s">
        <v>21946</v>
      </c>
      <c r="J11322" t="str">
        <f>HYPERLINK("https://www.boe.es/gazeta/dias/1821/05/30/pdfs/GMD-1821-152.pdf#page=4","Abrir facsímil")</f>
        <v>Abrir facsímil</v>
      </c>
      <c r="K11322" t="s">
        <v>23</v>
      </c>
    </row>
    <row r="11323" spans="1:11" ht="42" customHeight="1">
      <c r="A11323" t="s">
        <v>21935</v>
      </c>
      <c r="B11323" t="s">
        <v>21935</v>
      </c>
      <c r="C11323" t="s">
        <v>35</v>
      </c>
      <c r="D11323" t="s">
        <v>27</v>
      </c>
      <c r="E11323" s="6">
        <v>-28702</v>
      </c>
      <c r="F11323" t="s">
        <v>1176</v>
      </c>
      <c r="G11323" t="s">
        <v>20</v>
      </c>
      <c r="H11323" t="s">
        <v>21</v>
      </c>
      <c r="I11323" t="s">
        <v>21947</v>
      </c>
      <c r="J11323" t="str">
        <f>HYPERLINK("https://www.boe.es/gazeta/dias/1821/05/31/pdfs/GMD-1821-153.pdf#page=3","Abrir facsímil")</f>
        <v>Abrir facsímil</v>
      </c>
      <c r="K11323" t="s">
        <v>23</v>
      </c>
    </row>
    <row r="11324" spans="1:11" ht="42" customHeight="1">
      <c r="A11324" t="s">
        <v>21935</v>
      </c>
      <c r="B11324" t="s">
        <v>21935</v>
      </c>
      <c r="C11324" t="s">
        <v>174</v>
      </c>
      <c r="D11324" t="s">
        <v>27</v>
      </c>
      <c r="E11324" s="6">
        <v>-28701</v>
      </c>
      <c r="F11324" t="s">
        <v>202</v>
      </c>
      <c r="G11324" t="s">
        <v>20</v>
      </c>
      <c r="H11324" t="s">
        <v>21</v>
      </c>
      <c r="I11324" t="s">
        <v>21948</v>
      </c>
      <c r="J11324" t="str">
        <f>HYPERLINK("https://www.boe.es/gazeta/dias/1821/06/01/pdfs/GMD-1821-154.pdf#page=3","Abrir facsímil")</f>
        <v>Abrir facsímil</v>
      </c>
      <c r="K11324" t="s">
        <v>23</v>
      </c>
    </row>
    <row r="11325" spans="1:11" ht="42" customHeight="1">
      <c r="A11325" t="s">
        <v>21935</v>
      </c>
      <c r="B11325" t="s">
        <v>21935</v>
      </c>
      <c r="C11325" t="s">
        <v>40</v>
      </c>
      <c r="D11325" t="s">
        <v>41</v>
      </c>
      <c r="E11325" s="6">
        <v>-28698</v>
      </c>
      <c r="F11325" t="s">
        <v>2067</v>
      </c>
      <c r="G11325" t="s">
        <v>20</v>
      </c>
      <c r="H11325" t="s">
        <v>21</v>
      </c>
      <c r="I11325" t="s">
        <v>21949</v>
      </c>
      <c r="J11325" t="str">
        <f>HYPERLINK("https://www.boe.es/gazeta/dias/1821/06/04/pdfs/GMD-1821-157.pdf#page=3","Abrir facsímil")</f>
        <v>Abrir facsímil</v>
      </c>
      <c r="K11325" t="s">
        <v>23</v>
      </c>
    </row>
    <row r="11326" spans="1:11" ht="42" customHeight="1">
      <c r="A11326" t="s">
        <v>21935</v>
      </c>
      <c r="B11326" t="s">
        <v>21935</v>
      </c>
      <c r="C11326" t="s">
        <v>17</v>
      </c>
      <c r="D11326" t="s">
        <v>18</v>
      </c>
      <c r="E11326" s="6">
        <v>-28689</v>
      </c>
      <c r="F11326" t="s">
        <v>194</v>
      </c>
      <c r="G11326" t="s">
        <v>205</v>
      </c>
      <c r="H11326" t="s">
        <v>21</v>
      </c>
      <c r="I11326" t="s">
        <v>21950</v>
      </c>
      <c r="J11326" t="str">
        <f>HYPERLINK("https://www.boe.es/gazeta/dias/1821/06/13/pdfs/GMD-1821-166.pdf#page=6","Abrir facsímil")</f>
        <v>Abrir facsímil</v>
      </c>
      <c r="K11326" t="s">
        <v>23</v>
      </c>
    </row>
    <row r="11327" spans="1:11" ht="42" customHeight="1">
      <c r="A11327" t="s">
        <v>21935</v>
      </c>
      <c r="B11327" t="s">
        <v>21935</v>
      </c>
      <c r="C11327" t="s">
        <v>26</v>
      </c>
      <c r="D11327" t="s">
        <v>27</v>
      </c>
      <c r="E11327" s="6">
        <v>-28673</v>
      </c>
      <c r="F11327" t="s">
        <v>1069</v>
      </c>
      <c r="G11327" t="s">
        <v>20</v>
      </c>
      <c r="H11327" t="s">
        <v>21</v>
      </c>
      <c r="I11327" t="s">
        <v>21951</v>
      </c>
      <c r="J11327" t="str">
        <f>HYPERLINK("https://www.boe.es/gazeta/dias/1821/06/29/pdfs/GMD-1821-182.pdf#page=3","Abrir facsímil")</f>
        <v>Abrir facsímil</v>
      </c>
      <c r="K11327" t="s">
        <v>23</v>
      </c>
    </row>
    <row r="11328" spans="1:11" ht="42" customHeight="1">
      <c r="A11328" t="s">
        <v>21935</v>
      </c>
      <c r="B11328" t="s">
        <v>21935</v>
      </c>
      <c r="C11328" t="s">
        <v>17</v>
      </c>
      <c r="D11328" t="s">
        <v>18</v>
      </c>
      <c r="E11328" s="6">
        <v>-28666</v>
      </c>
      <c r="F11328" t="s">
        <v>1263</v>
      </c>
      <c r="G11328" t="s">
        <v>88</v>
      </c>
      <c r="H11328" t="s">
        <v>21</v>
      </c>
      <c r="I11328" t="s">
        <v>21952</v>
      </c>
      <c r="J11328" t="str">
        <f>HYPERLINK("https://www.boe.es/gazeta/dias/1821/07/06/pdfs/GMD-1821-190.pdf#page=4","Abrir facsímil")</f>
        <v>Abrir facsímil</v>
      </c>
      <c r="K11328" t="s">
        <v>23</v>
      </c>
    </row>
    <row r="11329" spans="1:11" ht="42" customHeight="1">
      <c r="A11329" t="s">
        <v>21935</v>
      </c>
      <c r="B11329" t="s">
        <v>21935</v>
      </c>
      <c r="C11329" t="s">
        <v>26</v>
      </c>
      <c r="D11329" t="s">
        <v>27</v>
      </c>
      <c r="E11329" s="6">
        <v>-28578</v>
      </c>
      <c r="F11329" t="s">
        <v>899</v>
      </c>
      <c r="G11329" t="s">
        <v>52</v>
      </c>
      <c r="H11329" t="s">
        <v>21</v>
      </c>
      <c r="I11329" t="s">
        <v>21953</v>
      </c>
      <c r="J11329" t="str">
        <f>HYPERLINK("https://www.boe.es/gazeta/dias/1821/10/02/pdfs/GMD-1821-281.pdf#page=2","Abrir facsímil")</f>
        <v>Abrir facsímil</v>
      </c>
      <c r="K11329" t="s">
        <v>23</v>
      </c>
    </row>
    <row r="11330" spans="1:11" ht="42" customHeight="1">
      <c r="A11330" t="s">
        <v>21935</v>
      </c>
      <c r="B11330" t="s">
        <v>21935</v>
      </c>
      <c r="C11330" t="s">
        <v>26</v>
      </c>
      <c r="D11330" t="s">
        <v>27</v>
      </c>
      <c r="E11330" s="6">
        <v>-28567</v>
      </c>
      <c r="F11330" t="s">
        <v>217</v>
      </c>
      <c r="G11330" t="s">
        <v>20</v>
      </c>
      <c r="H11330" t="s">
        <v>21</v>
      </c>
      <c r="I11330" t="s">
        <v>21954</v>
      </c>
      <c r="J11330" t="str">
        <f>HYPERLINK("https://www.boe.es/gazeta/dias/1821/10/13/pdfs/GMD-1821-292.pdf#page=3","Abrir facsímil")</f>
        <v>Abrir facsímil</v>
      </c>
      <c r="K11330" t="s">
        <v>23</v>
      </c>
    </row>
    <row r="11331" spans="1:11" ht="42" customHeight="1">
      <c r="A11331" t="s">
        <v>21935</v>
      </c>
      <c r="B11331" t="s">
        <v>21935</v>
      </c>
      <c r="C11331" t="s">
        <v>35</v>
      </c>
      <c r="D11331" t="s">
        <v>27</v>
      </c>
      <c r="E11331" s="6">
        <v>-28565</v>
      </c>
      <c r="F11331" t="s">
        <v>326</v>
      </c>
      <c r="G11331" t="s">
        <v>52</v>
      </c>
      <c r="H11331" t="s">
        <v>21</v>
      </c>
      <c r="I11331" t="s">
        <v>21955</v>
      </c>
      <c r="J11331" t="str">
        <f>HYPERLINK("https://www.boe.es/gazeta/dias/1821/10/15/pdfs/GMD-1821-294.pdf#page=2","Abrir facsímil")</f>
        <v>Abrir facsímil</v>
      </c>
      <c r="K11331" t="s">
        <v>23</v>
      </c>
    </row>
    <row r="11332" spans="1:11" ht="42" customHeight="1">
      <c r="A11332" t="s">
        <v>21935</v>
      </c>
      <c r="B11332" t="s">
        <v>21935</v>
      </c>
      <c r="C11332" t="s">
        <v>114</v>
      </c>
      <c r="D11332" t="s">
        <v>27</v>
      </c>
      <c r="E11332" s="6">
        <v>-28561</v>
      </c>
      <c r="F11332" t="s">
        <v>240</v>
      </c>
      <c r="G11332" t="s">
        <v>162</v>
      </c>
      <c r="H11332" t="s">
        <v>21</v>
      </c>
      <c r="I11332" t="s">
        <v>21956</v>
      </c>
      <c r="J11332" t="str">
        <f>HYPERLINK("https://www.boe.es/gazeta/dias/1821/10/19/pdfs/GMD-1821-298.pdf#page=5","Abrir facsímil")</f>
        <v>Abrir facsímil</v>
      </c>
      <c r="K11332" t="s">
        <v>23</v>
      </c>
    </row>
    <row r="11333" spans="1:11" ht="42" customHeight="1">
      <c r="A11333" t="s">
        <v>21935</v>
      </c>
      <c r="B11333" t="s">
        <v>21935</v>
      </c>
      <c r="C11333" t="s">
        <v>174</v>
      </c>
      <c r="D11333" t="s">
        <v>27</v>
      </c>
      <c r="E11333" s="6">
        <v>-28553</v>
      </c>
      <c r="F11333" t="s">
        <v>182</v>
      </c>
      <c r="G11333" t="s">
        <v>88</v>
      </c>
      <c r="H11333" t="s">
        <v>21</v>
      </c>
      <c r="I11333" t="s">
        <v>21957</v>
      </c>
      <c r="J11333" t="str">
        <f>HYPERLINK("https://www.boe.es/gazeta/dias/1821/10/27/pdfs/GMD-1821-306.pdf#page=4","Abrir facsímil")</f>
        <v>Abrir facsímil</v>
      </c>
      <c r="K11333" t="s">
        <v>23</v>
      </c>
    </row>
    <row r="11334" spans="1:11" ht="42" customHeight="1">
      <c r="A11334" t="s">
        <v>21935</v>
      </c>
      <c r="B11334" t="s">
        <v>21935</v>
      </c>
      <c r="C11334" t="s">
        <v>114</v>
      </c>
      <c r="D11334" t="s">
        <v>27</v>
      </c>
      <c r="E11334" s="6">
        <v>-28552</v>
      </c>
      <c r="F11334" t="s">
        <v>28</v>
      </c>
      <c r="G11334" t="s">
        <v>2457</v>
      </c>
      <c r="H11334" t="s">
        <v>21</v>
      </c>
      <c r="I11334" t="s">
        <v>21958</v>
      </c>
      <c r="J11334" t="str">
        <f>HYPERLINK("https://www.boe.es/gazeta/dias/1821/10/28/pdfs/GMD-1821-307.pdf#page=4","Abrir facsímil")</f>
        <v>Abrir facsímil</v>
      </c>
      <c r="K11334" t="s">
        <v>23</v>
      </c>
    </row>
    <row r="11335" spans="1:11" ht="42" customHeight="1">
      <c r="A11335" t="s">
        <v>21935</v>
      </c>
      <c r="B11335" t="s">
        <v>21935</v>
      </c>
      <c r="C11335" t="s">
        <v>114</v>
      </c>
      <c r="D11335" t="s">
        <v>27</v>
      </c>
      <c r="E11335" s="6">
        <v>-28552</v>
      </c>
      <c r="F11335" t="s">
        <v>28</v>
      </c>
      <c r="G11335" t="s">
        <v>162</v>
      </c>
      <c r="H11335" t="s">
        <v>21</v>
      </c>
      <c r="I11335" t="s">
        <v>21959</v>
      </c>
      <c r="J11335" t="str">
        <f>HYPERLINK("https://www.boe.es/gazeta/dias/1821/10/28/pdfs/GMD-1821-307.pdf#page=5","Abrir facsímil")</f>
        <v>Abrir facsímil</v>
      </c>
      <c r="K11335" t="s">
        <v>23</v>
      </c>
    </row>
    <row r="11336" spans="1:11" ht="42" customHeight="1">
      <c r="A11336" t="s">
        <v>21935</v>
      </c>
      <c r="B11336" t="s">
        <v>21935</v>
      </c>
      <c r="C11336" t="s">
        <v>35</v>
      </c>
      <c r="D11336" t="s">
        <v>27</v>
      </c>
      <c r="E11336" s="6">
        <v>-28551</v>
      </c>
      <c r="F11336" t="s">
        <v>542</v>
      </c>
      <c r="G11336" t="s">
        <v>543</v>
      </c>
      <c r="H11336" t="s">
        <v>21</v>
      </c>
      <c r="I11336" t="s">
        <v>21960</v>
      </c>
      <c r="J11336" t="str">
        <f>HYPERLINK("https://www.boe.es/gazeta/dias/1821/10/29/pdfs/GMD-1821-308.pdf#page=3","Abrir facsímil")</f>
        <v>Abrir facsímil</v>
      </c>
      <c r="K11336" t="s">
        <v>23</v>
      </c>
    </row>
    <row r="11337" spans="1:11" ht="42" customHeight="1">
      <c r="A11337" t="s">
        <v>21935</v>
      </c>
      <c r="B11337" t="s">
        <v>21935</v>
      </c>
      <c r="C11337" t="s">
        <v>40</v>
      </c>
      <c r="D11337" t="s">
        <v>41</v>
      </c>
      <c r="E11337" s="6">
        <v>-28551</v>
      </c>
      <c r="F11337" t="s">
        <v>542</v>
      </c>
      <c r="G11337" t="s">
        <v>88</v>
      </c>
      <c r="H11337" t="s">
        <v>21</v>
      </c>
      <c r="I11337" t="s">
        <v>21961</v>
      </c>
      <c r="J11337" t="str">
        <f>HYPERLINK("https://www.boe.es/gazeta/dias/1821/10/29/pdfs/GMD-1821-308.pdf#page=4","Abrir facsímil")</f>
        <v>Abrir facsímil</v>
      </c>
      <c r="K11337" t="s">
        <v>23</v>
      </c>
    </row>
    <row r="11338" spans="1:11" ht="42" customHeight="1">
      <c r="A11338" t="s">
        <v>21962</v>
      </c>
      <c r="B11338" t="s">
        <v>21962</v>
      </c>
      <c r="C11338" t="s">
        <v>35</v>
      </c>
      <c r="D11338" t="s">
        <v>27</v>
      </c>
      <c r="E11338" s="6">
        <v>-28550</v>
      </c>
      <c r="F11338" t="s">
        <v>546</v>
      </c>
      <c r="G11338" t="s">
        <v>88</v>
      </c>
      <c r="H11338" t="s">
        <v>21</v>
      </c>
      <c r="I11338" t="s">
        <v>21963</v>
      </c>
      <c r="J11338" t="str">
        <f>HYPERLINK("https://www.boe.es/gazeta/dias/1821/10/30/pdfs/GMD-1821-309.pdf#page=4","Abrir facsímil")</f>
        <v>Abrir facsímil</v>
      </c>
      <c r="K11338" t="s">
        <v>23</v>
      </c>
    </row>
    <row r="11339" spans="1:11" ht="42" customHeight="1">
      <c r="A11339" t="s">
        <v>21962</v>
      </c>
      <c r="B11339" t="s">
        <v>21962</v>
      </c>
      <c r="C11339" t="s">
        <v>35</v>
      </c>
      <c r="D11339" t="s">
        <v>27</v>
      </c>
      <c r="E11339" s="6">
        <v>-28550</v>
      </c>
      <c r="F11339" t="s">
        <v>546</v>
      </c>
      <c r="G11339" t="s">
        <v>162</v>
      </c>
      <c r="H11339" t="s">
        <v>21</v>
      </c>
      <c r="I11339" t="s">
        <v>21964</v>
      </c>
      <c r="J11339" t="str">
        <f>HYPERLINK("https://www.boe.es/gazeta/dias/1821/10/30/pdfs/GMD-1821-309.pdf#page=5","Abrir facsímil")</f>
        <v>Abrir facsímil</v>
      </c>
      <c r="K11339" t="s">
        <v>23</v>
      </c>
    </row>
    <row r="11340" spans="1:11" ht="42" customHeight="1">
      <c r="A11340" t="s">
        <v>21935</v>
      </c>
      <c r="B11340" t="s">
        <v>21935</v>
      </c>
      <c r="C11340" t="s">
        <v>35</v>
      </c>
      <c r="D11340" t="s">
        <v>27</v>
      </c>
      <c r="E11340" s="6">
        <v>-28549</v>
      </c>
      <c r="F11340" t="s">
        <v>930</v>
      </c>
      <c r="G11340" t="s">
        <v>88</v>
      </c>
      <c r="H11340" t="s">
        <v>21</v>
      </c>
      <c r="I11340" t="s">
        <v>21965</v>
      </c>
      <c r="J11340" t="str">
        <f>HYPERLINK("https://www.boe.es/gazeta/dias/1821/10/31/pdfs/GMD-1821-310.pdf#page=4","Abrir facsímil")</f>
        <v>Abrir facsímil</v>
      </c>
      <c r="K11340" t="s">
        <v>23</v>
      </c>
    </row>
    <row r="11341" spans="1:11" ht="42" customHeight="1">
      <c r="A11341" t="s">
        <v>21935</v>
      </c>
      <c r="B11341" t="s">
        <v>21935</v>
      </c>
      <c r="C11341" t="s">
        <v>35</v>
      </c>
      <c r="D11341" t="s">
        <v>27</v>
      </c>
      <c r="E11341" s="6">
        <v>-28547</v>
      </c>
      <c r="F11341" t="s">
        <v>247</v>
      </c>
      <c r="G11341" t="s">
        <v>29</v>
      </c>
      <c r="H11341" t="s">
        <v>21</v>
      </c>
      <c r="I11341" t="s">
        <v>21966</v>
      </c>
      <c r="J11341" t="str">
        <f>HYPERLINK("https://www.boe.es/gazeta/dias/1821/11/02/pdfs/GMD-1821-312.pdf#page=6","Abrir facsímil")</f>
        <v>Abrir facsímil</v>
      </c>
      <c r="K11341" t="s">
        <v>23</v>
      </c>
    </row>
    <row r="11342" spans="1:11" ht="42" customHeight="1">
      <c r="A11342" t="s">
        <v>21935</v>
      </c>
      <c r="B11342" t="s">
        <v>21935</v>
      </c>
      <c r="C11342" t="s">
        <v>40</v>
      </c>
      <c r="D11342" t="s">
        <v>41</v>
      </c>
      <c r="E11342" s="6">
        <v>-28537</v>
      </c>
      <c r="F11342" t="s">
        <v>56</v>
      </c>
      <c r="G11342" t="s">
        <v>88</v>
      </c>
      <c r="H11342" t="s">
        <v>21</v>
      </c>
      <c r="I11342" t="s">
        <v>21967</v>
      </c>
      <c r="J11342" t="str">
        <f>HYPERLINK("https://www.boe.es/gazeta/dias/1821/11/12/pdfs/GMD-1821-323.pdf#page=4","Abrir facsímil")</f>
        <v>Abrir facsímil</v>
      </c>
      <c r="K11342" t="s">
        <v>23</v>
      </c>
    </row>
    <row r="11343" spans="1:11" ht="42" customHeight="1">
      <c r="A11343" t="s">
        <v>21935</v>
      </c>
      <c r="B11343" t="s">
        <v>21935</v>
      </c>
      <c r="C11343" t="s">
        <v>174</v>
      </c>
      <c r="D11343" t="s">
        <v>27</v>
      </c>
      <c r="E11343" s="6">
        <v>-28536</v>
      </c>
      <c r="F11343" t="s">
        <v>553</v>
      </c>
      <c r="G11343" t="s">
        <v>88</v>
      </c>
      <c r="H11343" t="s">
        <v>21</v>
      </c>
      <c r="I11343" t="s">
        <v>21968</v>
      </c>
      <c r="J11343" t="str">
        <f>HYPERLINK("https://www.boe.es/gazeta/dias/1821/11/13/pdfs/GMD-1821-324.pdf#page=4","Abrir facsímil")</f>
        <v>Abrir facsímil</v>
      </c>
      <c r="K11343" t="s">
        <v>23</v>
      </c>
    </row>
    <row r="11344" spans="1:11" ht="42" customHeight="1">
      <c r="A11344" t="s">
        <v>21935</v>
      </c>
      <c r="B11344" t="s">
        <v>21935</v>
      </c>
      <c r="C11344" t="s">
        <v>114</v>
      </c>
      <c r="D11344" t="s">
        <v>27</v>
      </c>
      <c r="E11344" s="6">
        <v>-28535</v>
      </c>
      <c r="F11344" t="s">
        <v>96</v>
      </c>
      <c r="G11344" t="s">
        <v>88</v>
      </c>
      <c r="H11344" t="s">
        <v>21</v>
      </c>
      <c r="I11344" t="s">
        <v>21969</v>
      </c>
      <c r="J11344" t="str">
        <f>HYPERLINK("https://www.boe.es/gazeta/dias/1821/11/14/pdfs/GMD-1821-325.pdf#page=4","Abrir facsímil")</f>
        <v>Abrir facsímil</v>
      </c>
      <c r="K11344" t="s">
        <v>23</v>
      </c>
    </row>
    <row r="11345" spans="1:11" ht="42" customHeight="1">
      <c r="A11345" t="s">
        <v>21935</v>
      </c>
      <c r="B11345" t="s">
        <v>21935</v>
      </c>
      <c r="C11345" t="s">
        <v>40</v>
      </c>
      <c r="D11345" t="s">
        <v>41</v>
      </c>
      <c r="E11345" s="6">
        <v>-28533</v>
      </c>
      <c r="F11345" t="s">
        <v>559</v>
      </c>
      <c r="G11345" t="s">
        <v>29</v>
      </c>
      <c r="H11345" t="s">
        <v>21</v>
      </c>
      <c r="I11345" t="s">
        <v>21970</v>
      </c>
      <c r="J11345" t="str">
        <f>HYPERLINK("https://www.boe.es/gazeta/dias/1821/11/16/pdfs/GMD-1821-327.pdf#page=6","Abrir facsímil")</f>
        <v>Abrir facsímil</v>
      </c>
      <c r="K11345" t="s">
        <v>23</v>
      </c>
    </row>
    <row r="11346" spans="1:11" ht="42" customHeight="1">
      <c r="A11346" t="s">
        <v>21935</v>
      </c>
      <c r="B11346" t="s">
        <v>21935</v>
      </c>
      <c r="C11346" t="s">
        <v>26</v>
      </c>
      <c r="D11346" t="s">
        <v>27</v>
      </c>
      <c r="E11346" s="6">
        <v>-28518</v>
      </c>
      <c r="F11346" t="s">
        <v>410</v>
      </c>
      <c r="G11346" t="s">
        <v>20</v>
      </c>
      <c r="H11346" t="s">
        <v>21</v>
      </c>
      <c r="I11346" t="s">
        <v>21971</v>
      </c>
      <c r="J11346" t="str">
        <f>HYPERLINK("https://www.boe.es/gazeta/dias/1821/12/01/pdfs/GMD-1821-343.pdf#page=3","Abrir facsímil")</f>
        <v>Abrir facsímil</v>
      </c>
      <c r="K11346" t="s">
        <v>23</v>
      </c>
    </row>
    <row r="11347" spans="1:11" ht="42" customHeight="1">
      <c r="A11347" t="s">
        <v>21935</v>
      </c>
      <c r="B11347" t="s">
        <v>21935</v>
      </c>
      <c r="C11347" t="s">
        <v>26</v>
      </c>
      <c r="D11347" t="s">
        <v>27</v>
      </c>
      <c r="E11347" s="6">
        <v>-28518</v>
      </c>
      <c r="F11347" t="s">
        <v>410</v>
      </c>
      <c r="G11347" t="s">
        <v>88</v>
      </c>
      <c r="H11347" t="s">
        <v>21</v>
      </c>
      <c r="I11347" t="s">
        <v>21972</v>
      </c>
      <c r="J11347" t="str">
        <f>HYPERLINK("https://www.boe.es/gazeta/dias/1821/12/01/pdfs/GMD-1821-343.pdf#page=4","Abrir facsímil")</f>
        <v>Abrir facsímil</v>
      </c>
      <c r="K11347" t="s">
        <v>23</v>
      </c>
    </row>
    <row r="11348" spans="1:11" ht="42" customHeight="1">
      <c r="A11348" t="s">
        <v>21935</v>
      </c>
      <c r="B11348" t="s">
        <v>21935</v>
      </c>
      <c r="C11348" t="s">
        <v>35</v>
      </c>
      <c r="D11348" t="s">
        <v>27</v>
      </c>
      <c r="E11348" s="6">
        <v>-28517</v>
      </c>
      <c r="F11348" t="s">
        <v>563</v>
      </c>
      <c r="G11348" t="s">
        <v>52</v>
      </c>
      <c r="H11348" t="s">
        <v>21</v>
      </c>
      <c r="I11348" t="s">
        <v>21973</v>
      </c>
      <c r="J11348" t="str">
        <f>HYPERLINK("https://www.boe.es/gazeta/dias/1821/12/02/pdfs/GMD-1821-344.pdf#page=2","Abrir facsímil")</f>
        <v>Abrir facsímil</v>
      </c>
      <c r="K11348" t="s">
        <v>23</v>
      </c>
    </row>
    <row r="11349" spans="1:11" ht="42" customHeight="1">
      <c r="A11349" t="s">
        <v>21935</v>
      </c>
      <c r="B11349" t="s">
        <v>21935</v>
      </c>
      <c r="C11349" t="s">
        <v>40</v>
      </c>
      <c r="D11349" t="s">
        <v>41</v>
      </c>
      <c r="E11349" s="6">
        <v>-28512</v>
      </c>
      <c r="F11349" t="s">
        <v>66</v>
      </c>
      <c r="G11349" t="s">
        <v>52</v>
      </c>
      <c r="H11349" t="s">
        <v>21</v>
      </c>
      <c r="I11349" t="s">
        <v>21974</v>
      </c>
      <c r="J11349" t="str">
        <f>HYPERLINK("https://www.boe.es/gazeta/dias/1821/12/07/pdfs/GMD-1821-349.pdf#page=2","Abrir facsímil")</f>
        <v>Abrir facsímil</v>
      </c>
      <c r="K11349" t="s">
        <v>23</v>
      </c>
    </row>
    <row r="11350" spans="1:11" ht="42" customHeight="1">
      <c r="A11350" t="s">
        <v>21935</v>
      </c>
      <c r="B11350" t="s">
        <v>21935</v>
      </c>
      <c r="C11350" t="s">
        <v>40</v>
      </c>
      <c r="D11350" t="s">
        <v>41</v>
      </c>
      <c r="E11350" s="6">
        <v>-28509</v>
      </c>
      <c r="F11350" t="s">
        <v>388</v>
      </c>
      <c r="G11350" t="s">
        <v>52</v>
      </c>
      <c r="H11350" t="s">
        <v>21</v>
      </c>
      <c r="I11350" t="s">
        <v>21975</v>
      </c>
      <c r="J11350" t="str">
        <f>HYPERLINK("https://www.boe.es/gazeta/dias/1821/12/10/pdfs/GMD-1821-352.pdf#page=2","Abrir facsímil")</f>
        <v>Abrir facsímil</v>
      </c>
      <c r="K11350" t="s">
        <v>23</v>
      </c>
    </row>
    <row r="11351" spans="1:11" ht="42" customHeight="1">
      <c r="A11351" t="s">
        <v>21976</v>
      </c>
      <c r="B11351" t="s">
        <v>21976</v>
      </c>
      <c r="C11351" t="s">
        <v>17</v>
      </c>
      <c r="D11351" t="s">
        <v>18</v>
      </c>
      <c r="E11351" s="6">
        <v>-28556</v>
      </c>
      <c r="F11351" t="s">
        <v>264</v>
      </c>
      <c r="G11351" t="s">
        <v>162</v>
      </c>
      <c r="H11351" t="s">
        <v>21</v>
      </c>
      <c r="I11351" t="s">
        <v>21977</v>
      </c>
      <c r="J11351" t="str">
        <f>HYPERLINK("https://www.boe.es/gazeta/dias/1821/10/24/pdfs/GMD-1821-303.pdf#page=5","Abrir facsímil")</f>
        <v>Abrir facsímil</v>
      </c>
      <c r="K11351" t="s">
        <v>23</v>
      </c>
    </row>
    <row r="11352" spans="1:11" ht="42" customHeight="1">
      <c r="A11352" t="s">
        <v>21978</v>
      </c>
      <c r="B11352" t="s">
        <v>21978</v>
      </c>
      <c r="C11352" t="s">
        <v>114</v>
      </c>
      <c r="D11352" t="s">
        <v>27</v>
      </c>
      <c r="E11352" s="6">
        <v>-28702</v>
      </c>
      <c r="F11352" t="s">
        <v>1176</v>
      </c>
      <c r="G11352" t="s">
        <v>20</v>
      </c>
      <c r="H11352" t="s">
        <v>21</v>
      </c>
      <c r="I11352" t="s">
        <v>21979</v>
      </c>
      <c r="J11352" t="str">
        <f>HYPERLINK("https://www.boe.es/gazeta/dias/1821/05/31/pdfs/GMD-1821-153.pdf#page=3","Abrir facsímil")</f>
        <v>Abrir facsímil</v>
      </c>
      <c r="K11352" t="s">
        <v>23</v>
      </c>
    </row>
    <row r="11353" spans="1:11" ht="42" customHeight="1">
      <c r="A11353" t="s">
        <v>21978</v>
      </c>
      <c r="B11353" t="s">
        <v>21978</v>
      </c>
      <c r="C11353" t="s">
        <v>17</v>
      </c>
      <c r="D11353" t="s">
        <v>18</v>
      </c>
      <c r="E11353" s="6">
        <v>-28585</v>
      </c>
      <c r="F11353" t="s">
        <v>627</v>
      </c>
      <c r="G11353" t="s">
        <v>20</v>
      </c>
      <c r="H11353" t="s">
        <v>21</v>
      </c>
      <c r="I11353" t="s">
        <v>21980</v>
      </c>
      <c r="J11353" t="str">
        <f>HYPERLINK("https://www.boe.es/gazeta/dias/1821/09/25/pdfs/GMD-1821-273.pdf#page=3","Abrir facsímil")</f>
        <v>Abrir facsímil</v>
      </c>
      <c r="K11353" t="s">
        <v>23</v>
      </c>
    </row>
    <row r="11354" spans="1:11" ht="42" customHeight="1">
      <c r="A11354" t="s">
        <v>21981</v>
      </c>
      <c r="B11354" t="s">
        <v>21982</v>
      </c>
      <c r="C11354" t="s">
        <v>40</v>
      </c>
      <c r="D11354" t="s">
        <v>41</v>
      </c>
      <c r="E11354" s="6">
        <v>-28745</v>
      </c>
      <c r="F11354" t="s">
        <v>1020</v>
      </c>
      <c r="G11354" t="s">
        <v>52</v>
      </c>
      <c r="H11354" t="s">
        <v>21</v>
      </c>
      <c r="I11354" t="s">
        <v>21983</v>
      </c>
      <c r="J11354" t="str">
        <f>HYPERLINK("https://www.boe.es/gazeta/dias/1821/04/18/pdfs/GMD-1821-110.pdf#page=2","Abrir facsímil")</f>
        <v>Abrir facsímil</v>
      </c>
      <c r="K11354" t="s">
        <v>23</v>
      </c>
    </row>
    <row r="11355" spans="1:11" ht="42" customHeight="1">
      <c r="A11355" t="s">
        <v>21981</v>
      </c>
      <c r="B11355" t="s">
        <v>21982</v>
      </c>
      <c r="C11355" t="s">
        <v>17</v>
      </c>
      <c r="D11355" t="s">
        <v>18</v>
      </c>
      <c r="E11355" s="6">
        <v>-28535</v>
      </c>
      <c r="F11355" t="s">
        <v>96</v>
      </c>
      <c r="G11355" t="s">
        <v>52</v>
      </c>
      <c r="H11355" t="s">
        <v>21</v>
      </c>
      <c r="I11355" t="s">
        <v>21984</v>
      </c>
      <c r="J11355" t="str">
        <f>HYPERLINK("https://www.boe.es/gazeta/dias/1821/11/14/pdfs/GMD-1821-325.pdf#page=2","Abrir facsímil")</f>
        <v>Abrir facsímil</v>
      </c>
      <c r="K11355" t="s">
        <v>23</v>
      </c>
    </row>
    <row r="11356" spans="1:11" ht="42" customHeight="1">
      <c r="A11356" t="s">
        <v>21985</v>
      </c>
      <c r="B11356" t="s">
        <v>21986</v>
      </c>
      <c r="C11356" t="s">
        <v>17</v>
      </c>
      <c r="D11356" t="s">
        <v>18</v>
      </c>
      <c r="E11356" s="6">
        <v>-28675</v>
      </c>
      <c r="F11356" t="s">
        <v>943</v>
      </c>
      <c r="G11356" t="s">
        <v>52</v>
      </c>
      <c r="H11356" t="s">
        <v>21</v>
      </c>
      <c r="I11356" t="s">
        <v>21987</v>
      </c>
      <c r="J11356" t="str">
        <f>HYPERLINK("https://www.boe.es/gazeta/dias/1821/06/27/pdfs/GMD-1821-180.pdf#page=2","Abrir facsímil")</f>
        <v>Abrir facsímil</v>
      </c>
      <c r="K11356" t="s">
        <v>23</v>
      </c>
    </row>
    <row r="11357" spans="1:11" ht="42" customHeight="1">
      <c r="A11357" t="s">
        <v>21988</v>
      </c>
      <c r="B11357" t="s">
        <v>21989</v>
      </c>
      <c r="C11357" t="s">
        <v>17</v>
      </c>
      <c r="D11357" t="s">
        <v>18</v>
      </c>
      <c r="E11357" s="6">
        <v>-28702</v>
      </c>
      <c r="F11357" t="s">
        <v>1176</v>
      </c>
      <c r="G11357" t="s">
        <v>1177</v>
      </c>
      <c r="H11357" t="s">
        <v>21</v>
      </c>
      <c r="I11357" t="s">
        <v>21990</v>
      </c>
      <c r="J11357" t="str">
        <f>HYPERLINK("https://www.boe.es/gazeta/dias/1821/05/31/pdfs/GMD-1821-153.pdf#page=2","Abrir facsímil")</f>
        <v>Abrir facsímil</v>
      </c>
      <c r="K11357" t="s">
        <v>23</v>
      </c>
    </row>
    <row r="11358" spans="1:11" ht="42" customHeight="1">
      <c r="A11358" t="s">
        <v>21991</v>
      </c>
      <c r="B11358" t="s">
        <v>21992</v>
      </c>
      <c r="C11358" t="s">
        <v>40</v>
      </c>
      <c r="D11358" t="s">
        <v>41</v>
      </c>
      <c r="E11358" s="6">
        <v>-28539</v>
      </c>
      <c r="F11358" t="s">
        <v>153</v>
      </c>
      <c r="G11358" t="s">
        <v>20</v>
      </c>
      <c r="H11358" t="s">
        <v>21</v>
      </c>
      <c r="I11358" t="s">
        <v>21993</v>
      </c>
      <c r="J11358" t="str">
        <f>HYPERLINK("https://www.boe.es/gazeta/dias/1821/11/10/pdfs/GMD-1821-321.pdf#page=3","Abrir facsímil")</f>
        <v>Abrir facsímil</v>
      </c>
      <c r="K11358" t="s">
        <v>23</v>
      </c>
    </row>
    <row r="11359" spans="1:11" ht="42" customHeight="1">
      <c r="A11359" t="s">
        <v>21994</v>
      </c>
      <c r="B11359" t="s">
        <v>21995</v>
      </c>
      <c r="C11359" t="s">
        <v>17</v>
      </c>
      <c r="D11359" t="s">
        <v>18</v>
      </c>
      <c r="E11359" s="6">
        <v>-28541</v>
      </c>
      <c r="F11359" t="s">
        <v>275</v>
      </c>
      <c r="G11359" t="s">
        <v>52</v>
      </c>
      <c r="H11359" t="s">
        <v>21</v>
      </c>
      <c r="I11359" t="s">
        <v>21996</v>
      </c>
      <c r="J11359" t="str">
        <f>HYPERLINK("https://www.boe.es/gazeta/dias/1821/11/08/pdfs/GMD-1821-319.pdf#page=2","Abrir facsímil")</f>
        <v>Abrir facsímil</v>
      </c>
      <c r="K11359" t="s">
        <v>23</v>
      </c>
    </row>
    <row r="11360" spans="1:11" ht="42" customHeight="1">
      <c r="A11360" t="s">
        <v>21997</v>
      </c>
      <c r="B11360" t="s">
        <v>21998</v>
      </c>
      <c r="C11360" t="s">
        <v>17</v>
      </c>
      <c r="D11360" t="s">
        <v>18</v>
      </c>
      <c r="E11360" s="6">
        <v>-28821</v>
      </c>
      <c r="F11360" t="s">
        <v>371</v>
      </c>
      <c r="G11360" t="s">
        <v>20</v>
      </c>
      <c r="H11360" t="s">
        <v>21</v>
      </c>
      <c r="I11360" t="s">
        <v>21999</v>
      </c>
      <c r="J11360" t="str">
        <f>HYPERLINK("https://www.boe.es/gazeta/dias/1821/02/01/pdfs/GGB-1821-32.pdf#page=3","Abrir facsímil")</f>
        <v>Abrir facsímil</v>
      </c>
      <c r="K11360" t="s">
        <v>23</v>
      </c>
    </row>
    <row r="11361" spans="1:11" ht="42" customHeight="1">
      <c r="A11361" t="s">
        <v>22000</v>
      </c>
      <c r="B11361" t="s">
        <v>22001</v>
      </c>
      <c r="C11361" t="s">
        <v>17</v>
      </c>
      <c r="D11361" t="s">
        <v>18</v>
      </c>
      <c r="E11361" s="6">
        <v>-28665</v>
      </c>
      <c r="F11361" t="s">
        <v>789</v>
      </c>
      <c r="G11361" t="s">
        <v>790</v>
      </c>
      <c r="H11361" t="s">
        <v>21</v>
      </c>
      <c r="I11361" t="s">
        <v>22002</v>
      </c>
      <c r="J11361" t="str">
        <f>HYPERLINK("https://www.boe.es/gazeta/dias/1821/07/07/pdfs/GMD-1821-191.pdf#page=4","Abrir facsímil")</f>
        <v>Abrir facsímil</v>
      </c>
      <c r="K11361" t="s">
        <v>23</v>
      </c>
    </row>
    <row r="11362" spans="1:11" ht="42" customHeight="1">
      <c r="A11362" t="s">
        <v>22003</v>
      </c>
      <c r="B11362" t="s">
        <v>22003</v>
      </c>
      <c r="C11362" t="s">
        <v>40</v>
      </c>
      <c r="D11362" t="s">
        <v>41</v>
      </c>
      <c r="E11362" s="6">
        <v>-28498</v>
      </c>
      <c r="F11362" t="s">
        <v>447</v>
      </c>
      <c r="G11362" t="s">
        <v>43</v>
      </c>
      <c r="H11362" t="s">
        <v>21</v>
      </c>
      <c r="I11362" t="s">
        <v>22004</v>
      </c>
      <c r="J11362" t="str">
        <f>HYPERLINK("https://www.boe.es/gazeta/dias/1821/12/21/pdfs/GMD-1821-364.pdf#page=1","Abrir facsímil")</f>
        <v>Abrir facsímil</v>
      </c>
      <c r="K11362" t="s">
        <v>23</v>
      </c>
    </row>
    <row r="11363" spans="1:11" ht="42" customHeight="1">
      <c r="A11363" t="s">
        <v>22005</v>
      </c>
      <c r="B11363" t="s">
        <v>22006</v>
      </c>
      <c r="C11363" t="s">
        <v>17</v>
      </c>
      <c r="D11363" t="s">
        <v>18</v>
      </c>
      <c r="E11363" s="6">
        <v>-28837</v>
      </c>
      <c r="F11363" t="s">
        <v>1234</v>
      </c>
      <c r="G11363" t="s">
        <v>88</v>
      </c>
      <c r="H11363" t="s">
        <v>21</v>
      </c>
      <c r="I11363" t="s">
        <v>22007</v>
      </c>
      <c r="J11363" t="str">
        <f>HYPERLINK("https://www.boe.es/gazeta/dias/1821/01/16/pdfs/GGB-1821-16.pdf#page=4","Abrir facsímil")</f>
        <v>Abrir facsímil</v>
      </c>
      <c r="K11363" t="s">
        <v>23</v>
      </c>
    </row>
    <row r="11364" spans="1:11" ht="42" customHeight="1">
      <c r="A11364" t="s">
        <v>22008</v>
      </c>
      <c r="B11364" t="s">
        <v>22009</v>
      </c>
      <c r="C11364" t="s">
        <v>17</v>
      </c>
      <c r="D11364" t="s">
        <v>18</v>
      </c>
      <c r="E11364" s="6">
        <v>-28776</v>
      </c>
      <c r="F11364" t="s">
        <v>312</v>
      </c>
      <c r="G11364" t="s">
        <v>29</v>
      </c>
      <c r="H11364" t="s">
        <v>21</v>
      </c>
      <c r="I11364" t="s">
        <v>22010</v>
      </c>
      <c r="J11364" t="str">
        <f>HYPERLINK("https://www.boe.es/gazeta/dias/1821/03/18/pdfs/GMD-1821-77.pdf#page=6","Abrir facsímil")</f>
        <v>Abrir facsímil</v>
      </c>
      <c r="K11364" t="s">
        <v>23</v>
      </c>
    </row>
    <row r="11365" spans="1:11" ht="42" customHeight="1">
      <c r="A11365" t="s">
        <v>22005</v>
      </c>
      <c r="B11365" t="s">
        <v>22006</v>
      </c>
      <c r="C11365" t="s">
        <v>17</v>
      </c>
      <c r="D11365" t="s">
        <v>18</v>
      </c>
      <c r="E11365" s="6">
        <v>-28773</v>
      </c>
      <c r="F11365" t="s">
        <v>1755</v>
      </c>
      <c r="G11365" t="s">
        <v>29</v>
      </c>
      <c r="H11365" t="s">
        <v>21</v>
      </c>
      <c r="I11365" t="s">
        <v>22011</v>
      </c>
      <c r="J11365" t="str">
        <f>HYPERLINK("https://www.boe.es/gazeta/dias/1821/03/21/pdfs/GMD-1821-80.pdf#page=6","Abrir facsímil")</f>
        <v>Abrir facsímil</v>
      </c>
      <c r="K11365" t="s">
        <v>23</v>
      </c>
    </row>
    <row r="11366" spans="1:11" ht="42" customHeight="1">
      <c r="A11366" t="s">
        <v>22005</v>
      </c>
      <c r="B11366" t="s">
        <v>22006</v>
      </c>
      <c r="C11366" t="s">
        <v>40</v>
      </c>
      <c r="D11366" t="s">
        <v>41</v>
      </c>
      <c r="E11366" s="6">
        <v>-28758</v>
      </c>
      <c r="F11366" t="s">
        <v>4115</v>
      </c>
      <c r="G11366" t="s">
        <v>7429</v>
      </c>
      <c r="H11366" t="s">
        <v>21</v>
      </c>
      <c r="I11366" t="s">
        <v>22012</v>
      </c>
      <c r="J11366" t="str">
        <f>HYPERLINK("https://www.boe.es/gazeta/dias/1821/04/05/pdfs/GMD-1821-97.pdf#page=4","Abrir facsímil")</f>
        <v>Abrir facsímil</v>
      </c>
      <c r="K11366" t="s">
        <v>23</v>
      </c>
    </row>
    <row r="11367" spans="1:11" ht="42" customHeight="1">
      <c r="A11367" t="s">
        <v>22005</v>
      </c>
      <c r="B11367" t="s">
        <v>22006</v>
      </c>
      <c r="C11367" t="s">
        <v>17</v>
      </c>
      <c r="D11367" t="s">
        <v>18</v>
      </c>
      <c r="E11367" s="6">
        <v>-28745</v>
      </c>
      <c r="F11367" t="s">
        <v>1020</v>
      </c>
      <c r="G11367" t="s">
        <v>88</v>
      </c>
      <c r="H11367" t="s">
        <v>21</v>
      </c>
      <c r="I11367" t="s">
        <v>22013</v>
      </c>
      <c r="J11367" t="str">
        <f>HYPERLINK("https://www.boe.es/gazeta/dias/1821/04/18/pdfs/GMD-1821-110.pdf#page=4","Abrir facsímil")</f>
        <v>Abrir facsímil</v>
      </c>
      <c r="K11367" t="s">
        <v>23</v>
      </c>
    </row>
    <row r="11368" spans="1:11" ht="42" customHeight="1">
      <c r="A11368" t="s">
        <v>22008</v>
      </c>
      <c r="B11368" t="s">
        <v>22009</v>
      </c>
      <c r="C11368" t="s">
        <v>17</v>
      </c>
      <c r="D11368" t="s">
        <v>18</v>
      </c>
      <c r="E11368" s="6">
        <v>-28711</v>
      </c>
      <c r="F11368" t="s">
        <v>1048</v>
      </c>
      <c r="G11368" t="s">
        <v>88</v>
      </c>
      <c r="H11368" t="s">
        <v>21</v>
      </c>
      <c r="I11368" t="s">
        <v>22014</v>
      </c>
      <c r="J11368" t="str">
        <f>HYPERLINK("https://www.boe.es/gazeta/dias/1821/05/22/pdfs/GMD-1821-144.pdf#page=4","Abrir facsímil")</f>
        <v>Abrir facsímil</v>
      </c>
      <c r="K11368" t="s">
        <v>23</v>
      </c>
    </row>
    <row r="11369" spans="1:11" ht="42" customHeight="1">
      <c r="A11369" t="s">
        <v>22008</v>
      </c>
      <c r="B11369" t="s">
        <v>22009</v>
      </c>
      <c r="C11369" t="s">
        <v>17</v>
      </c>
      <c r="D11369" t="s">
        <v>18</v>
      </c>
      <c r="E11369" s="6">
        <v>-28705</v>
      </c>
      <c r="F11369" t="s">
        <v>1844</v>
      </c>
      <c r="G11369" t="s">
        <v>333</v>
      </c>
      <c r="H11369" t="s">
        <v>21</v>
      </c>
      <c r="I11369" t="s">
        <v>22015</v>
      </c>
      <c r="J11369" t="str">
        <f>HYPERLINK("https://www.boe.es/gazeta/dias/1821/05/28/pdfs/GMD-1821-150.pdf#page=8","Abrir facsímil")</f>
        <v>Abrir facsímil</v>
      </c>
      <c r="K11369" t="s">
        <v>23</v>
      </c>
    </row>
    <row r="11370" spans="1:11" ht="42" customHeight="1">
      <c r="A11370" t="s">
        <v>22008</v>
      </c>
      <c r="B11370" t="s">
        <v>22009</v>
      </c>
      <c r="C11370" t="s">
        <v>26</v>
      </c>
      <c r="D11370" t="s">
        <v>27</v>
      </c>
      <c r="E11370" s="6">
        <v>-28689</v>
      </c>
      <c r="F11370" t="s">
        <v>194</v>
      </c>
      <c r="G11370" t="s">
        <v>205</v>
      </c>
      <c r="H11370" t="s">
        <v>21</v>
      </c>
      <c r="I11370" t="s">
        <v>22016</v>
      </c>
      <c r="J11370" t="str">
        <f>HYPERLINK("https://www.boe.es/gazeta/dias/1821/06/13/pdfs/GMD-1821-166.pdf#page=6","Abrir facsímil")</f>
        <v>Abrir facsímil</v>
      </c>
      <c r="K11370" t="s">
        <v>23</v>
      </c>
    </row>
    <row r="11371" spans="1:11" ht="42" customHeight="1">
      <c r="A11371" t="s">
        <v>22008</v>
      </c>
      <c r="B11371" t="s">
        <v>22009</v>
      </c>
      <c r="C11371" t="s">
        <v>17</v>
      </c>
      <c r="D11371" t="s">
        <v>18</v>
      </c>
      <c r="E11371" s="6">
        <v>-28679</v>
      </c>
      <c r="F11371" t="s">
        <v>213</v>
      </c>
      <c r="G11371" t="s">
        <v>29</v>
      </c>
      <c r="H11371" t="s">
        <v>21</v>
      </c>
      <c r="I11371" t="s">
        <v>22017</v>
      </c>
      <c r="J11371" t="str">
        <f>HYPERLINK("https://www.boe.es/gazeta/dias/1821/06/23/pdfs/GMD-1821-176.pdf#page=6","Abrir facsímil")</f>
        <v>Abrir facsímil</v>
      </c>
      <c r="K11371" t="s">
        <v>23</v>
      </c>
    </row>
    <row r="11372" spans="1:11" ht="42" customHeight="1">
      <c r="A11372" t="s">
        <v>22008</v>
      </c>
      <c r="B11372" t="s">
        <v>22009</v>
      </c>
      <c r="C11372" t="s">
        <v>494</v>
      </c>
      <c r="D11372" t="s">
        <v>18</v>
      </c>
      <c r="E11372" s="6">
        <v>-28547</v>
      </c>
      <c r="F11372" t="s">
        <v>247</v>
      </c>
      <c r="G11372" t="s">
        <v>248</v>
      </c>
      <c r="H11372" t="s">
        <v>21</v>
      </c>
      <c r="I11372" t="s">
        <v>22018</v>
      </c>
      <c r="J11372" t="str">
        <f>HYPERLINK("https://www.boe.es/gazeta/dias/1821/11/02/pdfs/GMD-1821-312.pdf#page=2","Abrir facsímil")</f>
        <v>Abrir facsímil</v>
      </c>
      <c r="K11372" t="s">
        <v>23</v>
      </c>
    </row>
    <row r="11373" spans="1:11" ht="42" customHeight="1">
      <c r="A11373" t="s">
        <v>22019</v>
      </c>
      <c r="B11373" t="s">
        <v>22020</v>
      </c>
      <c r="C11373" t="s">
        <v>17</v>
      </c>
      <c r="D11373" t="s">
        <v>18</v>
      </c>
      <c r="E11373" s="6">
        <v>-28679</v>
      </c>
      <c r="F11373" t="s">
        <v>213</v>
      </c>
      <c r="G11373" t="s">
        <v>29</v>
      </c>
      <c r="H11373" t="s">
        <v>21</v>
      </c>
      <c r="I11373" t="s">
        <v>22021</v>
      </c>
      <c r="J11373" t="str">
        <f>HYPERLINK("https://www.boe.es/gazeta/dias/1821/06/23/pdfs/GMD-1821-176.pdf#page=6","Abrir facsímil")</f>
        <v>Abrir facsímil</v>
      </c>
      <c r="K11373" t="s">
        <v>23</v>
      </c>
    </row>
    <row r="11374" spans="1:11" ht="42" customHeight="1">
      <c r="A11374" t="s">
        <v>22022</v>
      </c>
      <c r="B11374" t="s">
        <v>22023</v>
      </c>
      <c r="C11374" t="s">
        <v>40</v>
      </c>
      <c r="D11374" t="s">
        <v>41</v>
      </c>
      <c r="E11374" s="6">
        <v>-28712</v>
      </c>
      <c r="F11374" t="s">
        <v>695</v>
      </c>
      <c r="G11374" t="s">
        <v>88</v>
      </c>
      <c r="H11374" t="s">
        <v>21</v>
      </c>
      <c r="I11374" t="s">
        <v>22024</v>
      </c>
      <c r="J11374" t="str">
        <f>HYPERLINK("https://www.boe.es/gazeta/dias/1821/05/21/pdfs/GMD-1821-143.pdf#page=4","Abrir facsímil")</f>
        <v>Abrir facsímil</v>
      </c>
      <c r="K11374" t="s">
        <v>23</v>
      </c>
    </row>
    <row r="11375" spans="1:11" ht="42" customHeight="1">
      <c r="A11375" t="s">
        <v>22025</v>
      </c>
      <c r="B11375" t="s">
        <v>22025</v>
      </c>
      <c r="C11375" t="s">
        <v>40</v>
      </c>
      <c r="D11375" t="s">
        <v>41</v>
      </c>
      <c r="E11375" s="6">
        <v>-28721</v>
      </c>
      <c r="F11375" t="s">
        <v>92</v>
      </c>
      <c r="G11375" t="s">
        <v>43</v>
      </c>
      <c r="H11375" t="s">
        <v>21</v>
      </c>
      <c r="I11375" t="s">
        <v>22026</v>
      </c>
      <c r="J11375" t="str">
        <f>HYPERLINK("https://www.boe.es/gazeta/dias/1821/05/12/pdfs/GMD-1821-134.pdf#page=1","Abrir facsímil")</f>
        <v>Abrir facsímil</v>
      </c>
      <c r="K11375" t="s">
        <v>23</v>
      </c>
    </row>
    <row r="11376" spans="1:11" ht="42" customHeight="1">
      <c r="A11376" t="s">
        <v>22027</v>
      </c>
      <c r="B11376" t="s">
        <v>22027</v>
      </c>
      <c r="C11376" t="s">
        <v>40</v>
      </c>
      <c r="D11376" t="s">
        <v>41</v>
      </c>
      <c r="E11376" s="6">
        <v>-28624</v>
      </c>
      <c r="F11376" t="s">
        <v>78</v>
      </c>
      <c r="G11376" t="s">
        <v>79</v>
      </c>
      <c r="H11376" t="s">
        <v>21</v>
      </c>
      <c r="I11376" t="s">
        <v>22028</v>
      </c>
      <c r="J11376" t="str">
        <f>HYPERLINK("https://www.boe.es/gazeta/dias/1821/08/17/pdfs/GMD-1821-234.pdf#page=4","Abrir facsímil")</f>
        <v>Abrir facsímil</v>
      </c>
      <c r="K11376" t="s">
        <v>23</v>
      </c>
    </row>
    <row r="11377" spans="1:11" ht="42" customHeight="1">
      <c r="A11377" t="s">
        <v>22027</v>
      </c>
      <c r="B11377" t="s">
        <v>22027</v>
      </c>
      <c r="C11377" t="s">
        <v>40</v>
      </c>
      <c r="D11377" t="s">
        <v>41</v>
      </c>
      <c r="E11377" s="6">
        <v>-28598</v>
      </c>
      <c r="F11377" t="s">
        <v>1206</v>
      </c>
      <c r="G11377" t="s">
        <v>43</v>
      </c>
      <c r="H11377" t="s">
        <v>21</v>
      </c>
      <c r="I11377" t="s">
        <v>22029</v>
      </c>
      <c r="J11377" t="str">
        <f>HYPERLINK("https://www.boe.es/gazeta/dias/1821/09/12/pdfs/GMD-1821-260.pdf#page=1","Abrir facsímil")</f>
        <v>Abrir facsímil</v>
      </c>
      <c r="K11377" t="s">
        <v>23</v>
      </c>
    </row>
    <row r="11378" spans="1:11" ht="42" customHeight="1">
      <c r="A11378" t="s">
        <v>22027</v>
      </c>
      <c r="B11378" t="s">
        <v>22027</v>
      </c>
      <c r="C11378" t="s">
        <v>40</v>
      </c>
      <c r="D11378" t="s">
        <v>41</v>
      </c>
      <c r="E11378" s="6">
        <v>-28514</v>
      </c>
      <c r="F11378" t="s">
        <v>103</v>
      </c>
      <c r="G11378" t="s">
        <v>43</v>
      </c>
      <c r="H11378" t="s">
        <v>21</v>
      </c>
      <c r="I11378" t="s">
        <v>22030</v>
      </c>
      <c r="J11378" t="str">
        <f>HYPERLINK("https://www.boe.es/gazeta/dias/1821/12/05/pdfs/GMD-1821-347.pdf#page=1","Abrir facsímil")</f>
        <v>Abrir facsímil</v>
      </c>
      <c r="K11378" t="s">
        <v>23</v>
      </c>
    </row>
    <row r="11379" spans="1:11" ht="42" customHeight="1">
      <c r="A11379" t="s">
        <v>22031</v>
      </c>
      <c r="B11379" t="s">
        <v>22031</v>
      </c>
      <c r="C11379" t="s">
        <v>40</v>
      </c>
      <c r="D11379" t="s">
        <v>41</v>
      </c>
      <c r="E11379" s="6">
        <v>-28605</v>
      </c>
      <c r="F11379" t="s">
        <v>3173</v>
      </c>
      <c r="G11379" t="s">
        <v>52</v>
      </c>
      <c r="H11379" t="s">
        <v>21</v>
      </c>
      <c r="I11379" t="s">
        <v>22032</v>
      </c>
      <c r="J11379" t="str">
        <f>HYPERLINK("https://www.boe.es/gazeta/dias/1821/09/05/pdfs/GMD-1821-253.pdf#page=2","Abrir facsímil")</f>
        <v>Abrir facsímil</v>
      </c>
      <c r="K11379" t="s">
        <v>23</v>
      </c>
    </row>
    <row r="11380" spans="1:11" ht="42" customHeight="1">
      <c r="A11380" t="s">
        <v>22033</v>
      </c>
      <c r="B11380" t="s">
        <v>22033</v>
      </c>
      <c r="C11380" t="s">
        <v>40</v>
      </c>
      <c r="D11380" t="s">
        <v>41</v>
      </c>
      <c r="E11380" s="6">
        <v>-28742</v>
      </c>
      <c r="F11380" t="s">
        <v>324</v>
      </c>
      <c r="G11380" t="s">
        <v>20</v>
      </c>
      <c r="H11380" t="s">
        <v>21</v>
      </c>
      <c r="I11380" t="s">
        <v>22034</v>
      </c>
      <c r="J11380" t="str">
        <f>HYPERLINK("https://www.boe.es/gazeta/dias/1821/04/21/pdfs/GMD-1821-113.pdf#page=3","Abrir facsímil")</f>
        <v>Abrir facsímil</v>
      </c>
      <c r="K11380" t="s">
        <v>23</v>
      </c>
    </row>
    <row r="11381" spans="1:11" ht="42" customHeight="1">
      <c r="A11381" t="s">
        <v>22035</v>
      </c>
      <c r="B11381" t="s">
        <v>22035</v>
      </c>
      <c r="C11381" t="s">
        <v>40</v>
      </c>
      <c r="D11381" t="s">
        <v>41</v>
      </c>
      <c r="E11381" s="6">
        <v>-28599</v>
      </c>
      <c r="F11381" t="s">
        <v>902</v>
      </c>
      <c r="G11381" t="s">
        <v>43</v>
      </c>
      <c r="H11381" t="s">
        <v>21</v>
      </c>
      <c r="I11381" t="s">
        <v>22036</v>
      </c>
      <c r="J11381" t="str">
        <f>HYPERLINK("https://www.boe.es/gazeta/dias/1821/09/11/pdfs/GMD-1821-259.pdf#page=1","Abrir facsímil")</f>
        <v>Abrir facsímil</v>
      </c>
      <c r="K11381" t="s">
        <v>23</v>
      </c>
    </row>
    <row r="11382" spans="1:11" ht="42" customHeight="1">
      <c r="A11382" t="s">
        <v>22037</v>
      </c>
      <c r="B11382" t="s">
        <v>22038</v>
      </c>
      <c r="C11382" t="s">
        <v>17</v>
      </c>
      <c r="D11382" t="s">
        <v>18</v>
      </c>
      <c r="E11382" s="6">
        <v>-28701</v>
      </c>
      <c r="F11382" t="s">
        <v>202</v>
      </c>
      <c r="G11382" t="s">
        <v>88</v>
      </c>
      <c r="H11382" t="s">
        <v>21</v>
      </c>
      <c r="I11382" t="s">
        <v>22039</v>
      </c>
      <c r="J11382" t="str">
        <f>HYPERLINK("https://www.boe.es/gazeta/dias/1821/06/01/pdfs/GMD-1821-154.pdf#page=4","Abrir facsímil")</f>
        <v>Abrir facsímil</v>
      </c>
      <c r="K11382" t="s">
        <v>23</v>
      </c>
    </row>
    <row r="11383" spans="1:11" ht="42" customHeight="1">
      <c r="A11383" t="s">
        <v>22040</v>
      </c>
      <c r="B11383" t="s">
        <v>22041</v>
      </c>
      <c r="C11383" t="s">
        <v>70</v>
      </c>
      <c r="D11383" t="s">
        <v>27</v>
      </c>
      <c r="E11383" s="6">
        <v>-28817</v>
      </c>
      <c r="F11383" t="s">
        <v>2703</v>
      </c>
      <c r="G11383" t="s">
        <v>88</v>
      </c>
      <c r="H11383" t="s">
        <v>21</v>
      </c>
      <c r="I11383" t="s">
        <v>22042</v>
      </c>
      <c r="J11383" t="str">
        <f>HYPERLINK("https://www.boe.es/gazeta/dias/1821/02/05/pdfs/GGB-1821-36.pdf#page=4","Abrir facsímil")</f>
        <v>Abrir facsímil</v>
      </c>
      <c r="K11383" t="s">
        <v>23</v>
      </c>
    </row>
    <row r="11384" spans="1:11" ht="42" customHeight="1">
      <c r="A11384" t="s">
        <v>22043</v>
      </c>
      <c r="B11384" t="s">
        <v>22044</v>
      </c>
      <c r="C11384" t="s">
        <v>40</v>
      </c>
      <c r="D11384" t="s">
        <v>41</v>
      </c>
      <c r="E11384" s="6">
        <v>-28639</v>
      </c>
      <c r="F11384" t="s">
        <v>3316</v>
      </c>
      <c r="G11384" t="s">
        <v>88</v>
      </c>
      <c r="H11384" t="s">
        <v>21</v>
      </c>
      <c r="I11384" t="s">
        <v>22045</v>
      </c>
      <c r="J11384" t="str">
        <f>HYPERLINK("https://www.boe.es/gazeta/dias/1821/08/02/pdfs/GMD-1821-218.pdf#page=4","Abrir facsímil")</f>
        <v>Abrir facsímil</v>
      </c>
      <c r="K11384" t="s">
        <v>23</v>
      </c>
    </row>
    <row r="11385" spans="1:11" ht="42" customHeight="1">
      <c r="A11385" t="s">
        <v>22046</v>
      </c>
      <c r="B11385" t="s">
        <v>22046</v>
      </c>
      <c r="C11385" t="s">
        <v>17</v>
      </c>
      <c r="D11385" t="s">
        <v>18</v>
      </c>
      <c r="E11385" s="6">
        <v>-28490</v>
      </c>
      <c r="F11385" t="s">
        <v>801</v>
      </c>
      <c r="G11385" t="s">
        <v>802</v>
      </c>
      <c r="H11385" t="s">
        <v>21</v>
      </c>
      <c r="I11385" t="s">
        <v>22047</v>
      </c>
      <c r="J11385" t="str">
        <f>HYPERLINK("https://www.boe.es/gazeta/dias/1821/12/29/pdfs/GMD-1821-372.pdf#page=3","Abrir facsímil")</f>
        <v>Abrir facsímil</v>
      </c>
      <c r="K11385" t="s">
        <v>23</v>
      </c>
    </row>
    <row r="11386" spans="1:11" ht="42" customHeight="1">
      <c r="A11386" t="s">
        <v>22048</v>
      </c>
      <c r="B11386" t="s">
        <v>22048</v>
      </c>
      <c r="C11386" t="s">
        <v>35</v>
      </c>
      <c r="D11386" t="s">
        <v>27</v>
      </c>
      <c r="E11386" s="6">
        <v>-28708</v>
      </c>
      <c r="F11386" t="s">
        <v>528</v>
      </c>
      <c r="G11386" t="s">
        <v>20</v>
      </c>
      <c r="H11386" t="s">
        <v>21</v>
      </c>
      <c r="I11386" t="s">
        <v>22049</v>
      </c>
      <c r="J11386" t="str">
        <f>HYPERLINK("https://www.boe.es/gazeta/dias/1821/05/25/pdfs/GMD-1821-147.pdf#page=3","Abrir facsímil")</f>
        <v>Abrir facsímil</v>
      </c>
      <c r="K11386" t="s">
        <v>23</v>
      </c>
    </row>
    <row r="11387" spans="1:11" ht="42" customHeight="1">
      <c r="A11387" t="s">
        <v>22050</v>
      </c>
      <c r="B11387" t="s">
        <v>22051</v>
      </c>
      <c r="C11387" t="s">
        <v>17</v>
      </c>
      <c r="D11387" t="s">
        <v>18</v>
      </c>
      <c r="E11387" s="6">
        <v>-28705</v>
      </c>
      <c r="F11387" t="s">
        <v>1844</v>
      </c>
      <c r="G11387" t="s">
        <v>52</v>
      </c>
      <c r="H11387" t="s">
        <v>21</v>
      </c>
      <c r="I11387" t="s">
        <v>22052</v>
      </c>
      <c r="J11387" t="str">
        <f>HYPERLINK("https://www.boe.es/gazeta/dias/1821/05/28/pdfs/GMD-1821-150.pdf#page=2","Abrir facsímil")</f>
        <v>Abrir facsímil</v>
      </c>
      <c r="K11387" t="s">
        <v>23</v>
      </c>
    </row>
    <row r="11388" spans="1:11" ht="42" customHeight="1">
      <c r="A11388" t="s">
        <v>22053</v>
      </c>
      <c r="B11388" t="s">
        <v>22053</v>
      </c>
      <c r="C11388" t="s">
        <v>35</v>
      </c>
      <c r="D11388" t="s">
        <v>27</v>
      </c>
      <c r="E11388" s="6">
        <v>-28675</v>
      </c>
      <c r="F11388" t="s">
        <v>943</v>
      </c>
      <c r="G11388" t="s">
        <v>20</v>
      </c>
      <c r="H11388" t="s">
        <v>21</v>
      </c>
      <c r="I11388" t="s">
        <v>22054</v>
      </c>
      <c r="J11388" t="str">
        <f>HYPERLINK("https://www.boe.es/gazeta/dias/1821/06/27/pdfs/GMD-1821-180.pdf#page=3","Abrir facsímil")</f>
        <v>Abrir facsímil</v>
      </c>
      <c r="K11388" t="s">
        <v>23</v>
      </c>
    </row>
    <row r="11389" spans="1:11" ht="42" customHeight="1">
      <c r="A11389" t="s">
        <v>22055</v>
      </c>
      <c r="B11389" t="s">
        <v>22055</v>
      </c>
      <c r="C11389" t="s">
        <v>40</v>
      </c>
      <c r="D11389" t="s">
        <v>41</v>
      </c>
      <c r="E11389" s="6">
        <v>-28627</v>
      </c>
      <c r="F11389" t="s">
        <v>3216</v>
      </c>
      <c r="G11389" t="s">
        <v>20</v>
      </c>
      <c r="H11389" t="s">
        <v>21</v>
      </c>
      <c r="I11389" t="s">
        <v>22056</v>
      </c>
      <c r="J11389" t="str">
        <f>HYPERLINK("https://www.boe.es/gazeta/dias/1821/08/14/pdfs/GMD-1821-231.pdf#page=3","Abrir facsímil")</f>
        <v>Abrir facsímil</v>
      </c>
      <c r="K11389" t="s">
        <v>23</v>
      </c>
    </row>
    <row r="11390" spans="1:11" ht="42" customHeight="1">
      <c r="A11390" t="s">
        <v>22055</v>
      </c>
      <c r="B11390" t="s">
        <v>22055</v>
      </c>
      <c r="C11390" t="s">
        <v>26</v>
      </c>
      <c r="D11390" t="s">
        <v>27</v>
      </c>
      <c r="E11390" s="6">
        <v>-28612</v>
      </c>
      <c r="F11390" t="s">
        <v>1902</v>
      </c>
      <c r="G11390" t="s">
        <v>43</v>
      </c>
      <c r="H11390" t="s">
        <v>21</v>
      </c>
      <c r="I11390" t="s">
        <v>22057</v>
      </c>
      <c r="J11390" t="str">
        <f>HYPERLINK("https://www.boe.es/gazeta/dias/1821/08/29/pdfs/GMD-1821-246.pdf#page=1","Abrir facsímil")</f>
        <v>Abrir facsímil</v>
      </c>
      <c r="K11390" t="s">
        <v>23</v>
      </c>
    </row>
    <row r="11391" spans="1:11" ht="42" customHeight="1">
      <c r="A11391" t="s">
        <v>22058</v>
      </c>
      <c r="B11391" t="s">
        <v>22058</v>
      </c>
      <c r="C11391" t="s">
        <v>40</v>
      </c>
      <c r="D11391" t="s">
        <v>41</v>
      </c>
      <c r="E11391" s="6">
        <v>-28538</v>
      </c>
      <c r="F11391" t="s">
        <v>395</v>
      </c>
      <c r="G11391" t="s">
        <v>43</v>
      </c>
      <c r="H11391" t="s">
        <v>21</v>
      </c>
      <c r="I11391" t="s">
        <v>22059</v>
      </c>
      <c r="J11391" t="str">
        <f>HYPERLINK("https://www.boe.es/gazeta/dias/1821/11/11/pdfs/GMD-1821-322.pdf#page=1","Abrir facsímil")</f>
        <v>Abrir facsímil</v>
      </c>
      <c r="K11391" t="s">
        <v>23</v>
      </c>
    </row>
    <row r="11392" spans="1:11" ht="42" customHeight="1">
      <c r="A11392" t="s">
        <v>22060</v>
      </c>
      <c r="B11392" t="s">
        <v>22060</v>
      </c>
      <c r="C11392" t="s">
        <v>35</v>
      </c>
      <c r="D11392" t="s">
        <v>27</v>
      </c>
      <c r="E11392" s="6">
        <v>-28726</v>
      </c>
      <c r="F11392" t="s">
        <v>347</v>
      </c>
      <c r="G11392" t="s">
        <v>20</v>
      </c>
      <c r="H11392" t="s">
        <v>21</v>
      </c>
      <c r="I11392" t="s">
        <v>22061</v>
      </c>
      <c r="J11392" t="str">
        <f>HYPERLINK("https://www.boe.es/gazeta/dias/1821/05/07/pdfs/GMD-1821-129.pdf#page=3","Abrir facsímil")</f>
        <v>Abrir facsímil</v>
      </c>
      <c r="K11392" t="s">
        <v>23</v>
      </c>
    </row>
    <row r="11393" spans="1:11" ht="42" customHeight="1">
      <c r="A11393" t="s">
        <v>22062</v>
      </c>
      <c r="B11393" t="s">
        <v>22063</v>
      </c>
      <c r="C11393" t="s">
        <v>26</v>
      </c>
      <c r="D11393" t="s">
        <v>27</v>
      </c>
      <c r="E11393" s="6">
        <v>-28496</v>
      </c>
      <c r="F11393" t="s">
        <v>785</v>
      </c>
      <c r="G11393" t="s">
        <v>29</v>
      </c>
      <c r="H11393" t="s">
        <v>30</v>
      </c>
      <c r="I11393" t="s">
        <v>22064</v>
      </c>
      <c r="J11393" t="str">
        <f>HYPERLINK("https://www.boe.es/gazeta/dias/1821/12/23/pdfs/GMD-1821-366.pdf#page=6","Abrir facsímil")</f>
        <v>Abrir facsímil</v>
      </c>
      <c r="K11393" t="s">
        <v>32</v>
      </c>
    </row>
    <row r="11394" spans="1:11" ht="42" customHeight="1">
      <c r="A11394" t="s">
        <v>22065</v>
      </c>
      <c r="B11394" t="s">
        <v>22065</v>
      </c>
      <c r="C11394" t="s">
        <v>26</v>
      </c>
      <c r="D11394" t="s">
        <v>27</v>
      </c>
      <c r="E11394" s="6">
        <v>-28552</v>
      </c>
      <c r="F11394" t="s">
        <v>28</v>
      </c>
      <c r="G11394" t="s">
        <v>2457</v>
      </c>
      <c r="H11394" t="s">
        <v>21</v>
      </c>
      <c r="I11394" t="s">
        <v>22066</v>
      </c>
      <c r="J11394" t="str">
        <f>HYPERLINK("https://www.boe.es/gazeta/dias/1821/10/28/pdfs/GMD-1821-307.pdf#page=4","Abrir facsímil")</f>
        <v>Abrir facsímil</v>
      </c>
      <c r="K11394" t="s">
        <v>23</v>
      </c>
    </row>
    <row r="11395" spans="1:11" ht="42" customHeight="1">
      <c r="A11395" t="s">
        <v>22067</v>
      </c>
      <c r="B11395" t="s">
        <v>22068</v>
      </c>
      <c r="C11395" t="s">
        <v>17</v>
      </c>
      <c r="D11395" t="s">
        <v>18</v>
      </c>
      <c r="E11395" s="6">
        <v>-28677</v>
      </c>
      <c r="F11395" t="s">
        <v>361</v>
      </c>
      <c r="G11395" t="s">
        <v>29</v>
      </c>
      <c r="H11395" t="s">
        <v>21</v>
      </c>
      <c r="I11395" t="s">
        <v>22069</v>
      </c>
      <c r="J11395" t="str">
        <f>HYPERLINK("https://www.boe.es/gazeta/dias/1821/06/25/pdfs/GMD-1821-178.pdf#page=6","Abrir facsímil")</f>
        <v>Abrir facsímil</v>
      </c>
      <c r="K11395" t="s">
        <v>23</v>
      </c>
    </row>
    <row r="11396" spans="1:11" ht="42" customHeight="1">
      <c r="A11396" t="s">
        <v>22067</v>
      </c>
      <c r="B11396" t="s">
        <v>22068</v>
      </c>
      <c r="C11396" t="s">
        <v>17</v>
      </c>
      <c r="D11396" t="s">
        <v>18</v>
      </c>
      <c r="E11396" s="6">
        <v>-28615</v>
      </c>
      <c r="F11396" t="s">
        <v>427</v>
      </c>
      <c r="G11396" t="s">
        <v>88</v>
      </c>
      <c r="H11396" t="s">
        <v>21</v>
      </c>
      <c r="I11396" t="s">
        <v>22070</v>
      </c>
      <c r="J11396" t="str">
        <f>HYPERLINK("https://www.boe.es/gazeta/dias/1821/08/26/pdfs/GMD-1821-243.pdf#page=4","Abrir facsímil")</f>
        <v>Abrir facsímil</v>
      </c>
      <c r="K11396" t="s">
        <v>23</v>
      </c>
    </row>
    <row r="11397" spans="1:11" ht="42" customHeight="1">
      <c r="A11397" t="s">
        <v>22071</v>
      </c>
      <c r="B11397" t="s">
        <v>22072</v>
      </c>
      <c r="C11397" t="s">
        <v>40</v>
      </c>
      <c r="D11397" t="s">
        <v>41</v>
      </c>
      <c r="E11397" s="6">
        <v>-28610</v>
      </c>
      <c r="F11397" t="s">
        <v>190</v>
      </c>
      <c r="G11397" t="s">
        <v>20</v>
      </c>
      <c r="H11397" t="s">
        <v>21</v>
      </c>
      <c r="I11397" t="s">
        <v>22073</v>
      </c>
      <c r="J11397" t="str">
        <f>HYPERLINK("https://www.boe.es/gazeta/dias/1821/08/31/pdfs/GMD-1821-248.pdf#page=3","Abrir facsímil")</f>
        <v>Abrir facsímil</v>
      </c>
      <c r="K11397" t="s">
        <v>23</v>
      </c>
    </row>
    <row r="11398" spans="1:11" ht="42" customHeight="1">
      <c r="A11398" t="s">
        <v>22074</v>
      </c>
      <c r="B11398" t="s">
        <v>22075</v>
      </c>
      <c r="C11398" t="s">
        <v>40</v>
      </c>
      <c r="D11398" t="s">
        <v>41</v>
      </c>
      <c r="E11398" s="6">
        <v>-28541</v>
      </c>
      <c r="F11398" t="s">
        <v>275</v>
      </c>
      <c r="G11398" t="s">
        <v>52</v>
      </c>
      <c r="H11398" t="s">
        <v>21</v>
      </c>
      <c r="I11398" t="s">
        <v>22076</v>
      </c>
      <c r="J11398" t="str">
        <f>HYPERLINK("https://www.boe.es/gazeta/dias/1821/11/08/pdfs/GMD-1821-319.pdf#page=2","Abrir facsímil")</f>
        <v>Abrir facsímil</v>
      </c>
      <c r="K11398" t="s">
        <v>23</v>
      </c>
    </row>
    <row r="11399" spans="1:11" ht="42" customHeight="1">
      <c r="A11399" t="s">
        <v>22077</v>
      </c>
      <c r="B11399" t="s">
        <v>22078</v>
      </c>
      <c r="C11399" t="s">
        <v>26</v>
      </c>
      <c r="D11399" t="s">
        <v>27</v>
      </c>
      <c r="E11399" s="6">
        <v>-28565</v>
      </c>
      <c r="F11399" t="s">
        <v>326</v>
      </c>
      <c r="G11399" t="s">
        <v>162</v>
      </c>
      <c r="H11399" t="s">
        <v>21</v>
      </c>
      <c r="I11399" t="s">
        <v>22079</v>
      </c>
      <c r="J11399" t="str">
        <f>HYPERLINK("https://www.boe.es/gazeta/dias/1821/10/15/pdfs/GMD-1821-294.pdf#page=5","Abrir facsímil")</f>
        <v>Abrir facsímil</v>
      </c>
      <c r="K11399" t="s">
        <v>23</v>
      </c>
    </row>
    <row r="11400" spans="1:11" ht="42" customHeight="1">
      <c r="A11400" t="s">
        <v>22080</v>
      </c>
      <c r="B11400" t="s">
        <v>22081</v>
      </c>
      <c r="C11400" t="s">
        <v>17</v>
      </c>
      <c r="D11400" t="s">
        <v>18</v>
      </c>
      <c r="E11400" s="6">
        <v>-28518</v>
      </c>
      <c r="F11400" t="s">
        <v>410</v>
      </c>
      <c r="G11400" t="s">
        <v>52</v>
      </c>
      <c r="H11400" t="s">
        <v>30</v>
      </c>
      <c r="I11400" t="s">
        <v>22082</v>
      </c>
      <c r="J11400" t="str">
        <f>HYPERLINK("https://www.boe.es/gazeta/dias/1821/12/01/pdfs/GMD-1821-343.pdf#page=2","Abrir facsímil")</f>
        <v>Abrir facsímil</v>
      </c>
      <c r="K11400" t="s">
        <v>32</v>
      </c>
    </row>
    <row r="11401" spans="1:11" ht="42" customHeight="1">
      <c r="A11401" t="s">
        <v>22083</v>
      </c>
      <c r="B11401" t="s">
        <v>22084</v>
      </c>
      <c r="C11401" t="s">
        <v>17</v>
      </c>
      <c r="D11401" t="s">
        <v>18</v>
      </c>
      <c r="E11401" s="6">
        <v>-28721</v>
      </c>
      <c r="F11401" t="s">
        <v>92</v>
      </c>
      <c r="G11401" t="s">
        <v>88</v>
      </c>
      <c r="H11401" t="s">
        <v>30</v>
      </c>
      <c r="I11401" t="s">
        <v>22085</v>
      </c>
      <c r="J11401" t="str">
        <f>HYPERLINK("https://www.boe.es/gazeta/dias/1821/05/12/pdfs/GMD-1821-134.pdf#page=4","Abrir facsímil")</f>
        <v>Abrir facsímil</v>
      </c>
      <c r="K11401" t="s">
        <v>32</v>
      </c>
    </row>
    <row r="11402" spans="1:11" ht="42" customHeight="1">
      <c r="A11402" t="s">
        <v>22086</v>
      </c>
      <c r="B11402" t="s">
        <v>22087</v>
      </c>
      <c r="C11402" t="s">
        <v>26</v>
      </c>
      <c r="D11402" t="s">
        <v>27</v>
      </c>
      <c r="E11402" s="6">
        <v>-28741</v>
      </c>
      <c r="F11402" t="s">
        <v>1841</v>
      </c>
      <c r="G11402" t="s">
        <v>88</v>
      </c>
      <c r="H11402" t="s">
        <v>21</v>
      </c>
      <c r="I11402" t="s">
        <v>22088</v>
      </c>
      <c r="J11402" t="str">
        <f>HYPERLINK("https://www.boe.es/gazeta/dias/1821/04/22/pdfs/GMD-1821-114.pdf#page=4","Abrir facsímil")</f>
        <v>Abrir facsímil</v>
      </c>
      <c r="K11402" t="s">
        <v>23</v>
      </c>
    </row>
    <row r="11403" spans="1:11" ht="42" customHeight="1">
      <c r="A11403" t="s">
        <v>22089</v>
      </c>
      <c r="B11403" t="s">
        <v>22090</v>
      </c>
      <c r="C11403" t="s">
        <v>174</v>
      </c>
      <c r="D11403" t="s">
        <v>27</v>
      </c>
      <c r="E11403" s="6">
        <v>-28805</v>
      </c>
      <c r="F11403" t="s">
        <v>382</v>
      </c>
      <c r="G11403" t="s">
        <v>88</v>
      </c>
      <c r="H11403" t="s">
        <v>21</v>
      </c>
      <c r="I11403" t="s">
        <v>22091</v>
      </c>
      <c r="J11403" t="str">
        <f>HYPERLINK("https://www.boe.es/gazeta/dias/1821/02/17/pdfs/GGB-1821-48.pdf#page=4","Abrir facsímil")</f>
        <v>Abrir facsímil</v>
      </c>
      <c r="K11403" t="s">
        <v>23</v>
      </c>
    </row>
    <row r="11404" spans="1:11" ht="42" customHeight="1">
      <c r="A11404" t="s">
        <v>22092</v>
      </c>
      <c r="B11404" t="s">
        <v>22093</v>
      </c>
      <c r="C11404" t="s">
        <v>40</v>
      </c>
      <c r="D11404" t="s">
        <v>41</v>
      </c>
      <c r="E11404" s="6">
        <v>-28558</v>
      </c>
      <c r="F11404" t="s">
        <v>758</v>
      </c>
      <c r="G11404" t="s">
        <v>29</v>
      </c>
      <c r="H11404" t="s">
        <v>21</v>
      </c>
      <c r="I11404" t="s">
        <v>22094</v>
      </c>
      <c r="J11404" t="str">
        <f>HYPERLINK("https://www.boe.es/gazeta/dias/1821/10/22/pdfs/GMD-1821-301.pdf#page=6","Abrir facsímil")</f>
        <v>Abrir facsímil</v>
      </c>
      <c r="K11404" t="s">
        <v>23</v>
      </c>
    </row>
    <row r="11405" spans="1:11" ht="42" customHeight="1">
      <c r="A11405" t="s">
        <v>22095</v>
      </c>
      <c r="B11405" t="s">
        <v>22096</v>
      </c>
      <c r="C11405" t="s">
        <v>114</v>
      </c>
      <c r="D11405" t="s">
        <v>27</v>
      </c>
      <c r="E11405" s="6">
        <v>-28793</v>
      </c>
      <c r="F11405" t="s">
        <v>157</v>
      </c>
      <c r="G11405" t="s">
        <v>29</v>
      </c>
      <c r="H11405" t="s">
        <v>21</v>
      </c>
      <c r="I11405" t="s">
        <v>22097</v>
      </c>
      <c r="J11405" t="str">
        <f>HYPERLINK("https://www.boe.es/gazeta/dias/1821/03/01/pdfs/GGB-1821-60.pdf#page=6","Abrir facsímil")</f>
        <v>Abrir facsímil</v>
      </c>
      <c r="K11405" t="s">
        <v>23</v>
      </c>
    </row>
    <row r="11406" spans="1:11" ht="42" customHeight="1">
      <c r="A11406" t="s">
        <v>22098</v>
      </c>
      <c r="B11406" t="s">
        <v>22099</v>
      </c>
      <c r="C11406" t="s">
        <v>26</v>
      </c>
      <c r="D11406" t="s">
        <v>27</v>
      </c>
      <c r="E11406" s="6">
        <v>-28819</v>
      </c>
      <c r="F11406" t="s">
        <v>1830</v>
      </c>
      <c r="G11406" t="s">
        <v>88</v>
      </c>
      <c r="H11406" t="s">
        <v>21</v>
      </c>
      <c r="I11406" t="s">
        <v>22100</v>
      </c>
      <c r="J11406" t="str">
        <f>HYPERLINK("https://www.boe.es/gazeta/dias/1821/02/03/pdfs/GGB-1821-34.pdf#page=4","Abrir facsímil")</f>
        <v>Abrir facsímil</v>
      </c>
      <c r="K11406" t="s">
        <v>23</v>
      </c>
    </row>
    <row r="11407" spans="1:11" ht="42" customHeight="1">
      <c r="A11407" t="s">
        <v>22098</v>
      </c>
      <c r="B11407" t="s">
        <v>22099</v>
      </c>
      <c r="C11407" t="s">
        <v>26</v>
      </c>
      <c r="D11407" t="s">
        <v>27</v>
      </c>
      <c r="E11407" s="6">
        <v>-28789</v>
      </c>
      <c r="F11407" t="s">
        <v>36</v>
      </c>
      <c r="G11407" t="s">
        <v>993</v>
      </c>
      <c r="H11407" t="s">
        <v>21</v>
      </c>
      <c r="I11407" t="s">
        <v>22101</v>
      </c>
      <c r="J11407" t="str">
        <f>HYPERLINK("https://www.boe.es/gazeta/dias/1821/03/05/pdfs/GGB-1821-64.pdf#page=4","Abrir facsímil")</f>
        <v>Abrir facsímil</v>
      </c>
      <c r="K11407" t="s">
        <v>23</v>
      </c>
    </row>
    <row r="11408" spans="1:11" ht="42" customHeight="1">
      <c r="A11408" t="s">
        <v>22102</v>
      </c>
      <c r="B11408" t="s">
        <v>22103</v>
      </c>
      <c r="C11408" t="s">
        <v>17</v>
      </c>
      <c r="D11408" t="s">
        <v>18</v>
      </c>
      <c r="E11408" s="6">
        <v>-28717</v>
      </c>
      <c r="F11408" t="s">
        <v>1044</v>
      </c>
      <c r="G11408" t="s">
        <v>88</v>
      </c>
      <c r="H11408" t="s">
        <v>21</v>
      </c>
      <c r="I11408" t="s">
        <v>22104</v>
      </c>
      <c r="J11408" t="str">
        <f>HYPERLINK("https://www.boe.es/gazeta/dias/1821/05/16/pdfs/GMD-1821-138.pdf#page=4","Abrir facsímil")</f>
        <v>Abrir facsímil</v>
      </c>
      <c r="K11408" t="s">
        <v>23</v>
      </c>
    </row>
    <row r="11409" spans="1:11" ht="42" customHeight="1">
      <c r="A11409" t="s">
        <v>22105</v>
      </c>
      <c r="B11409" t="s">
        <v>22106</v>
      </c>
      <c r="C11409" t="s">
        <v>17</v>
      </c>
      <c r="D11409" t="s">
        <v>18</v>
      </c>
      <c r="E11409" s="6">
        <v>-28566</v>
      </c>
      <c r="F11409" t="s">
        <v>1529</v>
      </c>
      <c r="G11409" t="s">
        <v>43</v>
      </c>
      <c r="H11409" t="s">
        <v>21</v>
      </c>
      <c r="I11409" t="s">
        <v>22107</v>
      </c>
      <c r="J11409" t="str">
        <f>HYPERLINK("https://www.boe.es/gazeta/dias/1821/10/14/pdfs/GMD-1821-293.pdf#page=1","Abrir facsímil")</f>
        <v>Abrir facsímil</v>
      </c>
      <c r="K11409" t="s">
        <v>23</v>
      </c>
    </row>
    <row r="11410" spans="1:11" ht="42" customHeight="1">
      <c r="A11410" t="s">
        <v>22108</v>
      </c>
      <c r="B11410" t="s">
        <v>22108</v>
      </c>
      <c r="C11410" t="s">
        <v>17</v>
      </c>
      <c r="D11410" t="s">
        <v>18</v>
      </c>
      <c r="E11410" s="6">
        <v>-28575</v>
      </c>
      <c r="F11410" t="s">
        <v>2453</v>
      </c>
      <c r="G11410" t="s">
        <v>20</v>
      </c>
      <c r="H11410" t="s">
        <v>21</v>
      </c>
      <c r="I11410" t="s">
        <v>22109</v>
      </c>
      <c r="J11410" t="str">
        <f>HYPERLINK("https://www.boe.es/gazeta/dias/1821/10/05/pdfs/GMD-1821-284.pdf#page=3","Abrir facsímil")</f>
        <v>Abrir facsímil</v>
      </c>
      <c r="K11410" t="s">
        <v>23</v>
      </c>
    </row>
    <row r="11411" spans="1:11" ht="42" customHeight="1">
      <c r="A11411" t="s">
        <v>22108</v>
      </c>
      <c r="B11411" t="s">
        <v>22108</v>
      </c>
      <c r="C11411" t="s">
        <v>17</v>
      </c>
      <c r="D11411" t="s">
        <v>18</v>
      </c>
      <c r="E11411" s="6">
        <v>-28491</v>
      </c>
      <c r="F11411" t="s">
        <v>573</v>
      </c>
      <c r="G11411" t="s">
        <v>88</v>
      </c>
      <c r="H11411" t="s">
        <v>21</v>
      </c>
      <c r="I11411" t="s">
        <v>22110</v>
      </c>
      <c r="J11411" t="str">
        <f>HYPERLINK("https://www.boe.es/gazeta/dias/1821/12/28/pdfs/GMD-1821-371.pdf#page=4","Abrir facsímil")</f>
        <v>Abrir facsímil</v>
      </c>
      <c r="K11411" t="s">
        <v>23</v>
      </c>
    </row>
    <row r="11412" spans="1:11" ht="42" customHeight="1">
      <c r="A11412" t="s">
        <v>22111</v>
      </c>
      <c r="B11412" t="s">
        <v>22111</v>
      </c>
      <c r="C11412" t="s">
        <v>17</v>
      </c>
      <c r="D11412" t="s">
        <v>18</v>
      </c>
      <c r="E11412" s="6">
        <v>-28790</v>
      </c>
      <c r="F11412" t="s">
        <v>991</v>
      </c>
      <c r="G11412" t="s">
        <v>20</v>
      </c>
      <c r="H11412" t="s">
        <v>21</v>
      </c>
      <c r="I11412" t="s">
        <v>22112</v>
      </c>
      <c r="J11412" t="str">
        <f>HYPERLINK("https://www.boe.es/gazeta/dias/1821/03/04/pdfs/GGB-1821-63.pdf#page=3","Abrir facsímil")</f>
        <v>Abrir facsímil</v>
      </c>
      <c r="K11412" t="s">
        <v>23</v>
      </c>
    </row>
    <row r="11413" spans="1:11" ht="42" customHeight="1">
      <c r="A11413" t="s">
        <v>22111</v>
      </c>
      <c r="B11413" t="s">
        <v>22111</v>
      </c>
      <c r="C11413" t="s">
        <v>17</v>
      </c>
      <c r="D11413" t="s">
        <v>18</v>
      </c>
      <c r="E11413" s="6">
        <v>-28789</v>
      </c>
      <c r="F11413" t="s">
        <v>36</v>
      </c>
      <c r="G11413" t="s">
        <v>20</v>
      </c>
      <c r="H11413" t="s">
        <v>21</v>
      </c>
      <c r="I11413" t="s">
        <v>22113</v>
      </c>
      <c r="J11413" t="str">
        <f>HYPERLINK("https://www.boe.es/gazeta/dias/1821/03/05/pdfs/GGB-1821-64.pdf#page=3","Abrir facsímil")</f>
        <v>Abrir facsímil</v>
      </c>
      <c r="K11413" t="s">
        <v>23</v>
      </c>
    </row>
    <row r="11414" spans="1:11" ht="42" customHeight="1">
      <c r="A11414" t="s">
        <v>22111</v>
      </c>
      <c r="B11414" t="s">
        <v>22111</v>
      </c>
      <c r="C11414" t="s">
        <v>35</v>
      </c>
      <c r="D11414" t="s">
        <v>27</v>
      </c>
      <c r="E11414" s="6">
        <v>-28774</v>
      </c>
      <c r="F11414" t="s">
        <v>1221</v>
      </c>
      <c r="G11414" t="s">
        <v>20</v>
      </c>
      <c r="H11414" t="s">
        <v>21</v>
      </c>
      <c r="I11414" t="s">
        <v>22114</v>
      </c>
      <c r="J11414" t="str">
        <f>HYPERLINK("https://www.boe.es/gazeta/dias/1821/03/20/pdfs/GMD-1821-79.pdf#page=3","Abrir facsímil")</f>
        <v>Abrir facsímil</v>
      </c>
      <c r="K11414" t="s">
        <v>23</v>
      </c>
    </row>
    <row r="11415" spans="1:11" ht="42" customHeight="1">
      <c r="A11415" t="s">
        <v>22111</v>
      </c>
      <c r="B11415" t="s">
        <v>22111</v>
      </c>
      <c r="C11415" t="s">
        <v>17</v>
      </c>
      <c r="D11415" t="s">
        <v>18</v>
      </c>
      <c r="E11415" s="6">
        <v>-28772</v>
      </c>
      <c r="F11415" t="s">
        <v>62</v>
      </c>
      <c r="G11415" t="s">
        <v>88</v>
      </c>
      <c r="H11415" t="s">
        <v>21</v>
      </c>
      <c r="I11415" t="s">
        <v>22115</v>
      </c>
      <c r="J11415" t="str">
        <f>HYPERLINK("https://www.boe.es/gazeta/dias/1821/03/22/pdfs/GMD-1821-81.pdf#page=4","Abrir facsímil")</f>
        <v>Abrir facsímil</v>
      </c>
      <c r="K11415" t="s">
        <v>23</v>
      </c>
    </row>
    <row r="11416" spans="1:11" ht="42" customHeight="1">
      <c r="A11416" t="s">
        <v>22111</v>
      </c>
      <c r="B11416" t="s">
        <v>22111</v>
      </c>
      <c r="C11416" t="s">
        <v>35</v>
      </c>
      <c r="D11416" t="s">
        <v>27</v>
      </c>
      <c r="E11416" s="6">
        <v>-28763</v>
      </c>
      <c r="F11416" t="s">
        <v>1145</v>
      </c>
      <c r="G11416" t="s">
        <v>20</v>
      </c>
      <c r="H11416" t="s">
        <v>21</v>
      </c>
      <c r="I11416" t="s">
        <v>22116</v>
      </c>
      <c r="J11416" t="str">
        <f>HYPERLINK("https://www.boe.es/gazeta/dias/1821/03/31/pdfs/GMD-1821-92.pdf#page=3","Abrir facsímil")</f>
        <v>Abrir facsímil</v>
      </c>
      <c r="K11416" t="s">
        <v>23</v>
      </c>
    </row>
    <row r="11417" spans="1:11" ht="42" customHeight="1">
      <c r="A11417" t="s">
        <v>22111</v>
      </c>
      <c r="B11417" t="s">
        <v>22111</v>
      </c>
      <c r="C11417" t="s">
        <v>26</v>
      </c>
      <c r="D11417" t="s">
        <v>27</v>
      </c>
      <c r="E11417" s="6">
        <v>-28753</v>
      </c>
      <c r="F11417" t="s">
        <v>720</v>
      </c>
      <c r="G11417" t="s">
        <v>20</v>
      </c>
      <c r="H11417" t="s">
        <v>21</v>
      </c>
      <c r="I11417" t="s">
        <v>22117</v>
      </c>
      <c r="J11417" t="str">
        <f>HYPERLINK("https://www.boe.es/gazeta/dias/1821/04/10/pdfs/GMD-1821-102.pdf#page=3","Abrir facsímil")</f>
        <v>Abrir facsímil</v>
      </c>
      <c r="K11417" t="s">
        <v>23</v>
      </c>
    </row>
    <row r="11418" spans="1:11" ht="42" customHeight="1">
      <c r="A11418" t="s">
        <v>22111</v>
      </c>
      <c r="B11418" t="s">
        <v>22111</v>
      </c>
      <c r="C11418" t="s">
        <v>26</v>
      </c>
      <c r="D11418" t="s">
        <v>27</v>
      </c>
      <c r="E11418" s="6">
        <v>-28752</v>
      </c>
      <c r="F11418" t="s">
        <v>1012</v>
      </c>
      <c r="G11418" t="s">
        <v>1013</v>
      </c>
      <c r="H11418" t="s">
        <v>21</v>
      </c>
      <c r="I11418" t="s">
        <v>22118</v>
      </c>
      <c r="J11418" t="str">
        <f>HYPERLINK("https://www.boe.es/gazeta/dias/1821/04/11/pdfs/GMD-1821-103.pdf#page=3","Abrir facsímil")</f>
        <v>Abrir facsímil</v>
      </c>
      <c r="K11418" t="s">
        <v>23</v>
      </c>
    </row>
    <row r="11419" spans="1:11" ht="42" customHeight="1">
      <c r="A11419" t="s">
        <v>22111</v>
      </c>
      <c r="B11419" t="s">
        <v>22111</v>
      </c>
      <c r="C11419" t="s">
        <v>40</v>
      </c>
      <c r="D11419" t="s">
        <v>41</v>
      </c>
      <c r="E11419" s="6">
        <v>-28751</v>
      </c>
      <c r="F11419" t="s">
        <v>356</v>
      </c>
      <c r="G11419" t="s">
        <v>20</v>
      </c>
      <c r="H11419" t="s">
        <v>21</v>
      </c>
      <c r="I11419" t="s">
        <v>22119</v>
      </c>
      <c r="J11419" t="str">
        <f>HYPERLINK("https://www.boe.es/gazeta/dias/1821/04/12/pdfs/GMD-1821-104.pdf#page=3","Abrir facsímil")</f>
        <v>Abrir facsímil</v>
      </c>
      <c r="K11419" t="s">
        <v>23</v>
      </c>
    </row>
    <row r="11420" spans="1:11" ht="42" customHeight="1">
      <c r="A11420" t="s">
        <v>22111</v>
      </c>
      <c r="B11420" t="s">
        <v>22111</v>
      </c>
      <c r="C11420" t="s">
        <v>174</v>
      </c>
      <c r="D11420" t="s">
        <v>27</v>
      </c>
      <c r="E11420" s="6">
        <v>-28738</v>
      </c>
      <c r="F11420" t="s">
        <v>359</v>
      </c>
      <c r="G11420" t="s">
        <v>20</v>
      </c>
      <c r="H11420" t="s">
        <v>21</v>
      </c>
      <c r="I11420" t="s">
        <v>22120</v>
      </c>
      <c r="J11420" t="str">
        <f>HYPERLINK("https://www.boe.es/gazeta/dias/1821/04/25/pdfs/GMD-1821-117.pdf#page=3","Abrir facsímil")</f>
        <v>Abrir facsímil</v>
      </c>
      <c r="K11420" t="s">
        <v>23</v>
      </c>
    </row>
    <row r="11421" spans="1:11" ht="42" customHeight="1">
      <c r="A11421" t="s">
        <v>22111</v>
      </c>
      <c r="B11421" t="s">
        <v>22111</v>
      </c>
      <c r="C11421" t="s">
        <v>40</v>
      </c>
      <c r="D11421" t="s">
        <v>41</v>
      </c>
      <c r="E11421" s="6">
        <v>-28734</v>
      </c>
      <c r="F11421" t="s">
        <v>1553</v>
      </c>
      <c r="G11421" t="s">
        <v>88</v>
      </c>
      <c r="H11421" t="s">
        <v>21</v>
      </c>
      <c r="I11421" t="s">
        <v>22121</v>
      </c>
      <c r="J11421" t="str">
        <f>HYPERLINK("https://www.boe.es/gazeta/dias/1821/04/29/pdfs/GMD-1821-121.pdf#page=4","Abrir facsímil")</f>
        <v>Abrir facsímil</v>
      </c>
      <c r="K11421" t="s">
        <v>23</v>
      </c>
    </row>
    <row r="11422" spans="1:11" ht="42" customHeight="1">
      <c r="A11422" t="s">
        <v>22111</v>
      </c>
      <c r="B11422" t="s">
        <v>22111</v>
      </c>
      <c r="C11422" t="s">
        <v>17</v>
      </c>
      <c r="D11422" t="s">
        <v>18</v>
      </c>
      <c r="E11422" s="6">
        <v>-28731</v>
      </c>
      <c r="F11422" t="s">
        <v>577</v>
      </c>
      <c r="G11422" t="s">
        <v>20</v>
      </c>
      <c r="H11422" t="s">
        <v>21</v>
      </c>
      <c r="I11422" t="s">
        <v>22122</v>
      </c>
      <c r="J11422" t="str">
        <f>HYPERLINK("https://www.boe.es/gazeta/dias/1821/05/02/pdfs/GMD-1821-124.pdf#page=3","Abrir facsímil")</f>
        <v>Abrir facsímil</v>
      </c>
      <c r="K11422" t="s">
        <v>23</v>
      </c>
    </row>
    <row r="11423" spans="1:11" ht="42" customHeight="1">
      <c r="A11423" t="s">
        <v>22111</v>
      </c>
      <c r="B11423" t="s">
        <v>22111</v>
      </c>
      <c r="C11423" t="s">
        <v>26</v>
      </c>
      <c r="D11423" t="s">
        <v>27</v>
      </c>
      <c r="E11423" s="6">
        <v>-28721</v>
      </c>
      <c r="F11423" t="s">
        <v>92</v>
      </c>
      <c r="G11423" t="s">
        <v>3795</v>
      </c>
      <c r="H11423" t="s">
        <v>21</v>
      </c>
      <c r="I11423" t="s">
        <v>22123</v>
      </c>
      <c r="J11423" t="str">
        <f>HYPERLINK("https://www.boe.es/gazeta/dias/1821/05/12/pdfs/GMD-1821-134.pdf#page=3","Abrir facsímil")</f>
        <v>Abrir facsímil</v>
      </c>
      <c r="K11423" t="s">
        <v>23</v>
      </c>
    </row>
    <row r="11424" spans="1:11" ht="42" customHeight="1">
      <c r="A11424" t="s">
        <v>22111</v>
      </c>
      <c r="B11424" t="s">
        <v>22111</v>
      </c>
      <c r="C11424" t="s">
        <v>17</v>
      </c>
      <c r="D11424" t="s">
        <v>18</v>
      </c>
      <c r="E11424" s="6">
        <v>-28707</v>
      </c>
      <c r="F11424" t="s">
        <v>495</v>
      </c>
      <c r="G11424" t="s">
        <v>52</v>
      </c>
      <c r="H11424" t="s">
        <v>21</v>
      </c>
      <c r="I11424" t="s">
        <v>22124</v>
      </c>
      <c r="J11424" t="str">
        <f>HYPERLINK("https://www.boe.es/gazeta/dias/1821/05/26/pdfs/GMD-1821-148.pdf#page=2","Abrir facsímil")</f>
        <v>Abrir facsímil</v>
      </c>
      <c r="K11424" t="s">
        <v>23</v>
      </c>
    </row>
    <row r="11425" spans="1:11" ht="42" customHeight="1">
      <c r="A11425" t="s">
        <v>22111</v>
      </c>
      <c r="B11425" t="s">
        <v>22111</v>
      </c>
      <c r="C11425" t="s">
        <v>494</v>
      </c>
      <c r="D11425" t="s">
        <v>18</v>
      </c>
      <c r="E11425" s="6">
        <v>-28707</v>
      </c>
      <c r="F11425" t="s">
        <v>495</v>
      </c>
      <c r="G11425" t="s">
        <v>20</v>
      </c>
      <c r="H11425" t="s">
        <v>21</v>
      </c>
      <c r="I11425" t="s">
        <v>22125</v>
      </c>
      <c r="J11425" t="str">
        <f>HYPERLINK("https://www.boe.es/gazeta/dias/1821/05/26/pdfs/GMD-1821-148.pdf#page=3","Abrir facsímil")</f>
        <v>Abrir facsímil</v>
      </c>
      <c r="K11425" t="s">
        <v>23</v>
      </c>
    </row>
    <row r="11426" spans="1:11" ht="42" customHeight="1">
      <c r="A11426" t="s">
        <v>22111</v>
      </c>
      <c r="B11426" t="s">
        <v>22111</v>
      </c>
      <c r="C11426" t="s">
        <v>40</v>
      </c>
      <c r="D11426" t="s">
        <v>41</v>
      </c>
      <c r="E11426" s="6">
        <v>-28706</v>
      </c>
      <c r="F11426" t="s">
        <v>4791</v>
      </c>
      <c r="G11426" t="s">
        <v>8867</v>
      </c>
      <c r="H11426" t="s">
        <v>21</v>
      </c>
      <c r="I11426" t="s">
        <v>22126</v>
      </c>
      <c r="J11426" t="str">
        <f>HYPERLINK("https://www.boe.es/gazeta/dias/1821/05/27/pdfs/GMD-1821-149.pdf#page=3","Abrir facsímil")</f>
        <v>Abrir facsímil</v>
      </c>
      <c r="K11426" t="s">
        <v>23</v>
      </c>
    </row>
    <row r="11427" spans="1:11" ht="42" customHeight="1">
      <c r="A11427" t="s">
        <v>22111</v>
      </c>
      <c r="B11427" t="s">
        <v>22111</v>
      </c>
      <c r="C11427" t="s">
        <v>17</v>
      </c>
      <c r="D11427" t="s">
        <v>18</v>
      </c>
      <c r="E11427" s="6">
        <v>-28706</v>
      </c>
      <c r="F11427" t="s">
        <v>4791</v>
      </c>
      <c r="G11427" t="s">
        <v>88</v>
      </c>
      <c r="H11427" t="s">
        <v>21</v>
      </c>
      <c r="I11427" t="s">
        <v>22127</v>
      </c>
      <c r="J11427" t="str">
        <f>HYPERLINK("https://www.boe.es/gazeta/dias/1821/05/27/pdfs/GMD-1821-149.pdf#page=4","Abrir facsímil")</f>
        <v>Abrir facsímil</v>
      </c>
      <c r="K11427" t="s">
        <v>23</v>
      </c>
    </row>
    <row r="11428" spans="1:11" ht="42" customHeight="1">
      <c r="A11428" t="s">
        <v>22111</v>
      </c>
      <c r="B11428" t="s">
        <v>22111</v>
      </c>
      <c r="C11428" t="s">
        <v>40</v>
      </c>
      <c r="D11428" t="s">
        <v>41</v>
      </c>
      <c r="E11428" s="6">
        <v>-28704</v>
      </c>
      <c r="F11428" t="s">
        <v>1050</v>
      </c>
      <c r="G11428" t="s">
        <v>52</v>
      </c>
      <c r="H11428" t="s">
        <v>21</v>
      </c>
      <c r="I11428" t="s">
        <v>22128</v>
      </c>
      <c r="J11428" t="str">
        <f>HYPERLINK("https://www.boe.es/gazeta/dias/1821/05/29/pdfs/GMD-1821-151.pdf#page=2","Abrir facsímil")</f>
        <v>Abrir facsímil</v>
      </c>
      <c r="K11428" t="s">
        <v>23</v>
      </c>
    </row>
    <row r="11429" spans="1:11" ht="42" customHeight="1">
      <c r="A11429" t="s">
        <v>22111</v>
      </c>
      <c r="B11429" t="s">
        <v>22111</v>
      </c>
      <c r="C11429" t="s">
        <v>35</v>
      </c>
      <c r="D11429" t="s">
        <v>27</v>
      </c>
      <c r="E11429" s="6">
        <v>-28703</v>
      </c>
      <c r="F11429" t="s">
        <v>231</v>
      </c>
      <c r="G11429" t="s">
        <v>88</v>
      </c>
      <c r="H11429" t="s">
        <v>21</v>
      </c>
      <c r="I11429" t="s">
        <v>22129</v>
      </c>
      <c r="J11429" t="str">
        <f>HYPERLINK("https://www.boe.es/gazeta/dias/1821/05/30/pdfs/GMD-1821-152.pdf#page=4","Abrir facsímil")</f>
        <v>Abrir facsímil</v>
      </c>
      <c r="K11429" t="s">
        <v>23</v>
      </c>
    </row>
    <row r="11430" spans="1:11" ht="42" customHeight="1">
      <c r="A11430" t="s">
        <v>22111</v>
      </c>
      <c r="B11430" t="s">
        <v>22111</v>
      </c>
      <c r="C11430" t="s">
        <v>174</v>
      </c>
      <c r="D11430" t="s">
        <v>27</v>
      </c>
      <c r="E11430" s="6">
        <v>-28702</v>
      </c>
      <c r="F11430" t="s">
        <v>1176</v>
      </c>
      <c r="G11430" t="s">
        <v>20</v>
      </c>
      <c r="H11430" t="s">
        <v>21</v>
      </c>
      <c r="I11430" t="s">
        <v>22130</v>
      </c>
      <c r="J11430" t="str">
        <f>HYPERLINK("https://www.boe.es/gazeta/dias/1821/05/31/pdfs/GMD-1821-153.pdf#page=3","Abrir facsímil")</f>
        <v>Abrir facsímil</v>
      </c>
      <c r="K11430" t="s">
        <v>23</v>
      </c>
    </row>
    <row r="11431" spans="1:11" ht="42" customHeight="1">
      <c r="A11431" t="s">
        <v>22111</v>
      </c>
      <c r="B11431" t="s">
        <v>22111</v>
      </c>
      <c r="C11431" t="s">
        <v>35</v>
      </c>
      <c r="D11431" t="s">
        <v>27</v>
      </c>
      <c r="E11431" s="6">
        <v>-28691</v>
      </c>
      <c r="F11431" t="s">
        <v>716</v>
      </c>
      <c r="G11431" t="s">
        <v>20</v>
      </c>
      <c r="H11431" t="s">
        <v>21</v>
      </c>
      <c r="I11431" t="s">
        <v>22131</v>
      </c>
      <c r="J11431" t="str">
        <f>HYPERLINK("https://www.boe.es/gazeta/dias/1821/06/11/pdfs/GMD-1821-164.pdf#page=3","Abrir facsímil")</f>
        <v>Abrir facsímil</v>
      </c>
      <c r="K11431" t="s">
        <v>23</v>
      </c>
    </row>
    <row r="11432" spans="1:11" ht="42" customHeight="1">
      <c r="A11432" t="s">
        <v>22111</v>
      </c>
      <c r="B11432" t="s">
        <v>22111</v>
      </c>
      <c r="C11432" t="s">
        <v>40</v>
      </c>
      <c r="D11432" t="s">
        <v>41</v>
      </c>
      <c r="E11432" s="6">
        <v>-28689</v>
      </c>
      <c r="F11432" t="s">
        <v>194</v>
      </c>
      <c r="G11432" t="s">
        <v>205</v>
      </c>
      <c r="H11432" t="s">
        <v>21</v>
      </c>
      <c r="I11432" t="s">
        <v>22132</v>
      </c>
      <c r="J11432" t="str">
        <f>HYPERLINK("https://www.boe.es/gazeta/dias/1821/06/13/pdfs/GMD-1821-166.pdf#page=6","Abrir facsímil")</f>
        <v>Abrir facsímil</v>
      </c>
      <c r="K11432" t="s">
        <v>23</v>
      </c>
    </row>
    <row r="11433" spans="1:11" ht="42" customHeight="1">
      <c r="A11433" t="s">
        <v>22111</v>
      </c>
      <c r="B11433" t="s">
        <v>22111</v>
      </c>
      <c r="C11433" t="s">
        <v>40</v>
      </c>
      <c r="D11433" t="s">
        <v>41</v>
      </c>
      <c r="E11433" s="6">
        <v>-28689</v>
      </c>
      <c r="F11433" t="s">
        <v>194</v>
      </c>
      <c r="G11433" t="s">
        <v>20</v>
      </c>
      <c r="H11433" t="s">
        <v>21</v>
      </c>
      <c r="I11433" t="s">
        <v>22133</v>
      </c>
      <c r="J11433" t="str">
        <f>HYPERLINK("https://www.boe.es/gazeta/dias/1821/06/13/pdfs/GMD-1821-166.pdf#page=3","Abrir facsímil")</f>
        <v>Abrir facsímil</v>
      </c>
      <c r="K11433" t="s">
        <v>23</v>
      </c>
    </row>
    <row r="11434" spans="1:11" ht="42" customHeight="1">
      <c r="A11434" t="s">
        <v>22111</v>
      </c>
      <c r="B11434" t="s">
        <v>22111</v>
      </c>
      <c r="C11434" t="s">
        <v>17</v>
      </c>
      <c r="D11434" t="s">
        <v>18</v>
      </c>
      <c r="E11434" s="6">
        <v>-28688</v>
      </c>
      <c r="F11434" t="s">
        <v>1504</v>
      </c>
      <c r="G11434" t="s">
        <v>20</v>
      </c>
      <c r="H11434" t="s">
        <v>21</v>
      </c>
      <c r="I11434" t="s">
        <v>22134</v>
      </c>
      <c r="J11434" t="str">
        <f>HYPERLINK("https://www.boe.es/gazeta/dias/1821/06/14/pdfs/GMD-1821-167.pdf#page=3","Abrir facsímil")</f>
        <v>Abrir facsímil</v>
      </c>
      <c r="K11434" t="s">
        <v>23</v>
      </c>
    </row>
    <row r="11435" spans="1:11" ht="42" customHeight="1">
      <c r="A11435" t="s">
        <v>22111</v>
      </c>
      <c r="B11435" t="s">
        <v>22111</v>
      </c>
      <c r="C11435" t="s">
        <v>494</v>
      </c>
      <c r="D11435" t="s">
        <v>18</v>
      </c>
      <c r="E11435" s="6">
        <v>-28687</v>
      </c>
      <c r="F11435" t="s">
        <v>851</v>
      </c>
      <c r="G11435" t="s">
        <v>20</v>
      </c>
      <c r="H11435" t="s">
        <v>21</v>
      </c>
      <c r="I11435" t="s">
        <v>22135</v>
      </c>
      <c r="J11435" t="str">
        <f>HYPERLINK("https://www.boe.es/gazeta/dias/1821/06/15/pdfs/GMD-1821-168.pdf#page=3","Abrir facsímil")</f>
        <v>Abrir facsímil</v>
      </c>
      <c r="K11435" t="s">
        <v>23</v>
      </c>
    </row>
    <row r="11436" spans="1:11" ht="42" customHeight="1">
      <c r="A11436" t="s">
        <v>22111</v>
      </c>
      <c r="B11436" t="s">
        <v>22111</v>
      </c>
      <c r="C11436" t="s">
        <v>40</v>
      </c>
      <c r="D11436" t="s">
        <v>41</v>
      </c>
      <c r="E11436" s="6">
        <v>-28681</v>
      </c>
      <c r="F11436" t="s">
        <v>210</v>
      </c>
      <c r="G11436" t="s">
        <v>20</v>
      </c>
      <c r="H11436" t="s">
        <v>21</v>
      </c>
      <c r="I11436" t="s">
        <v>22136</v>
      </c>
      <c r="J11436" t="str">
        <f>HYPERLINK("https://www.boe.es/gazeta/dias/1821/06/21/pdfs/GMD-1821-174.pdf#page=3","Abrir facsímil")</f>
        <v>Abrir facsímil</v>
      </c>
      <c r="K11436" t="s">
        <v>23</v>
      </c>
    </row>
    <row r="11437" spans="1:11" ht="42" customHeight="1">
      <c r="A11437" t="s">
        <v>22111</v>
      </c>
      <c r="B11437" t="s">
        <v>22111</v>
      </c>
      <c r="C11437" t="s">
        <v>35</v>
      </c>
      <c r="D11437" t="s">
        <v>27</v>
      </c>
      <c r="E11437" s="6">
        <v>-28675</v>
      </c>
      <c r="F11437" t="s">
        <v>943</v>
      </c>
      <c r="G11437" t="s">
        <v>162</v>
      </c>
      <c r="H11437" t="s">
        <v>21</v>
      </c>
      <c r="I11437" t="s">
        <v>22137</v>
      </c>
      <c r="J11437" t="str">
        <f>HYPERLINK("https://www.boe.es/gazeta/dias/1821/06/27/pdfs/GMD-1821-180.pdf#page=5","Abrir facsímil")</f>
        <v>Abrir facsímil</v>
      </c>
      <c r="K11437" t="s">
        <v>23</v>
      </c>
    </row>
    <row r="11438" spans="1:11" ht="42" customHeight="1">
      <c r="A11438" t="s">
        <v>22111</v>
      </c>
      <c r="B11438" t="s">
        <v>22111</v>
      </c>
      <c r="C11438" t="s">
        <v>40</v>
      </c>
      <c r="D11438" t="s">
        <v>41</v>
      </c>
      <c r="E11438" s="6">
        <v>-28674</v>
      </c>
      <c r="F11438" t="s">
        <v>536</v>
      </c>
      <c r="G11438" t="s">
        <v>162</v>
      </c>
      <c r="H11438" t="s">
        <v>21</v>
      </c>
      <c r="I11438" t="s">
        <v>22138</v>
      </c>
      <c r="J11438" t="str">
        <f>HYPERLINK("https://www.boe.es/gazeta/dias/1821/06/28/pdfs/GMD-1821-181.pdf#page=5","Abrir facsímil")</f>
        <v>Abrir facsímil</v>
      </c>
      <c r="K11438" t="s">
        <v>23</v>
      </c>
    </row>
    <row r="11439" spans="1:11" ht="42" customHeight="1">
      <c r="A11439" t="s">
        <v>22111</v>
      </c>
      <c r="B11439" t="s">
        <v>22111</v>
      </c>
      <c r="C11439" t="s">
        <v>17</v>
      </c>
      <c r="D11439" t="s">
        <v>18</v>
      </c>
      <c r="E11439" s="6">
        <v>-28673</v>
      </c>
      <c r="F11439" t="s">
        <v>1069</v>
      </c>
      <c r="G11439" t="s">
        <v>88</v>
      </c>
      <c r="H11439" t="s">
        <v>21</v>
      </c>
      <c r="I11439" t="s">
        <v>22139</v>
      </c>
      <c r="J11439" t="str">
        <f>HYPERLINK("https://www.boe.es/gazeta/dias/1821/06/29/pdfs/GMD-1821-182.pdf#page=4","Abrir facsímil")</f>
        <v>Abrir facsímil</v>
      </c>
      <c r="K11439" t="s">
        <v>23</v>
      </c>
    </row>
    <row r="11440" spans="1:11" ht="42" customHeight="1">
      <c r="A11440" t="s">
        <v>22111</v>
      </c>
      <c r="B11440" t="s">
        <v>22111</v>
      </c>
      <c r="C11440" t="s">
        <v>40</v>
      </c>
      <c r="D11440" t="s">
        <v>41</v>
      </c>
      <c r="E11440" s="6">
        <v>-28671</v>
      </c>
      <c r="F11440" t="s">
        <v>5059</v>
      </c>
      <c r="G11440" t="s">
        <v>20</v>
      </c>
      <c r="H11440" t="s">
        <v>21</v>
      </c>
      <c r="I11440" t="s">
        <v>22140</v>
      </c>
      <c r="J11440" t="str">
        <f>HYPERLINK("https://www.boe.es/gazeta/dias/1821/07/01/pdfs/GMD-1821-185.pdf#page=3","Abrir facsímil")</f>
        <v>Abrir facsímil</v>
      </c>
      <c r="K11440" t="s">
        <v>23</v>
      </c>
    </row>
    <row r="11441" spans="1:11" ht="42" customHeight="1">
      <c r="A11441" t="s">
        <v>22111</v>
      </c>
      <c r="B11441" t="s">
        <v>22111</v>
      </c>
      <c r="C11441" t="s">
        <v>26</v>
      </c>
      <c r="D11441" t="s">
        <v>27</v>
      </c>
      <c r="E11441" s="6">
        <v>-28586</v>
      </c>
      <c r="F11441" t="s">
        <v>587</v>
      </c>
      <c r="G11441" t="s">
        <v>588</v>
      </c>
      <c r="H11441" t="s">
        <v>21</v>
      </c>
      <c r="I11441" t="s">
        <v>22141</v>
      </c>
      <c r="J11441" t="str">
        <f>HYPERLINK("https://www.boe.es/gazeta/dias/1821/09/24/pdfs/GMD-1821-272.pdf#page=3","Abrir facsímil")</f>
        <v>Abrir facsímil</v>
      </c>
      <c r="K11441" t="s">
        <v>23</v>
      </c>
    </row>
    <row r="11442" spans="1:11" ht="42" customHeight="1">
      <c r="A11442" t="s">
        <v>22111</v>
      </c>
      <c r="B11442" t="s">
        <v>22111</v>
      </c>
      <c r="C11442" t="s">
        <v>17</v>
      </c>
      <c r="D11442" t="s">
        <v>18</v>
      </c>
      <c r="E11442" s="6">
        <v>-28575</v>
      </c>
      <c r="F11442" t="s">
        <v>2453</v>
      </c>
      <c r="G11442" t="s">
        <v>52</v>
      </c>
      <c r="H11442" t="s">
        <v>21</v>
      </c>
      <c r="I11442" t="s">
        <v>22142</v>
      </c>
      <c r="J11442" t="str">
        <f>HYPERLINK("https://www.boe.es/gazeta/dias/1821/10/05/pdfs/GMD-1821-284.pdf#page=2","Abrir facsímil")</f>
        <v>Abrir facsímil</v>
      </c>
      <c r="K11442" t="s">
        <v>23</v>
      </c>
    </row>
    <row r="11443" spans="1:11" ht="42" customHeight="1">
      <c r="A11443" t="s">
        <v>22111</v>
      </c>
      <c r="B11443" t="s">
        <v>22111</v>
      </c>
      <c r="C11443" t="s">
        <v>26</v>
      </c>
      <c r="D11443" t="s">
        <v>27</v>
      </c>
      <c r="E11443" s="6">
        <v>-28568</v>
      </c>
      <c r="F11443" t="s">
        <v>539</v>
      </c>
      <c r="G11443" t="s">
        <v>29</v>
      </c>
      <c r="H11443" t="s">
        <v>21</v>
      </c>
      <c r="I11443" t="s">
        <v>22143</v>
      </c>
      <c r="J11443" t="str">
        <f>HYPERLINK("https://www.boe.es/gazeta/dias/1821/10/12/pdfs/GMD-1821-291.pdf#page=6","Abrir facsímil")</f>
        <v>Abrir facsímil</v>
      </c>
      <c r="K11443" t="s">
        <v>23</v>
      </c>
    </row>
    <row r="11444" spans="1:11" ht="42" customHeight="1">
      <c r="A11444" t="s">
        <v>22111</v>
      </c>
      <c r="B11444" t="s">
        <v>22111</v>
      </c>
      <c r="C11444" t="s">
        <v>40</v>
      </c>
      <c r="D11444" t="s">
        <v>41</v>
      </c>
      <c r="E11444" s="6">
        <v>-28567</v>
      </c>
      <c r="F11444" t="s">
        <v>217</v>
      </c>
      <c r="G11444" t="s">
        <v>52</v>
      </c>
      <c r="H11444" t="s">
        <v>21</v>
      </c>
      <c r="I11444" t="s">
        <v>22144</v>
      </c>
      <c r="J11444" t="str">
        <f>HYPERLINK("https://www.boe.es/gazeta/dias/1821/10/13/pdfs/GMD-1821-292.pdf#page=2","Abrir facsímil")</f>
        <v>Abrir facsímil</v>
      </c>
      <c r="K11444" t="s">
        <v>23</v>
      </c>
    </row>
    <row r="11445" spans="1:11" ht="42" customHeight="1">
      <c r="A11445" t="s">
        <v>22111</v>
      </c>
      <c r="B11445" t="s">
        <v>22111</v>
      </c>
      <c r="C11445" t="s">
        <v>17</v>
      </c>
      <c r="D11445" t="s">
        <v>18</v>
      </c>
      <c r="E11445" s="6">
        <v>-28567</v>
      </c>
      <c r="F11445" t="s">
        <v>217</v>
      </c>
      <c r="G11445" t="s">
        <v>20</v>
      </c>
      <c r="H11445" t="s">
        <v>21</v>
      </c>
      <c r="I11445" t="s">
        <v>22145</v>
      </c>
      <c r="J11445" t="str">
        <f>HYPERLINK("https://www.boe.es/gazeta/dias/1821/10/13/pdfs/GMD-1821-292.pdf#page=3","Abrir facsímil")</f>
        <v>Abrir facsímil</v>
      </c>
      <c r="K11445" t="s">
        <v>23</v>
      </c>
    </row>
    <row r="11446" spans="1:11" ht="42" customHeight="1">
      <c r="A11446" t="s">
        <v>22111</v>
      </c>
      <c r="B11446" t="s">
        <v>22111</v>
      </c>
      <c r="C11446" t="s">
        <v>70</v>
      </c>
      <c r="D11446" t="s">
        <v>27</v>
      </c>
      <c r="E11446" s="6">
        <v>-28562</v>
      </c>
      <c r="F11446" t="s">
        <v>3093</v>
      </c>
      <c r="G11446" t="s">
        <v>29</v>
      </c>
      <c r="H11446" t="s">
        <v>21</v>
      </c>
      <c r="I11446" t="s">
        <v>22146</v>
      </c>
      <c r="J11446" t="str">
        <f>HYPERLINK("https://www.boe.es/gazeta/dias/1821/10/18/pdfs/GMD-1821-297.pdf#page=6","Abrir facsímil")</f>
        <v>Abrir facsímil</v>
      </c>
      <c r="K11446" t="s">
        <v>23</v>
      </c>
    </row>
    <row r="11447" spans="1:11" ht="42" customHeight="1">
      <c r="A11447" t="s">
        <v>22111</v>
      </c>
      <c r="B11447" t="s">
        <v>22111</v>
      </c>
      <c r="C11447" t="s">
        <v>17</v>
      </c>
      <c r="D11447" t="s">
        <v>18</v>
      </c>
      <c r="E11447" s="6">
        <v>-28559</v>
      </c>
      <c r="F11447" t="s">
        <v>1078</v>
      </c>
      <c r="G11447" t="s">
        <v>88</v>
      </c>
      <c r="H11447" t="s">
        <v>21</v>
      </c>
      <c r="I11447" t="s">
        <v>22147</v>
      </c>
      <c r="J11447" t="str">
        <f>HYPERLINK("https://www.boe.es/gazeta/dias/1821/10/21/pdfs/GMD-1821-300.pdf#page=4","Abrir facsímil")</f>
        <v>Abrir facsímil</v>
      </c>
      <c r="K11447" t="s">
        <v>23</v>
      </c>
    </row>
    <row r="11448" spans="1:11" ht="42" customHeight="1">
      <c r="A11448" t="s">
        <v>22111</v>
      </c>
      <c r="B11448" t="s">
        <v>22111</v>
      </c>
      <c r="C11448" t="s">
        <v>17</v>
      </c>
      <c r="D11448" t="s">
        <v>18</v>
      </c>
      <c r="E11448" s="6">
        <v>-28559</v>
      </c>
      <c r="F11448" t="s">
        <v>1078</v>
      </c>
      <c r="G11448" t="s">
        <v>162</v>
      </c>
      <c r="H11448" t="s">
        <v>21</v>
      </c>
      <c r="I11448" t="s">
        <v>22148</v>
      </c>
      <c r="J11448" t="str">
        <f>HYPERLINK("https://www.boe.es/gazeta/dias/1821/10/21/pdfs/GMD-1821-300.pdf#page=5","Abrir facsímil")</f>
        <v>Abrir facsímil</v>
      </c>
      <c r="K11448" t="s">
        <v>23</v>
      </c>
    </row>
    <row r="11449" spans="1:11" ht="42" customHeight="1">
      <c r="A11449" t="s">
        <v>22111</v>
      </c>
      <c r="B11449" t="s">
        <v>22111</v>
      </c>
      <c r="C11449" t="s">
        <v>17</v>
      </c>
      <c r="D11449" t="s">
        <v>18</v>
      </c>
      <c r="E11449" s="6">
        <v>-28558</v>
      </c>
      <c r="F11449" t="s">
        <v>758</v>
      </c>
      <c r="G11449" t="s">
        <v>52</v>
      </c>
      <c r="H11449" t="s">
        <v>21</v>
      </c>
      <c r="I11449" t="s">
        <v>22149</v>
      </c>
      <c r="J11449" t="str">
        <f>HYPERLINK("https://www.boe.es/gazeta/dias/1821/10/22/pdfs/GMD-1821-301.pdf#page=2","Abrir facsímil")</f>
        <v>Abrir facsímil</v>
      </c>
      <c r="K11449" t="s">
        <v>23</v>
      </c>
    </row>
    <row r="11450" spans="1:11" ht="42" customHeight="1">
      <c r="A11450" t="s">
        <v>22111</v>
      </c>
      <c r="B11450" t="s">
        <v>22111</v>
      </c>
      <c r="C11450" t="s">
        <v>26</v>
      </c>
      <c r="D11450" t="s">
        <v>27</v>
      </c>
      <c r="E11450" s="6">
        <v>-28557</v>
      </c>
      <c r="F11450" t="s">
        <v>316</v>
      </c>
      <c r="G11450" t="s">
        <v>162</v>
      </c>
      <c r="H11450" t="s">
        <v>21</v>
      </c>
      <c r="I11450" t="s">
        <v>22150</v>
      </c>
      <c r="J11450" t="str">
        <f>HYPERLINK("https://www.boe.es/gazeta/dias/1821/10/23/pdfs/GMD-1821-302.pdf#page=5","Abrir facsímil")</f>
        <v>Abrir facsímil</v>
      </c>
      <c r="K11450" t="s">
        <v>23</v>
      </c>
    </row>
    <row r="11451" spans="1:11" ht="42" customHeight="1">
      <c r="A11451" t="s">
        <v>22111</v>
      </c>
      <c r="B11451" t="s">
        <v>22111</v>
      </c>
      <c r="C11451" t="s">
        <v>26</v>
      </c>
      <c r="D11451" t="s">
        <v>27</v>
      </c>
      <c r="E11451" s="6">
        <v>-28555</v>
      </c>
      <c r="F11451" t="s">
        <v>219</v>
      </c>
      <c r="G11451" t="s">
        <v>88</v>
      </c>
      <c r="H11451" t="s">
        <v>21</v>
      </c>
      <c r="I11451" t="s">
        <v>22151</v>
      </c>
      <c r="J11451" t="str">
        <f>HYPERLINK("https://www.boe.es/gazeta/dias/1821/10/25/pdfs/GMD-1821-304.pdf#page=4","Abrir facsímil")</f>
        <v>Abrir facsímil</v>
      </c>
      <c r="K11451" t="s">
        <v>23</v>
      </c>
    </row>
    <row r="11452" spans="1:11" ht="42" customHeight="1">
      <c r="A11452" t="s">
        <v>22111</v>
      </c>
      <c r="B11452" t="s">
        <v>22111</v>
      </c>
      <c r="C11452" t="s">
        <v>40</v>
      </c>
      <c r="D11452" t="s">
        <v>41</v>
      </c>
      <c r="E11452" s="6">
        <v>-28555</v>
      </c>
      <c r="F11452" t="s">
        <v>219</v>
      </c>
      <c r="G11452" t="s">
        <v>162</v>
      </c>
      <c r="H11452" t="s">
        <v>21</v>
      </c>
      <c r="I11452" t="s">
        <v>22152</v>
      </c>
      <c r="J11452" t="str">
        <f>HYPERLINK("https://www.boe.es/gazeta/dias/1821/10/25/pdfs/GMD-1821-304.pdf#page=5","Abrir facsímil")</f>
        <v>Abrir facsímil</v>
      </c>
      <c r="K11452" t="s">
        <v>23</v>
      </c>
    </row>
    <row r="11453" spans="1:11" ht="42" customHeight="1">
      <c r="A11453" t="s">
        <v>22111</v>
      </c>
      <c r="B11453" t="s">
        <v>22111</v>
      </c>
      <c r="C11453" t="s">
        <v>40</v>
      </c>
      <c r="D11453" t="s">
        <v>41</v>
      </c>
      <c r="E11453" s="6">
        <v>-28554</v>
      </c>
      <c r="F11453" t="s">
        <v>433</v>
      </c>
      <c r="G11453" t="s">
        <v>88</v>
      </c>
      <c r="H11453" t="s">
        <v>21</v>
      </c>
      <c r="I11453" t="s">
        <v>22153</v>
      </c>
      <c r="J11453" t="str">
        <f>HYPERLINK("https://www.boe.es/gazeta/dias/1821/10/26/pdfs/GMD-1821-305.pdf#page=4","Abrir facsímil")</f>
        <v>Abrir facsímil</v>
      </c>
      <c r="K11453" t="s">
        <v>23</v>
      </c>
    </row>
    <row r="11454" spans="1:11" ht="42" customHeight="1">
      <c r="A11454" t="s">
        <v>22111</v>
      </c>
      <c r="B11454" t="s">
        <v>22111</v>
      </c>
      <c r="C11454" t="s">
        <v>26</v>
      </c>
      <c r="D11454" t="s">
        <v>27</v>
      </c>
      <c r="E11454" s="6">
        <v>-28554</v>
      </c>
      <c r="F11454" t="s">
        <v>433</v>
      </c>
      <c r="G11454" t="s">
        <v>29</v>
      </c>
      <c r="H11454" t="s">
        <v>21</v>
      </c>
      <c r="I11454" t="s">
        <v>22154</v>
      </c>
      <c r="J11454" t="str">
        <f>HYPERLINK("https://www.boe.es/gazeta/dias/1821/10/26/pdfs/GMD-1821-305.pdf#page=6","Abrir facsímil")</f>
        <v>Abrir facsímil</v>
      </c>
      <c r="K11454" t="s">
        <v>23</v>
      </c>
    </row>
    <row r="11455" spans="1:11" ht="42" customHeight="1">
      <c r="A11455" t="s">
        <v>22111</v>
      </c>
      <c r="B11455" t="s">
        <v>22111</v>
      </c>
      <c r="C11455" t="s">
        <v>40</v>
      </c>
      <c r="D11455" t="s">
        <v>41</v>
      </c>
      <c r="E11455" s="6">
        <v>-28553</v>
      </c>
      <c r="F11455" t="s">
        <v>182</v>
      </c>
      <c r="G11455" t="s">
        <v>162</v>
      </c>
      <c r="H11455" t="s">
        <v>21</v>
      </c>
      <c r="I11455" t="s">
        <v>22155</v>
      </c>
      <c r="J11455" t="str">
        <f>HYPERLINK("https://www.boe.es/gazeta/dias/1821/10/27/pdfs/GMD-1821-306.pdf#page=5","Abrir facsímil")</f>
        <v>Abrir facsímil</v>
      </c>
      <c r="K11455" t="s">
        <v>23</v>
      </c>
    </row>
    <row r="11456" spans="1:11" ht="42" customHeight="1">
      <c r="A11456" t="s">
        <v>22111</v>
      </c>
      <c r="B11456" t="s">
        <v>22111</v>
      </c>
      <c r="C11456" t="s">
        <v>26</v>
      </c>
      <c r="D11456" t="s">
        <v>27</v>
      </c>
      <c r="E11456" s="6">
        <v>-28552</v>
      </c>
      <c r="F11456" t="s">
        <v>28</v>
      </c>
      <c r="G11456" t="s">
        <v>2457</v>
      </c>
      <c r="H11456" t="s">
        <v>21</v>
      </c>
      <c r="I11456" t="s">
        <v>22156</v>
      </c>
      <c r="J11456" t="str">
        <f>HYPERLINK("https://www.boe.es/gazeta/dias/1821/10/28/pdfs/GMD-1821-307.pdf#page=4","Abrir facsímil")</f>
        <v>Abrir facsímil</v>
      </c>
      <c r="K11456" t="s">
        <v>23</v>
      </c>
    </row>
    <row r="11457" spans="1:11" ht="42" customHeight="1">
      <c r="A11457" t="s">
        <v>22111</v>
      </c>
      <c r="B11457" t="s">
        <v>22111</v>
      </c>
      <c r="C11457" t="s">
        <v>26</v>
      </c>
      <c r="D11457" t="s">
        <v>27</v>
      </c>
      <c r="E11457" s="6">
        <v>-28551</v>
      </c>
      <c r="F11457" t="s">
        <v>542</v>
      </c>
      <c r="G11457" t="s">
        <v>543</v>
      </c>
      <c r="H11457" t="s">
        <v>21</v>
      </c>
      <c r="I11457" t="s">
        <v>22157</v>
      </c>
      <c r="J11457" t="str">
        <f>HYPERLINK("https://www.boe.es/gazeta/dias/1821/10/29/pdfs/GMD-1821-308.pdf#page=3","Abrir facsímil")</f>
        <v>Abrir facsímil</v>
      </c>
      <c r="K11457" t="s">
        <v>23</v>
      </c>
    </row>
    <row r="11458" spans="1:11" ht="42" customHeight="1">
      <c r="A11458" t="s">
        <v>22111</v>
      </c>
      <c r="B11458" t="s">
        <v>22111</v>
      </c>
      <c r="C11458" t="s">
        <v>35</v>
      </c>
      <c r="D11458" t="s">
        <v>27</v>
      </c>
      <c r="E11458" s="6">
        <v>-28548</v>
      </c>
      <c r="F11458" t="s">
        <v>782</v>
      </c>
      <c r="G11458" t="s">
        <v>88</v>
      </c>
      <c r="H11458" t="s">
        <v>21</v>
      </c>
      <c r="I11458" t="s">
        <v>22158</v>
      </c>
      <c r="J11458" t="str">
        <f>HYPERLINK("https://www.boe.es/gazeta/dias/1821/11/01/pdfs/GMD-1821-311.pdf#page=4","Abrir facsímil")</f>
        <v>Abrir facsímil</v>
      </c>
      <c r="K11458" t="s">
        <v>23</v>
      </c>
    </row>
    <row r="11459" spans="1:11" ht="42" customHeight="1">
      <c r="A11459" t="s">
        <v>22111</v>
      </c>
      <c r="B11459" t="s">
        <v>22111</v>
      </c>
      <c r="C11459" t="s">
        <v>17</v>
      </c>
      <c r="D11459" t="s">
        <v>18</v>
      </c>
      <c r="E11459" s="6">
        <v>-28536</v>
      </c>
      <c r="F11459" t="s">
        <v>553</v>
      </c>
      <c r="G11459" t="s">
        <v>162</v>
      </c>
      <c r="H11459" t="s">
        <v>21</v>
      </c>
      <c r="I11459" t="s">
        <v>22159</v>
      </c>
      <c r="J11459" t="str">
        <f>HYPERLINK("https://www.boe.es/gazeta/dias/1821/11/13/pdfs/GMD-1821-324.pdf#page=5","Abrir facsímil")</f>
        <v>Abrir facsímil</v>
      </c>
      <c r="K11459" t="s">
        <v>23</v>
      </c>
    </row>
    <row r="11460" spans="1:11" ht="42" customHeight="1">
      <c r="A11460" t="s">
        <v>22111</v>
      </c>
      <c r="B11460" t="s">
        <v>22111</v>
      </c>
      <c r="C11460" t="s">
        <v>114</v>
      </c>
      <c r="D11460" t="s">
        <v>27</v>
      </c>
      <c r="E11460" s="6">
        <v>-28535</v>
      </c>
      <c r="F11460" t="s">
        <v>96</v>
      </c>
      <c r="G11460" t="s">
        <v>88</v>
      </c>
      <c r="H11460" t="s">
        <v>21</v>
      </c>
      <c r="I11460" t="s">
        <v>22160</v>
      </c>
      <c r="J11460" t="str">
        <f>HYPERLINK("https://www.boe.es/gazeta/dias/1821/11/14/pdfs/GMD-1821-325.pdf#page=4","Abrir facsímil")</f>
        <v>Abrir facsímil</v>
      </c>
      <c r="K11460" t="s">
        <v>23</v>
      </c>
    </row>
    <row r="11461" spans="1:11" ht="42" customHeight="1">
      <c r="A11461" t="s">
        <v>22111</v>
      </c>
      <c r="B11461" t="s">
        <v>22111</v>
      </c>
      <c r="C11461" t="s">
        <v>17</v>
      </c>
      <c r="D11461" t="s">
        <v>18</v>
      </c>
      <c r="E11461" s="6">
        <v>-28534</v>
      </c>
      <c r="F11461" t="s">
        <v>414</v>
      </c>
      <c r="G11461" t="s">
        <v>88</v>
      </c>
      <c r="H11461" t="s">
        <v>21</v>
      </c>
      <c r="I11461" t="s">
        <v>22161</v>
      </c>
      <c r="J11461" t="str">
        <f>HYPERLINK("https://www.boe.es/gazeta/dias/1821/11/15/pdfs/GMD-1821-326.pdf#page=4","Abrir facsímil")</f>
        <v>Abrir facsímil</v>
      </c>
      <c r="K11461" t="s">
        <v>23</v>
      </c>
    </row>
    <row r="11462" spans="1:11" ht="42" customHeight="1">
      <c r="A11462" t="s">
        <v>22111</v>
      </c>
      <c r="B11462" t="s">
        <v>22111</v>
      </c>
      <c r="C11462" t="s">
        <v>35</v>
      </c>
      <c r="D11462" t="s">
        <v>27</v>
      </c>
      <c r="E11462" s="6">
        <v>-28528</v>
      </c>
      <c r="F11462" t="s">
        <v>1872</v>
      </c>
      <c r="G11462" t="s">
        <v>88</v>
      </c>
      <c r="H11462" t="s">
        <v>21</v>
      </c>
      <c r="I11462" t="s">
        <v>22162</v>
      </c>
      <c r="J11462" t="str">
        <f>HYPERLINK("https://www.boe.es/gazeta/dias/1821/11/21/pdfs/GMD-1821-332.pdf#page=4","Abrir facsímil")</f>
        <v>Abrir facsímil</v>
      </c>
      <c r="K11462" t="s">
        <v>23</v>
      </c>
    </row>
    <row r="11463" spans="1:11" ht="42" customHeight="1">
      <c r="A11463" t="s">
        <v>22111</v>
      </c>
      <c r="B11463" t="s">
        <v>22111</v>
      </c>
      <c r="C11463" t="s">
        <v>17</v>
      </c>
      <c r="D11463" t="s">
        <v>18</v>
      </c>
      <c r="E11463" s="6">
        <v>-28526</v>
      </c>
      <c r="F11463" t="s">
        <v>223</v>
      </c>
      <c r="G11463" t="s">
        <v>10611</v>
      </c>
      <c r="H11463" t="s">
        <v>21</v>
      </c>
      <c r="I11463" t="s">
        <v>22163</v>
      </c>
      <c r="J11463" t="str">
        <f>HYPERLINK("https://www.boe.es/gazeta/dias/1821/11/23/pdfs/GMD-1821-334.pdf#page=5","Abrir facsímil")</f>
        <v>Abrir facsímil</v>
      </c>
      <c r="K11463" t="s">
        <v>23</v>
      </c>
    </row>
    <row r="11464" spans="1:11" ht="42" customHeight="1">
      <c r="A11464" t="s">
        <v>22111</v>
      </c>
      <c r="B11464" t="s">
        <v>22111</v>
      </c>
      <c r="C11464" t="s">
        <v>26</v>
      </c>
      <c r="D11464" t="s">
        <v>27</v>
      </c>
      <c r="E11464" s="6">
        <v>-28526</v>
      </c>
      <c r="F11464" t="s">
        <v>223</v>
      </c>
      <c r="G11464" t="s">
        <v>88</v>
      </c>
      <c r="H11464" t="s">
        <v>21</v>
      </c>
      <c r="I11464" t="s">
        <v>22164</v>
      </c>
      <c r="J11464" t="str">
        <f>HYPERLINK("https://www.boe.es/gazeta/dias/1821/11/23/pdfs/GMD-1821-334.pdf#page=4","Abrir facsímil")</f>
        <v>Abrir facsímil</v>
      </c>
      <c r="K11464" t="s">
        <v>23</v>
      </c>
    </row>
    <row r="11465" spans="1:11" ht="42" customHeight="1">
      <c r="A11465" t="s">
        <v>22111</v>
      </c>
      <c r="B11465" t="s">
        <v>22111</v>
      </c>
      <c r="C11465" t="s">
        <v>17</v>
      </c>
      <c r="D11465" t="s">
        <v>18</v>
      </c>
      <c r="E11465" s="6">
        <v>-28523</v>
      </c>
      <c r="F11465" t="s">
        <v>257</v>
      </c>
      <c r="G11465" t="s">
        <v>52</v>
      </c>
      <c r="H11465" t="s">
        <v>21</v>
      </c>
      <c r="I11465" t="s">
        <v>22165</v>
      </c>
      <c r="J11465" t="str">
        <f>HYPERLINK("https://www.boe.es/gazeta/dias/1821/11/26/pdfs/GMD-1821-337.pdf#page=2","Abrir facsímil")</f>
        <v>Abrir facsímil</v>
      </c>
      <c r="K11465" t="s">
        <v>23</v>
      </c>
    </row>
    <row r="11466" spans="1:11" ht="42" customHeight="1">
      <c r="A11466" t="s">
        <v>22111</v>
      </c>
      <c r="B11466" t="s">
        <v>22111</v>
      </c>
      <c r="C11466" t="s">
        <v>174</v>
      </c>
      <c r="D11466" t="s">
        <v>27</v>
      </c>
      <c r="E11466" s="6">
        <v>-28522</v>
      </c>
      <c r="F11466" t="s">
        <v>1083</v>
      </c>
      <c r="G11466" t="s">
        <v>29</v>
      </c>
      <c r="H11466" t="s">
        <v>21</v>
      </c>
      <c r="I11466" t="s">
        <v>22166</v>
      </c>
      <c r="J11466" t="str">
        <f>HYPERLINK("https://www.boe.es/gazeta/dias/1821/11/27/pdfs/GMD-1821-339.pdf#page=6","Abrir facsímil")</f>
        <v>Abrir facsímil</v>
      </c>
      <c r="K11466" t="s">
        <v>23</v>
      </c>
    </row>
    <row r="11467" spans="1:11" ht="42" customHeight="1">
      <c r="A11467" t="s">
        <v>22111</v>
      </c>
      <c r="B11467" t="s">
        <v>22111</v>
      </c>
      <c r="C11467" t="s">
        <v>17</v>
      </c>
      <c r="D11467" t="s">
        <v>18</v>
      </c>
      <c r="E11467" s="6">
        <v>-28520</v>
      </c>
      <c r="F11467" t="s">
        <v>878</v>
      </c>
      <c r="G11467" t="s">
        <v>52</v>
      </c>
      <c r="H11467" t="s">
        <v>21</v>
      </c>
      <c r="I11467" t="s">
        <v>22167</v>
      </c>
      <c r="J11467" t="str">
        <f>HYPERLINK("https://www.boe.es/gazeta/dias/1821/11/29/pdfs/GMD-1821-341.pdf#page=2","Abrir facsímil")</f>
        <v>Abrir facsímil</v>
      </c>
      <c r="K11467" t="s">
        <v>23</v>
      </c>
    </row>
    <row r="11468" spans="1:11" ht="42" customHeight="1">
      <c r="A11468" t="s">
        <v>22111</v>
      </c>
      <c r="B11468" t="s">
        <v>22111</v>
      </c>
      <c r="C11468" t="s">
        <v>17</v>
      </c>
      <c r="D11468" t="s">
        <v>18</v>
      </c>
      <c r="E11468" s="6">
        <v>-28520</v>
      </c>
      <c r="F11468" t="s">
        <v>878</v>
      </c>
      <c r="G11468" t="s">
        <v>20</v>
      </c>
      <c r="H11468" t="s">
        <v>21</v>
      </c>
      <c r="I11468" t="s">
        <v>22168</v>
      </c>
      <c r="J11468" t="str">
        <f>HYPERLINK("https://www.boe.es/gazeta/dias/1821/11/29/pdfs/GMD-1821-341.pdf#page=3","Abrir facsímil")</f>
        <v>Abrir facsímil</v>
      </c>
      <c r="K11468" t="s">
        <v>23</v>
      </c>
    </row>
    <row r="11469" spans="1:11" ht="42" customHeight="1">
      <c r="A11469" t="s">
        <v>22111</v>
      </c>
      <c r="B11469" t="s">
        <v>22111</v>
      </c>
      <c r="C11469" t="s">
        <v>40</v>
      </c>
      <c r="D11469" t="s">
        <v>41</v>
      </c>
      <c r="E11469" s="6">
        <v>-28513</v>
      </c>
      <c r="F11469" t="s">
        <v>502</v>
      </c>
      <c r="G11469" t="s">
        <v>88</v>
      </c>
      <c r="H11469" t="s">
        <v>21</v>
      </c>
      <c r="I11469" t="s">
        <v>22169</v>
      </c>
      <c r="J11469" t="str">
        <f>HYPERLINK("https://www.boe.es/gazeta/dias/1821/12/06/pdfs/GMD-1821-348.pdf#page=4","Abrir facsímil")</f>
        <v>Abrir facsímil</v>
      </c>
      <c r="K11469" t="s">
        <v>23</v>
      </c>
    </row>
    <row r="11470" spans="1:11" ht="42" customHeight="1">
      <c r="A11470" t="s">
        <v>22111</v>
      </c>
      <c r="B11470" t="s">
        <v>22111</v>
      </c>
      <c r="C11470" t="s">
        <v>174</v>
      </c>
      <c r="D11470" t="s">
        <v>27</v>
      </c>
      <c r="E11470" s="6">
        <v>-28509</v>
      </c>
      <c r="F11470" t="s">
        <v>388</v>
      </c>
      <c r="G11470" t="s">
        <v>162</v>
      </c>
      <c r="H11470" t="s">
        <v>21</v>
      </c>
      <c r="I11470" t="s">
        <v>22170</v>
      </c>
      <c r="J11470" t="str">
        <f>HYPERLINK("https://www.boe.es/gazeta/dias/1821/12/10/pdfs/GMD-1821-352.pdf#page=5","Abrir facsímil")</f>
        <v>Abrir facsímil</v>
      </c>
      <c r="K11470" t="s">
        <v>23</v>
      </c>
    </row>
    <row r="11471" spans="1:11" ht="42" customHeight="1">
      <c r="A11471" t="s">
        <v>22111</v>
      </c>
      <c r="B11471" t="s">
        <v>22111</v>
      </c>
      <c r="C11471" t="s">
        <v>17</v>
      </c>
      <c r="D11471" t="s">
        <v>18</v>
      </c>
      <c r="E11471" s="6">
        <v>-28508</v>
      </c>
      <c r="F11471" t="s">
        <v>42</v>
      </c>
      <c r="G11471" t="s">
        <v>52</v>
      </c>
      <c r="H11471" t="s">
        <v>21</v>
      </c>
      <c r="I11471" t="s">
        <v>22171</v>
      </c>
      <c r="J11471" t="str">
        <f>HYPERLINK("https://www.boe.es/gazeta/dias/1821/12/11/pdfs/GMD-1821-353.pdf#page=2","Abrir facsímil")</f>
        <v>Abrir facsímil</v>
      </c>
      <c r="K11471" t="s">
        <v>23</v>
      </c>
    </row>
    <row r="11472" spans="1:11" ht="42" customHeight="1">
      <c r="A11472" t="s">
        <v>22111</v>
      </c>
      <c r="B11472" t="s">
        <v>22111</v>
      </c>
      <c r="C11472" t="s">
        <v>26</v>
      </c>
      <c r="D11472" t="s">
        <v>27</v>
      </c>
      <c r="E11472" s="6">
        <v>-28508</v>
      </c>
      <c r="F11472" t="s">
        <v>42</v>
      </c>
      <c r="G11472" t="s">
        <v>20</v>
      </c>
      <c r="H11472" t="s">
        <v>21</v>
      </c>
      <c r="I11472" t="s">
        <v>22172</v>
      </c>
      <c r="J11472" t="str">
        <f>HYPERLINK("https://www.boe.es/gazeta/dias/1821/12/11/pdfs/GMD-1821-353.pdf#page=3","Abrir facsímil")</f>
        <v>Abrir facsímil</v>
      </c>
      <c r="K11472" t="s">
        <v>23</v>
      </c>
    </row>
    <row r="11473" spans="1:11" ht="42" customHeight="1">
      <c r="A11473" t="s">
        <v>22111</v>
      </c>
      <c r="B11473" t="s">
        <v>22111</v>
      </c>
      <c r="C11473" t="s">
        <v>17</v>
      </c>
      <c r="D11473" t="s">
        <v>18</v>
      </c>
      <c r="E11473" s="6">
        <v>-28505</v>
      </c>
      <c r="F11473" t="s">
        <v>567</v>
      </c>
      <c r="G11473" t="s">
        <v>88</v>
      </c>
      <c r="H11473" t="s">
        <v>21</v>
      </c>
      <c r="I11473" t="s">
        <v>22173</v>
      </c>
      <c r="J11473" t="str">
        <f>HYPERLINK("https://www.boe.es/gazeta/dias/1821/12/14/pdfs/GMD-1821-357.pdf#page=4","Abrir facsímil")</f>
        <v>Abrir facsímil</v>
      </c>
      <c r="K11473" t="s">
        <v>23</v>
      </c>
    </row>
    <row r="11474" spans="1:11" ht="42" customHeight="1">
      <c r="A11474" t="s">
        <v>22111</v>
      </c>
      <c r="B11474" t="s">
        <v>22111</v>
      </c>
      <c r="C11474" t="s">
        <v>26</v>
      </c>
      <c r="D11474" t="s">
        <v>27</v>
      </c>
      <c r="E11474" s="6">
        <v>-28504</v>
      </c>
      <c r="F11474" t="s">
        <v>1098</v>
      </c>
      <c r="G11474" t="s">
        <v>3862</v>
      </c>
      <c r="H11474" t="s">
        <v>21</v>
      </c>
      <c r="I11474" t="s">
        <v>22174</v>
      </c>
      <c r="J11474" t="str">
        <f>HYPERLINK("https://www.boe.es/gazeta/dias/1821/12/15/pdfs/GMD-1821-358.pdf#page=5","Abrir facsímil")</f>
        <v>Abrir facsímil</v>
      </c>
      <c r="K11474" t="s">
        <v>23</v>
      </c>
    </row>
    <row r="11475" spans="1:11" ht="42" customHeight="1">
      <c r="A11475" t="s">
        <v>22111</v>
      </c>
      <c r="B11475" t="s">
        <v>22111</v>
      </c>
      <c r="C11475" t="s">
        <v>279</v>
      </c>
      <c r="D11475" t="s">
        <v>27</v>
      </c>
      <c r="E11475" s="6">
        <v>-28500</v>
      </c>
      <c r="F11475" t="s">
        <v>298</v>
      </c>
      <c r="G11475" t="s">
        <v>299</v>
      </c>
      <c r="H11475" t="s">
        <v>21</v>
      </c>
      <c r="I11475" t="s">
        <v>22175</v>
      </c>
      <c r="J11475" t="str">
        <f>HYPERLINK("https://www.boe.es/gazeta/dias/1821/12/19/pdfs/GMD-1821-362.pdf#page=4","Abrir facsímil")</f>
        <v>Abrir facsímil</v>
      </c>
      <c r="K11475" t="s">
        <v>23</v>
      </c>
    </row>
    <row r="11476" spans="1:11" ht="42" customHeight="1">
      <c r="A11476" t="s">
        <v>22111</v>
      </c>
      <c r="B11476" t="s">
        <v>22111</v>
      </c>
      <c r="C11476" t="s">
        <v>70</v>
      </c>
      <c r="D11476" t="s">
        <v>27</v>
      </c>
      <c r="E11476" s="6">
        <v>-28499</v>
      </c>
      <c r="F11476" t="s">
        <v>954</v>
      </c>
      <c r="G11476" t="s">
        <v>20</v>
      </c>
      <c r="H11476" t="s">
        <v>21</v>
      </c>
      <c r="I11476" t="s">
        <v>22176</v>
      </c>
      <c r="J11476" t="str">
        <f>HYPERLINK("https://www.boe.es/gazeta/dias/1821/12/20/pdfs/GMD-1821-363.pdf#page=3","Abrir facsímil")</f>
        <v>Abrir facsímil</v>
      </c>
      <c r="K11476" t="s">
        <v>23</v>
      </c>
    </row>
    <row r="11477" spans="1:11" ht="42" customHeight="1">
      <c r="A11477" t="s">
        <v>22111</v>
      </c>
      <c r="B11477" t="s">
        <v>22111</v>
      </c>
      <c r="C11477" t="s">
        <v>26</v>
      </c>
      <c r="D11477" t="s">
        <v>27</v>
      </c>
      <c r="E11477" s="6">
        <v>-28489</v>
      </c>
      <c r="F11477" t="s">
        <v>3894</v>
      </c>
      <c r="G11477" t="s">
        <v>88</v>
      </c>
      <c r="H11477" t="s">
        <v>21</v>
      </c>
      <c r="I11477" t="s">
        <v>22177</v>
      </c>
      <c r="J11477" t="str">
        <f>HYPERLINK("https://www.boe.es/gazeta/dias/1821/12/30/pdfs/GMD-1821-373.pdf#page=4","Abrir facsímil")</f>
        <v>Abrir facsímil</v>
      </c>
      <c r="K11477" t="s">
        <v>23</v>
      </c>
    </row>
    <row r="11478" spans="1:11" ht="42" customHeight="1">
      <c r="A11478" t="s">
        <v>22178</v>
      </c>
      <c r="B11478" t="s">
        <v>22179</v>
      </c>
      <c r="C11478" t="s">
        <v>17</v>
      </c>
      <c r="D11478" t="s">
        <v>18</v>
      </c>
      <c r="E11478" s="6">
        <v>-28675</v>
      </c>
      <c r="F11478" t="s">
        <v>943</v>
      </c>
      <c r="G11478" t="s">
        <v>333</v>
      </c>
      <c r="H11478" t="s">
        <v>21</v>
      </c>
      <c r="I11478" t="s">
        <v>22180</v>
      </c>
      <c r="J11478" t="str">
        <f>HYPERLINK("https://www.boe.es/gazeta/dias/1821/06/27/pdfs/GMD-1821-180.pdf#page=8","Abrir facsímil")</f>
        <v>Abrir facsímil</v>
      </c>
      <c r="K11478" t="s">
        <v>23</v>
      </c>
    </row>
    <row r="11479" spans="1:11" ht="42" customHeight="1">
      <c r="A11479" t="s">
        <v>22181</v>
      </c>
      <c r="B11479" t="s">
        <v>22181</v>
      </c>
      <c r="C11479" t="s">
        <v>17</v>
      </c>
      <c r="D11479" t="s">
        <v>18</v>
      </c>
      <c r="E11479" s="6">
        <v>-28520</v>
      </c>
      <c r="F11479" t="s">
        <v>878</v>
      </c>
      <c r="G11479" t="s">
        <v>20</v>
      </c>
      <c r="H11479" t="s">
        <v>21</v>
      </c>
      <c r="I11479" t="s">
        <v>22182</v>
      </c>
      <c r="J11479" t="str">
        <f>HYPERLINK("https://www.boe.es/gazeta/dias/1821/11/29/pdfs/GMD-1821-341.pdf#page=3","Abrir facsímil")</f>
        <v>Abrir facsímil</v>
      </c>
      <c r="K11479" t="s">
        <v>23</v>
      </c>
    </row>
    <row r="11480" spans="1:11" ht="42" customHeight="1">
      <c r="A11480" t="s">
        <v>22183</v>
      </c>
      <c r="B11480" t="s">
        <v>22183</v>
      </c>
      <c r="C11480" t="s">
        <v>40</v>
      </c>
      <c r="D11480" t="s">
        <v>41</v>
      </c>
      <c r="E11480" s="6">
        <v>-28706</v>
      </c>
      <c r="F11480" t="s">
        <v>4791</v>
      </c>
      <c r="G11480" t="s">
        <v>88</v>
      </c>
      <c r="H11480" t="s">
        <v>21</v>
      </c>
      <c r="I11480" t="s">
        <v>22184</v>
      </c>
      <c r="J11480" t="str">
        <f>HYPERLINK("https://www.boe.es/gazeta/dias/1821/05/27/pdfs/GMD-1821-149.pdf#page=4","Abrir facsímil")</f>
        <v>Abrir facsímil</v>
      </c>
      <c r="K11480" t="s">
        <v>23</v>
      </c>
    </row>
    <row r="11481" spans="1:11" ht="42" customHeight="1">
      <c r="A11481" t="s">
        <v>22185</v>
      </c>
      <c r="B11481" t="s">
        <v>22186</v>
      </c>
      <c r="C11481" t="s">
        <v>70</v>
      </c>
      <c r="D11481" t="s">
        <v>27</v>
      </c>
      <c r="E11481" s="6">
        <v>-28787</v>
      </c>
      <c r="F11481" t="s">
        <v>486</v>
      </c>
      <c r="G11481" t="s">
        <v>52</v>
      </c>
      <c r="H11481" t="s">
        <v>21</v>
      </c>
      <c r="I11481" t="s">
        <v>22187</v>
      </c>
      <c r="J11481" t="str">
        <f>HYPERLINK("https://www.boe.es/gazeta/dias/1821/03/07/pdfs/GGB-1821-66.pdf#page=2","Abrir facsímil")</f>
        <v>Abrir facsímil</v>
      </c>
      <c r="K11481" t="s">
        <v>23</v>
      </c>
    </row>
    <row r="11482" spans="1:11" ht="42" customHeight="1">
      <c r="A11482" t="s">
        <v>22188</v>
      </c>
      <c r="B11482" t="s">
        <v>22188</v>
      </c>
      <c r="C11482" t="s">
        <v>26</v>
      </c>
      <c r="D11482" t="s">
        <v>27</v>
      </c>
      <c r="E11482" s="6">
        <v>-28763</v>
      </c>
      <c r="F11482" t="s">
        <v>1145</v>
      </c>
      <c r="G11482" t="s">
        <v>20</v>
      </c>
      <c r="H11482" t="s">
        <v>21</v>
      </c>
      <c r="I11482" t="s">
        <v>22189</v>
      </c>
      <c r="J11482" t="str">
        <f>HYPERLINK("https://www.boe.es/gazeta/dias/1821/03/31/pdfs/GMD-1821-92.pdf#page=3","Abrir facsímil")</f>
        <v>Abrir facsímil</v>
      </c>
      <c r="K11482" t="s">
        <v>23</v>
      </c>
    </row>
    <row r="11483" spans="1:11" ht="42" customHeight="1">
      <c r="A11483" t="s">
        <v>22190</v>
      </c>
      <c r="B11483" t="s">
        <v>22191</v>
      </c>
      <c r="C11483" t="s">
        <v>70</v>
      </c>
      <c r="D11483" t="s">
        <v>27</v>
      </c>
      <c r="E11483" s="6">
        <v>-28629</v>
      </c>
      <c r="F11483" t="s">
        <v>235</v>
      </c>
      <c r="G11483" t="s">
        <v>88</v>
      </c>
      <c r="H11483" t="s">
        <v>21</v>
      </c>
      <c r="I11483" t="s">
        <v>22192</v>
      </c>
      <c r="J11483" t="str">
        <f>HYPERLINK("https://www.boe.es/gazeta/dias/1821/08/12/pdfs/GMD-1821-229.pdf#page=4","Abrir facsímil")</f>
        <v>Abrir facsímil</v>
      </c>
      <c r="K11483" t="s">
        <v>23</v>
      </c>
    </row>
    <row r="11484" spans="1:11" ht="42" customHeight="1">
      <c r="A11484" t="s">
        <v>22193</v>
      </c>
      <c r="B11484" t="s">
        <v>22194</v>
      </c>
      <c r="C11484" t="s">
        <v>40</v>
      </c>
      <c r="D11484" t="s">
        <v>41</v>
      </c>
      <c r="E11484" s="6">
        <v>-28497</v>
      </c>
      <c r="F11484" t="s">
        <v>225</v>
      </c>
      <c r="G11484" t="s">
        <v>162</v>
      </c>
      <c r="H11484" t="s">
        <v>21</v>
      </c>
      <c r="I11484" t="s">
        <v>22195</v>
      </c>
      <c r="J11484" t="str">
        <f>HYPERLINK("https://www.boe.es/gazeta/dias/1821/12/22/pdfs/GMD-1821-365.pdf#page=5","Abrir facsímil")</f>
        <v>Abrir facsímil</v>
      </c>
      <c r="K11484" t="s">
        <v>23</v>
      </c>
    </row>
    <row r="11485" spans="1:11" ht="42" customHeight="1">
      <c r="A11485" t="s">
        <v>22196</v>
      </c>
      <c r="B11485" t="s">
        <v>22197</v>
      </c>
      <c r="C11485" t="s">
        <v>40</v>
      </c>
      <c r="D11485" t="s">
        <v>41</v>
      </c>
      <c r="E11485" s="6">
        <v>-28718</v>
      </c>
      <c r="F11485" t="s">
        <v>583</v>
      </c>
      <c r="G11485" t="s">
        <v>88</v>
      </c>
      <c r="H11485" t="s">
        <v>21</v>
      </c>
      <c r="I11485" t="s">
        <v>22198</v>
      </c>
      <c r="J11485" t="str">
        <f>HYPERLINK("https://www.boe.es/gazeta/dias/1821/05/15/pdfs/GMD-1821-137.pdf#page=4","Abrir facsímil")</f>
        <v>Abrir facsímil</v>
      </c>
      <c r="K11485" t="s">
        <v>23</v>
      </c>
    </row>
    <row r="11486" spans="1:11" ht="42" customHeight="1">
      <c r="A11486" t="s">
        <v>22199</v>
      </c>
      <c r="B11486" t="s">
        <v>22199</v>
      </c>
      <c r="C11486" t="s">
        <v>40</v>
      </c>
      <c r="D11486" t="s">
        <v>41</v>
      </c>
      <c r="E11486" s="6">
        <v>-28790</v>
      </c>
      <c r="F11486" t="s">
        <v>991</v>
      </c>
      <c r="G11486" t="s">
        <v>88</v>
      </c>
      <c r="H11486" t="s">
        <v>21</v>
      </c>
      <c r="I11486" t="s">
        <v>22200</v>
      </c>
      <c r="J11486" t="str">
        <f>HYPERLINK("https://www.boe.es/gazeta/dias/1821/03/04/pdfs/GGB-1821-63.pdf#page=4","Abrir facsímil")</f>
        <v>Abrir facsímil</v>
      </c>
      <c r="K11486" t="s">
        <v>23</v>
      </c>
    </row>
    <row r="11487" spans="1:11" ht="42" customHeight="1">
      <c r="A11487" t="s">
        <v>22199</v>
      </c>
      <c r="B11487" t="s">
        <v>22199</v>
      </c>
      <c r="C11487" t="s">
        <v>26</v>
      </c>
      <c r="D11487" t="s">
        <v>27</v>
      </c>
      <c r="E11487" s="6">
        <v>-28746</v>
      </c>
      <c r="F11487" t="s">
        <v>687</v>
      </c>
      <c r="G11487" t="s">
        <v>29</v>
      </c>
      <c r="H11487" t="s">
        <v>21</v>
      </c>
      <c r="I11487" t="s">
        <v>22201</v>
      </c>
      <c r="J11487" t="str">
        <f>HYPERLINK("https://www.boe.es/gazeta/dias/1821/04/17/pdfs/GMD-1821-109.pdf#page=6","Abrir facsímil")</f>
        <v>Abrir facsímil</v>
      </c>
      <c r="K11487" t="s">
        <v>23</v>
      </c>
    </row>
    <row r="11488" spans="1:11" ht="42" customHeight="1">
      <c r="A11488" t="s">
        <v>22199</v>
      </c>
      <c r="B11488" t="s">
        <v>22199</v>
      </c>
      <c r="C11488" t="s">
        <v>35</v>
      </c>
      <c r="D11488" t="s">
        <v>27</v>
      </c>
      <c r="E11488" s="6">
        <v>-28684</v>
      </c>
      <c r="F11488" t="s">
        <v>208</v>
      </c>
      <c r="G11488" t="s">
        <v>20</v>
      </c>
      <c r="H11488" t="s">
        <v>21</v>
      </c>
      <c r="I11488" t="s">
        <v>22202</v>
      </c>
      <c r="J11488" t="str">
        <f>HYPERLINK("https://www.boe.es/gazeta/dias/1821/06/18/pdfs/GMD-1821-171.pdf#page=3","Abrir facsímil")</f>
        <v>Abrir facsímil</v>
      </c>
      <c r="K11488" t="s">
        <v>23</v>
      </c>
    </row>
    <row r="11489" spans="1:11" ht="42" customHeight="1">
      <c r="A11489" t="s">
        <v>22203</v>
      </c>
      <c r="B11489" t="s">
        <v>22204</v>
      </c>
      <c r="C11489" t="s">
        <v>40</v>
      </c>
      <c r="D11489" t="s">
        <v>41</v>
      </c>
      <c r="E11489" s="6">
        <v>-28785</v>
      </c>
      <c r="F11489" t="s">
        <v>1935</v>
      </c>
      <c r="G11489" t="s">
        <v>20</v>
      </c>
      <c r="H11489" t="s">
        <v>21</v>
      </c>
      <c r="I11489" t="s">
        <v>22205</v>
      </c>
      <c r="J11489" t="str">
        <f>HYPERLINK("https://www.boe.es/gazeta/dias/1821/03/09/pdfs/GGB-1821-68.pdf#page=3","Abrir facsímil")</f>
        <v>Abrir facsímil</v>
      </c>
      <c r="K11489" t="s">
        <v>23</v>
      </c>
    </row>
    <row r="11490" spans="1:11" ht="42" customHeight="1">
      <c r="A11490" t="s">
        <v>22206</v>
      </c>
      <c r="B11490" t="s">
        <v>22207</v>
      </c>
      <c r="C11490" t="s">
        <v>17</v>
      </c>
      <c r="D11490" t="s">
        <v>18</v>
      </c>
      <c r="E11490" s="6">
        <v>-28668</v>
      </c>
      <c r="F11490" t="s">
        <v>2130</v>
      </c>
      <c r="G11490" t="s">
        <v>20</v>
      </c>
      <c r="H11490" t="s">
        <v>21</v>
      </c>
      <c r="I11490" t="s">
        <v>22208</v>
      </c>
      <c r="J11490" t="str">
        <f>HYPERLINK("https://www.boe.es/gazeta/dias/1821/07/04/pdfs/GMD-1821-188.pdf#page=3","Abrir facsímil")</f>
        <v>Abrir facsímil</v>
      </c>
      <c r="K11490" t="s">
        <v>23</v>
      </c>
    </row>
    <row r="11491" spans="1:11" ht="42" customHeight="1">
      <c r="A11491" t="s">
        <v>22209</v>
      </c>
      <c r="B11491" t="s">
        <v>22210</v>
      </c>
      <c r="C11491" t="s">
        <v>17</v>
      </c>
      <c r="D11491" t="s">
        <v>18</v>
      </c>
      <c r="E11491" s="6">
        <v>-28801</v>
      </c>
      <c r="F11491" t="s">
        <v>378</v>
      </c>
      <c r="G11491" t="s">
        <v>20</v>
      </c>
      <c r="H11491" t="s">
        <v>21</v>
      </c>
      <c r="I11491" t="s">
        <v>22211</v>
      </c>
      <c r="J11491" t="str">
        <f>HYPERLINK("https://www.boe.es/gazeta/dias/1821/02/21/pdfs/GGB-1821-52.pdf#page=3","Abrir facsímil")</f>
        <v>Abrir facsímil</v>
      </c>
      <c r="K11491" t="s">
        <v>23</v>
      </c>
    </row>
    <row r="11492" spans="1:11" ht="42" customHeight="1">
      <c r="A11492" t="s">
        <v>22209</v>
      </c>
      <c r="B11492" t="s">
        <v>22210</v>
      </c>
      <c r="C11492" t="s">
        <v>17</v>
      </c>
      <c r="D11492" t="s">
        <v>18</v>
      </c>
      <c r="E11492" s="6">
        <v>-28798</v>
      </c>
      <c r="F11492" t="s">
        <v>60</v>
      </c>
      <c r="G11492" t="s">
        <v>20</v>
      </c>
      <c r="H11492" t="s">
        <v>21</v>
      </c>
      <c r="I11492" t="s">
        <v>22212</v>
      </c>
      <c r="J11492" t="str">
        <f>HYPERLINK("https://www.boe.es/gazeta/dias/1821/02/24/pdfs/GGB-1821-55.pdf#page=3","Abrir facsímil")</f>
        <v>Abrir facsímil</v>
      </c>
      <c r="K11492" t="s">
        <v>23</v>
      </c>
    </row>
    <row r="11493" spans="1:11" ht="42" customHeight="1">
      <c r="A11493" t="s">
        <v>22209</v>
      </c>
      <c r="B11493" t="s">
        <v>22210</v>
      </c>
      <c r="C11493" t="s">
        <v>17</v>
      </c>
      <c r="D11493" t="s">
        <v>18</v>
      </c>
      <c r="E11493" s="6">
        <v>-28562</v>
      </c>
      <c r="F11493" t="s">
        <v>3093</v>
      </c>
      <c r="G11493" t="s">
        <v>88</v>
      </c>
      <c r="H11493" t="s">
        <v>21</v>
      </c>
      <c r="I11493" t="s">
        <v>22213</v>
      </c>
      <c r="J11493" t="str">
        <f>HYPERLINK("https://www.boe.es/gazeta/dias/1821/10/18/pdfs/GMD-1821-297.pdf#page=4","Abrir facsímil")</f>
        <v>Abrir facsímil</v>
      </c>
      <c r="K11493" t="s">
        <v>23</v>
      </c>
    </row>
    <row r="11494" spans="1:11" ht="42" customHeight="1">
      <c r="A11494" t="s">
        <v>22214</v>
      </c>
      <c r="B11494" t="s">
        <v>22215</v>
      </c>
      <c r="C11494" t="s">
        <v>40</v>
      </c>
      <c r="D11494" t="s">
        <v>41</v>
      </c>
      <c r="E11494" s="6">
        <v>-28517</v>
      </c>
      <c r="F11494" t="s">
        <v>563</v>
      </c>
      <c r="G11494" t="s">
        <v>43</v>
      </c>
      <c r="H11494" t="s">
        <v>21</v>
      </c>
      <c r="I11494" t="s">
        <v>22216</v>
      </c>
      <c r="J11494" t="str">
        <f>HYPERLINK("https://www.boe.es/gazeta/dias/1821/12/02/pdfs/GMD-1821-344.pdf#page=1","Abrir facsímil")</f>
        <v>Abrir facsímil</v>
      </c>
      <c r="K11494" t="s">
        <v>23</v>
      </c>
    </row>
    <row r="11495" spans="1:11" ht="42" customHeight="1">
      <c r="A11495" t="s">
        <v>22217</v>
      </c>
      <c r="B11495" t="s">
        <v>22218</v>
      </c>
      <c r="C11495" t="s">
        <v>17</v>
      </c>
      <c r="D11495" t="s">
        <v>18</v>
      </c>
      <c r="E11495" s="6">
        <v>-28518</v>
      </c>
      <c r="F11495" t="s">
        <v>410</v>
      </c>
      <c r="G11495" t="s">
        <v>20</v>
      </c>
      <c r="H11495" t="s">
        <v>21</v>
      </c>
      <c r="I11495" t="s">
        <v>22219</v>
      </c>
      <c r="J11495" t="str">
        <f>HYPERLINK("https://www.boe.es/gazeta/dias/1821/12/01/pdfs/GMD-1821-343.pdf#page=3","Abrir facsímil")</f>
        <v>Abrir facsímil</v>
      </c>
      <c r="K11495" t="s">
        <v>23</v>
      </c>
    </row>
    <row r="11496" spans="1:11" ht="42" customHeight="1">
      <c r="A11496" t="s">
        <v>22217</v>
      </c>
      <c r="B11496" t="s">
        <v>22218</v>
      </c>
      <c r="C11496" t="s">
        <v>17</v>
      </c>
      <c r="D11496" t="s">
        <v>18</v>
      </c>
      <c r="E11496" s="6">
        <v>-28513</v>
      </c>
      <c r="F11496" t="s">
        <v>502</v>
      </c>
      <c r="G11496" t="s">
        <v>20</v>
      </c>
      <c r="H11496" t="s">
        <v>21</v>
      </c>
      <c r="I11496" t="s">
        <v>22220</v>
      </c>
      <c r="J11496" t="str">
        <f>HYPERLINK("https://www.boe.es/gazeta/dias/1821/12/06/pdfs/GMD-1821-348.pdf#page=3","Abrir facsímil")</f>
        <v>Abrir facsímil</v>
      </c>
      <c r="K11496" t="s">
        <v>23</v>
      </c>
    </row>
    <row r="11497" spans="1:11" ht="42" customHeight="1">
      <c r="A11497" t="s">
        <v>22221</v>
      </c>
      <c r="B11497" t="s">
        <v>22221</v>
      </c>
      <c r="C11497" t="s">
        <v>26</v>
      </c>
      <c r="D11497" t="s">
        <v>27</v>
      </c>
      <c r="E11497" s="6">
        <v>-28634</v>
      </c>
      <c r="F11497" t="s">
        <v>2533</v>
      </c>
      <c r="G11497" t="s">
        <v>52</v>
      </c>
      <c r="H11497" t="s">
        <v>21</v>
      </c>
      <c r="I11497" t="s">
        <v>22222</v>
      </c>
      <c r="J11497" t="str">
        <f>HYPERLINK("https://www.boe.es/gazeta/dias/1821/08/07/pdfs/GMD-1821-223.pdf#page=2","Abrir facsímil")</f>
        <v>Abrir facsímil</v>
      </c>
      <c r="K11497" t="s">
        <v>23</v>
      </c>
    </row>
    <row r="11498" spans="1:11" ht="42" customHeight="1">
      <c r="A11498" t="s">
        <v>22223</v>
      </c>
      <c r="B11498" t="s">
        <v>22224</v>
      </c>
      <c r="C11498" t="s">
        <v>26</v>
      </c>
      <c r="D11498" t="s">
        <v>27</v>
      </c>
      <c r="E11498" s="6">
        <v>-28528</v>
      </c>
      <c r="F11498" t="s">
        <v>1872</v>
      </c>
      <c r="G11498" t="s">
        <v>52</v>
      </c>
      <c r="H11498" t="s">
        <v>21</v>
      </c>
      <c r="I11498" t="s">
        <v>22225</v>
      </c>
      <c r="J11498" t="str">
        <f>HYPERLINK("https://www.boe.es/gazeta/dias/1821/11/21/pdfs/GMD-1821-332.pdf#page=2","Abrir facsímil")</f>
        <v>Abrir facsímil</v>
      </c>
      <c r="K11498" t="s">
        <v>23</v>
      </c>
    </row>
    <row r="11499" spans="1:11" ht="42" customHeight="1">
      <c r="A11499" t="s">
        <v>22226</v>
      </c>
      <c r="B11499" t="s">
        <v>22226</v>
      </c>
      <c r="C11499" t="s">
        <v>40</v>
      </c>
      <c r="D11499" t="s">
        <v>41</v>
      </c>
      <c r="E11499" s="6">
        <v>-28556</v>
      </c>
      <c r="F11499" t="s">
        <v>264</v>
      </c>
      <c r="G11499" t="s">
        <v>43</v>
      </c>
      <c r="H11499" t="s">
        <v>21</v>
      </c>
      <c r="I11499" t="s">
        <v>22227</v>
      </c>
      <c r="J11499" t="str">
        <f>HYPERLINK("https://www.boe.es/gazeta/dias/1821/10/24/pdfs/GMD-1821-303.pdf#page=1","Abrir facsímil")</f>
        <v>Abrir facsímil</v>
      </c>
      <c r="K11499" t="s">
        <v>23</v>
      </c>
    </row>
    <row r="11500" spans="1:11" ht="42" customHeight="1">
      <c r="A11500" t="s">
        <v>22228</v>
      </c>
      <c r="B11500" t="s">
        <v>22228</v>
      </c>
      <c r="C11500" t="s">
        <v>40</v>
      </c>
      <c r="D11500" t="s">
        <v>41</v>
      </c>
      <c r="E11500" s="6">
        <v>-28576</v>
      </c>
      <c r="F11500" t="s">
        <v>1924</v>
      </c>
      <c r="G11500" t="s">
        <v>43</v>
      </c>
      <c r="H11500" t="s">
        <v>21</v>
      </c>
      <c r="I11500" t="s">
        <v>22229</v>
      </c>
      <c r="J11500" t="str">
        <f>HYPERLINK("https://www.boe.es/gazeta/dias/1821/10/04/pdfs/GMD-1821-283.pdf#page=1","Abrir facsímil")</f>
        <v>Abrir facsímil</v>
      </c>
      <c r="K11500" t="s">
        <v>23</v>
      </c>
    </row>
    <row r="11501" spans="1:11" ht="42" customHeight="1">
      <c r="A11501" t="s">
        <v>22230</v>
      </c>
      <c r="B11501" t="s">
        <v>22231</v>
      </c>
      <c r="C11501" t="s">
        <v>17</v>
      </c>
      <c r="D11501" t="s">
        <v>18</v>
      </c>
      <c r="E11501" s="6">
        <v>-28776</v>
      </c>
      <c r="F11501" t="s">
        <v>312</v>
      </c>
      <c r="G11501" t="s">
        <v>88</v>
      </c>
      <c r="H11501" t="s">
        <v>21</v>
      </c>
      <c r="I11501" t="s">
        <v>22232</v>
      </c>
      <c r="J11501" t="str">
        <f>HYPERLINK("https://www.boe.es/gazeta/dias/1821/03/18/pdfs/GMD-1821-77.pdf#page=4","Abrir facsímil")</f>
        <v>Abrir facsímil</v>
      </c>
      <c r="K11501" t="s">
        <v>23</v>
      </c>
    </row>
    <row r="11502" spans="1:11" ht="42" customHeight="1">
      <c r="A11502" t="s">
        <v>22233</v>
      </c>
      <c r="B11502" t="s">
        <v>22233</v>
      </c>
      <c r="C11502" t="s">
        <v>26</v>
      </c>
      <c r="D11502" t="s">
        <v>27</v>
      </c>
      <c r="E11502" s="6">
        <v>-28753</v>
      </c>
      <c r="F11502" t="s">
        <v>720</v>
      </c>
      <c r="G11502" t="s">
        <v>20</v>
      </c>
      <c r="H11502" t="s">
        <v>21</v>
      </c>
      <c r="I11502" t="s">
        <v>22234</v>
      </c>
      <c r="J11502" t="str">
        <f>HYPERLINK("https://www.boe.es/gazeta/dias/1821/04/10/pdfs/GMD-1821-102.pdf#page=3","Abrir facsímil")</f>
        <v>Abrir facsímil</v>
      </c>
      <c r="K11502" t="s">
        <v>23</v>
      </c>
    </row>
    <row r="11503" spans="1:11" ht="42" customHeight="1">
      <c r="A11503" t="s">
        <v>22235</v>
      </c>
      <c r="B11503" t="s">
        <v>22235</v>
      </c>
      <c r="C11503" t="s">
        <v>17</v>
      </c>
      <c r="D11503" t="s">
        <v>18</v>
      </c>
      <c r="E11503" s="6">
        <v>-28790</v>
      </c>
      <c r="F11503" t="s">
        <v>991</v>
      </c>
      <c r="G11503" t="s">
        <v>88</v>
      </c>
      <c r="H11503" t="s">
        <v>21</v>
      </c>
      <c r="I11503" t="s">
        <v>22236</v>
      </c>
      <c r="J11503" t="str">
        <f>HYPERLINK("https://www.boe.es/gazeta/dias/1821/03/04/pdfs/GGB-1821-63.pdf#page=4","Abrir facsímil")</f>
        <v>Abrir facsímil</v>
      </c>
      <c r="K11503" t="s">
        <v>23</v>
      </c>
    </row>
    <row r="11504" spans="1:11" ht="42" customHeight="1">
      <c r="A11504" t="s">
        <v>22235</v>
      </c>
      <c r="B11504" t="s">
        <v>22235</v>
      </c>
      <c r="C11504" t="s">
        <v>26</v>
      </c>
      <c r="D11504" t="s">
        <v>27</v>
      </c>
      <c r="E11504" s="6">
        <v>-28789</v>
      </c>
      <c r="F11504" t="s">
        <v>36</v>
      </c>
      <c r="G11504" t="s">
        <v>20</v>
      </c>
      <c r="H11504" t="s">
        <v>21</v>
      </c>
      <c r="I11504" t="s">
        <v>22237</v>
      </c>
      <c r="J11504" t="str">
        <f>HYPERLINK("https://www.boe.es/gazeta/dias/1821/03/05/pdfs/GGB-1821-64.pdf#page=3","Abrir facsímil")</f>
        <v>Abrir facsímil</v>
      </c>
      <c r="K11504" t="s">
        <v>23</v>
      </c>
    </row>
    <row r="11505" spans="1:11" ht="42" customHeight="1">
      <c r="A11505" t="s">
        <v>22235</v>
      </c>
      <c r="B11505" t="s">
        <v>22235</v>
      </c>
      <c r="C11505" t="s">
        <v>40</v>
      </c>
      <c r="D11505" t="s">
        <v>41</v>
      </c>
      <c r="E11505" s="6">
        <v>-28788</v>
      </c>
      <c r="F11505" t="s">
        <v>996</v>
      </c>
      <c r="G11505" t="s">
        <v>20</v>
      </c>
      <c r="H11505" t="s">
        <v>21</v>
      </c>
      <c r="I11505" t="s">
        <v>22238</v>
      </c>
      <c r="J11505" t="str">
        <f>HYPERLINK("https://www.boe.es/gazeta/dias/1821/03/06/pdfs/GGB-1821-65.pdf#page=3","Abrir facsímil")</f>
        <v>Abrir facsímil</v>
      </c>
      <c r="K11505" t="s">
        <v>23</v>
      </c>
    </row>
    <row r="11506" spans="1:11" ht="42" customHeight="1">
      <c r="A11506" t="s">
        <v>22235</v>
      </c>
      <c r="B11506" t="s">
        <v>22235</v>
      </c>
      <c r="C11506" t="s">
        <v>35</v>
      </c>
      <c r="D11506" t="s">
        <v>27</v>
      </c>
      <c r="E11506" s="6">
        <v>-28781</v>
      </c>
      <c r="F11506" t="s">
        <v>149</v>
      </c>
      <c r="G11506" t="s">
        <v>88</v>
      </c>
      <c r="H11506" t="s">
        <v>21</v>
      </c>
      <c r="I11506" t="s">
        <v>22239</v>
      </c>
      <c r="J11506" t="str">
        <f>HYPERLINK("https://www.boe.es/gazeta/dias/1821/03/13/pdfs/GMD-1821-72.pdf#page=4","Abrir facsímil")</f>
        <v>Abrir facsímil</v>
      </c>
      <c r="K11506" t="s">
        <v>23</v>
      </c>
    </row>
    <row r="11507" spans="1:11" ht="42" customHeight="1">
      <c r="A11507" t="s">
        <v>22235</v>
      </c>
      <c r="B11507" t="s">
        <v>22235</v>
      </c>
      <c r="C11507" t="s">
        <v>17</v>
      </c>
      <c r="D11507" t="s">
        <v>18</v>
      </c>
      <c r="E11507" s="6">
        <v>-28778</v>
      </c>
      <c r="F11507" t="s">
        <v>1301</v>
      </c>
      <c r="G11507" t="s">
        <v>162</v>
      </c>
      <c r="H11507" t="s">
        <v>21</v>
      </c>
      <c r="I11507" t="s">
        <v>22240</v>
      </c>
      <c r="J11507" t="str">
        <f>HYPERLINK("https://www.boe.es/gazeta/dias/1821/03/16/pdfs/GMD-1821-75.pdf#page=5","Abrir facsímil")</f>
        <v>Abrir facsímil</v>
      </c>
      <c r="K11507" t="s">
        <v>23</v>
      </c>
    </row>
    <row r="11508" spans="1:11" ht="42" customHeight="1">
      <c r="A11508" t="s">
        <v>22235</v>
      </c>
      <c r="B11508" t="s">
        <v>22235</v>
      </c>
      <c r="C11508" t="s">
        <v>114</v>
      </c>
      <c r="D11508" t="s">
        <v>27</v>
      </c>
      <c r="E11508" s="6">
        <v>-28778</v>
      </c>
      <c r="F11508" t="s">
        <v>1301</v>
      </c>
      <c r="G11508" t="s">
        <v>29</v>
      </c>
      <c r="H11508" t="s">
        <v>21</v>
      </c>
      <c r="I11508" t="s">
        <v>22241</v>
      </c>
      <c r="J11508" t="str">
        <f>HYPERLINK("https://www.boe.es/gazeta/dias/1821/03/16/pdfs/GMD-1821-75.pdf#page=6","Abrir facsímil")</f>
        <v>Abrir facsímil</v>
      </c>
      <c r="K11508" t="s">
        <v>23</v>
      </c>
    </row>
    <row r="11509" spans="1:11" ht="42" customHeight="1">
      <c r="A11509" t="s">
        <v>22235</v>
      </c>
      <c r="B11509" t="s">
        <v>22235</v>
      </c>
      <c r="C11509" t="s">
        <v>17</v>
      </c>
      <c r="D11509" t="s">
        <v>18</v>
      </c>
      <c r="E11509" s="6">
        <v>-28777</v>
      </c>
      <c r="F11509" t="s">
        <v>1004</v>
      </c>
      <c r="G11509" t="s">
        <v>88</v>
      </c>
      <c r="H11509" t="s">
        <v>21</v>
      </c>
      <c r="I11509" t="s">
        <v>22242</v>
      </c>
      <c r="J11509" t="str">
        <f>HYPERLINK("https://www.boe.es/gazeta/dias/1821/03/17/pdfs/GMD-1821-76.pdf#page=4","Abrir facsímil")</f>
        <v>Abrir facsímil</v>
      </c>
      <c r="K11509" t="s">
        <v>23</v>
      </c>
    </row>
    <row r="11510" spans="1:11" ht="42" customHeight="1">
      <c r="A11510" t="s">
        <v>22243</v>
      </c>
      <c r="B11510" t="s">
        <v>22243</v>
      </c>
      <c r="C11510" t="s">
        <v>40</v>
      </c>
      <c r="D11510" t="s">
        <v>41</v>
      </c>
      <c r="E11510" s="6">
        <v>-28752</v>
      </c>
      <c r="F11510" t="s">
        <v>1012</v>
      </c>
      <c r="G11510" t="s">
        <v>52</v>
      </c>
      <c r="H11510" t="s">
        <v>21</v>
      </c>
      <c r="I11510" t="s">
        <v>22244</v>
      </c>
      <c r="J11510" t="str">
        <f>HYPERLINK("https://www.boe.es/gazeta/dias/1821/04/11/pdfs/GMD-1821-103.pdf#page=2","Abrir facsímil")</f>
        <v>Abrir facsímil</v>
      </c>
      <c r="K11510" t="s">
        <v>23</v>
      </c>
    </row>
    <row r="11511" spans="1:11" ht="42" customHeight="1">
      <c r="A11511" t="s">
        <v>22235</v>
      </c>
      <c r="B11511" t="s">
        <v>22235</v>
      </c>
      <c r="C11511" t="s">
        <v>40</v>
      </c>
      <c r="D11511" t="s">
        <v>41</v>
      </c>
      <c r="E11511" s="6">
        <v>-28745</v>
      </c>
      <c r="F11511" t="s">
        <v>1020</v>
      </c>
      <c r="G11511" t="s">
        <v>20</v>
      </c>
      <c r="H11511" t="s">
        <v>21</v>
      </c>
      <c r="I11511" t="s">
        <v>22245</v>
      </c>
      <c r="J11511" t="str">
        <f>HYPERLINK("https://www.boe.es/gazeta/dias/1821/04/18/pdfs/GMD-1821-110.pdf#page=3","Abrir facsímil")</f>
        <v>Abrir facsímil</v>
      </c>
      <c r="K11511" t="s">
        <v>23</v>
      </c>
    </row>
    <row r="11512" spans="1:11" ht="42" customHeight="1">
      <c r="A11512" t="s">
        <v>22235</v>
      </c>
      <c r="B11512" t="s">
        <v>22235</v>
      </c>
      <c r="C11512" t="s">
        <v>40</v>
      </c>
      <c r="D11512" t="s">
        <v>41</v>
      </c>
      <c r="E11512" s="6">
        <v>-28689</v>
      </c>
      <c r="F11512" t="s">
        <v>194</v>
      </c>
      <c r="G11512" t="s">
        <v>205</v>
      </c>
      <c r="H11512" t="s">
        <v>21</v>
      </c>
      <c r="I11512" t="s">
        <v>22246</v>
      </c>
      <c r="J11512" t="str">
        <f>HYPERLINK("https://www.boe.es/gazeta/dias/1821/06/13/pdfs/GMD-1821-166.pdf#page=6","Abrir facsímil")</f>
        <v>Abrir facsímil</v>
      </c>
      <c r="K11512" t="s">
        <v>23</v>
      </c>
    </row>
    <row r="11513" spans="1:11" ht="42" customHeight="1">
      <c r="A11513" t="s">
        <v>22235</v>
      </c>
      <c r="B11513" t="s">
        <v>22235</v>
      </c>
      <c r="C11513" t="s">
        <v>26</v>
      </c>
      <c r="D11513" t="s">
        <v>27</v>
      </c>
      <c r="E11513" s="6">
        <v>-28677</v>
      </c>
      <c r="F11513" t="s">
        <v>361</v>
      </c>
      <c r="G11513" t="s">
        <v>20</v>
      </c>
      <c r="H11513" t="s">
        <v>21</v>
      </c>
      <c r="I11513" t="s">
        <v>22247</v>
      </c>
      <c r="J11513" t="str">
        <f>HYPERLINK("https://www.boe.es/gazeta/dias/1821/06/25/pdfs/GMD-1821-178.pdf#page=3","Abrir facsímil")</f>
        <v>Abrir facsímil</v>
      </c>
      <c r="K11513" t="s">
        <v>23</v>
      </c>
    </row>
    <row r="11514" spans="1:11" ht="42" customHeight="1">
      <c r="A11514" t="s">
        <v>22235</v>
      </c>
      <c r="B11514" t="s">
        <v>22235</v>
      </c>
      <c r="C11514" t="s">
        <v>26</v>
      </c>
      <c r="D11514" t="s">
        <v>27</v>
      </c>
      <c r="E11514" s="6">
        <v>-28580</v>
      </c>
      <c r="F11514" t="s">
        <v>175</v>
      </c>
      <c r="G11514" t="s">
        <v>20</v>
      </c>
      <c r="H11514" t="s">
        <v>21</v>
      </c>
      <c r="I11514" t="s">
        <v>22248</v>
      </c>
      <c r="J11514" t="str">
        <f>HYPERLINK("https://www.boe.es/gazeta/dias/1821/09/30/pdfs/GMD-1821-279.pdf#page=3","Abrir facsímil")</f>
        <v>Abrir facsímil</v>
      </c>
      <c r="K11514" t="s">
        <v>23</v>
      </c>
    </row>
    <row r="11515" spans="1:11" ht="42" customHeight="1">
      <c r="A11515" t="s">
        <v>22235</v>
      </c>
      <c r="B11515" t="s">
        <v>22235</v>
      </c>
      <c r="C11515" t="s">
        <v>26</v>
      </c>
      <c r="D11515" t="s">
        <v>27</v>
      </c>
      <c r="E11515" s="6">
        <v>-28579</v>
      </c>
      <c r="F11515" t="s">
        <v>743</v>
      </c>
      <c r="G11515" t="s">
        <v>88</v>
      </c>
      <c r="H11515" t="s">
        <v>21</v>
      </c>
      <c r="I11515" t="s">
        <v>22249</v>
      </c>
      <c r="J11515" t="str">
        <f>HYPERLINK("https://www.boe.es/gazeta/dias/1821/10/01/pdfs/GMD-1821-280.pdf#page=4","Abrir facsímil")</f>
        <v>Abrir facsímil</v>
      </c>
      <c r="K11515" t="s">
        <v>23</v>
      </c>
    </row>
    <row r="11516" spans="1:11" ht="42" customHeight="1">
      <c r="A11516" t="s">
        <v>22235</v>
      </c>
      <c r="B11516" t="s">
        <v>22235</v>
      </c>
      <c r="C11516" t="s">
        <v>17</v>
      </c>
      <c r="D11516" t="s">
        <v>18</v>
      </c>
      <c r="E11516" s="6">
        <v>-28577</v>
      </c>
      <c r="F11516" t="s">
        <v>858</v>
      </c>
      <c r="G11516" t="s">
        <v>20</v>
      </c>
      <c r="H11516" t="s">
        <v>21</v>
      </c>
      <c r="I11516" t="s">
        <v>22250</v>
      </c>
      <c r="J11516" t="str">
        <f>HYPERLINK("https://www.boe.es/gazeta/dias/1821/10/03/pdfs/GMD-1821-282.pdf#page=3","Abrir facsímil")</f>
        <v>Abrir facsímil</v>
      </c>
      <c r="K11516" t="s">
        <v>23</v>
      </c>
    </row>
    <row r="11517" spans="1:11" ht="42" customHeight="1">
      <c r="A11517" t="s">
        <v>22251</v>
      </c>
      <c r="B11517" t="s">
        <v>22251</v>
      </c>
      <c r="C11517" t="s">
        <v>40</v>
      </c>
      <c r="D11517" t="s">
        <v>41</v>
      </c>
      <c r="E11517" s="6">
        <v>-28567</v>
      </c>
      <c r="F11517" t="s">
        <v>217</v>
      </c>
      <c r="G11517" t="s">
        <v>52</v>
      </c>
      <c r="H11517" t="s">
        <v>21</v>
      </c>
      <c r="I11517" t="s">
        <v>22252</v>
      </c>
      <c r="J11517" t="str">
        <f>HYPERLINK("https://www.boe.es/gazeta/dias/1821/10/13/pdfs/GMD-1821-292.pdf#page=2","Abrir facsímil")</f>
        <v>Abrir facsímil</v>
      </c>
      <c r="K11517" t="s">
        <v>23</v>
      </c>
    </row>
    <row r="11518" spans="1:11" ht="42" customHeight="1">
      <c r="A11518" t="s">
        <v>22235</v>
      </c>
      <c r="B11518" t="s">
        <v>22235</v>
      </c>
      <c r="C11518" t="s">
        <v>26</v>
      </c>
      <c r="D11518" t="s">
        <v>27</v>
      </c>
      <c r="E11518" s="6">
        <v>-28560</v>
      </c>
      <c r="F11518" t="s">
        <v>363</v>
      </c>
      <c r="G11518" t="s">
        <v>88</v>
      </c>
      <c r="H11518" t="s">
        <v>21</v>
      </c>
      <c r="I11518" t="s">
        <v>22253</v>
      </c>
      <c r="J11518" t="str">
        <f>HYPERLINK("https://www.boe.es/gazeta/dias/1821/10/20/pdfs/GMD-1821-299.pdf#page=4","Abrir facsímil")</f>
        <v>Abrir facsímil</v>
      </c>
      <c r="K11518" t="s">
        <v>23</v>
      </c>
    </row>
    <row r="11519" spans="1:11" ht="42" customHeight="1">
      <c r="A11519" t="s">
        <v>22235</v>
      </c>
      <c r="B11519" t="s">
        <v>22235</v>
      </c>
      <c r="C11519" t="s">
        <v>35</v>
      </c>
      <c r="D11519" t="s">
        <v>27</v>
      </c>
      <c r="E11519" s="6">
        <v>-28555</v>
      </c>
      <c r="F11519" t="s">
        <v>219</v>
      </c>
      <c r="G11519" t="s">
        <v>162</v>
      </c>
      <c r="H11519" t="s">
        <v>21</v>
      </c>
      <c r="I11519" t="s">
        <v>22254</v>
      </c>
      <c r="J11519" t="str">
        <f>HYPERLINK("https://www.boe.es/gazeta/dias/1821/10/25/pdfs/GMD-1821-304.pdf#page=5","Abrir facsímil")</f>
        <v>Abrir facsímil</v>
      </c>
      <c r="K11519" t="s">
        <v>23</v>
      </c>
    </row>
    <row r="11520" spans="1:11" ht="42" customHeight="1">
      <c r="A11520" t="s">
        <v>22255</v>
      </c>
      <c r="B11520" t="s">
        <v>22255</v>
      </c>
      <c r="C11520" t="s">
        <v>26</v>
      </c>
      <c r="D11520" t="s">
        <v>27</v>
      </c>
      <c r="E11520" s="6">
        <v>-28527</v>
      </c>
      <c r="F11520" t="s">
        <v>328</v>
      </c>
      <c r="G11520" t="s">
        <v>20</v>
      </c>
      <c r="H11520" t="s">
        <v>21</v>
      </c>
      <c r="I11520" t="s">
        <v>22256</v>
      </c>
      <c r="J11520" t="str">
        <f>HYPERLINK("https://www.boe.es/gazeta/dias/1821/11/22/pdfs/GMD-1821-333.pdf#page=3","Abrir facsímil")</f>
        <v>Abrir facsímil</v>
      </c>
      <c r="K11520" t="s">
        <v>23</v>
      </c>
    </row>
    <row r="11521" spans="1:11" ht="42" customHeight="1">
      <c r="A11521" t="s">
        <v>22235</v>
      </c>
      <c r="B11521" t="s">
        <v>22235</v>
      </c>
      <c r="C11521" t="s">
        <v>35</v>
      </c>
      <c r="D11521" t="s">
        <v>27</v>
      </c>
      <c r="E11521" s="6">
        <v>-28490</v>
      </c>
      <c r="F11521" t="s">
        <v>801</v>
      </c>
      <c r="G11521" t="s">
        <v>52</v>
      </c>
      <c r="H11521" t="s">
        <v>21</v>
      </c>
      <c r="I11521" t="s">
        <v>22257</v>
      </c>
      <c r="J11521" t="str">
        <f>HYPERLINK("https://www.boe.es/gazeta/dias/1821/12/29/pdfs/GMD-1821-372.pdf#page=2","Abrir facsímil")</f>
        <v>Abrir facsímil</v>
      </c>
      <c r="K11521" t="s">
        <v>23</v>
      </c>
    </row>
    <row r="11522" spans="1:11" ht="42" customHeight="1">
      <c r="A11522" t="s">
        <v>22258</v>
      </c>
      <c r="B11522" t="s">
        <v>22259</v>
      </c>
      <c r="C11522" t="s">
        <v>17</v>
      </c>
      <c r="D11522" t="s">
        <v>18</v>
      </c>
      <c r="E11522" s="6">
        <v>-28647</v>
      </c>
      <c r="F11522" t="s">
        <v>1295</v>
      </c>
      <c r="G11522" t="s">
        <v>88</v>
      </c>
      <c r="H11522" t="s">
        <v>21</v>
      </c>
      <c r="I11522" t="s">
        <v>22260</v>
      </c>
      <c r="J11522" t="str">
        <f>HYPERLINK("https://www.boe.es/gazeta/dias/1821/07/25/pdfs/GMD-1821-210.pdf#page=4","Abrir facsímil")</f>
        <v>Abrir facsímil</v>
      </c>
      <c r="K11522" t="s">
        <v>23</v>
      </c>
    </row>
    <row r="11523" spans="1:11" ht="42" customHeight="1">
      <c r="A11523" t="s">
        <v>22261</v>
      </c>
      <c r="B11523" t="s">
        <v>22262</v>
      </c>
      <c r="C11523" t="s">
        <v>17</v>
      </c>
      <c r="D11523" t="s">
        <v>18</v>
      </c>
      <c r="E11523" s="6">
        <v>-28801</v>
      </c>
      <c r="F11523" t="s">
        <v>378</v>
      </c>
      <c r="G11523" t="s">
        <v>20</v>
      </c>
      <c r="H11523" t="s">
        <v>21</v>
      </c>
      <c r="I11523" t="s">
        <v>22263</v>
      </c>
      <c r="J11523" t="str">
        <f>HYPERLINK("https://www.boe.es/gazeta/dias/1821/02/21/pdfs/GGB-1821-52.pdf#page=3","Abrir facsímil")</f>
        <v>Abrir facsímil</v>
      </c>
      <c r="K11523" t="s">
        <v>23</v>
      </c>
    </row>
    <row r="11524" spans="1:11" ht="42" customHeight="1">
      <c r="A11524" t="s">
        <v>22264</v>
      </c>
      <c r="B11524" t="s">
        <v>22264</v>
      </c>
      <c r="C11524" t="s">
        <v>17</v>
      </c>
      <c r="D11524" t="s">
        <v>18</v>
      </c>
      <c r="E11524" s="6">
        <v>-28524</v>
      </c>
      <c r="F11524" t="s">
        <v>874</v>
      </c>
      <c r="G11524" t="s">
        <v>875</v>
      </c>
      <c r="H11524" t="s">
        <v>21</v>
      </c>
      <c r="I11524" t="s">
        <v>22265</v>
      </c>
      <c r="J11524" t="str">
        <f>HYPERLINK("https://www.boe.es/gazeta/dias/1821/11/25/pdfs/GMD-1821-336.pdf#page=3","Abrir facsímil")</f>
        <v>Abrir facsímil</v>
      </c>
      <c r="K11524" t="s">
        <v>23</v>
      </c>
    </row>
    <row r="11525" spans="1:11" ht="42" customHeight="1">
      <c r="A11525" t="s">
        <v>22266</v>
      </c>
      <c r="B11525" t="s">
        <v>22266</v>
      </c>
      <c r="C11525" t="s">
        <v>40</v>
      </c>
      <c r="D11525" t="s">
        <v>41</v>
      </c>
      <c r="E11525" s="6">
        <v>-28791</v>
      </c>
      <c r="F11525" t="s">
        <v>47</v>
      </c>
      <c r="G11525" t="s">
        <v>88</v>
      </c>
      <c r="H11525" t="s">
        <v>21</v>
      </c>
      <c r="I11525" t="s">
        <v>22267</v>
      </c>
      <c r="J11525" t="str">
        <f>HYPERLINK("https://www.boe.es/gazeta/dias/1821/03/03/pdfs/GGB-1821-62.pdf#page=4","Abrir facsímil")</f>
        <v>Abrir facsímil</v>
      </c>
      <c r="K11525" t="s">
        <v>23</v>
      </c>
    </row>
    <row r="11526" spans="1:11" ht="42" customHeight="1">
      <c r="A11526" t="s">
        <v>22268</v>
      </c>
      <c r="B11526" t="s">
        <v>22268</v>
      </c>
      <c r="C11526" t="s">
        <v>40</v>
      </c>
      <c r="D11526" t="s">
        <v>41</v>
      </c>
      <c r="E11526" s="6">
        <v>-28676</v>
      </c>
      <c r="F11526" t="s">
        <v>534</v>
      </c>
      <c r="G11526" t="s">
        <v>52</v>
      </c>
      <c r="H11526" t="s">
        <v>21</v>
      </c>
      <c r="I11526" t="s">
        <v>22269</v>
      </c>
      <c r="J11526" t="str">
        <f>HYPERLINK("https://www.boe.es/gazeta/dias/1821/06/26/pdfs/GMD-1821-179.pdf#page=2","Abrir facsímil")</f>
        <v>Abrir facsímil</v>
      </c>
      <c r="K11526" t="s">
        <v>23</v>
      </c>
    </row>
    <row r="11527" spans="1:11" ht="42" customHeight="1">
      <c r="A11527" t="s">
        <v>22270</v>
      </c>
      <c r="B11527" t="s">
        <v>22270</v>
      </c>
      <c r="C11527" t="s">
        <v>40</v>
      </c>
      <c r="D11527" t="s">
        <v>41</v>
      </c>
      <c r="E11527" s="6">
        <v>-28527</v>
      </c>
      <c r="F11527" t="s">
        <v>328</v>
      </c>
      <c r="G11527" t="s">
        <v>6605</v>
      </c>
      <c r="H11527" t="s">
        <v>21</v>
      </c>
      <c r="I11527" t="s">
        <v>22271</v>
      </c>
      <c r="J11527" t="str">
        <f>HYPERLINK("https://www.boe.es/gazeta/dias/1821/11/22/pdfs/GMD-1821-333.pdf#page=2","Abrir facsímil")</f>
        <v>Abrir facsímil</v>
      </c>
      <c r="K11527" t="s">
        <v>23</v>
      </c>
    </row>
    <row r="11528" spans="1:11" ht="42" customHeight="1">
      <c r="A11528" t="s">
        <v>22272</v>
      </c>
      <c r="B11528" t="s">
        <v>22273</v>
      </c>
      <c r="C11528" t="s">
        <v>35</v>
      </c>
      <c r="D11528" t="s">
        <v>27</v>
      </c>
      <c r="E11528" s="6">
        <v>-28691</v>
      </c>
      <c r="F11528" t="s">
        <v>716</v>
      </c>
      <c r="G11528" t="s">
        <v>52</v>
      </c>
      <c r="H11528" t="s">
        <v>21</v>
      </c>
      <c r="I11528" t="s">
        <v>22274</v>
      </c>
      <c r="J11528" t="str">
        <f>HYPERLINK("https://www.boe.es/gazeta/dias/1821/06/11/pdfs/GMD-1821-164.pdf#page=2","Abrir facsímil")</f>
        <v>Abrir facsímil</v>
      </c>
      <c r="K11528" t="s">
        <v>23</v>
      </c>
    </row>
    <row r="11529" spans="1:11" ht="42" customHeight="1">
      <c r="A11529" t="s">
        <v>22275</v>
      </c>
      <c r="B11529" t="s">
        <v>22275</v>
      </c>
      <c r="C11529" t="s">
        <v>70</v>
      </c>
      <c r="D11529" t="s">
        <v>27</v>
      </c>
      <c r="E11529" s="6">
        <v>-28714</v>
      </c>
      <c r="F11529" t="s">
        <v>522</v>
      </c>
      <c r="G11529" t="s">
        <v>52</v>
      </c>
      <c r="H11529" t="s">
        <v>21</v>
      </c>
      <c r="I11529" t="s">
        <v>22276</v>
      </c>
      <c r="J11529" t="str">
        <f>HYPERLINK("https://www.boe.es/gazeta/dias/1821/05/19/pdfs/GMD-1821-141.pdf#page=2","Abrir facsímil")</f>
        <v>Abrir facsímil</v>
      </c>
      <c r="K11529" t="s">
        <v>23</v>
      </c>
    </row>
    <row r="11530" spans="1:11" ht="42" customHeight="1">
      <c r="A11530" t="s">
        <v>22275</v>
      </c>
      <c r="B11530" t="s">
        <v>22275</v>
      </c>
      <c r="C11530" t="s">
        <v>70</v>
      </c>
      <c r="D11530" t="s">
        <v>27</v>
      </c>
      <c r="E11530" s="6">
        <v>-28714</v>
      </c>
      <c r="F11530" t="s">
        <v>522</v>
      </c>
      <c r="G11530" t="s">
        <v>20</v>
      </c>
      <c r="H11530" t="s">
        <v>21</v>
      </c>
      <c r="I11530" t="s">
        <v>22277</v>
      </c>
      <c r="J11530" t="str">
        <f>HYPERLINK("https://www.boe.es/gazeta/dias/1821/05/19/pdfs/GMD-1821-141.pdf#page=3","Abrir facsímil")</f>
        <v>Abrir facsímil</v>
      </c>
      <c r="K11530" t="s">
        <v>23</v>
      </c>
    </row>
    <row r="11531" spans="1:11" ht="42" customHeight="1">
      <c r="A11531" t="s">
        <v>22275</v>
      </c>
      <c r="B11531" t="s">
        <v>22275</v>
      </c>
      <c r="C11531" t="s">
        <v>26</v>
      </c>
      <c r="D11531" t="s">
        <v>27</v>
      </c>
      <c r="E11531" s="6">
        <v>-28675</v>
      </c>
      <c r="F11531" t="s">
        <v>943</v>
      </c>
      <c r="G11531" t="s">
        <v>20</v>
      </c>
      <c r="H11531" t="s">
        <v>21</v>
      </c>
      <c r="I11531" t="s">
        <v>22278</v>
      </c>
      <c r="J11531" t="str">
        <f>HYPERLINK("https://www.boe.es/gazeta/dias/1821/06/27/pdfs/GMD-1821-180.pdf#page=3","Abrir facsímil")</f>
        <v>Abrir facsímil</v>
      </c>
      <c r="K11531" t="s">
        <v>23</v>
      </c>
    </row>
    <row r="11532" spans="1:11" ht="42" customHeight="1">
      <c r="A11532" t="s">
        <v>22275</v>
      </c>
      <c r="B11532" t="s">
        <v>22275</v>
      </c>
      <c r="C11532" t="s">
        <v>70</v>
      </c>
      <c r="D11532" t="s">
        <v>27</v>
      </c>
      <c r="E11532" s="6">
        <v>-28568</v>
      </c>
      <c r="F11532" t="s">
        <v>539</v>
      </c>
      <c r="G11532" t="s">
        <v>162</v>
      </c>
      <c r="H11532" t="s">
        <v>21</v>
      </c>
      <c r="I11532" t="s">
        <v>22279</v>
      </c>
      <c r="J11532" t="str">
        <f>HYPERLINK("https://www.boe.es/gazeta/dias/1821/10/12/pdfs/GMD-1821-291.pdf#page=5","Abrir facsímil")</f>
        <v>Abrir facsímil</v>
      </c>
      <c r="K11532" t="s">
        <v>23</v>
      </c>
    </row>
    <row r="11533" spans="1:11" ht="42" customHeight="1">
      <c r="A11533" t="s">
        <v>22280</v>
      </c>
      <c r="B11533" t="s">
        <v>22281</v>
      </c>
      <c r="C11533" t="s">
        <v>70</v>
      </c>
      <c r="D11533" t="s">
        <v>27</v>
      </c>
      <c r="E11533" s="6">
        <v>-28629</v>
      </c>
      <c r="F11533" t="s">
        <v>235</v>
      </c>
      <c r="G11533" t="s">
        <v>88</v>
      </c>
      <c r="H11533" t="s">
        <v>21</v>
      </c>
      <c r="I11533" t="s">
        <v>22282</v>
      </c>
      <c r="J11533" t="str">
        <f>HYPERLINK("https://www.boe.es/gazeta/dias/1821/08/12/pdfs/GMD-1821-229.pdf#page=4","Abrir facsímil")</f>
        <v>Abrir facsímil</v>
      </c>
      <c r="K11533" t="s">
        <v>23</v>
      </c>
    </row>
    <row r="11534" spans="1:11" ht="42" customHeight="1">
      <c r="A11534" t="s">
        <v>22283</v>
      </c>
      <c r="B11534" t="s">
        <v>22283</v>
      </c>
      <c r="C11534" t="s">
        <v>40</v>
      </c>
      <c r="D11534" t="s">
        <v>41</v>
      </c>
      <c r="E11534" s="6">
        <v>-28740</v>
      </c>
      <c r="F11534" t="s">
        <v>2800</v>
      </c>
      <c r="G11534" t="s">
        <v>43</v>
      </c>
      <c r="H11534" t="s">
        <v>21</v>
      </c>
      <c r="I11534" t="s">
        <v>22284</v>
      </c>
      <c r="J11534" t="str">
        <f>HYPERLINK("https://www.boe.es/gazeta/dias/1821/04/23/pdfs/GMD-1821-115.pdf#page=1","Abrir facsímil")</f>
        <v>Abrir facsímil</v>
      </c>
      <c r="K11534" t="s">
        <v>23</v>
      </c>
    </row>
    <row r="11535" spans="1:11" ht="42" customHeight="1">
      <c r="A11535" t="s">
        <v>22285</v>
      </c>
      <c r="B11535" t="s">
        <v>22286</v>
      </c>
      <c r="C11535" t="s">
        <v>26</v>
      </c>
      <c r="D11535" t="s">
        <v>27</v>
      </c>
      <c r="E11535" s="6">
        <v>-28541</v>
      </c>
      <c r="F11535" t="s">
        <v>275</v>
      </c>
      <c r="G11535" t="s">
        <v>52</v>
      </c>
      <c r="H11535" t="s">
        <v>21</v>
      </c>
      <c r="I11535" t="s">
        <v>22287</v>
      </c>
      <c r="J11535" t="str">
        <f>HYPERLINK("https://www.boe.es/gazeta/dias/1821/11/08/pdfs/GMD-1821-319.pdf#page=2","Abrir facsímil")</f>
        <v>Abrir facsímil</v>
      </c>
      <c r="K11535" t="s">
        <v>23</v>
      </c>
    </row>
    <row r="11536" spans="1:11" ht="42" customHeight="1">
      <c r="A11536" t="s">
        <v>22288</v>
      </c>
      <c r="B11536" t="s">
        <v>22289</v>
      </c>
      <c r="C11536" t="s">
        <v>17</v>
      </c>
      <c r="D11536" t="s">
        <v>18</v>
      </c>
      <c r="E11536" s="6">
        <v>-28669</v>
      </c>
      <c r="F11536" t="s">
        <v>2816</v>
      </c>
      <c r="G11536" t="s">
        <v>88</v>
      </c>
      <c r="H11536" t="s">
        <v>21</v>
      </c>
      <c r="I11536" t="s">
        <v>22290</v>
      </c>
      <c r="J11536" t="str">
        <f>HYPERLINK("https://www.boe.es/gazeta/dias/1821/07/03/pdfs/GMD-1821-187.pdf#page=4","Abrir facsímil")</f>
        <v>Abrir facsímil</v>
      </c>
      <c r="K11536" t="s">
        <v>23</v>
      </c>
    </row>
    <row r="11537" spans="1:11" ht="42" customHeight="1">
      <c r="A11537" t="s">
        <v>22291</v>
      </c>
      <c r="B11537" t="s">
        <v>22292</v>
      </c>
      <c r="C11537" t="s">
        <v>114</v>
      </c>
      <c r="D11537" t="s">
        <v>27</v>
      </c>
      <c r="E11537" s="6">
        <v>-28636</v>
      </c>
      <c r="F11537" t="s">
        <v>122</v>
      </c>
      <c r="G11537" t="s">
        <v>88</v>
      </c>
      <c r="H11537" t="s">
        <v>21</v>
      </c>
      <c r="I11537" t="s">
        <v>22293</v>
      </c>
      <c r="J11537" t="str">
        <f>HYPERLINK("https://www.boe.es/gazeta/dias/1821/08/05/pdfs/GMD-1821-221.pdf#page=4","Abrir facsímil")</f>
        <v>Abrir facsímil</v>
      </c>
      <c r="K11537" t="s">
        <v>23</v>
      </c>
    </row>
    <row r="11538" spans="1:11" ht="42" customHeight="1">
      <c r="A11538" t="s">
        <v>22294</v>
      </c>
      <c r="B11538" t="s">
        <v>22294</v>
      </c>
      <c r="C11538" t="s">
        <v>40</v>
      </c>
      <c r="D11538" t="s">
        <v>41</v>
      </c>
      <c r="E11538" s="6">
        <v>-28829</v>
      </c>
      <c r="F11538" t="s">
        <v>2980</v>
      </c>
      <c r="G11538" t="s">
        <v>43</v>
      </c>
      <c r="H11538" t="s">
        <v>21</v>
      </c>
      <c r="I11538" t="s">
        <v>22295</v>
      </c>
      <c r="J11538" t="str">
        <f>HYPERLINK("https://www.boe.es/gazeta/dias/1821/01/24/pdfs/GGB-1821-24.pdf#page=1","Abrir facsímil")</f>
        <v>Abrir facsímil</v>
      </c>
      <c r="K11538" t="s">
        <v>23</v>
      </c>
    </row>
    <row r="11539" spans="1:11" ht="42" customHeight="1">
      <c r="A11539" t="s">
        <v>22296</v>
      </c>
      <c r="B11539" t="s">
        <v>22296</v>
      </c>
      <c r="C11539" t="s">
        <v>17</v>
      </c>
      <c r="D11539" t="s">
        <v>18</v>
      </c>
      <c r="E11539" s="6">
        <v>-28671</v>
      </c>
      <c r="F11539" t="s">
        <v>5059</v>
      </c>
      <c r="G11539" t="s">
        <v>88</v>
      </c>
      <c r="H11539" t="s">
        <v>21</v>
      </c>
      <c r="I11539" t="s">
        <v>22297</v>
      </c>
      <c r="J11539" t="str">
        <f>HYPERLINK("https://www.boe.es/gazeta/dias/1821/07/01/pdfs/GMD-1821-185.pdf#page=4","Abrir facsímil")</f>
        <v>Abrir facsímil</v>
      </c>
      <c r="K11539" t="s">
        <v>23</v>
      </c>
    </row>
    <row r="11540" spans="1:11" ht="42" customHeight="1">
      <c r="A11540" t="s">
        <v>22298</v>
      </c>
      <c r="B11540" t="s">
        <v>22299</v>
      </c>
      <c r="C11540" t="s">
        <v>17</v>
      </c>
      <c r="D11540" t="s">
        <v>18</v>
      </c>
      <c r="E11540" s="6">
        <v>-28789</v>
      </c>
      <c r="F11540" t="s">
        <v>36</v>
      </c>
      <c r="G11540" t="s">
        <v>993</v>
      </c>
      <c r="H11540" t="s">
        <v>21</v>
      </c>
      <c r="I11540" t="s">
        <v>22300</v>
      </c>
      <c r="J11540" t="str">
        <f>HYPERLINK("https://www.boe.es/gazeta/dias/1821/03/05/pdfs/GGB-1821-64.pdf#page=4","Abrir facsímil")</f>
        <v>Abrir facsímil</v>
      </c>
      <c r="K11540" t="s">
        <v>23</v>
      </c>
    </row>
    <row r="11541" spans="1:11" ht="42" customHeight="1">
      <c r="A11541" t="s">
        <v>22298</v>
      </c>
      <c r="B11541" t="s">
        <v>22299</v>
      </c>
      <c r="C11541" t="s">
        <v>17</v>
      </c>
      <c r="D11541" t="s">
        <v>18</v>
      </c>
      <c r="E11541" s="6">
        <v>-28762</v>
      </c>
      <c r="F11541" t="s">
        <v>608</v>
      </c>
      <c r="G11541" t="s">
        <v>609</v>
      </c>
      <c r="H11541" t="s">
        <v>21</v>
      </c>
      <c r="I11541" t="s">
        <v>22301</v>
      </c>
      <c r="J11541" t="str">
        <f>HYPERLINK("https://www.boe.es/gazeta/dias/1821/04/01/pdfs/GMD-1821-93.pdf#page=7","Abrir facsímil")</f>
        <v>Abrir facsímil</v>
      </c>
      <c r="K11541" t="s">
        <v>23</v>
      </c>
    </row>
    <row r="11542" spans="1:11" ht="42" customHeight="1">
      <c r="A11542" t="s">
        <v>22298</v>
      </c>
      <c r="B11542" t="s">
        <v>22299</v>
      </c>
      <c r="C11542" t="s">
        <v>17</v>
      </c>
      <c r="D11542" t="s">
        <v>18</v>
      </c>
      <c r="E11542" s="6">
        <v>-28668</v>
      </c>
      <c r="F11542" t="s">
        <v>2130</v>
      </c>
      <c r="G11542" t="s">
        <v>88</v>
      </c>
      <c r="H11542" t="s">
        <v>21</v>
      </c>
      <c r="I11542" t="s">
        <v>22302</v>
      </c>
      <c r="J11542" t="str">
        <f>HYPERLINK("https://www.boe.es/gazeta/dias/1821/07/04/pdfs/GMD-1821-188.pdf#page=4","Abrir facsímil")</f>
        <v>Abrir facsímil</v>
      </c>
      <c r="K11542" t="s">
        <v>23</v>
      </c>
    </row>
    <row r="11543" spans="1:11" ht="42" customHeight="1">
      <c r="A11543" t="s">
        <v>22298</v>
      </c>
      <c r="B11543" t="s">
        <v>22299</v>
      </c>
      <c r="C11543" t="s">
        <v>70</v>
      </c>
      <c r="D11543" t="s">
        <v>27</v>
      </c>
      <c r="E11543" s="6">
        <v>-28576</v>
      </c>
      <c r="F11543" t="s">
        <v>1924</v>
      </c>
      <c r="G11543" t="s">
        <v>88</v>
      </c>
      <c r="H11543" t="s">
        <v>21</v>
      </c>
      <c r="I11543" t="s">
        <v>22303</v>
      </c>
      <c r="J11543" t="str">
        <f>HYPERLINK("https://www.boe.es/gazeta/dias/1821/10/04/pdfs/GMD-1821-283.pdf#page=4","Abrir facsímil")</f>
        <v>Abrir facsímil</v>
      </c>
      <c r="K11543" t="s">
        <v>23</v>
      </c>
    </row>
    <row r="11544" spans="1:11" ht="42" customHeight="1">
      <c r="A11544" t="s">
        <v>22304</v>
      </c>
      <c r="B11544" t="s">
        <v>22305</v>
      </c>
      <c r="C11544" t="s">
        <v>17</v>
      </c>
      <c r="D11544" t="s">
        <v>18</v>
      </c>
      <c r="E11544" s="6">
        <v>-28641</v>
      </c>
      <c r="F11544" t="s">
        <v>398</v>
      </c>
      <c r="G11544" t="s">
        <v>88</v>
      </c>
      <c r="H11544" t="s">
        <v>21</v>
      </c>
      <c r="I11544" t="s">
        <v>22306</v>
      </c>
      <c r="J11544" t="str">
        <f>HYPERLINK("https://www.boe.es/gazeta/dias/1821/07/31/pdfs/GMD-1821-216.pdf#page=4","Abrir facsímil")</f>
        <v>Abrir facsímil</v>
      </c>
      <c r="K11544" t="s">
        <v>23</v>
      </c>
    </row>
    <row r="11545" spans="1:11" ht="42" customHeight="1">
      <c r="A11545" t="s">
        <v>22307</v>
      </c>
      <c r="B11545" t="s">
        <v>22308</v>
      </c>
      <c r="C11545" t="s">
        <v>17</v>
      </c>
      <c r="D11545" t="s">
        <v>18</v>
      </c>
      <c r="E11545" s="6">
        <v>-28764</v>
      </c>
      <c r="F11545" t="s">
        <v>924</v>
      </c>
      <c r="G11545" t="s">
        <v>20</v>
      </c>
      <c r="H11545" t="s">
        <v>21</v>
      </c>
      <c r="I11545" t="s">
        <v>22309</v>
      </c>
      <c r="J11545" t="str">
        <f>HYPERLINK("https://www.boe.es/gazeta/dias/1821/03/30/pdfs/GMD-1821-91.pdf#page=3","Abrir facsímil")</f>
        <v>Abrir facsímil</v>
      </c>
      <c r="K11545" t="s">
        <v>23</v>
      </c>
    </row>
    <row r="11546" spans="1:11" ht="42" customHeight="1">
      <c r="A11546" t="s">
        <v>22310</v>
      </c>
      <c r="B11546" t="s">
        <v>22311</v>
      </c>
      <c r="C11546" t="s">
        <v>17</v>
      </c>
      <c r="D11546" t="s">
        <v>18</v>
      </c>
      <c r="E11546" s="6">
        <v>-28669</v>
      </c>
      <c r="F11546" t="s">
        <v>2816</v>
      </c>
      <c r="G11546" t="s">
        <v>88</v>
      </c>
      <c r="H11546" t="s">
        <v>21</v>
      </c>
      <c r="I11546" t="s">
        <v>22312</v>
      </c>
      <c r="J11546" t="str">
        <f>HYPERLINK("https://www.boe.es/gazeta/dias/1821/07/03/pdfs/GMD-1821-187.pdf#page=4","Abrir facsímil")</f>
        <v>Abrir facsímil</v>
      </c>
      <c r="K11546" t="s">
        <v>23</v>
      </c>
    </row>
  </sheetData>
  <mergeCells count="4">
    <mergeCell ref="A1:K1"/>
    <mergeCell ref="A2:K2"/>
    <mergeCell ref="A3:K3"/>
    <mergeCell ref="A4:K4"/>
  </mergeCells>
  <conditionalFormatting sqref="K7:K11546">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9" t="s">
        <v>22313</v>
      </c>
      <c r="B1" s="9"/>
      <c r="C1" s="9"/>
      <c r="D1" s="9"/>
      <c r="E1" s="9"/>
      <c r="F1" s="9"/>
    </row>
    <row r="2" spans="1:6" ht="21.95" customHeight="1">
      <c r="A2" s="13" t="s">
        <v>22314</v>
      </c>
      <c r="B2" s="13"/>
      <c r="C2" s="13"/>
      <c r="D2" s="13"/>
      <c r="E2" s="13"/>
      <c r="F2" s="13"/>
    </row>
    <row r="4" spans="1:6" ht="30" customHeight="1">
      <c r="A4" s="1" t="s">
        <v>8</v>
      </c>
      <c r="B4" s="1" t="s">
        <v>9</v>
      </c>
      <c r="C4" s="1" t="s">
        <v>22315</v>
      </c>
      <c r="D4" s="1" t="s">
        <v>22316</v>
      </c>
      <c r="E4" s="1" t="s">
        <v>22317</v>
      </c>
      <c r="F4" s="1" t="s">
        <v>22318</v>
      </c>
    </row>
    <row r="5" spans="1:6" ht="30.95" customHeight="1">
      <c r="A5" s="7">
        <v>-28852</v>
      </c>
      <c r="B5" s="2" t="s">
        <v>5624</v>
      </c>
      <c r="C5" s="2" t="s">
        <v>22319</v>
      </c>
      <c r="D5" s="3">
        <v>4</v>
      </c>
      <c r="E5" s="3">
        <v>4</v>
      </c>
      <c r="F5" s="3" t="str">
        <f>HYPERLINK("https://www.boe.es/gazeta/dias/1821/01/01/pdfs/GGB-1821-1.pdf","Abrir PDF")</f>
        <v>Abrir PDF</v>
      </c>
    </row>
    <row r="6" spans="1:6" ht="30.95" customHeight="1">
      <c r="A6" s="7">
        <v>-28851</v>
      </c>
      <c r="B6" s="2" t="s">
        <v>3227</v>
      </c>
      <c r="C6" s="2" t="s">
        <v>22320</v>
      </c>
      <c r="D6" s="3">
        <v>4</v>
      </c>
      <c r="E6" s="3">
        <v>9</v>
      </c>
      <c r="F6" s="3" t="str">
        <f>HYPERLINK("https://www.boe.es/gazeta/dias/1821/01/02/pdfs/GGB-1821-2.pdf","Abrir PDF")</f>
        <v>Abrir PDF</v>
      </c>
    </row>
    <row r="7" spans="1:6" ht="30.95" customHeight="1">
      <c r="A7" s="7">
        <v>-28850</v>
      </c>
      <c r="B7" s="2" t="s">
        <v>664</v>
      </c>
      <c r="C7" s="2" t="s">
        <v>22321</v>
      </c>
      <c r="D7" s="3">
        <v>4</v>
      </c>
      <c r="E7" s="3">
        <v>19</v>
      </c>
      <c r="F7" s="3" t="str">
        <f>HYPERLINK("https://www.boe.es/gazeta/dias/1821/01/03/pdfs/GGB-1821-3.pdf","Abrir PDF")</f>
        <v>Abrir PDF</v>
      </c>
    </row>
    <row r="8" spans="1:6" ht="30.95" customHeight="1">
      <c r="A8" s="7">
        <v>-28849</v>
      </c>
      <c r="B8" s="2" t="s">
        <v>1989</v>
      </c>
      <c r="C8" s="2" t="s">
        <v>22322</v>
      </c>
      <c r="D8" s="3">
        <v>4</v>
      </c>
      <c r="E8" s="3">
        <v>14</v>
      </c>
      <c r="F8" s="3" t="str">
        <f>HYPERLINK("https://www.boe.es/gazeta/dias/1821/01/04/pdfs/GGB-1821-4.pdf","Abrir PDF")</f>
        <v>Abrir PDF</v>
      </c>
    </row>
    <row r="9" spans="1:6" ht="30.95" customHeight="1">
      <c r="A9" s="7">
        <v>-28848</v>
      </c>
      <c r="B9" s="2" t="s">
        <v>5247</v>
      </c>
      <c r="C9" s="2" t="s">
        <v>22323</v>
      </c>
      <c r="D9" s="3">
        <v>4</v>
      </c>
      <c r="E9" s="3">
        <v>6</v>
      </c>
      <c r="F9" s="3" t="str">
        <f>HYPERLINK("https://www.boe.es/gazeta/dias/1821/01/05/pdfs/GGB-1821-5.pdf","Abrir PDF")</f>
        <v>Abrir PDF</v>
      </c>
    </row>
    <row r="10" spans="1:6" ht="30.95" customHeight="1">
      <c r="A10" s="7">
        <v>-28847</v>
      </c>
      <c r="B10" s="2" t="s">
        <v>288</v>
      </c>
      <c r="C10" s="2" t="s">
        <v>22324</v>
      </c>
      <c r="D10" s="3">
        <v>4</v>
      </c>
      <c r="E10" s="3">
        <v>54</v>
      </c>
      <c r="F10" s="3" t="str">
        <f>HYPERLINK("https://www.boe.es/gazeta/dias/1821/01/06/pdfs/GGB-1821-6.pdf","Abrir PDF")</f>
        <v>Abrir PDF</v>
      </c>
    </row>
    <row r="11" spans="1:6" ht="30.95" customHeight="1">
      <c r="A11" s="7">
        <v>-28846</v>
      </c>
      <c r="B11" s="2" t="s">
        <v>10722</v>
      </c>
      <c r="C11" s="2" t="s">
        <v>22325</v>
      </c>
      <c r="D11" s="3">
        <v>4</v>
      </c>
      <c r="E11" s="3">
        <v>3</v>
      </c>
      <c r="F11" s="3" t="str">
        <f>HYPERLINK("https://www.boe.es/gazeta/dias/1821/01/07/pdfs/GGB-1821-7.pdf","Abrir PDF")</f>
        <v>Abrir PDF</v>
      </c>
    </row>
    <row r="12" spans="1:6" ht="30.95" customHeight="1">
      <c r="A12" s="7">
        <v>-28845</v>
      </c>
      <c r="B12" s="2" t="s">
        <v>5185</v>
      </c>
      <c r="C12" s="2" t="s">
        <v>22326</v>
      </c>
      <c r="D12" s="3">
        <v>4</v>
      </c>
      <c r="E12" s="3">
        <v>8</v>
      </c>
      <c r="F12" s="3" t="str">
        <f>HYPERLINK("https://www.boe.es/gazeta/dias/1821/01/08/pdfs/GGB-1821-8.pdf","Abrir PDF")</f>
        <v>Abrir PDF</v>
      </c>
    </row>
    <row r="13" spans="1:6" ht="30.95" customHeight="1">
      <c r="A13" s="7">
        <v>-28844</v>
      </c>
      <c r="B13" s="2" t="s">
        <v>1743</v>
      </c>
      <c r="C13" s="2" t="s">
        <v>22327</v>
      </c>
      <c r="D13" s="3">
        <v>6</v>
      </c>
      <c r="E13" s="3">
        <v>22</v>
      </c>
      <c r="F13" s="3" t="str">
        <f>HYPERLINK("https://www.boe.es/gazeta/dias/1821/01/09/pdfs/GGB-1821-9.pdf","Abrir PDF")</f>
        <v>Abrir PDF</v>
      </c>
    </row>
    <row r="14" spans="1:6" ht="30.95" customHeight="1">
      <c r="A14" s="7">
        <v>-28843</v>
      </c>
      <c r="B14" s="2" t="s">
        <v>4068</v>
      </c>
      <c r="C14" s="2" t="s">
        <v>22328</v>
      </c>
      <c r="D14" s="3">
        <v>4</v>
      </c>
      <c r="E14" s="3">
        <v>7</v>
      </c>
      <c r="F14" s="3" t="str">
        <f>HYPERLINK("https://www.boe.es/gazeta/dias/1821/01/10/pdfs/GGB-1821-10.pdf","Abrir PDF")</f>
        <v>Abrir PDF</v>
      </c>
    </row>
    <row r="15" spans="1:6" ht="30.95" customHeight="1">
      <c r="A15" s="7">
        <v>-28842</v>
      </c>
      <c r="B15" s="2" t="s">
        <v>660</v>
      </c>
      <c r="C15" s="2" t="s">
        <v>22329</v>
      </c>
      <c r="D15" s="3">
        <v>4</v>
      </c>
      <c r="E15" s="3">
        <v>13</v>
      </c>
      <c r="F15" s="3" t="str">
        <f>HYPERLINK("https://www.boe.es/gazeta/dias/1821/01/11/pdfs/GGB-1821-11.pdf","Abrir PDF")</f>
        <v>Abrir PDF</v>
      </c>
    </row>
    <row r="16" spans="1:6" ht="30.95" customHeight="1">
      <c r="A16" s="7">
        <v>-28841</v>
      </c>
      <c r="B16" s="2" t="s">
        <v>765</v>
      </c>
      <c r="C16" s="2" t="s">
        <v>22330</v>
      </c>
      <c r="D16" s="3">
        <v>4</v>
      </c>
      <c r="E16" s="3">
        <v>19</v>
      </c>
      <c r="F16" s="3" t="str">
        <f>HYPERLINK("https://www.boe.es/gazeta/dias/1821/01/12/pdfs/GGB-1821-12.pdf","Abrir PDF")</f>
        <v>Abrir PDF</v>
      </c>
    </row>
    <row r="17" spans="1:6" ht="30.95" customHeight="1">
      <c r="A17" s="7">
        <v>-28840</v>
      </c>
      <c r="B17" s="2" t="s">
        <v>161</v>
      </c>
      <c r="C17" s="2" t="s">
        <v>22331</v>
      </c>
      <c r="D17" s="3">
        <v>6</v>
      </c>
      <c r="E17" s="3">
        <v>22</v>
      </c>
      <c r="F17" s="3" t="str">
        <f>HYPERLINK("https://www.boe.es/gazeta/dias/1821/01/13/pdfs/GGB-1821-13.pdf","Abrir PDF")</f>
        <v>Abrir PDF</v>
      </c>
    </row>
    <row r="18" spans="1:6" ht="30.95" customHeight="1">
      <c r="A18" s="7">
        <v>-28839</v>
      </c>
      <c r="B18" s="2" t="s">
        <v>1686</v>
      </c>
      <c r="C18" s="2" t="s">
        <v>22332</v>
      </c>
      <c r="D18" s="3">
        <v>4</v>
      </c>
      <c r="E18" s="3">
        <v>11</v>
      </c>
      <c r="F18" s="3" t="str">
        <f>HYPERLINK("https://www.boe.es/gazeta/dias/1821/01/14/pdfs/GGB-1821-14.pdf","Abrir PDF")</f>
        <v>Abrir PDF</v>
      </c>
    </row>
    <row r="19" spans="1:6" ht="30.95" customHeight="1">
      <c r="A19" s="7">
        <v>-28838</v>
      </c>
      <c r="B19" s="2" t="s">
        <v>7260</v>
      </c>
      <c r="C19" s="2" t="s">
        <v>22333</v>
      </c>
      <c r="D19" s="3">
        <v>4</v>
      </c>
      <c r="E19" s="3">
        <v>6</v>
      </c>
      <c r="F19" s="3" t="str">
        <f>HYPERLINK("https://www.boe.es/gazeta/dias/1821/01/15/pdfs/GGB-1821-15.pdf","Abrir PDF")</f>
        <v>Abrir PDF</v>
      </c>
    </row>
    <row r="20" spans="1:6" ht="30.95" customHeight="1">
      <c r="A20" s="7">
        <v>-28837</v>
      </c>
      <c r="B20" s="2" t="s">
        <v>1234</v>
      </c>
      <c r="C20" s="2" t="s">
        <v>22334</v>
      </c>
      <c r="D20" s="3">
        <v>4</v>
      </c>
      <c r="E20" s="3">
        <v>17</v>
      </c>
      <c r="F20" s="3" t="str">
        <f>HYPERLINK("https://www.boe.es/gazeta/dias/1821/01/16/pdfs/GGB-1821-16.pdf","Abrir PDF")</f>
        <v>Abrir PDF</v>
      </c>
    </row>
    <row r="21" spans="1:6" ht="30.95" customHeight="1">
      <c r="A21" s="7">
        <v>-28836</v>
      </c>
      <c r="B21" s="2" t="s">
        <v>601</v>
      </c>
      <c r="C21" s="2" t="s">
        <v>22335</v>
      </c>
      <c r="D21" s="3">
        <v>4</v>
      </c>
      <c r="E21" s="3">
        <v>32</v>
      </c>
      <c r="F21" s="3" t="str">
        <f>HYPERLINK("https://www.boe.es/gazeta/dias/1821/01/17/pdfs/GGB-1821-17.pdf","Abrir PDF")</f>
        <v>Abrir PDF</v>
      </c>
    </row>
    <row r="22" spans="1:6" ht="30.95" customHeight="1">
      <c r="A22" s="7">
        <v>-28835</v>
      </c>
      <c r="B22" s="2" t="s">
        <v>1362</v>
      </c>
      <c r="C22" s="2" t="s">
        <v>22336</v>
      </c>
      <c r="D22" s="3">
        <v>4</v>
      </c>
      <c r="E22" s="3">
        <v>10</v>
      </c>
      <c r="F22" s="3" t="str">
        <f>HYPERLINK("https://www.boe.es/gazeta/dias/1821/01/18/pdfs/GGB-1821-18.pdf","Abrir PDF")</f>
        <v>Abrir PDF</v>
      </c>
    </row>
    <row r="23" spans="1:6" ht="30.95" customHeight="1">
      <c r="A23" s="7">
        <v>-28834</v>
      </c>
      <c r="B23" s="2" t="s">
        <v>369</v>
      </c>
      <c r="C23" s="2" t="s">
        <v>22337</v>
      </c>
      <c r="D23" s="3">
        <v>4</v>
      </c>
      <c r="E23" s="3">
        <v>19</v>
      </c>
      <c r="F23" s="3" t="str">
        <f>HYPERLINK("https://www.boe.es/gazeta/dias/1821/01/19/pdfs/GGB-1821-19.pdf","Abrir PDF")</f>
        <v>Abrir PDF</v>
      </c>
    </row>
    <row r="24" spans="1:6" ht="30.95" customHeight="1">
      <c r="A24" s="7">
        <v>-28833</v>
      </c>
      <c r="B24" s="2" t="s">
        <v>1868</v>
      </c>
      <c r="C24" s="2" t="s">
        <v>22338</v>
      </c>
      <c r="D24" s="3">
        <v>4</v>
      </c>
      <c r="E24" s="3">
        <v>11</v>
      </c>
      <c r="F24" s="3" t="str">
        <f>HYPERLINK("https://www.boe.es/gazeta/dias/1821/01/20/pdfs/GGB-1821-20.pdf","Abrir PDF")</f>
        <v>Abrir PDF</v>
      </c>
    </row>
    <row r="25" spans="1:6" ht="30.95" customHeight="1">
      <c r="A25" s="7">
        <v>-28832</v>
      </c>
      <c r="B25" s="2" t="s">
        <v>353</v>
      </c>
      <c r="C25" s="2" t="s">
        <v>22339</v>
      </c>
      <c r="D25" s="3">
        <v>6</v>
      </c>
      <c r="E25" s="3">
        <v>15</v>
      </c>
      <c r="F25" s="3" t="str">
        <f>HYPERLINK("https://www.boe.es/gazeta/dias/1821/01/21/pdfs/GGB-1821-21.pdf","Abrir PDF")</f>
        <v>Abrir PDF</v>
      </c>
    </row>
    <row r="26" spans="1:6" ht="30.95" customHeight="1">
      <c r="A26" s="7">
        <v>-28831</v>
      </c>
      <c r="B26" s="2" t="s">
        <v>3179</v>
      </c>
      <c r="C26" s="2" t="s">
        <v>22340</v>
      </c>
      <c r="D26" s="3">
        <v>4</v>
      </c>
      <c r="E26" s="3">
        <v>13</v>
      </c>
      <c r="F26" s="3" t="str">
        <f>HYPERLINK("https://www.boe.es/gazeta/dias/1821/01/22/pdfs/GGB-1821-22.pdf","Abrir PDF")</f>
        <v>Abrir PDF</v>
      </c>
    </row>
    <row r="27" spans="1:6" ht="30.95" customHeight="1">
      <c r="A27" s="7">
        <v>-28830</v>
      </c>
      <c r="B27" s="2" t="s">
        <v>3230</v>
      </c>
      <c r="C27" s="2" t="s">
        <v>22341</v>
      </c>
      <c r="D27" s="3">
        <v>4</v>
      </c>
      <c r="E27" s="3">
        <v>14</v>
      </c>
      <c r="F27" s="3" t="str">
        <f>HYPERLINK("https://www.boe.es/gazeta/dias/1821/01/23/pdfs/GGB-1821-23.pdf","Abrir PDF")</f>
        <v>Abrir PDF</v>
      </c>
    </row>
    <row r="28" spans="1:6" ht="30.95" customHeight="1">
      <c r="A28" s="7">
        <v>-28829</v>
      </c>
      <c r="B28" s="2" t="s">
        <v>2980</v>
      </c>
      <c r="C28" s="2" t="s">
        <v>22342</v>
      </c>
      <c r="D28" s="3">
        <v>4</v>
      </c>
      <c r="E28" s="3">
        <v>13</v>
      </c>
      <c r="F28" s="3" t="str">
        <f>HYPERLINK("https://www.boe.es/gazeta/dias/1821/01/24/pdfs/GGB-1821-24.pdf","Abrir PDF")</f>
        <v>Abrir PDF</v>
      </c>
    </row>
    <row r="29" spans="1:6" ht="30.95" customHeight="1">
      <c r="A29" s="7">
        <v>-28828</v>
      </c>
      <c r="B29" s="2" t="s">
        <v>1864</v>
      </c>
      <c r="C29" s="2" t="s">
        <v>22343</v>
      </c>
      <c r="D29" s="3">
        <v>4</v>
      </c>
      <c r="E29" s="3">
        <v>7</v>
      </c>
      <c r="F29" s="3" t="str">
        <f>HYPERLINK("https://www.boe.es/gazeta/dias/1821/01/25/pdfs/GGB-1821-25.pdf","Abrir PDF")</f>
        <v>Abrir PDF</v>
      </c>
    </row>
    <row r="30" spans="1:6" ht="30.95" customHeight="1">
      <c r="A30" s="7">
        <v>-28827</v>
      </c>
      <c r="B30" s="2" t="s">
        <v>1382</v>
      </c>
      <c r="C30" s="2" t="s">
        <v>22344</v>
      </c>
      <c r="D30" s="3">
        <v>4</v>
      </c>
      <c r="E30" s="3">
        <v>15</v>
      </c>
      <c r="F30" s="3" t="str">
        <f>HYPERLINK("https://www.boe.es/gazeta/dias/1821/01/26/pdfs/GGB-1821-26.pdf","Abrir PDF")</f>
        <v>Abrir PDF</v>
      </c>
    </row>
    <row r="31" spans="1:6" ht="30.95" customHeight="1">
      <c r="A31" s="7">
        <v>-28826</v>
      </c>
      <c r="B31" s="2" t="s">
        <v>2706</v>
      </c>
      <c r="C31" s="2" t="s">
        <v>22345</v>
      </c>
      <c r="D31" s="3">
        <v>6</v>
      </c>
      <c r="E31" s="3">
        <v>6</v>
      </c>
      <c r="F31" s="3" t="str">
        <f>HYPERLINK("https://www.boe.es/gazeta/dias/1821/01/27/pdfs/GGB-1821-27.pdf","Abrir PDF")</f>
        <v>Abrir PDF</v>
      </c>
    </row>
    <row r="32" spans="1:6" ht="30.95" customHeight="1">
      <c r="A32" s="7">
        <v>-28825</v>
      </c>
      <c r="B32" s="2" t="s">
        <v>1199</v>
      </c>
      <c r="C32" s="2" t="s">
        <v>22346</v>
      </c>
      <c r="D32" s="3">
        <v>4</v>
      </c>
      <c r="E32" s="3">
        <v>13</v>
      </c>
      <c r="F32" s="3" t="str">
        <f>HYPERLINK("https://www.boe.es/gazeta/dias/1821/01/28/pdfs/GGB-1821-28.pdf","Abrir PDF")</f>
        <v>Abrir PDF</v>
      </c>
    </row>
    <row r="33" spans="1:6" ht="30.95" customHeight="1">
      <c r="A33" s="7">
        <v>-28824</v>
      </c>
      <c r="B33" s="2" t="s">
        <v>1227</v>
      </c>
      <c r="C33" s="2" t="s">
        <v>22347</v>
      </c>
      <c r="D33" s="3">
        <v>4</v>
      </c>
      <c r="E33" s="3">
        <v>12</v>
      </c>
      <c r="F33" s="3" t="str">
        <f>HYPERLINK("https://www.boe.es/gazeta/dias/1821/01/29/pdfs/GGB-1821-29.pdf","Abrir PDF")</f>
        <v>Abrir PDF</v>
      </c>
    </row>
    <row r="34" spans="1:6" ht="30.95" customHeight="1">
      <c r="A34" s="7">
        <v>-28823</v>
      </c>
      <c r="B34" s="2" t="s">
        <v>1890</v>
      </c>
      <c r="C34" s="2" t="s">
        <v>22348</v>
      </c>
      <c r="D34" s="3">
        <v>4</v>
      </c>
      <c r="E34" s="3">
        <v>6</v>
      </c>
      <c r="F34" s="3" t="str">
        <f>HYPERLINK("https://www.boe.es/gazeta/dias/1821/01/30/pdfs/GGB-1821-30.pdf","Abrir PDF")</f>
        <v>Abrir PDF</v>
      </c>
    </row>
    <row r="35" spans="1:6" ht="30.95" customHeight="1">
      <c r="A35" s="7">
        <v>-28822</v>
      </c>
      <c r="B35" s="2" t="s">
        <v>1748</v>
      </c>
      <c r="C35" s="2" t="s">
        <v>22349</v>
      </c>
      <c r="D35" s="3">
        <v>6</v>
      </c>
      <c r="E35" s="3">
        <v>5</v>
      </c>
      <c r="F35" s="3" t="str">
        <f>HYPERLINK("https://www.boe.es/gazeta/dias/1821/01/31/pdfs/GGB-1821-31.pdf","Abrir PDF")</f>
        <v>Abrir PDF</v>
      </c>
    </row>
    <row r="36" spans="1:6" ht="30.95" customHeight="1">
      <c r="A36" s="7">
        <v>-28821</v>
      </c>
      <c r="B36" s="2" t="s">
        <v>371</v>
      </c>
      <c r="C36" s="2" t="s">
        <v>22350</v>
      </c>
      <c r="D36" s="3">
        <v>4</v>
      </c>
      <c r="E36" s="3">
        <v>24</v>
      </c>
      <c r="F36" s="3" t="str">
        <f>HYPERLINK("https://www.boe.es/gazeta/dias/1821/02/01/pdfs/GGB-1821-32.pdf","Abrir PDF")</f>
        <v>Abrir PDF</v>
      </c>
    </row>
    <row r="37" spans="1:6" ht="30.95" customHeight="1">
      <c r="A37" s="7">
        <v>-28820</v>
      </c>
      <c r="B37" s="2" t="s">
        <v>1430</v>
      </c>
      <c r="C37" s="2" t="s">
        <v>22351</v>
      </c>
      <c r="D37" s="3">
        <v>6</v>
      </c>
      <c r="E37" s="3">
        <v>23</v>
      </c>
      <c r="F37" s="3" t="str">
        <f>HYPERLINK("https://www.boe.es/gazeta/dias/1821/02/02/pdfs/GGB-1821-33.pdf","Abrir PDF")</f>
        <v>Abrir PDF</v>
      </c>
    </row>
    <row r="38" spans="1:6" ht="30.95" customHeight="1">
      <c r="A38" s="7">
        <v>-28819</v>
      </c>
      <c r="B38" s="2" t="s">
        <v>1830</v>
      </c>
      <c r="C38" s="2" t="s">
        <v>22352</v>
      </c>
      <c r="D38" s="3">
        <v>4</v>
      </c>
      <c r="E38" s="3">
        <v>17</v>
      </c>
      <c r="F38" s="3" t="str">
        <f>HYPERLINK("https://www.boe.es/gazeta/dias/1821/02/03/pdfs/GGB-1821-34.pdf","Abrir PDF")</f>
        <v>Abrir PDF</v>
      </c>
    </row>
    <row r="39" spans="1:6" ht="30.95" customHeight="1">
      <c r="A39" s="7">
        <v>-28818</v>
      </c>
      <c r="B39" s="2" t="s">
        <v>2337</v>
      </c>
      <c r="C39" s="2" t="s">
        <v>22353</v>
      </c>
      <c r="D39" s="3">
        <v>6</v>
      </c>
      <c r="E39" s="3">
        <v>26</v>
      </c>
      <c r="F39" s="3" t="str">
        <f>HYPERLINK("https://www.boe.es/gazeta/dias/1821/02/04/pdfs/GGB-1821-35.pdf","Abrir PDF")</f>
        <v>Abrir PDF</v>
      </c>
    </row>
    <row r="40" spans="1:6" ht="30.95" customHeight="1">
      <c r="A40" s="7">
        <v>-28817</v>
      </c>
      <c r="B40" s="2" t="s">
        <v>2703</v>
      </c>
      <c r="C40" s="2" t="s">
        <v>22354</v>
      </c>
      <c r="D40" s="3">
        <v>4</v>
      </c>
      <c r="E40" s="3">
        <v>17</v>
      </c>
      <c r="F40" s="3" t="str">
        <f>HYPERLINK("https://www.boe.es/gazeta/dias/1821/02/05/pdfs/GGB-1821-36.pdf","Abrir PDF")</f>
        <v>Abrir PDF</v>
      </c>
    </row>
    <row r="41" spans="1:6" ht="30.95" customHeight="1">
      <c r="A41" s="7">
        <v>-28816</v>
      </c>
      <c r="B41" s="2" t="s">
        <v>794</v>
      </c>
      <c r="C41" s="2" t="s">
        <v>22355</v>
      </c>
      <c r="D41" s="3">
        <v>4</v>
      </c>
      <c r="E41" s="3">
        <v>5</v>
      </c>
      <c r="F41" s="3" t="str">
        <f>HYPERLINK("https://www.boe.es/gazeta/dias/1821/02/06/pdfs/GGB-1821-37.pdf","Abrir PDF")</f>
        <v>Abrir PDF</v>
      </c>
    </row>
    <row r="42" spans="1:6" ht="30.95" customHeight="1">
      <c r="A42" s="7">
        <v>-28815</v>
      </c>
      <c r="B42" s="2" t="s">
        <v>2394</v>
      </c>
      <c r="C42" s="2" t="s">
        <v>22356</v>
      </c>
      <c r="D42" s="3">
        <v>4</v>
      </c>
      <c r="E42" s="3">
        <v>9</v>
      </c>
      <c r="F42" s="3" t="str">
        <f>HYPERLINK("https://www.boe.es/gazeta/dias/1821/02/07/pdfs/GGB-1821-38.pdf","Abrir PDF")</f>
        <v>Abrir PDF</v>
      </c>
    </row>
    <row r="43" spans="1:6" ht="30.95" customHeight="1">
      <c r="A43" s="7">
        <v>-28814</v>
      </c>
      <c r="B43" s="2" t="s">
        <v>2090</v>
      </c>
      <c r="C43" s="2" t="s">
        <v>22357</v>
      </c>
      <c r="D43" s="3">
        <v>4</v>
      </c>
      <c r="E43" s="3">
        <v>23</v>
      </c>
      <c r="F43" s="3" t="str">
        <f>HYPERLINK("https://www.boe.es/gazeta/dias/1821/02/08/pdfs/GGB-1821-39.pdf","Abrir PDF")</f>
        <v>Abrir PDF</v>
      </c>
    </row>
    <row r="44" spans="1:6" ht="30.95" customHeight="1">
      <c r="A44" s="7">
        <v>-28813</v>
      </c>
      <c r="B44" s="2" t="s">
        <v>268</v>
      </c>
      <c r="C44" s="2" t="s">
        <v>22358</v>
      </c>
      <c r="D44" s="3">
        <v>4</v>
      </c>
      <c r="E44" s="3">
        <v>38</v>
      </c>
      <c r="F44" s="3" t="str">
        <f>HYPERLINK("https://www.boe.es/gazeta/dias/1821/02/09/pdfs/GGB-1821-40.pdf","Abrir PDF")</f>
        <v>Abrir PDF</v>
      </c>
    </row>
    <row r="45" spans="1:6" ht="30.95" customHeight="1">
      <c r="A45" s="7">
        <v>-28812</v>
      </c>
      <c r="B45" s="2" t="s">
        <v>2610</v>
      </c>
      <c r="C45" s="2" t="s">
        <v>22359</v>
      </c>
      <c r="D45" s="3">
        <v>4</v>
      </c>
      <c r="E45" s="3">
        <v>19</v>
      </c>
      <c r="F45" s="3" t="str">
        <f>HYPERLINK("https://www.boe.es/gazeta/dias/1821/02/10/pdfs/GGB-1821-41.pdf","Abrir PDF")</f>
        <v>Abrir PDF</v>
      </c>
    </row>
    <row r="46" spans="1:6" ht="30.95" customHeight="1">
      <c r="A46" s="7">
        <v>-28811</v>
      </c>
      <c r="B46" s="2" t="s">
        <v>5734</v>
      </c>
      <c r="C46" s="2" t="s">
        <v>22360</v>
      </c>
      <c r="D46" s="3">
        <v>4</v>
      </c>
      <c r="E46" s="3">
        <v>18</v>
      </c>
      <c r="F46" s="3" t="str">
        <f>HYPERLINK("https://www.boe.es/gazeta/dias/1821/02/11/pdfs/GGB-1821-42.pdf","Abrir PDF")</f>
        <v>Abrir PDF</v>
      </c>
    </row>
    <row r="47" spans="1:6" ht="30.95" customHeight="1">
      <c r="A47" s="7">
        <v>-28810</v>
      </c>
      <c r="B47" s="2" t="s">
        <v>308</v>
      </c>
      <c r="C47" s="2" t="s">
        <v>22361</v>
      </c>
      <c r="D47" s="3">
        <v>4</v>
      </c>
      <c r="E47" s="3">
        <v>38</v>
      </c>
      <c r="F47" s="3" t="str">
        <f>HYPERLINK("https://www.boe.es/gazeta/dias/1821/02/12/pdfs/GGB-1821-43.pdf","Abrir PDF")</f>
        <v>Abrir PDF</v>
      </c>
    </row>
    <row r="48" spans="1:6" ht="30.95" customHeight="1">
      <c r="A48" s="7">
        <v>-28809</v>
      </c>
      <c r="B48" s="2" t="s">
        <v>1173</v>
      </c>
      <c r="C48" s="2" t="s">
        <v>22362</v>
      </c>
      <c r="D48" s="3">
        <v>4</v>
      </c>
      <c r="E48" s="3">
        <v>36</v>
      </c>
      <c r="F48" s="3" t="str">
        <f>HYPERLINK("https://www.boe.es/gazeta/dias/1821/02/13/pdfs/GGB-1821-44.pdf","Abrir PDF")</f>
        <v>Abrir PDF</v>
      </c>
    </row>
    <row r="49" spans="1:6" ht="30.95" customHeight="1">
      <c r="A49" s="7">
        <v>-28808</v>
      </c>
      <c r="B49" s="2" t="s">
        <v>3445</v>
      </c>
      <c r="C49" s="2" t="s">
        <v>22363</v>
      </c>
      <c r="D49" s="3">
        <v>4</v>
      </c>
      <c r="E49" s="3">
        <v>7</v>
      </c>
      <c r="F49" s="3" t="str">
        <f>HYPERLINK("https://www.boe.es/gazeta/dias/1821/02/14/pdfs/GGB-1821-45.pdf","Abrir PDF")</f>
        <v>Abrir PDF</v>
      </c>
    </row>
    <row r="50" spans="1:6" ht="30.95" customHeight="1">
      <c r="A50" s="7">
        <v>-28807</v>
      </c>
      <c r="B50" s="2" t="s">
        <v>613</v>
      </c>
      <c r="C50" s="2" t="s">
        <v>22364</v>
      </c>
      <c r="D50" s="3">
        <v>4</v>
      </c>
      <c r="E50" s="3">
        <v>17</v>
      </c>
      <c r="F50" s="3" t="str">
        <f>HYPERLINK("https://www.boe.es/gazeta/dias/1821/02/15/pdfs/GGB-1821-46.pdf","Abrir PDF")</f>
        <v>Abrir PDF</v>
      </c>
    </row>
    <row r="51" spans="1:6" ht="30.95" customHeight="1">
      <c r="A51" s="7">
        <v>-28806</v>
      </c>
      <c r="B51" s="2" t="s">
        <v>1201</v>
      </c>
      <c r="C51" s="2" t="s">
        <v>22365</v>
      </c>
      <c r="D51" s="3">
        <v>4</v>
      </c>
      <c r="E51" s="3">
        <v>33</v>
      </c>
      <c r="F51" s="3" t="str">
        <f>HYPERLINK("https://www.boe.es/gazeta/dias/1821/02/16/pdfs/GGB-1821-47.pdf","Abrir PDF")</f>
        <v>Abrir PDF</v>
      </c>
    </row>
    <row r="52" spans="1:6" ht="30.95" customHeight="1">
      <c r="A52" s="7">
        <v>-28805</v>
      </c>
      <c r="B52" s="2" t="s">
        <v>382</v>
      </c>
      <c r="C52" s="2" t="s">
        <v>22366</v>
      </c>
      <c r="D52" s="3">
        <v>4</v>
      </c>
      <c r="E52" s="3">
        <v>23</v>
      </c>
      <c r="F52" s="3" t="str">
        <f>HYPERLINK("https://www.boe.es/gazeta/dias/1821/02/17/pdfs/GGB-1821-48.pdf","Abrir PDF")</f>
        <v>Abrir PDF</v>
      </c>
    </row>
    <row r="53" spans="1:6" ht="30.95" customHeight="1">
      <c r="A53" s="7">
        <v>-28804</v>
      </c>
      <c r="B53" s="2" t="s">
        <v>1580</v>
      </c>
      <c r="C53" s="2" t="s">
        <v>22367</v>
      </c>
      <c r="D53" s="3">
        <v>4</v>
      </c>
      <c r="E53" s="3">
        <v>19</v>
      </c>
      <c r="F53" s="3" t="str">
        <f>HYPERLINK("https://www.boe.es/gazeta/dias/1821/02/18/pdfs/GGB-1821-49.pdf","Abrir PDF")</f>
        <v>Abrir PDF</v>
      </c>
    </row>
    <row r="54" spans="1:6" ht="30.95" customHeight="1">
      <c r="A54" s="7">
        <v>-28803</v>
      </c>
      <c r="B54" s="2" t="s">
        <v>320</v>
      </c>
      <c r="C54" s="2" t="s">
        <v>22368</v>
      </c>
      <c r="D54" s="3">
        <v>4</v>
      </c>
      <c r="E54" s="3">
        <v>11</v>
      </c>
      <c r="F54" s="3" t="str">
        <f>HYPERLINK("https://www.boe.es/gazeta/dias/1821/02/19/pdfs/GGB-1821-50.pdf","Abrir PDF")</f>
        <v>Abrir PDF</v>
      </c>
    </row>
    <row r="55" spans="1:6" ht="30.95" customHeight="1">
      <c r="A55" s="7">
        <v>-28802</v>
      </c>
      <c r="B55" s="2" t="s">
        <v>4814</v>
      </c>
      <c r="C55" s="2" t="s">
        <v>22369</v>
      </c>
      <c r="D55" s="3">
        <v>4</v>
      </c>
      <c r="E55" s="3">
        <v>11</v>
      </c>
      <c r="F55" s="3" t="str">
        <f>HYPERLINK("https://www.boe.es/gazeta/dias/1821/02/20/pdfs/GGB-1821-51.pdf","Abrir PDF")</f>
        <v>Abrir PDF</v>
      </c>
    </row>
    <row r="56" spans="1:6" ht="30.95" customHeight="1">
      <c r="A56" s="7">
        <v>-28801</v>
      </c>
      <c r="B56" s="2" t="s">
        <v>378</v>
      </c>
      <c r="C56" s="2" t="s">
        <v>22370</v>
      </c>
      <c r="D56" s="3">
        <v>4</v>
      </c>
      <c r="E56" s="3">
        <v>24</v>
      </c>
      <c r="F56" s="3" t="str">
        <f>HYPERLINK("https://www.boe.es/gazeta/dias/1821/02/21/pdfs/GGB-1821-52.pdf","Abrir PDF")</f>
        <v>Abrir PDF</v>
      </c>
    </row>
    <row r="57" spans="1:6" ht="30.95" customHeight="1">
      <c r="A57" s="7">
        <v>-28800</v>
      </c>
      <c r="B57" s="2" t="s">
        <v>1753</v>
      </c>
      <c r="C57" s="2" t="s">
        <v>22371</v>
      </c>
      <c r="D57" s="3">
        <v>4</v>
      </c>
      <c r="E57" s="3">
        <v>13</v>
      </c>
      <c r="F57" s="3" t="str">
        <f>HYPERLINK("https://www.boe.es/gazeta/dias/1821/02/22/pdfs/GGB-1821-53.pdf","Abrir PDF")</f>
        <v>Abrir PDF</v>
      </c>
    </row>
    <row r="58" spans="1:6" ht="30.95" customHeight="1">
      <c r="A58" s="7">
        <v>-28799</v>
      </c>
      <c r="B58" s="2" t="s">
        <v>3158</v>
      </c>
      <c r="C58" s="2" t="s">
        <v>22372</v>
      </c>
      <c r="D58" s="3">
        <v>4</v>
      </c>
      <c r="E58" s="3">
        <v>18</v>
      </c>
      <c r="F58" s="3" t="str">
        <f>HYPERLINK("https://www.boe.es/gazeta/dias/1821/02/23/pdfs/GGB-1821-54.pdf","Abrir PDF")</f>
        <v>Abrir PDF</v>
      </c>
    </row>
    <row r="59" spans="1:6" ht="30.95" customHeight="1">
      <c r="A59" s="7">
        <v>-28798</v>
      </c>
      <c r="B59" s="2" t="s">
        <v>60</v>
      </c>
      <c r="C59" s="2" t="s">
        <v>22373</v>
      </c>
      <c r="D59" s="3">
        <v>4</v>
      </c>
      <c r="E59" s="3">
        <v>38</v>
      </c>
      <c r="F59" s="3" t="str">
        <f>HYPERLINK("https://www.boe.es/gazeta/dias/1821/02/24/pdfs/GGB-1821-55.pdf","Abrir PDF")</f>
        <v>Abrir PDF</v>
      </c>
    </row>
    <row r="60" spans="1:6" ht="30.95" customHeight="1">
      <c r="A60" s="7">
        <v>-28797</v>
      </c>
      <c r="B60" s="2" t="s">
        <v>2281</v>
      </c>
      <c r="C60" s="2" t="s">
        <v>22374</v>
      </c>
      <c r="D60" s="3">
        <v>4</v>
      </c>
      <c r="E60" s="3">
        <v>12</v>
      </c>
      <c r="F60" s="3" t="str">
        <f>HYPERLINK("https://www.boe.es/gazeta/dias/1821/02/25/pdfs/GGB-1821-56.pdf","Abrir PDF")</f>
        <v>Abrir PDF</v>
      </c>
    </row>
    <row r="61" spans="1:6" ht="30.95" customHeight="1">
      <c r="A61" s="7">
        <v>-28796</v>
      </c>
      <c r="B61" s="2" t="s">
        <v>1421</v>
      </c>
      <c r="C61" s="2" t="s">
        <v>22375</v>
      </c>
      <c r="D61" s="3">
        <v>4</v>
      </c>
      <c r="E61" s="3">
        <v>28</v>
      </c>
      <c r="F61" s="3" t="str">
        <f>HYPERLINK("https://www.boe.es/gazeta/dias/1821/02/26/pdfs/GGB-1821-57.pdf","Abrir PDF")</f>
        <v>Abrir PDF</v>
      </c>
    </row>
    <row r="62" spans="1:6" ht="30.95" customHeight="1">
      <c r="A62" s="7">
        <v>-28795</v>
      </c>
      <c r="B62" s="2" t="s">
        <v>2287</v>
      </c>
      <c r="C62" s="2" t="s">
        <v>22376</v>
      </c>
      <c r="D62" s="3">
        <v>4</v>
      </c>
      <c r="E62" s="3">
        <v>9</v>
      </c>
      <c r="F62" s="3" t="str">
        <f>HYPERLINK("https://www.boe.es/gazeta/dias/1821/02/27/pdfs/GGB-1821-58.pdf","Abrir PDF")</f>
        <v>Abrir PDF</v>
      </c>
    </row>
    <row r="63" spans="1:6" ht="30.95" customHeight="1">
      <c r="A63" s="7">
        <v>-28794</v>
      </c>
      <c r="B63" s="2" t="s">
        <v>9661</v>
      </c>
      <c r="C63" s="2" t="s">
        <v>22377</v>
      </c>
      <c r="D63" s="3">
        <v>4</v>
      </c>
      <c r="E63" s="3">
        <v>2</v>
      </c>
      <c r="F63" s="3" t="str">
        <f>HYPERLINK("https://www.boe.es/gazeta/dias/1821/02/28/pdfs/GGB-1821-59.pdf","Abrir PDF")</f>
        <v>Abrir PDF</v>
      </c>
    </row>
    <row r="64" spans="1:6" ht="30.95" customHeight="1">
      <c r="A64" s="7">
        <v>-28793</v>
      </c>
      <c r="B64" s="2" t="s">
        <v>157</v>
      </c>
      <c r="C64" s="2" t="s">
        <v>22378</v>
      </c>
      <c r="D64" s="3">
        <v>6</v>
      </c>
      <c r="E64" s="3">
        <v>64</v>
      </c>
      <c r="F64" s="3" t="str">
        <f>HYPERLINK("https://www.boe.es/gazeta/dias/1821/03/01/pdfs/GGB-1821-60.pdf","Abrir PDF")</f>
        <v>Abrir PDF</v>
      </c>
    </row>
    <row r="65" spans="1:6" ht="30.95" customHeight="1">
      <c r="A65" s="7">
        <v>-28792</v>
      </c>
      <c r="B65" s="2" t="s">
        <v>2289</v>
      </c>
      <c r="C65" s="2" t="s">
        <v>22379</v>
      </c>
      <c r="D65" s="3">
        <v>4</v>
      </c>
      <c r="E65" s="3">
        <v>13</v>
      </c>
      <c r="F65" s="3" t="str">
        <f>HYPERLINK("https://www.boe.es/gazeta/dias/1821/03/02/pdfs/GGB-1821-61.pdf","Abrir PDF")</f>
        <v>Abrir PDF</v>
      </c>
    </row>
    <row r="66" spans="1:6" ht="30.95" customHeight="1">
      <c r="A66" s="7">
        <v>-28791</v>
      </c>
      <c r="B66" s="2" t="s">
        <v>47</v>
      </c>
      <c r="C66" s="2" t="s">
        <v>22380</v>
      </c>
      <c r="D66" s="3">
        <v>4</v>
      </c>
      <c r="E66" s="3">
        <v>50</v>
      </c>
      <c r="F66" s="3" t="str">
        <f>HYPERLINK("https://www.boe.es/gazeta/dias/1821/03/03/pdfs/GGB-1821-62.pdf","Abrir PDF")</f>
        <v>Abrir PDF</v>
      </c>
    </row>
    <row r="67" spans="1:6" ht="30.95" customHeight="1">
      <c r="A67" s="7">
        <v>-28790</v>
      </c>
      <c r="B67" s="2" t="s">
        <v>991</v>
      </c>
      <c r="C67" s="2" t="s">
        <v>22381</v>
      </c>
      <c r="D67" s="3">
        <v>4</v>
      </c>
      <c r="E67" s="3">
        <v>35</v>
      </c>
      <c r="F67" s="3" t="str">
        <f>HYPERLINK("https://www.boe.es/gazeta/dias/1821/03/04/pdfs/GGB-1821-63.pdf","Abrir PDF")</f>
        <v>Abrir PDF</v>
      </c>
    </row>
    <row r="68" spans="1:6" ht="30.95" customHeight="1">
      <c r="A68" s="7">
        <v>-28789</v>
      </c>
      <c r="B68" s="2" t="s">
        <v>36</v>
      </c>
      <c r="C68" s="2" t="s">
        <v>22382</v>
      </c>
      <c r="D68" s="3">
        <v>4</v>
      </c>
      <c r="E68" s="3">
        <v>55</v>
      </c>
      <c r="F68" s="3" t="str">
        <f>HYPERLINK("https://www.boe.es/gazeta/dias/1821/03/05/pdfs/GGB-1821-64.pdf","Abrir PDF")</f>
        <v>Abrir PDF</v>
      </c>
    </row>
    <row r="69" spans="1:6" ht="30.95" customHeight="1">
      <c r="A69" s="7">
        <v>-28788</v>
      </c>
      <c r="B69" s="2" t="s">
        <v>996</v>
      </c>
      <c r="C69" s="2" t="s">
        <v>22383</v>
      </c>
      <c r="D69" s="3">
        <v>4</v>
      </c>
      <c r="E69" s="3">
        <v>52</v>
      </c>
      <c r="F69" s="3" t="str">
        <f>HYPERLINK("https://www.boe.es/gazeta/dias/1821/03/06/pdfs/GGB-1821-65.pdf","Abrir PDF")</f>
        <v>Abrir PDF</v>
      </c>
    </row>
    <row r="70" spans="1:6" ht="30.95" customHeight="1">
      <c r="A70" s="7">
        <v>-28787</v>
      </c>
      <c r="B70" s="2" t="s">
        <v>486</v>
      </c>
      <c r="C70" s="2" t="s">
        <v>22384</v>
      </c>
      <c r="D70" s="3">
        <v>4</v>
      </c>
      <c r="E70" s="3">
        <v>48</v>
      </c>
      <c r="F70" s="3" t="str">
        <f>HYPERLINK("https://www.boe.es/gazeta/dias/1821/03/07/pdfs/GGB-1821-66.pdf","Abrir PDF")</f>
        <v>Abrir PDF</v>
      </c>
    </row>
    <row r="71" spans="1:6" ht="30.95" customHeight="1">
      <c r="A71" s="7">
        <v>-28786</v>
      </c>
      <c r="B71" s="2" t="s">
        <v>1933</v>
      </c>
      <c r="C71" s="2" t="s">
        <v>22385</v>
      </c>
      <c r="D71" s="3">
        <v>4</v>
      </c>
      <c r="E71" s="3">
        <v>32</v>
      </c>
      <c r="F71" s="3" t="str">
        <f>HYPERLINK("https://www.boe.es/gazeta/dias/1821/03/08/pdfs/GGB-1821-67.pdf","Abrir PDF")</f>
        <v>Abrir PDF</v>
      </c>
    </row>
    <row r="72" spans="1:6" ht="30.95" customHeight="1">
      <c r="A72" s="7">
        <v>-28785</v>
      </c>
      <c r="B72" s="2" t="s">
        <v>1935</v>
      </c>
      <c r="C72" s="2" t="s">
        <v>22386</v>
      </c>
      <c r="D72" s="3">
        <v>4</v>
      </c>
      <c r="E72" s="3">
        <v>26</v>
      </c>
      <c r="F72" s="3" t="str">
        <f>HYPERLINK("https://www.boe.es/gazeta/dias/1821/03/09/pdfs/GGB-1821-68.pdf","Abrir PDF")</f>
        <v>Abrir PDF</v>
      </c>
    </row>
    <row r="73" spans="1:6" ht="30.95" customHeight="1">
      <c r="A73" s="7">
        <v>-28784</v>
      </c>
      <c r="B73" s="2" t="s">
        <v>451</v>
      </c>
      <c r="C73" s="2" t="s">
        <v>22387</v>
      </c>
      <c r="D73" s="3">
        <v>4</v>
      </c>
      <c r="E73" s="3">
        <v>43</v>
      </c>
      <c r="F73" s="3" t="str">
        <f>HYPERLINK("https://www.boe.es/gazeta/dias/1821/03/10/pdfs/GGB-1821-69.pdf","Abrir PDF")</f>
        <v>Abrir PDF</v>
      </c>
    </row>
    <row r="74" spans="1:6" ht="30.95" customHeight="1">
      <c r="A74" s="7">
        <v>-28783</v>
      </c>
      <c r="B74" s="2" t="s">
        <v>198</v>
      </c>
      <c r="C74" s="2" t="s">
        <v>22388</v>
      </c>
      <c r="D74" s="3">
        <v>4</v>
      </c>
      <c r="E74" s="3">
        <v>50</v>
      </c>
      <c r="F74" s="3" t="str">
        <f>HYPERLINK("https://www.boe.es/gazeta/dias/1821/03/11/pdfs/GGB-1821-70.pdf","Abrir PDF")</f>
        <v>Abrir PDF</v>
      </c>
    </row>
    <row r="75" spans="1:6" ht="30.95" customHeight="1">
      <c r="A75" s="7">
        <v>-28782</v>
      </c>
      <c r="B75" s="2" t="s">
        <v>508</v>
      </c>
      <c r="C75" s="2" t="s">
        <v>22389</v>
      </c>
      <c r="D75" s="3">
        <v>4</v>
      </c>
      <c r="E75" s="3">
        <v>51</v>
      </c>
      <c r="F75" s="3" t="str">
        <f>HYPERLINK("https://www.boe.es/gazeta/dias/1821/03/12/pdfs/GMD-1821-71.pdf","Abrir PDF")</f>
        <v>Abrir PDF</v>
      </c>
    </row>
    <row r="76" spans="1:6" ht="30.95" customHeight="1">
      <c r="A76" s="7">
        <v>-28781</v>
      </c>
      <c r="B76" s="2" t="s">
        <v>149</v>
      </c>
      <c r="C76" s="2" t="s">
        <v>22390</v>
      </c>
      <c r="D76" s="3">
        <v>6</v>
      </c>
      <c r="E76" s="3">
        <v>50</v>
      </c>
      <c r="F76" s="3" t="str">
        <f>HYPERLINK("https://www.boe.es/gazeta/dias/1821/03/13/pdfs/GMD-1821-72.pdf","Abrir PDF")</f>
        <v>Abrir PDF</v>
      </c>
    </row>
    <row r="77" spans="1:6" ht="30.95" customHeight="1">
      <c r="A77" s="7">
        <v>-28780</v>
      </c>
      <c r="B77" s="2" t="s">
        <v>143</v>
      </c>
      <c r="C77" s="2" t="s">
        <v>22391</v>
      </c>
      <c r="D77" s="3">
        <v>4</v>
      </c>
      <c r="E77" s="3">
        <v>34</v>
      </c>
      <c r="F77" s="3" t="str">
        <f>HYPERLINK("https://www.boe.es/gazeta/dias/1821/03/14/pdfs/GMD-1821-73.pdf","Abrir PDF")</f>
        <v>Abrir PDF</v>
      </c>
    </row>
    <row r="78" spans="1:6" ht="30.95" customHeight="1">
      <c r="A78" s="7">
        <v>-28779</v>
      </c>
      <c r="B78" s="2" t="s">
        <v>1002</v>
      </c>
      <c r="C78" s="2" t="s">
        <v>22392</v>
      </c>
      <c r="D78" s="3">
        <v>4</v>
      </c>
      <c r="E78" s="3">
        <v>50</v>
      </c>
      <c r="F78" s="3" t="str">
        <f>HYPERLINK("https://www.boe.es/gazeta/dias/1821/03/15/pdfs/GMD-1821-74.pdf","Abrir PDF")</f>
        <v>Abrir PDF</v>
      </c>
    </row>
    <row r="79" spans="1:6" ht="30.95" customHeight="1">
      <c r="A79" s="7">
        <v>-28778</v>
      </c>
      <c r="B79" s="2" t="s">
        <v>1301</v>
      </c>
      <c r="C79" s="2" t="s">
        <v>22393</v>
      </c>
      <c r="D79" s="3">
        <v>6</v>
      </c>
      <c r="E79" s="3">
        <v>54</v>
      </c>
      <c r="F79" s="3" t="str">
        <f>HYPERLINK("https://www.boe.es/gazeta/dias/1821/03/16/pdfs/GMD-1821-75.pdf","Abrir PDF")</f>
        <v>Abrir PDF</v>
      </c>
    </row>
    <row r="80" spans="1:6" ht="30.95" customHeight="1">
      <c r="A80" s="7">
        <v>-28777</v>
      </c>
      <c r="B80" s="2" t="s">
        <v>1004</v>
      </c>
      <c r="C80" s="2" t="s">
        <v>22394</v>
      </c>
      <c r="D80" s="3">
        <v>6</v>
      </c>
      <c r="E80" s="3">
        <v>37</v>
      </c>
      <c r="F80" s="3" t="str">
        <f>HYPERLINK("https://www.boe.es/gazeta/dias/1821/03/17/pdfs/GMD-1821-76.pdf","Abrir PDF")</f>
        <v>Abrir PDF</v>
      </c>
    </row>
    <row r="81" spans="1:6" ht="30.95" customHeight="1">
      <c r="A81" s="7">
        <v>-28776</v>
      </c>
      <c r="B81" s="2" t="s">
        <v>312</v>
      </c>
      <c r="C81" s="2" t="s">
        <v>22395</v>
      </c>
      <c r="D81" s="3">
        <v>6</v>
      </c>
      <c r="E81" s="3">
        <v>74</v>
      </c>
      <c r="F81" s="3" t="str">
        <f>HYPERLINK("https://www.boe.es/gazeta/dias/1821/03/18/pdfs/GMD-1821-77.pdf","Abrir PDF")</f>
        <v>Abrir PDF</v>
      </c>
    </row>
    <row r="82" spans="1:6" ht="30.95" customHeight="1">
      <c r="A82" s="7">
        <v>-28775</v>
      </c>
      <c r="B82" s="2" t="s">
        <v>132</v>
      </c>
      <c r="C82" s="2" t="s">
        <v>22396</v>
      </c>
      <c r="D82" s="3">
        <v>4</v>
      </c>
      <c r="E82" s="3">
        <v>34</v>
      </c>
      <c r="F82" s="3" t="str">
        <f>HYPERLINK("https://www.boe.es/gazeta/dias/1821/03/19/pdfs/GMD-1821-78.pdf","Abrir PDF")</f>
        <v>Abrir PDF</v>
      </c>
    </row>
    <row r="83" spans="1:6" ht="30.95" customHeight="1">
      <c r="A83" s="7">
        <v>-28774</v>
      </c>
      <c r="B83" s="2" t="s">
        <v>1221</v>
      </c>
      <c r="C83" s="2" t="s">
        <v>22397</v>
      </c>
      <c r="D83" s="3">
        <v>6</v>
      </c>
      <c r="E83" s="3">
        <v>48</v>
      </c>
      <c r="F83" s="3" t="str">
        <f>HYPERLINK("https://www.boe.es/gazeta/dias/1821/03/20/pdfs/GMD-1821-79.pdf","Abrir PDF")</f>
        <v>Abrir PDF</v>
      </c>
    </row>
    <row r="84" spans="1:6" ht="30.95" customHeight="1">
      <c r="A84" s="7">
        <v>-28773</v>
      </c>
      <c r="B84" s="2" t="s">
        <v>1755</v>
      </c>
      <c r="C84" s="2" t="s">
        <v>22398</v>
      </c>
      <c r="D84" s="3">
        <v>6</v>
      </c>
      <c r="E84" s="3">
        <v>50</v>
      </c>
      <c r="F84" s="3" t="str">
        <f>HYPERLINK("https://www.boe.es/gazeta/dias/1821/03/21/pdfs/GMD-1821-80.pdf","Abrir PDF")</f>
        <v>Abrir PDF</v>
      </c>
    </row>
    <row r="85" spans="1:6" ht="30.95" customHeight="1">
      <c r="A85" s="7">
        <v>-28772</v>
      </c>
      <c r="B85" s="2" t="s">
        <v>62</v>
      </c>
      <c r="C85" s="2" t="s">
        <v>22399</v>
      </c>
      <c r="D85" s="3">
        <v>4</v>
      </c>
      <c r="E85" s="3">
        <v>40</v>
      </c>
      <c r="F85" s="3" t="str">
        <f>HYPERLINK("https://www.boe.es/gazeta/dias/1821/03/22/pdfs/GMD-1821-81.pdf","Abrir PDF")</f>
        <v>Abrir PDF</v>
      </c>
    </row>
    <row r="86" spans="1:6" ht="30.95" customHeight="1">
      <c r="A86" s="7">
        <v>-28772</v>
      </c>
      <c r="B86" s="2" t="s">
        <v>22400</v>
      </c>
      <c r="C86" s="2" t="s">
        <v>22401</v>
      </c>
      <c r="D86" s="3">
        <v>1</v>
      </c>
      <c r="E86" s="3">
        <v>0</v>
      </c>
      <c r="F86" s="3" t="str">
        <f>HYPERLINK("https://www.boe.es/gazeta/dias/1821/03/22/pdfs/GMD-1821-82E.pdf","Abrir PDF")</f>
        <v>Abrir PDF</v>
      </c>
    </row>
    <row r="87" spans="1:6" ht="30.95" customHeight="1">
      <c r="A87" s="7">
        <v>-28771</v>
      </c>
      <c r="B87" s="2" t="s">
        <v>110</v>
      </c>
      <c r="C87" s="2" t="s">
        <v>22402</v>
      </c>
      <c r="D87" s="3">
        <v>6</v>
      </c>
      <c r="E87" s="3">
        <v>27</v>
      </c>
      <c r="F87" s="3" t="str">
        <f>HYPERLINK("https://www.boe.es/gazeta/dias/1821/03/23/pdfs/GMD-1821-83.pdf","Abrir PDF")</f>
        <v>Abrir PDF</v>
      </c>
    </row>
    <row r="88" spans="1:6" ht="30.95" customHeight="1">
      <c r="A88" s="7">
        <v>-28770</v>
      </c>
      <c r="B88" s="2" t="s">
        <v>1009</v>
      </c>
      <c r="C88" s="2" t="s">
        <v>22403</v>
      </c>
      <c r="D88" s="3">
        <v>6</v>
      </c>
      <c r="E88" s="3">
        <v>56</v>
      </c>
      <c r="F88" s="3" t="str">
        <f>HYPERLINK("https://www.boe.es/gazeta/dias/1821/03/24/pdfs/GMD-1821-84.pdf","Abrir PDF")</f>
        <v>Abrir PDF</v>
      </c>
    </row>
    <row r="89" spans="1:6" ht="30.95" customHeight="1">
      <c r="A89" s="7">
        <v>-28769</v>
      </c>
      <c r="B89" s="2" t="s">
        <v>489</v>
      </c>
      <c r="C89" s="2" t="s">
        <v>22404</v>
      </c>
      <c r="D89" s="3">
        <v>4</v>
      </c>
      <c r="E89" s="3">
        <v>11</v>
      </c>
      <c r="F89" s="3" t="str">
        <f>HYPERLINK("https://www.boe.es/gazeta/dias/1821/03/25/pdfs/GMD-1821-85.pdf","Abrir PDF")</f>
        <v>Abrir PDF</v>
      </c>
    </row>
    <row r="90" spans="1:6" ht="30.95" customHeight="1">
      <c r="A90" s="7">
        <v>-28768</v>
      </c>
      <c r="B90" s="2" t="s">
        <v>1114</v>
      </c>
      <c r="C90" s="2" t="s">
        <v>22405</v>
      </c>
      <c r="D90" s="3">
        <v>4</v>
      </c>
      <c r="E90" s="3">
        <v>12</v>
      </c>
      <c r="F90" s="3" t="str">
        <f>HYPERLINK("https://www.boe.es/gazeta/dias/1821/03/26/pdfs/GMD-1821-86.pdf","Abrir PDF")</f>
        <v>Abrir PDF</v>
      </c>
    </row>
    <row r="91" spans="1:6" ht="30.95" customHeight="1">
      <c r="A91" s="7">
        <v>-28767</v>
      </c>
      <c r="B91" s="2" t="s">
        <v>1439</v>
      </c>
      <c r="C91" s="2" t="s">
        <v>22406</v>
      </c>
      <c r="D91" s="3">
        <v>4</v>
      </c>
      <c r="E91" s="3">
        <v>20</v>
      </c>
      <c r="F91" s="3" t="str">
        <f>HYPERLINK("https://www.boe.es/gazeta/dias/1821/03/27/pdfs/GMD-1821-87.pdf","Abrir PDF")</f>
        <v>Abrir PDF</v>
      </c>
    </row>
    <row r="92" spans="1:6" ht="30.95" customHeight="1">
      <c r="A92" s="7">
        <v>-28766</v>
      </c>
      <c r="B92" s="2" t="s">
        <v>1481</v>
      </c>
      <c r="C92" s="2" t="s">
        <v>22407</v>
      </c>
      <c r="D92" s="3">
        <v>4</v>
      </c>
      <c r="E92" s="3">
        <v>29</v>
      </c>
      <c r="F92" s="3" t="str">
        <f>HYPERLINK("https://www.boe.es/gazeta/dias/1821/03/28/pdfs/GMD-1821-88.pdf","Abrir PDF")</f>
        <v>Abrir PDF</v>
      </c>
    </row>
    <row r="93" spans="1:6" ht="30.95" customHeight="1">
      <c r="A93" s="7">
        <v>-28766</v>
      </c>
      <c r="B93" s="2" t="s">
        <v>406</v>
      </c>
      <c r="C93" s="2" t="s">
        <v>22408</v>
      </c>
      <c r="D93" s="3">
        <v>1</v>
      </c>
      <c r="E93" s="3">
        <v>2</v>
      </c>
      <c r="F93" s="3" t="str">
        <f>HYPERLINK("https://www.boe.es/gazeta/dias/1821/03/28/pdfs/GMD-1821-89E.pdf","Abrir PDF")</f>
        <v>Abrir PDF</v>
      </c>
    </row>
    <row r="94" spans="1:6" ht="30.95" customHeight="1">
      <c r="A94" s="7">
        <v>-28765</v>
      </c>
      <c r="B94" s="2" t="s">
        <v>974</v>
      </c>
      <c r="C94" s="2" t="s">
        <v>22409</v>
      </c>
      <c r="D94" s="3">
        <v>4</v>
      </c>
      <c r="E94" s="3">
        <v>46</v>
      </c>
      <c r="F94" s="3" t="str">
        <f>HYPERLINK("https://www.boe.es/gazeta/dias/1821/03/29/pdfs/GMD-1821-90.pdf","Abrir PDF")</f>
        <v>Abrir PDF</v>
      </c>
    </row>
    <row r="95" spans="1:6" ht="30.95" customHeight="1">
      <c r="A95" s="7">
        <v>-28764</v>
      </c>
      <c r="B95" s="2" t="s">
        <v>924</v>
      </c>
      <c r="C95" s="2" t="s">
        <v>22410</v>
      </c>
      <c r="D95" s="3">
        <v>4</v>
      </c>
      <c r="E95" s="3">
        <v>42</v>
      </c>
      <c r="F95" s="3" t="str">
        <f>HYPERLINK("https://www.boe.es/gazeta/dias/1821/03/30/pdfs/GMD-1821-91.pdf","Abrir PDF")</f>
        <v>Abrir PDF</v>
      </c>
    </row>
    <row r="96" spans="1:6" ht="30.95" customHeight="1">
      <c r="A96" s="7">
        <v>-28763</v>
      </c>
      <c r="B96" s="2" t="s">
        <v>1145</v>
      </c>
      <c r="C96" s="2" t="s">
        <v>22411</v>
      </c>
      <c r="D96" s="3">
        <v>4</v>
      </c>
      <c r="E96" s="3">
        <v>43</v>
      </c>
      <c r="F96" s="3" t="str">
        <f>HYPERLINK("https://www.boe.es/gazeta/dias/1821/03/31/pdfs/GMD-1821-92.pdf","Abrir PDF")</f>
        <v>Abrir PDF</v>
      </c>
    </row>
    <row r="97" spans="1:6" ht="30.95" customHeight="1">
      <c r="A97" s="7">
        <v>-28762</v>
      </c>
      <c r="B97" s="2" t="s">
        <v>608</v>
      </c>
      <c r="C97" s="2" t="s">
        <v>22412</v>
      </c>
      <c r="D97" s="3">
        <v>8</v>
      </c>
      <c r="E97" s="3">
        <v>61</v>
      </c>
      <c r="F97" s="3" t="str">
        <f>HYPERLINK("https://www.boe.es/gazeta/dias/1821/04/01/pdfs/GMD-1821-93.pdf","Abrir PDF")</f>
        <v>Abrir PDF</v>
      </c>
    </row>
    <row r="98" spans="1:6" ht="30.95" customHeight="1">
      <c r="A98" s="7">
        <v>-28761</v>
      </c>
      <c r="B98" s="2" t="s">
        <v>771</v>
      </c>
      <c r="C98" s="2" t="s">
        <v>22413</v>
      </c>
      <c r="D98" s="3">
        <v>4</v>
      </c>
      <c r="E98" s="3">
        <v>24</v>
      </c>
      <c r="F98" s="3" t="str">
        <f>HYPERLINK("https://www.boe.es/gazeta/dias/1821/04/02/pdfs/GMD-1821-94.pdf","Abrir PDF")</f>
        <v>Abrir PDF</v>
      </c>
    </row>
    <row r="99" spans="1:6" ht="30.95" customHeight="1">
      <c r="A99" s="7">
        <v>-28760</v>
      </c>
      <c r="B99" s="2" t="s">
        <v>170</v>
      </c>
      <c r="C99" s="2" t="s">
        <v>22414</v>
      </c>
      <c r="D99" s="3">
        <v>4</v>
      </c>
      <c r="E99" s="3">
        <v>43</v>
      </c>
      <c r="F99" s="3" t="str">
        <f>HYPERLINK("https://www.boe.es/gazeta/dias/1821/04/03/pdfs/GMD-1821-95.pdf","Abrir PDF")</f>
        <v>Abrir PDF</v>
      </c>
    </row>
    <row r="100" spans="1:6" ht="30.95" customHeight="1">
      <c r="A100" s="7">
        <v>-28759</v>
      </c>
      <c r="B100" s="2" t="s">
        <v>71</v>
      </c>
      <c r="C100" s="2" t="s">
        <v>22415</v>
      </c>
      <c r="D100" s="3">
        <v>4</v>
      </c>
      <c r="E100" s="3">
        <v>34</v>
      </c>
      <c r="F100" s="3" t="str">
        <f>HYPERLINK("https://www.boe.es/gazeta/dias/1821/04/04/pdfs/GMD-1821-96.pdf","Abrir PDF")</f>
        <v>Abrir PDF</v>
      </c>
    </row>
    <row r="101" spans="1:6" ht="30.95" customHeight="1">
      <c r="A101" s="7">
        <v>-28758</v>
      </c>
      <c r="B101" s="2" t="s">
        <v>4115</v>
      </c>
      <c r="C101" s="2" t="s">
        <v>22416</v>
      </c>
      <c r="D101" s="3">
        <v>4</v>
      </c>
      <c r="E101" s="3">
        <v>33</v>
      </c>
      <c r="F101" s="3" t="str">
        <f>HYPERLINK("https://www.boe.es/gazeta/dias/1821/04/05/pdfs/GMD-1821-97.pdf","Abrir PDF")</f>
        <v>Abrir PDF</v>
      </c>
    </row>
    <row r="102" spans="1:6" ht="30.95" customHeight="1">
      <c r="A102" s="7">
        <v>-28757</v>
      </c>
      <c r="B102" s="2" t="s">
        <v>472</v>
      </c>
      <c r="C102" s="2" t="s">
        <v>22417</v>
      </c>
      <c r="D102" s="3">
        <v>4</v>
      </c>
      <c r="E102" s="3">
        <v>45</v>
      </c>
      <c r="F102" s="3" t="str">
        <f>HYPERLINK("https://www.boe.es/gazeta/dias/1821/04/06/pdfs/GMD-1821-98.pdf","Abrir PDF")</f>
        <v>Abrir PDF</v>
      </c>
    </row>
    <row r="103" spans="1:6" ht="30.95" customHeight="1">
      <c r="A103" s="7">
        <v>-28756</v>
      </c>
      <c r="B103" s="2" t="s">
        <v>3145</v>
      </c>
      <c r="C103" s="2" t="s">
        <v>22418</v>
      </c>
      <c r="D103" s="3">
        <v>4</v>
      </c>
      <c r="E103" s="3">
        <v>38</v>
      </c>
      <c r="F103" s="3" t="str">
        <f>HYPERLINK("https://www.boe.es/gazeta/dias/1821/04/07/pdfs/GMD-1821-99.pdf","Abrir PDF")</f>
        <v>Abrir PDF</v>
      </c>
    </row>
    <row r="104" spans="1:6" ht="30.95" customHeight="1">
      <c r="A104" s="7">
        <v>-28755</v>
      </c>
      <c r="B104" s="2" t="s">
        <v>906</v>
      </c>
      <c r="C104" s="2" t="s">
        <v>22419</v>
      </c>
      <c r="D104" s="3">
        <v>4</v>
      </c>
      <c r="E104" s="3">
        <v>63</v>
      </c>
      <c r="F104" s="3" t="str">
        <f>HYPERLINK("https://www.boe.es/gazeta/dias/1821/04/08/pdfs/GMD-1821-100.pdf","Abrir PDF")</f>
        <v>Abrir PDF</v>
      </c>
    </row>
    <row r="105" spans="1:6" ht="30.95" customHeight="1">
      <c r="A105" s="7">
        <v>-28754</v>
      </c>
      <c r="B105" s="2" t="s">
        <v>1942</v>
      </c>
      <c r="C105" s="2" t="s">
        <v>22420</v>
      </c>
      <c r="D105" s="3">
        <v>4</v>
      </c>
      <c r="E105" s="3">
        <v>27</v>
      </c>
      <c r="F105" s="3" t="str">
        <f>HYPERLINK("https://www.boe.es/gazeta/dias/1821/04/09/pdfs/GMD-1821-101.pdf","Abrir PDF")</f>
        <v>Abrir PDF</v>
      </c>
    </row>
    <row r="106" spans="1:6" ht="30.95" customHeight="1">
      <c r="A106" s="7">
        <v>-28753</v>
      </c>
      <c r="B106" s="2" t="s">
        <v>720</v>
      </c>
      <c r="C106" s="2" t="s">
        <v>22421</v>
      </c>
      <c r="D106" s="3">
        <v>4</v>
      </c>
      <c r="E106" s="3">
        <v>33</v>
      </c>
      <c r="F106" s="3" t="str">
        <f>HYPERLINK("https://www.boe.es/gazeta/dias/1821/04/10/pdfs/GMD-1821-102.pdf","Abrir PDF")</f>
        <v>Abrir PDF</v>
      </c>
    </row>
    <row r="107" spans="1:6" ht="30.95" customHeight="1">
      <c r="A107" s="7">
        <v>-28752</v>
      </c>
      <c r="B107" s="2" t="s">
        <v>1012</v>
      </c>
      <c r="C107" s="2" t="s">
        <v>22422</v>
      </c>
      <c r="D107" s="3">
        <v>4</v>
      </c>
      <c r="E107" s="3">
        <v>40</v>
      </c>
      <c r="F107" s="3" t="str">
        <f>HYPERLINK("https://www.boe.es/gazeta/dias/1821/04/11/pdfs/GMD-1821-103.pdf","Abrir PDF")</f>
        <v>Abrir PDF</v>
      </c>
    </row>
    <row r="108" spans="1:6" ht="30.95" customHeight="1">
      <c r="A108" s="7">
        <v>-28751</v>
      </c>
      <c r="B108" s="2" t="s">
        <v>356</v>
      </c>
      <c r="C108" s="2" t="s">
        <v>22423</v>
      </c>
      <c r="D108" s="3">
        <v>4</v>
      </c>
      <c r="E108" s="3">
        <v>44</v>
      </c>
      <c r="F108" s="3" t="str">
        <f>HYPERLINK("https://www.boe.es/gazeta/dias/1821/04/12/pdfs/GMD-1821-104.pdf","Abrir PDF")</f>
        <v>Abrir PDF</v>
      </c>
    </row>
    <row r="109" spans="1:6" ht="30.95" customHeight="1">
      <c r="A109" s="7">
        <v>-28750</v>
      </c>
      <c r="B109" s="2" t="s">
        <v>917</v>
      </c>
      <c r="C109" s="2" t="s">
        <v>22424</v>
      </c>
      <c r="D109" s="3">
        <v>4</v>
      </c>
      <c r="E109" s="3">
        <v>51</v>
      </c>
      <c r="F109" s="3" t="str">
        <f>HYPERLINK("https://www.boe.es/gazeta/dias/1821/04/13/pdfs/GMD-1821-105.pdf","Abrir PDF")</f>
        <v>Abrir PDF</v>
      </c>
    </row>
    <row r="110" spans="1:6" ht="30.95" customHeight="1">
      <c r="A110" s="7">
        <v>-28749</v>
      </c>
      <c r="B110" s="2" t="s">
        <v>832</v>
      </c>
      <c r="C110" s="2" t="s">
        <v>22425</v>
      </c>
      <c r="D110" s="3">
        <v>4</v>
      </c>
      <c r="E110" s="3">
        <v>52</v>
      </c>
      <c r="F110" s="3" t="str">
        <f>HYPERLINK("https://www.boe.es/gazeta/dias/1821/04/14/pdfs/GMD-1821-106.pdf","Abrir PDF")</f>
        <v>Abrir PDF</v>
      </c>
    </row>
    <row r="111" spans="1:6" ht="30.95" customHeight="1">
      <c r="A111" s="7">
        <v>-28748</v>
      </c>
      <c r="B111" s="2" t="s">
        <v>634</v>
      </c>
      <c r="C111" s="2" t="s">
        <v>22426</v>
      </c>
      <c r="D111" s="3">
        <v>4</v>
      </c>
      <c r="E111" s="3">
        <v>33</v>
      </c>
      <c r="F111" s="3" t="str">
        <f>HYPERLINK("https://www.boe.es/gazeta/dias/1821/04/15/pdfs/GMD-1821-107.pdf","Abrir PDF")</f>
        <v>Abrir PDF</v>
      </c>
    </row>
    <row r="112" spans="1:6" ht="30.95" customHeight="1">
      <c r="A112" s="7">
        <v>-28747</v>
      </c>
      <c r="B112" s="2" t="s">
        <v>1016</v>
      </c>
      <c r="C112" s="2" t="s">
        <v>22427</v>
      </c>
      <c r="D112" s="3">
        <v>4</v>
      </c>
      <c r="E112" s="3">
        <v>39</v>
      </c>
      <c r="F112" s="3" t="str">
        <f>HYPERLINK("https://www.boe.es/gazeta/dias/1821/04/16/pdfs/GMD-1821-108.pdf","Abrir PDF")</f>
        <v>Abrir PDF</v>
      </c>
    </row>
    <row r="113" spans="1:6" ht="30.95" customHeight="1">
      <c r="A113" s="7">
        <v>-28746</v>
      </c>
      <c r="B113" s="2" t="s">
        <v>687</v>
      </c>
      <c r="C113" s="2" t="s">
        <v>22428</v>
      </c>
      <c r="D113" s="3">
        <v>8</v>
      </c>
      <c r="E113" s="3">
        <v>91</v>
      </c>
      <c r="F113" s="3" t="str">
        <f>HYPERLINK("https://www.boe.es/gazeta/dias/1821/04/17/pdfs/GMD-1821-109.pdf","Abrir PDF")</f>
        <v>Abrir PDF</v>
      </c>
    </row>
    <row r="114" spans="1:6" ht="30.95" customHeight="1">
      <c r="A114" s="7">
        <v>-28745</v>
      </c>
      <c r="B114" s="2" t="s">
        <v>1020</v>
      </c>
      <c r="C114" s="2" t="s">
        <v>22429</v>
      </c>
      <c r="D114" s="3">
        <v>4</v>
      </c>
      <c r="E114" s="3">
        <v>44</v>
      </c>
      <c r="F114" s="3" t="str">
        <f>HYPERLINK("https://www.boe.es/gazeta/dias/1821/04/18/pdfs/GMD-1821-110.pdf","Abrir PDF")</f>
        <v>Abrir PDF</v>
      </c>
    </row>
    <row r="115" spans="1:6" ht="30.95" customHeight="1">
      <c r="A115" s="7">
        <v>-28744</v>
      </c>
      <c r="B115" s="2" t="s">
        <v>834</v>
      </c>
      <c r="C115" s="2" t="s">
        <v>22430</v>
      </c>
      <c r="D115" s="3">
        <v>4</v>
      </c>
      <c r="E115" s="3">
        <v>42</v>
      </c>
      <c r="F115" s="3" t="str">
        <f>HYPERLINK("https://www.boe.es/gazeta/dias/1821/04/19/pdfs/GMD-1821-111.pdf","Abrir PDF")</f>
        <v>Abrir PDF</v>
      </c>
    </row>
    <row r="116" spans="1:6" ht="30.95" customHeight="1">
      <c r="A116" s="7">
        <v>-28743</v>
      </c>
      <c r="B116" s="2" t="s">
        <v>51</v>
      </c>
      <c r="C116" s="2" t="s">
        <v>22431</v>
      </c>
      <c r="D116" s="3">
        <v>4</v>
      </c>
      <c r="E116" s="3">
        <v>47</v>
      </c>
      <c r="F116" s="3" t="str">
        <f>HYPERLINK("https://www.boe.es/gazeta/dias/1821/04/20/pdfs/GMD-1821-112.pdf","Abrir PDF")</f>
        <v>Abrir PDF</v>
      </c>
    </row>
    <row r="117" spans="1:6" ht="30.95" customHeight="1">
      <c r="A117" s="7">
        <v>-28742</v>
      </c>
      <c r="B117" s="2" t="s">
        <v>324</v>
      </c>
      <c r="C117" s="2" t="s">
        <v>22432</v>
      </c>
      <c r="D117" s="3">
        <v>4</v>
      </c>
      <c r="E117" s="3">
        <v>24</v>
      </c>
      <c r="F117" s="3" t="str">
        <f>HYPERLINK("https://www.boe.es/gazeta/dias/1821/04/21/pdfs/GMD-1821-113.pdf","Abrir PDF")</f>
        <v>Abrir PDF</v>
      </c>
    </row>
    <row r="118" spans="1:6" ht="30.95" customHeight="1">
      <c r="A118" s="7">
        <v>-28741</v>
      </c>
      <c r="B118" s="2" t="s">
        <v>1841</v>
      </c>
      <c r="C118" s="2" t="s">
        <v>22433</v>
      </c>
      <c r="D118" s="3">
        <v>4</v>
      </c>
      <c r="E118" s="3">
        <v>29</v>
      </c>
      <c r="F118" s="3" t="str">
        <f>HYPERLINK("https://www.boe.es/gazeta/dias/1821/04/22/pdfs/GMD-1821-114.pdf","Abrir PDF")</f>
        <v>Abrir PDF</v>
      </c>
    </row>
    <row r="119" spans="1:6" ht="30.95" customHeight="1">
      <c r="A119" s="7">
        <v>-28740</v>
      </c>
      <c r="B119" s="2" t="s">
        <v>2800</v>
      </c>
      <c r="C119" s="2" t="s">
        <v>22434</v>
      </c>
      <c r="D119" s="3">
        <v>4</v>
      </c>
      <c r="E119" s="3">
        <v>25</v>
      </c>
      <c r="F119" s="3" t="str">
        <f>HYPERLINK("https://www.boe.es/gazeta/dias/1821/04/23/pdfs/GMD-1821-115.pdf","Abrir PDF")</f>
        <v>Abrir PDF</v>
      </c>
    </row>
    <row r="120" spans="1:6" ht="30.95" customHeight="1">
      <c r="A120" s="7">
        <v>-28739</v>
      </c>
      <c r="B120" s="2" t="s">
        <v>1024</v>
      </c>
      <c r="C120" s="2" t="s">
        <v>22435</v>
      </c>
      <c r="D120" s="3">
        <v>4</v>
      </c>
      <c r="E120" s="3">
        <v>34</v>
      </c>
      <c r="F120" s="3" t="str">
        <f>HYPERLINK("https://www.boe.es/gazeta/dias/1821/04/24/pdfs/GMD-1821-116.pdf","Abrir PDF")</f>
        <v>Abrir PDF</v>
      </c>
    </row>
    <row r="121" spans="1:6" ht="30.95" customHeight="1">
      <c r="A121" s="7">
        <v>-28738</v>
      </c>
      <c r="B121" s="2" t="s">
        <v>359</v>
      </c>
      <c r="C121" s="2" t="s">
        <v>22436</v>
      </c>
      <c r="D121" s="3">
        <v>4</v>
      </c>
      <c r="E121" s="3">
        <v>65</v>
      </c>
      <c r="F121" s="3" t="str">
        <f>HYPERLINK("https://www.boe.es/gazeta/dias/1821/04/25/pdfs/GMD-1821-117.pdf","Abrir PDF")</f>
        <v>Abrir PDF</v>
      </c>
    </row>
    <row r="122" spans="1:6" ht="30.95" customHeight="1">
      <c r="A122" s="7">
        <v>-28737</v>
      </c>
      <c r="B122" s="2" t="s">
        <v>732</v>
      </c>
      <c r="C122" s="2" t="s">
        <v>22437</v>
      </c>
      <c r="D122" s="3">
        <v>4</v>
      </c>
      <c r="E122" s="3">
        <v>35</v>
      </c>
      <c r="F122" s="3" t="str">
        <f>HYPERLINK("https://www.boe.es/gazeta/dias/1821/04/26/pdfs/GMD-1821-118.pdf","Abrir PDF")</f>
        <v>Abrir PDF</v>
      </c>
    </row>
    <row r="123" spans="1:6" ht="30.95" customHeight="1">
      <c r="A123" s="7">
        <v>-28736</v>
      </c>
      <c r="B123" s="2" t="s">
        <v>464</v>
      </c>
      <c r="C123" s="2" t="s">
        <v>22438</v>
      </c>
      <c r="D123" s="3">
        <v>4</v>
      </c>
      <c r="E123" s="3">
        <v>28</v>
      </c>
      <c r="F123" s="3" t="str">
        <f>HYPERLINK("https://www.boe.es/gazeta/dias/1821/04/27/pdfs/GMD-1821-119.pdf","Abrir PDF")</f>
        <v>Abrir PDF</v>
      </c>
    </row>
    <row r="124" spans="1:6" ht="30.95" customHeight="1">
      <c r="A124" s="7">
        <v>-28735</v>
      </c>
      <c r="B124" s="2" t="s">
        <v>836</v>
      </c>
      <c r="C124" s="2" t="s">
        <v>22439</v>
      </c>
      <c r="D124" s="3">
        <v>4</v>
      </c>
      <c r="E124" s="3">
        <v>51</v>
      </c>
      <c r="F124" s="3" t="str">
        <f>HYPERLINK("https://www.boe.es/gazeta/dias/1821/04/28/pdfs/GMD-1821-120.pdf","Abrir PDF")</f>
        <v>Abrir PDF</v>
      </c>
    </row>
    <row r="125" spans="1:6" ht="30.95" customHeight="1">
      <c r="A125" s="7">
        <v>-28734</v>
      </c>
      <c r="B125" s="2" t="s">
        <v>1553</v>
      </c>
      <c r="C125" s="2" t="s">
        <v>22440</v>
      </c>
      <c r="D125" s="3">
        <v>4</v>
      </c>
      <c r="E125" s="3">
        <v>33</v>
      </c>
      <c r="F125" s="3" t="str">
        <f>HYPERLINK("https://www.boe.es/gazeta/dias/1821/04/29/pdfs/GMD-1821-121.pdf","Abrir PDF")</f>
        <v>Abrir PDF</v>
      </c>
    </row>
    <row r="126" spans="1:6" ht="30.95" customHeight="1">
      <c r="A126" s="7">
        <v>-28733</v>
      </c>
      <c r="B126" s="2" t="s">
        <v>1033</v>
      </c>
      <c r="C126" s="2" t="s">
        <v>22441</v>
      </c>
      <c r="D126" s="3">
        <v>4</v>
      </c>
      <c r="E126" s="3">
        <v>43</v>
      </c>
      <c r="F126" s="3" t="str">
        <f>HYPERLINK("https://www.boe.es/gazeta/dias/1821/04/30/pdfs/GMD-1821-122.pdf","Abrir PDF")</f>
        <v>Abrir PDF</v>
      </c>
    </row>
    <row r="127" spans="1:6" ht="30.95" customHeight="1">
      <c r="A127" s="7">
        <v>-28732</v>
      </c>
      <c r="B127" s="2" t="s">
        <v>2628</v>
      </c>
      <c r="C127" s="2" t="s">
        <v>22442</v>
      </c>
      <c r="D127" s="3">
        <v>4</v>
      </c>
      <c r="E127" s="3">
        <v>29</v>
      </c>
      <c r="F127" s="3" t="str">
        <f>HYPERLINK("https://www.boe.es/gazeta/dias/1821/05/01/pdfs/GMD-1821-123.pdf","Abrir PDF")</f>
        <v>Abrir PDF</v>
      </c>
    </row>
    <row r="128" spans="1:6" ht="30.95" customHeight="1">
      <c r="A128" s="7">
        <v>-28731</v>
      </c>
      <c r="B128" s="2" t="s">
        <v>577</v>
      </c>
      <c r="C128" s="2" t="s">
        <v>22443</v>
      </c>
      <c r="D128" s="3">
        <v>4</v>
      </c>
      <c r="E128" s="3">
        <v>54</v>
      </c>
      <c r="F128" s="3" t="str">
        <f>HYPERLINK("https://www.boe.es/gazeta/dias/1821/05/02/pdfs/GMD-1821-124.pdf","Abrir PDF")</f>
        <v>Abrir PDF</v>
      </c>
    </row>
    <row r="129" spans="1:6" ht="30.95" customHeight="1">
      <c r="A129" s="7">
        <v>-28730</v>
      </c>
      <c r="B129" s="2" t="s">
        <v>747</v>
      </c>
      <c r="C129" s="2" t="s">
        <v>22444</v>
      </c>
      <c r="D129" s="3">
        <v>4</v>
      </c>
      <c r="E129" s="3">
        <v>36</v>
      </c>
      <c r="F129" s="3" t="str">
        <f>HYPERLINK("https://www.boe.es/gazeta/dias/1821/05/03/pdfs/GMD-1821-125.pdf","Abrir PDF")</f>
        <v>Abrir PDF</v>
      </c>
    </row>
    <row r="130" spans="1:6" ht="30.95" customHeight="1">
      <c r="A130" s="7">
        <v>-28729</v>
      </c>
      <c r="B130" s="2" t="s">
        <v>838</v>
      </c>
      <c r="C130" s="2" t="s">
        <v>22445</v>
      </c>
      <c r="D130" s="3">
        <v>4</v>
      </c>
      <c r="E130" s="3">
        <v>51</v>
      </c>
      <c r="F130" s="3" t="str">
        <f>HYPERLINK("https://www.boe.es/gazeta/dias/1821/05/04/pdfs/GMD-1821-126.pdf","Abrir PDF")</f>
        <v>Abrir PDF</v>
      </c>
    </row>
    <row r="131" spans="1:6" ht="30.95" customHeight="1">
      <c r="A131" s="7">
        <v>-28728</v>
      </c>
      <c r="B131" s="2" t="s">
        <v>1038</v>
      </c>
      <c r="C131" s="2" t="s">
        <v>22446</v>
      </c>
      <c r="D131" s="3">
        <v>4</v>
      </c>
      <c r="E131" s="3">
        <v>32</v>
      </c>
      <c r="F131" s="3" t="str">
        <f>HYPERLINK("https://www.boe.es/gazeta/dias/1821/05/05/pdfs/GMD-1821-127.pdf","Abrir PDF")</f>
        <v>Abrir PDF</v>
      </c>
    </row>
    <row r="132" spans="1:6" ht="30.95" customHeight="1">
      <c r="A132" s="7">
        <v>-28727</v>
      </c>
      <c r="B132" s="2" t="s">
        <v>200</v>
      </c>
      <c r="C132" s="2" t="s">
        <v>22447</v>
      </c>
      <c r="D132" s="3">
        <v>4</v>
      </c>
      <c r="E132" s="3">
        <v>38</v>
      </c>
      <c r="F132" s="3" t="str">
        <f>HYPERLINK("https://www.boe.es/gazeta/dias/1821/05/06/pdfs/GMD-1821-128.pdf","Abrir PDF")</f>
        <v>Abrir PDF</v>
      </c>
    </row>
    <row r="133" spans="1:6" ht="30.95" customHeight="1">
      <c r="A133" s="7">
        <v>-28726</v>
      </c>
      <c r="B133" s="2" t="s">
        <v>347</v>
      </c>
      <c r="C133" s="2" t="s">
        <v>22448</v>
      </c>
      <c r="D133" s="3">
        <v>4</v>
      </c>
      <c r="E133" s="3">
        <v>44</v>
      </c>
      <c r="F133" s="3" t="str">
        <f>HYPERLINK("https://www.boe.es/gazeta/dias/1821/05/07/pdfs/GMD-1821-129.pdf","Abrir PDF")</f>
        <v>Abrir PDF</v>
      </c>
    </row>
    <row r="134" spans="1:6" ht="30.95" customHeight="1">
      <c r="A134" s="7">
        <v>-28725</v>
      </c>
      <c r="B134" s="2" t="s">
        <v>440</v>
      </c>
      <c r="C134" s="2" t="s">
        <v>22449</v>
      </c>
      <c r="D134" s="3">
        <v>4</v>
      </c>
      <c r="E134" s="3">
        <v>39</v>
      </c>
      <c r="F134" s="3" t="str">
        <f>HYPERLINK("https://www.boe.es/gazeta/dias/1821/05/08/pdfs/GMD-1821-130.pdf","Abrir PDF")</f>
        <v>Abrir PDF</v>
      </c>
    </row>
    <row r="135" spans="1:6" ht="30.95" customHeight="1">
      <c r="A135" s="7">
        <v>-28724</v>
      </c>
      <c r="B135" s="2" t="s">
        <v>1305</v>
      </c>
      <c r="C135" s="2" t="s">
        <v>22450</v>
      </c>
      <c r="D135" s="3">
        <v>4</v>
      </c>
      <c r="E135" s="3">
        <v>25</v>
      </c>
      <c r="F135" s="3" t="str">
        <f>HYPERLINK("https://www.boe.es/gazeta/dias/1821/05/09/pdfs/GMD-1821-131.pdf","Abrir PDF")</f>
        <v>Abrir PDF</v>
      </c>
    </row>
    <row r="136" spans="1:6" ht="30.95" customHeight="1">
      <c r="A136" s="7">
        <v>-28723</v>
      </c>
      <c r="B136" s="2" t="s">
        <v>840</v>
      </c>
      <c r="C136" s="2" t="s">
        <v>22451</v>
      </c>
      <c r="D136" s="3">
        <v>4</v>
      </c>
      <c r="E136" s="3">
        <v>24</v>
      </c>
      <c r="F136" s="3" t="str">
        <f>HYPERLINK("https://www.boe.es/gazeta/dias/1821/05/10/pdfs/GMD-1821-132.pdf","Abrir PDF")</f>
        <v>Abrir PDF</v>
      </c>
    </row>
    <row r="137" spans="1:6" ht="30.95" customHeight="1">
      <c r="A137" s="7">
        <v>-28722</v>
      </c>
      <c r="B137" s="2" t="s">
        <v>623</v>
      </c>
      <c r="C137" s="2" t="s">
        <v>22452</v>
      </c>
      <c r="D137" s="3">
        <v>4</v>
      </c>
      <c r="E137" s="3">
        <v>45</v>
      </c>
      <c r="F137" s="3" t="str">
        <f>HYPERLINK("https://www.boe.es/gazeta/dias/1821/05/11/pdfs/GMD-1821-133.pdf","Abrir PDF")</f>
        <v>Abrir PDF</v>
      </c>
    </row>
    <row r="138" spans="1:6" ht="30.95" customHeight="1">
      <c r="A138" s="7">
        <v>-28721</v>
      </c>
      <c r="B138" s="2" t="s">
        <v>92</v>
      </c>
      <c r="C138" s="2" t="s">
        <v>22453</v>
      </c>
      <c r="D138" s="3">
        <v>4</v>
      </c>
      <c r="E138" s="3">
        <v>48</v>
      </c>
      <c r="F138" s="3" t="str">
        <f>HYPERLINK("https://www.boe.es/gazeta/dias/1821/05/12/pdfs/GMD-1821-134.pdf","Abrir PDF")</f>
        <v>Abrir PDF</v>
      </c>
    </row>
    <row r="139" spans="1:6" ht="30.95" customHeight="1">
      <c r="A139" s="7">
        <v>-28720</v>
      </c>
      <c r="B139" s="2" t="s">
        <v>492</v>
      </c>
      <c r="C139" s="2" t="s">
        <v>22454</v>
      </c>
      <c r="D139" s="3">
        <v>4</v>
      </c>
      <c r="E139" s="3">
        <v>33</v>
      </c>
      <c r="F139" s="3" t="str">
        <f>HYPERLINK("https://www.boe.es/gazeta/dias/1821/05/13/pdfs/GMD-1821-135.pdf","Abrir PDF")</f>
        <v>Abrir PDF</v>
      </c>
    </row>
    <row r="140" spans="1:6" ht="30.95" customHeight="1">
      <c r="A140" s="7">
        <v>-28719</v>
      </c>
      <c r="B140" s="2" t="s">
        <v>647</v>
      </c>
      <c r="C140" s="2" t="s">
        <v>22455</v>
      </c>
      <c r="D140" s="3">
        <v>4</v>
      </c>
      <c r="E140" s="3">
        <v>34</v>
      </c>
      <c r="F140" s="3" t="str">
        <f>HYPERLINK("https://www.boe.es/gazeta/dias/1821/05/14/pdfs/GMD-1821-136.pdf","Abrir PDF")</f>
        <v>Abrir PDF</v>
      </c>
    </row>
    <row r="141" spans="1:6" ht="30.95" customHeight="1">
      <c r="A141" s="7">
        <v>-28718</v>
      </c>
      <c r="B141" s="2" t="s">
        <v>583</v>
      </c>
      <c r="C141" s="2" t="s">
        <v>22456</v>
      </c>
      <c r="D141" s="3">
        <v>4</v>
      </c>
      <c r="E141" s="3">
        <v>73</v>
      </c>
      <c r="F141" s="3" t="str">
        <f>HYPERLINK("https://www.boe.es/gazeta/dias/1821/05/15/pdfs/GMD-1821-137.pdf","Abrir PDF")</f>
        <v>Abrir PDF</v>
      </c>
    </row>
    <row r="142" spans="1:6" ht="30.95" customHeight="1">
      <c r="A142" s="7">
        <v>-28717</v>
      </c>
      <c r="B142" s="2" t="s">
        <v>1044</v>
      </c>
      <c r="C142" s="2" t="s">
        <v>22457</v>
      </c>
      <c r="D142" s="3">
        <v>4</v>
      </c>
      <c r="E142" s="3">
        <v>34</v>
      </c>
      <c r="F142" s="3" t="str">
        <f>HYPERLINK("https://www.boe.es/gazeta/dias/1821/05/16/pdfs/GMD-1821-138.pdf","Abrir PDF")</f>
        <v>Abrir PDF</v>
      </c>
    </row>
    <row r="143" spans="1:6" ht="30.95" customHeight="1">
      <c r="A143" s="7">
        <v>-28716</v>
      </c>
      <c r="B143" s="2" t="s">
        <v>842</v>
      </c>
      <c r="C143" s="2" t="s">
        <v>22458</v>
      </c>
      <c r="D143" s="3">
        <v>4</v>
      </c>
      <c r="E143" s="3">
        <v>34</v>
      </c>
      <c r="F143" s="3" t="str">
        <f>HYPERLINK("https://www.boe.es/gazeta/dias/1821/05/17/pdfs/GMD-1821-139.pdf","Abrir PDF")</f>
        <v>Abrir PDF</v>
      </c>
    </row>
    <row r="144" spans="1:6" ht="30.95" customHeight="1">
      <c r="A144" s="7">
        <v>-28715</v>
      </c>
      <c r="B144" s="2" t="s">
        <v>1046</v>
      </c>
      <c r="C144" s="2" t="s">
        <v>22459</v>
      </c>
      <c r="D144" s="3">
        <v>4</v>
      </c>
      <c r="E144" s="3">
        <v>32</v>
      </c>
      <c r="F144" s="3" t="str">
        <f>HYPERLINK("https://www.boe.es/gazeta/dias/1821/05/18/pdfs/GMD-1821-140.pdf","Abrir PDF")</f>
        <v>Abrir PDF</v>
      </c>
    </row>
    <row r="145" spans="1:6" ht="30.95" customHeight="1">
      <c r="A145" s="7">
        <v>-28714</v>
      </c>
      <c r="B145" s="2" t="s">
        <v>522</v>
      </c>
      <c r="C145" s="2" t="s">
        <v>22460</v>
      </c>
      <c r="D145" s="3">
        <v>4</v>
      </c>
      <c r="E145" s="3">
        <v>37</v>
      </c>
      <c r="F145" s="3" t="str">
        <f>HYPERLINK("https://www.boe.es/gazeta/dias/1821/05/19/pdfs/GMD-1821-141.pdf","Abrir PDF")</f>
        <v>Abrir PDF</v>
      </c>
    </row>
    <row r="146" spans="1:6" ht="30.95" customHeight="1">
      <c r="A146" s="7">
        <v>-28713</v>
      </c>
      <c r="B146" s="2" t="s">
        <v>1976</v>
      </c>
      <c r="C146" s="2" t="s">
        <v>22461</v>
      </c>
      <c r="D146" s="3">
        <v>4</v>
      </c>
      <c r="E146" s="3">
        <v>26</v>
      </c>
      <c r="F146" s="3" t="str">
        <f>HYPERLINK("https://www.boe.es/gazeta/dias/1821/05/20/pdfs/GMD-1821-142.pdf","Abrir PDF")</f>
        <v>Abrir PDF</v>
      </c>
    </row>
    <row r="147" spans="1:6" ht="30.95" customHeight="1">
      <c r="A147" s="7">
        <v>-28712</v>
      </c>
      <c r="B147" s="2" t="s">
        <v>695</v>
      </c>
      <c r="C147" s="2" t="s">
        <v>22462</v>
      </c>
      <c r="D147" s="3">
        <v>4</v>
      </c>
      <c r="E147" s="3">
        <v>37</v>
      </c>
      <c r="F147" s="3" t="str">
        <f>HYPERLINK("https://www.boe.es/gazeta/dias/1821/05/21/pdfs/GMD-1821-143.pdf","Abrir PDF")</f>
        <v>Abrir PDF</v>
      </c>
    </row>
    <row r="148" spans="1:6" ht="30.95" customHeight="1">
      <c r="A148" s="7">
        <v>-28711</v>
      </c>
      <c r="B148" s="2" t="s">
        <v>1048</v>
      </c>
      <c r="C148" s="2" t="s">
        <v>22463</v>
      </c>
      <c r="D148" s="3">
        <v>4</v>
      </c>
      <c r="E148" s="3">
        <v>43</v>
      </c>
      <c r="F148" s="3" t="str">
        <f>HYPERLINK("https://www.boe.es/gazeta/dias/1821/05/22/pdfs/GMD-1821-144.pdf","Abrir PDF")</f>
        <v>Abrir PDF</v>
      </c>
    </row>
    <row r="149" spans="1:6" ht="30.95" customHeight="1">
      <c r="A149" s="7">
        <v>-28710</v>
      </c>
      <c r="B149" s="2" t="s">
        <v>375</v>
      </c>
      <c r="C149" s="2" t="s">
        <v>22464</v>
      </c>
      <c r="D149" s="3">
        <v>4</v>
      </c>
      <c r="E149" s="3">
        <v>39</v>
      </c>
      <c r="F149" s="3" t="str">
        <f>HYPERLINK("https://www.boe.es/gazeta/dias/1821/05/23/pdfs/GMD-1821-145.pdf","Abrir PDF")</f>
        <v>Abrir PDF</v>
      </c>
    </row>
    <row r="150" spans="1:6" ht="30.95" customHeight="1">
      <c r="A150" s="7">
        <v>-28709</v>
      </c>
      <c r="B150" s="2" t="s">
        <v>1434</v>
      </c>
      <c r="C150" s="2" t="s">
        <v>22465</v>
      </c>
      <c r="D150" s="3">
        <v>4</v>
      </c>
      <c r="E150" s="3">
        <v>35</v>
      </c>
      <c r="F150" s="3" t="str">
        <f>HYPERLINK("https://www.boe.es/gazeta/dias/1821/05/24/pdfs/GMD-1821-146.pdf","Abrir PDF")</f>
        <v>Abrir PDF</v>
      </c>
    </row>
    <row r="151" spans="1:6" ht="30.95" customHeight="1">
      <c r="A151" s="7">
        <v>-28708</v>
      </c>
      <c r="B151" s="2" t="s">
        <v>528</v>
      </c>
      <c r="C151" s="2" t="s">
        <v>22466</v>
      </c>
      <c r="D151" s="3">
        <v>4</v>
      </c>
      <c r="E151" s="3">
        <v>38</v>
      </c>
      <c r="F151" s="3" t="str">
        <f>HYPERLINK("https://www.boe.es/gazeta/dias/1821/05/25/pdfs/GMD-1821-147.pdf","Abrir PDF")</f>
        <v>Abrir PDF</v>
      </c>
    </row>
    <row r="152" spans="1:6" ht="30.95" customHeight="1">
      <c r="A152" s="7">
        <v>-28707</v>
      </c>
      <c r="B152" s="2" t="s">
        <v>495</v>
      </c>
      <c r="C152" s="2" t="s">
        <v>22467</v>
      </c>
      <c r="D152" s="3">
        <v>4</v>
      </c>
      <c r="E152" s="3">
        <v>41</v>
      </c>
      <c r="F152" s="3" t="str">
        <f>HYPERLINK("https://www.boe.es/gazeta/dias/1821/05/26/pdfs/GMD-1821-148.pdf","Abrir PDF")</f>
        <v>Abrir PDF</v>
      </c>
    </row>
    <row r="153" spans="1:6" ht="30.95" customHeight="1">
      <c r="A153" s="7">
        <v>-28706</v>
      </c>
      <c r="B153" s="2" t="s">
        <v>4791</v>
      </c>
      <c r="C153" s="2" t="s">
        <v>22468</v>
      </c>
      <c r="D153" s="3">
        <v>4</v>
      </c>
      <c r="E153" s="3">
        <v>41</v>
      </c>
      <c r="F153" s="3" t="str">
        <f>HYPERLINK("https://www.boe.es/gazeta/dias/1821/05/27/pdfs/GMD-1821-149.pdf","Abrir PDF")</f>
        <v>Abrir PDF</v>
      </c>
    </row>
    <row r="154" spans="1:6" ht="30.95" customHeight="1">
      <c r="A154" s="7">
        <v>-28705</v>
      </c>
      <c r="B154" s="2" t="s">
        <v>1844</v>
      </c>
      <c r="C154" s="2" t="s">
        <v>22469</v>
      </c>
      <c r="D154" s="3">
        <v>8</v>
      </c>
      <c r="E154" s="3">
        <v>41</v>
      </c>
      <c r="F154" s="3" t="str">
        <f>HYPERLINK("https://www.boe.es/gazeta/dias/1821/05/28/pdfs/GMD-1821-150.pdf","Abrir PDF")</f>
        <v>Abrir PDF</v>
      </c>
    </row>
    <row r="155" spans="1:6" ht="30.95" customHeight="1">
      <c r="A155" s="7">
        <v>-28704</v>
      </c>
      <c r="B155" s="2" t="s">
        <v>1050</v>
      </c>
      <c r="C155" s="2" t="s">
        <v>22470</v>
      </c>
      <c r="D155" s="3">
        <v>4</v>
      </c>
      <c r="E155" s="3">
        <v>44</v>
      </c>
      <c r="F155" s="3" t="str">
        <f>HYPERLINK("https://www.boe.es/gazeta/dias/1821/05/29/pdfs/GMD-1821-151.pdf","Abrir PDF")</f>
        <v>Abrir PDF</v>
      </c>
    </row>
    <row r="156" spans="1:6" ht="30.95" customHeight="1">
      <c r="A156" s="7">
        <v>-28703</v>
      </c>
      <c r="B156" s="2" t="s">
        <v>231</v>
      </c>
      <c r="C156" s="2" t="s">
        <v>22471</v>
      </c>
      <c r="D156" s="3">
        <v>4</v>
      </c>
      <c r="E156" s="3">
        <v>37</v>
      </c>
      <c r="F156" s="3" t="str">
        <f>HYPERLINK("https://www.boe.es/gazeta/dias/1821/05/30/pdfs/GMD-1821-152.pdf","Abrir PDF")</f>
        <v>Abrir PDF</v>
      </c>
    </row>
    <row r="157" spans="1:6" ht="30.95" customHeight="1">
      <c r="A157" s="7">
        <v>-28702</v>
      </c>
      <c r="B157" s="2" t="s">
        <v>1176</v>
      </c>
      <c r="C157" s="2" t="s">
        <v>22472</v>
      </c>
      <c r="D157" s="3">
        <v>4</v>
      </c>
      <c r="E157" s="3">
        <v>32</v>
      </c>
      <c r="F157" s="3" t="str">
        <f>HYPERLINK("https://www.boe.es/gazeta/dias/1821/05/31/pdfs/GMD-1821-153.pdf","Abrir PDF")</f>
        <v>Abrir PDF</v>
      </c>
    </row>
    <row r="158" spans="1:6" ht="30.95" customHeight="1">
      <c r="A158" s="7">
        <v>-28701</v>
      </c>
      <c r="B158" s="2" t="s">
        <v>202</v>
      </c>
      <c r="C158" s="2" t="s">
        <v>22473</v>
      </c>
      <c r="D158" s="3">
        <v>4</v>
      </c>
      <c r="E158" s="3">
        <v>34</v>
      </c>
      <c r="F158" s="3" t="str">
        <f>HYPERLINK("https://www.boe.es/gazeta/dias/1821/06/01/pdfs/GMD-1821-154.pdf","Abrir PDF")</f>
        <v>Abrir PDF</v>
      </c>
    </row>
    <row r="159" spans="1:6" ht="30.95" customHeight="1">
      <c r="A159" s="7">
        <v>-28700</v>
      </c>
      <c r="B159" s="2" t="s">
        <v>701</v>
      </c>
      <c r="C159" s="2" t="s">
        <v>22474</v>
      </c>
      <c r="D159" s="3">
        <v>4</v>
      </c>
      <c r="E159" s="3">
        <v>32</v>
      </c>
      <c r="F159" s="3" t="str">
        <f>HYPERLINK("https://www.boe.es/gazeta/dias/1821/06/02/pdfs/GMD-1821-155.pdf","Abrir PDF")</f>
        <v>Abrir PDF</v>
      </c>
    </row>
    <row r="160" spans="1:6" ht="30.95" customHeight="1">
      <c r="A160" s="7">
        <v>-28699</v>
      </c>
      <c r="B160" s="2" t="s">
        <v>280</v>
      </c>
      <c r="C160" s="2" t="s">
        <v>22475</v>
      </c>
      <c r="D160" s="3">
        <v>6</v>
      </c>
      <c r="E160" s="3">
        <v>30</v>
      </c>
      <c r="F160" s="3" t="str">
        <f>HYPERLINK("https://www.boe.es/gazeta/dias/1821/06/03/pdfs/GMD-1821-156.pdf","Abrir PDF")</f>
        <v>Abrir PDF</v>
      </c>
    </row>
    <row r="161" spans="1:6" ht="30.95" customHeight="1">
      <c r="A161" s="7">
        <v>-28698</v>
      </c>
      <c r="B161" s="2" t="s">
        <v>2067</v>
      </c>
      <c r="C161" s="2" t="s">
        <v>22476</v>
      </c>
      <c r="D161" s="3">
        <v>4</v>
      </c>
      <c r="E161" s="3">
        <v>36</v>
      </c>
      <c r="F161" s="3" t="str">
        <f>HYPERLINK("https://www.boe.es/gazeta/dias/1821/06/04/pdfs/GMD-1821-157.pdf","Abrir PDF")</f>
        <v>Abrir PDF</v>
      </c>
    </row>
    <row r="162" spans="1:6" ht="30.95" customHeight="1">
      <c r="A162" s="7">
        <v>-28697</v>
      </c>
      <c r="B162" s="2" t="s">
        <v>166</v>
      </c>
      <c r="C162" s="2" t="s">
        <v>22477</v>
      </c>
      <c r="D162" s="3">
        <v>4</v>
      </c>
      <c r="E162" s="3">
        <v>37</v>
      </c>
      <c r="F162" s="3" t="str">
        <f>HYPERLINK("https://www.boe.es/gazeta/dias/1821/06/05/pdfs/GMD-1821-158.pdf","Abrir PDF")</f>
        <v>Abrir PDF</v>
      </c>
    </row>
    <row r="163" spans="1:6" ht="30.95" customHeight="1">
      <c r="A163" s="7">
        <v>-28696</v>
      </c>
      <c r="B163" s="2" t="s">
        <v>497</v>
      </c>
      <c r="C163" s="2" t="s">
        <v>22478</v>
      </c>
      <c r="D163" s="3">
        <v>4</v>
      </c>
      <c r="E163" s="3">
        <v>56</v>
      </c>
      <c r="F163" s="3" t="str">
        <f>HYPERLINK("https://www.boe.es/gazeta/dias/1821/06/06/pdfs/GMD-1821-159.pdf","Abrir PDF")</f>
        <v>Abrir PDF</v>
      </c>
    </row>
    <row r="164" spans="1:6" ht="30.95" customHeight="1">
      <c r="A164" s="7">
        <v>-28695</v>
      </c>
      <c r="B164" s="2" t="s">
        <v>1309</v>
      </c>
      <c r="C164" s="2" t="s">
        <v>22479</v>
      </c>
      <c r="D164" s="3">
        <v>4</v>
      </c>
      <c r="E164" s="3">
        <v>11</v>
      </c>
      <c r="F164" s="3" t="str">
        <f>HYPERLINK("https://www.boe.es/gazeta/dias/1821/06/07/pdfs/GMD-1821-160.pdf","Abrir PDF")</f>
        <v>Abrir PDF</v>
      </c>
    </row>
    <row r="165" spans="1:6" ht="30.95" customHeight="1">
      <c r="A165" s="7">
        <v>-28694</v>
      </c>
      <c r="B165" s="2" t="s">
        <v>1057</v>
      </c>
      <c r="C165" s="2" t="s">
        <v>22480</v>
      </c>
      <c r="D165" s="3">
        <v>6</v>
      </c>
      <c r="E165" s="3">
        <v>37</v>
      </c>
      <c r="F165" s="3" t="str">
        <f>HYPERLINK("https://www.boe.es/gazeta/dias/1821/06/08/pdfs/GMD-1821-161.pdf","Abrir PDF")</f>
        <v>Abrir PDF</v>
      </c>
    </row>
    <row r="166" spans="1:6" ht="30.95" customHeight="1">
      <c r="A166" s="7">
        <v>-28693</v>
      </c>
      <c r="B166" s="2" t="s">
        <v>74</v>
      </c>
      <c r="C166" s="2" t="s">
        <v>22481</v>
      </c>
      <c r="D166" s="3">
        <v>6</v>
      </c>
      <c r="E166" s="3">
        <v>49</v>
      </c>
      <c r="F166" s="3" t="str">
        <f>HYPERLINK("https://www.boe.es/gazeta/dias/1821/06/09/pdfs/GMD-1821-162.pdf","Abrir PDF")</f>
        <v>Abrir PDF</v>
      </c>
    </row>
    <row r="167" spans="1:6" ht="30.95" customHeight="1">
      <c r="A167" s="7">
        <v>-28692</v>
      </c>
      <c r="B167" s="2" t="s">
        <v>3807</v>
      </c>
      <c r="C167" s="2" t="s">
        <v>22482</v>
      </c>
      <c r="D167" s="3">
        <v>4</v>
      </c>
      <c r="E167" s="3">
        <v>15</v>
      </c>
      <c r="F167" s="3" t="str">
        <f>HYPERLINK("https://www.boe.es/gazeta/dias/1821/06/10/pdfs/GMD-1821-163.pdf","Abrir PDF")</f>
        <v>Abrir PDF</v>
      </c>
    </row>
    <row r="168" spans="1:6" ht="30.95" customHeight="1">
      <c r="A168" s="7">
        <v>-28691</v>
      </c>
      <c r="B168" s="2" t="s">
        <v>716</v>
      </c>
      <c r="C168" s="2" t="s">
        <v>22483</v>
      </c>
      <c r="D168" s="3">
        <v>4</v>
      </c>
      <c r="E168" s="3">
        <v>33</v>
      </c>
      <c r="F168" s="3" t="str">
        <f>HYPERLINK("https://www.boe.es/gazeta/dias/1821/06/11/pdfs/GMD-1821-164.pdf","Abrir PDF")</f>
        <v>Abrir PDF</v>
      </c>
    </row>
    <row r="169" spans="1:6" ht="30.95" customHeight="1">
      <c r="A169" s="7">
        <v>-28690</v>
      </c>
      <c r="B169" s="2" t="s">
        <v>846</v>
      </c>
      <c r="C169" s="2" t="s">
        <v>22484</v>
      </c>
      <c r="D169" s="3">
        <v>4</v>
      </c>
      <c r="E169" s="3">
        <v>40</v>
      </c>
      <c r="F169" s="3" t="str">
        <f>HYPERLINK("https://www.boe.es/gazeta/dias/1821/06/12/pdfs/GMD-1821-165.pdf","Abrir PDF")</f>
        <v>Abrir PDF</v>
      </c>
    </row>
    <row r="170" spans="1:6" ht="30.95" customHeight="1">
      <c r="A170" s="7">
        <v>-28689</v>
      </c>
      <c r="B170" s="2" t="s">
        <v>194</v>
      </c>
      <c r="C170" s="2" t="s">
        <v>22485</v>
      </c>
      <c r="D170" s="3">
        <v>6</v>
      </c>
      <c r="E170" s="3">
        <v>52</v>
      </c>
      <c r="F170" s="3" t="str">
        <f>HYPERLINK("https://www.boe.es/gazeta/dias/1821/06/13/pdfs/GMD-1821-166.pdf","Abrir PDF")</f>
        <v>Abrir PDF</v>
      </c>
    </row>
    <row r="171" spans="1:6" ht="30.95" customHeight="1">
      <c r="A171" s="7">
        <v>-28688</v>
      </c>
      <c r="B171" s="2" t="s">
        <v>1504</v>
      </c>
      <c r="C171" s="2" t="s">
        <v>22486</v>
      </c>
      <c r="D171" s="3">
        <v>4</v>
      </c>
      <c r="E171" s="3">
        <v>31</v>
      </c>
      <c r="F171" s="3" t="str">
        <f>HYPERLINK("https://www.boe.es/gazeta/dias/1821/06/14/pdfs/GMD-1821-167.pdf","Abrir PDF")</f>
        <v>Abrir PDF</v>
      </c>
    </row>
    <row r="172" spans="1:6" ht="30.95" customHeight="1">
      <c r="A172" s="7">
        <v>-28687</v>
      </c>
      <c r="B172" s="2" t="s">
        <v>851</v>
      </c>
      <c r="C172" s="2" t="s">
        <v>22487</v>
      </c>
      <c r="D172" s="3">
        <v>4</v>
      </c>
      <c r="E172" s="3">
        <v>39</v>
      </c>
      <c r="F172" s="3" t="str">
        <f>HYPERLINK("https://www.boe.es/gazeta/dias/1821/06/15/pdfs/GMD-1821-168.pdf","Abrir PDF")</f>
        <v>Abrir PDF</v>
      </c>
    </row>
    <row r="173" spans="1:6" ht="30.95" customHeight="1">
      <c r="A173" s="7">
        <v>-28686</v>
      </c>
      <c r="B173" s="2" t="s">
        <v>115</v>
      </c>
      <c r="C173" s="2" t="s">
        <v>22488</v>
      </c>
      <c r="D173" s="3">
        <v>4</v>
      </c>
      <c r="E173" s="3">
        <v>51</v>
      </c>
      <c r="F173" s="3" t="str">
        <f>HYPERLINK("https://www.boe.es/gazeta/dias/1821/06/16/pdfs/GMD-1821-169.pdf","Abrir PDF")</f>
        <v>Abrir PDF</v>
      </c>
    </row>
    <row r="174" spans="1:6" ht="30.95" customHeight="1">
      <c r="A174" s="7">
        <v>-28685</v>
      </c>
      <c r="B174" s="2" t="s">
        <v>303</v>
      </c>
      <c r="C174" s="2" t="s">
        <v>22489</v>
      </c>
      <c r="D174" s="3">
        <v>6</v>
      </c>
      <c r="E174" s="3">
        <v>47</v>
      </c>
      <c r="F174" s="3" t="str">
        <f>HYPERLINK("https://www.boe.es/gazeta/dias/1821/06/17/pdfs/GMD-1821-170.pdf","Abrir PDF")</f>
        <v>Abrir PDF</v>
      </c>
    </row>
    <row r="175" spans="1:6" ht="30.95" customHeight="1">
      <c r="A175" s="7">
        <v>-28684</v>
      </c>
      <c r="B175" s="2" t="s">
        <v>208</v>
      </c>
      <c r="C175" s="2" t="s">
        <v>22490</v>
      </c>
      <c r="D175" s="3">
        <v>4</v>
      </c>
      <c r="E175" s="3">
        <v>62</v>
      </c>
      <c r="F175" s="3" t="str">
        <f>HYPERLINK("https://www.boe.es/gazeta/dias/1821/06/18/pdfs/GMD-1821-171.pdf","Abrir PDF")</f>
        <v>Abrir PDF</v>
      </c>
    </row>
    <row r="176" spans="1:6" ht="30.95" customHeight="1">
      <c r="A176" s="7">
        <v>-28683</v>
      </c>
      <c r="B176" s="2" t="s">
        <v>332</v>
      </c>
      <c r="C176" s="2" t="s">
        <v>22491</v>
      </c>
      <c r="D176" s="3">
        <v>8</v>
      </c>
      <c r="E176" s="3">
        <v>57</v>
      </c>
      <c r="F176" s="3" t="str">
        <f>HYPERLINK("https://www.boe.es/gazeta/dias/1821/06/19/pdfs/GMD-1821-172.pdf","Abrir PDF")</f>
        <v>Abrir PDF</v>
      </c>
    </row>
    <row r="177" spans="1:6" ht="30.95" customHeight="1">
      <c r="A177" s="7">
        <v>-28682</v>
      </c>
      <c r="B177" s="2" t="s">
        <v>1064</v>
      </c>
      <c r="C177" s="2" t="s">
        <v>22492</v>
      </c>
      <c r="D177" s="3">
        <v>6</v>
      </c>
      <c r="E177" s="3">
        <v>40</v>
      </c>
      <c r="F177" s="3" t="str">
        <f>HYPERLINK("https://www.boe.es/gazeta/dias/1821/06/20/pdfs/GMD-1821-173.pdf","Abrir PDF")</f>
        <v>Abrir PDF</v>
      </c>
    </row>
    <row r="178" spans="1:6" ht="30.95" customHeight="1">
      <c r="A178" s="7">
        <v>-28681</v>
      </c>
      <c r="B178" s="2" t="s">
        <v>210</v>
      </c>
      <c r="C178" s="2" t="s">
        <v>22493</v>
      </c>
      <c r="D178" s="3">
        <v>4</v>
      </c>
      <c r="E178" s="3">
        <v>39</v>
      </c>
      <c r="F178" s="3" t="str">
        <f>HYPERLINK("https://www.boe.es/gazeta/dias/1821/06/21/pdfs/GMD-1821-174.pdf","Abrir PDF")</f>
        <v>Abrir PDF</v>
      </c>
    </row>
    <row r="179" spans="1:6" ht="30.95" customHeight="1">
      <c r="A179" s="7">
        <v>-28680</v>
      </c>
      <c r="B179" s="2" t="s">
        <v>531</v>
      </c>
      <c r="C179" s="2" t="s">
        <v>22494</v>
      </c>
      <c r="D179" s="3">
        <v>4</v>
      </c>
      <c r="E179" s="3">
        <v>20</v>
      </c>
      <c r="F179" s="3" t="str">
        <f>HYPERLINK("https://www.boe.es/gazeta/dias/1821/06/22/pdfs/GMD-1821-175.pdf","Abrir PDF")</f>
        <v>Abrir PDF</v>
      </c>
    </row>
    <row r="180" spans="1:6" ht="30.95" customHeight="1">
      <c r="A180" s="7">
        <v>-28679</v>
      </c>
      <c r="B180" s="2" t="s">
        <v>213</v>
      </c>
      <c r="C180" s="2" t="s">
        <v>22495</v>
      </c>
      <c r="D180" s="3">
        <v>6</v>
      </c>
      <c r="E180" s="3">
        <v>42</v>
      </c>
      <c r="F180" s="3" t="str">
        <f>HYPERLINK("https://www.boe.es/gazeta/dias/1821/06/23/pdfs/GMD-1821-176.pdf","Abrir PDF")</f>
        <v>Abrir PDF</v>
      </c>
    </row>
    <row r="181" spans="1:6" ht="30.95" customHeight="1">
      <c r="A181" s="7">
        <v>-28678</v>
      </c>
      <c r="B181" s="2" t="s">
        <v>215</v>
      </c>
      <c r="C181" s="2" t="s">
        <v>22496</v>
      </c>
      <c r="D181" s="3">
        <v>6</v>
      </c>
      <c r="E181" s="3">
        <v>47</v>
      </c>
      <c r="F181" s="3" t="str">
        <f>HYPERLINK("https://www.boe.es/gazeta/dias/1821/06/24/pdfs/GMD-1821-177.pdf","Abrir PDF")</f>
        <v>Abrir PDF</v>
      </c>
    </row>
    <row r="182" spans="1:6" ht="30.95" customHeight="1">
      <c r="A182" s="7">
        <v>-28677</v>
      </c>
      <c r="B182" s="2" t="s">
        <v>361</v>
      </c>
      <c r="C182" s="2" t="s">
        <v>22497</v>
      </c>
      <c r="D182" s="3">
        <v>6</v>
      </c>
      <c r="E182" s="3">
        <v>55</v>
      </c>
      <c r="F182" s="3" t="str">
        <f>HYPERLINK("https://www.boe.es/gazeta/dias/1821/06/25/pdfs/GMD-1821-178.pdf","Abrir PDF")</f>
        <v>Abrir PDF</v>
      </c>
    </row>
    <row r="183" spans="1:6" ht="30.95" customHeight="1">
      <c r="A183" s="7">
        <v>-28676</v>
      </c>
      <c r="B183" s="2" t="s">
        <v>534</v>
      </c>
      <c r="C183" s="2" t="s">
        <v>22498</v>
      </c>
      <c r="D183" s="3">
        <v>6</v>
      </c>
      <c r="E183" s="3">
        <v>70</v>
      </c>
      <c r="F183" s="3" t="str">
        <f>HYPERLINK("https://www.boe.es/gazeta/dias/1821/06/26/pdfs/GMD-1821-179.pdf","Abrir PDF")</f>
        <v>Abrir PDF</v>
      </c>
    </row>
    <row r="184" spans="1:6" ht="30.95" customHeight="1">
      <c r="A184" s="7">
        <v>-28675</v>
      </c>
      <c r="B184" s="2" t="s">
        <v>943</v>
      </c>
      <c r="C184" s="2" t="s">
        <v>22499</v>
      </c>
      <c r="D184" s="3">
        <v>8</v>
      </c>
      <c r="E184" s="3">
        <v>55</v>
      </c>
      <c r="F184" s="3" t="str">
        <f>HYPERLINK("https://www.boe.es/gazeta/dias/1821/06/27/pdfs/GMD-1821-180.pdf","Abrir PDF")</f>
        <v>Abrir PDF</v>
      </c>
    </row>
    <row r="185" spans="1:6" ht="30.95" customHeight="1">
      <c r="A185" s="7">
        <v>-28674</v>
      </c>
      <c r="B185" s="2" t="s">
        <v>536</v>
      </c>
      <c r="C185" s="2" t="s">
        <v>22500</v>
      </c>
      <c r="D185" s="3">
        <v>6</v>
      </c>
      <c r="E185" s="3">
        <v>55</v>
      </c>
      <c r="F185" s="3" t="str">
        <f>HYPERLINK("https://www.boe.es/gazeta/dias/1821/06/28/pdfs/GMD-1821-181.pdf","Abrir PDF")</f>
        <v>Abrir PDF</v>
      </c>
    </row>
    <row r="186" spans="1:6" ht="30.95" customHeight="1">
      <c r="A186" s="7">
        <v>-28673</v>
      </c>
      <c r="B186" s="2" t="s">
        <v>1069</v>
      </c>
      <c r="C186" s="2" t="s">
        <v>22501</v>
      </c>
      <c r="D186" s="3">
        <v>4</v>
      </c>
      <c r="E186" s="3">
        <v>36</v>
      </c>
      <c r="F186" s="3" t="str">
        <f>HYPERLINK("https://www.boe.es/gazeta/dias/1821/06/29/pdfs/GMD-1821-182.pdf","Abrir PDF")</f>
        <v>Abrir PDF</v>
      </c>
    </row>
    <row r="187" spans="1:6" ht="30.95" customHeight="1">
      <c r="A187" s="7">
        <v>-28672</v>
      </c>
      <c r="B187" s="2" t="s">
        <v>964</v>
      </c>
      <c r="C187" s="2" t="s">
        <v>22502</v>
      </c>
      <c r="D187" s="3">
        <v>4</v>
      </c>
      <c r="E187" s="3">
        <v>21</v>
      </c>
      <c r="F187" s="3" t="str">
        <f>HYPERLINK("https://www.boe.es/gazeta/dias/1821/06/30/pdfs/GMD-1821-183.pdf","Abrir PDF")</f>
        <v>Abrir PDF</v>
      </c>
    </row>
    <row r="188" spans="1:6" ht="30.95" customHeight="1">
      <c r="A188" s="7">
        <v>-28672</v>
      </c>
      <c r="B188" s="2" t="s">
        <v>22503</v>
      </c>
      <c r="C188" s="2" t="s">
        <v>22504</v>
      </c>
      <c r="D188" s="3">
        <v>2</v>
      </c>
      <c r="E188" s="3">
        <v>0</v>
      </c>
      <c r="F188" s="3" t="str">
        <f>HYPERLINK("https://www.boe.es/gazeta/dias/1821/06/30/pdfs/GMD-1821-184E.pdf","Abrir PDF")</f>
        <v>Abrir PDF</v>
      </c>
    </row>
    <row r="189" spans="1:6" ht="30.95" customHeight="1">
      <c r="A189" s="7">
        <v>-28671</v>
      </c>
      <c r="B189" s="2" t="s">
        <v>5059</v>
      </c>
      <c r="C189" s="2" t="s">
        <v>22505</v>
      </c>
      <c r="D189" s="3">
        <v>4</v>
      </c>
      <c r="E189" s="3">
        <v>28</v>
      </c>
      <c r="F189" s="3" t="str">
        <f>HYPERLINK("https://www.boe.es/gazeta/dias/1821/07/01/pdfs/GMD-1821-185.pdf","Abrir PDF")</f>
        <v>Abrir PDF</v>
      </c>
    </row>
    <row r="190" spans="1:6" ht="30.95" customHeight="1">
      <c r="A190" s="7">
        <v>-28670</v>
      </c>
      <c r="B190" s="2" t="s">
        <v>243</v>
      </c>
      <c r="C190" s="2" t="s">
        <v>22506</v>
      </c>
      <c r="D190" s="3">
        <v>4</v>
      </c>
      <c r="E190" s="3">
        <v>8</v>
      </c>
      <c r="F190" s="3" t="str">
        <f>HYPERLINK("https://www.boe.es/gazeta/dias/1821/07/02/pdfs/GMD-1821-186.pdf","Abrir PDF")</f>
        <v>Abrir PDF</v>
      </c>
    </row>
    <row r="191" spans="1:6" ht="30.95" customHeight="1">
      <c r="A191" s="7">
        <v>-28669</v>
      </c>
      <c r="B191" s="2" t="s">
        <v>2816</v>
      </c>
      <c r="C191" s="2" t="s">
        <v>22507</v>
      </c>
      <c r="D191" s="3">
        <v>4</v>
      </c>
      <c r="E191" s="3">
        <v>30</v>
      </c>
      <c r="F191" s="3" t="str">
        <f>HYPERLINK("https://www.boe.es/gazeta/dias/1821/07/03/pdfs/GMD-1821-187.pdf","Abrir PDF")</f>
        <v>Abrir PDF</v>
      </c>
    </row>
    <row r="192" spans="1:6" ht="30.95" customHeight="1">
      <c r="A192" s="7">
        <v>-28668</v>
      </c>
      <c r="B192" s="2" t="s">
        <v>2130</v>
      </c>
      <c r="C192" s="2" t="s">
        <v>22508</v>
      </c>
      <c r="D192" s="3">
        <v>4</v>
      </c>
      <c r="E192" s="3">
        <v>28</v>
      </c>
      <c r="F192" s="3" t="str">
        <f>HYPERLINK("https://www.boe.es/gazeta/dias/1821/07/04/pdfs/GMD-1821-188.pdf","Abrir PDF")</f>
        <v>Abrir PDF</v>
      </c>
    </row>
    <row r="193" spans="1:6" ht="30.95" customHeight="1">
      <c r="A193" s="7">
        <v>-28667</v>
      </c>
      <c r="B193" s="2" t="s">
        <v>107</v>
      </c>
      <c r="C193" s="2" t="s">
        <v>22509</v>
      </c>
      <c r="D193" s="3">
        <v>4</v>
      </c>
      <c r="E193" s="3">
        <v>63</v>
      </c>
      <c r="F193" s="3" t="str">
        <f>HYPERLINK("https://www.boe.es/gazeta/dias/1821/07/05/pdfs/GMD-1821-189.pdf","Abrir PDF")</f>
        <v>Abrir PDF</v>
      </c>
    </row>
    <row r="194" spans="1:6" ht="30.95" customHeight="1">
      <c r="A194" s="7">
        <v>-28666</v>
      </c>
      <c r="B194" s="2" t="s">
        <v>1263</v>
      </c>
      <c r="C194" s="2" t="s">
        <v>22510</v>
      </c>
      <c r="D194" s="3">
        <v>4</v>
      </c>
      <c r="E194" s="3">
        <v>38</v>
      </c>
      <c r="F194" s="3" t="str">
        <f>HYPERLINK("https://www.boe.es/gazeta/dias/1821/07/06/pdfs/GMD-1821-190.pdf","Abrir PDF")</f>
        <v>Abrir PDF</v>
      </c>
    </row>
    <row r="195" spans="1:6" ht="30.95" customHeight="1">
      <c r="A195" s="7">
        <v>-28665</v>
      </c>
      <c r="B195" s="2" t="s">
        <v>789</v>
      </c>
      <c r="C195" s="2" t="s">
        <v>22511</v>
      </c>
      <c r="D195" s="3">
        <v>4</v>
      </c>
      <c r="E195" s="3">
        <v>29</v>
      </c>
      <c r="F195" s="3" t="str">
        <f>HYPERLINK("https://www.boe.es/gazeta/dias/1821/07/07/pdfs/GMD-1821-191.pdf","Abrir PDF")</f>
        <v>Abrir PDF</v>
      </c>
    </row>
    <row r="196" spans="1:6" ht="30.95" customHeight="1">
      <c r="A196" s="7">
        <v>-28665</v>
      </c>
      <c r="B196" s="2" t="s">
        <v>22512</v>
      </c>
      <c r="C196" s="2" t="s">
        <v>22513</v>
      </c>
      <c r="D196" s="3">
        <v>1</v>
      </c>
      <c r="E196" s="3">
        <v>0</v>
      </c>
      <c r="F196" s="3" t="str">
        <f>HYPERLINK("https://www.boe.es/gazeta/dias/1821/07/07/pdfs/GMD-1821-192E.pdf","Abrir PDF")</f>
        <v>Abrir PDF</v>
      </c>
    </row>
    <row r="197" spans="1:6" ht="30.95" customHeight="1">
      <c r="A197" s="7">
        <v>-28664</v>
      </c>
      <c r="B197" s="2" t="s">
        <v>1365</v>
      </c>
      <c r="C197" s="2" t="s">
        <v>22514</v>
      </c>
      <c r="D197" s="3">
        <v>4</v>
      </c>
      <c r="E197" s="3">
        <v>17</v>
      </c>
      <c r="F197" s="3" t="str">
        <f>HYPERLINK("https://www.boe.es/gazeta/dias/1821/07/08/pdfs/GMD-1821-193.pdf","Abrir PDF")</f>
        <v>Abrir PDF</v>
      </c>
    </row>
    <row r="198" spans="1:6" ht="30.95" customHeight="1">
      <c r="A198" s="7">
        <v>-28663</v>
      </c>
      <c r="B198" s="2" t="s">
        <v>3032</v>
      </c>
      <c r="C198" s="2" t="s">
        <v>22515</v>
      </c>
      <c r="D198" s="3">
        <v>4</v>
      </c>
      <c r="E198" s="3">
        <v>19</v>
      </c>
      <c r="F198" s="3" t="str">
        <f>HYPERLINK("https://www.boe.es/gazeta/dias/1821/07/09/pdfs/GMD-1821-194.pdf","Abrir PDF")</f>
        <v>Abrir PDF</v>
      </c>
    </row>
    <row r="199" spans="1:6" ht="30.95" customHeight="1">
      <c r="A199" s="7">
        <v>-28662</v>
      </c>
      <c r="B199" s="2" t="s">
        <v>3289</v>
      </c>
      <c r="C199" s="2" t="s">
        <v>22516</v>
      </c>
      <c r="D199" s="3">
        <v>4</v>
      </c>
      <c r="E199" s="3">
        <v>31</v>
      </c>
      <c r="F199" s="3" t="str">
        <f>HYPERLINK("https://www.boe.es/gazeta/dias/1821/07/10/pdfs/GMD-1821-195.pdf","Abrir PDF")</f>
        <v>Abrir PDF</v>
      </c>
    </row>
    <row r="200" spans="1:6" ht="30.95" customHeight="1">
      <c r="A200" s="7">
        <v>-28661</v>
      </c>
      <c r="B200" s="2" t="s">
        <v>2298</v>
      </c>
      <c r="C200" s="2" t="s">
        <v>22517</v>
      </c>
      <c r="D200" s="3">
        <v>6</v>
      </c>
      <c r="E200" s="3">
        <v>25</v>
      </c>
      <c r="F200" s="3" t="str">
        <f>HYPERLINK("https://www.boe.es/gazeta/dias/1821/07/11/pdfs/GMD-1821-196.pdf","Abrir PDF")</f>
        <v>Abrir PDF</v>
      </c>
    </row>
    <row r="201" spans="1:6" ht="30.95" customHeight="1">
      <c r="A201" s="7">
        <v>-28660</v>
      </c>
      <c r="B201" s="2" t="s">
        <v>7202</v>
      </c>
      <c r="C201" s="2" t="s">
        <v>22518</v>
      </c>
      <c r="D201" s="3">
        <v>4</v>
      </c>
      <c r="E201" s="3">
        <v>11</v>
      </c>
      <c r="F201" s="3" t="str">
        <f>HYPERLINK("https://www.boe.es/gazeta/dias/1821/07/12/pdfs/GMD-1821-197.pdf","Abrir PDF")</f>
        <v>Abrir PDF</v>
      </c>
    </row>
    <row r="202" spans="1:6" ht="30.95" customHeight="1">
      <c r="A202" s="7">
        <v>-28659</v>
      </c>
      <c r="B202" s="2" t="s">
        <v>2850</v>
      </c>
      <c r="C202" s="2" t="s">
        <v>22519</v>
      </c>
      <c r="D202" s="3">
        <v>4</v>
      </c>
      <c r="E202" s="3">
        <v>19</v>
      </c>
      <c r="F202" s="3" t="str">
        <f>HYPERLINK("https://www.boe.es/gazeta/dias/1821/07/13/pdfs/GMD-1821-198.pdf","Abrir PDF")</f>
        <v>Abrir PDF</v>
      </c>
    </row>
    <row r="203" spans="1:6" ht="30.95" customHeight="1">
      <c r="A203" s="7">
        <v>-28658</v>
      </c>
      <c r="B203" s="2" t="s">
        <v>2528</v>
      </c>
      <c r="C203" s="2" t="s">
        <v>22520</v>
      </c>
      <c r="D203" s="3">
        <v>4</v>
      </c>
      <c r="E203" s="3">
        <v>8</v>
      </c>
      <c r="F203" s="3" t="str">
        <f>HYPERLINK("https://www.boe.es/gazeta/dias/1821/07/14/pdfs/GMD-1821-199.pdf","Abrir PDF")</f>
        <v>Abrir PDF</v>
      </c>
    </row>
    <row r="204" spans="1:6" ht="30.95" customHeight="1">
      <c r="A204" s="7">
        <v>-28657</v>
      </c>
      <c r="B204" s="2" t="s">
        <v>5977</v>
      </c>
      <c r="C204" s="2" t="s">
        <v>22521</v>
      </c>
      <c r="D204" s="3">
        <v>4</v>
      </c>
      <c r="E204" s="3">
        <v>12</v>
      </c>
      <c r="F204" s="3" t="str">
        <f>HYPERLINK("https://www.boe.es/gazeta/dias/1821/07/15/pdfs/GMD-1821-200.pdf","Abrir PDF")</f>
        <v>Abrir PDF</v>
      </c>
    </row>
    <row r="205" spans="1:6" ht="30.95" customHeight="1">
      <c r="A205" s="7">
        <v>-28656</v>
      </c>
      <c r="B205" s="2" t="s">
        <v>2399</v>
      </c>
      <c r="C205" s="2" t="s">
        <v>22522</v>
      </c>
      <c r="D205" s="3">
        <v>4</v>
      </c>
      <c r="E205" s="3">
        <v>14</v>
      </c>
      <c r="F205" s="3" t="str">
        <f>HYPERLINK("https://www.boe.es/gazeta/dias/1821/07/16/pdfs/GMD-1821-201.pdf","Abrir PDF")</f>
        <v>Abrir PDF</v>
      </c>
    </row>
    <row r="206" spans="1:6" ht="30.95" customHeight="1">
      <c r="A206" s="7">
        <v>-28655</v>
      </c>
      <c r="B206" s="2" t="s">
        <v>2530</v>
      </c>
      <c r="C206" s="2" t="s">
        <v>22523</v>
      </c>
      <c r="D206" s="3">
        <v>4</v>
      </c>
      <c r="E206" s="3">
        <v>19</v>
      </c>
      <c r="F206" s="3" t="str">
        <f>HYPERLINK("https://www.boe.es/gazeta/dias/1821/07/17/pdfs/GMD-1821-202.pdf","Abrir PDF")</f>
        <v>Abrir PDF</v>
      </c>
    </row>
    <row r="207" spans="1:6" ht="30.95" customHeight="1">
      <c r="A207" s="7">
        <v>-28654</v>
      </c>
      <c r="B207" s="2" t="s">
        <v>674</v>
      </c>
      <c r="C207" s="2" t="s">
        <v>22524</v>
      </c>
      <c r="D207" s="3">
        <v>4</v>
      </c>
      <c r="E207" s="3">
        <v>56</v>
      </c>
      <c r="F207" s="3" t="str">
        <f>HYPERLINK("https://www.boe.es/gazeta/dias/1821/07/18/pdfs/GMD-1821-203.pdf","Abrir PDF")</f>
        <v>Abrir PDF</v>
      </c>
    </row>
    <row r="208" spans="1:6" ht="30.95" customHeight="1">
      <c r="A208" s="7">
        <v>-28653</v>
      </c>
      <c r="B208" s="2" t="s">
        <v>1179</v>
      </c>
      <c r="C208" s="2" t="s">
        <v>22525</v>
      </c>
      <c r="D208" s="3">
        <v>6</v>
      </c>
      <c r="E208" s="3">
        <v>25</v>
      </c>
      <c r="F208" s="3" t="str">
        <f>HYPERLINK("https://www.boe.es/gazeta/dias/1821/07/19/pdfs/GMD-1821-204.pdf","Abrir PDF")</f>
        <v>Abrir PDF</v>
      </c>
    </row>
    <row r="209" spans="1:6" ht="30.95" customHeight="1">
      <c r="A209" s="7">
        <v>-28652</v>
      </c>
      <c r="B209" s="2" t="s">
        <v>1314</v>
      </c>
      <c r="C209" s="2" t="s">
        <v>22526</v>
      </c>
      <c r="D209" s="3">
        <v>4</v>
      </c>
      <c r="E209" s="3">
        <v>21</v>
      </c>
      <c r="F209" s="3" t="str">
        <f>HYPERLINK("https://www.boe.es/gazeta/dias/1821/07/20/pdfs/GMD-1821-205.pdf","Abrir PDF")</f>
        <v>Abrir PDF</v>
      </c>
    </row>
    <row r="210" spans="1:6" ht="30.95" customHeight="1">
      <c r="A210" s="7">
        <v>-28651</v>
      </c>
      <c r="B210" s="2" t="s">
        <v>1518</v>
      </c>
      <c r="C210" s="2" t="s">
        <v>22527</v>
      </c>
      <c r="D210" s="3">
        <v>4</v>
      </c>
      <c r="E210" s="3">
        <v>23</v>
      </c>
      <c r="F210" s="3" t="str">
        <f>HYPERLINK("https://www.boe.es/gazeta/dias/1821/07/21/pdfs/GMD-1821-206.pdf","Abrir PDF")</f>
        <v>Abrir PDF</v>
      </c>
    </row>
    <row r="211" spans="1:6" ht="30.95" customHeight="1">
      <c r="A211" s="7">
        <v>-28650</v>
      </c>
      <c r="B211" s="2" t="s">
        <v>3285</v>
      </c>
      <c r="C211" s="2" t="s">
        <v>22528</v>
      </c>
      <c r="D211" s="3">
        <v>4</v>
      </c>
      <c r="E211" s="3">
        <v>31</v>
      </c>
      <c r="F211" s="3" t="str">
        <f>HYPERLINK("https://www.boe.es/gazeta/dias/1821/07/22/pdfs/GMD-1821-207.pdf","Abrir PDF")</f>
        <v>Abrir PDF</v>
      </c>
    </row>
    <row r="212" spans="1:6" ht="30.95" customHeight="1">
      <c r="A212" s="7">
        <v>-28649</v>
      </c>
      <c r="B212" s="2" t="s">
        <v>4688</v>
      </c>
      <c r="C212" s="2" t="s">
        <v>22529</v>
      </c>
      <c r="D212" s="3">
        <v>4</v>
      </c>
      <c r="E212" s="3">
        <v>15</v>
      </c>
      <c r="F212" s="3" t="str">
        <f>HYPERLINK("https://www.boe.es/gazeta/dias/1821/07/23/pdfs/GMD-1821-208.pdf","Abrir PDF")</f>
        <v>Abrir PDF</v>
      </c>
    </row>
    <row r="213" spans="1:6" ht="30.95" customHeight="1">
      <c r="A213" s="7">
        <v>-28648</v>
      </c>
      <c r="B213" s="2" t="s">
        <v>1520</v>
      </c>
      <c r="C213" s="2" t="s">
        <v>22530</v>
      </c>
      <c r="D213" s="3">
        <v>6</v>
      </c>
      <c r="E213" s="3">
        <v>27</v>
      </c>
      <c r="F213" s="3" t="str">
        <f>HYPERLINK("https://www.boe.es/gazeta/dias/1821/07/24/pdfs/GMD-1821-209.pdf","Abrir PDF")</f>
        <v>Abrir PDF</v>
      </c>
    </row>
    <row r="214" spans="1:6" ht="30.95" customHeight="1">
      <c r="A214" s="7">
        <v>-28647</v>
      </c>
      <c r="B214" s="2" t="s">
        <v>1295</v>
      </c>
      <c r="C214" s="2" t="s">
        <v>22531</v>
      </c>
      <c r="D214" s="3">
        <v>4</v>
      </c>
      <c r="E214" s="3">
        <v>21</v>
      </c>
      <c r="F214" s="3" t="str">
        <f>HYPERLINK("https://www.boe.es/gazeta/dias/1821/07/25/pdfs/GMD-1821-210.pdf","Abrir PDF")</f>
        <v>Abrir PDF</v>
      </c>
    </row>
    <row r="215" spans="1:6" ht="30.95" customHeight="1">
      <c r="A215" s="7">
        <v>-28646</v>
      </c>
      <c r="B215" s="2" t="s">
        <v>1457</v>
      </c>
      <c r="C215" s="2" t="s">
        <v>22532</v>
      </c>
      <c r="D215" s="3">
        <v>4</v>
      </c>
      <c r="E215" s="3">
        <v>43</v>
      </c>
      <c r="F215" s="3" t="str">
        <f>HYPERLINK("https://www.boe.es/gazeta/dias/1821/07/26/pdfs/GMD-1821-211.pdf","Abrir PDF")</f>
        <v>Abrir PDF</v>
      </c>
    </row>
    <row r="216" spans="1:6" ht="30.95" customHeight="1">
      <c r="A216" s="7">
        <v>-28645</v>
      </c>
      <c r="B216" s="2" t="s">
        <v>2579</v>
      </c>
      <c r="C216" s="2" t="s">
        <v>22533</v>
      </c>
      <c r="D216" s="3">
        <v>4</v>
      </c>
      <c r="E216" s="3">
        <v>15</v>
      </c>
      <c r="F216" s="3" t="str">
        <f>HYPERLINK("https://www.boe.es/gazeta/dias/1821/07/27/pdfs/GMD-1821-212.pdf","Abrir PDF")</f>
        <v>Abrir PDF</v>
      </c>
    </row>
    <row r="217" spans="1:6" ht="30.95" customHeight="1">
      <c r="A217" s="7">
        <v>-28644</v>
      </c>
      <c r="B217" s="2" t="s">
        <v>1340</v>
      </c>
      <c r="C217" s="2" t="s">
        <v>22534</v>
      </c>
      <c r="D217" s="3">
        <v>4</v>
      </c>
      <c r="E217" s="3">
        <v>37</v>
      </c>
      <c r="F217" s="3" t="str">
        <f>HYPERLINK("https://www.boe.es/gazeta/dias/1821/07/28/pdfs/GMD-1821-213.pdf","Abrir PDF")</f>
        <v>Abrir PDF</v>
      </c>
    </row>
    <row r="218" spans="1:6" ht="30.95" customHeight="1">
      <c r="A218" s="7">
        <v>-28643</v>
      </c>
      <c r="B218" s="2" t="s">
        <v>1569</v>
      </c>
      <c r="C218" s="2" t="s">
        <v>22535</v>
      </c>
      <c r="D218" s="3">
        <v>4</v>
      </c>
      <c r="E218" s="3">
        <v>22</v>
      </c>
      <c r="F218" s="3" t="str">
        <f>HYPERLINK("https://www.boe.es/gazeta/dias/1821/07/29/pdfs/GMD-1821-214.pdf","Abrir PDF")</f>
        <v>Abrir PDF</v>
      </c>
    </row>
    <row r="219" spans="1:6" ht="30.95" customHeight="1">
      <c r="A219" s="7">
        <v>-28642</v>
      </c>
      <c r="B219" s="2" t="s">
        <v>734</v>
      </c>
      <c r="C219" s="2" t="s">
        <v>22536</v>
      </c>
      <c r="D219" s="3">
        <v>4</v>
      </c>
      <c r="E219" s="3">
        <v>18</v>
      </c>
      <c r="F219" s="3" t="str">
        <f>HYPERLINK("https://www.boe.es/gazeta/dias/1821/07/30/pdfs/GMD-1821-215.pdf","Abrir PDF")</f>
        <v>Abrir PDF</v>
      </c>
    </row>
    <row r="220" spans="1:6" ht="30.95" customHeight="1">
      <c r="A220" s="7">
        <v>-28641</v>
      </c>
      <c r="B220" s="2" t="s">
        <v>398</v>
      </c>
      <c r="C220" s="2" t="s">
        <v>22537</v>
      </c>
      <c r="D220" s="3">
        <v>4</v>
      </c>
      <c r="E220" s="3">
        <v>69</v>
      </c>
      <c r="F220" s="3" t="str">
        <f>HYPERLINK("https://www.boe.es/gazeta/dias/1821/07/31/pdfs/GMD-1821-216.pdf","Abrir PDF")</f>
        <v>Abrir PDF</v>
      </c>
    </row>
    <row r="221" spans="1:6" ht="30.95" customHeight="1">
      <c r="A221" s="7">
        <v>-28640</v>
      </c>
      <c r="B221" s="2" t="s">
        <v>1590</v>
      </c>
      <c r="C221" s="2" t="s">
        <v>22538</v>
      </c>
      <c r="D221" s="3">
        <v>6</v>
      </c>
      <c r="E221" s="3">
        <v>25</v>
      </c>
      <c r="F221" s="3" t="str">
        <f>HYPERLINK("https://www.boe.es/gazeta/dias/1821/08/01/pdfs/GMD-1821-217.pdf","Abrir PDF")</f>
        <v>Abrir PDF</v>
      </c>
    </row>
    <row r="222" spans="1:6" ht="30.95" customHeight="1">
      <c r="A222" s="7">
        <v>-28639</v>
      </c>
      <c r="B222" s="2" t="s">
        <v>3316</v>
      </c>
      <c r="C222" s="2" t="s">
        <v>22539</v>
      </c>
      <c r="D222" s="3">
        <v>4</v>
      </c>
      <c r="E222" s="3">
        <v>12</v>
      </c>
      <c r="F222" s="3" t="str">
        <f>HYPERLINK("https://www.boe.es/gazeta/dias/1821/08/02/pdfs/GMD-1821-218.pdf","Abrir PDF")</f>
        <v>Abrir PDF</v>
      </c>
    </row>
    <row r="223" spans="1:6" ht="30.95" customHeight="1">
      <c r="A223" s="7">
        <v>-28638</v>
      </c>
      <c r="B223" s="2" t="s">
        <v>736</v>
      </c>
      <c r="C223" s="2" t="s">
        <v>22540</v>
      </c>
      <c r="D223" s="3">
        <v>4</v>
      </c>
      <c r="E223" s="3">
        <v>18</v>
      </c>
      <c r="F223" s="3" t="str">
        <f>HYPERLINK("https://www.boe.es/gazeta/dias/1821/08/03/pdfs/GMD-1821-219.pdf","Abrir PDF")</f>
        <v>Abrir PDF</v>
      </c>
    </row>
    <row r="224" spans="1:6" ht="30.95" customHeight="1">
      <c r="A224" s="7">
        <v>-28637</v>
      </c>
      <c r="B224" s="2" t="s">
        <v>3049</v>
      </c>
      <c r="C224" s="2" t="s">
        <v>22541</v>
      </c>
      <c r="D224" s="3">
        <v>4</v>
      </c>
      <c r="E224" s="3">
        <v>22</v>
      </c>
      <c r="F224" s="3" t="str">
        <f>HYPERLINK("https://www.boe.es/gazeta/dias/1821/08/04/pdfs/GMD-1821-220.pdf","Abrir PDF")</f>
        <v>Abrir PDF</v>
      </c>
    </row>
    <row r="225" spans="1:6" ht="30.95" customHeight="1">
      <c r="A225" s="7">
        <v>-28636</v>
      </c>
      <c r="B225" s="2" t="s">
        <v>122</v>
      </c>
      <c r="C225" s="2" t="s">
        <v>22542</v>
      </c>
      <c r="D225" s="3">
        <v>4</v>
      </c>
      <c r="E225" s="3">
        <v>27</v>
      </c>
      <c r="F225" s="3" t="str">
        <f>HYPERLINK("https://www.boe.es/gazeta/dias/1821/08/05/pdfs/GMD-1821-221.pdf","Abrir PDF")</f>
        <v>Abrir PDF</v>
      </c>
    </row>
    <row r="226" spans="1:6" ht="30.95" customHeight="1">
      <c r="A226" s="7">
        <v>-28635</v>
      </c>
      <c r="B226" s="2" t="s">
        <v>1210</v>
      </c>
      <c r="C226" s="2" t="s">
        <v>22543</v>
      </c>
      <c r="D226" s="3">
        <v>4</v>
      </c>
      <c r="E226" s="3">
        <v>15</v>
      </c>
      <c r="F226" s="3" t="str">
        <f>HYPERLINK("https://www.boe.es/gazeta/dias/1821/08/06/pdfs/GMD-1821-222.pdf","Abrir PDF")</f>
        <v>Abrir PDF</v>
      </c>
    </row>
    <row r="227" spans="1:6" ht="30.95" customHeight="1">
      <c r="A227" s="7">
        <v>-28634</v>
      </c>
      <c r="B227" s="2" t="s">
        <v>2533</v>
      </c>
      <c r="C227" s="2" t="s">
        <v>22544</v>
      </c>
      <c r="D227" s="3">
        <v>4</v>
      </c>
      <c r="E227" s="3">
        <v>15</v>
      </c>
      <c r="F227" s="3" t="str">
        <f>HYPERLINK("https://www.boe.es/gazeta/dias/1821/08/07/pdfs/GMD-1821-223.pdf","Abrir PDF")</f>
        <v>Abrir PDF</v>
      </c>
    </row>
    <row r="228" spans="1:6" ht="30.95" customHeight="1">
      <c r="A228" s="7">
        <v>-28633</v>
      </c>
      <c r="B228" s="2" t="s">
        <v>2601</v>
      </c>
      <c r="C228" s="2" t="s">
        <v>22545</v>
      </c>
      <c r="D228" s="3">
        <v>4</v>
      </c>
      <c r="E228" s="3">
        <v>8</v>
      </c>
      <c r="F228" s="3" t="str">
        <f>HYPERLINK("https://www.boe.es/gazeta/dias/1821/08/08/pdfs/GMD-1821-224.pdf","Abrir PDF")</f>
        <v>Abrir PDF</v>
      </c>
    </row>
    <row r="229" spans="1:6" ht="30.95" customHeight="1">
      <c r="A229" s="7">
        <v>-28632</v>
      </c>
      <c r="B229" s="2" t="s">
        <v>6572</v>
      </c>
      <c r="C229" s="2" t="s">
        <v>22546</v>
      </c>
      <c r="D229" s="3">
        <v>4</v>
      </c>
      <c r="E229" s="3">
        <v>10</v>
      </c>
      <c r="F229" s="3" t="str">
        <f>HYPERLINK("https://www.boe.es/gazeta/dias/1821/08/09/pdfs/GMD-1821-225.pdf","Abrir PDF")</f>
        <v>Abrir PDF</v>
      </c>
    </row>
    <row r="230" spans="1:6" ht="30.95" customHeight="1">
      <c r="A230" s="7">
        <v>-28632</v>
      </c>
      <c r="B230" s="2" t="s">
        <v>11231</v>
      </c>
      <c r="C230" s="2" t="s">
        <v>22547</v>
      </c>
      <c r="D230" s="3">
        <v>1</v>
      </c>
      <c r="E230" s="3">
        <v>2</v>
      </c>
      <c r="F230" s="3" t="str">
        <f>HYPERLINK("https://www.boe.es/gazeta/dias/1821/08/09/pdfs/GMD-1821-226E.pdf","Abrir PDF")</f>
        <v>Abrir PDF</v>
      </c>
    </row>
    <row r="231" spans="1:6" ht="30.95" customHeight="1">
      <c r="A231" s="7">
        <v>-28631</v>
      </c>
      <c r="B231" s="2" t="s">
        <v>751</v>
      </c>
      <c r="C231" s="2" t="s">
        <v>22548</v>
      </c>
      <c r="D231" s="3">
        <v>4</v>
      </c>
      <c r="E231" s="3">
        <v>20</v>
      </c>
      <c r="F231" s="3" t="str">
        <f>HYPERLINK("https://www.boe.es/gazeta/dias/1821/08/10/pdfs/GMD-1821-227.pdf","Abrir PDF")</f>
        <v>Abrir PDF</v>
      </c>
    </row>
    <row r="232" spans="1:6" ht="30.95" customHeight="1">
      <c r="A232" s="7">
        <v>-28630</v>
      </c>
      <c r="B232" s="2" t="s">
        <v>616</v>
      </c>
      <c r="C232" s="2" t="s">
        <v>22549</v>
      </c>
      <c r="D232" s="3">
        <v>4</v>
      </c>
      <c r="E232" s="3">
        <v>10</v>
      </c>
      <c r="F232" s="3" t="str">
        <f>HYPERLINK("https://www.boe.es/gazeta/dias/1821/08/11/pdfs/GMD-1821-228.pdf","Abrir PDF")</f>
        <v>Abrir PDF</v>
      </c>
    </row>
    <row r="233" spans="1:6" ht="30.95" customHeight="1">
      <c r="A233" s="7">
        <v>-28629</v>
      </c>
      <c r="B233" s="2" t="s">
        <v>235</v>
      </c>
      <c r="C233" s="2" t="s">
        <v>22550</v>
      </c>
      <c r="D233" s="3">
        <v>4</v>
      </c>
      <c r="E233" s="3">
        <v>59</v>
      </c>
      <c r="F233" s="3" t="str">
        <f>HYPERLINK("https://www.boe.es/gazeta/dias/1821/08/12/pdfs/GMD-1821-229.pdf","Abrir PDF")</f>
        <v>Abrir PDF</v>
      </c>
    </row>
    <row r="234" spans="1:6" ht="30.95" customHeight="1">
      <c r="A234" s="7">
        <v>-28628</v>
      </c>
      <c r="B234" s="2" t="s">
        <v>4257</v>
      </c>
      <c r="C234" s="2" t="s">
        <v>22551</v>
      </c>
      <c r="D234" s="3">
        <v>4</v>
      </c>
      <c r="E234" s="3">
        <v>16</v>
      </c>
      <c r="F234" s="3" t="str">
        <f>HYPERLINK("https://www.boe.es/gazeta/dias/1821/08/13/pdfs/GMD-1821-230.pdf","Abrir PDF")</f>
        <v>Abrir PDF</v>
      </c>
    </row>
    <row r="235" spans="1:6" ht="30.95" customHeight="1">
      <c r="A235" s="7">
        <v>-28627</v>
      </c>
      <c r="B235" s="2" t="s">
        <v>3216</v>
      </c>
      <c r="C235" s="2" t="s">
        <v>22552</v>
      </c>
      <c r="D235" s="3">
        <v>4</v>
      </c>
      <c r="E235" s="3">
        <v>13</v>
      </c>
      <c r="F235" s="3" t="str">
        <f>HYPERLINK("https://www.boe.es/gazeta/dias/1821/08/14/pdfs/GMD-1821-231.pdf","Abrir PDF")</f>
        <v>Abrir PDF</v>
      </c>
    </row>
    <row r="236" spans="1:6" ht="30.95" customHeight="1">
      <c r="A236" s="7">
        <v>-28626</v>
      </c>
      <c r="B236" s="2" t="s">
        <v>468</v>
      </c>
      <c r="C236" s="2" t="s">
        <v>22553</v>
      </c>
      <c r="D236" s="3">
        <v>4</v>
      </c>
      <c r="E236" s="3">
        <v>47</v>
      </c>
      <c r="F236" s="3" t="str">
        <f>HYPERLINK("https://www.boe.es/gazeta/dias/1821/08/15/pdfs/GMD-1821-232.pdf","Abrir PDF")</f>
        <v>Abrir PDF</v>
      </c>
    </row>
    <row r="237" spans="1:6" ht="30.95" customHeight="1">
      <c r="A237" s="7">
        <v>-28625</v>
      </c>
      <c r="B237" s="2" t="s">
        <v>738</v>
      </c>
      <c r="C237" s="2" t="s">
        <v>22554</v>
      </c>
      <c r="D237" s="3">
        <v>4</v>
      </c>
      <c r="E237" s="3">
        <v>13</v>
      </c>
      <c r="F237" s="3" t="str">
        <f>HYPERLINK("https://www.boe.es/gazeta/dias/1821/08/16/pdfs/GMD-1821-233.pdf","Abrir PDF")</f>
        <v>Abrir PDF</v>
      </c>
    </row>
    <row r="238" spans="1:6" ht="30.95" customHeight="1">
      <c r="A238" s="7">
        <v>-28624</v>
      </c>
      <c r="B238" s="2" t="s">
        <v>78</v>
      </c>
      <c r="C238" s="2" t="s">
        <v>22555</v>
      </c>
      <c r="D238" s="3">
        <v>4</v>
      </c>
      <c r="E238" s="3">
        <v>30</v>
      </c>
      <c r="F238" s="3" t="str">
        <f>HYPERLINK("https://www.boe.es/gazeta/dias/1821/08/17/pdfs/GMD-1821-234.pdf","Abrir PDF")</f>
        <v>Abrir PDF</v>
      </c>
    </row>
    <row r="239" spans="1:6" ht="30.95" customHeight="1">
      <c r="A239" s="7">
        <v>-28623</v>
      </c>
      <c r="B239" s="2" t="s">
        <v>2767</v>
      </c>
      <c r="C239" s="2" t="s">
        <v>22556</v>
      </c>
      <c r="D239" s="3">
        <v>4</v>
      </c>
      <c r="E239" s="3">
        <v>20</v>
      </c>
      <c r="F239" s="3" t="str">
        <f>HYPERLINK("https://www.boe.es/gazeta/dias/1821/08/18/pdfs/GMD-1821-235.pdf","Abrir PDF")</f>
        <v>Abrir PDF</v>
      </c>
    </row>
    <row r="240" spans="1:6" ht="30.95" customHeight="1">
      <c r="A240" s="7">
        <v>-28622</v>
      </c>
      <c r="B240" s="2" t="s">
        <v>2771</v>
      </c>
      <c r="C240" s="2" t="s">
        <v>22557</v>
      </c>
      <c r="D240" s="3">
        <v>6</v>
      </c>
      <c r="E240" s="3">
        <v>10</v>
      </c>
      <c r="F240" s="3" t="str">
        <f>HYPERLINK("https://www.boe.es/gazeta/dias/1821/08/19/pdfs/GMD-1821-236.pdf","Abrir PDF")</f>
        <v>Abrir PDF</v>
      </c>
    </row>
    <row r="241" spans="1:6" ht="30.95" customHeight="1">
      <c r="A241" s="7">
        <v>-28621</v>
      </c>
      <c r="B241" s="2" t="s">
        <v>1317</v>
      </c>
      <c r="C241" s="2" t="s">
        <v>22558</v>
      </c>
      <c r="D241" s="3">
        <v>4</v>
      </c>
      <c r="E241" s="3">
        <v>17</v>
      </c>
      <c r="F241" s="3" t="str">
        <f>HYPERLINK("https://www.boe.es/gazeta/dias/1821/08/20/pdfs/GMD-1821-237.pdf","Abrir PDF")</f>
        <v>Abrir PDF</v>
      </c>
    </row>
    <row r="242" spans="1:6" ht="30.95" customHeight="1">
      <c r="A242" s="7">
        <v>-28620</v>
      </c>
      <c r="B242" s="2" t="s">
        <v>87</v>
      </c>
      <c r="C242" s="2" t="s">
        <v>22559</v>
      </c>
      <c r="D242" s="3">
        <v>4</v>
      </c>
      <c r="E242" s="3">
        <v>52</v>
      </c>
      <c r="F242" s="3" t="str">
        <f>HYPERLINK("https://www.boe.es/gazeta/dias/1821/08/21/pdfs/GMD-1821-238.pdf","Abrir PDF")</f>
        <v>Abrir PDF</v>
      </c>
    </row>
    <row r="243" spans="1:6" ht="30.95" customHeight="1">
      <c r="A243" s="7">
        <v>-28619</v>
      </c>
      <c r="B243" s="2" t="s">
        <v>3364</v>
      </c>
      <c r="C243" s="2" t="s">
        <v>22560</v>
      </c>
      <c r="D243" s="3">
        <v>4</v>
      </c>
      <c r="E243" s="3">
        <v>15</v>
      </c>
      <c r="F243" s="3" t="str">
        <f>HYPERLINK("https://www.boe.es/gazeta/dias/1821/08/22/pdfs/GMD-1821-239.pdf","Abrir PDF")</f>
        <v>Abrir PDF</v>
      </c>
    </row>
    <row r="244" spans="1:6" ht="30.95" customHeight="1">
      <c r="A244" s="7">
        <v>-28618</v>
      </c>
      <c r="B244" s="2" t="s">
        <v>4041</v>
      </c>
      <c r="C244" s="2" t="s">
        <v>22561</v>
      </c>
      <c r="D244" s="3">
        <v>4</v>
      </c>
      <c r="E244" s="3">
        <v>14</v>
      </c>
      <c r="F244" s="3" t="str">
        <f>HYPERLINK("https://www.boe.es/gazeta/dias/1821/08/23/pdfs/GMD-1821-240.pdf","Abrir PDF")</f>
        <v>Abrir PDF</v>
      </c>
    </row>
    <row r="245" spans="1:6" ht="30.95" customHeight="1">
      <c r="A245" s="7">
        <v>-28617</v>
      </c>
      <c r="B245" s="2" t="s">
        <v>436</v>
      </c>
      <c r="C245" s="2" t="s">
        <v>22562</v>
      </c>
      <c r="D245" s="3">
        <v>4</v>
      </c>
      <c r="E245" s="3">
        <v>26</v>
      </c>
      <c r="F245" s="3" t="str">
        <f>HYPERLINK("https://www.boe.es/gazeta/dias/1821/08/24/pdfs/GMD-1821-241.pdf","Abrir PDF")</f>
        <v>Abrir PDF</v>
      </c>
    </row>
    <row r="246" spans="1:6" ht="30.95" customHeight="1">
      <c r="A246" s="7">
        <v>-28616</v>
      </c>
      <c r="B246" s="2" t="s">
        <v>1912</v>
      </c>
      <c r="C246" s="2" t="s">
        <v>22563</v>
      </c>
      <c r="D246" s="3">
        <v>4</v>
      </c>
      <c r="E246" s="3">
        <v>41</v>
      </c>
      <c r="F246" s="3" t="str">
        <f>HYPERLINK("https://www.boe.es/gazeta/dias/1821/08/25/pdfs/GMD-1821-242.pdf","Abrir PDF")</f>
        <v>Abrir PDF</v>
      </c>
    </row>
    <row r="247" spans="1:6" ht="30.95" customHeight="1">
      <c r="A247" s="7">
        <v>-28615</v>
      </c>
      <c r="B247" s="2" t="s">
        <v>427</v>
      </c>
      <c r="C247" s="2" t="s">
        <v>22564</v>
      </c>
      <c r="D247" s="3">
        <v>4</v>
      </c>
      <c r="E247" s="3">
        <v>21</v>
      </c>
      <c r="F247" s="3" t="str">
        <f>HYPERLINK("https://www.boe.es/gazeta/dias/1821/08/26/pdfs/GMD-1821-243.pdf","Abrir PDF")</f>
        <v>Abrir PDF</v>
      </c>
    </row>
    <row r="248" spans="1:6" ht="30.95" customHeight="1">
      <c r="A248" s="7">
        <v>-28614</v>
      </c>
      <c r="B248" s="2" t="s">
        <v>4451</v>
      </c>
      <c r="C248" s="2" t="s">
        <v>22565</v>
      </c>
      <c r="D248" s="3">
        <v>4</v>
      </c>
      <c r="E248" s="3">
        <v>10</v>
      </c>
      <c r="F248" s="3" t="str">
        <f>HYPERLINK("https://www.boe.es/gazeta/dias/1821/08/27/pdfs/GMD-1821-244.pdf","Abrir PDF")</f>
        <v>Abrir PDF</v>
      </c>
    </row>
    <row r="249" spans="1:6" ht="30.95" customHeight="1">
      <c r="A249" s="7">
        <v>-28613</v>
      </c>
      <c r="B249" s="2" t="s">
        <v>178</v>
      </c>
      <c r="C249" s="2" t="s">
        <v>22566</v>
      </c>
      <c r="D249" s="3">
        <v>4</v>
      </c>
      <c r="E249" s="3">
        <v>18</v>
      </c>
      <c r="F249" s="3" t="str">
        <f>HYPERLINK("https://www.boe.es/gazeta/dias/1821/08/28/pdfs/GMD-1821-245.pdf","Abrir PDF")</f>
        <v>Abrir PDF</v>
      </c>
    </row>
    <row r="250" spans="1:6" ht="30.95" customHeight="1">
      <c r="A250" s="7">
        <v>-28612</v>
      </c>
      <c r="B250" s="2" t="s">
        <v>1902</v>
      </c>
      <c r="C250" s="2" t="s">
        <v>22567</v>
      </c>
      <c r="D250" s="3">
        <v>4</v>
      </c>
      <c r="E250" s="3">
        <v>18</v>
      </c>
      <c r="F250" s="3" t="str">
        <f>HYPERLINK("https://www.boe.es/gazeta/dias/1821/08/29/pdfs/GMD-1821-246.pdf","Abrir PDF")</f>
        <v>Abrir PDF</v>
      </c>
    </row>
    <row r="251" spans="1:6" ht="30.95" customHeight="1">
      <c r="A251" s="7">
        <v>-28611</v>
      </c>
      <c r="B251" s="2" t="s">
        <v>5777</v>
      </c>
      <c r="C251" s="2" t="s">
        <v>22568</v>
      </c>
      <c r="D251" s="3">
        <v>4</v>
      </c>
      <c r="E251" s="3">
        <v>15</v>
      </c>
      <c r="F251" s="3" t="str">
        <f>HYPERLINK("https://www.boe.es/gazeta/dias/1821/08/30/pdfs/GMD-1821-247.pdf","Abrir PDF")</f>
        <v>Abrir PDF</v>
      </c>
    </row>
    <row r="252" spans="1:6" ht="30.95" customHeight="1">
      <c r="A252" s="7">
        <v>-28610</v>
      </c>
      <c r="B252" s="2" t="s">
        <v>190</v>
      </c>
      <c r="C252" s="2" t="s">
        <v>22569</v>
      </c>
      <c r="D252" s="3">
        <v>4</v>
      </c>
      <c r="E252" s="3">
        <v>33</v>
      </c>
      <c r="F252" s="3" t="str">
        <f>HYPERLINK("https://www.boe.es/gazeta/dias/1821/08/31/pdfs/GMD-1821-248.pdf","Abrir PDF")</f>
        <v>Abrir PDF</v>
      </c>
    </row>
    <row r="253" spans="1:6" ht="30.95" customHeight="1">
      <c r="A253" s="7">
        <v>-28609</v>
      </c>
      <c r="B253" s="2" t="s">
        <v>2184</v>
      </c>
      <c r="C253" s="2" t="s">
        <v>22570</v>
      </c>
      <c r="D253" s="3">
        <v>4</v>
      </c>
      <c r="E253" s="3">
        <v>7</v>
      </c>
      <c r="F253" s="3" t="str">
        <f>HYPERLINK("https://www.boe.es/gazeta/dias/1821/09/01/pdfs/GMD-1821-249.pdf","Abrir PDF")</f>
        <v>Abrir PDF</v>
      </c>
    </row>
    <row r="254" spans="1:6" ht="30.95" customHeight="1">
      <c r="A254" s="7">
        <v>-28608</v>
      </c>
      <c r="B254" s="2" t="s">
        <v>805</v>
      </c>
      <c r="C254" s="2" t="s">
        <v>22571</v>
      </c>
      <c r="D254" s="3">
        <v>4</v>
      </c>
      <c r="E254" s="3">
        <v>23</v>
      </c>
      <c r="F254" s="3" t="str">
        <f>HYPERLINK("https://www.boe.es/gazeta/dias/1821/09/02/pdfs/GMD-1821-250.pdf","Abrir PDF")</f>
        <v>Abrir PDF</v>
      </c>
    </row>
    <row r="255" spans="1:6" ht="30.95" customHeight="1">
      <c r="A255" s="7">
        <v>-28607</v>
      </c>
      <c r="B255" s="2" t="s">
        <v>740</v>
      </c>
      <c r="C255" s="2" t="s">
        <v>22572</v>
      </c>
      <c r="D255" s="3">
        <v>4</v>
      </c>
      <c r="E255" s="3">
        <v>27</v>
      </c>
      <c r="F255" s="3" t="str">
        <f>HYPERLINK("https://www.boe.es/gazeta/dias/1821/09/03/pdfs/GMD-1821-251.pdf","Abrir PDF")</f>
        <v>Abrir PDF</v>
      </c>
    </row>
    <row r="256" spans="1:6" ht="30.95" customHeight="1">
      <c r="A256" s="7">
        <v>-28606</v>
      </c>
      <c r="B256" s="2" t="s">
        <v>1799</v>
      </c>
      <c r="C256" s="2" t="s">
        <v>22573</v>
      </c>
      <c r="D256" s="3">
        <v>4</v>
      </c>
      <c r="E256" s="3">
        <v>32</v>
      </c>
      <c r="F256" s="3" t="str">
        <f>HYPERLINK("https://www.boe.es/gazeta/dias/1821/09/04/pdfs/GMD-1821-252.pdf","Abrir PDF")</f>
        <v>Abrir PDF</v>
      </c>
    </row>
    <row r="257" spans="1:6" ht="30.95" customHeight="1">
      <c r="A257" s="7">
        <v>-28605</v>
      </c>
      <c r="B257" s="2" t="s">
        <v>3173</v>
      </c>
      <c r="C257" s="2" t="s">
        <v>22574</v>
      </c>
      <c r="D257" s="3">
        <v>4</v>
      </c>
      <c r="E257" s="3">
        <v>12</v>
      </c>
      <c r="F257" s="3" t="str">
        <f>HYPERLINK("https://www.boe.es/gazeta/dias/1821/09/05/pdfs/GMD-1821-253.pdf","Abrir PDF")</f>
        <v>Abrir PDF</v>
      </c>
    </row>
    <row r="258" spans="1:6" ht="30.95" customHeight="1">
      <c r="A258" s="7">
        <v>-28604</v>
      </c>
      <c r="B258" s="2" t="s">
        <v>729</v>
      </c>
      <c r="C258" s="2" t="s">
        <v>22575</v>
      </c>
      <c r="D258" s="3">
        <v>6</v>
      </c>
      <c r="E258" s="3">
        <v>11</v>
      </c>
      <c r="F258" s="3" t="str">
        <f>HYPERLINK("https://www.boe.es/gazeta/dias/1821/09/06/pdfs/GMD-1821-254.pdf","Abrir PDF")</f>
        <v>Abrir PDF</v>
      </c>
    </row>
    <row r="259" spans="1:6" ht="30.95" customHeight="1">
      <c r="A259" s="7">
        <v>-28603</v>
      </c>
      <c r="B259" s="2" t="s">
        <v>2928</v>
      </c>
      <c r="C259" s="2" t="s">
        <v>22576</v>
      </c>
      <c r="D259" s="3">
        <v>6</v>
      </c>
      <c r="E259" s="3">
        <v>4</v>
      </c>
      <c r="F259" s="3" t="str">
        <f>HYPERLINK("https://www.boe.es/gazeta/dias/1821/09/07/pdfs/GMD-1821-255.pdf","Abrir PDF")</f>
        <v>Abrir PDF</v>
      </c>
    </row>
    <row r="260" spans="1:6" ht="30.95" customHeight="1">
      <c r="A260" s="7">
        <v>-28602</v>
      </c>
      <c r="B260" s="2" t="s">
        <v>1526</v>
      </c>
      <c r="C260" s="2" t="s">
        <v>22577</v>
      </c>
      <c r="D260" s="3">
        <v>4</v>
      </c>
      <c r="E260" s="3">
        <v>18</v>
      </c>
      <c r="F260" s="3" t="str">
        <f>HYPERLINK("https://www.boe.es/gazeta/dias/1821/09/08/pdfs/GMD-1821-256.pdf","Abrir PDF")</f>
        <v>Abrir PDF</v>
      </c>
    </row>
    <row r="261" spans="1:6" ht="30.95" customHeight="1">
      <c r="A261" s="7">
        <v>-28601</v>
      </c>
      <c r="B261" s="2" t="s">
        <v>2924</v>
      </c>
      <c r="C261" s="2" t="s">
        <v>22578</v>
      </c>
      <c r="D261" s="3">
        <v>4</v>
      </c>
      <c r="E261" s="3">
        <v>5</v>
      </c>
      <c r="F261" s="3" t="str">
        <f>HYPERLINK("https://www.boe.es/gazeta/dias/1821/09/09/pdfs/GMD-1821-257.pdf","Abrir PDF")</f>
        <v>Abrir PDF</v>
      </c>
    </row>
    <row r="262" spans="1:6" ht="30.95" customHeight="1">
      <c r="A262" s="7">
        <v>-28600</v>
      </c>
      <c r="B262" s="2" t="s">
        <v>99</v>
      </c>
      <c r="C262" s="2" t="s">
        <v>22579</v>
      </c>
      <c r="D262" s="3">
        <v>4</v>
      </c>
      <c r="E262" s="3">
        <v>17</v>
      </c>
      <c r="F262" s="3" t="str">
        <f>HYPERLINK("https://www.boe.es/gazeta/dias/1821/09/10/pdfs/GMD-1821-258.pdf","Abrir PDF")</f>
        <v>Abrir PDF</v>
      </c>
    </row>
    <row r="263" spans="1:6" ht="30.95" customHeight="1">
      <c r="A263" s="7">
        <v>-28599</v>
      </c>
      <c r="B263" s="2" t="s">
        <v>902</v>
      </c>
      <c r="C263" s="2" t="s">
        <v>22580</v>
      </c>
      <c r="D263" s="3">
        <v>4</v>
      </c>
      <c r="E263" s="3">
        <v>36</v>
      </c>
      <c r="F263" s="3" t="str">
        <f>HYPERLINK("https://www.boe.es/gazeta/dias/1821/09/11/pdfs/GMD-1821-259.pdf","Abrir PDF")</f>
        <v>Abrir PDF</v>
      </c>
    </row>
    <row r="264" spans="1:6" ht="30.95" customHeight="1">
      <c r="A264" s="7">
        <v>-28598</v>
      </c>
      <c r="B264" s="2" t="s">
        <v>1206</v>
      </c>
      <c r="C264" s="2" t="s">
        <v>22581</v>
      </c>
      <c r="D264" s="3">
        <v>4</v>
      </c>
      <c r="E264" s="3">
        <v>20</v>
      </c>
      <c r="F264" s="3" t="str">
        <f>HYPERLINK("https://www.boe.es/gazeta/dias/1821/09/12/pdfs/GMD-1821-260.pdf","Abrir PDF")</f>
        <v>Abrir PDF</v>
      </c>
    </row>
    <row r="265" spans="1:6" ht="30.95" customHeight="1">
      <c r="A265" s="7">
        <v>-28597</v>
      </c>
      <c r="B265" s="2" t="s">
        <v>811</v>
      </c>
      <c r="C265" s="2" t="s">
        <v>22582</v>
      </c>
      <c r="D265" s="3">
        <v>4</v>
      </c>
      <c r="E265" s="3">
        <v>9</v>
      </c>
      <c r="F265" s="3" t="str">
        <f>HYPERLINK("https://www.boe.es/gazeta/dias/1821/09/13/pdfs/GMD-1821-261.pdf","Abrir PDF")</f>
        <v>Abrir PDF</v>
      </c>
    </row>
    <row r="266" spans="1:6" ht="30.95" customHeight="1">
      <c r="A266" s="7">
        <v>-28596</v>
      </c>
      <c r="B266" s="2" t="s">
        <v>1275</v>
      </c>
      <c r="C266" s="2" t="s">
        <v>22583</v>
      </c>
      <c r="D266" s="3">
        <v>4</v>
      </c>
      <c r="E266" s="3">
        <v>13</v>
      </c>
      <c r="F266" s="3" t="str">
        <f>HYPERLINK("https://www.boe.es/gazeta/dias/1821/09/14/pdfs/GMD-1821-262.pdf","Abrir PDF")</f>
        <v>Abrir PDF</v>
      </c>
    </row>
    <row r="267" spans="1:6" ht="30.95" customHeight="1">
      <c r="A267" s="7">
        <v>-28595</v>
      </c>
      <c r="B267" s="2" t="s">
        <v>1621</v>
      </c>
      <c r="C267" s="2" t="s">
        <v>22584</v>
      </c>
      <c r="D267" s="3">
        <v>4</v>
      </c>
      <c r="E267" s="3">
        <v>30</v>
      </c>
      <c r="F267" s="3" t="str">
        <f>HYPERLINK("https://www.boe.es/gazeta/dias/1821/09/15/pdfs/GMD-1821-263.pdf","Abrir PDF")</f>
        <v>Abrir PDF</v>
      </c>
    </row>
    <row r="268" spans="1:6" ht="30.95" customHeight="1">
      <c r="A268" s="7">
        <v>-28594</v>
      </c>
      <c r="B268" s="2" t="s">
        <v>2412</v>
      </c>
      <c r="C268" s="2" t="s">
        <v>22585</v>
      </c>
      <c r="D268" s="3">
        <v>4</v>
      </c>
      <c r="E268" s="3">
        <v>11</v>
      </c>
      <c r="F268" s="3" t="str">
        <f>HYPERLINK("https://www.boe.es/gazeta/dias/1821/09/16/pdfs/GMD-1821-264.pdf","Abrir PDF")</f>
        <v>Abrir PDF</v>
      </c>
    </row>
    <row r="269" spans="1:6" ht="30.95" customHeight="1">
      <c r="A269" s="7">
        <v>-28593</v>
      </c>
      <c r="B269" s="2" t="s">
        <v>1635</v>
      </c>
      <c r="C269" s="2" t="s">
        <v>22586</v>
      </c>
      <c r="D269" s="3">
        <v>4</v>
      </c>
      <c r="E269" s="3">
        <v>8</v>
      </c>
      <c r="F269" s="3" t="str">
        <f>HYPERLINK("https://www.boe.es/gazeta/dias/1821/09/17/pdfs/GMD-1821-265.pdf","Abrir PDF")</f>
        <v>Abrir PDF</v>
      </c>
    </row>
    <row r="270" spans="1:6" ht="30.95" customHeight="1">
      <c r="A270" s="7">
        <v>-28592</v>
      </c>
      <c r="B270" s="2" t="s">
        <v>518</v>
      </c>
      <c r="C270" s="2" t="s">
        <v>22587</v>
      </c>
      <c r="D270" s="3">
        <v>4</v>
      </c>
      <c r="E270" s="3">
        <v>14</v>
      </c>
      <c r="F270" s="3" t="str">
        <f>HYPERLINK("https://www.boe.es/gazeta/dias/1821/09/18/pdfs/GMD-1821-266.pdf","Abrir PDF")</f>
        <v>Abrir PDF</v>
      </c>
    </row>
    <row r="271" spans="1:6" ht="30.95" customHeight="1">
      <c r="A271" s="7">
        <v>-28591</v>
      </c>
      <c r="B271" s="2" t="s">
        <v>3638</v>
      </c>
      <c r="C271" s="2" t="s">
        <v>22588</v>
      </c>
      <c r="D271" s="3">
        <v>4</v>
      </c>
      <c r="E271" s="3">
        <v>14</v>
      </c>
      <c r="F271" s="3" t="str">
        <f>HYPERLINK("https://www.boe.es/gazeta/dias/1821/09/19/pdfs/GMD-1821-267.pdf","Abrir PDF")</f>
        <v>Abrir PDF</v>
      </c>
    </row>
    <row r="272" spans="1:6" ht="30.95" customHeight="1">
      <c r="A272" s="7">
        <v>-28590</v>
      </c>
      <c r="B272" s="2" t="s">
        <v>2787</v>
      </c>
      <c r="C272" s="2" t="s">
        <v>22589</v>
      </c>
      <c r="D272" s="3">
        <v>4</v>
      </c>
      <c r="E272" s="3">
        <v>12</v>
      </c>
      <c r="F272" s="3" t="str">
        <f>HYPERLINK("https://www.boe.es/gazeta/dias/1821/09/20/pdfs/GMD-1821-268.pdf","Abrir PDF")</f>
        <v>Abrir PDF</v>
      </c>
    </row>
    <row r="273" spans="1:6" ht="30.95" customHeight="1">
      <c r="A273" s="7">
        <v>-28589</v>
      </c>
      <c r="B273" s="2" t="s">
        <v>3130</v>
      </c>
      <c r="C273" s="2" t="s">
        <v>22590</v>
      </c>
      <c r="D273" s="3">
        <v>4</v>
      </c>
      <c r="E273" s="3">
        <v>19</v>
      </c>
      <c r="F273" s="3" t="str">
        <f>HYPERLINK("https://www.boe.es/gazeta/dias/1821/09/21/pdfs/GMD-1821-269.pdf","Abrir PDF")</f>
        <v>Abrir PDF</v>
      </c>
    </row>
    <row r="274" spans="1:6" ht="30.95" customHeight="1">
      <c r="A274" s="7">
        <v>-28588</v>
      </c>
      <c r="B274" s="2" t="s">
        <v>2774</v>
      </c>
      <c r="C274" s="2" t="s">
        <v>22591</v>
      </c>
      <c r="D274" s="3">
        <v>4</v>
      </c>
      <c r="E274" s="3">
        <v>3</v>
      </c>
      <c r="F274" s="3" t="str">
        <f>HYPERLINK("https://www.boe.es/gazeta/dias/1821/09/22/pdfs/GMD-1821-270.pdf","Abrir PDF")</f>
        <v>Abrir PDF</v>
      </c>
    </row>
    <row r="275" spans="1:6" ht="30.95" customHeight="1">
      <c r="A275" s="7">
        <v>-28587</v>
      </c>
      <c r="B275" s="2" t="s">
        <v>392</v>
      </c>
      <c r="C275" s="2" t="s">
        <v>22592</v>
      </c>
      <c r="D275" s="3">
        <v>4</v>
      </c>
      <c r="E275" s="3">
        <v>21</v>
      </c>
      <c r="F275" s="3" t="str">
        <f>HYPERLINK("https://www.boe.es/gazeta/dias/1821/09/23/pdfs/GMD-1821-271.pdf","Abrir PDF")</f>
        <v>Abrir PDF</v>
      </c>
    </row>
    <row r="276" spans="1:6" ht="30.95" customHeight="1">
      <c r="A276" s="7">
        <v>-28586</v>
      </c>
      <c r="B276" s="2" t="s">
        <v>587</v>
      </c>
      <c r="C276" s="2" t="s">
        <v>22593</v>
      </c>
      <c r="D276" s="3">
        <v>4</v>
      </c>
      <c r="E276" s="3">
        <v>25</v>
      </c>
      <c r="F276" s="3" t="str">
        <f>HYPERLINK("https://www.boe.es/gazeta/dias/1821/09/24/pdfs/GMD-1821-272.pdf","Abrir PDF")</f>
        <v>Abrir PDF</v>
      </c>
    </row>
    <row r="277" spans="1:6" ht="30.95" customHeight="1">
      <c r="A277" s="7">
        <v>-28585</v>
      </c>
      <c r="B277" s="2" t="s">
        <v>627</v>
      </c>
      <c r="C277" s="2" t="s">
        <v>22594</v>
      </c>
      <c r="D277" s="3">
        <v>4</v>
      </c>
      <c r="E277" s="3">
        <v>21</v>
      </c>
      <c r="F277" s="3" t="str">
        <f>HYPERLINK("https://www.boe.es/gazeta/dias/1821/09/25/pdfs/GMD-1821-273.pdf","Abrir PDF")</f>
        <v>Abrir PDF</v>
      </c>
    </row>
    <row r="278" spans="1:6" ht="30.95" customHeight="1">
      <c r="A278" s="7">
        <v>-28584</v>
      </c>
      <c r="B278" s="2" t="s">
        <v>4544</v>
      </c>
      <c r="C278" s="2" t="s">
        <v>22595</v>
      </c>
      <c r="D278" s="3">
        <v>4</v>
      </c>
      <c r="E278" s="3">
        <v>4</v>
      </c>
      <c r="F278" s="3" t="str">
        <f>HYPERLINK("https://www.boe.es/gazeta/dias/1821/09/26/pdfs/GMD-1821-274.pdf","Abrir PDF")</f>
        <v>Abrir PDF</v>
      </c>
    </row>
    <row r="279" spans="1:6" ht="30.95" customHeight="1">
      <c r="A279" s="7">
        <v>-28583</v>
      </c>
      <c r="B279" s="2" t="s">
        <v>2668</v>
      </c>
      <c r="C279" s="2" t="s">
        <v>22596</v>
      </c>
      <c r="D279" s="3">
        <v>4</v>
      </c>
      <c r="E279" s="3">
        <v>12</v>
      </c>
      <c r="F279" s="3" t="str">
        <f>HYPERLINK("https://www.boe.es/gazeta/dias/1821/09/27/pdfs/GMD-1821-275.pdf","Abrir PDF")</f>
        <v>Abrir PDF</v>
      </c>
    </row>
    <row r="280" spans="1:6" ht="30.95" customHeight="1">
      <c r="A280" s="7">
        <v>-28582</v>
      </c>
      <c r="B280" s="2" t="s">
        <v>3039</v>
      </c>
      <c r="C280" s="2" t="s">
        <v>22597</v>
      </c>
      <c r="D280" s="3">
        <v>4</v>
      </c>
      <c r="E280" s="3">
        <v>11</v>
      </c>
      <c r="F280" s="3" t="str">
        <f>HYPERLINK("https://www.boe.es/gazeta/dias/1821/09/28/pdfs/GMD-1821-276.pdf","Abrir PDF")</f>
        <v>Abrir PDF</v>
      </c>
    </row>
    <row r="281" spans="1:6" ht="30.95" customHeight="1">
      <c r="A281" s="7">
        <v>-28582</v>
      </c>
      <c r="B281" s="2" t="s">
        <v>22598</v>
      </c>
      <c r="C281" s="2" t="s">
        <v>22599</v>
      </c>
      <c r="D281" s="3">
        <v>1</v>
      </c>
      <c r="E281" s="3">
        <v>0</v>
      </c>
      <c r="F281" s="3" t="str">
        <f>HYPERLINK("https://www.boe.es/gazeta/dias/1821/09/28/pdfs/GMD-1821-277E.pdf","Abrir PDF")</f>
        <v>Abrir PDF</v>
      </c>
    </row>
    <row r="282" spans="1:6" ht="30.95" customHeight="1">
      <c r="A282" s="7">
        <v>-28581</v>
      </c>
      <c r="B282" s="2" t="s">
        <v>254</v>
      </c>
      <c r="C282" s="2" t="s">
        <v>22600</v>
      </c>
      <c r="D282" s="3">
        <v>4</v>
      </c>
      <c r="E282" s="3">
        <v>15</v>
      </c>
      <c r="F282" s="3" t="str">
        <f>HYPERLINK("https://www.boe.es/gazeta/dias/1821/09/29/pdfs/GMD-1821-278.pdf","Abrir PDF")</f>
        <v>Abrir PDF</v>
      </c>
    </row>
    <row r="283" spans="1:6" ht="30.95" customHeight="1">
      <c r="A283" s="7">
        <v>-28580</v>
      </c>
      <c r="B283" s="2" t="s">
        <v>175</v>
      </c>
      <c r="C283" s="2" t="s">
        <v>22601</v>
      </c>
      <c r="D283" s="3">
        <v>4</v>
      </c>
      <c r="E283" s="3">
        <v>26</v>
      </c>
      <c r="F283" s="3" t="str">
        <f>HYPERLINK("https://www.boe.es/gazeta/dias/1821/09/30/pdfs/GMD-1821-279.pdf","Abrir PDF")</f>
        <v>Abrir PDF</v>
      </c>
    </row>
    <row r="284" spans="1:6" ht="30.95" customHeight="1">
      <c r="A284" s="7">
        <v>-28579</v>
      </c>
      <c r="B284" s="2" t="s">
        <v>743</v>
      </c>
      <c r="C284" s="2" t="s">
        <v>22602</v>
      </c>
      <c r="D284" s="3">
        <v>4</v>
      </c>
      <c r="E284" s="3">
        <v>25</v>
      </c>
      <c r="F284" s="3" t="str">
        <f>HYPERLINK("https://www.boe.es/gazeta/dias/1821/10/01/pdfs/GMD-1821-280.pdf","Abrir PDF")</f>
        <v>Abrir PDF</v>
      </c>
    </row>
    <row r="285" spans="1:6" ht="30.95" customHeight="1">
      <c r="A285" s="7">
        <v>-28578</v>
      </c>
      <c r="B285" s="2" t="s">
        <v>899</v>
      </c>
      <c r="C285" s="2" t="s">
        <v>22603</v>
      </c>
      <c r="D285" s="3">
        <v>4</v>
      </c>
      <c r="E285" s="3">
        <v>30</v>
      </c>
      <c r="F285" s="3" t="str">
        <f>HYPERLINK("https://www.boe.es/gazeta/dias/1821/10/02/pdfs/GMD-1821-281.pdf","Abrir PDF")</f>
        <v>Abrir PDF</v>
      </c>
    </row>
    <row r="286" spans="1:6" ht="30.95" customHeight="1">
      <c r="A286" s="7">
        <v>-28577</v>
      </c>
      <c r="B286" s="2" t="s">
        <v>858</v>
      </c>
      <c r="C286" s="2" t="s">
        <v>22604</v>
      </c>
      <c r="D286" s="3">
        <v>4</v>
      </c>
      <c r="E286" s="3">
        <v>36</v>
      </c>
      <c r="F286" s="3" t="str">
        <f>HYPERLINK("https://www.boe.es/gazeta/dias/1821/10/03/pdfs/GMD-1821-282.pdf","Abrir PDF")</f>
        <v>Abrir PDF</v>
      </c>
    </row>
    <row r="287" spans="1:6" ht="30.95" customHeight="1">
      <c r="A287" s="7">
        <v>-28576</v>
      </c>
      <c r="B287" s="2" t="s">
        <v>1924</v>
      </c>
      <c r="C287" s="2" t="s">
        <v>22605</v>
      </c>
      <c r="D287" s="3">
        <v>4</v>
      </c>
      <c r="E287" s="3">
        <v>35</v>
      </c>
      <c r="F287" s="3" t="str">
        <f>HYPERLINK("https://www.boe.es/gazeta/dias/1821/10/04/pdfs/GMD-1821-283.pdf","Abrir PDF")</f>
        <v>Abrir PDF</v>
      </c>
    </row>
    <row r="288" spans="1:6" ht="30.95" customHeight="1">
      <c r="A288" s="7">
        <v>-28575</v>
      </c>
      <c r="B288" s="2" t="s">
        <v>2453</v>
      </c>
      <c r="C288" s="2" t="s">
        <v>22606</v>
      </c>
      <c r="D288" s="3">
        <v>4</v>
      </c>
      <c r="E288" s="3">
        <v>22</v>
      </c>
      <c r="F288" s="3" t="str">
        <f>HYPERLINK("https://www.boe.es/gazeta/dias/1821/10/05/pdfs/GMD-1821-284.pdf","Abrir PDF")</f>
        <v>Abrir PDF</v>
      </c>
    </row>
    <row r="289" spans="1:6" ht="30.95" customHeight="1">
      <c r="A289" s="7">
        <v>-28574</v>
      </c>
      <c r="B289" s="2" t="s">
        <v>779</v>
      </c>
      <c r="C289" s="2" t="s">
        <v>22607</v>
      </c>
      <c r="D289" s="3">
        <v>8</v>
      </c>
      <c r="E289" s="3">
        <v>48</v>
      </c>
      <c r="F289" s="3" t="str">
        <f>HYPERLINK("https://www.boe.es/gazeta/dias/1821/10/06/pdfs/GMD-1821-285.pdf","Abrir PDF")</f>
        <v>Abrir PDF</v>
      </c>
    </row>
    <row r="290" spans="1:6" ht="30.95" customHeight="1">
      <c r="A290" s="7">
        <v>-28573</v>
      </c>
      <c r="B290" s="2" t="s">
        <v>19</v>
      </c>
      <c r="C290" s="2" t="s">
        <v>22608</v>
      </c>
      <c r="D290" s="3">
        <v>4</v>
      </c>
      <c r="E290" s="3">
        <v>30</v>
      </c>
      <c r="F290" s="3" t="str">
        <f>HYPERLINK("https://www.boe.es/gazeta/dias/1821/10/07/pdfs/GMD-1821-286.pdf","Abrir PDF")</f>
        <v>Abrir PDF</v>
      </c>
    </row>
    <row r="291" spans="1:6" ht="30.95" customHeight="1">
      <c r="A291" s="7">
        <v>-28572</v>
      </c>
      <c r="B291" s="2" t="s">
        <v>1072</v>
      </c>
      <c r="C291" s="2" t="s">
        <v>22609</v>
      </c>
      <c r="D291" s="3">
        <v>4</v>
      </c>
      <c r="E291" s="3">
        <v>21</v>
      </c>
      <c r="F291" s="3" t="str">
        <f>HYPERLINK("https://www.boe.es/gazeta/dias/1821/10/08/pdfs/GMD-1821-287.pdf","Abrir PDF")</f>
        <v>Abrir PDF</v>
      </c>
    </row>
    <row r="292" spans="1:6" ht="30.95" customHeight="1">
      <c r="A292" s="7">
        <v>-28571</v>
      </c>
      <c r="B292" s="2" t="s">
        <v>482</v>
      </c>
      <c r="C292" s="2" t="s">
        <v>22610</v>
      </c>
      <c r="D292" s="3">
        <v>6</v>
      </c>
      <c r="E292" s="3">
        <v>30</v>
      </c>
      <c r="F292" s="3" t="str">
        <f>HYPERLINK("https://www.boe.es/gazeta/dias/1821/10/09/pdfs/GMD-1821-288.pdf","Abrir PDF")</f>
        <v>Abrir PDF</v>
      </c>
    </row>
    <row r="293" spans="1:6" ht="30.95" customHeight="1">
      <c r="A293" s="7">
        <v>-28570</v>
      </c>
      <c r="B293" s="2" t="s">
        <v>2300</v>
      </c>
      <c r="C293" s="2" t="s">
        <v>22611</v>
      </c>
      <c r="D293" s="3">
        <v>6</v>
      </c>
      <c r="E293" s="3">
        <v>25</v>
      </c>
      <c r="F293" s="3" t="str">
        <f>HYPERLINK("https://www.boe.es/gazeta/dias/1821/10/10/pdfs/GMD-1821-289.pdf","Abrir PDF")</f>
        <v>Abrir PDF</v>
      </c>
    </row>
    <row r="294" spans="1:6" ht="30.95" customHeight="1">
      <c r="A294" s="7">
        <v>-28569</v>
      </c>
      <c r="B294" s="2" t="s">
        <v>512</v>
      </c>
      <c r="C294" s="2" t="s">
        <v>22612</v>
      </c>
      <c r="D294" s="3">
        <v>6</v>
      </c>
      <c r="E294" s="3">
        <v>44</v>
      </c>
      <c r="F294" s="3" t="str">
        <f>HYPERLINK("https://www.boe.es/gazeta/dias/1821/10/11/pdfs/GMD-1821-290.pdf","Abrir PDF")</f>
        <v>Abrir PDF</v>
      </c>
    </row>
    <row r="295" spans="1:6" ht="30.95" customHeight="1">
      <c r="A295" s="7">
        <v>-28568</v>
      </c>
      <c r="B295" s="2" t="s">
        <v>539</v>
      </c>
      <c r="C295" s="2" t="s">
        <v>22613</v>
      </c>
      <c r="D295" s="3">
        <v>8</v>
      </c>
      <c r="E295" s="3">
        <v>16</v>
      </c>
      <c r="F295" s="3" t="str">
        <f>HYPERLINK("https://www.boe.es/gazeta/dias/1821/10/12/pdfs/GMD-1821-291.pdf","Abrir PDF")</f>
        <v>Abrir PDF</v>
      </c>
    </row>
    <row r="296" spans="1:6" ht="30.95" customHeight="1">
      <c r="A296" s="7">
        <v>-28567</v>
      </c>
      <c r="B296" s="2" t="s">
        <v>217</v>
      </c>
      <c r="C296" s="2" t="s">
        <v>22614</v>
      </c>
      <c r="D296" s="3">
        <v>6</v>
      </c>
      <c r="E296" s="3">
        <v>29</v>
      </c>
      <c r="F296" s="3" t="str">
        <f>HYPERLINK("https://www.boe.es/gazeta/dias/1821/10/13/pdfs/GMD-1821-292.pdf","Abrir PDF")</f>
        <v>Abrir PDF</v>
      </c>
    </row>
    <row r="297" spans="1:6" ht="30.95" customHeight="1">
      <c r="A297" s="7">
        <v>-28566</v>
      </c>
      <c r="B297" s="2" t="s">
        <v>1529</v>
      </c>
      <c r="C297" s="2" t="s">
        <v>22615</v>
      </c>
      <c r="D297" s="3">
        <v>6</v>
      </c>
      <c r="E297" s="3">
        <v>26</v>
      </c>
      <c r="F297" s="3" t="str">
        <f>HYPERLINK("https://www.boe.es/gazeta/dias/1821/10/14/pdfs/GMD-1821-293.pdf","Abrir PDF")</f>
        <v>Abrir PDF</v>
      </c>
    </row>
    <row r="298" spans="1:6" ht="30.95" customHeight="1">
      <c r="A298" s="7">
        <v>-28565</v>
      </c>
      <c r="B298" s="2" t="s">
        <v>326</v>
      </c>
      <c r="C298" s="2" t="s">
        <v>22616</v>
      </c>
      <c r="D298" s="3">
        <v>6</v>
      </c>
      <c r="E298" s="3">
        <v>68</v>
      </c>
      <c r="F298" s="3" t="str">
        <f>HYPERLINK("https://www.boe.es/gazeta/dias/1821/10/15/pdfs/GMD-1821-294.pdf","Abrir PDF")</f>
        <v>Abrir PDF</v>
      </c>
    </row>
    <row r="299" spans="1:6" ht="30.95" customHeight="1">
      <c r="A299" s="7">
        <v>-28564</v>
      </c>
      <c r="B299" s="2" t="s">
        <v>861</v>
      </c>
      <c r="C299" s="2" t="s">
        <v>22617</v>
      </c>
      <c r="D299" s="3">
        <v>6</v>
      </c>
      <c r="E299" s="3">
        <v>23</v>
      </c>
      <c r="F299" s="3" t="str">
        <f>HYPERLINK("https://www.boe.es/gazeta/dias/1821/10/16/pdfs/GMD-1821-295.pdf","Abrir PDF")</f>
        <v>Abrir PDF</v>
      </c>
    </row>
    <row r="300" spans="1:6" ht="30.95" customHeight="1">
      <c r="A300" s="7">
        <v>-28563</v>
      </c>
      <c r="B300" s="2" t="s">
        <v>118</v>
      </c>
      <c r="C300" s="2" t="s">
        <v>22618</v>
      </c>
      <c r="D300" s="3">
        <v>6</v>
      </c>
      <c r="E300" s="3">
        <v>41</v>
      </c>
      <c r="F300" s="3" t="str">
        <f>HYPERLINK("https://www.boe.es/gazeta/dias/1821/10/17/pdfs/GMD-1821-296.pdf","Abrir PDF")</f>
        <v>Abrir PDF</v>
      </c>
    </row>
    <row r="301" spans="1:6" ht="30.95" customHeight="1">
      <c r="A301" s="7">
        <v>-28562</v>
      </c>
      <c r="B301" s="2" t="s">
        <v>3093</v>
      </c>
      <c r="C301" s="2" t="s">
        <v>22619</v>
      </c>
      <c r="D301" s="3">
        <v>6</v>
      </c>
      <c r="E301" s="3">
        <v>35</v>
      </c>
      <c r="F301" s="3" t="str">
        <f>HYPERLINK("https://www.boe.es/gazeta/dias/1821/10/18/pdfs/GMD-1821-297.pdf","Abrir PDF")</f>
        <v>Abrir PDF</v>
      </c>
    </row>
    <row r="302" spans="1:6" ht="30.95" customHeight="1">
      <c r="A302" s="7">
        <v>-28561</v>
      </c>
      <c r="B302" s="2" t="s">
        <v>240</v>
      </c>
      <c r="C302" s="2" t="s">
        <v>22620</v>
      </c>
      <c r="D302" s="3">
        <v>6</v>
      </c>
      <c r="E302" s="3">
        <v>39</v>
      </c>
      <c r="F302" s="3" t="str">
        <f>HYPERLINK("https://www.boe.es/gazeta/dias/1821/10/19/pdfs/GMD-1821-298.pdf","Abrir PDF")</f>
        <v>Abrir PDF</v>
      </c>
    </row>
    <row r="303" spans="1:6" ht="30.95" customHeight="1">
      <c r="A303" s="7">
        <v>-28560</v>
      </c>
      <c r="B303" s="2" t="s">
        <v>363</v>
      </c>
      <c r="C303" s="2" t="s">
        <v>22621</v>
      </c>
      <c r="D303" s="3">
        <v>6</v>
      </c>
      <c r="E303" s="3">
        <v>43</v>
      </c>
      <c r="F303" s="3" t="str">
        <f>HYPERLINK("https://www.boe.es/gazeta/dias/1821/10/20/pdfs/GMD-1821-299.pdf","Abrir PDF")</f>
        <v>Abrir PDF</v>
      </c>
    </row>
    <row r="304" spans="1:6" ht="30.95" customHeight="1">
      <c r="A304" s="7">
        <v>-28559</v>
      </c>
      <c r="B304" s="2" t="s">
        <v>1078</v>
      </c>
      <c r="C304" s="2" t="s">
        <v>22622</v>
      </c>
      <c r="D304" s="3">
        <v>6</v>
      </c>
      <c r="E304" s="3">
        <v>32</v>
      </c>
      <c r="F304" s="3" t="str">
        <f>HYPERLINK("https://www.boe.es/gazeta/dias/1821/10/21/pdfs/GMD-1821-300.pdf","Abrir PDF")</f>
        <v>Abrir PDF</v>
      </c>
    </row>
    <row r="305" spans="1:6" ht="30.95" customHeight="1">
      <c r="A305" s="7">
        <v>-28558</v>
      </c>
      <c r="B305" s="2" t="s">
        <v>758</v>
      </c>
      <c r="C305" s="2" t="s">
        <v>22623</v>
      </c>
      <c r="D305" s="3">
        <v>6</v>
      </c>
      <c r="E305" s="3">
        <v>31</v>
      </c>
      <c r="F305" s="3" t="str">
        <f>HYPERLINK("https://www.boe.es/gazeta/dias/1821/10/22/pdfs/GMD-1821-301.pdf","Abrir PDF")</f>
        <v>Abrir PDF</v>
      </c>
    </row>
    <row r="306" spans="1:6" ht="30.95" customHeight="1">
      <c r="A306" s="7">
        <v>-28557</v>
      </c>
      <c r="B306" s="2" t="s">
        <v>316</v>
      </c>
      <c r="C306" s="2" t="s">
        <v>22624</v>
      </c>
      <c r="D306" s="3">
        <v>6</v>
      </c>
      <c r="E306" s="3">
        <v>27</v>
      </c>
      <c r="F306" s="3" t="str">
        <f>HYPERLINK("https://www.boe.es/gazeta/dias/1821/10/23/pdfs/GMD-1821-302.pdf","Abrir PDF")</f>
        <v>Abrir PDF</v>
      </c>
    </row>
    <row r="307" spans="1:6" ht="30.95" customHeight="1">
      <c r="A307" s="7">
        <v>-28556</v>
      </c>
      <c r="B307" s="2" t="s">
        <v>264</v>
      </c>
      <c r="C307" s="2" t="s">
        <v>22625</v>
      </c>
      <c r="D307" s="3">
        <v>6</v>
      </c>
      <c r="E307" s="3">
        <v>28</v>
      </c>
      <c r="F307" s="3" t="str">
        <f>HYPERLINK("https://www.boe.es/gazeta/dias/1821/10/24/pdfs/GMD-1821-303.pdf","Abrir PDF")</f>
        <v>Abrir PDF</v>
      </c>
    </row>
    <row r="308" spans="1:6" ht="30.95" customHeight="1">
      <c r="A308" s="7">
        <v>-28555</v>
      </c>
      <c r="B308" s="2" t="s">
        <v>219</v>
      </c>
      <c r="C308" s="2" t="s">
        <v>22626</v>
      </c>
      <c r="D308" s="3">
        <v>6</v>
      </c>
      <c r="E308" s="3">
        <v>22</v>
      </c>
      <c r="F308" s="3" t="str">
        <f>HYPERLINK("https://www.boe.es/gazeta/dias/1821/10/25/pdfs/GMD-1821-304.pdf","Abrir PDF")</f>
        <v>Abrir PDF</v>
      </c>
    </row>
    <row r="309" spans="1:6" ht="30.95" customHeight="1">
      <c r="A309" s="7">
        <v>-28554</v>
      </c>
      <c r="B309" s="2" t="s">
        <v>433</v>
      </c>
      <c r="C309" s="2" t="s">
        <v>22627</v>
      </c>
      <c r="D309" s="3">
        <v>6</v>
      </c>
      <c r="E309" s="3">
        <v>19</v>
      </c>
      <c r="F309" s="3" t="str">
        <f>HYPERLINK("https://www.boe.es/gazeta/dias/1821/10/26/pdfs/GMD-1821-305.pdf","Abrir PDF")</f>
        <v>Abrir PDF</v>
      </c>
    </row>
    <row r="310" spans="1:6" ht="30.95" customHeight="1">
      <c r="A310" s="7">
        <v>-28553</v>
      </c>
      <c r="B310" s="2" t="s">
        <v>182</v>
      </c>
      <c r="C310" s="2" t="s">
        <v>22628</v>
      </c>
      <c r="D310" s="3">
        <v>6</v>
      </c>
      <c r="E310" s="3">
        <v>35</v>
      </c>
      <c r="F310" s="3" t="str">
        <f>HYPERLINK("https://www.boe.es/gazeta/dias/1821/10/27/pdfs/GMD-1821-306.pdf","Abrir PDF")</f>
        <v>Abrir PDF</v>
      </c>
    </row>
    <row r="311" spans="1:6" ht="30.95" customHeight="1">
      <c r="A311" s="7">
        <v>-28552</v>
      </c>
      <c r="B311" s="2" t="s">
        <v>28</v>
      </c>
      <c r="C311" s="2" t="s">
        <v>22629</v>
      </c>
      <c r="D311" s="3">
        <v>6</v>
      </c>
      <c r="E311" s="3">
        <v>30</v>
      </c>
      <c r="F311" s="3" t="str">
        <f>HYPERLINK("https://www.boe.es/gazeta/dias/1821/10/28/pdfs/GMD-1821-307.pdf","Abrir PDF")</f>
        <v>Abrir PDF</v>
      </c>
    </row>
    <row r="312" spans="1:6" ht="30.95" customHeight="1">
      <c r="A312" s="7">
        <v>-28551</v>
      </c>
      <c r="B312" s="2" t="s">
        <v>542</v>
      </c>
      <c r="C312" s="2" t="s">
        <v>22630</v>
      </c>
      <c r="D312" s="3">
        <v>4</v>
      </c>
      <c r="E312" s="3">
        <v>34</v>
      </c>
      <c r="F312" s="3" t="str">
        <f>HYPERLINK("https://www.boe.es/gazeta/dias/1821/10/29/pdfs/GMD-1821-308.pdf","Abrir PDF")</f>
        <v>Abrir PDF</v>
      </c>
    </row>
    <row r="313" spans="1:6" ht="30.95" customHeight="1">
      <c r="A313" s="7">
        <v>-28550</v>
      </c>
      <c r="B313" s="2" t="s">
        <v>546</v>
      </c>
      <c r="C313" s="2" t="s">
        <v>22631</v>
      </c>
      <c r="D313" s="3">
        <v>6</v>
      </c>
      <c r="E313" s="3">
        <v>28</v>
      </c>
      <c r="F313" s="3" t="str">
        <f>HYPERLINK("https://www.boe.es/gazeta/dias/1821/10/30/pdfs/GMD-1821-309.pdf","Abrir PDF")</f>
        <v>Abrir PDF</v>
      </c>
    </row>
    <row r="314" spans="1:6" ht="30.95" customHeight="1">
      <c r="A314" s="7">
        <v>-28549</v>
      </c>
      <c r="B314" s="2" t="s">
        <v>930</v>
      </c>
      <c r="C314" s="2" t="s">
        <v>22632</v>
      </c>
      <c r="D314" s="3">
        <v>6</v>
      </c>
      <c r="E314" s="3">
        <v>33</v>
      </c>
      <c r="F314" s="3" t="str">
        <f>HYPERLINK("https://www.boe.es/gazeta/dias/1821/10/31/pdfs/GMD-1821-310.pdf","Abrir PDF")</f>
        <v>Abrir PDF</v>
      </c>
    </row>
    <row r="315" spans="1:6" ht="30.95" customHeight="1">
      <c r="A315" s="7">
        <v>-28548</v>
      </c>
      <c r="B315" s="2" t="s">
        <v>782</v>
      </c>
      <c r="C315" s="2" t="s">
        <v>22633</v>
      </c>
      <c r="D315" s="3">
        <v>6</v>
      </c>
      <c r="E315" s="3">
        <v>36</v>
      </c>
      <c r="F315" s="3" t="str">
        <f>HYPERLINK("https://www.boe.es/gazeta/dias/1821/11/01/pdfs/GMD-1821-311.pdf","Abrir PDF")</f>
        <v>Abrir PDF</v>
      </c>
    </row>
    <row r="316" spans="1:6" ht="30.95" customHeight="1">
      <c r="A316" s="7">
        <v>-28547</v>
      </c>
      <c r="B316" s="2" t="s">
        <v>247</v>
      </c>
      <c r="C316" s="2" t="s">
        <v>22634</v>
      </c>
      <c r="D316" s="3">
        <v>6</v>
      </c>
      <c r="E316" s="3">
        <v>146</v>
      </c>
      <c r="F316" s="3" t="str">
        <f>HYPERLINK("https://www.boe.es/gazeta/dias/1821/11/02/pdfs/GMD-1821-312.pdf","Abrir PDF")</f>
        <v>Abrir PDF</v>
      </c>
    </row>
    <row r="317" spans="1:6" ht="30.95" customHeight="1">
      <c r="A317" s="7">
        <v>-28546</v>
      </c>
      <c r="B317" s="2" t="s">
        <v>6425</v>
      </c>
      <c r="C317" s="2" t="s">
        <v>22635</v>
      </c>
      <c r="D317" s="3">
        <v>2</v>
      </c>
      <c r="E317" s="3">
        <v>15</v>
      </c>
      <c r="F317" s="3" t="str">
        <f>HYPERLINK("https://www.boe.es/gazeta/dias/1821/11/03/pdfs/GMD-1821-314E.pdf","Abrir PDF")</f>
        <v>Abrir PDF</v>
      </c>
    </row>
    <row r="318" spans="1:6" ht="30.95" customHeight="1">
      <c r="A318" s="7">
        <v>-28545</v>
      </c>
      <c r="B318" s="2" t="s">
        <v>284</v>
      </c>
      <c r="C318" s="2" t="s">
        <v>22636</v>
      </c>
      <c r="D318" s="3">
        <v>6</v>
      </c>
      <c r="E318" s="3">
        <v>44</v>
      </c>
      <c r="F318" s="3" t="str">
        <f>HYPERLINK("https://www.boe.es/gazeta/dias/1821/11/04/pdfs/GMD-1821-315.pdf","Abrir PDF")</f>
        <v>Abrir PDF</v>
      </c>
    </row>
    <row r="319" spans="1:6" ht="30.95" customHeight="1">
      <c r="A319" s="7">
        <v>-28544</v>
      </c>
      <c r="B319" s="2" t="s">
        <v>139</v>
      </c>
      <c r="C319" s="2" t="s">
        <v>22637</v>
      </c>
      <c r="D319" s="3">
        <v>4</v>
      </c>
      <c r="E319" s="3">
        <v>29</v>
      </c>
      <c r="F319" s="3" t="str">
        <f>HYPERLINK("https://www.boe.es/gazeta/dias/1821/11/05/pdfs/GMD-1821-316.pdf","Abrir PDF")</f>
        <v>Abrir PDF</v>
      </c>
    </row>
    <row r="320" spans="1:6" ht="30.95" customHeight="1">
      <c r="A320" s="7">
        <v>-28543</v>
      </c>
      <c r="B320" s="2" t="s">
        <v>136</v>
      </c>
      <c r="C320" s="2" t="s">
        <v>22638</v>
      </c>
      <c r="D320" s="3">
        <v>8</v>
      </c>
      <c r="E320" s="3">
        <v>80</v>
      </c>
      <c r="F320" s="3" t="str">
        <f>HYPERLINK("https://www.boe.es/gazeta/dias/1821/11/06/pdfs/GMD-1821-317.pdf","Abrir PDF")</f>
        <v>Abrir PDF</v>
      </c>
    </row>
    <row r="321" spans="1:6" ht="30.95" customHeight="1">
      <c r="A321" s="7">
        <v>-28542</v>
      </c>
      <c r="B321" s="2" t="s">
        <v>221</v>
      </c>
      <c r="C321" s="2" t="s">
        <v>22639</v>
      </c>
      <c r="D321" s="3">
        <v>6</v>
      </c>
      <c r="E321" s="3">
        <v>35</v>
      </c>
      <c r="F321" s="3" t="str">
        <f>HYPERLINK("https://www.boe.es/gazeta/dias/1821/11/07/pdfs/GMD-1821-318.pdf","Abrir PDF")</f>
        <v>Abrir PDF</v>
      </c>
    </row>
    <row r="322" spans="1:6" ht="30.95" customHeight="1">
      <c r="A322" s="7">
        <v>-28541</v>
      </c>
      <c r="B322" s="2" t="s">
        <v>275</v>
      </c>
      <c r="C322" s="2" t="s">
        <v>22640</v>
      </c>
      <c r="D322" s="3">
        <v>6</v>
      </c>
      <c r="E322" s="3">
        <v>79</v>
      </c>
      <c r="F322" s="3" t="str">
        <f>HYPERLINK("https://www.boe.es/gazeta/dias/1821/11/08/pdfs/GMD-1821-319.pdf","Abrir PDF")</f>
        <v>Abrir PDF</v>
      </c>
    </row>
    <row r="323" spans="1:6" ht="30.95" customHeight="1">
      <c r="A323" s="7">
        <v>-28540</v>
      </c>
      <c r="B323" s="2" t="s">
        <v>2672</v>
      </c>
      <c r="C323" s="2" t="s">
        <v>22641</v>
      </c>
      <c r="D323" s="3">
        <v>6</v>
      </c>
      <c r="E323" s="3">
        <v>19</v>
      </c>
      <c r="F323" s="3" t="str">
        <f>HYPERLINK("https://www.boe.es/gazeta/dias/1821/11/09/pdfs/GMD-1821-320.pdf","Abrir PDF")</f>
        <v>Abrir PDF</v>
      </c>
    </row>
    <row r="324" spans="1:6" ht="30.95" customHeight="1">
      <c r="A324" s="7">
        <v>-28539</v>
      </c>
      <c r="B324" s="2" t="s">
        <v>153</v>
      </c>
      <c r="C324" s="2" t="s">
        <v>22642</v>
      </c>
      <c r="D324" s="3">
        <v>6</v>
      </c>
      <c r="E324" s="3">
        <v>44</v>
      </c>
      <c r="F324" s="3" t="str">
        <f>HYPERLINK("https://www.boe.es/gazeta/dias/1821/11/10/pdfs/GMD-1821-321.pdf","Abrir PDF")</f>
        <v>Abrir PDF</v>
      </c>
    </row>
    <row r="325" spans="1:6" ht="30.95" customHeight="1">
      <c r="A325" s="7">
        <v>-28538</v>
      </c>
      <c r="B325" s="2" t="s">
        <v>395</v>
      </c>
      <c r="C325" s="2" t="s">
        <v>22643</v>
      </c>
      <c r="D325" s="3">
        <v>6</v>
      </c>
      <c r="E325" s="3">
        <v>40</v>
      </c>
      <c r="F325" s="3" t="str">
        <f>HYPERLINK("https://www.boe.es/gazeta/dias/1821/11/11/pdfs/GMD-1821-322.pdf","Abrir PDF")</f>
        <v>Abrir PDF</v>
      </c>
    </row>
    <row r="326" spans="1:6" ht="30.95" customHeight="1">
      <c r="A326" s="7">
        <v>-28537</v>
      </c>
      <c r="B326" s="2" t="s">
        <v>56</v>
      </c>
      <c r="C326" s="2" t="s">
        <v>22644</v>
      </c>
      <c r="D326" s="3">
        <v>6</v>
      </c>
      <c r="E326" s="3">
        <v>39</v>
      </c>
      <c r="F326" s="3" t="str">
        <f>HYPERLINK("https://www.boe.es/gazeta/dias/1821/11/12/pdfs/GMD-1821-323.pdf","Abrir PDF")</f>
        <v>Abrir PDF</v>
      </c>
    </row>
    <row r="327" spans="1:6" ht="30.95" customHeight="1">
      <c r="A327" s="7">
        <v>-28536</v>
      </c>
      <c r="B327" s="2" t="s">
        <v>553</v>
      </c>
      <c r="C327" s="2" t="s">
        <v>22645</v>
      </c>
      <c r="D327" s="3">
        <v>6</v>
      </c>
      <c r="E327" s="3">
        <v>49</v>
      </c>
      <c r="F327" s="3" t="str">
        <f>HYPERLINK("https://www.boe.es/gazeta/dias/1821/11/13/pdfs/GMD-1821-324.pdf","Abrir PDF")</f>
        <v>Abrir PDF</v>
      </c>
    </row>
    <row r="328" spans="1:6" ht="30.95" customHeight="1">
      <c r="A328" s="7">
        <v>-28535</v>
      </c>
      <c r="B328" s="2" t="s">
        <v>96</v>
      </c>
      <c r="C328" s="2" t="s">
        <v>22646</v>
      </c>
      <c r="D328" s="3">
        <v>6</v>
      </c>
      <c r="E328" s="3">
        <v>81</v>
      </c>
      <c r="F328" s="3" t="str">
        <f>HYPERLINK("https://www.boe.es/gazeta/dias/1821/11/14/pdfs/GMD-1821-325.pdf","Abrir PDF")</f>
        <v>Abrir PDF</v>
      </c>
    </row>
    <row r="329" spans="1:6" ht="30.95" customHeight="1">
      <c r="A329" s="7">
        <v>-28534</v>
      </c>
      <c r="B329" s="2" t="s">
        <v>414</v>
      </c>
      <c r="C329" s="2" t="s">
        <v>22647</v>
      </c>
      <c r="D329" s="3">
        <v>6</v>
      </c>
      <c r="E329" s="3">
        <v>41</v>
      </c>
      <c r="F329" s="3" t="str">
        <f>HYPERLINK("https://www.boe.es/gazeta/dias/1821/11/15/pdfs/GMD-1821-326.pdf","Abrir PDF")</f>
        <v>Abrir PDF</v>
      </c>
    </row>
    <row r="330" spans="1:6" ht="30.95" customHeight="1">
      <c r="A330" s="7">
        <v>-28533</v>
      </c>
      <c r="B330" s="2" t="s">
        <v>559</v>
      </c>
      <c r="C330" s="2" t="s">
        <v>22648</v>
      </c>
      <c r="D330" s="3">
        <v>6</v>
      </c>
      <c r="E330" s="3">
        <v>36</v>
      </c>
      <c r="F330" s="3" t="str">
        <f>HYPERLINK("https://www.boe.es/gazeta/dias/1821/11/16/pdfs/GMD-1821-327.pdf","Abrir PDF")</f>
        <v>Abrir PDF</v>
      </c>
    </row>
    <row r="331" spans="1:6" ht="30.95" customHeight="1">
      <c r="A331" s="7">
        <v>-28532</v>
      </c>
      <c r="B331" s="2" t="s">
        <v>1415</v>
      </c>
      <c r="C331" s="2" t="s">
        <v>22649</v>
      </c>
      <c r="D331" s="3">
        <v>6</v>
      </c>
      <c r="E331" s="3">
        <v>34</v>
      </c>
      <c r="F331" s="3" t="str">
        <f>HYPERLINK("https://www.boe.es/gazeta/dias/1821/11/17/pdfs/GMD-1821-328.pdf","Abrir PDF")</f>
        <v>Abrir PDF</v>
      </c>
    </row>
    <row r="332" spans="1:6" ht="30.95" customHeight="1">
      <c r="A332" s="7">
        <v>-28531</v>
      </c>
      <c r="B332" s="2" t="s">
        <v>365</v>
      </c>
      <c r="C332" s="2" t="s">
        <v>22650</v>
      </c>
      <c r="D332" s="3">
        <v>6</v>
      </c>
      <c r="E332" s="3">
        <v>111</v>
      </c>
      <c r="F332" s="3" t="str">
        <f>HYPERLINK("https://www.boe.es/gazeta/dias/1821/11/18/pdfs/GMD-1821-329.pdf","Abrir PDF")</f>
        <v>Abrir PDF</v>
      </c>
    </row>
    <row r="333" spans="1:6" ht="30.95" customHeight="1">
      <c r="A333" s="7">
        <v>-28530</v>
      </c>
      <c r="B333" s="2" t="s">
        <v>237</v>
      </c>
      <c r="C333" s="2" t="s">
        <v>22651</v>
      </c>
      <c r="D333" s="3">
        <v>4</v>
      </c>
      <c r="E333" s="3">
        <v>36</v>
      </c>
      <c r="F333" s="3" t="str">
        <f>HYPERLINK("https://www.boe.es/gazeta/dias/1821/11/19/pdfs/GMD-1821-330.pdf","Abrir PDF")</f>
        <v>Abrir PDF</v>
      </c>
    </row>
    <row r="334" spans="1:6" ht="30.95" customHeight="1">
      <c r="A334" s="7">
        <v>-28529</v>
      </c>
      <c r="B334" s="2" t="s">
        <v>525</v>
      </c>
      <c r="C334" s="2" t="s">
        <v>22652</v>
      </c>
      <c r="D334" s="3">
        <v>4</v>
      </c>
      <c r="E334" s="3">
        <v>24</v>
      </c>
      <c r="F334" s="3" t="str">
        <f>HYPERLINK("https://www.boe.es/gazeta/dias/1821/11/20/pdfs/GMD-1821-331.pdf","Abrir PDF")</f>
        <v>Abrir PDF</v>
      </c>
    </row>
    <row r="335" spans="1:6" ht="30.95" customHeight="1">
      <c r="A335" s="7">
        <v>-28528</v>
      </c>
      <c r="B335" s="2" t="s">
        <v>1872</v>
      </c>
      <c r="C335" s="2" t="s">
        <v>22653</v>
      </c>
      <c r="D335" s="3">
        <v>6</v>
      </c>
      <c r="E335" s="3">
        <v>60</v>
      </c>
      <c r="F335" s="3" t="str">
        <f>HYPERLINK("https://www.boe.es/gazeta/dias/1821/11/21/pdfs/GMD-1821-332.pdf","Abrir PDF")</f>
        <v>Abrir PDF</v>
      </c>
    </row>
    <row r="336" spans="1:6" ht="30.95" customHeight="1">
      <c r="A336" s="7">
        <v>-28527</v>
      </c>
      <c r="B336" s="2" t="s">
        <v>328</v>
      </c>
      <c r="C336" s="2" t="s">
        <v>22654</v>
      </c>
      <c r="D336" s="3">
        <v>4</v>
      </c>
      <c r="E336" s="3">
        <v>45</v>
      </c>
      <c r="F336" s="3" t="str">
        <f>HYPERLINK("https://www.boe.es/gazeta/dias/1821/11/22/pdfs/GMD-1821-333.pdf","Abrir PDF")</f>
        <v>Abrir PDF</v>
      </c>
    </row>
    <row r="337" spans="1:6" ht="30.95" customHeight="1">
      <c r="A337" s="7">
        <v>-28526</v>
      </c>
      <c r="B337" s="2" t="s">
        <v>223</v>
      </c>
      <c r="C337" s="2" t="s">
        <v>22655</v>
      </c>
      <c r="D337" s="3">
        <v>6</v>
      </c>
      <c r="E337" s="3">
        <v>45</v>
      </c>
      <c r="F337" s="3" t="str">
        <f>HYPERLINK("https://www.boe.es/gazeta/dias/1821/11/23/pdfs/GMD-1821-334.pdf","Abrir PDF")</f>
        <v>Abrir PDF</v>
      </c>
    </row>
    <row r="338" spans="1:6" ht="30.95" customHeight="1">
      <c r="A338" s="7">
        <v>-28525</v>
      </c>
      <c r="B338" s="2" t="s">
        <v>186</v>
      </c>
      <c r="C338" s="2" t="s">
        <v>22656</v>
      </c>
      <c r="D338" s="3">
        <v>4</v>
      </c>
      <c r="E338" s="3">
        <v>37</v>
      </c>
      <c r="F338" s="3" t="str">
        <f>HYPERLINK("https://www.boe.es/gazeta/dias/1821/11/24/pdfs/GMD-1821-335.pdf","Abrir PDF")</f>
        <v>Abrir PDF</v>
      </c>
    </row>
    <row r="339" spans="1:6" ht="30.95" customHeight="1">
      <c r="A339" s="7">
        <v>-28524</v>
      </c>
      <c r="B339" s="2" t="s">
        <v>874</v>
      </c>
      <c r="C339" s="2" t="s">
        <v>22657</v>
      </c>
      <c r="D339" s="3">
        <v>6</v>
      </c>
      <c r="E339" s="3">
        <v>38</v>
      </c>
      <c r="F339" s="3" t="str">
        <f>HYPERLINK("https://www.boe.es/gazeta/dias/1821/11/25/pdfs/GMD-1821-336.pdf","Abrir PDF")</f>
        <v>Abrir PDF</v>
      </c>
    </row>
    <row r="340" spans="1:6" ht="30.95" customHeight="1">
      <c r="A340" s="7">
        <v>-28523</v>
      </c>
      <c r="B340" s="2" t="s">
        <v>257</v>
      </c>
      <c r="C340" s="2" t="s">
        <v>22658</v>
      </c>
      <c r="D340" s="3">
        <v>4</v>
      </c>
      <c r="E340" s="3">
        <v>23</v>
      </c>
      <c r="F340" s="3" t="str">
        <f>HYPERLINK("https://www.boe.es/gazeta/dias/1821/11/26/pdfs/GMD-1821-337.pdf","Abrir PDF")</f>
        <v>Abrir PDF</v>
      </c>
    </row>
    <row r="341" spans="1:6" ht="30.95" customHeight="1">
      <c r="A341" s="7">
        <v>-28523</v>
      </c>
      <c r="B341" s="2" t="s">
        <v>22659</v>
      </c>
      <c r="C341" s="2" t="s">
        <v>22660</v>
      </c>
      <c r="D341" s="3">
        <v>1</v>
      </c>
      <c r="E341" s="3">
        <v>0</v>
      </c>
      <c r="F341" s="3" t="str">
        <f>HYPERLINK("https://www.boe.es/gazeta/dias/1821/11/26/pdfs/GMD-1821-338E.pdf","Abrir PDF")</f>
        <v>Abrir PDF</v>
      </c>
    </row>
    <row r="342" spans="1:6" ht="30.95" customHeight="1">
      <c r="A342" s="7">
        <v>-28522</v>
      </c>
      <c r="B342" s="2" t="s">
        <v>1083</v>
      </c>
      <c r="C342" s="2" t="s">
        <v>22661</v>
      </c>
      <c r="D342" s="3">
        <v>6</v>
      </c>
      <c r="E342" s="3">
        <v>34</v>
      </c>
      <c r="F342" s="3" t="str">
        <f>HYPERLINK("https://www.boe.es/gazeta/dias/1821/11/27/pdfs/GMD-1821-339.pdf","Abrir PDF")</f>
        <v>Abrir PDF</v>
      </c>
    </row>
    <row r="343" spans="1:6" ht="30.95" customHeight="1">
      <c r="A343" s="7">
        <v>-28521</v>
      </c>
      <c r="B343" s="2" t="s">
        <v>499</v>
      </c>
      <c r="C343" s="2" t="s">
        <v>22662</v>
      </c>
      <c r="D343" s="3">
        <v>4</v>
      </c>
      <c r="E343" s="3">
        <v>30</v>
      </c>
      <c r="F343" s="3" t="str">
        <f>HYPERLINK("https://www.boe.es/gazeta/dias/1821/11/28/pdfs/GMD-1821-340.pdf","Abrir PDF")</f>
        <v>Abrir PDF</v>
      </c>
    </row>
    <row r="344" spans="1:6" ht="30.95" customHeight="1">
      <c r="A344" s="7">
        <v>-28520</v>
      </c>
      <c r="B344" s="2" t="s">
        <v>878</v>
      </c>
      <c r="C344" s="2" t="s">
        <v>22663</v>
      </c>
      <c r="D344" s="3">
        <v>4</v>
      </c>
      <c r="E344" s="3">
        <v>41</v>
      </c>
      <c r="F344" s="3" t="str">
        <f>HYPERLINK("https://www.boe.es/gazeta/dias/1821/11/29/pdfs/GMD-1821-341.pdf","Abrir PDF")</f>
        <v>Abrir PDF</v>
      </c>
    </row>
    <row r="345" spans="1:6" ht="30.95" customHeight="1">
      <c r="A345" s="7">
        <v>-28519</v>
      </c>
      <c r="B345" s="2" t="s">
        <v>880</v>
      </c>
      <c r="C345" s="2" t="s">
        <v>22664</v>
      </c>
      <c r="D345" s="3">
        <v>4</v>
      </c>
      <c r="E345" s="3">
        <v>34</v>
      </c>
      <c r="F345" s="3" t="str">
        <f>HYPERLINK("https://www.boe.es/gazeta/dias/1821/11/30/pdfs/GMD-1821-342.pdf","Abrir PDF")</f>
        <v>Abrir PDF</v>
      </c>
    </row>
    <row r="346" spans="1:6" ht="30.95" customHeight="1">
      <c r="A346" s="7">
        <v>-28518</v>
      </c>
      <c r="B346" s="2" t="s">
        <v>410</v>
      </c>
      <c r="C346" s="2" t="s">
        <v>22665</v>
      </c>
      <c r="D346" s="3">
        <v>6</v>
      </c>
      <c r="E346" s="3">
        <v>49</v>
      </c>
      <c r="F346" s="3" t="str">
        <f>HYPERLINK("https://www.boe.es/gazeta/dias/1821/12/01/pdfs/GMD-1821-343.pdf","Abrir PDF")</f>
        <v>Abrir PDF</v>
      </c>
    </row>
    <row r="347" spans="1:6" ht="30.95" customHeight="1">
      <c r="A347" s="7">
        <v>-28517</v>
      </c>
      <c r="B347" s="2" t="s">
        <v>563</v>
      </c>
      <c r="C347" s="2" t="s">
        <v>22666</v>
      </c>
      <c r="D347" s="3">
        <v>4</v>
      </c>
      <c r="E347" s="3">
        <v>44</v>
      </c>
      <c r="F347" s="3" t="str">
        <f>HYPERLINK("https://www.boe.es/gazeta/dias/1821/12/02/pdfs/GMD-1821-344.pdf","Abrir PDF")</f>
        <v>Abrir PDF</v>
      </c>
    </row>
    <row r="348" spans="1:6" ht="30.95" customHeight="1">
      <c r="A348" s="7">
        <v>-28516</v>
      </c>
      <c r="B348" s="2" t="s">
        <v>514</v>
      </c>
      <c r="C348" s="2" t="s">
        <v>22667</v>
      </c>
      <c r="D348" s="3">
        <v>6</v>
      </c>
      <c r="E348" s="3">
        <v>33</v>
      </c>
      <c r="F348" s="3" t="str">
        <f>HYPERLINK("https://www.boe.es/gazeta/dias/1821/12/03/pdfs/GMD-1821-345.pdf","Abrir PDF")</f>
        <v>Abrir PDF</v>
      </c>
    </row>
    <row r="349" spans="1:6" ht="30.95" customHeight="1">
      <c r="A349" s="7">
        <v>-28515</v>
      </c>
      <c r="B349" s="2" t="s">
        <v>260</v>
      </c>
      <c r="C349" s="2" t="s">
        <v>22668</v>
      </c>
      <c r="D349" s="3">
        <v>8</v>
      </c>
      <c r="E349" s="3">
        <v>64</v>
      </c>
      <c r="F349" s="3" t="str">
        <f>HYPERLINK("https://www.boe.es/gazeta/dias/1821/12/04/pdfs/GMD-1821-346.pdf","Abrir PDF")</f>
        <v>Abrir PDF</v>
      </c>
    </row>
    <row r="350" spans="1:6" ht="30.95" customHeight="1">
      <c r="A350" s="7">
        <v>-28514</v>
      </c>
      <c r="B350" s="2" t="s">
        <v>103</v>
      </c>
      <c r="C350" s="2" t="s">
        <v>22669</v>
      </c>
      <c r="D350" s="3">
        <v>4</v>
      </c>
      <c r="E350" s="3">
        <v>38</v>
      </c>
      <c r="F350" s="3" t="str">
        <f>HYPERLINK("https://www.boe.es/gazeta/dias/1821/12/05/pdfs/GMD-1821-347.pdf","Abrir PDF")</f>
        <v>Abrir PDF</v>
      </c>
    </row>
    <row r="351" spans="1:6" ht="30.95" customHeight="1">
      <c r="A351" s="7">
        <v>-28513</v>
      </c>
      <c r="B351" s="2" t="s">
        <v>502</v>
      </c>
      <c r="C351" s="2" t="s">
        <v>22670</v>
      </c>
      <c r="D351" s="3">
        <v>4</v>
      </c>
      <c r="E351" s="3">
        <v>39</v>
      </c>
      <c r="F351" s="3" t="str">
        <f>HYPERLINK("https://www.boe.es/gazeta/dias/1821/12/06/pdfs/GMD-1821-348.pdf","Abrir PDF")</f>
        <v>Abrir PDF</v>
      </c>
    </row>
    <row r="352" spans="1:6" ht="30.95" customHeight="1">
      <c r="A352" s="7">
        <v>-28512</v>
      </c>
      <c r="B352" s="2" t="s">
        <v>66</v>
      </c>
      <c r="C352" s="2" t="s">
        <v>22671</v>
      </c>
      <c r="D352" s="3">
        <v>4</v>
      </c>
      <c r="E352" s="3">
        <v>68</v>
      </c>
      <c r="F352" s="3" t="str">
        <f>HYPERLINK("https://www.boe.es/gazeta/dias/1821/12/07/pdfs/GMD-1821-349.pdf","Abrir PDF")</f>
        <v>Abrir PDF</v>
      </c>
    </row>
    <row r="353" spans="1:6" ht="30.95" customHeight="1">
      <c r="A353" s="7">
        <v>-28511</v>
      </c>
      <c r="B353" s="2" t="s">
        <v>340</v>
      </c>
      <c r="C353" s="2" t="s">
        <v>22672</v>
      </c>
      <c r="D353" s="3">
        <v>4</v>
      </c>
      <c r="E353" s="3">
        <v>51</v>
      </c>
      <c r="F353" s="3" t="str">
        <f>HYPERLINK("https://www.boe.es/gazeta/dias/1821/12/08/pdfs/GMD-1821-350.pdf","Abrir PDF")</f>
        <v>Abrir PDF</v>
      </c>
    </row>
    <row r="354" spans="1:6" ht="30.95" customHeight="1">
      <c r="A354" s="7">
        <v>-28510</v>
      </c>
      <c r="B354" s="2" t="s">
        <v>83</v>
      </c>
      <c r="C354" s="2" t="s">
        <v>22673</v>
      </c>
      <c r="D354" s="3">
        <v>6</v>
      </c>
      <c r="E354" s="3">
        <v>63</v>
      </c>
      <c r="F354" s="3" t="str">
        <f>HYPERLINK("https://www.boe.es/gazeta/dias/1821/12/09/pdfs/GMD-1821-351.pdf","Abrir PDF")</f>
        <v>Abrir PDF</v>
      </c>
    </row>
    <row r="355" spans="1:6" ht="30.95" customHeight="1">
      <c r="A355" s="7">
        <v>-28509</v>
      </c>
      <c r="B355" s="2" t="s">
        <v>388</v>
      </c>
      <c r="C355" s="2" t="s">
        <v>22674</v>
      </c>
      <c r="D355" s="3">
        <v>8</v>
      </c>
      <c r="E355" s="3">
        <v>72</v>
      </c>
      <c r="F355" s="3" t="str">
        <f>HYPERLINK("https://www.boe.es/gazeta/dias/1821/12/10/pdfs/GMD-1821-352.pdf","Abrir PDF")</f>
        <v>Abrir PDF</v>
      </c>
    </row>
    <row r="356" spans="1:6" ht="30.95" customHeight="1">
      <c r="A356" s="7">
        <v>-28508</v>
      </c>
      <c r="B356" s="2" t="s">
        <v>42</v>
      </c>
      <c r="C356" s="2" t="s">
        <v>22675</v>
      </c>
      <c r="D356" s="3">
        <v>4</v>
      </c>
      <c r="E356" s="3">
        <v>56</v>
      </c>
      <c r="F356" s="3" t="str">
        <f>HYPERLINK("https://www.boe.es/gazeta/dias/1821/12/11/pdfs/GMD-1821-353.pdf","Abrir PDF")</f>
        <v>Abrir PDF</v>
      </c>
    </row>
    <row r="357" spans="1:6" ht="30.95" customHeight="1">
      <c r="A357" s="7">
        <v>-28507</v>
      </c>
      <c r="B357" s="2" t="s">
        <v>1158</v>
      </c>
      <c r="C357" s="2" t="s">
        <v>22676</v>
      </c>
      <c r="D357" s="3">
        <v>4</v>
      </c>
      <c r="E357" s="3">
        <v>26</v>
      </c>
      <c r="F357" s="3" t="str">
        <f>HYPERLINK("https://www.boe.es/gazeta/dias/1821/12/12/pdfs/GMD-1821-354.pdf","Abrir PDF")</f>
        <v>Abrir PDF</v>
      </c>
    </row>
    <row r="358" spans="1:6" ht="30.95" customHeight="1">
      <c r="A358" s="7">
        <v>-28507</v>
      </c>
      <c r="B358" s="2" t="s">
        <v>22677</v>
      </c>
      <c r="C358" s="2" t="s">
        <v>22678</v>
      </c>
      <c r="D358" s="3">
        <v>1</v>
      </c>
      <c r="E358" s="3">
        <v>0</v>
      </c>
      <c r="F358" s="3" t="str">
        <f>HYPERLINK("https://www.boe.es/gazeta/dias/1821/12/12/pdfs/GMD-1821-355E.pdf","Abrir PDF")</f>
        <v>Abrir PDF</v>
      </c>
    </row>
    <row r="359" spans="1:6" ht="30.95" customHeight="1">
      <c r="A359" s="7">
        <v>-28506</v>
      </c>
      <c r="B359" s="2" t="s">
        <v>1095</v>
      </c>
      <c r="C359" s="2" t="s">
        <v>22679</v>
      </c>
      <c r="D359" s="3">
        <v>4</v>
      </c>
      <c r="E359" s="3">
        <v>18</v>
      </c>
      <c r="F359" s="3" t="str">
        <f>HYPERLINK("https://www.boe.es/gazeta/dias/1821/12/13/pdfs/GMD-1821-356.pdf","Abrir PDF")</f>
        <v>Abrir PDF</v>
      </c>
    </row>
    <row r="360" spans="1:6" ht="30.95" customHeight="1">
      <c r="A360" s="7">
        <v>-28505</v>
      </c>
      <c r="B360" s="2" t="s">
        <v>567</v>
      </c>
      <c r="C360" s="2" t="s">
        <v>22680</v>
      </c>
      <c r="D360" s="3">
        <v>6</v>
      </c>
      <c r="E360" s="3">
        <v>26</v>
      </c>
      <c r="F360" s="3" t="str">
        <f>HYPERLINK("https://www.boe.es/gazeta/dias/1821/12/14/pdfs/GMD-1821-357.pdf","Abrir PDF")</f>
        <v>Abrir PDF</v>
      </c>
    </row>
    <row r="361" spans="1:6" ht="30.95" customHeight="1">
      <c r="A361" s="7">
        <v>-28504</v>
      </c>
      <c r="B361" s="2" t="s">
        <v>1098</v>
      </c>
      <c r="C361" s="2" t="s">
        <v>22681</v>
      </c>
      <c r="D361" s="3">
        <v>8</v>
      </c>
      <c r="E361" s="3">
        <v>35</v>
      </c>
      <c r="F361" s="3" t="str">
        <f>HYPERLINK("https://www.boe.es/gazeta/dias/1821/12/15/pdfs/GMD-1821-358.pdf","Abrir PDF")</f>
        <v>Abrir PDF</v>
      </c>
    </row>
    <row r="362" spans="1:6" ht="30.95" customHeight="1">
      <c r="A362" s="7">
        <v>-28503</v>
      </c>
      <c r="B362" s="2" t="s">
        <v>947</v>
      </c>
      <c r="C362" s="2" t="s">
        <v>22682</v>
      </c>
      <c r="D362" s="3">
        <v>6</v>
      </c>
      <c r="E362" s="3">
        <v>44</v>
      </c>
      <c r="F362" s="3" t="str">
        <f>HYPERLINK("https://www.boe.es/gazeta/dias/1821/12/16/pdfs/GMD-1821-359.pdf","Abrir PDF")</f>
        <v>Abrir PDF</v>
      </c>
    </row>
    <row r="363" spans="1:6" ht="30.95" customHeight="1">
      <c r="A363" s="7">
        <v>-28502</v>
      </c>
      <c r="B363" s="2" t="s">
        <v>570</v>
      </c>
      <c r="C363" s="2" t="s">
        <v>22683</v>
      </c>
      <c r="D363" s="3">
        <v>4</v>
      </c>
      <c r="E363" s="3">
        <v>24</v>
      </c>
      <c r="F363" s="3" t="str">
        <f>HYPERLINK("https://www.boe.es/gazeta/dias/1821/12/17/pdfs/GMD-1821-360.pdf","Abrir PDF")</f>
        <v>Abrir PDF</v>
      </c>
    </row>
    <row r="364" spans="1:6" ht="30.95" customHeight="1">
      <c r="A364" s="7">
        <v>-28501</v>
      </c>
      <c r="B364" s="2" t="s">
        <v>456</v>
      </c>
      <c r="C364" s="2" t="s">
        <v>22684</v>
      </c>
      <c r="D364" s="3">
        <v>6</v>
      </c>
      <c r="E364" s="3">
        <v>51</v>
      </c>
      <c r="F364" s="3" t="str">
        <f>HYPERLINK("https://www.boe.es/gazeta/dias/1821/12/18/pdfs/GMD-1821-361.pdf","Abrir PDF")</f>
        <v>Abrir PDF</v>
      </c>
    </row>
    <row r="365" spans="1:6" ht="30.95" customHeight="1">
      <c r="A365" s="7">
        <v>-28500</v>
      </c>
      <c r="B365" s="2" t="s">
        <v>298</v>
      </c>
      <c r="C365" s="2" t="s">
        <v>22685</v>
      </c>
      <c r="D365" s="3">
        <v>4</v>
      </c>
      <c r="E365" s="3">
        <v>32</v>
      </c>
      <c r="F365" s="3" t="str">
        <f>HYPERLINK("https://www.boe.es/gazeta/dias/1821/12/19/pdfs/GMD-1821-362.pdf","Abrir PDF")</f>
        <v>Abrir PDF</v>
      </c>
    </row>
    <row r="366" spans="1:6" ht="30.95" customHeight="1">
      <c r="A366" s="7">
        <v>-28499</v>
      </c>
      <c r="B366" s="2" t="s">
        <v>954</v>
      </c>
      <c r="C366" s="2" t="s">
        <v>22686</v>
      </c>
      <c r="D366" s="3">
        <v>4</v>
      </c>
      <c r="E366" s="3">
        <v>36</v>
      </c>
      <c r="F366" s="3" t="str">
        <f>HYPERLINK("https://www.boe.es/gazeta/dias/1821/12/20/pdfs/GMD-1821-363.pdf","Abrir PDF")</f>
        <v>Abrir PDF</v>
      </c>
    </row>
    <row r="367" spans="1:6" ht="30.95" customHeight="1">
      <c r="A367" s="7">
        <v>-28498</v>
      </c>
      <c r="B367" s="2" t="s">
        <v>447</v>
      </c>
      <c r="C367" s="2" t="s">
        <v>22687</v>
      </c>
      <c r="D367" s="3">
        <v>4</v>
      </c>
      <c r="E367" s="3">
        <v>35</v>
      </c>
      <c r="F367" s="3" t="str">
        <f>HYPERLINK("https://www.boe.es/gazeta/dias/1821/12/21/pdfs/GMD-1821-364.pdf","Abrir PDF")</f>
        <v>Abrir PDF</v>
      </c>
    </row>
    <row r="368" spans="1:6" ht="30.95" customHeight="1">
      <c r="A368" s="7">
        <v>-28497</v>
      </c>
      <c r="B368" s="2" t="s">
        <v>225</v>
      </c>
      <c r="C368" s="2" t="s">
        <v>22688</v>
      </c>
      <c r="D368" s="3">
        <v>6</v>
      </c>
      <c r="E368" s="3">
        <v>40</v>
      </c>
      <c r="F368" s="3" t="str">
        <f>HYPERLINK("https://www.boe.es/gazeta/dias/1821/12/22/pdfs/GMD-1821-365.pdf","Abrir PDF")</f>
        <v>Abrir PDF</v>
      </c>
    </row>
    <row r="369" spans="1:6" ht="30.95" customHeight="1">
      <c r="A369" s="7">
        <v>-28496</v>
      </c>
      <c r="B369" s="2" t="s">
        <v>785</v>
      </c>
      <c r="C369" s="2" t="s">
        <v>22689</v>
      </c>
      <c r="D369" s="3">
        <v>6</v>
      </c>
      <c r="E369" s="3">
        <v>37</v>
      </c>
      <c r="F369" s="3" t="str">
        <f>HYPERLINK("https://www.boe.es/gazeta/dias/1821/12/23/pdfs/GMD-1821-366.pdf","Abrir PDF")</f>
        <v>Abrir PDF</v>
      </c>
    </row>
    <row r="370" spans="1:6" ht="30.95" customHeight="1">
      <c r="A370" s="7">
        <v>-28495</v>
      </c>
      <c r="B370" s="2" t="s">
        <v>227</v>
      </c>
      <c r="C370" s="2" t="s">
        <v>22690</v>
      </c>
      <c r="D370" s="3">
        <v>8</v>
      </c>
      <c r="E370" s="3">
        <v>66</v>
      </c>
      <c r="F370" s="3" t="str">
        <f>HYPERLINK("https://www.boe.es/gazeta/dias/1821/12/24/pdfs/GMD-1821-367.pdf","Abrir PDF")</f>
        <v>Abrir PDF</v>
      </c>
    </row>
    <row r="371" spans="1:6" ht="30.95" customHeight="1">
      <c r="A371" s="7">
        <v>-28494</v>
      </c>
      <c r="B371" s="2" t="s">
        <v>1665</v>
      </c>
      <c r="C371" s="2" t="s">
        <v>22691</v>
      </c>
      <c r="D371" s="3">
        <v>4</v>
      </c>
      <c r="E371" s="3">
        <v>28</v>
      </c>
      <c r="F371" s="3" t="str">
        <f>HYPERLINK("https://www.boe.es/gazeta/dias/1821/12/25/pdfs/GMD-1821-368.pdf","Abrir PDF")</f>
        <v>Abrir PDF</v>
      </c>
    </row>
    <row r="372" spans="1:6" ht="30.95" customHeight="1">
      <c r="A372" s="7">
        <v>-28493</v>
      </c>
      <c r="B372" s="2" t="s">
        <v>3010</v>
      </c>
      <c r="C372" s="2" t="s">
        <v>22692</v>
      </c>
      <c r="D372" s="3">
        <v>4</v>
      </c>
      <c r="E372" s="3">
        <v>6</v>
      </c>
      <c r="F372" s="3" t="str">
        <f>HYPERLINK("https://www.boe.es/gazeta/dias/1821/12/26/pdfs/GMD-1821-369.pdf","Abrir PDF")</f>
        <v>Abrir PDF</v>
      </c>
    </row>
    <row r="373" spans="1:6" ht="30.95" customHeight="1">
      <c r="A373" s="7">
        <v>-28492</v>
      </c>
      <c r="B373" s="2" t="s">
        <v>1550</v>
      </c>
      <c r="C373" s="2" t="s">
        <v>22693</v>
      </c>
      <c r="D373" s="3">
        <v>4</v>
      </c>
      <c r="E373" s="3">
        <v>57</v>
      </c>
      <c r="F373" s="3" t="str">
        <f>HYPERLINK("https://www.boe.es/gazeta/dias/1821/12/27/pdfs/GMD-1821-370.pdf","Abrir PDF")</f>
        <v>Abrir PDF</v>
      </c>
    </row>
    <row r="374" spans="1:6" ht="30.95" customHeight="1">
      <c r="A374" s="7">
        <v>-28491</v>
      </c>
      <c r="B374" s="2" t="s">
        <v>573</v>
      </c>
      <c r="C374" s="2" t="s">
        <v>22694</v>
      </c>
      <c r="D374" s="3">
        <v>4</v>
      </c>
      <c r="E374" s="3">
        <v>24</v>
      </c>
      <c r="F374" s="3" t="str">
        <f>HYPERLINK("https://www.boe.es/gazeta/dias/1821/12/28/pdfs/GMD-1821-371.pdf","Abrir PDF")</f>
        <v>Abrir PDF</v>
      </c>
    </row>
    <row r="375" spans="1:6" ht="30.95" customHeight="1">
      <c r="A375" s="7">
        <v>-28490</v>
      </c>
      <c r="B375" s="2" t="s">
        <v>801</v>
      </c>
      <c r="C375" s="2" t="s">
        <v>22695</v>
      </c>
      <c r="D375" s="3">
        <v>4</v>
      </c>
      <c r="E375" s="3">
        <v>41</v>
      </c>
      <c r="F375" s="3" t="str">
        <f>HYPERLINK("https://www.boe.es/gazeta/dias/1821/12/29/pdfs/GMD-1821-372.pdf","Abrir PDF")</f>
        <v>Abrir PDF</v>
      </c>
    </row>
    <row r="376" spans="1:6" ht="30.95" customHeight="1">
      <c r="A376" s="7">
        <v>-28489</v>
      </c>
      <c r="B376" s="2" t="s">
        <v>3894</v>
      </c>
      <c r="C376" s="2" t="s">
        <v>22696</v>
      </c>
      <c r="D376" s="3">
        <v>4</v>
      </c>
      <c r="E376" s="3">
        <v>21</v>
      </c>
      <c r="F376" s="3" t="str">
        <f>HYPERLINK("https://www.boe.es/gazeta/dias/1821/12/30/pdfs/GMD-1821-373.pdf","Abrir PDF")</f>
        <v>Abrir PDF</v>
      </c>
    </row>
    <row r="377" spans="1:6" ht="30.95" customHeight="1">
      <c r="A377" s="7">
        <v>-28488</v>
      </c>
      <c r="B377" s="2" t="s">
        <v>1563</v>
      </c>
      <c r="C377" s="2" t="s">
        <v>22697</v>
      </c>
      <c r="D377" s="3">
        <v>4</v>
      </c>
      <c r="E377" s="3">
        <v>15</v>
      </c>
      <c r="F377" s="3" t="str">
        <f>HYPERLINK("https://www.boe.es/gazeta/dias/1821/12/31/pdfs/GMD-1821-374.pdf","Abrir PDF")</f>
        <v>Abrir PDF</v>
      </c>
    </row>
    <row r="378" spans="1:6" ht="30.95" customHeight="1">
      <c r="A378" s="4"/>
      <c r="B378" s="2"/>
      <c r="C378" s="2"/>
      <c r="D378" s="3"/>
      <c r="E378" s="3"/>
      <c r="F378" s="3"/>
    </row>
    <row r="379" spans="1:6" ht="30.95" customHeight="1">
      <c r="A379" s="4"/>
      <c r="B379" s="2"/>
      <c r="C379" s="2"/>
      <c r="D379" s="3"/>
      <c r="E379" s="3"/>
      <c r="F379" s="3"/>
    </row>
    <row r="380" spans="1:6" ht="24" customHeight="1">
      <c r="A380" s="14" t="s">
        <v>22698</v>
      </c>
      <c r="B380" s="15"/>
      <c r="C380" s="15"/>
      <c r="D380" s="16"/>
      <c r="E380" s="16"/>
      <c r="F380" s="17"/>
    </row>
    <row r="381" spans="1:6" ht="42" customHeight="1">
      <c r="A381" s="8" t="s">
        <v>22699</v>
      </c>
      <c r="B381" s="18" t="s">
        <v>22700</v>
      </c>
      <c r="C381" s="18"/>
      <c r="D381" s="19"/>
      <c r="E381" s="19"/>
      <c r="F381" s="19"/>
    </row>
    <row r="382" spans="1:6" ht="42" customHeight="1">
      <c r="A382" s="8" t="s">
        <v>22701</v>
      </c>
      <c r="B382" s="18" t="s">
        <v>22702</v>
      </c>
      <c r="C382" s="18"/>
      <c r="D382" s="19"/>
      <c r="E382" s="19"/>
      <c r="F382" s="19"/>
    </row>
    <row r="383" spans="1:6" ht="42" customHeight="1">
      <c r="A383" s="8" t="s">
        <v>22703</v>
      </c>
      <c r="B383" s="18" t="s">
        <v>22704</v>
      </c>
      <c r="C383" s="18"/>
      <c r="D383" s="19"/>
      <c r="E383" s="19"/>
      <c r="F383" s="19"/>
    </row>
    <row r="384" spans="1:6" ht="42" customHeight="1">
      <c r="A384" s="8" t="s">
        <v>22705</v>
      </c>
      <c r="B384" s="18" t="s">
        <v>22706</v>
      </c>
      <c r="C384" s="18"/>
      <c r="D384" s="19"/>
      <c r="E384" s="19"/>
      <c r="F384" s="19"/>
    </row>
    <row r="385" spans="1:6" ht="42" customHeight="1">
      <c r="A385" s="8" t="s">
        <v>15335</v>
      </c>
      <c r="B385" s="18" t="s">
        <v>22707</v>
      </c>
      <c r="C385" s="18"/>
      <c r="D385" s="19"/>
      <c r="E385" s="19"/>
      <c r="F385" s="19"/>
    </row>
    <row r="386" spans="1:6" ht="42" customHeight="1">
      <c r="A386" s="8" t="s">
        <v>10</v>
      </c>
      <c r="B386" s="18" t="s">
        <v>22708</v>
      </c>
      <c r="C386" s="18"/>
      <c r="D386" s="19"/>
      <c r="E386" s="19"/>
      <c r="F386" s="19"/>
    </row>
    <row r="387" spans="1:6" ht="42" customHeight="1">
      <c r="A387" s="8" t="s">
        <v>22709</v>
      </c>
      <c r="B387" s="18" t="s">
        <v>22710</v>
      </c>
      <c r="C387" s="18"/>
      <c r="D387" s="19"/>
      <c r="E387" s="19"/>
      <c r="F387" s="19"/>
    </row>
    <row r="388" spans="1:6" ht="42" customHeight="1">
      <c r="A388" s="8" t="s">
        <v>22711</v>
      </c>
      <c r="B388" s="18" t="s">
        <v>22712</v>
      </c>
      <c r="C388" s="18"/>
      <c r="D388" s="19"/>
      <c r="E388" s="19"/>
      <c r="F388" s="19"/>
    </row>
    <row r="389" spans="1:6" ht="42" customHeight="1">
      <c r="A389" s="8" t="s">
        <v>22713</v>
      </c>
      <c r="B389" s="18" t="s">
        <v>22714</v>
      </c>
      <c r="C389" s="18"/>
      <c r="D389" s="19"/>
      <c r="E389" s="19"/>
      <c r="F389" s="19"/>
    </row>
    <row r="390" spans="1:6" ht="30.95" customHeight="1"/>
    <row r="391" spans="1:6" ht="30.95" customHeight="1"/>
    <row r="392" spans="1:6" ht="30.95" customHeight="1"/>
    <row r="393" spans="1:6" ht="30.95" customHeight="1"/>
    <row r="394" spans="1:6" ht="30.95" customHeight="1"/>
    <row r="395" spans="1:6" ht="30.95" customHeight="1"/>
    <row r="396" spans="1:6" ht="30.95" customHeight="1"/>
    <row r="397" spans="1:6" ht="30.95" customHeight="1"/>
    <row r="398" spans="1:6" ht="30.95" customHeight="1"/>
    <row r="399" spans="1:6" ht="30.95" customHeight="1"/>
    <row r="400" spans="1:6" ht="30.95" customHeight="1"/>
    <row r="401" ht="30.95" customHeight="1"/>
    <row r="402" ht="30.95" customHeight="1"/>
    <row r="403" ht="30.95" customHeight="1"/>
    <row r="404" ht="30.95" customHeight="1"/>
    <row r="405" ht="30.95" customHeight="1"/>
    <row r="406" ht="30.95" customHeight="1"/>
    <row r="407" ht="30.95" customHeight="1"/>
    <row r="408" ht="30.95" customHeight="1"/>
    <row r="409" ht="30.95" customHeight="1"/>
    <row r="410" ht="30.95" customHeight="1"/>
    <row r="411" ht="30.95" customHeight="1"/>
    <row r="412" ht="30.95" customHeight="1"/>
    <row r="413" ht="30.95" customHeight="1"/>
    <row r="414" ht="30.95" customHeight="1"/>
    <row r="415" ht="30.95" customHeight="1"/>
    <row r="416" ht="30.95" customHeight="1"/>
    <row r="417" ht="30.95" customHeight="1"/>
    <row r="418" ht="30.95" customHeight="1"/>
    <row r="419" ht="30.95" customHeight="1"/>
    <row r="420" ht="30.95" customHeight="1"/>
    <row r="421" ht="30.95" customHeight="1"/>
    <row r="422" ht="30.95" customHeight="1"/>
    <row r="423" ht="30.95" customHeight="1"/>
    <row r="424" ht="30.95" customHeight="1"/>
    <row r="425" ht="30.95" customHeight="1"/>
    <row r="426" ht="30.95" customHeight="1"/>
    <row r="427" ht="30.95" customHeight="1"/>
    <row r="428" ht="30.95" customHeight="1"/>
    <row r="429" ht="30.95" customHeight="1"/>
    <row r="430" ht="30.95" customHeight="1"/>
    <row r="431" ht="30.95" customHeight="1"/>
    <row r="432" ht="30.95" customHeight="1"/>
    <row r="433" ht="30.95" customHeight="1"/>
    <row r="434" ht="30.95" customHeight="1"/>
    <row r="435" ht="30.95" customHeight="1"/>
    <row r="436" ht="30.95" customHeight="1"/>
    <row r="437" ht="30.95" customHeight="1"/>
    <row r="438" ht="30.95" customHeight="1"/>
    <row r="439" ht="30.95" customHeight="1"/>
    <row r="440" ht="30.95" customHeight="1"/>
    <row r="441" ht="30.95" customHeight="1"/>
    <row r="442" ht="30.95" customHeight="1"/>
    <row r="443" ht="30.95" customHeight="1"/>
    <row r="444" ht="30.95" customHeight="1"/>
    <row r="445" ht="30.95" customHeight="1"/>
    <row r="446" ht="30.95" customHeight="1"/>
    <row r="447" ht="30.95" customHeight="1"/>
    <row r="448" ht="30.95" customHeight="1"/>
    <row r="449" ht="30.95" customHeight="1"/>
    <row r="450" ht="30.95" customHeight="1"/>
    <row r="451" ht="30.95" customHeight="1"/>
    <row r="452" ht="30.95" customHeight="1"/>
    <row r="453" ht="30.95" customHeight="1"/>
    <row r="454" ht="30.95" customHeight="1"/>
    <row r="455" ht="30.95" customHeight="1"/>
    <row r="456" ht="30.95" customHeight="1"/>
    <row r="457" ht="30.95" customHeight="1"/>
    <row r="458" ht="30.95" customHeight="1"/>
    <row r="459" ht="30.95" customHeight="1"/>
    <row r="460" ht="30.95" customHeight="1"/>
    <row r="461" ht="30.95" customHeight="1"/>
    <row r="462" ht="30.95" customHeight="1"/>
    <row r="463" ht="30.95" customHeight="1"/>
    <row r="464" ht="30.95" customHeight="1"/>
    <row r="465" ht="30.95" customHeight="1"/>
    <row r="466" ht="30.95" customHeight="1"/>
    <row r="467" ht="30.95" customHeight="1"/>
    <row r="468" ht="30.95" customHeight="1"/>
    <row r="469" ht="30.95" customHeight="1"/>
    <row r="470" ht="30.95" customHeight="1"/>
    <row r="471" ht="30.95" customHeight="1"/>
    <row r="472" ht="30.95" customHeight="1"/>
    <row r="473" ht="30.95" customHeight="1"/>
    <row r="474" ht="30.95" customHeight="1"/>
    <row r="475" ht="30.95" customHeight="1"/>
    <row r="476" ht="30.95" customHeight="1"/>
    <row r="477" ht="30.95" customHeight="1"/>
    <row r="478" ht="30.95" customHeight="1"/>
    <row r="479" ht="30.95" customHeight="1"/>
    <row r="480" ht="30.95" customHeight="1"/>
    <row r="481" ht="30.95" customHeight="1"/>
    <row r="482" ht="30.95" customHeight="1"/>
    <row r="483" ht="30.95" customHeight="1"/>
    <row r="484" ht="30.95" customHeight="1"/>
    <row r="485" ht="30.95" customHeight="1"/>
    <row r="486" ht="30.95" customHeight="1"/>
    <row r="487" ht="30.95" customHeight="1"/>
    <row r="488" ht="30.95" customHeight="1"/>
    <row r="489" ht="30.95" customHeight="1"/>
    <row r="490" ht="30.95" customHeight="1"/>
    <row r="491" ht="30.95" customHeight="1"/>
    <row r="492" ht="30.9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388:F388"/>
    <mergeCell ref="B389:F389"/>
    <mergeCell ref="B383:F383"/>
    <mergeCell ref="B384:F384"/>
    <mergeCell ref="B385:F385"/>
    <mergeCell ref="B386:F386"/>
    <mergeCell ref="B387:F387"/>
    <mergeCell ref="A1:F1"/>
    <mergeCell ref="A2:F2"/>
    <mergeCell ref="A380:F380"/>
    <mergeCell ref="B381:F381"/>
    <mergeCell ref="B382:F38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2026-09-29T14:57:51Z</dcterms:created>
  <dcterms:modified xsi:type="dcterms:W3CDTF">2026-09-29T14:57:51Z</dcterms:modified>
</cp:coreProperties>
</file>